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aazhon\Downloads\Cost Report for upload\"/>
    </mc:Choice>
  </mc:AlternateContent>
  <xr:revisionPtr revIDLastSave="0" documentId="8_{945C6707-BB56-463C-9B58-CBE75CB14E10}" xr6:coauthVersionLast="47" xr6:coauthVersionMax="47" xr10:uidLastSave="{00000000-0000-0000-0000-000000000000}"/>
  <bookViews>
    <workbookView xWindow="28680" yWindow="-120" windowWidth="29040" windowHeight="15720" tabRatio="907" firstSheet="1" activeTab="1" xr2:uid="{00000000-000D-0000-FFFF-FFFF00000000}"/>
  </bookViews>
  <sheets>
    <sheet name="Instructions" sheetId="54" state="hidden" r:id="rId1"/>
    <sheet name="Results" sheetId="52" r:id="rId2"/>
    <sheet name="Adjustments" sheetId="53" r:id="rId3"/>
    <sheet name="Adjusted Schedule 1" sheetId="29" r:id="rId4"/>
    <sheet name="Adjusted Schedule 1A" sheetId="30" r:id="rId5"/>
    <sheet name="Adjusted Schedule 1B" sheetId="31" r:id="rId6"/>
    <sheet name="Adjusted Schedule 1C" sheetId="32" r:id="rId7"/>
    <sheet name="Adjusted Schedule 2" sheetId="33" r:id="rId8"/>
    <sheet name="Adjusted Schedule 2A" sheetId="34" r:id="rId9"/>
    <sheet name="Adjusted Schedule 2B" sheetId="35" r:id="rId10"/>
    <sheet name="Adjusted Schedule 2C" sheetId="36" r:id="rId11"/>
    <sheet name="Adjusted Schedule 2D" sheetId="37" r:id="rId12"/>
    <sheet name="Adjusted Schedule 2E" sheetId="74" state="hidden" r:id="rId13"/>
    <sheet name="Adjusted Schedule 2F" sheetId="75" state="hidden" r:id="rId14"/>
    <sheet name="Adjusted Schedule 2G" sheetId="76" state="hidden" r:id="rId15"/>
    <sheet name="Adjusted Schedule 2H" sheetId="77" state="hidden" r:id="rId16"/>
    <sheet name="Adjusted Schedule 2I" sheetId="78" state="hidden" r:id="rId17"/>
    <sheet name="Adjusted Schedule 2J" sheetId="79" state="hidden" r:id="rId18"/>
    <sheet name="Adjusted Schedule 2K" sheetId="80" state="hidden" r:id="rId19"/>
    <sheet name="Adjusted Schedule 2L" sheetId="81" state="hidden" r:id="rId20"/>
    <sheet name="Adjusted Schedule 2M" sheetId="82" state="hidden" r:id="rId21"/>
    <sheet name="Adjusted Schedule 3" sheetId="50" r:id="rId22"/>
    <sheet name="Adjusted Schedule 4" sheetId="39" r:id="rId23"/>
    <sheet name="Adjusted Schedule 5" sheetId="85" r:id="rId24"/>
    <sheet name="As-Filed Schedule 1" sheetId="2" r:id="rId25"/>
    <sheet name="As-Filed Schedule 1A" sheetId="20" r:id="rId26"/>
    <sheet name="As-Filed Schedule 1B" sheetId="24" r:id="rId27"/>
    <sheet name="As-Filed Schedule 1C" sheetId="28" r:id="rId28"/>
    <sheet name="As-Filed Schedule 2" sheetId="19" r:id="rId29"/>
    <sheet name="As-Filed Schedule 2A" sheetId="17" r:id="rId30"/>
    <sheet name="As-Filed Schedule 2B" sheetId="18" r:id="rId31"/>
    <sheet name="As-Filed Schedule 2C" sheetId="23" r:id="rId32"/>
    <sheet name="As-Filed Schedule 2D" sheetId="16" r:id="rId33"/>
    <sheet name="As-Filed Schedule 2E" sheetId="56" state="hidden" r:id="rId34"/>
    <sheet name="As-Filed Schedule 2F" sheetId="57" state="hidden" r:id="rId35"/>
    <sheet name="As-Filed Schedule 2G" sheetId="58" state="hidden" r:id="rId36"/>
    <sheet name="As-Filed Schedule 2H" sheetId="59" state="hidden" r:id="rId37"/>
    <sheet name="As-Filed Schedule 2I" sheetId="60" state="hidden" r:id="rId38"/>
    <sheet name="As-Filed Schedule 2J" sheetId="61" state="hidden" r:id="rId39"/>
    <sheet name="As-Filed Schedule 2K" sheetId="62" state="hidden" r:id="rId40"/>
    <sheet name="As-Filed Schedule 2L" sheetId="63" state="hidden" r:id="rId41"/>
    <sheet name="As-Filed Schedule 2M" sheetId="64" state="hidden" r:id="rId42"/>
    <sheet name="As-Filed Schedule 3" sheetId="12" r:id="rId43"/>
    <sheet name="As-Filed Schedule 4" sheetId="22" r:id="rId44"/>
    <sheet name="As-Filed Schedule 5" sheetId="83" r:id="rId45"/>
    <sheet name="Schedule 1 Adjustments" sheetId="40" r:id="rId46"/>
    <sheet name="Schedule 1A Adjustments" sheetId="41" r:id="rId47"/>
    <sheet name="Schedule 1C Adjustments" sheetId="43" r:id="rId48"/>
    <sheet name="Schedule 2A Adjustments" sheetId="46" r:id="rId49"/>
    <sheet name="Schedule 2B Adjustments" sheetId="47" r:id="rId50"/>
    <sheet name="Schedule 2C Adjustments" sheetId="48" r:id="rId51"/>
    <sheet name="Schedule 2D Adjustments" sheetId="49" r:id="rId52"/>
    <sheet name="Schedule 2E Adjustments" sheetId="65" state="hidden" r:id="rId53"/>
    <sheet name="Schedule 2F Adjustments" sheetId="66" state="hidden" r:id="rId54"/>
    <sheet name="Schedule 2G Adjustments" sheetId="67" state="hidden" r:id="rId55"/>
    <sheet name="Schedule 2H Adjustments" sheetId="68" state="hidden" r:id="rId56"/>
    <sheet name="Schedule 2I Adjustments" sheetId="69" state="hidden" r:id="rId57"/>
    <sheet name="Schedule 2J Adjustments" sheetId="70" state="hidden" r:id="rId58"/>
    <sheet name="Schedule 2K Adjustments" sheetId="71" state="hidden" r:id="rId59"/>
    <sheet name="Schedule 2L Adjustments" sheetId="72" state="hidden" r:id="rId60"/>
    <sheet name="Schedule 2M Adjustments" sheetId="73" state="hidden" r:id="rId61"/>
    <sheet name="Schedule 3 Adjustments" sheetId="38" r:id="rId62"/>
    <sheet name="Schedule 4 Adjustments" sheetId="51" r:id="rId63"/>
    <sheet name="Schedule 5 Adjustments" sheetId="84" r:id="rId64"/>
  </sheets>
  <definedNames>
    <definedName name="_xlnm._FilterDatabase" localSheetId="1" hidden="1">Results!$A$49:$F$318</definedName>
    <definedName name="_xlnm.Print_Area" localSheetId="1">Results!$A:$F</definedName>
    <definedName name="_xlnm.Print_Titles" localSheetId="1">Results!$10:$10</definedName>
    <definedName name="Z_27BAF95E_10B4_4025_9660_F5A8EBC66DC3_.wvu.Cols" localSheetId="2" hidden="1">Adjustments!$AA:$AA</definedName>
    <definedName name="Z_27BAF95E_10B4_4025_9660_F5A8EBC66DC3_.wvu.FilterData" localSheetId="1" hidden="1">Results!$A$49:$F$318</definedName>
    <definedName name="Z_27BAF95E_10B4_4025_9660_F5A8EBC66DC3_.wvu.PrintArea" localSheetId="1" hidden="1">Results!$A:$F</definedName>
    <definedName name="Z_27BAF95E_10B4_4025_9660_F5A8EBC66DC3_.wvu.PrintTitles" localSheetId="1" hidden="1">Results!$10:$10</definedName>
    <definedName name="Z_27BAF95E_10B4_4025_9660_F5A8EBC66DC3_.wvu.Rows" localSheetId="4" hidden="1">'Adjusted Schedule 1A'!$93:$96</definedName>
    <definedName name="Z_27BAF95E_10B4_4025_9660_F5A8EBC66DC3_.wvu.Rows" localSheetId="6" hidden="1">'Adjusted Schedule 1C'!$97:$100</definedName>
    <definedName name="Z_27BAF95E_10B4_4025_9660_F5A8EBC66DC3_.wvu.Rows" localSheetId="21" hidden="1">'Adjusted Schedule 3'!$252:$262</definedName>
    <definedName name="Z_27BAF95E_10B4_4025_9660_F5A8EBC66DC3_.wvu.Rows" localSheetId="25" hidden="1">'As-Filed Schedule 1A'!$92:$95</definedName>
    <definedName name="Z_27BAF95E_10B4_4025_9660_F5A8EBC66DC3_.wvu.Rows" localSheetId="27" hidden="1">'As-Filed Schedule 1C'!$96:$99</definedName>
    <definedName name="Z_27BAF95E_10B4_4025_9660_F5A8EBC66DC3_.wvu.Rows" localSheetId="42" hidden="1">'As-Filed Schedule 3'!$251:$261</definedName>
    <definedName name="Z_27BAF95E_10B4_4025_9660_F5A8EBC66DC3_.wvu.Rows" localSheetId="1" hidden="1">Results!$19:$27</definedName>
    <definedName name="Z_27BAF95E_10B4_4025_9660_F5A8EBC66DC3_.wvu.Rows" localSheetId="46" hidden="1">'Schedule 1A Adjustments'!$92:$95</definedName>
    <definedName name="Z_27BAF95E_10B4_4025_9660_F5A8EBC66DC3_.wvu.Rows" localSheetId="47" hidden="1">'Schedule 1C Adjustments'!$96:$99</definedName>
    <definedName name="Z_27BAF95E_10B4_4025_9660_F5A8EBC66DC3_.wvu.Rows" localSheetId="61" hidden="1">'Schedule 3 Adjustments'!$251:$261</definedName>
    <definedName name="Z_D0F83CC0_0361_4280_BCA4_9A92C986158B_.wvu.Cols" localSheetId="2" hidden="1">Adjustments!$AA:$AA</definedName>
    <definedName name="Z_D0F83CC0_0361_4280_BCA4_9A92C986158B_.wvu.FilterData" localSheetId="1" hidden="1">Results!$A$49:$F$318</definedName>
    <definedName name="Z_D0F83CC0_0361_4280_BCA4_9A92C986158B_.wvu.PrintArea" localSheetId="1" hidden="1">Results!$A:$F</definedName>
    <definedName name="Z_D0F83CC0_0361_4280_BCA4_9A92C986158B_.wvu.PrintTitles" localSheetId="1" hidden="1">Results!$10:$10</definedName>
    <definedName name="Z_D0F83CC0_0361_4280_BCA4_9A92C986158B_.wvu.Rows" localSheetId="4" hidden="1">'Adjusted Schedule 1A'!$93:$96</definedName>
    <definedName name="Z_D0F83CC0_0361_4280_BCA4_9A92C986158B_.wvu.Rows" localSheetId="6" hidden="1">'Adjusted Schedule 1C'!$97:$100</definedName>
    <definedName name="Z_D0F83CC0_0361_4280_BCA4_9A92C986158B_.wvu.Rows" localSheetId="21" hidden="1">'Adjusted Schedule 3'!$252:$262</definedName>
    <definedName name="Z_D0F83CC0_0361_4280_BCA4_9A92C986158B_.wvu.Rows" localSheetId="25" hidden="1">'As-Filed Schedule 1A'!$92:$95</definedName>
    <definedName name="Z_D0F83CC0_0361_4280_BCA4_9A92C986158B_.wvu.Rows" localSheetId="27" hidden="1">'As-Filed Schedule 1C'!$96:$99</definedName>
    <definedName name="Z_D0F83CC0_0361_4280_BCA4_9A92C986158B_.wvu.Rows" localSheetId="42" hidden="1">'As-Filed Schedule 3'!$251:$261</definedName>
    <definedName name="Z_D0F83CC0_0361_4280_BCA4_9A92C986158B_.wvu.Rows" localSheetId="1" hidden="1">Results!$19:$27</definedName>
    <definedName name="Z_D0F83CC0_0361_4280_BCA4_9A92C986158B_.wvu.Rows" localSheetId="46" hidden="1">'Schedule 1A Adjustments'!$92:$95</definedName>
    <definedName name="Z_D0F83CC0_0361_4280_BCA4_9A92C986158B_.wvu.Rows" localSheetId="47" hidden="1">'Schedule 1C Adjustments'!$96:$99</definedName>
    <definedName name="Z_D0F83CC0_0361_4280_BCA4_9A92C986158B_.wvu.Rows" localSheetId="61" hidden="1">'Schedule 3 Adjustments'!$251:$261</definedName>
  </definedNames>
  <calcPr calcId="191029"/>
  <customWorkbookViews>
    <customWorkbookView name="Hide" guid="{D0F83CC0-0361-4280-BCA4-9A92C986158B}" maximized="1" xWindow="-8" yWindow="-8" windowWidth="1936" windowHeight="1056" tabRatio="907" activeSheetId="52"/>
    <customWorkbookView name="SHow All" guid="{27BAF95E-10B4-4025-9660-F5A8EBC66DC3}" maximized="1" xWindow="-8" yWindow="-8" windowWidth="1936" windowHeight="1056" tabRatio="907" activeSheetId="5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31" l="1"/>
  <c r="C5" i="2" l="1"/>
  <c r="E32" i="52" l="1"/>
  <c r="E36" i="52" l="1"/>
  <c r="M17" i="51" l="1"/>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15" i="72"/>
  <c r="Z16" i="66"/>
  <c r="Z17" i="66"/>
  <c r="Z18" i="66"/>
  <c r="Z19" i="66"/>
  <c r="Z20" i="66"/>
  <c r="Z21" i="66"/>
  <c r="Z22" i="66"/>
  <c r="Z23" i="66"/>
  <c r="Z24" i="66"/>
  <c r="Z25" i="66"/>
  <c r="Z26" i="66"/>
  <c r="Z27" i="66"/>
  <c r="Z28" i="66"/>
  <c r="Z29" i="66"/>
  <c r="Z30" i="66"/>
  <c r="Z31" i="66"/>
  <c r="Z32" i="66"/>
  <c r="Z33" i="66"/>
  <c r="Z34" i="66"/>
  <c r="Z35" i="66"/>
  <c r="Z36" i="66"/>
  <c r="Z37" i="66"/>
  <c r="Z38" i="66"/>
  <c r="Z39" i="66"/>
  <c r="Z40" i="66"/>
  <c r="Z41" i="66"/>
  <c r="Z42" i="66"/>
  <c r="Z43" i="66"/>
  <c r="Z44" i="66"/>
  <c r="Z45" i="66"/>
  <c r="Z46" i="66"/>
  <c r="Z47" i="66"/>
  <c r="Z48" i="66"/>
  <c r="Z49" i="66"/>
  <c r="Z50" i="66"/>
  <c r="Z51" i="66"/>
  <c r="Z52" i="66"/>
  <c r="Z53" i="66"/>
  <c r="Z54" i="66"/>
  <c r="Z55" i="66"/>
  <c r="Z56" i="66"/>
  <c r="Z57" i="66"/>
  <c r="Z58" i="66"/>
  <c r="Z59" i="66"/>
  <c r="Z60" i="66"/>
  <c r="Z61" i="66"/>
  <c r="Z62" i="66"/>
  <c r="Z63" i="66"/>
  <c r="Z64" i="66"/>
  <c r="Z65" i="66"/>
  <c r="Z66" i="66"/>
  <c r="Z67" i="66"/>
  <c r="Z68" i="66"/>
  <c r="Z69" i="66"/>
  <c r="Z70" i="66"/>
  <c r="Z71" i="66"/>
  <c r="Z72" i="66"/>
  <c r="W16" i="66"/>
  <c r="W17" i="66"/>
  <c r="W18" i="66"/>
  <c r="W19" i="66"/>
  <c r="W20" i="66"/>
  <c r="W21" i="66"/>
  <c r="W22" i="66"/>
  <c r="W23" i="66"/>
  <c r="W24" i="66"/>
  <c r="W25" i="66"/>
  <c r="W26" i="66"/>
  <c r="W27" i="66"/>
  <c r="W28" i="66"/>
  <c r="W29" i="66"/>
  <c r="W30" i="66"/>
  <c r="W31" i="66"/>
  <c r="W32" i="66"/>
  <c r="W33" i="66"/>
  <c r="W34" i="66"/>
  <c r="W35" i="66"/>
  <c r="W36" i="66"/>
  <c r="W37" i="66"/>
  <c r="W38" i="66"/>
  <c r="W39" i="66"/>
  <c r="W40" i="66"/>
  <c r="W41" i="66"/>
  <c r="W42" i="66"/>
  <c r="W43" i="66"/>
  <c r="W44" i="66"/>
  <c r="W45" i="66"/>
  <c r="W46" i="66"/>
  <c r="W47" i="66"/>
  <c r="W48" i="66"/>
  <c r="W49" i="66"/>
  <c r="W50" i="66"/>
  <c r="W51" i="66"/>
  <c r="W52" i="66"/>
  <c r="W53" i="66"/>
  <c r="W54" i="66"/>
  <c r="W55" i="66"/>
  <c r="W56" i="66"/>
  <c r="W57" i="66"/>
  <c r="W58" i="66"/>
  <c r="W59" i="66"/>
  <c r="W60" i="66"/>
  <c r="W61" i="66"/>
  <c r="W62" i="66"/>
  <c r="W63" i="66"/>
  <c r="W64" i="66"/>
  <c r="W65" i="66"/>
  <c r="W66" i="66"/>
  <c r="W67" i="66"/>
  <c r="W68" i="66"/>
  <c r="W69" i="66"/>
  <c r="W70" i="66"/>
  <c r="W71" i="66"/>
  <c r="W72" i="66"/>
  <c r="Z15" i="66"/>
  <c r="W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O71" i="66"/>
  <c r="O72"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O15" i="66"/>
  <c r="G15" i="66"/>
  <c r="Z16" i="65"/>
  <c r="Z17" i="65"/>
  <c r="Z18" i="65"/>
  <c r="Z19" i="65"/>
  <c r="Z20" i="65"/>
  <c r="Z21" i="65"/>
  <c r="Z22" i="65"/>
  <c r="Z23" i="65"/>
  <c r="Z24" i="65"/>
  <c r="Z25" i="65"/>
  <c r="Z26" i="65"/>
  <c r="Z27" i="65"/>
  <c r="Z28" i="65"/>
  <c r="Z29" i="65"/>
  <c r="Z30" i="65"/>
  <c r="Z31" i="65"/>
  <c r="Z32" i="65"/>
  <c r="Z33" i="65"/>
  <c r="Z34" i="65"/>
  <c r="Z35" i="65"/>
  <c r="Z36" i="65"/>
  <c r="Z37" i="65"/>
  <c r="Z38" i="65"/>
  <c r="Z39" i="65"/>
  <c r="Z40" i="65"/>
  <c r="Z41" i="65"/>
  <c r="Z42" i="65"/>
  <c r="Z43" i="65"/>
  <c r="Z44" i="65"/>
  <c r="Z45" i="65"/>
  <c r="Z46" i="65"/>
  <c r="Z47" i="65"/>
  <c r="Z48" i="65"/>
  <c r="Z49" i="65"/>
  <c r="Z50" i="65"/>
  <c r="Z51" i="65"/>
  <c r="Z52" i="65"/>
  <c r="Z53" i="65"/>
  <c r="Z54" i="65"/>
  <c r="Z55" i="65"/>
  <c r="Z56" i="65"/>
  <c r="Z57" i="65"/>
  <c r="Z58" i="65"/>
  <c r="Z59" i="65"/>
  <c r="Z60" i="65"/>
  <c r="Z61" i="65"/>
  <c r="Z62" i="65"/>
  <c r="Z63" i="65"/>
  <c r="Z64" i="65"/>
  <c r="Z65" i="65"/>
  <c r="Z66" i="65"/>
  <c r="Z67" i="65"/>
  <c r="Z68" i="65"/>
  <c r="Z69" i="65"/>
  <c r="Z70" i="65"/>
  <c r="Z71" i="65"/>
  <c r="Z72"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Z15" i="65"/>
  <c r="W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G57" i="65"/>
  <c r="G58" i="65"/>
  <c r="G59" i="65"/>
  <c r="G60" i="65"/>
  <c r="G61" i="65"/>
  <c r="G62" i="65"/>
  <c r="G63" i="65"/>
  <c r="G64" i="65"/>
  <c r="G65" i="65"/>
  <c r="G66" i="65"/>
  <c r="G67" i="65"/>
  <c r="G68" i="65"/>
  <c r="G69" i="65"/>
  <c r="G70" i="65"/>
  <c r="G71" i="65"/>
  <c r="G72" i="65"/>
  <c r="O16" i="65"/>
  <c r="O17" i="65"/>
  <c r="O18" i="65"/>
  <c r="O19" i="65"/>
  <c r="O20" i="65"/>
  <c r="O21" i="65"/>
  <c r="O22" i="65"/>
  <c r="O23" i="65"/>
  <c r="O24" i="65"/>
  <c r="O25" i="65"/>
  <c r="O26" i="65"/>
  <c r="O27" i="65"/>
  <c r="O28" i="65"/>
  <c r="O29" i="65"/>
  <c r="O30" i="65"/>
  <c r="O31" i="65"/>
  <c r="O32" i="65"/>
  <c r="O33" i="65"/>
  <c r="O34" i="65"/>
  <c r="O35" i="65"/>
  <c r="O36" i="65"/>
  <c r="O37" i="65"/>
  <c r="O38" i="65"/>
  <c r="O39" i="65"/>
  <c r="O40" i="65"/>
  <c r="O41" i="65"/>
  <c r="O42" i="65"/>
  <c r="O43" i="65"/>
  <c r="O44" i="65"/>
  <c r="O45" i="65"/>
  <c r="O46" i="65"/>
  <c r="O47" i="65"/>
  <c r="O48" i="65"/>
  <c r="O49" i="65"/>
  <c r="O50" i="65"/>
  <c r="O51" i="65"/>
  <c r="O52" i="65"/>
  <c r="O53" i="65"/>
  <c r="O54" i="65"/>
  <c r="O55" i="65"/>
  <c r="O56" i="65"/>
  <c r="O57" i="65"/>
  <c r="O58" i="65"/>
  <c r="O59" i="65"/>
  <c r="O60" i="65"/>
  <c r="O61" i="65"/>
  <c r="O62" i="65"/>
  <c r="O63" i="65"/>
  <c r="O64" i="65"/>
  <c r="O65" i="65"/>
  <c r="O66" i="65"/>
  <c r="O67" i="65"/>
  <c r="O68" i="65"/>
  <c r="O69" i="65"/>
  <c r="O70" i="65"/>
  <c r="O71" i="65"/>
  <c r="O72" i="65"/>
  <c r="O15" i="65"/>
  <c r="O29" i="49"/>
  <c r="G20" i="49"/>
  <c r="O15" i="48"/>
  <c r="G15" i="48"/>
  <c r="O15" i="47"/>
  <c r="G15" i="47"/>
  <c r="O72" i="46"/>
  <c r="G15" i="65"/>
  <c r="E44" i="52"/>
  <c r="E43" i="52"/>
  <c r="O73" i="65" l="1"/>
  <c r="B21" i="31"/>
  <c r="B16" i="31"/>
  <c r="L19" i="38" l="1"/>
  <c r="E27" i="52" l="1"/>
  <c r="Q122" i="12"/>
  <c r="K122" i="12"/>
  <c r="P122" i="12" s="1"/>
  <c r="I122" i="12"/>
  <c r="Q117" i="12"/>
  <c r="K117" i="12"/>
  <c r="N117" i="12" s="1"/>
  <c r="I117" i="12"/>
  <c r="Q112" i="12"/>
  <c r="K112" i="12"/>
  <c r="N112" i="12" s="1"/>
  <c r="I112" i="12"/>
  <c r="Q107" i="12"/>
  <c r="K107" i="12"/>
  <c r="L107" i="12" s="1"/>
  <c r="I107" i="12"/>
  <c r="Q102" i="12"/>
  <c r="K102" i="12"/>
  <c r="P102" i="12" s="1"/>
  <c r="I102" i="12"/>
  <c r="Q97" i="12"/>
  <c r="K97" i="12"/>
  <c r="P97" i="12" s="1"/>
  <c r="I97" i="12"/>
  <c r="Q92" i="12"/>
  <c r="K92" i="12"/>
  <c r="P92" i="12" s="1"/>
  <c r="I92" i="12"/>
  <c r="Q87" i="12"/>
  <c r="K87" i="12"/>
  <c r="P87" i="12" s="1"/>
  <c r="I87" i="12"/>
  <c r="Q82" i="12"/>
  <c r="K82" i="12"/>
  <c r="P82" i="12" s="1"/>
  <c r="I82" i="12"/>
  <c r="Q77" i="12"/>
  <c r="K77" i="12"/>
  <c r="P77" i="12" s="1"/>
  <c r="I77" i="12"/>
  <c r="Q72" i="12"/>
  <c r="K72" i="12"/>
  <c r="N72" i="12" s="1"/>
  <c r="I72" i="12"/>
  <c r="Q67" i="12"/>
  <c r="K67" i="12"/>
  <c r="N67" i="12" s="1"/>
  <c r="I67" i="12"/>
  <c r="Q62" i="12"/>
  <c r="K62" i="12"/>
  <c r="P62" i="12" s="1"/>
  <c r="I62" i="12"/>
  <c r="Q57" i="12"/>
  <c r="K57" i="12"/>
  <c r="P57" i="12" s="1"/>
  <c r="I57" i="12"/>
  <c r="Q52" i="12"/>
  <c r="K52" i="12"/>
  <c r="N52" i="12" s="1"/>
  <c r="I52" i="12"/>
  <c r="Q47" i="12"/>
  <c r="K47" i="12"/>
  <c r="N47" i="12" s="1"/>
  <c r="I47" i="12"/>
  <c r="Q42" i="12"/>
  <c r="K42" i="12"/>
  <c r="P42" i="12" s="1"/>
  <c r="I42" i="12"/>
  <c r="Q37" i="12"/>
  <c r="K37" i="12"/>
  <c r="L37" i="12" s="1"/>
  <c r="I37" i="12"/>
  <c r="Q32" i="12"/>
  <c r="K32" i="12"/>
  <c r="P32" i="12" s="1"/>
  <c r="I32" i="12"/>
  <c r="I27" i="12"/>
  <c r="Q27" i="12"/>
  <c r="K27" i="12"/>
  <c r="P27" i="12" s="1"/>
  <c r="Q22" i="12"/>
  <c r="K22" i="12"/>
  <c r="P22" i="12" s="1"/>
  <c r="I22" i="12"/>
  <c r="Q17" i="12"/>
  <c r="K17" i="12"/>
  <c r="N17" i="12" s="1"/>
  <c r="I17" i="12"/>
  <c r="R117" i="12" l="1"/>
  <c r="R122" i="12"/>
  <c r="P107" i="12"/>
  <c r="R112" i="12"/>
  <c r="R52" i="12"/>
  <c r="P52" i="12"/>
  <c r="R92" i="12"/>
  <c r="R37" i="12"/>
  <c r="R97" i="12"/>
  <c r="R62" i="12"/>
  <c r="R107" i="12"/>
  <c r="R82" i="12"/>
  <c r="R102" i="12"/>
  <c r="R72" i="12"/>
  <c r="R57" i="12"/>
  <c r="L52" i="12"/>
  <c r="R42" i="12"/>
  <c r="R77" i="12"/>
  <c r="R47" i="12"/>
  <c r="R67" i="12"/>
  <c r="R87" i="12"/>
  <c r="N107" i="12"/>
  <c r="R17" i="12"/>
  <c r="R32" i="12"/>
  <c r="R27" i="12"/>
  <c r="R22" i="12"/>
  <c r="L122" i="12"/>
  <c r="N122" i="12"/>
  <c r="L117" i="12"/>
  <c r="P117" i="12"/>
  <c r="P112" i="12"/>
  <c r="L112" i="12"/>
  <c r="L102" i="12"/>
  <c r="N102" i="12"/>
  <c r="L97" i="12"/>
  <c r="N97" i="12"/>
  <c r="L92" i="12"/>
  <c r="N92" i="12"/>
  <c r="L87" i="12"/>
  <c r="N87" i="12"/>
  <c r="L82" i="12"/>
  <c r="N82" i="12"/>
  <c r="L77" i="12"/>
  <c r="N77" i="12"/>
  <c r="P72" i="12"/>
  <c r="L72" i="12"/>
  <c r="P67" i="12"/>
  <c r="L67" i="12"/>
  <c r="N62" i="12"/>
  <c r="L62" i="12"/>
  <c r="L57" i="12"/>
  <c r="N57" i="12"/>
  <c r="P47" i="12"/>
  <c r="L47" i="12"/>
  <c r="L42" i="12"/>
  <c r="N42" i="12"/>
  <c r="N37" i="12"/>
  <c r="P37" i="12"/>
  <c r="L32" i="12"/>
  <c r="N32" i="12"/>
  <c r="L27" i="12"/>
  <c r="N27" i="12"/>
  <c r="N22" i="12"/>
  <c r="L22" i="12"/>
  <c r="P17" i="12"/>
  <c r="L17" i="12"/>
  <c r="M9" i="51" l="1"/>
  <c r="E14" i="84"/>
  <c r="A4" i="85"/>
  <c r="C7" i="85"/>
  <c r="C6" i="85"/>
  <c r="D46" i="85"/>
  <c r="E39" i="84"/>
  <c r="E40" i="84"/>
  <c r="E38" i="84"/>
  <c r="E31" i="84"/>
  <c r="E32" i="84"/>
  <c r="E33" i="84"/>
  <c r="E34" i="84"/>
  <c r="E30" i="84"/>
  <c r="E23" i="84"/>
  <c r="E24" i="84"/>
  <c r="E25" i="84"/>
  <c r="E26" i="84"/>
  <c r="E22" i="84"/>
  <c r="E18" i="84"/>
  <c r="E13" i="84"/>
  <c r="E15" i="84"/>
  <c r="E16" i="84"/>
  <c r="E17" i="84"/>
  <c r="E12" i="84"/>
  <c r="E18" i="51"/>
  <c r="D45" i="84"/>
  <c r="D39" i="84"/>
  <c r="D40" i="84"/>
  <c r="D38" i="84"/>
  <c r="D31" i="84"/>
  <c r="D32" i="84"/>
  <c r="D33" i="84"/>
  <c r="D34" i="84"/>
  <c r="D30" i="84"/>
  <c r="D23" i="84"/>
  <c r="D24" i="84"/>
  <c r="D25" i="84"/>
  <c r="D26" i="84"/>
  <c r="D22" i="84"/>
  <c r="D13" i="84"/>
  <c r="D14" i="84"/>
  <c r="D15" i="84"/>
  <c r="D16" i="84"/>
  <c r="D17" i="84"/>
  <c r="D18" i="84"/>
  <c r="D12" i="84"/>
  <c r="C6" i="84"/>
  <c r="C5" i="84"/>
  <c r="C6" i="83"/>
  <c r="C5" i="83"/>
  <c r="D41" i="83"/>
  <c r="D35" i="83"/>
  <c r="D27" i="83"/>
  <c r="D19" i="83"/>
  <c r="Q8" i="51"/>
  <c r="R8" i="51"/>
  <c r="N9" i="51"/>
  <c r="O9" i="51" s="1"/>
  <c r="I10" i="39" s="1"/>
  <c r="D43" i="52" s="1"/>
  <c r="C7" i="82"/>
  <c r="C6" i="82"/>
  <c r="A5" i="82"/>
  <c r="C7" i="81"/>
  <c r="C6" i="81"/>
  <c r="A4" i="81"/>
  <c r="F30" i="84" l="1"/>
  <c r="D31" i="85" s="1"/>
  <c r="F26" i="84"/>
  <c r="D27" i="85" s="1"/>
  <c r="F31" i="84"/>
  <c r="D32" i="85" s="1"/>
  <c r="F25" i="84"/>
  <c r="D26" i="85" s="1"/>
  <c r="F39" i="84"/>
  <c r="D40" i="85" s="1"/>
  <c r="F38" i="84"/>
  <c r="D39" i="85" s="1"/>
  <c r="F43" i="52"/>
  <c r="D35" i="84"/>
  <c r="F32" i="84"/>
  <c r="D33" i="85" s="1"/>
  <c r="F17" i="84"/>
  <c r="D18" i="85" s="1"/>
  <c r="F16" i="84"/>
  <c r="D17" i="85" s="1"/>
  <c r="D27" i="84"/>
  <c r="F14" i="84"/>
  <c r="D15" i="85" s="1"/>
  <c r="F15" i="84"/>
  <c r="D16" i="85" s="1"/>
  <c r="F18" i="84"/>
  <c r="D19" i="85" s="1"/>
  <c r="F34" i="84"/>
  <c r="D35" i="85" s="1"/>
  <c r="F12" i="84"/>
  <c r="D13" i="85" s="1"/>
  <c r="F33" i="84"/>
  <c r="D34" i="85" s="1"/>
  <c r="F13" i="84"/>
  <c r="D14" i="85" s="1"/>
  <c r="F40" i="84"/>
  <c r="F22" i="84"/>
  <c r="D23" i="85" s="1"/>
  <c r="F24" i="84"/>
  <c r="D25" i="85" s="1"/>
  <c r="D41" i="84"/>
  <c r="F23" i="84"/>
  <c r="D24" i="85" s="1"/>
  <c r="D43" i="83"/>
  <c r="D46" i="83" s="1"/>
  <c r="E46" i="83" s="1"/>
  <c r="D19" i="84"/>
  <c r="S8" i="51"/>
  <c r="K9" i="39" s="1"/>
  <c r="E41" i="84"/>
  <c r="E35" i="84"/>
  <c r="E27" i="84"/>
  <c r="E19" i="84"/>
  <c r="D44" i="52" l="1"/>
  <c r="F44" i="52" s="1"/>
  <c r="D32" i="52"/>
  <c r="F32" i="52" s="1"/>
  <c r="F41" i="84"/>
  <c r="E43" i="84"/>
  <c r="D43" i="84"/>
  <c r="D46" i="84" s="1"/>
  <c r="G46" i="84" s="1"/>
  <c r="D41" i="85"/>
  <c r="D42" i="85" s="1"/>
  <c r="F35" i="84"/>
  <c r="D20" i="85"/>
  <c r="F19" i="84"/>
  <c r="D36" i="85"/>
  <c r="F27" i="84"/>
  <c r="D28" i="85"/>
  <c r="C7" i="80"/>
  <c r="C6" i="80"/>
  <c r="A4" i="80"/>
  <c r="C7" i="79"/>
  <c r="C6" i="79"/>
  <c r="A4" i="79"/>
  <c r="C7" i="78"/>
  <c r="C6" i="78"/>
  <c r="A4" i="78"/>
  <c r="C7" i="77"/>
  <c r="C6" i="77"/>
  <c r="A4" i="77"/>
  <c r="C7" i="76"/>
  <c r="C6" i="76"/>
  <c r="A4" i="76"/>
  <c r="C7" i="75"/>
  <c r="C6" i="75"/>
  <c r="A4" i="75"/>
  <c r="C7" i="74"/>
  <c r="C6" i="74"/>
  <c r="A4" i="74"/>
  <c r="F8" i="71"/>
  <c r="F8" i="72"/>
  <c r="I8" i="73"/>
  <c r="F8" i="70"/>
  <c r="F8" i="65"/>
  <c r="Z72" i="73"/>
  <c r="Y72" i="73"/>
  <c r="W72" i="73"/>
  <c r="V72" i="73"/>
  <c r="O72" i="73"/>
  <c r="N72" i="73"/>
  <c r="G72" i="73"/>
  <c r="F72" i="73"/>
  <c r="B72" i="73"/>
  <c r="B73" i="82" s="1"/>
  <c r="Z71" i="73"/>
  <c r="Y71" i="73"/>
  <c r="W71" i="73"/>
  <c r="V71" i="73"/>
  <c r="O71" i="73"/>
  <c r="N71" i="73"/>
  <c r="G71" i="73"/>
  <c r="F71" i="73"/>
  <c r="B71" i="73"/>
  <c r="B72" i="82" s="1"/>
  <c r="Z70" i="73"/>
  <c r="Y70" i="73"/>
  <c r="W70" i="73"/>
  <c r="V70" i="73"/>
  <c r="O70" i="73"/>
  <c r="N70" i="73"/>
  <c r="G70" i="73"/>
  <c r="F70" i="73"/>
  <c r="B70" i="73"/>
  <c r="B71" i="82" s="1"/>
  <c r="Z69" i="73"/>
  <c r="Y69" i="73"/>
  <c r="W69" i="73"/>
  <c r="V69" i="73"/>
  <c r="O69" i="73"/>
  <c r="N69" i="73"/>
  <c r="G69" i="73"/>
  <c r="F69" i="73"/>
  <c r="B69" i="73"/>
  <c r="B70" i="82" s="1"/>
  <c r="Z68" i="73"/>
  <c r="Y68" i="73"/>
  <c r="W68" i="73"/>
  <c r="X68" i="73" s="1"/>
  <c r="N69" i="82" s="1"/>
  <c r="V68" i="73"/>
  <c r="O68" i="73"/>
  <c r="N68" i="73"/>
  <c r="G68" i="73"/>
  <c r="F68" i="73"/>
  <c r="B68" i="73"/>
  <c r="B69" i="82" s="1"/>
  <c r="Z67" i="73"/>
  <c r="Y67" i="73"/>
  <c r="W67" i="73"/>
  <c r="V67" i="73"/>
  <c r="O67" i="73"/>
  <c r="N67" i="73"/>
  <c r="G67" i="73"/>
  <c r="F67" i="73"/>
  <c r="B67" i="73"/>
  <c r="B68" i="82" s="1"/>
  <c r="Z66" i="73"/>
  <c r="Y66" i="73"/>
  <c r="W66" i="73"/>
  <c r="V66" i="73"/>
  <c r="O66" i="73"/>
  <c r="N66" i="73"/>
  <c r="G66" i="73"/>
  <c r="F66" i="73"/>
  <c r="B66" i="73"/>
  <c r="B67" i="82" s="1"/>
  <c r="Z65" i="73"/>
  <c r="Y65" i="73"/>
  <c r="W65" i="73"/>
  <c r="V65" i="73"/>
  <c r="O65" i="73"/>
  <c r="N65" i="73"/>
  <c r="G65" i="73"/>
  <c r="F65" i="73"/>
  <c r="B65" i="73"/>
  <c r="B66" i="82" s="1"/>
  <c r="Z64" i="73"/>
  <c r="Y64" i="73"/>
  <c r="W64" i="73"/>
  <c r="V64" i="73"/>
  <c r="O64" i="73"/>
  <c r="N64" i="73"/>
  <c r="G64" i="73"/>
  <c r="F64" i="73"/>
  <c r="B64" i="73"/>
  <c r="B65" i="82" s="1"/>
  <c r="Z63" i="73"/>
  <c r="Y63" i="73"/>
  <c r="W63" i="73"/>
  <c r="V63" i="73"/>
  <c r="O63" i="73"/>
  <c r="N63" i="73"/>
  <c r="G63" i="73"/>
  <c r="F63" i="73"/>
  <c r="B63" i="73"/>
  <c r="B64" i="82" s="1"/>
  <c r="Z62" i="73"/>
  <c r="Y62" i="73"/>
  <c r="W62" i="73"/>
  <c r="V62" i="73"/>
  <c r="O62" i="73"/>
  <c r="N62" i="73"/>
  <c r="G62" i="73"/>
  <c r="F62" i="73"/>
  <c r="B62" i="73"/>
  <c r="B63" i="82" s="1"/>
  <c r="Z61" i="73"/>
  <c r="Y61" i="73"/>
  <c r="W61" i="73"/>
  <c r="V61" i="73"/>
  <c r="O61" i="73"/>
  <c r="N61" i="73"/>
  <c r="G61" i="73"/>
  <c r="F61" i="73"/>
  <c r="B61" i="73"/>
  <c r="B62" i="82" s="1"/>
  <c r="Z60" i="73"/>
  <c r="Y60" i="73"/>
  <c r="W60" i="73"/>
  <c r="X60" i="73" s="1"/>
  <c r="N61" i="82" s="1"/>
  <c r="V60" i="73"/>
  <c r="O60" i="73"/>
  <c r="N60" i="73"/>
  <c r="G60" i="73"/>
  <c r="F60" i="73"/>
  <c r="B60" i="73"/>
  <c r="B61" i="82" s="1"/>
  <c r="Z59" i="73"/>
  <c r="Y59" i="73"/>
  <c r="W59" i="73"/>
  <c r="V59" i="73"/>
  <c r="O59" i="73"/>
  <c r="N59" i="73"/>
  <c r="G59" i="73"/>
  <c r="F59" i="73"/>
  <c r="B59" i="73"/>
  <c r="B60" i="82" s="1"/>
  <c r="Z58" i="73"/>
  <c r="Y58" i="73"/>
  <c r="W58" i="73"/>
  <c r="V58" i="73"/>
  <c r="O58" i="73"/>
  <c r="N58" i="73"/>
  <c r="G58" i="73"/>
  <c r="F58" i="73"/>
  <c r="B58" i="73"/>
  <c r="B59" i="82" s="1"/>
  <c r="Z57" i="73"/>
  <c r="Y57" i="73"/>
  <c r="W57" i="73"/>
  <c r="V57" i="73"/>
  <c r="O57" i="73"/>
  <c r="N57" i="73"/>
  <c r="G57" i="73"/>
  <c r="F57" i="73"/>
  <c r="B57" i="73"/>
  <c r="B58" i="82" s="1"/>
  <c r="Z56" i="73"/>
  <c r="Y56" i="73"/>
  <c r="W56" i="73"/>
  <c r="V56" i="73"/>
  <c r="O56" i="73"/>
  <c r="N56" i="73"/>
  <c r="G56" i="73"/>
  <c r="F56" i="73"/>
  <c r="B56" i="73"/>
  <c r="B57" i="82" s="1"/>
  <c r="Z55" i="73"/>
  <c r="Y55" i="73"/>
  <c r="W55" i="73"/>
  <c r="V55" i="73"/>
  <c r="O55" i="73"/>
  <c r="N55" i="73"/>
  <c r="G55" i="73"/>
  <c r="F55" i="73"/>
  <c r="B55" i="73"/>
  <c r="B56" i="82" s="1"/>
  <c r="Z54" i="73"/>
  <c r="Y54" i="73"/>
  <c r="W54" i="73"/>
  <c r="V54" i="73"/>
  <c r="O54" i="73"/>
  <c r="N54" i="73"/>
  <c r="G54" i="73"/>
  <c r="F54" i="73"/>
  <c r="B54" i="73"/>
  <c r="B55" i="82" s="1"/>
  <c r="Z53" i="73"/>
  <c r="Y53" i="73"/>
  <c r="W53" i="73"/>
  <c r="V53" i="73"/>
  <c r="O53" i="73"/>
  <c r="N53" i="73"/>
  <c r="G53" i="73"/>
  <c r="F53" i="73"/>
  <c r="B53" i="73"/>
  <c r="B54" i="82" s="1"/>
  <c r="Z52" i="73"/>
  <c r="Y52" i="73"/>
  <c r="W52" i="73"/>
  <c r="V52" i="73"/>
  <c r="O52" i="73"/>
  <c r="N52" i="73"/>
  <c r="G52" i="73"/>
  <c r="F52" i="73"/>
  <c r="B52" i="73"/>
  <c r="B53" i="82" s="1"/>
  <c r="Z51" i="73"/>
  <c r="Y51" i="73"/>
  <c r="W51" i="73"/>
  <c r="V51" i="73"/>
  <c r="O51" i="73"/>
  <c r="N51" i="73"/>
  <c r="G51" i="73"/>
  <c r="F51" i="73"/>
  <c r="B51" i="73"/>
  <c r="B52" i="82" s="1"/>
  <c r="Z50" i="73"/>
  <c r="Y50" i="73"/>
  <c r="W50" i="73"/>
  <c r="V50" i="73"/>
  <c r="O50" i="73"/>
  <c r="N50" i="73"/>
  <c r="G50" i="73"/>
  <c r="F50" i="73"/>
  <c r="B50" i="73"/>
  <c r="B51" i="82" s="1"/>
  <c r="Z49" i="73"/>
  <c r="Y49" i="73"/>
  <c r="W49" i="73"/>
  <c r="V49" i="73"/>
  <c r="O49" i="73"/>
  <c r="N49" i="73"/>
  <c r="G49" i="73"/>
  <c r="F49" i="73"/>
  <c r="B49" i="73"/>
  <c r="B50" i="82" s="1"/>
  <c r="Z48" i="73"/>
  <c r="Y48" i="73"/>
  <c r="W48" i="73"/>
  <c r="V48" i="73"/>
  <c r="O48" i="73"/>
  <c r="N48" i="73"/>
  <c r="G48" i="73"/>
  <c r="F48" i="73"/>
  <c r="B48" i="73"/>
  <c r="B49" i="82" s="1"/>
  <c r="Z47" i="73"/>
  <c r="Y47" i="73"/>
  <c r="W47" i="73"/>
  <c r="V47" i="73"/>
  <c r="O47" i="73"/>
  <c r="N47" i="73"/>
  <c r="G47" i="73"/>
  <c r="F47" i="73"/>
  <c r="B47" i="73"/>
  <c r="B48" i="82" s="1"/>
  <c r="Z46" i="73"/>
  <c r="Y46" i="73"/>
  <c r="W46" i="73"/>
  <c r="V46" i="73"/>
  <c r="O46" i="73"/>
  <c r="N46" i="73"/>
  <c r="G46" i="73"/>
  <c r="F46" i="73"/>
  <c r="B46" i="73"/>
  <c r="B47" i="82" s="1"/>
  <c r="Z45" i="73"/>
  <c r="Y45" i="73"/>
  <c r="W45" i="73"/>
  <c r="V45" i="73"/>
  <c r="O45" i="73"/>
  <c r="N45" i="73"/>
  <c r="G45" i="73"/>
  <c r="F45" i="73"/>
  <c r="B45" i="73"/>
  <c r="B46" i="82" s="1"/>
  <c r="Z44" i="73"/>
  <c r="Y44" i="73"/>
  <c r="W44" i="73"/>
  <c r="V44" i="73"/>
  <c r="O44" i="73"/>
  <c r="N44" i="73"/>
  <c r="G44" i="73"/>
  <c r="F44" i="73"/>
  <c r="B44" i="73"/>
  <c r="B45" i="82" s="1"/>
  <c r="Z43" i="73"/>
  <c r="Y43" i="73"/>
  <c r="W43" i="73"/>
  <c r="V43" i="73"/>
  <c r="O43" i="73"/>
  <c r="N43" i="73"/>
  <c r="G43" i="73"/>
  <c r="F43" i="73"/>
  <c r="B43" i="73"/>
  <c r="B44" i="82" s="1"/>
  <c r="Z42" i="73"/>
  <c r="Y42" i="73"/>
  <c r="W42" i="73"/>
  <c r="V42" i="73"/>
  <c r="O42" i="73"/>
  <c r="N42" i="73"/>
  <c r="G42" i="73"/>
  <c r="F42" i="73"/>
  <c r="B42" i="73"/>
  <c r="B43" i="82" s="1"/>
  <c r="Z41" i="73"/>
  <c r="Y41" i="73"/>
  <c r="W41" i="73"/>
  <c r="V41" i="73"/>
  <c r="O41" i="73"/>
  <c r="N41" i="73"/>
  <c r="G41" i="73"/>
  <c r="F41" i="73"/>
  <c r="B41" i="73"/>
  <c r="B42" i="82" s="1"/>
  <c r="Z40" i="73"/>
  <c r="Y40" i="73"/>
  <c r="W40" i="73"/>
  <c r="V40" i="73"/>
  <c r="O40" i="73"/>
  <c r="N40" i="73"/>
  <c r="G40" i="73"/>
  <c r="F40" i="73"/>
  <c r="B40" i="73"/>
  <c r="B41" i="82" s="1"/>
  <c r="Z39" i="73"/>
  <c r="Y39" i="73"/>
  <c r="W39" i="73"/>
  <c r="V39" i="73"/>
  <c r="O39" i="73"/>
  <c r="N39" i="73"/>
  <c r="G39" i="73"/>
  <c r="F39" i="73"/>
  <c r="B39" i="73"/>
  <c r="B40" i="82" s="1"/>
  <c r="Z38" i="73"/>
  <c r="Y38" i="73"/>
  <c r="W38" i="73"/>
  <c r="V38" i="73"/>
  <c r="O38" i="73"/>
  <c r="N38" i="73"/>
  <c r="G38" i="73"/>
  <c r="F38" i="73"/>
  <c r="B38" i="73"/>
  <c r="B39" i="82" s="1"/>
  <c r="Z37" i="73"/>
  <c r="Y37" i="73"/>
  <c r="W37" i="73"/>
  <c r="V37" i="73"/>
  <c r="O37" i="73"/>
  <c r="N37" i="73"/>
  <c r="G37" i="73"/>
  <c r="F37" i="73"/>
  <c r="B37" i="73"/>
  <c r="B38" i="82" s="1"/>
  <c r="Z36" i="73"/>
  <c r="Y36" i="73"/>
  <c r="W36" i="73"/>
  <c r="V36" i="73"/>
  <c r="O36" i="73"/>
  <c r="N36" i="73"/>
  <c r="G36" i="73"/>
  <c r="F36" i="73"/>
  <c r="B36" i="73"/>
  <c r="B37" i="82" s="1"/>
  <c r="Z35" i="73"/>
  <c r="Y35" i="73"/>
  <c r="W35" i="73"/>
  <c r="V35" i="73"/>
  <c r="O35" i="73"/>
  <c r="N35" i="73"/>
  <c r="G35" i="73"/>
  <c r="F35" i="73"/>
  <c r="B35" i="73"/>
  <c r="B36" i="82" s="1"/>
  <c r="Z34" i="73"/>
  <c r="Y34" i="73"/>
  <c r="W34" i="73"/>
  <c r="V34" i="73"/>
  <c r="O34" i="73"/>
  <c r="N34" i="73"/>
  <c r="G34" i="73"/>
  <c r="F34" i="73"/>
  <c r="B34" i="73"/>
  <c r="B35" i="82" s="1"/>
  <c r="Z33" i="73"/>
  <c r="Y33" i="73"/>
  <c r="W33" i="73"/>
  <c r="V33" i="73"/>
  <c r="O33" i="73"/>
  <c r="N33" i="73"/>
  <c r="G33" i="73"/>
  <c r="F33" i="73"/>
  <c r="B33" i="73"/>
  <c r="B34" i="82" s="1"/>
  <c r="Z32" i="73"/>
  <c r="Y32" i="73"/>
  <c r="W32" i="73"/>
  <c r="V32" i="73"/>
  <c r="O32" i="73"/>
  <c r="N32" i="73"/>
  <c r="G32" i="73"/>
  <c r="F32" i="73"/>
  <c r="B32" i="73"/>
  <c r="B33" i="82" s="1"/>
  <c r="Z31" i="73"/>
  <c r="Y31" i="73"/>
  <c r="W31" i="73"/>
  <c r="V31" i="73"/>
  <c r="O31" i="73"/>
  <c r="N31" i="73"/>
  <c r="G31" i="73"/>
  <c r="F31" i="73"/>
  <c r="B31" i="73"/>
  <c r="B32" i="82" s="1"/>
  <c r="Z30" i="73"/>
  <c r="Y30" i="73"/>
  <c r="W30" i="73"/>
  <c r="V30" i="73"/>
  <c r="O30" i="73"/>
  <c r="N30" i="73"/>
  <c r="G30" i="73"/>
  <c r="F30" i="73"/>
  <c r="B30" i="73"/>
  <c r="B31" i="82" s="1"/>
  <c r="Z29" i="73"/>
  <c r="Y29" i="73"/>
  <c r="W29" i="73"/>
  <c r="V29" i="73"/>
  <c r="O29" i="73"/>
  <c r="N29" i="73"/>
  <c r="G29" i="73"/>
  <c r="F29" i="73"/>
  <c r="B29" i="73"/>
  <c r="B30" i="82" s="1"/>
  <c r="Z28" i="73"/>
  <c r="Y28" i="73"/>
  <c r="W28" i="73"/>
  <c r="V28" i="73"/>
  <c r="O28" i="73"/>
  <c r="N28" i="73"/>
  <c r="G28" i="73"/>
  <c r="F28" i="73"/>
  <c r="B28" i="73"/>
  <c r="B29" i="82" s="1"/>
  <c r="Z27" i="73"/>
  <c r="Y27" i="73"/>
  <c r="W27" i="73"/>
  <c r="V27" i="73"/>
  <c r="O27" i="73"/>
  <c r="N27" i="73"/>
  <c r="G27" i="73"/>
  <c r="F27" i="73"/>
  <c r="B27" i="73"/>
  <c r="B28" i="82" s="1"/>
  <c r="Z26" i="73"/>
  <c r="Y26" i="73"/>
  <c r="W26" i="73"/>
  <c r="V26" i="73"/>
  <c r="O26" i="73"/>
  <c r="N26" i="73"/>
  <c r="G26" i="73"/>
  <c r="F26" i="73"/>
  <c r="B26" i="73"/>
  <c r="B27" i="82" s="1"/>
  <c r="Z25" i="73"/>
  <c r="Y25" i="73"/>
  <c r="W25" i="73"/>
  <c r="V25" i="73"/>
  <c r="O25" i="73"/>
  <c r="N25" i="73"/>
  <c r="G25" i="73"/>
  <c r="F25" i="73"/>
  <c r="B25" i="73"/>
  <c r="B26" i="82" s="1"/>
  <c r="Z24" i="73"/>
  <c r="Y24" i="73"/>
  <c r="W24" i="73"/>
  <c r="V24" i="73"/>
  <c r="O24" i="73"/>
  <c r="N24" i="73"/>
  <c r="G24" i="73"/>
  <c r="F24" i="73"/>
  <c r="B24" i="73"/>
  <c r="B25" i="82" s="1"/>
  <c r="Z23" i="73"/>
  <c r="Y23" i="73"/>
  <c r="W23" i="73"/>
  <c r="V23" i="73"/>
  <c r="O23" i="73"/>
  <c r="N23" i="73"/>
  <c r="G23" i="73"/>
  <c r="F23" i="73"/>
  <c r="B23" i="73"/>
  <c r="B24" i="82" s="1"/>
  <c r="Z22" i="73"/>
  <c r="Y22" i="73"/>
  <c r="W22" i="73"/>
  <c r="V22" i="73"/>
  <c r="O22" i="73"/>
  <c r="N22" i="73"/>
  <c r="G22" i="73"/>
  <c r="F22" i="73"/>
  <c r="B22" i="73"/>
  <c r="B23" i="82" s="1"/>
  <c r="Z21" i="73"/>
  <c r="Y21" i="73"/>
  <c r="W21" i="73"/>
  <c r="V21" i="73"/>
  <c r="O21" i="73"/>
  <c r="N21" i="73"/>
  <c r="G21" i="73"/>
  <c r="F21" i="73"/>
  <c r="B21" i="73"/>
  <c r="B22" i="82" s="1"/>
  <c r="Z20" i="73"/>
  <c r="Y20" i="73"/>
  <c r="W20" i="73"/>
  <c r="V20" i="73"/>
  <c r="O20" i="73"/>
  <c r="N20" i="73"/>
  <c r="G20" i="73"/>
  <c r="F20" i="73"/>
  <c r="B20" i="73"/>
  <c r="B21" i="82" s="1"/>
  <c r="Z19" i="73"/>
  <c r="Y19" i="73"/>
  <c r="W19" i="73"/>
  <c r="V19" i="73"/>
  <c r="O19" i="73"/>
  <c r="N19" i="73"/>
  <c r="G19" i="73"/>
  <c r="F19" i="73"/>
  <c r="B19" i="73"/>
  <c r="B20" i="82" s="1"/>
  <c r="Z18" i="73"/>
  <c r="Y18" i="73"/>
  <c r="W18" i="73"/>
  <c r="V18" i="73"/>
  <c r="O18" i="73"/>
  <c r="N18" i="73"/>
  <c r="G18" i="73"/>
  <c r="F18" i="73"/>
  <c r="B18" i="73"/>
  <c r="B19" i="82" s="1"/>
  <c r="Z17" i="73"/>
  <c r="Y17" i="73"/>
  <c r="W17" i="73"/>
  <c r="V17" i="73"/>
  <c r="O17" i="73"/>
  <c r="N17" i="73"/>
  <c r="G17" i="73"/>
  <c r="F17" i="73"/>
  <c r="B17" i="73"/>
  <c r="B18" i="82" s="1"/>
  <c r="Z16" i="73"/>
  <c r="Y16" i="73"/>
  <c r="W16" i="73"/>
  <c r="V16" i="73"/>
  <c r="O16" i="73"/>
  <c r="N16" i="73"/>
  <c r="G16" i="73"/>
  <c r="F16" i="73"/>
  <c r="B16" i="73"/>
  <c r="B17" i="82" s="1"/>
  <c r="Z15" i="73"/>
  <c r="Y15" i="73"/>
  <c r="W15" i="73"/>
  <c r="V15" i="73"/>
  <c r="O15" i="73"/>
  <c r="N15" i="73"/>
  <c r="G15" i="73"/>
  <c r="F15" i="73"/>
  <c r="B15" i="73"/>
  <c r="B16" i="82" s="1"/>
  <c r="C6" i="73"/>
  <c r="C5" i="73"/>
  <c r="Z72" i="72"/>
  <c r="Y72" i="72"/>
  <c r="W72" i="72"/>
  <c r="V72" i="72"/>
  <c r="O72" i="72"/>
  <c r="N72" i="72"/>
  <c r="F72" i="72"/>
  <c r="H72" i="72" s="1"/>
  <c r="F73" i="81" s="1"/>
  <c r="B72" i="72"/>
  <c r="B73" i="81" s="1"/>
  <c r="Z71" i="72"/>
  <c r="Y71" i="72"/>
  <c r="W71" i="72"/>
  <c r="V71" i="72"/>
  <c r="O71" i="72"/>
  <c r="N71" i="72"/>
  <c r="F71" i="72"/>
  <c r="H71" i="72" s="1"/>
  <c r="F72" i="81" s="1"/>
  <c r="B71" i="72"/>
  <c r="B72" i="81" s="1"/>
  <c r="Z70" i="72"/>
  <c r="Y70" i="72"/>
  <c r="W70" i="72"/>
  <c r="V70" i="72"/>
  <c r="O70" i="72"/>
  <c r="N70" i="72"/>
  <c r="F70" i="72"/>
  <c r="B70" i="72"/>
  <c r="B71" i="81" s="1"/>
  <c r="Z69" i="72"/>
  <c r="Y69" i="72"/>
  <c r="W69" i="72"/>
  <c r="V69" i="72"/>
  <c r="O69" i="72"/>
  <c r="N69" i="72"/>
  <c r="F69" i="72"/>
  <c r="B69" i="72"/>
  <c r="B70" i="81" s="1"/>
  <c r="Z68" i="72"/>
  <c r="Y68" i="72"/>
  <c r="W68" i="72"/>
  <c r="V68" i="72"/>
  <c r="O68" i="72"/>
  <c r="N68" i="72"/>
  <c r="F68" i="72"/>
  <c r="B68" i="72"/>
  <c r="B69" i="81" s="1"/>
  <c r="Z67" i="72"/>
  <c r="Y67" i="72"/>
  <c r="W67" i="72"/>
  <c r="V67" i="72"/>
  <c r="O67" i="72"/>
  <c r="N67" i="72"/>
  <c r="F67" i="72"/>
  <c r="H67" i="72" s="1"/>
  <c r="F68" i="81" s="1"/>
  <c r="B67" i="72"/>
  <c r="B68" i="81" s="1"/>
  <c r="Z66" i="72"/>
  <c r="Y66" i="72"/>
  <c r="W66" i="72"/>
  <c r="V66" i="72"/>
  <c r="O66" i="72"/>
  <c r="N66" i="72"/>
  <c r="F66" i="72"/>
  <c r="B66" i="72"/>
  <c r="B67" i="81" s="1"/>
  <c r="Z65" i="72"/>
  <c r="Y65" i="72"/>
  <c r="W65" i="72"/>
  <c r="V65" i="72"/>
  <c r="O65" i="72"/>
  <c r="N65" i="72"/>
  <c r="F65" i="72"/>
  <c r="B65" i="72"/>
  <c r="B66" i="81" s="1"/>
  <c r="Z64" i="72"/>
  <c r="Y64" i="72"/>
  <c r="W64" i="72"/>
  <c r="V64" i="72"/>
  <c r="O64" i="72"/>
  <c r="N64" i="72"/>
  <c r="F64" i="72"/>
  <c r="B64" i="72"/>
  <c r="B65" i="81" s="1"/>
  <c r="Z63" i="72"/>
  <c r="Y63" i="72"/>
  <c r="W63" i="72"/>
  <c r="V63" i="72"/>
  <c r="O63" i="72"/>
  <c r="N63" i="72"/>
  <c r="F63" i="72"/>
  <c r="H63" i="72" s="1"/>
  <c r="F64" i="81" s="1"/>
  <c r="B63" i="72"/>
  <c r="B64" i="81" s="1"/>
  <c r="Z62" i="72"/>
  <c r="Y62" i="72"/>
  <c r="W62" i="72"/>
  <c r="V62" i="72"/>
  <c r="O62" i="72"/>
  <c r="N62" i="72"/>
  <c r="F62" i="72"/>
  <c r="B62" i="72"/>
  <c r="B63" i="81" s="1"/>
  <c r="Z61" i="72"/>
  <c r="Y61" i="72"/>
  <c r="W61" i="72"/>
  <c r="V61" i="72"/>
  <c r="O61" i="72"/>
  <c r="N61" i="72"/>
  <c r="F61" i="72"/>
  <c r="H61" i="72" s="1"/>
  <c r="F62" i="81" s="1"/>
  <c r="B61" i="72"/>
  <c r="B62" i="81" s="1"/>
  <c r="Z60" i="72"/>
  <c r="Y60" i="72"/>
  <c r="W60" i="72"/>
  <c r="V60" i="72"/>
  <c r="O60" i="72"/>
  <c r="N60" i="72"/>
  <c r="F60" i="72"/>
  <c r="B60" i="72"/>
  <c r="B61" i="81" s="1"/>
  <c r="Z59" i="72"/>
  <c r="Y59" i="72"/>
  <c r="W59" i="72"/>
  <c r="V59" i="72"/>
  <c r="O59" i="72"/>
  <c r="N59" i="72"/>
  <c r="F59" i="72"/>
  <c r="B59" i="72"/>
  <c r="B60" i="81" s="1"/>
  <c r="Z58" i="72"/>
  <c r="Y58" i="72"/>
  <c r="W58" i="72"/>
  <c r="V58" i="72"/>
  <c r="O58" i="72"/>
  <c r="N58" i="72"/>
  <c r="F58" i="72"/>
  <c r="B58" i="72"/>
  <c r="B59" i="81" s="1"/>
  <c r="Z57" i="72"/>
  <c r="Y57" i="72"/>
  <c r="W57" i="72"/>
  <c r="V57" i="72"/>
  <c r="O57" i="72"/>
  <c r="N57" i="72"/>
  <c r="F57" i="72"/>
  <c r="B57" i="72"/>
  <c r="B58" i="81" s="1"/>
  <c r="Z56" i="72"/>
  <c r="Y56" i="72"/>
  <c r="W56" i="72"/>
  <c r="V56" i="72"/>
  <c r="O56" i="72"/>
  <c r="N56" i="72"/>
  <c r="F56" i="72"/>
  <c r="B56" i="72"/>
  <c r="B57" i="81" s="1"/>
  <c r="Z55" i="72"/>
  <c r="Y55" i="72"/>
  <c r="W55" i="72"/>
  <c r="V55" i="72"/>
  <c r="O55" i="72"/>
  <c r="N55" i="72"/>
  <c r="F55" i="72"/>
  <c r="B55" i="72"/>
  <c r="B56" i="81" s="1"/>
  <c r="Z54" i="72"/>
  <c r="Y54" i="72"/>
  <c r="W54" i="72"/>
  <c r="V54" i="72"/>
  <c r="O54" i="72"/>
  <c r="N54" i="72"/>
  <c r="F54" i="72"/>
  <c r="B54" i="72"/>
  <c r="B55" i="81" s="1"/>
  <c r="Z53" i="72"/>
  <c r="Y53" i="72"/>
  <c r="W53" i="72"/>
  <c r="V53" i="72"/>
  <c r="O53" i="72"/>
  <c r="N53" i="72"/>
  <c r="F53" i="72"/>
  <c r="B53" i="72"/>
  <c r="B54" i="81" s="1"/>
  <c r="Z52" i="72"/>
  <c r="Y52" i="72"/>
  <c r="W52" i="72"/>
  <c r="V52" i="72"/>
  <c r="O52" i="72"/>
  <c r="N52" i="72"/>
  <c r="F52" i="72"/>
  <c r="B52" i="72"/>
  <c r="B53" i="81" s="1"/>
  <c r="Z51" i="72"/>
  <c r="Y51" i="72"/>
  <c r="W51" i="72"/>
  <c r="V51" i="72"/>
  <c r="O51" i="72"/>
  <c r="N51" i="72"/>
  <c r="F51" i="72"/>
  <c r="B51" i="72"/>
  <c r="B52" i="81" s="1"/>
  <c r="Z50" i="72"/>
  <c r="Y50" i="72"/>
  <c r="W50" i="72"/>
  <c r="V50" i="72"/>
  <c r="O50" i="72"/>
  <c r="N50" i="72"/>
  <c r="F50" i="72"/>
  <c r="B50" i="72"/>
  <c r="B51" i="81" s="1"/>
  <c r="Z49" i="72"/>
  <c r="Y49" i="72"/>
  <c r="W49" i="72"/>
  <c r="V49" i="72"/>
  <c r="O49" i="72"/>
  <c r="N49" i="72"/>
  <c r="F49" i="72"/>
  <c r="B49" i="72"/>
  <c r="B50" i="81" s="1"/>
  <c r="Z48" i="72"/>
  <c r="Y48" i="72"/>
  <c r="W48" i="72"/>
  <c r="V48" i="72"/>
  <c r="O48" i="72"/>
  <c r="N48" i="72"/>
  <c r="F48" i="72"/>
  <c r="B48" i="72"/>
  <c r="B49" i="81" s="1"/>
  <c r="Z47" i="72"/>
  <c r="Y47" i="72"/>
  <c r="W47" i="72"/>
  <c r="V47" i="72"/>
  <c r="O47" i="72"/>
  <c r="N47" i="72"/>
  <c r="F47" i="72"/>
  <c r="B47" i="72"/>
  <c r="B48" i="81" s="1"/>
  <c r="Z46" i="72"/>
  <c r="Y46" i="72"/>
  <c r="W46" i="72"/>
  <c r="V46" i="72"/>
  <c r="O46" i="72"/>
  <c r="N46" i="72"/>
  <c r="F46" i="72"/>
  <c r="B46" i="72"/>
  <c r="B47" i="81" s="1"/>
  <c r="Z45" i="72"/>
  <c r="Y45" i="72"/>
  <c r="W45" i="72"/>
  <c r="V45" i="72"/>
  <c r="O45" i="72"/>
  <c r="N45" i="72"/>
  <c r="F45" i="72"/>
  <c r="B45" i="72"/>
  <c r="B46" i="81" s="1"/>
  <c r="Z44" i="72"/>
  <c r="Y44" i="72"/>
  <c r="W44" i="72"/>
  <c r="V44" i="72"/>
  <c r="O44" i="72"/>
  <c r="N44" i="72"/>
  <c r="F44" i="72"/>
  <c r="B44" i="72"/>
  <c r="B45" i="81" s="1"/>
  <c r="Z43" i="72"/>
  <c r="Y43" i="72"/>
  <c r="W43" i="72"/>
  <c r="V43" i="72"/>
  <c r="O43" i="72"/>
  <c r="N43" i="72"/>
  <c r="F43" i="72"/>
  <c r="B43" i="72"/>
  <c r="B44" i="81" s="1"/>
  <c r="Z42" i="72"/>
  <c r="Y42" i="72"/>
  <c r="W42" i="72"/>
  <c r="V42" i="72"/>
  <c r="O42" i="72"/>
  <c r="N42" i="72"/>
  <c r="F42" i="72"/>
  <c r="B42" i="72"/>
  <c r="B43" i="81" s="1"/>
  <c r="Z41" i="72"/>
  <c r="Y41" i="72"/>
  <c r="W41" i="72"/>
  <c r="V41" i="72"/>
  <c r="O41" i="72"/>
  <c r="N41" i="72"/>
  <c r="F41" i="72"/>
  <c r="B41" i="72"/>
  <c r="B42" i="81" s="1"/>
  <c r="Z40" i="72"/>
  <c r="Y40" i="72"/>
  <c r="W40" i="72"/>
  <c r="V40" i="72"/>
  <c r="O40" i="72"/>
  <c r="N40" i="72"/>
  <c r="F40" i="72"/>
  <c r="B40" i="72"/>
  <c r="B41" i="81" s="1"/>
  <c r="Z39" i="72"/>
  <c r="Y39" i="72"/>
  <c r="W39" i="72"/>
  <c r="V39" i="72"/>
  <c r="O39" i="72"/>
  <c r="N39" i="72"/>
  <c r="F39" i="72"/>
  <c r="B39" i="72"/>
  <c r="B40" i="81" s="1"/>
  <c r="Z38" i="72"/>
  <c r="Y38" i="72"/>
  <c r="W38" i="72"/>
  <c r="V38" i="72"/>
  <c r="O38" i="72"/>
  <c r="N38" i="72"/>
  <c r="F38" i="72"/>
  <c r="B38" i="72"/>
  <c r="B39" i="81" s="1"/>
  <c r="Z37" i="72"/>
  <c r="Y37" i="72"/>
  <c r="W37" i="72"/>
  <c r="V37" i="72"/>
  <c r="O37" i="72"/>
  <c r="N37" i="72"/>
  <c r="F37" i="72"/>
  <c r="B37" i="72"/>
  <c r="B38" i="81" s="1"/>
  <c r="Z36" i="72"/>
  <c r="Y36" i="72"/>
  <c r="W36" i="72"/>
  <c r="V36" i="72"/>
  <c r="O36" i="72"/>
  <c r="N36" i="72"/>
  <c r="F36" i="72"/>
  <c r="B36" i="72"/>
  <c r="B37" i="81" s="1"/>
  <c r="Z35" i="72"/>
  <c r="Y35" i="72"/>
  <c r="W35" i="72"/>
  <c r="V35" i="72"/>
  <c r="O35" i="72"/>
  <c r="N35" i="72"/>
  <c r="F35" i="72"/>
  <c r="B35" i="72"/>
  <c r="B36" i="81" s="1"/>
  <c r="Z34" i="72"/>
  <c r="Y34" i="72"/>
  <c r="W34" i="72"/>
  <c r="V34" i="72"/>
  <c r="O34" i="72"/>
  <c r="N34" i="72"/>
  <c r="F34" i="72"/>
  <c r="B34" i="72"/>
  <c r="B35" i="81" s="1"/>
  <c r="Z33" i="72"/>
  <c r="Y33" i="72"/>
  <c r="W33" i="72"/>
  <c r="V33" i="72"/>
  <c r="O33" i="72"/>
  <c r="N33" i="72"/>
  <c r="F33" i="72"/>
  <c r="B33" i="72"/>
  <c r="B34" i="81" s="1"/>
  <c r="Z32" i="72"/>
  <c r="Y32" i="72"/>
  <c r="W32" i="72"/>
  <c r="V32" i="72"/>
  <c r="O32" i="72"/>
  <c r="N32" i="72"/>
  <c r="F32" i="72"/>
  <c r="H32" i="72" s="1"/>
  <c r="F33" i="81" s="1"/>
  <c r="B32" i="72"/>
  <c r="B33" i="81" s="1"/>
  <c r="Z31" i="72"/>
  <c r="Y31" i="72"/>
  <c r="W31" i="72"/>
  <c r="V31" i="72"/>
  <c r="O31" i="72"/>
  <c r="N31" i="72"/>
  <c r="F31" i="72"/>
  <c r="B31" i="72"/>
  <c r="B32" i="81" s="1"/>
  <c r="Z30" i="72"/>
  <c r="Y30" i="72"/>
  <c r="W30" i="72"/>
  <c r="V30" i="72"/>
  <c r="O30" i="72"/>
  <c r="N30" i="72"/>
  <c r="F30" i="72"/>
  <c r="B30" i="72"/>
  <c r="B31" i="81" s="1"/>
  <c r="Z29" i="72"/>
  <c r="Y29" i="72"/>
  <c r="W29" i="72"/>
  <c r="V29" i="72"/>
  <c r="O29" i="72"/>
  <c r="P29" i="72" s="1"/>
  <c r="J30" i="81" s="1"/>
  <c r="N29" i="72"/>
  <c r="F29" i="72"/>
  <c r="B29" i="72"/>
  <c r="B30" i="81" s="1"/>
  <c r="Z28" i="72"/>
  <c r="Y28" i="72"/>
  <c r="W28" i="72"/>
  <c r="V28" i="72"/>
  <c r="O28" i="72"/>
  <c r="N28" i="72"/>
  <c r="F28" i="72"/>
  <c r="B28" i="72"/>
  <c r="B29" i="81" s="1"/>
  <c r="Z27" i="72"/>
  <c r="Y27" i="72"/>
  <c r="W27" i="72"/>
  <c r="V27" i="72"/>
  <c r="O27" i="72"/>
  <c r="N27" i="72"/>
  <c r="F27" i="72"/>
  <c r="B27" i="72"/>
  <c r="B28" i="81" s="1"/>
  <c r="Z26" i="72"/>
  <c r="Y26" i="72"/>
  <c r="W26" i="72"/>
  <c r="V26" i="72"/>
  <c r="O26" i="72"/>
  <c r="N26" i="72"/>
  <c r="F26" i="72"/>
  <c r="B26" i="72"/>
  <c r="B27" i="81" s="1"/>
  <c r="Z25" i="72"/>
  <c r="Y25" i="72"/>
  <c r="W25" i="72"/>
  <c r="V25" i="72"/>
  <c r="O25" i="72"/>
  <c r="N25" i="72"/>
  <c r="F25" i="72"/>
  <c r="B25" i="72"/>
  <c r="B26" i="81" s="1"/>
  <c r="Z24" i="72"/>
  <c r="Y24" i="72"/>
  <c r="W24" i="72"/>
  <c r="V24" i="72"/>
  <c r="O24" i="72"/>
  <c r="N24" i="72"/>
  <c r="F24" i="72"/>
  <c r="B24" i="72"/>
  <c r="B25" i="81" s="1"/>
  <c r="Z23" i="72"/>
  <c r="Y23" i="72"/>
  <c r="W23" i="72"/>
  <c r="V23" i="72"/>
  <c r="O23" i="72"/>
  <c r="N23" i="72"/>
  <c r="F23" i="72"/>
  <c r="B23" i="72"/>
  <c r="B24" i="81" s="1"/>
  <c r="Z22" i="72"/>
  <c r="Y22" i="72"/>
  <c r="W22" i="72"/>
  <c r="V22" i="72"/>
  <c r="O22" i="72"/>
  <c r="N22" i="72"/>
  <c r="F22" i="72"/>
  <c r="B22" i="72"/>
  <c r="B23" i="81" s="1"/>
  <c r="Z21" i="72"/>
  <c r="Y21" i="72"/>
  <c r="W21" i="72"/>
  <c r="V21" i="72"/>
  <c r="O21" i="72"/>
  <c r="N21" i="72"/>
  <c r="F21" i="72"/>
  <c r="B21" i="72"/>
  <c r="B22" i="81" s="1"/>
  <c r="Z20" i="72"/>
  <c r="Y20" i="72"/>
  <c r="W20" i="72"/>
  <c r="V20" i="72"/>
  <c r="O20" i="72"/>
  <c r="N20" i="72"/>
  <c r="F20" i="72"/>
  <c r="B20" i="72"/>
  <c r="B21" i="81" s="1"/>
  <c r="Z19" i="72"/>
  <c r="Y19" i="72"/>
  <c r="W19" i="72"/>
  <c r="V19" i="72"/>
  <c r="O19" i="72"/>
  <c r="N19" i="72"/>
  <c r="F19" i="72"/>
  <c r="B19" i="72"/>
  <c r="B20" i="81" s="1"/>
  <c r="Z18" i="72"/>
  <c r="Y18" i="72"/>
  <c r="W18" i="72"/>
  <c r="V18" i="72"/>
  <c r="O18" i="72"/>
  <c r="N18" i="72"/>
  <c r="F18" i="72"/>
  <c r="B18" i="72"/>
  <c r="B19" i="81" s="1"/>
  <c r="Z17" i="72"/>
  <c r="Y17" i="72"/>
  <c r="W17" i="72"/>
  <c r="V17" i="72"/>
  <c r="O17" i="72"/>
  <c r="N17" i="72"/>
  <c r="F17" i="72"/>
  <c r="B17" i="72"/>
  <c r="B18" i="81" s="1"/>
  <c r="Z16" i="72"/>
  <c r="Y16" i="72"/>
  <c r="W16" i="72"/>
  <c r="V16" i="72"/>
  <c r="O16" i="72"/>
  <c r="N16" i="72"/>
  <c r="F16" i="72"/>
  <c r="B16" i="72"/>
  <c r="B17" i="81" s="1"/>
  <c r="Z15" i="72"/>
  <c r="Y15" i="72"/>
  <c r="W15" i="72"/>
  <c r="V15" i="72"/>
  <c r="O15" i="72"/>
  <c r="N15" i="72"/>
  <c r="F15" i="72"/>
  <c r="B15" i="72"/>
  <c r="B16" i="81" s="1"/>
  <c r="C6" i="72"/>
  <c r="C5" i="72"/>
  <c r="Z72" i="71"/>
  <c r="Y72" i="71"/>
  <c r="W72" i="71"/>
  <c r="V72" i="71"/>
  <c r="O72" i="71"/>
  <c r="N72" i="71"/>
  <c r="G72" i="71"/>
  <c r="F72" i="71"/>
  <c r="B72" i="71"/>
  <c r="B73" i="80" s="1"/>
  <c r="Z71" i="71"/>
  <c r="Y71" i="71"/>
  <c r="W71" i="71"/>
  <c r="V71" i="71"/>
  <c r="O71" i="71"/>
  <c r="N71" i="71"/>
  <c r="G71" i="71"/>
  <c r="F71" i="71"/>
  <c r="B71" i="71"/>
  <c r="B72" i="80" s="1"/>
  <c r="Z70" i="71"/>
  <c r="Y70" i="71"/>
  <c r="W70" i="71"/>
  <c r="V70" i="71"/>
  <c r="O70" i="71"/>
  <c r="N70" i="71"/>
  <c r="G70" i="71"/>
  <c r="F70" i="71"/>
  <c r="B70" i="71"/>
  <c r="B71" i="80" s="1"/>
  <c r="Z69" i="71"/>
  <c r="Y69" i="71"/>
  <c r="W69" i="71"/>
  <c r="V69" i="71"/>
  <c r="O69" i="71"/>
  <c r="N69" i="71"/>
  <c r="G69" i="71"/>
  <c r="F69" i="71"/>
  <c r="B69" i="71"/>
  <c r="B70" i="80" s="1"/>
  <c r="Z68" i="71"/>
  <c r="Y68" i="71"/>
  <c r="W68" i="71"/>
  <c r="V68" i="71"/>
  <c r="O68" i="71"/>
  <c r="N68" i="71"/>
  <c r="G68" i="71"/>
  <c r="F68" i="71"/>
  <c r="B68" i="71"/>
  <c r="B69" i="80" s="1"/>
  <c r="Z67" i="71"/>
  <c r="Y67" i="71"/>
  <c r="W67" i="71"/>
  <c r="V67" i="71"/>
  <c r="O67" i="71"/>
  <c r="N67" i="71"/>
  <c r="G67" i="71"/>
  <c r="F67" i="71"/>
  <c r="B67" i="71"/>
  <c r="B68" i="80" s="1"/>
  <c r="Z66" i="71"/>
  <c r="Y66" i="71"/>
  <c r="W66" i="71"/>
  <c r="V66" i="71"/>
  <c r="O66" i="71"/>
  <c r="N66" i="71"/>
  <c r="G66" i="71"/>
  <c r="F66" i="71"/>
  <c r="B66" i="71"/>
  <c r="B67" i="80" s="1"/>
  <c r="Z65" i="71"/>
  <c r="Y65" i="71"/>
  <c r="W65" i="71"/>
  <c r="V65" i="71"/>
  <c r="O65" i="71"/>
  <c r="N65" i="71"/>
  <c r="G65" i="71"/>
  <c r="F65" i="71"/>
  <c r="B65" i="71"/>
  <c r="B66" i="80" s="1"/>
  <c r="Z64" i="71"/>
  <c r="Y64" i="71"/>
  <c r="W64" i="71"/>
  <c r="V64" i="71"/>
  <c r="O64" i="71"/>
  <c r="N64" i="71"/>
  <c r="G64" i="71"/>
  <c r="F64" i="71"/>
  <c r="B64" i="71"/>
  <c r="B65" i="80" s="1"/>
  <c r="Z63" i="71"/>
  <c r="Y63" i="71"/>
  <c r="W63" i="71"/>
  <c r="V63" i="71"/>
  <c r="O63" i="71"/>
  <c r="N63" i="71"/>
  <c r="G63" i="71"/>
  <c r="H63" i="71" s="1"/>
  <c r="F64" i="80" s="1"/>
  <c r="F63" i="71"/>
  <c r="B63" i="71"/>
  <c r="B64" i="80" s="1"/>
  <c r="Z62" i="71"/>
  <c r="Y62" i="71"/>
  <c r="W62" i="71"/>
  <c r="V62" i="71"/>
  <c r="O62" i="71"/>
  <c r="N62" i="71"/>
  <c r="G62" i="71"/>
  <c r="F62" i="71"/>
  <c r="B62" i="71"/>
  <c r="B63" i="80" s="1"/>
  <c r="Z61" i="71"/>
  <c r="Y61" i="71"/>
  <c r="W61" i="71"/>
  <c r="V61" i="71"/>
  <c r="O61" i="71"/>
  <c r="N61" i="71"/>
  <c r="G61" i="71"/>
  <c r="F61" i="71"/>
  <c r="B61" i="71"/>
  <c r="B62" i="80" s="1"/>
  <c r="Z60" i="71"/>
  <c r="Y60" i="71"/>
  <c r="W60" i="71"/>
  <c r="V60" i="71"/>
  <c r="O60" i="71"/>
  <c r="N60" i="71"/>
  <c r="G60" i="71"/>
  <c r="F60" i="71"/>
  <c r="B60" i="71"/>
  <c r="B61" i="80" s="1"/>
  <c r="Z59" i="71"/>
  <c r="Y59" i="71"/>
  <c r="W59" i="71"/>
  <c r="V59" i="71"/>
  <c r="O59" i="71"/>
  <c r="N59" i="71"/>
  <c r="G59" i="71"/>
  <c r="F59" i="71"/>
  <c r="B59" i="71"/>
  <c r="B60" i="80" s="1"/>
  <c r="Z58" i="71"/>
  <c r="Y58" i="71"/>
  <c r="W58" i="71"/>
  <c r="V58" i="71"/>
  <c r="O58" i="71"/>
  <c r="N58" i="71"/>
  <c r="G58" i="71"/>
  <c r="F58" i="71"/>
  <c r="B58" i="71"/>
  <c r="B59" i="80" s="1"/>
  <c r="Z57" i="71"/>
  <c r="Y57" i="71"/>
  <c r="W57" i="71"/>
  <c r="V57" i="71"/>
  <c r="O57" i="71"/>
  <c r="N57" i="71"/>
  <c r="G57" i="71"/>
  <c r="F57" i="71"/>
  <c r="B57" i="71"/>
  <c r="B58" i="80" s="1"/>
  <c r="Z56" i="71"/>
  <c r="Y56" i="71"/>
  <c r="W56" i="71"/>
  <c r="V56" i="71"/>
  <c r="O56" i="71"/>
  <c r="N56" i="71"/>
  <c r="G56" i="71"/>
  <c r="F56" i="71"/>
  <c r="B56" i="71"/>
  <c r="B57" i="80" s="1"/>
  <c r="Z55" i="71"/>
  <c r="Y55" i="71"/>
  <c r="W55" i="71"/>
  <c r="V55" i="71"/>
  <c r="O55" i="71"/>
  <c r="N55" i="71"/>
  <c r="G55" i="71"/>
  <c r="H55" i="71" s="1"/>
  <c r="F56" i="80" s="1"/>
  <c r="F55" i="71"/>
  <c r="B55" i="71"/>
  <c r="B56" i="80" s="1"/>
  <c r="Z54" i="71"/>
  <c r="Y54" i="71"/>
  <c r="W54" i="71"/>
  <c r="V54" i="71"/>
  <c r="O54" i="71"/>
  <c r="N54" i="71"/>
  <c r="G54" i="71"/>
  <c r="F54" i="71"/>
  <c r="B54" i="71"/>
  <c r="B55" i="80" s="1"/>
  <c r="Z53" i="71"/>
  <c r="Y53" i="71"/>
  <c r="W53" i="71"/>
  <c r="V53" i="71"/>
  <c r="O53" i="71"/>
  <c r="N53" i="71"/>
  <c r="G53" i="71"/>
  <c r="F53" i="71"/>
  <c r="B53" i="71"/>
  <c r="B54" i="80" s="1"/>
  <c r="Z52" i="71"/>
  <c r="Y52" i="71"/>
  <c r="W52" i="71"/>
  <c r="V52" i="71"/>
  <c r="O52" i="71"/>
  <c r="N52" i="71"/>
  <c r="G52" i="71"/>
  <c r="F52" i="71"/>
  <c r="B52" i="71"/>
  <c r="B53" i="80" s="1"/>
  <c r="Z51" i="71"/>
  <c r="Y51" i="71"/>
  <c r="W51" i="71"/>
  <c r="V51" i="71"/>
  <c r="O51" i="71"/>
  <c r="N51" i="71"/>
  <c r="G51" i="71"/>
  <c r="F51" i="71"/>
  <c r="B51" i="71"/>
  <c r="B52" i="80" s="1"/>
  <c r="Z50" i="71"/>
  <c r="Y50" i="71"/>
  <c r="W50" i="71"/>
  <c r="V50" i="71"/>
  <c r="O50" i="71"/>
  <c r="N50" i="71"/>
  <c r="G50" i="71"/>
  <c r="F50" i="71"/>
  <c r="B50" i="71"/>
  <c r="B51" i="80" s="1"/>
  <c r="Z49" i="71"/>
  <c r="Y49" i="71"/>
  <c r="W49" i="71"/>
  <c r="V49" i="71"/>
  <c r="O49" i="71"/>
  <c r="N49" i="71"/>
  <c r="G49" i="71"/>
  <c r="F49" i="71"/>
  <c r="B49" i="71"/>
  <c r="B50" i="80" s="1"/>
  <c r="Z48" i="71"/>
  <c r="Y48" i="71"/>
  <c r="W48" i="71"/>
  <c r="V48" i="71"/>
  <c r="O48" i="71"/>
  <c r="N48" i="71"/>
  <c r="G48" i="71"/>
  <c r="F48" i="71"/>
  <c r="B48" i="71"/>
  <c r="B49" i="80" s="1"/>
  <c r="Z47" i="71"/>
  <c r="Y47" i="71"/>
  <c r="W47" i="71"/>
  <c r="V47" i="71"/>
  <c r="O47" i="71"/>
  <c r="N47" i="71"/>
  <c r="G47" i="71"/>
  <c r="H47" i="71" s="1"/>
  <c r="F48" i="80" s="1"/>
  <c r="F47" i="71"/>
  <c r="B47" i="71"/>
  <c r="B48" i="80" s="1"/>
  <c r="Z46" i="71"/>
  <c r="Y46" i="71"/>
  <c r="W46" i="71"/>
  <c r="V46" i="71"/>
  <c r="O46" i="71"/>
  <c r="N46" i="71"/>
  <c r="G46" i="71"/>
  <c r="F46" i="71"/>
  <c r="B46" i="71"/>
  <c r="B47" i="80" s="1"/>
  <c r="Z45" i="71"/>
  <c r="Y45" i="71"/>
  <c r="W45" i="71"/>
  <c r="V45" i="71"/>
  <c r="O45" i="71"/>
  <c r="N45" i="71"/>
  <c r="G45" i="71"/>
  <c r="F45" i="71"/>
  <c r="B45" i="71"/>
  <c r="B46" i="80" s="1"/>
  <c r="Z44" i="71"/>
  <c r="Y44" i="71"/>
  <c r="W44" i="71"/>
  <c r="V44" i="71"/>
  <c r="O44" i="71"/>
  <c r="N44" i="71"/>
  <c r="G44" i="71"/>
  <c r="F44" i="71"/>
  <c r="B44" i="71"/>
  <c r="B45" i="80" s="1"/>
  <c r="Z43" i="71"/>
  <c r="Y43" i="71"/>
  <c r="W43" i="71"/>
  <c r="V43" i="71"/>
  <c r="O43" i="71"/>
  <c r="N43" i="71"/>
  <c r="G43" i="71"/>
  <c r="F43" i="71"/>
  <c r="B43" i="71"/>
  <c r="B44" i="80" s="1"/>
  <c r="Z42" i="71"/>
  <c r="Y42" i="71"/>
  <c r="W42" i="71"/>
  <c r="V42" i="71"/>
  <c r="O42" i="71"/>
  <c r="N42" i="71"/>
  <c r="G42" i="71"/>
  <c r="F42" i="71"/>
  <c r="B42" i="71"/>
  <c r="B43" i="80" s="1"/>
  <c r="Z41" i="71"/>
  <c r="Y41" i="71"/>
  <c r="W41" i="71"/>
  <c r="V41" i="71"/>
  <c r="O41" i="71"/>
  <c r="N41" i="71"/>
  <c r="G41" i="71"/>
  <c r="F41" i="71"/>
  <c r="B41" i="71"/>
  <c r="B42" i="80" s="1"/>
  <c r="Z40" i="71"/>
  <c r="Y40" i="71"/>
  <c r="W40" i="71"/>
  <c r="V40" i="71"/>
  <c r="O40" i="71"/>
  <c r="N40" i="71"/>
  <c r="G40" i="71"/>
  <c r="F40" i="71"/>
  <c r="B40" i="71"/>
  <c r="B41" i="80" s="1"/>
  <c r="Z39" i="71"/>
  <c r="Y39" i="71"/>
  <c r="W39" i="71"/>
  <c r="V39" i="71"/>
  <c r="O39" i="71"/>
  <c r="N39" i="71"/>
  <c r="G39" i="71"/>
  <c r="H39" i="71" s="1"/>
  <c r="F40" i="80" s="1"/>
  <c r="F39" i="71"/>
  <c r="B39" i="71"/>
  <c r="B40" i="80" s="1"/>
  <c r="Z38" i="71"/>
  <c r="Y38" i="71"/>
  <c r="W38" i="71"/>
  <c r="V38" i="71"/>
  <c r="O38" i="71"/>
  <c r="N38" i="71"/>
  <c r="G38" i="71"/>
  <c r="F38" i="71"/>
  <c r="B38" i="71"/>
  <c r="B39" i="80" s="1"/>
  <c r="Z37" i="71"/>
  <c r="Y37" i="71"/>
  <c r="W37" i="71"/>
  <c r="V37" i="71"/>
  <c r="O37" i="71"/>
  <c r="N37" i="71"/>
  <c r="G37" i="71"/>
  <c r="F37" i="71"/>
  <c r="B37" i="71"/>
  <c r="B38" i="80" s="1"/>
  <c r="Z36" i="71"/>
  <c r="Y36" i="71"/>
  <c r="W36" i="71"/>
  <c r="V36" i="71"/>
  <c r="O36" i="71"/>
  <c r="N36" i="71"/>
  <c r="G36" i="71"/>
  <c r="F36" i="71"/>
  <c r="B36" i="71"/>
  <c r="B37" i="80" s="1"/>
  <c r="Z35" i="71"/>
  <c r="Y35" i="71"/>
  <c r="W35" i="71"/>
  <c r="V35" i="71"/>
  <c r="O35" i="71"/>
  <c r="N35" i="71"/>
  <c r="G35" i="71"/>
  <c r="F35" i="71"/>
  <c r="B35" i="71"/>
  <c r="B36" i="80" s="1"/>
  <c r="Z34" i="71"/>
  <c r="Y34" i="71"/>
  <c r="W34" i="71"/>
  <c r="V34" i="71"/>
  <c r="O34" i="71"/>
  <c r="N34" i="71"/>
  <c r="G34" i="71"/>
  <c r="F34" i="71"/>
  <c r="B34" i="71"/>
  <c r="B35" i="80" s="1"/>
  <c r="Z33" i="71"/>
  <c r="Y33" i="71"/>
  <c r="W33" i="71"/>
  <c r="V33" i="71"/>
  <c r="O33" i="71"/>
  <c r="N33" i="71"/>
  <c r="G33" i="71"/>
  <c r="F33" i="71"/>
  <c r="B33" i="71"/>
  <c r="B34" i="80" s="1"/>
  <c r="Z32" i="71"/>
  <c r="Y32" i="71"/>
  <c r="W32" i="71"/>
  <c r="V32" i="71"/>
  <c r="O32" i="71"/>
  <c r="N32" i="71"/>
  <c r="G32" i="71"/>
  <c r="F32" i="71"/>
  <c r="B32" i="71"/>
  <c r="B33" i="80" s="1"/>
  <c r="Z31" i="71"/>
  <c r="Y31" i="71"/>
  <c r="W31" i="71"/>
  <c r="V31" i="71"/>
  <c r="O31" i="71"/>
  <c r="N31" i="71"/>
  <c r="G31" i="71"/>
  <c r="F31" i="71"/>
  <c r="B31" i="71"/>
  <c r="B32" i="80" s="1"/>
  <c r="Z30" i="71"/>
  <c r="Y30" i="71"/>
  <c r="W30" i="71"/>
  <c r="V30" i="71"/>
  <c r="O30" i="71"/>
  <c r="N30" i="71"/>
  <c r="G30" i="71"/>
  <c r="F30" i="71"/>
  <c r="B30" i="71"/>
  <c r="B31" i="80" s="1"/>
  <c r="Z29" i="71"/>
  <c r="Y29" i="71"/>
  <c r="W29" i="71"/>
  <c r="V29" i="71"/>
  <c r="O29" i="71"/>
  <c r="N29" i="71"/>
  <c r="G29" i="71"/>
  <c r="F29" i="71"/>
  <c r="B29" i="71"/>
  <c r="B30" i="80" s="1"/>
  <c r="Z28" i="71"/>
  <c r="Y28" i="71"/>
  <c r="W28" i="71"/>
  <c r="V28" i="71"/>
  <c r="O28" i="71"/>
  <c r="N28" i="71"/>
  <c r="G28" i="71"/>
  <c r="F28" i="71"/>
  <c r="B28" i="71"/>
  <c r="B29" i="80" s="1"/>
  <c r="Z27" i="71"/>
  <c r="Y27" i="71"/>
  <c r="W27" i="71"/>
  <c r="V27" i="71"/>
  <c r="O27" i="71"/>
  <c r="N27" i="71"/>
  <c r="G27" i="71"/>
  <c r="F27" i="71"/>
  <c r="B27" i="71"/>
  <c r="B28" i="80" s="1"/>
  <c r="Z26" i="71"/>
  <c r="Y26" i="71"/>
  <c r="W26" i="71"/>
  <c r="V26" i="71"/>
  <c r="O26" i="71"/>
  <c r="N26" i="71"/>
  <c r="G26" i="71"/>
  <c r="F26" i="71"/>
  <c r="B26" i="71"/>
  <c r="B27" i="80" s="1"/>
  <c r="Z25" i="71"/>
  <c r="Y25" i="71"/>
  <c r="W25" i="71"/>
  <c r="V25" i="71"/>
  <c r="O25" i="71"/>
  <c r="N25" i="71"/>
  <c r="G25" i="71"/>
  <c r="F25" i="71"/>
  <c r="B25" i="71"/>
  <c r="B26" i="80" s="1"/>
  <c r="Z24" i="71"/>
  <c r="Y24" i="71"/>
  <c r="W24" i="71"/>
  <c r="V24" i="71"/>
  <c r="O24" i="71"/>
  <c r="N24" i="71"/>
  <c r="G24" i="71"/>
  <c r="F24" i="71"/>
  <c r="B24" i="71"/>
  <c r="B25" i="80" s="1"/>
  <c r="Z23" i="71"/>
  <c r="Y23" i="71"/>
  <c r="W23" i="71"/>
  <c r="V23" i="71"/>
  <c r="O23" i="71"/>
  <c r="N23" i="71"/>
  <c r="G23" i="71"/>
  <c r="F23" i="71"/>
  <c r="B23" i="71"/>
  <c r="B24" i="80" s="1"/>
  <c r="Z22" i="71"/>
  <c r="Y22" i="71"/>
  <c r="W22" i="71"/>
  <c r="V22" i="71"/>
  <c r="O22" i="71"/>
  <c r="N22" i="71"/>
  <c r="G22" i="71"/>
  <c r="F22" i="71"/>
  <c r="B22" i="71"/>
  <c r="B23" i="80" s="1"/>
  <c r="Z21" i="71"/>
  <c r="Y21" i="71"/>
  <c r="W21" i="71"/>
  <c r="V21" i="71"/>
  <c r="O21" i="71"/>
  <c r="N21" i="71"/>
  <c r="G21" i="71"/>
  <c r="F21" i="71"/>
  <c r="B21" i="71"/>
  <c r="B22" i="80" s="1"/>
  <c r="Z20" i="71"/>
  <c r="Y20" i="71"/>
  <c r="W20" i="71"/>
  <c r="V20" i="71"/>
  <c r="O20" i="71"/>
  <c r="N20" i="71"/>
  <c r="G20" i="71"/>
  <c r="F20" i="71"/>
  <c r="B20" i="71"/>
  <c r="B21" i="80" s="1"/>
  <c r="Z19" i="71"/>
  <c r="Y19" i="71"/>
  <c r="W19" i="71"/>
  <c r="V19" i="71"/>
  <c r="O19" i="71"/>
  <c r="N19" i="71"/>
  <c r="G19" i="71"/>
  <c r="F19" i="71"/>
  <c r="B19" i="71"/>
  <c r="B20" i="80" s="1"/>
  <c r="Z18" i="71"/>
  <c r="Y18" i="71"/>
  <c r="W18" i="71"/>
  <c r="V18" i="71"/>
  <c r="O18" i="71"/>
  <c r="N18" i="71"/>
  <c r="G18" i="71"/>
  <c r="F18" i="71"/>
  <c r="B18" i="71"/>
  <c r="B19" i="80" s="1"/>
  <c r="Z17" i="71"/>
  <c r="Y17" i="71"/>
  <c r="W17" i="71"/>
  <c r="V17" i="71"/>
  <c r="O17" i="71"/>
  <c r="N17" i="71"/>
  <c r="G17" i="71"/>
  <c r="F17" i="71"/>
  <c r="B17" i="71"/>
  <c r="B18" i="80" s="1"/>
  <c r="Z16" i="71"/>
  <c r="Y16" i="71"/>
  <c r="W16" i="71"/>
  <c r="V16" i="71"/>
  <c r="O16" i="71"/>
  <c r="N16" i="71"/>
  <c r="G16" i="71"/>
  <c r="F16" i="71"/>
  <c r="B16" i="71"/>
  <c r="B17" i="80" s="1"/>
  <c r="Z15" i="71"/>
  <c r="Y15" i="71"/>
  <c r="W15" i="71"/>
  <c r="V15" i="71"/>
  <c r="O15" i="71"/>
  <c r="N15" i="71"/>
  <c r="G15" i="71"/>
  <c r="F15" i="71"/>
  <c r="B15" i="71"/>
  <c r="B16" i="80" s="1"/>
  <c r="C6" i="71"/>
  <c r="C5" i="71"/>
  <c r="Z72" i="70"/>
  <c r="Y72" i="70"/>
  <c r="W72" i="70"/>
  <c r="V72" i="70"/>
  <c r="O72" i="70"/>
  <c r="N72" i="70"/>
  <c r="G72" i="70"/>
  <c r="F72" i="70"/>
  <c r="B72" i="70"/>
  <c r="B73" i="79" s="1"/>
  <c r="Z71" i="70"/>
  <c r="Y71" i="70"/>
  <c r="W71" i="70"/>
  <c r="V71" i="70"/>
  <c r="O71" i="70"/>
  <c r="N71" i="70"/>
  <c r="G71" i="70"/>
  <c r="F71" i="70"/>
  <c r="B71" i="70"/>
  <c r="B72" i="79" s="1"/>
  <c r="Z70" i="70"/>
  <c r="Y70" i="70"/>
  <c r="W70" i="70"/>
  <c r="V70" i="70"/>
  <c r="O70" i="70"/>
  <c r="N70" i="70"/>
  <c r="G70" i="70"/>
  <c r="F70" i="70"/>
  <c r="B70" i="70"/>
  <c r="B71" i="79" s="1"/>
  <c r="Z69" i="70"/>
  <c r="Y69" i="70"/>
  <c r="W69" i="70"/>
  <c r="V69" i="70"/>
  <c r="O69" i="70"/>
  <c r="N69" i="70"/>
  <c r="G69" i="70"/>
  <c r="F69" i="70"/>
  <c r="B69" i="70"/>
  <c r="B70" i="79" s="1"/>
  <c r="Z68" i="70"/>
  <c r="Y68" i="70"/>
  <c r="W68" i="70"/>
  <c r="X68" i="70" s="1"/>
  <c r="N69" i="79" s="1"/>
  <c r="V68" i="70"/>
  <c r="O68" i="70"/>
  <c r="N68" i="70"/>
  <c r="G68" i="70"/>
  <c r="F68" i="70"/>
  <c r="B68" i="70"/>
  <c r="B69" i="79" s="1"/>
  <c r="Z67" i="70"/>
  <c r="Y67" i="70"/>
  <c r="W67" i="70"/>
  <c r="V67" i="70"/>
  <c r="O67" i="70"/>
  <c r="N67" i="70"/>
  <c r="G67" i="70"/>
  <c r="F67" i="70"/>
  <c r="B67" i="70"/>
  <c r="B68" i="79" s="1"/>
  <c r="Z66" i="70"/>
  <c r="Y66" i="70"/>
  <c r="W66" i="70"/>
  <c r="V66" i="70"/>
  <c r="O66" i="70"/>
  <c r="N66" i="70"/>
  <c r="G66" i="70"/>
  <c r="F66" i="70"/>
  <c r="B66" i="70"/>
  <c r="B67" i="79" s="1"/>
  <c r="Z65" i="70"/>
  <c r="Y65" i="70"/>
  <c r="W65" i="70"/>
  <c r="V65" i="70"/>
  <c r="O65" i="70"/>
  <c r="N65" i="70"/>
  <c r="G65" i="70"/>
  <c r="F65" i="70"/>
  <c r="B65" i="70"/>
  <c r="B66" i="79" s="1"/>
  <c r="Z64" i="70"/>
  <c r="Y64" i="70"/>
  <c r="W64" i="70"/>
  <c r="V64" i="70"/>
  <c r="O64" i="70"/>
  <c r="N64" i="70"/>
  <c r="G64" i="70"/>
  <c r="F64" i="70"/>
  <c r="B64" i="70"/>
  <c r="B65" i="79" s="1"/>
  <c r="Z63" i="70"/>
  <c r="Y63" i="70"/>
  <c r="W63" i="70"/>
  <c r="V63" i="70"/>
  <c r="O63" i="70"/>
  <c r="N63" i="70"/>
  <c r="G63" i="70"/>
  <c r="F63" i="70"/>
  <c r="B63" i="70"/>
  <c r="B64" i="79" s="1"/>
  <c r="Z62" i="70"/>
  <c r="Y62" i="70"/>
  <c r="W62" i="70"/>
  <c r="V62" i="70"/>
  <c r="O62" i="70"/>
  <c r="N62" i="70"/>
  <c r="G62" i="70"/>
  <c r="F62" i="70"/>
  <c r="B62" i="70"/>
  <c r="B63" i="79" s="1"/>
  <c r="Z61" i="70"/>
  <c r="Y61" i="70"/>
  <c r="W61" i="70"/>
  <c r="V61" i="70"/>
  <c r="O61" i="70"/>
  <c r="N61" i="70"/>
  <c r="G61" i="70"/>
  <c r="F61" i="70"/>
  <c r="B61" i="70"/>
  <c r="B62" i="79" s="1"/>
  <c r="Z60" i="70"/>
  <c r="Y60" i="70"/>
  <c r="W60" i="70"/>
  <c r="X60" i="70" s="1"/>
  <c r="N61" i="79" s="1"/>
  <c r="V60" i="70"/>
  <c r="O60" i="70"/>
  <c r="N60" i="70"/>
  <c r="G60" i="70"/>
  <c r="F60" i="70"/>
  <c r="B60" i="70"/>
  <c r="B61" i="79" s="1"/>
  <c r="Z59" i="70"/>
  <c r="Y59" i="70"/>
  <c r="W59" i="70"/>
  <c r="V59" i="70"/>
  <c r="O59" i="70"/>
  <c r="N59" i="70"/>
  <c r="G59" i="70"/>
  <c r="F59" i="70"/>
  <c r="B59" i="70"/>
  <c r="B60" i="79" s="1"/>
  <c r="Z58" i="70"/>
  <c r="Y58" i="70"/>
  <c r="W58" i="70"/>
  <c r="V58" i="70"/>
  <c r="O58" i="70"/>
  <c r="N58" i="70"/>
  <c r="G58" i="70"/>
  <c r="F58" i="70"/>
  <c r="B58" i="70"/>
  <c r="B59" i="79" s="1"/>
  <c r="Z57" i="70"/>
  <c r="Y57" i="70"/>
  <c r="W57" i="70"/>
  <c r="V57" i="70"/>
  <c r="O57" i="70"/>
  <c r="N57" i="70"/>
  <c r="G57" i="70"/>
  <c r="F57" i="70"/>
  <c r="B57" i="70"/>
  <c r="B58" i="79" s="1"/>
  <c r="Z56" i="70"/>
  <c r="Y56" i="70"/>
  <c r="W56" i="70"/>
  <c r="V56" i="70"/>
  <c r="O56" i="70"/>
  <c r="N56" i="70"/>
  <c r="G56" i="70"/>
  <c r="F56" i="70"/>
  <c r="B56" i="70"/>
  <c r="B57" i="79" s="1"/>
  <c r="Z55" i="70"/>
  <c r="Y55" i="70"/>
  <c r="W55" i="70"/>
  <c r="V55" i="70"/>
  <c r="O55" i="70"/>
  <c r="N55" i="70"/>
  <c r="G55" i="70"/>
  <c r="F55" i="70"/>
  <c r="B55" i="70"/>
  <c r="B56" i="79" s="1"/>
  <c r="Z54" i="70"/>
  <c r="Y54" i="70"/>
  <c r="W54" i="70"/>
  <c r="V54" i="70"/>
  <c r="O54" i="70"/>
  <c r="N54" i="70"/>
  <c r="G54" i="70"/>
  <c r="F54" i="70"/>
  <c r="B54" i="70"/>
  <c r="B55" i="79" s="1"/>
  <c r="Z53" i="70"/>
  <c r="Y53" i="70"/>
  <c r="W53" i="70"/>
  <c r="V53" i="70"/>
  <c r="O53" i="70"/>
  <c r="N53" i="70"/>
  <c r="G53" i="70"/>
  <c r="F53" i="70"/>
  <c r="B53" i="70"/>
  <c r="B54" i="79" s="1"/>
  <c r="Z52" i="70"/>
  <c r="Y52" i="70"/>
  <c r="W52" i="70"/>
  <c r="V52" i="70"/>
  <c r="O52" i="70"/>
  <c r="N52" i="70"/>
  <c r="G52" i="70"/>
  <c r="F52" i="70"/>
  <c r="B52" i="70"/>
  <c r="B53" i="79" s="1"/>
  <c r="Z51" i="70"/>
  <c r="Y51" i="70"/>
  <c r="W51" i="70"/>
  <c r="V51" i="70"/>
  <c r="O51" i="70"/>
  <c r="N51" i="70"/>
  <c r="G51" i="70"/>
  <c r="F51" i="70"/>
  <c r="B51" i="70"/>
  <c r="B52" i="79" s="1"/>
  <c r="Z50" i="70"/>
  <c r="Y50" i="70"/>
  <c r="W50" i="70"/>
  <c r="V50" i="70"/>
  <c r="O50" i="70"/>
  <c r="N50" i="70"/>
  <c r="G50" i="70"/>
  <c r="F50" i="70"/>
  <c r="B50" i="70"/>
  <c r="B51" i="79" s="1"/>
  <c r="Z49" i="70"/>
  <c r="Y49" i="70"/>
  <c r="W49" i="70"/>
  <c r="V49" i="70"/>
  <c r="O49" i="70"/>
  <c r="N49" i="70"/>
  <c r="G49" i="70"/>
  <c r="F49" i="70"/>
  <c r="B49" i="70"/>
  <c r="B50" i="79" s="1"/>
  <c r="Z48" i="70"/>
  <c r="Y48" i="70"/>
  <c r="W48" i="70"/>
  <c r="V48" i="70"/>
  <c r="O48" i="70"/>
  <c r="N48" i="70"/>
  <c r="G48" i="70"/>
  <c r="F48" i="70"/>
  <c r="B48" i="70"/>
  <c r="B49" i="79" s="1"/>
  <c r="Z47" i="70"/>
  <c r="Y47" i="70"/>
  <c r="W47" i="70"/>
  <c r="V47" i="70"/>
  <c r="O47" i="70"/>
  <c r="N47" i="70"/>
  <c r="G47" i="70"/>
  <c r="F47" i="70"/>
  <c r="B47" i="70"/>
  <c r="B48" i="79" s="1"/>
  <c r="Z46" i="70"/>
  <c r="Y46" i="70"/>
  <c r="W46" i="70"/>
  <c r="V46" i="70"/>
  <c r="O46" i="70"/>
  <c r="N46" i="70"/>
  <c r="G46" i="70"/>
  <c r="F46" i="70"/>
  <c r="B46" i="70"/>
  <c r="B47" i="79" s="1"/>
  <c r="Z45" i="70"/>
  <c r="Y45" i="70"/>
  <c r="W45" i="70"/>
  <c r="V45" i="70"/>
  <c r="O45" i="70"/>
  <c r="N45" i="70"/>
  <c r="G45" i="70"/>
  <c r="F45" i="70"/>
  <c r="B45" i="70"/>
  <c r="B46" i="79" s="1"/>
  <c r="Z44" i="70"/>
  <c r="Y44" i="70"/>
  <c r="W44" i="70"/>
  <c r="V44" i="70"/>
  <c r="O44" i="70"/>
  <c r="N44" i="70"/>
  <c r="G44" i="70"/>
  <c r="F44" i="70"/>
  <c r="B44" i="70"/>
  <c r="B45" i="79" s="1"/>
  <c r="Z43" i="70"/>
  <c r="Y43" i="70"/>
  <c r="W43" i="70"/>
  <c r="V43" i="70"/>
  <c r="O43" i="70"/>
  <c r="N43" i="70"/>
  <c r="G43" i="70"/>
  <c r="F43" i="70"/>
  <c r="B43" i="70"/>
  <c r="B44" i="79" s="1"/>
  <c r="Z42" i="70"/>
  <c r="Y42" i="70"/>
  <c r="W42" i="70"/>
  <c r="V42" i="70"/>
  <c r="O42" i="70"/>
  <c r="N42" i="70"/>
  <c r="G42" i="70"/>
  <c r="F42" i="70"/>
  <c r="B42" i="70"/>
  <c r="B43" i="79" s="1"/>
  <c r="Z41" i="70"/>
  <c r="Y41" i="70"/>
  <c r="W41" i="70"/>
  <c r="V41" i="70"/>
  <c r="O41" i="70"/>
  <c r="N41" i="70"/>
  <c r="G41" i="70"/>
  <c r="F41" i="70"/>
  <c r="B41" i="70"/>
  <c r="B42" i="79" s="1"/>
  <c r="Z40" i="70"/>
  <c r="Y40" i="70"/>
  <c r="W40" i="70"/>
  <c r="V40" i="70"/>
  <c r="O40" i="70"/>
  <c r="N40" i="70"/>
  <c r="G40" i="70"/>
  <c r="F40" i="70"/>
  <c r="B40" i="70"/>
  <c r="B41" i="79" s="1"/>
  <c r="Z39" i="70"/>
  <c r="Y39" i="70"/>
  <c r="W39" i="70"/>
  <c r="V39" i="70"/>
  <c r="O39" i="70"/>
  <c r="N39" i="70"/>
  <c r="G39" i="70"/>
  <c r="F39" i="70"/>
  <c r="B39" i="70"/>
  <c r="B40" i="79" s="1"/>
  <c r="Z38" i="70"/>
  <c r="Y38" i="70"/>
  <c r="W38" i="70"/>
  <c r="V38" i="70"/>
  <c r="O38" i="70"/>
  <c r="N38" i="70"/>
  <c r="G38" i="70"/>
  <c r="F38" i="70"/>
  <c r="B38" i="70"/>
  <c r="B39" i="79" s="1"/>
  <c r="Z37" i="70"/>
  <c r="Y37" i="70"/>
  <c r="W37" i="70"/>
  <c r="V37" i="70"/>
  <c r="O37" i="70"/>
  <c r="N37" i="70"/>
  <c r="G37" i="70"/>
  <c r="F37" i="70"/>
  <c r="B37" i="70"/>
  <c r="B38" i="79" s="1"/>
  <c r="Z36" i="70"/>
  <c r="Y36" i="70"/>
  <c r="W36" i="70"/>
  <c r="X36" i="70" s="1"/>
  <c r="N37" i="79" s="1"/>
  <c r="V36" i="70"/>
  <c r="O36" i="70"/>
  <c r="N36" i="70"/>
  <c r="G36" i="70"/>
  <c r="F36" i="70"/>
  <c r="B36" i="70"/>
  <c r="B37" i="79" s="1"/>
  <c r="Z35" i="70"/>
  <c r="Y35" i="70"/>
  <c r="W35" i="70"/>
  <c r="V35" i="70"/>
  <c r="O35" i="70"/>
  <c r="N35" i="70"/>
  <c r="G35" i="70"/>
  <c r="F35" i="70"/>
  <c r="B35" i="70"/>
  <c r="B36" i="79" s="1"/>
  <c r="Z34" i="70"/>
  <c r="Y34" i="70"/>
  <c r="W34" i="70"/>
  <c r="V34" i="70"/>
  <c r="O34" i="70"/>
  <c r="N34" i="70"/>
  <c r="G34" i="70"/>
  <c r="F34" i="70"/>
  <c r="B34" i="70"/>
  <c r="B35" i="79" s="1"/>
  <c r="Z33" i="70"/>
  <c r="Y33" i="70"/>
  <c r="W33" i="70"/>
  <c r="V33" i="70"/>
  <c r="O33" i="70"/>
  <c r="N33" i="70"/>
  <c r="G33" i="70"/>
  <c r="F33" i="70"/>
  <c r="B33" i="70"/>
  <c r="B34" i="79" s="1"/>
  <c r="Z32" i="70"/>
  <c r="Y32" i="70"/>
  <c r="W32" i="70"/>
  <c r="V32" i="70"/>
  <c r="O32" i="70"/>
  <c r="N32" i="70"/>
  <c r="G32" i="70"/>
  <c r="F32" i="70"/>
  <c r="B32" i="70"/>
  <c r="B33" i="79" s="1"/>
  <c r="Z31" i="70"/>
  <c r="Y31" i="70"/>
  <c r="W31" i="70"/>
  <c r="V31" i="70"/>
  <c r="O31" i="70"/>
  <c r="N31" i="70"/>
  <c r="G31" i="70"/>
  <c r="F31" i="70"/>
  <c r="B31" i="70"/>
  <c r="B32" i="79" s="1"/>
  <c r="Z30" i="70"/>
  <c r="Y30" i="70"/>
  <c r="W30" i="70"/>
  <c r="V30" i="70"/>
  <c r="O30" i="70"/>
  <c r="N30" i="70"/>
  <c r="G30" i="70"/>
  <c r="F30" i="70"/>
  <c r="B30" i="70"/>
  <c r="B31" i="79" s="1"/>
  <c r="Z29" i="70"/>
  <c r="Y29" i="70"/>
  <c r="W29" i="70"/>
  <c r="V29" i="70"/>
  <c r="O29" i="70"/>
  <c r="N29" i="70"/>
  <c r="G29" i="70"/>
  <c r="F29" i="70"/>
  <c r="B29" i="70"/>
  <c r="B30" i="79" s="1"/>
  <c r="Z28" i="70"/>
  <c r="Y28" i="70"/>
  <c r="W28" i="70"/>
  <c r="V28" i="70"/>
  <c r="O28" i="70"/>
  <c r="N28" i="70"/>
  <c r="G28" i="70"/>
  <c r="F28" i="70"/>
  <c r="B28" i="70"/>
  <c r="B29" i="79" s="1"/>
  <c r="Z27" i="70"/>
  <c r="Y27" i="70"/>
  <c r="W27" i="70"/>
  <c r="V27" i="70"/>
  <c r="O27" i="70"/>
  <c r="N27" i="70"/>
  <c r="G27" i="70"/>
  <c r="F27" i="70"/>
  <c r="B27" i="70"/>
  <c r="B28" i="79" s="1"/>
  <c r="Z26" i="70"/>
  <c r="Y26" i="70"/>
  <c r="W26" i="70"/>
  <c r="V26" i="70"/>
  <c r="O26" i="70"/>
  <c r="N26" i="70"/>
  <c r="G26" i="70"/>
  <c r="F26" i="70"/>
  <c r="B26" i="70"/>
  <c r="B27" i="79" s="1"/>
  <c r="Z25" i="70"/>
  <c r="Y25" i="70"/>
  <c r="W25" i="70"/>
  <c r="V25" i="70"/>
  <c r="O25" i="70"/>
  <c r="N25" i="70"/>
  <c r="G25" i="70"/>
  <c r="F25" i="70"/>
  <c r="B25" i="70"/>
  <c r="B26" i="79" s="1"/>
  <c r="Z24" i="70"/>
  <c r="Y24" i="70"/>
  <c r="W24" i="70"/>
  <c r="V24" i="70"/>
  <c r="O24" i="70"/>
  <c r="N24" i="70"/>
  <c r="G24" i="70"/>
  <c r="F24" i="70"/>
  <c r="B24" i="70"/>
  <c r="B25" i="79" s="1"/>
  <c r="Z23" i="70"/>
  <c r="Y23" i="70"/>
  <c r="W23" i="70"/>
  <c r="V23" i="70"/>
  <c r="O23" i="70"/>
  <c r="N23" i="70"/>
  <c r="G23" i="70"/>
  <c r="F23" i="70"/>
  <c r="B23" i="70"/>
  <c r="B24" i="79" s="1"/>
  <c r="Z22" i="70"/>
  <c r="Y22" i="70"/>
  <c r="W22" i="70"/>
  <c r="V22" i="70"/>
  <c r="O22" i="70"/>
  <c r="N22" i="70"/>
  <c r="G22" i="70"/>
  <c r="F22" i="70"/>
  <c r="B22" i="70"/>
  <c r="B23" i="79" s="1"/>
  <c r="Z21" i="70"/>
  <c r="Y21" i="70"/>
  <c r="W21" i="70"/>
  <c r="V21" i="70"/>
  <c r="O21" i="70"/>
  <c r="N21" i="70"/>
  <c r="G21" i="70"/>
  <c r="F21" i="70"/>
  <c r="B21" i="70"/>
  <c r="B22" i="79" s="1"/>
  <c r="Z20" i="70"/>
  <c r="Y20" i="70"/>
  <c r="W20" i="70"/>
  <c r="V20" i="70"/>
  <c r="O20" i="70"/>
  <c r="N20" i="70"/>
  <c r="G20" i="70"/>
  <c r="F20" i="70"/>
  <c r="B20" i="70"/>
  <c r="B21" i="79" s="1"/>
  <c r="Z19" i="70"/>
  <c r="Y19" i="70"/>
  <c r="W19" i="70"/>
  <c r="V19" i="70"/>
  <c r="O19" i="70"/>
  <c r="N19" i="70"/>
  <c r="G19" i="70"/>
  <c r="F19" i="70"/>
  <c r="B19" i="70"/>
  <c r="B20" i="79" s="1"/>
  <c r="Z18" i="70"/>
  <c r="Y18" i="70"/>
  <c r="W18" i="70"/>
  <c r="V18" i="70"/>
  <c r="O18" i="70"/>
  <c r="N18" i="70"/>
  <c r="G18" i="70"/>
  <c r="F18" i="70"/>
  <c r="B18" i="70"/>
  <c r="B19" i="79" s="1"/>
  <c r="Z17" i="70"/>
  <c r="Y17" i="70"/>
  <c r="W17" i="70"/>
  <c r="V17" i="70"/>
  <c r="O17" i="70"/>
  <c r="N17" i="70"/>
  <c r="G17" i="70"/>
  <c r="F17" i="70"/>
  <c r="B17" i="70"/>
  <c r="B18" i="79" s="1"/>
  <c r="Z16" i="70"/>
  <c r="Y16" i="70"/>
  <c r="W16" i="70"/>
  <c r="V16" i="70"/>
  <c r="O16" i="70"/>
  <c r="N16" i="70"/>
  <c r="G16" i="70"/>
  <c r="F16" i="70"/>
  <c r="B16" i="70"/>
  <c r="B17" i="79" s="1"/>
  <c r="Z15" i="70"/>
  <c r="Y15" i="70"/>
  <c r="W15" i="70"/>
  <c r="V15" i="70"/>
  <c r="O15" i="70"/>
  <c r="N15" i="70"/>
  <c r="G15" i="70"/>
  <c r="F15" i="70"/>
  <c r="B15" i="70"/>
  <c r="B16" i="79" s="1"/>
  <c r="C6" i="70"/>
  <c r="C5" i="70"/>
  <c r="Z72" i="69"/>
  <c r="Y72" i="69"/>
  <c r="W72" i="69"/>
  <c r="X72" i="69" s="1"/>
  <c r="N73" i="78" s="1"/>
  <c r="V72" i="69"/>
  <c r="O72" i="69"/>
  <c r="N72" i="69"/>
  <c r="G72" i="69"/>
  <c r="F72" i="69"/>
  <c r="B72" i="69"/>
  <c r="B73" i="78" s="1"/>
  <c r="Z71" i="69"/>
  <c r="Y71" i="69"/>
  <c r="W71" i="69"/>
  <c r="V71" i="69"/>
  <c r="O71" i="69"/>
  <c r="N71" i="69"/>
  <c r="G71" i="69"/>
  <c r="F71" i="69"/>
  <c r="B71" i="69"/>
  <c r="B72" i="78" s="1"/>
  <c r="Z70" i="69"/>
  <c r="Y70" i="69"/>
  <c r="W70" i="69"/>
  <c r="V70" i="69"/>
  <c r="O70" i="69"/>
  <c r="N70" i="69"/>
  <c r="G70" i="69"/>
  <c r="F70" i="69"/>
  <c r="B70" i="69"/>
  <c r="B71" i="78" s="1"/>
  <c r="Z69" i="69"/>
  <c r="Y69" i="69"/>
  <c r="W69" i="69"/>
  <c r="V69" i="69"/>
  <c r="O69" i="69"/>
  <c r="N69" i="69"/>
  <c r="G69" i="69"/>
  <c r="F69" i="69"/>
  <c r="B69" i="69"/>
  <c r="B70" i="78" s="1"/>
  <c r="Z68" i="69"/>
  <c r="Y68" i="69"/>
  <c r="W68" i="69"/>
  <c r="V68" i="69"/>
  <c r="O68" i="69"/>
  <c r="N68" i="69"/>
  <c r="G68" i="69"/>
  <c r="F68" i="69"/>
  <c r="B68" i="69"/>
  <c r="B69" i="78" s="1"/>
  <c r="Z67" i="69"/>
  <c r="Y67" i="69"/>
  <c r="W67" i="69"/>
  <c r="X67" i="69" s="1"/>
  <c r="N68" i="78" s="1"/>
  <c r="V67" i="69"/>
  <c r="O67" i="69"/>
  <c r="N67" i="69"/>
  <c r="G67" i="69"/>
  <c r="F67" i="69"/>
  <c r="B67" i="69"/>
  <c r="B68" i="78" s="1"/>
  <c r="Z66" i="69"/>
  <c r="Y66" i="69"/>
  <c r="W66" i="69"/>
  <c r="V66" i="69"/>
  <c r="O66" i="69"/>
  <c r="N66" i="69"/>
  <c r="G66" i="69"/>
  <c r="F66" i="69"/>
  <c r="B66" i="69"/>
  <c r="B67" i="78" s="1"/>
  <c r="Z65" i="69"/>
  <c r="Y65" i="69"/>
  <c r="W65" i="69"/>
  <c r="V65" i="69"/>
  <c r="O65" i="69"/>
  <c r="N65" i="69"/>
  <c r="G65" i="69"/>
  <c r="F65" i="69"/>
  <c r="B65" i="69"/>
  <c r="B66" i="78" s="1"/>
  <c r="Z64" i="69"/>
  <c r="Y64" i="69"/>
  <c r="W64" i="69"/>
  <c r="X64" i="69" s="1"/>
  <c r="N65" i="78" s="1"/>
  <c r="V64" i="69"/>
  <c r="O64" i="69"/>
  <c r="N64" i="69"/>
  <c r="G64" i="69"/>
  <c r="F64" i="69"/>
  <c r="B64" i="69"/>
  <c r="B65" i="78" s="1"/>
  <c r="Z63" i="69"/>
  <c r="Y63" i="69"/>
  <c r="W63" i="69"/>
  <c r="V63" i="69"/>
  <c r="O63" i="69"/>
  <c r="N63" i="69"/>
  <c r="G63" i="69"/>
  <c r="F63" i="69"/>
  <c r="B63" i="69"/>
  <c r="B64" i="78" s="1"/>
  <c r="Z62" i="69"/>
  <c r="Y62" i="69"/>
  <c r="W62" i="69"/>
  <c r="V62" i="69"/>
  <c r="O62" i="69"/>
  <c r="N62" i="69"/>
  <c r="G62" i="69"/>
  <c r="F62" i="69"/>
  <c r="B62" i="69"/>
  <c r="B63" i="78" s="1"/>
  <c r="Z61" i="69"/>
  <c r="Y61" i="69"/>
  <c r="W61" i="69"/>
  <c r="V61" i="69"/>
  <c r="O61" i="69"/>
  <c r="N61" i="69"/>
  <c r="G61" i="69"/>
  <c r="F61" i="69"/>
  <c r="B61" i="69"/>
  <c r="B62" i="78" s="1"/>
  <c r="Z60" i="69"/>
  <c r="Y60" i="69"/>
  <c r="W60" i="69"/>
  <c r="V60" i="69"/>
  <c r="O60" i="69"/>
  <c r="N60" i="69"/>
  <c r="G60" i="69"/>
  <c r="F60" i="69"/>
  <c r="B60" i="69"/>
  <c r="B61" i="78" s="1"/>
  <c r="Z59" i="69"/>
  <c r="Y59" i="69"/>
  <c r="W59" i="69"/>
  <c r="X59" i="69" s="1"/>
  <c r="N60" i="78" s="1"/>
  <c r="V59" i="69"/>
  <c r="O59" i="69"/>
  <c r="N59" i="69"/>
  <c r="G59" i="69"/>
  <c r="F59" i="69"/>
  <c r="B59" i="69"/>
  <c r="B60" i="78" s="1"/>
  <c r="Z58" i="69"/>
  <c r="Y58" i="69"/>
  <c r="W58" i="69"/>
  <c r="V58" i="69"/>
  <c r="O58" i="69"/>
  <c r="N58" i="69"/>
  <c r="G58" i="69"/>
  <c r="F58" i="69"/>
  <c r="B58" i="69"/>
  <c r="B59" i="78" s="1"/>
  <c r="Z57" i="69"/>
  <c r="Y57" i="69"/>
  <c r="W57" i="69"/>
  <c r="V57" i="69"/>
  <c r="O57" i="69"/>
  <c r="N57" i="69"/>
  <c r="G57" i="69"/>
  <c r="F57" i="69"/>
  <c r="B57" i="69"/>
  <c r="B58" i="78" s="1"/>
  <c r="Z56" i="69"/>
  <c r="Y56" i="69"/>
  <c r="W56" i="69"/>
  <c r="X56" i="69" s="1"/>
  <c r="N57" i="78" s="1"/>
  <c r="V56" i="69"/>
  <c r="O56" i="69"/>
  <c r="N56" i="69"/>
  <c r="G56" i="69"/>
  <c r="F56" i="69"/>
  <c r="B56" i="69"/>
  <c r="B57" i="78" s="1"/>
  <c r="Z55" i="69"/>
  <c r="Y55" i="69"/>
  <c r="W55" i="69"/>
  <c r="V55" i="69"/>
  <c r="O55" i="69"/>
  <c r="N55" i="69"/>
  <c r="G55" i="69"/>
  <c r="F55" i="69"/>
  <c r="B55" i="69"/>
  <c r="B56" i="78" s="1"/>
  <c r="Z54" i="69"/>
  <c r="Y54" i="69"/>
  <c r="W54" i="69"/>
  <c r="V54" i="69"/>
  <c r="O54" i="69"/>
  <c r="N54" i="69"/>
  <c r="G54" i="69"/>
  <c r="F54" i="69"/>
  <c r="B54" i="69"/>
  <c r="B55" i="78" s="1"/>
  <c r="Z53" i="69"/>
  <c r="Y53" i="69"/>
  <c r="W53" i="69"/>
  <c r="V53" i="69"/>
  <c r="O53" i="69"/>
  <c r="N53" i="69"/>
  <c r="G53" i="69"/>
  <c r="F53" i="69"/>
  <c r="B53" i="69"/>
  <c r="B54" i="78" s="1"/>
  <c r="Z52" i="69"/>
  <c r="Y52" i="69"/>
  <c r="W52" i="69"/>
  <c r="V52" i="69"/>
  <c r="O52" i="69"/>
  <c r="N52" i="69"/>
  <c r="G52" i="69"/>
  <c r="F52" i="69"/>
  <c r="B52" i="69"/>
  <c r="B53" i="78" s="1"/>
  <c r="Z51" i="69"/>
  <c r="Y51" i="69"/>
  <c r="W51" i="69"/>
  <c r="X51" i="69" s="1"/>
  <c r="N52" i="78" s="1"/>
  <c r="V51" i="69"/>
  <c r="O51" i="69"/>
  <c r="N51" i="69"/>
  <c r="G51" i="69"/>
  <c r="F51" i="69"/>
  <c r="B51" i="69"/>
  <c r="B52" i="78" s="1"/>
  <c r="Z50" i="69"/>
  <c r="Y50" i="69"/>
  <c r="W50" i="69"/>
  <c r="V50" i="69"/>
  <c r="O50" i="69"/>
  <c r="N50" i="69"/>
  <c r="G50" i="69"/>
  <c r="F50" i="69"/>
  <c r="B50" i="69"/>
  <c r="B51" i="78" s="1"/>
  <c r="Z49" i="69"/>
  <c r="Y49" i="69"/>
  <c r="W49" i="69"/>
  <c r="V49" i="69"/>
  <c r="O49" i="69"/>
  <c r="N49" i="69"/>
  <c r="G49" i="69"/>
  <c r="F49" i="69"/>
  <c r="B49" i="69"/>
  <c r="B50" i="78" s="1"/>
  <c r="Z48" i="69"/>
  <c r="Y48" i="69"/>
  <c r="W48" i="69"/>
  <c r="X48" i="69" s="1"/>
  <c r="N49" i="78" s="1"/>
  <c r="V48" i="69"/>
  <c r="O48" i="69"/>
  <c r="N48" i="69"/>
  <c r="G48" i="69"/>
  <c r="F48" i="69"/>
  <c r="B48" i="69"/>
  <c r="B49" i="78" s="1"/>
  <c r="Z47" i="69"/>
  <c r="Y47" i="69"/>
  <c r="W47" i="69"/>
  <c r="V47" i="69"/>
  <c r="O47" i="69"/>
  <c r="N47" i="69"/>
  <c r="G47" i="69"/>
  <c r="F47" i="69"/>
  <c r="B47" i="69"/>
  <c r="B48" i="78" s="1"/>
  <c r="Z46" i="69"/>
  <c r="Y46" i="69"/>
  <c r="W46" i="69"/>
  <c r="V46" i="69"/>
  <c r="O46" i="69"/>
  <c r="N46" i="69"/>
  <c r="G46" i="69"/>
  <c r="F46" i="69"/>
  <c r="B46" i="69"/>
  <c r="B47" i="78" s="1"/>
  <c r="Z45" i="69"/>
  <c r="Y45" i="69"/>
  <c r="W45" i="69"/>
  <c r="V45" i="69"/>
  <c r="O45" i="69"/>
  <c r="N45" i="69"/>
  <c r="G45" i="69"/>
  <c r="F45" i="69"/>
  <c r="B45" i="69"/>
  <c r="B46" i="78" s="1"/>
  <c r="Z44" i="69"/>
  <c r="Y44" i="69"/>
  <c r="W44" i="69"/>
  <c r="V44" i="69"/>
  <c r="O44" i="69"/>
  <c r="N44" i="69"/>
  <c r="G44" i="69"/>
  <c r="F44" i="69"/>
  <c r="B44" i="69"/>
  <c r="B45" i="78" s="1"/>
  <c r="Z43" i="69"/>
  <c r="Y43" i="69"/>
  <c r="W43" i="69"/>
  <c r="X43" i="69" s="1"/>
  <c r="N44" i="78" s="1"/>
  <c r="V43" i="69"/>
  <c r="O43" i="69"/>
  <c r="N43" i="69"/>
  <c r="G43" i="69"/>
  <c r="F43" i="69"/>
  <c r="B43" i="69"/>
  <c r="B44" i="78" s="1"/>
  <c r="Z42" i="69"/>
  <c r="Y42" i="69"/>
  <c r="W42" i="69"/>
  <c r="V42" i="69"/>
  <c r="O42" i="69"/>
  <c r="N42" i="69"/>
  <c r="G42" i="69"/>
  <c r="F42" i="69"/>
  <c r="B42" i="69"/>
  <c r="B43" i="78" s="1"/>
  <c r="Z41" i="69"/>
  <c r="Y41" i="69"/>
  <c r="W41" i="69"/>
  <c r="V41" i="69"/>
  <c r="O41" i="69"/>
  <c r="N41" i="69"/>
  <c r="G41" i="69"/>
  <c r="F41" i="69"/>
  <c r="B41" i="69"/>
  <c r="B42" i="78" s="1"/>
  <c r="Z40" i="69"/>
  <c r="Y40" i="69"/>
  <c r="W40" i="69"/>
  <c r="X40" i="69" s="1"/>
  <c r="N41" i="78" s="1"/>
  <c r="V40" i="69"/>
  <c r="O40" i="69"/>
  <c r="N40" i="69"/>
  <c r="G40" i="69"/>
  <c r="F40" i="69"/>
  <c r="B40" i="69"/>
  <c r="B41" i="78" s="1"/>
  <c r="Z39" i="69"/>
  <c r="Y39" i="69"/>
  <c r="W39" i="69"/>
  <c r="V39" i="69"/>
  <c r="O39" i="69"/>
  <c r="N39" i="69"/>
  <c r="G39" i="69"/>
  <c r="F39" i="69"/>
  <c r="B39" i="69"/>
  <c r="B40" i="78" s="1"/>
  <c r="Z38" i="69"/>
  <c r="Y38" i="69"/>
  <c r="W38" i="69"/>
  <c r="V38" i="69"/>
  <c r="O38" i="69"/>
  <c r="N38" i="69"/>
  <c r="G38" i="69"/>
  <c r="F38" i="69"/>
  <c r="B38" i="69"/>
  <c r="B39" i="78" s="1"/>
  <c r="Z37" i="69"/>
  <c r="Y37" i="69"/>
  <c r="W37" i="69"/>
  <c r="V37" i="69"/>
  <c r="O37" i="69"/>
  <c r="N37" i="69"/>
  <c r="G37" i="69"/>
  <c r="F37" i="69"/>
  <c r="B37" i="69"/>
  <c r="B38" i="78" s="1"/>
  <c r="Z36" i="69"/>
  <c r="Y36" i="69"/>
  <c r="W36" i="69"/>
  <c r="V36" i="69"/>
  <c r="O36" i="69"/>
  <c r="N36" i="69"/>
  <c r="G36" i="69"/>
  <c r="F36" i="69"/>
  <c r="B36" i="69"/>
  <c r="B37" i="78" s="1"/>
  <c r="Z35" i="69"/>
  <c r="Y35" i="69"/>
  <c r="W35" i="69"/>
  <c r="X35" i="69" s="1"/>
  <c r="N36" i="78" s="1"/>
  <c r="V35" i="69"/>
  <c r="O35" i="69"/>
  <c r="N35" i="69"/>
  <c r="G35" i="69"/>
  <c r="F35" i="69"/>
  <c r="B35" i="69"/>
  <c r="B36" i="78" s="1"/>
  <c r="Z34" i="69"/>
  <c r="Y34" i="69"/>
  <c r="W34" i="69"/>
  <c r="V34" i="69"/>
  <c r="O34" i="69"/>
  <c r="N34" i="69"/>
  <c r="G34" i="69"/>
  <c r="F34" i="69"/>
  <c r="B34" i="69"/>
  <c r="B35" i="78" s="1"/>
  <c r="Z33" i="69"/>
  <c r="Y33" i="69"/>
  <c r="W33" i="69"/>
  <c r="V33" i="69"/>
  <c r="O33" i="69"/>
  <c r="N33" i="69"/>
  <c r="G33" i="69"/>
  <c r="F33" i="69"/>
  <c r="B33" i="69"/>
  <c r="B34" i="78" s="1"/>
  <c r="Z32" i="69"/>
  <c r="Y32" i="69"/>
  <c r="W32" i="69"/>
  <c r="X32" i="69" s="1"/>
  <c r="N33" i="78" s="1"/>
  <c r="V32" i="69"/>
  <c r="O32" i="69"/>
  <c r="N32" i="69"/>
  <c r="G32" i="69"/>
  <c r="F32" i="69"/>
  <c r="B32" i="69"/>
  <c r="B33" i="78" s="1"/>
  <c r="Z31" i="69"/>
  <c r="Y31" i="69"/>
  <c r="W31" i="69"/>
  <c r="V31" i="69"/>
  <c r="O31" i="69"/>
  <c r="N31" i="69"/>
  <c r="G31" i="69"/>
  <c r="F31" i="69"/>
  <c r="B31" i="69"/>
  <c r="B32" i="78" s="1"/>
  <c r="Z30" i="69"/>
  <c r="Y30" i="69"/>
  <c r="W30" i="69"/>
  <c r="V30" i="69"/>
  <c r="O30" i="69"/>
  <c r="N30" i="69"/>
  <c r="G30" i="69"/>
  <c r="F30" i="69"/>
  <c r="B30" i="69"/>
  <c r="B31" i="78" s="1"/>
  <c r="Z29" i="69"/>
  <c r="Y29" i="69"/>
  <c r="W29" i="69"/>
  <c r="V29" i="69"/>
  <c r="O29" i="69"/>
  <c r="N29" i="69"/>
  <c r="G29" i="69"/>
  <c r="F29" i="69"/>
  <c r="B29" i="69"/>
  <c r="B30" i="78" s="1"/>
  <c r="Z28" i="69"/>
  <c r="Y28" i="69"/>
  <c r="W28" i="69"/>
  <c r="V28" i="69"/>
  <c r="O28" i="69"/>
  <c r="N28" i="69"/>
  <c r="G28" i="69"/>
  <c r="F28" i="69"/>
  <c r="B28" i="69"/>
  <c r="B29" i="78" s="1"/>
  <c r="Z27" i="69"/>
  <c r="Y27" i="69"/>
  <c r="W27" i="69"/>
  <c r="X27" i="69" s="1"/>
  <c r="N28" i="78" s="1"/>
  <c r="V27" i="69"/>
  <c r="O27" i="69"/>
  <c r="N27" i="69"/>
  <c r="G27" i="69"/>
  <c r="F27" i="69"/>
  <c r="B27" i="69"/>
  <c r="B28" i="78" s="1"/>
  <c r="Z26" i="69"/>
  <c r="Y26" i="69"/>
  <c r="W26" i="69"/>
  <c r="V26" i="69"/>
  <c r="O26" i="69"/>
  <c r="N26" i="69"/>
  <c r="G26" i="69"/>
  <c r="F26" i="69"/>
  <c r="B26" i="69"/>
  <c r="B27" i="78" s="1"/>
  <c r="Z25" i="69"/>
  <c r="Y25" i="69"/>
  <c r="W25" i="69"/>
  <c r="V25" i="69"/>
  <c r="O25" i="69"/>
  <c r="N25" i="69"/>
  <c r="G25" i="69"/>
  <c r="F25" i="69"/>
  <c r="B25" i="69"/>
  <c r="B26" i="78" s="1"/>
  <c r="Z24" i="69"/>
  <c r="Y24" i="69"/>
  <c r="W24" i="69"/>
  <c r="V24" i="69"/>
  <c r="O24" i="69"/>
  <c r="N24" i="69"/>
  <c r="G24" i="69"/>
  <c r="F24" i="69"/>
  <c r="B24" i="69"/>
  <c r="B25" i="78" s="1"/>
  <c r="Z23" i="69"/>
  <c r="Y23" i="69"/>
  <c r="W23" i="69"/>
  <c r="V23" i="69"/>
  <c r="O23" i="69"/>
  <c r="N23" i="69"/>
  <c r="G23" i="69"/>
  <c r="F23" i="69"/>
  <c r="B23" i="69"/>
  <c r="B24" i="78" s="1"/>
  <c r="Z22" i="69"/>
  <c r="Y22" i="69"/>
  <c r="W22" i="69"/>
  <c r="V22" i="69"/>
  <c r="O22" i="69"/>
  <c r="N22" i="69"/>
  <c r="G22" i="69"/>
  <c r="F22" i="69"/>
  <c r="B22" i="69"/>
  <c r="B23" i="78" s="1"/>
  <c r="Z21" i="69"/>
  <c r="Y21" i="69"/>
  <c r="W21" i="69"/>
  <c r="V21" i="69"/>
  <c r="O21" i="69"/>
  <c r="N21" i="69"/>
  <c r="G21" i="69"/>
  <c r="F21" i="69"/>
  <c r="B21" i="69"/>
  <c r="B22" i="78" s="1"/>
  <c r="Z20" i="69"/>
  <c r="Y20" i="69"/>
  <c r="W20" i="69"/>
  <c r="V20" i="69"/>
  <c r="O20" i="69"/>
  <c r="N20" i="69"/>
  <c r="G20" i="69"/>
  <c r="F20" i="69"/>
  <c r="B20" i="69"/>
  <c r="B21" i="78" s="1"/>
  <c r="Z19" i="69"/>
  <c r="Y19" i="69"/>
  <c r="W19" i="69"/>
  <c r="X19" i="69" s="1"/>
  <c r="N20" i="78" s="1"/>
  <c r="V19" i="69"/>
  <c r="O19" i="69"/>
  <c r="N19" i="69"/>
  <c r="G19" i="69"/>
  <c r="F19" i="69"/>
  <c r="B19" i="69"/>
  <c r="B20" i="78" s="1"/>
  <c r="Z18" i="69"/>
  <c r="Y18" i="69"/>
  <c r="W18" i="69"/>
  <c r="V18" i="69"/>
  <c r="O18" i="69"/>
  <c r="N18" i="69"/>
  <c r="G18" i="69"/>
  <c r="F18" i="69"/>
  <c r="B18" i="69"/>
  <c r="B19" i="78" s="1"/>
  <c r="Z17" i="69"/>
  <c r="Y17" i="69"/>
  <c r="W17" i="69"/>
  <c r="V17" i="69"/>
  <c r="O17" i="69"/>
  <c r="N17" i="69"/>
  <c r="G17" i="69"/>
  <c r="F17" i="69"/>
  <c r="B17" i="69"/>
  <c r="B18" i="78" s="1"/>
  <c r="Z16" i="69"/>
  <c r="Y16" i="69"/>
  <c r="W16" i="69"/>
  <c r="X16" i="69" s="1"/>
  <c r="N17" i="78" s="1"/>
  <c r="V16" i="69"/>
  <c r="O16" i="69"/>
  <c r="N16" i="69"/>
  <c r="G16" i="69"/>
  <c r="F16" i="69"/>
  <c r="B16" i="69"/>
  <c r="B17" i="78" s="1"/>
  <c r="Z15" i="69"/>
  <c r="Y15" i="69"/>
  <c r="W15" i="69"/>
  <c r="V15" i="69"/>
  <c r="O15" i="69"/>
  <c r="N15" i="69"/>
  <c r="G15" i="69"/>
  <c r="F15" i="69"/>
  <c r="B15" i="69"/>
  <c r="B16" i="78" s="1"/>
  <c r="F8" i="69"/>
  <c r="C6" i="69"/>
  <c r="C5" i="69"/>
  <c r="Z72" i="68"/>
  <c r="Y72" i="68"/>
  <c r="W72" i="68"/>
  <c r="X72" i="68" s="1"/>
  <c r="N73" i="77" s="1"/>
  <c r="V72" i="68"/>
  <c r="O72" i="68"/>
  <c r="N72" i="68"/>
  <c r="G72" i="68"/>
  <c r="F72" i="68"/>
  <c r="B72" i="68"/>
  <c r="B73" i="77" s="1"/>
  <c r="Z71" i="68"/>
  <c r="Y71" i="68"/>
  <c r="W71" i="68"/>
  <c r="V71" i="68"/>
  <c r="O71" i="68"/>
  <c r="N71" i="68"/>
  <c r="G71" i="68"/>
  <c r="F71" i="68"/>
  <c r="B71" i="68"/>
  <c r="B72" i="77" s="1"/>
  <c r="Z70" i="68"/>
  <c r="Y70" i="68"/>
  <c r="W70" i="68"/>
  <c r="V70" i="68"/>
  <c r="O70" i="68"/>
  <c r="N70" i="68"/>
  <c r="G70" i="68"/>
  <c r="F70" i="68"/>
  <c r="B70" i="68"/>
  <c r="B71" i="77" s="1"/>
  <c r="Z69" i="68"/>
  <c r="Y69" i="68"/>
  <c r="W69" i="68"/>
  <c r="X69" i="68" s="1"/>
  <c r="N70" i="77" s="1"/>
  <c r="V69" i="68"/>
  <c r="O69" i="68"/>
  <c r="N69" i="68"/>
  <c r="G69" i="68"/>
  <c r="F69" i="68"/>
  <c r="B69" i="68"/>
  <c r="B70" i="77" s="1"/>
  <c r="Z68" i="68"/>
  <c r="Y68" i="68"/>
  <c r="W68" i="68"/>
  <c r="V68" i="68"/>
  <c r="O68" i="68"/>
  <c r="N68" i="68"/>
  <c r="G68" i="68"/>
  <c r="F68" i="68"/>
  <c r="B68" i="68"/>
  <c r="B69" i="77" s="1"/>
  <c r="Z67" i="68"/>
  <c r="Y67" i="68"/>
  <c r="W67" i="68"/>
  <c r="V67" i="68"/>
  <c r="O67" i="68"/>
  <c r="N67" i="68"/>
  <c r="G67" i="68"/>
  <c r="F67" i="68"/>
  <c r="B67" i="68"/>
  <c r="B68" i="77" s="1"/>
  <c r="Z66" i="68"/>
  <c r="Y66" i="68"/>
  <c r="W66" i="68"/>
  <c r="V66" i="68"/>
  <c r="O66" i="68"/>
  <c r="N66" i="68"/>
  <c r="G66" i="68"/>
  <c r="F66" i="68"/>
  <c r="B66" i="68"/>
  <c r="B67" i="77" s="1"/>
  <c r="Z65" i="68"/>
  <c r="Y65" i="68"/>
  <c r="W65" i="68"/>
  <c r="V65" i="68"/>
  <c r="O65" i="68"/>
  <c r="N65" i="68"/>
  <c r="G65" i="68"/>
  <c r="F65" i="68"/>
  <c r="B65" i="68"/>
  <c r="B66" i="77" s="1"/>
  <c r="Z64" i="68"/>
  <c r="Y64" i="68"/>
  <c r="W64" i="68"/>
  <c r="X64" i="68" s="1"/>
  <c r="N65" i="77" s="1"/>
  <c r="V64" i="68"/>
  <c r="O64" i="68"/>
  <c r="N64" i="68"/>
  <c r="G64" i="68"/>
  <c r="F64" i="68"/>
  <c r="B64" i="68"/>
  <c r="B65" i="77" s="1"/>
  <c r="Z63" i="68"/>
  <c r="Y63" i="68"/>
  <c r="W63" i="68"/>
  <c r="V63" i="68"/>
  <c r="O63" i="68"/>
  <c r="N63" i="68"/>
  <c r="G63" i="68"/>
  <c r="F63" i="68"/>
  <c r="B63" i="68"/>
  <c r="B64" i="77" s="1"/>
  <c r="Z62" i="68"/>
  <c r="Y62" i="68"/>
  <c r="W62" i="68"/>
  <c r="V62" i="68"/>
  <c r="O62" i="68"/>
  <c r="N62" i="68"/>
  <c r="G62" i="68"/>
  <c r="F62" i="68"/>
  <c r="B62" i="68"/>
  <c r="B63" i="77" s="1"/>
  <c r="Z61" i="68"/>
  <c r="Y61" i="68"/>
  <c r="W61" i="68"/>
  <c r="V61" i="68"/>
  <c r="O61" i="68"/>
  <c r="N61" i="68"/>
  <c r="G61" i="68"/>
  <c r="F61" i="68"/>
  <c r="B61" i="68"/>
  <c r="B62" i="77" s="1"/>
  <c r="Z60" i="68"/>
  <c r="Y60" i="68"/>
  <c r="W60" i="68"/>
  <c r="V60" i="68"/>
  <c r="O60" i="68"/>
  <c r="N60" i="68"/>
  <c r="G60" i="68"/>
  <c r="F60" i="68"/>
  <c r="B60" i="68"/>
  <c r="B61" i="77" s="1"/>
  <c r="Z59" i="68"/>
  <c r="Y59" i="68"/>
  <c r="W59" i="68"/>
  <c r="V59" i="68"/>
  <c r="O59" i="68"/>
  <c r="N59" i="68"/>
  <c r="G59" i="68"/>
  <c r="F59" i="68"/>
  <c r="B59" i="68"/>
  <c r="B60" i="77" s="1"/>
  <c r="Z58" i="68"/>
  <c r="Y58" i="68"/>
  <c r="W58" i="68"/>
  <c r="V58" i="68"/>
  <c r="O58" i="68"/>
  <c r="N58" i="68"/>
  <c r="G58" i="68"/>
  <c r="F58" i="68"/>
  <c r="B58" i="68"/>
  <c r="B59" i="77" s="1"/>
  <c r="Z57" i="68"/>
  <c r="Y57" i="68"/>
  <c r="W57" i="68"/>
  <c r="V57" i="68"/>
  <c r="O57" i="68"/>
  <c r="N57" i="68"/>
  <c r="G57" i="68"/>
  <c r="F57" i="68"/>
  <c r="B57" i="68"/>
  <c r="B58" i="77" s="1"/>
  <c r="Z56" i="68"/>
  <c r="Y56" i="68"/>
  <c r="W56" i="68"/>
  <c r="X56" i="68" s="1"/>
  <c r="N57" i="77" s="1"/>
  <c r="V56" i="68"/>
  <c r="O56" i="68"/>
  <c r="N56" i="68"/>
  <c r="G56" i="68"/>
  <c r="F56" i="68"/>
  <c r="B56" i="68"/>
  <c r="B57" i="77" s="1"/>
  <c r="Z55" i="68"/>
  <c r="Y55" i="68"/>
  <c r="W55" i="68"/>
  <c r="V55" i="68"/>
  <c r="O55" i="68"/>
  <c r="N55" i="68"/>
  <c r="G55" i="68"/>
  <c r="F55" i="68"/>
  <c r="B55" i="68"/>
  <c r="B56" i="77" s="1"/>
  <c r="Z54" i="68"/>
  <c r="Y54" i="68"/>
  <c r="W54" i="68"/>
  <c r="V54" i="68"/>
  <c r="O54" i="68"/>
  <c r="N54" i="68"/>
  <c r="G54" i="68"/>
  <c r="F54" i="68"/>
  <c r="B54" i="68"/>
  <c r="B55" i="77" s="1"/>
  <c r="Z53" i="68"/>
  <c r="Y53" i="68"/>
  <c r="W53" i="68"/>
  <c r="V53" i="68"/>
  <c r="O53" i="68"/>
  <c r="N53" i="68"/>
  <c r="G53" i="68"/>
  <c r="F53" i="68"/>
  <c r="B53" i="68"/>
  <c r="B54" i="77" s="1"/>
  <c r="Z52" i="68"/>
  <c r="Y52" i="68"/>
  <c r="W52" i="68"/>
  <c r="V52" i="68"/>
  <c r="O52" i="68"/>
  <c r="N52" i="68"/>
  <c r="G52" i="68"/>
  <c r="F52" i="68"/>
  <c r="B52" i="68"/>
  <c r="B53" i="77" s="1"/>
  <c r="Z51" i="68"/>
  <c r="Y51" i="68"/>
  <c r="W51" i="68"/>
  <c r="V51" i="68"/>
  <c r="O51" i="68"/>
  <c r="N51" i="68"/>
  <c r="G51" i="68"/>
  <c r="F51" i="68"/>
  <c r="B51" i="68"/>
  <c r="B52" i="77" s="1"/>
  <c r="Z50" i="68"/>
  <c r="Y50" i="68"/>
  <c r="W50" i="68"/>
  <c r="V50" i="68"/>
  <c r="O50" i="68"/>
  <c r="N50" i="68"/>
  <c r="G50" i="68"/>
  <c r="F50" i="68"/>
  <c r="B50" i="68"/>
  <c r="B51" i="77" s="1"/>
  <c r="Z49" i="68"/>
  <c r="Y49" i="68"/>
  <c r="W49" i="68"/>
  <c r="V49" i="68"/>
  <c r="O49" i="68"/>
  <c r="N49" i="68"/>
  <c r="G49" i="68"/>
  <c r="F49" i="68"/>
  <c r="B49" i="68"/>
  <c r="B50" i="77" s="1"/>
  <c r="Z48" i="68"/>
  <c r="Y48" i="68"/>
  <c r="W48" i="68"/>
  <c r="X48" i="68" s="1"/>
  <c r="N49" i="77" s="1"/>
  <c r="V48" i="68"/>
  <c r="O48" i="68"/>
  <c r="N48" i="68"/>
  <c r="G48" i="68"/>
  <c r="F48" i="68"/>
  <c r="B48" i="68"/>
  <c r="B49" i="77" s="1"/>
  <c r="Z47" i="68"/>
  <c r="Y47" i="68"/>
  <c r="W47" i="68"/>
  <c r="V47" i="68"/>
  <c r="O47" i="68"/>
  <c r="N47" i="68"/>
  <c r="G47" i="68"/>
  <c r="F47" i="68"/>
  <c r="B47" i="68"/>
  <c r="B48" i="77" s="1"/>
  <c r="Z46" i="68"/>
  <c r="Y46" i="68"/>
  <c r="W46" i="68"/>
  <c r="V46" i="68"/>
  <c r="O46" i="68"/>
  <c r="N46" i="68"/>
  <c r="G46" i="68"/>
  <c r="F46" i="68"/>
  <c r="B46" i="68"/>
  <c r="B47" i="77" s="1"/>
  <c r="Z45" i="68"/>
  <c r="Y45" i="68"/>
  <c r="W45" i="68"/>
  <c r="X45" i="68" s="1"/>
  <c r="N46" i="77" s="1"/>
  <c r="V45" i="68"/>
  <c r="O45" i="68"/>
  <c r="N45" i="68"/>
  <c r="G45" i="68"/>
  <c r="F45" i="68"/>
  <c r="B45" i="68"/>
  <c r="B46" i="77" s="1"/>
  <c r="Z44" i="68"/>
  <c r="Y44" i="68"/>
  <c r="W44" i="68"/>
  <c r="V44" i="68"/>
  <c r="O44" i="68"/>
  <c r="N44" i="68"/>
  <c r="G44" i="68"/>
  <c r="F44" i="68"/>
  <c r="B44" i="68"/>
  <c r="B45" i="77" s="1"/>
  <c r="Z43" i="68"/>
  <c r="Y43" i="68"/>
  <c r="W43" i="68"/>
  <c r="V43" i="68"/>
  <c r="O43" i="68"/>
  <c r="N43" i="68"/>
  <c r="G43" i="68"/>
  <c r="F43" i="68"/>
  <c r="B43" i="68"/>
  <c r="B44" i="77" s="1"/>
  <c r="Z42" i="68"/>
  <c r="Y42" i="68"/>
  <c r="W42" i="68"/>
  <c r="V42" i="68"/>
  <c r="O42" i="68"/>
  <c r="N42" i="68"/>
  <c r="G42" i="68"/>
  <c r="F42" i="68"/>
  <c r="B42" i="68"/>
  <c r="B43" i="77" s="1"/>
  <c r="Z41" i="68"/>
  <c r="Y41" i="68"/>
  <c r="W41" i="68"/>
  <c r="V41" i="68"/>
  <c r="O41" i="68"/>
  <c r="N41" i="68"/>
  <c r="G41" i="68"/>
  <c r="F41" i="68"/>
  <c r="B41" i="68"/>
  <c r="B42" i="77" s="1"/>
  <c r="Z40" i="68"/>
  <c r="Y40" i="68"/>
  <c r="W40" i="68"/>
  <c r="X40" i="68" s="1"/>
  <c r="N41" i="77" s="1"/>
  <c r="V40" i="68"/>
  <c r="O40" i="68"/>
  <c r="N40" i="68"/>
  <c r="G40" i="68"/>
  <c r="F40" i="68"/>
  <c r="B40" i="68"/>
  <c r="B41" i="77" s="1"/>
  <c r="Z39" i="68"/>
  <c r="Y39" i="68"/>
  <c r="W39" i="68"/>
  <c r="V39" i="68"/>
  <c r="O39" i="68"/>
  <c r="N39" i="68"/>
  <c r="G39" i="68"/>
  <c r="F39" i="68"/>
  <c r="B39" i="68"/>
  <c r="B40" i="77" s="1"/>
  <c r="Z38" i="68"/>
  <c r="Y38" i="68"/>
  <c r="W38" i="68"/>
  <c r="V38" i="68"/>
  <c r="O38" i="68"/>
  <c r="N38" i="68"/>
  <c r="G38" i="68"/>
  <c r="F38" i="68"/>
  <c r="B38" i="68"/>
  <c r="B39" i="77" s="1"/>
  <c r="Z37" i="68"/>
  <c r="Y37" i="68"/>
  <c r="W37" i="68"/>
  <c r="V37" i="68"/>
  <c r="O37" i="68"/>
  <c r="N37" i="68"/>
  <c r="G37" i="68"/>
  <c r="F37" i="68"/>
  <c r="B37" i="68"/>
  <c r="B38" i="77" s="1"/>
  <c r="Z36" i="68"/>
  <c r="Y36" i="68"/>
  <c r="W36" i="68"/>
  <c r="V36" i="68"/>
  <c r="O36" i="68"/>
  <c r="N36" i="68"/>
  <c r="G36" i="68"/>
  <c r="F36" i="68"/>
  <c r="B36" i="68"/>
  <c r="B37" i="77" s="1"/>
  <c r="Z35" i="68"/>
  <c r="Y35" i="68"/>
  <c r="W35" i="68"/>
  <c r="V35" i="68"/>
  <c r="O35" i="68"/>
  <c r="N35" i="68"/>
  <c r="G35" i="68"/>
  <c r="F35" i="68"/>
  <c r="B35" i="68"/>
  <c r="B36" i="77" s="1"/>
  <c r="Z34" i="68"/>
  <c r="Y34" i="68"/>
  <c r="W34" i="68"/>
  <c r="V34" i="68"/>
  <c r="O34" i="68"/>
  <c r="N34" i="68"/>
  <c r="G34" i="68"/>
  <c r="F34" i="68"/>
  <c r="B34" i="68"/>
  <c r="B35" i="77" s="1"/>
  <c r="Z33" i="68"/>
  <c r="Y33" i="68"/>
  <c r="W33" i="68"/>
  <c r="V33" i="68"/>
  <c r="O33" i="68"/>
  <c r="N33" i="68"/>
  <c r="G33" i="68"/>
  <c r="F33" i="68"/>
  <c r="B33" i="68"/>
  <c r="B34" i="77" s="1"/>
  <c r="Z32" i="68"/>
  <c r="Y32" i="68"/>
  <c r="W32" i="68"/>
  <c r="X32" i="68" s="1"/>
  <c r="N33" i="77" s="1"/>
  <c r="V32" i="68"/>
  <c r="O32" i="68"/>
  <c r="N32" i="68"/>
  <c r="G32" i="68"/>
  <c r="F32" i="68"/>
  <c r="B32" i="68"/>
  <c r="B33" i="77" s="1"/>
  <c r="Z31" i="68"/>
  <c r="Y31" i="68"/>
  <c r="W31" i="68"/>
  <c r="V31" i="68"/>
  <c r="O31" i="68"/>
  <c r="N31" i="68"/>
  <c r="G31" i="68"/>
  <c r="F31" i="68"/>
  <c r="B31" i="68"/>
  <c r="B32" i="77" s="1"/>
  <c r="Z30" i="68"/>
  <c r="Y30" i="68"/>
  <c r="W30" i="68"/>
  <c r="V30" i="68"/>
  <c r="O30" i="68"/>
  <c r="N30" i="68"/>
  <c r="G30" i="68"/>
  <c r="F30" i="68"/>
  <c r="B30" i="68"/>
  <c r="B31" i="77" s="1"/>
  <c r="Z29" i="68"/>
  <c r="Y29" i="68"/>
  <c r="W29" i="68"/>
  <c r="X29" i="68" s="1"/>
  <c r="N30" i="77" s="1"/>
  <c r="V29" i="68"/>
  <c r="O29" i="68"/>
  <c r="N29" i="68"/>
  <c r="G29" i="68"/>
  <c r="F29" i="68"/>
  <c r="B29" i="68"/>
  <c r="B30" i="77" s="1"/>
  <c r="Z28" i="68"/>
  <c r="Y28" i="68"/>
  <c r="W28" i="68"/>
  <c r="V28" i="68"/>
  <c r="O28" i="68"/>
  <c r="N28" i="68"/>
  <c r="G28" i="68"/>
  <c r="F28" i="68"/>
  <c r="B28" i="68"/>
  <c r="B29" i="77" s="1"/>
  <c r="Z27" i="68"/>
  <c r="Y27" i="68"/>
  <c r="W27" i="68"/>
  <c r="V27" i="68"/>
  <c r="O27" i="68"/>
  <c r="N27" i="68"/>
  <c r="G27" i="68"/>
  <c r="F27" i="68"/>
  <c r="B27" i="68"/>
  <c r="B28" i="77" s="1"/>
  <c r="Z26" i="68"/>
  <c r="Y26" i="68"/>
  <c r="W26" i="68"/>
  <c r="V26" i="68"/>
  <c r="O26" i="68"/>
  <c r="N26" i="68"/>
  <c r="G26" i="68"/>
  <c r="F26" i="68"/>
  <c r="B26" i="68"/>
  <c r="B27" i="77" s="1"/>
  <c r="Z25" i="68"/>
  <c r="Y25" i="68"/>
  <c r="W25" i="68"/>
  <c r="V25" i="68"/>
  <c r="O25" i="68"/>
  <c r="N25" i="68"/>
  <c r="G25" i="68"/>
  <c r="F25" i="68"/>
  <c r="B25" i="68"/>
  <c r="B26" i="77" s="1"/>
  <c r="Z24" i="68"/>
  <c r="Y24" i="68"/>
  <c r="W24" i="68"/>
  <c r="X24" i="68" s="1"/>
  <c r="N25" i="77" s="1"/>
  <c r="V24" i="68"/>
  <c r="O24" i="68"/>
  <c r="N24" i="68"/>
  <c r="G24" i="68"/>
  <c r="F24" i="68"/>
  <c r="B24" i="68"/>
  <c r="B25" i="77" s="1"/>
  <c r="Z23" i="68"/>
  <c r="Y23" i="68"/>
  <c r="W23" i="68"/>
  <c r="V23" i="68"/>
  <c r="O23" i="68"/>
  <c r="N23" i="68"/>
  <c r="G23" i="68"/>
  <c r="F23" i="68"/>
  <c r="B23" i="68"/>
  <c r="B24" i="77" s="1"/>
  <c r="Z22" i="68"/>
  <c r="Y22" i="68"/>
  <c r="W22" i="68"/>
  <c r="V22" i="68"/>
  <c r="O22" i="68"/>
  <c r="N22" i="68"/>
  <c r="G22" i="68"/>
  <c r="F22" i="68"/>
  <c r="B22" i="68"/>
  <c r="B23" i="77" s="1"/>
  <c r="Z21" i="68"/>
  <c r="Y21" i="68"/>
  <c r="W21" i="68"/>
  <c r="V21" i="68"/>
  <c r="O21" i="68"/>
  <c r="N21" i="68"/>
  <c r="G21" i="68"/>
  <c r="F21" i="68"/>
  <c r="B21" i="68"/>
  <c r="B22" i="77" s="1"/>
  <c r="Z20" i="68"/>
  <c r="Y20" i="68"/>
  <c r="W20" i="68"/>
  <c r="V20" i="68"/>
  <c r="O20" i="68"/>
  <c r="N20" i="68"/>
  <c r="G20" i="68"/>
  <c r="F20" i="68"/>
  <c r="B20" i="68"/>
  <c r="B21" i="77" s="1"/>
  <c r="Z19" i="68"/>
  <c r="Y19" i="68"/>
  <c r="W19" i="68"/>
  <c r="V19" i="68"/>
  <c r="O19" i="68"/>
  <c r="N19" i="68"/>
  <c r="G19" i="68"/>
  <c r="F19" i="68"/>
  <c r="B19" i="68"/>
  <c r="B20" i="77" s="1"/>
  <c r="Z18" i="68"/>
  <c r="Y18" i="68"/>
  <c r="W18" i="68"/>
  <c r="V18" i="68"/>
  <c r="O18" i="68"/>
  <c r="N18" i="68"/>
  <c r="G18" i="68"/>
  <c r="F18" i="68"/>
  <c r="B18" i="68"/>
  <c r="B19" i="77" s="1"/>
  <c r="Z17" i="68"/>
  <c r="Y17" i="68"/>
  <c r="W17" i="68"/>
  <c r="V17" i="68"/>
  <c r="O17" i="68"/>
  <c r="N17" i="68"/>
  <c r="G17" i="68"/>
  <c r="F17" i="68"/>
  <c r="B17" i="68"/>
  <c r="B18" i="77" s="1"/>
  <c r="Z16" i="68"/>
  <c r="Y16" i="68"/>
  <c r="W16" i="68"/>
  <c r="V16" i="68"/>
  <c r="O16" i="68"/>
  <c r="N16" i="68"/>
  <c r="G16" i="68"/>
  <c r="F16" i="68"/>
  <c r="B16" i="68"/>
  <c r="B17" i="77" s="1"/>
  <c r="Z15" i="68"/>
  <c r="Y15" i="68"/>
  <c r="W15" i="68"/>
  <c r="V15" i="68"/>
  <c r="O15" i="68"/>
  <c r="N15" i="68"/>
  <c r="G15" i="68"/>
  <c r="F15" i="68"/>
  <c r="B15" i="68"/>
  <c r="B16" i="77" s="1"/>
  <c r="F8" i="68"/>
  <c r="C6" i="68"/>
  <c r="C5" i="68"/>
  <c r="Z72" i="67"/>
  <c r="Y72" i="67"/>
  <c r="W72" i="67"/>
  <c r="V72" i="67"/>
  <c r="O72" i="67"/>
  <c r="N72" i="67"/>
  <c r="G72" i="67"/>
  <c r="F72" i="67"/>
  <c r="B72" i="67"/>
  <c r="B73" i="76" s="1"/>
  <c r="Z71" i="67"/>
  <c r="Y71" i="67"/>
  <c r="W71" i="67"/>
  <c r="V71" i="67"/>
  <c r="O71" i="67"/>
  <c r="N71" i="67"/>
  <c r="G71" i="67"/>
  <c r="F71" i="67"/>
  <c r="B71" i="67"/>
  <c r="B72" i="76" s="1"/>
  <c r="Z70" i="67"/>
  <c r="Y70" i="67"/>
  <c r="W70" i="67"/>
  <c r="V70" i="67"/>
  <c r="O70" i="67"/>
  <c r="N70" i="67"/>
  <c r="G70" i="67"/>
  <c r="F70" i="67"/>
  <c r="B70" i="67"/>
  <c r="B71" i="76" s="1"/>
  <c r="Z69" i="67"/>
  <c r="Y69" i="67"/>
  <c r="W69" i="67"/>
  <c r="V69" i="67"/>
  <c r="O69" i="67"/>
  <c r="N69" i="67"/>
  <c r="G69" i="67"/>
  <c r="F69" i="67"/>
  <c r="B69" i="67"/>
  <c r="B70" i="76" s="1"/>
  <c r="Z68" i="67"/>
  <c r="Y68" i="67"/>
  <c r="W68" i="67"/>
  <c r="V68" i="67"/>
  <c r="O68" i="67"/>
  <c r="N68" i="67"/>
  <c r="G68" i="67"/>
  <c r="F68" i="67"/>
  <c r="B68" i="67"/>
  <c r="B69" i="76" s="1"/>
  <c r="Z67" i="67"/>
  <c r="Y67" i="67"/>
  <c r="W67" i="67"/>
  <c r="V67" i="67"/>
  <c r="O67" i="67"/>
  <c r="N67" i="67"/>
  <c r="G67" i="67"/>
  <c r="F67" i="67"/>
  <c r="B67" i="67"/>
  <c r="B68" i="76" s="1"/>
  <c r="Z66" i="67"/>
  <c r="Y66" i="67"/>
  <c r="W66" i="67"/>
  <c r="V66" i="67"/>
  <c r="O66" i="67"/>
  <c r="N66" i="67"/>
  <c r="G66" i="67"/>
  <c r="F66" i="67"/>
  <c r="B66" i="67"/>
  <c r="B67" i="76" s="1"/>
  <c r="Z65" i="67"/>
  <c r="Y65" i="67"/>
  <c r="W65" i="67"/>
  <c r="V65" i="67"/>
  <c r="O65" i="67"/>
  <c r="N65" i="67"/>
  <c r="G65" i="67"/>
  <c r="F65" i="67"/>
  <c r="B65" i="67"/>
  <c r="B66" i="76" s="1"/>
  <c r="Z64" i="67"/>
  <c r="Y64" i="67"/>
  <c r="W64" i="67"/>
  <c r="V64" i="67"/>
  <c r="O64" i="67"/>
  <c r="N64" i="67"/>
  <c r="G64" i="67"/>
  <c r="F64" i="67"/>
  <c r="B64" i="67"/>
  <c r="B65" i="76" s="1"/>
  <c r="Z63" i="67"/>
  <c r="Y63" i="67"/>
  <c r="W63" i="67"/>
  <c r="V63" i="67"/>
  <c r="O63" i="67"/>
  <c r="N63" i="67"/>
  <c r="G63" i="67"/>
  <c r="F63" i="67"/>
  <c r="B63" i="67"/>
  <c r="B64" i="76" s="1"/>
  <c r="Z62" i="67"/>
  <c r="Y62" i="67"/>
  <c r="W62" i="67"/>
  <c r="V62" i="67"/>
  <c r="O62" i="67"/>
  <c r="N62" i="67"/>
  <c r="G62" i="67"/>
  <c r="F62" i="67"/>
  <c r="B62" i="67"/>
  <c r="B63" i="76" s="1"/>
  <c r="Z61" i="67"/>
  <c r="Y61" i="67"/>
  <c r="W61" i="67"/>
  <c r="V61" i="67"/>
  <c r="O61" i="67"/>
  <c r="N61" i="67"/>
  <c r="G61" i="67"/>
  <c r="F61" i="67"/>
  <c r="B61" i="67"/>
  <c r="B62" i="76" s="1"/>
  <c r="Z60" i="67"/>
  <c r="Y60" i="67"/>
  <c r="W60" i="67"/>
  <c r="V60" i="67"/>
  <c r="O60" i="67"/>
  <c r="N60" i="67"/>
  <c r="G60" i="67"/>
  <c r="F60" i="67"/>
  <c r="B60" i="67"/>
  <c r="B61" i="76" s="1"/>
  <c r="Z59" i="67"/>
  <c r="Y59" i="67"/>
  <c r="W59" i="67"/>
  <c r="V59" i="67"/>
  <c r="O59" i="67"/>
  <c r="N59" i="67"/>
  <c r="G59" i="67"/>
  <c r="F59" i="67"/>
  <c r="B59" i="67"/>
  <c r="B60" i="76" s="1"/>
  <c r="Z58" i="67"/>
  <c r="Y58" i="67"/>
  <c r="W58" i="67"/>
  <c r="V58" i="67"/>
  <c r="O58" i="67"/>
  <c r="N58" i="67"/>
  <c r="G58" i="67"/>
  <c r="F58" i="67"/>
  <c r="B58" i="67"/>
  <c r="B59" i="76" s="1"/>
  <c r="Z57" i="67"/>
  <c r="Y57" i="67"/>
  <c r="W57" i="67"/>
  <c r="V57" i="67"/>
  <c r="O57" i="67"/>
  <c r="N57" i="67"/>
  <c r="G57" i="67"/>
  <c r="F57" i="67"/>
  <c r="B57" i="67"/>
  <c r="B58" i="76" s="1"/>
  <c r="Z56" i="67"/>
  <c r="Y56" i="67"/>
  <c r="W56" i="67"/>
  <c r="V56" i="67"/>
  <c r="O56" i="67"/>
  <c r="N56" i="67"/>
  <c r="G56" i="67"/>
  <c r="F56" i="67"/>
  <c r="B56" i="67"/>
  <c r="B57" i="76" s="1"/>
  <c r="Z55" i="67"/>
  <c r="Y55" i="67"/>
  <c r="W55" i="67"/>
  <c r="V55" i="67"/>
  <c r="O55" i="67"/>
  <c r="N55" i="67"/>
  <c r="G55" i="67"/>
  <c r="F55" i="67"/>
  <c r="B55" i="67"/>
  <c r="B56" i="76" s="1"/>
  <c r="Z54" i="67"/>
  <c r="Y54" i="67"/>
  <c r="W54" i="67"/>
  <c r="V54" i="67"/>
  <c r="O54" i="67"/>
  <c r="N54" i="67"/>
  <c r="G54" i="67"/>
  <c r="F54" i="67"/>
  <c r="B54" i="67"/>
  <c r="B55" i="76" s="1"/>
  <c r="Z53" i="67"/>
  <c r="Y53" i="67"/>
  <c r="W53" i="67"/>
  <c r="V53" i="67"/>
  <c r="O53" i="67"/>
  <c r="N53" i="67"/>
  <c r="G53" i="67"/>
  <c r="F53" i="67"/>
  <c r="B53" i="67"/>
  <c r="B54" i="76" s="1"/>
  <c r="Z52" i="67"/>
  <c r="Y52" i="67"/>
  <c r="W52" i="67"/>
  <c r="V52" i="67"/>
  <c r="O52" i="67"/>
  <c r="N52" i="67"/>
  <c r="G52" i="67"/>
  <c r="F52" i="67"/>
  <c r="B52" i="67"/>
  <c r="B53" i="76" s="1"/>
  <c r="Z51" i="67"/>
  <c r="Y51" i="67"/>
  <c r="W51" i="67"/>
  <c r="V51" i="67"/>
  <c r="O51" i="67"/>
  <c r="N51" i="67"/>
  <c r="G51" i="67"/>
  <c r="F51" i="67"/>
  <c r="B51" i="67"/>
  <c r="B52" i="76" s="1"/>
  <c r="Z50" i="67"/>
  <c r="Y50" i="67"/>
  <c r="W50" i="67"/>
  <c r="V50" i="67"/>
  <c r="O50" i="67"/>
  <c r="N50" i="67"/>
  <c r="G50" i="67"/>
  <c r="F50" i="67"/>
  <c r="B50" i="67"/>
  <c r="B51" i="76" s="1"/>
  <c r="Z49" i="67"/>
  <c r="Y49" i="67"/>
  <c r="W49" i="67"/>
  <c r="V49" i="67"/>
  <c r="O49" i="67"/>
  <c r="N49" i="67"/>
  <c r="G49" i="67"/>
  <c r="F49" i="67"/>
  <c r="B49" i="67"/>
  <c r="B50" i="76" s="1"/>
  <c r="Z48" i="67"/>
  <c r="Y48" i="67"/>
  <c r="W48" i="67"/>
  <c r="V48" i="67"/>
  <c r="O48" i="67"/>
  <c r="N48" i="67"/>
  <c r="G48" i="67"/>
  <c r="F48" i="67"/>
  <c r="B48" i="67"/>
  <c r="B49" i="76" s="1"/>
  <c r="Z47" i="67"/>
  <c r="Y47" i="67"/>
  <c r="W47" i="67"/>
  <c r="V47" i="67"/>
  <c r="O47" i="67"/>
  <c r="N47" i="67"/>
  <c r="G47" i="67"/>
  <c r="F47" i="67"/>
  <c r="B47" i="67"/>
  <c r="B48" i="76" s="1"/>
  <c r="Z46" i="67"/>
  <c r="Y46" i="67"/>
  <c r="W46" i="67"/>
  <c r="V46" i="67"/>
  <c r="O46" i="67"/>
  <c r="N46" i="67"/>
  <c r="G46" i="67"/>
  <c r="F46" i="67"/>
  <c r="B46" i="67"/>
  <c r="B47" i="76" s="1"/>
  <c r="Z45" i="67"/>
  <c r="Y45" i="67"/>
  <c r="W45" i="67"/>
  <c r="V45" i="67"/>
  <c r="O45" i="67"/>
  <c r="N45" i="67"/>
  <c r="G45" i="67"/>
  <c r="F45" i="67"/>
  <c r="B45" i="67"/>
  <c r="B46" i="76" s="1"/>
  <c r="Z44" i="67"/>
  <c r="Y44" i="67"/>
  <c r="W44" i="67"/>
  <c r="V44" i="67"/>
  <c r="O44" i="67"/>
  <c r="N44" i="67"/>
  <c r="G44" i="67"/>
  <c r="F44" i="67"/>
  <c r="B44" i="67"/>
  <c r="B45" i="76" s="1"/>
  <c r="Z43" i="67"/>
  <c r="Y43" i="67"/>
  <c r="W43" i="67"/>
  <c r="V43" i="67"/>
  <c r="O43" i="67"/>
  <c r="N43" i="67"/>
  <c r="G43" i="67"/>
  <c r="F43" i="67"/>
  <c r="B43" i="67"/>
  <c r="B44" i="76" s="1"/>
  <c r="Z42" i="67"/>
  <c r="Y42" i="67"/>
  <c r="W42" i="67"/>
  <c r="V42" i="67"/>
  <c r="O42" i="67"/>
  <c r="N42" i="67"/>
  <c r="G42" i="67"/>
  <c r="F42" i="67"/>
  <c r="B42" i="67"/>
  <c r="B43" i="76" s="1"/>
  <c r="Z41" i="67"/>
  <c r="Y41" i="67"/>
  <c r="W41" i="67"/>
  <c r="V41" i="67"/>
  <c r="O41" i="67"/>
  <c r="N41" i="67"/>
  <c r="G41" i="67"/>
  <c r="F41" i="67"/>
  <c r="B41" i="67"/>
  <c r="B42" i="76" s="1"/>
  <c r="Z40" i="67"/>
  <c r="Y40" i="67"/>
  <c r="W40" i="67"/>
  <c r="V40" i="67"/>
  <c r="O40" i="67"/>
  <c r="N40" i="67"/>
  <c r="G40" i="67"/>
  <c r="F40" i="67"/>
  <c r="B40" i="67"/>
  <c r="B41" i="76" s="1"/>
  <c r="Z39" i="67"/>
  <c r="Y39" i="67"/>
  <c r="W39" i="67"/>
  <c r="V39" i="67"/>
  <c r="O39" i="67"/>
  <c r="N39" i="67"/>
  <c r="G39" i="67"/>
  <c r="F39" i="67"/>
  <c r="B39" i="67"/>
  <c r="B40" i="76" s="1"/>
  <c r="Z38" i="67"/>
  <c r="Y38" i="67"/>
  <c r="W38" i="67"/>
  <c r="V38" i="67"/>
  <c r="O38" i="67"/>
  <c r="N38" i="67"/>
  <c r="G38" i="67"/>
  <c r="F38" i="67"/>
  <c r="B38" i="67"/>
  <c r="B39" i="76" s="1"/>
  <c r="Z37" i="67"/>
  <c r="Y37" i="67"/>
  <c r="W37" i="67"/>
  <c r="V37" i="67"/>
  <c r="O37" i="67"/>
  <c r="N37" i="67"/>
  <c r="G37" i="67"/>
  <c r="F37" i="67"/>
  <c r="B37" i="67"/>
  <c r="B38" i="76" s="1"/>
  <c r="Z36" i="67"/>
  <c r="Y36" i="67"/>
  <c r="W36" i="67"/>
  <c r="V36" i="67"/>
  <c r="O36" i="67"/>
  <c r="N36" i="67"/>
  <c r="G36" i="67"/>
  <c r="F36" i="67"/>
  <c r="B36" i="67"/>
  <c r="B37" i="76" s="1"/>
  <c r="Z35" i="67"/>
  <c r="Y35" i="67"/>
  <c r="W35" i="67"/>
  <c r="V35" i="67"/>
  <c r="O35" i="67"/>
  <c r="N35" i="67"/>
  <c r="G35" i="67"/>
  <c r="F35" i="67"/>
  <c r="B35" i="67"/>
  <c r="B36" i="76" s="1"/>
  <c r="Z34" i="67"/>
  <c r="Y34" i="67"/>
  <c r="W34" i="67"/>
  <c r="V34" i="67"/>
  <c r="O34" i="67"/>
  <c r="N34" i="67"/>
  <c r="G34" i="67"/>
  <c r="F34" i="67"/>
  <c r="B34" i="67"/>
  <c r="B35" i="76" s="1"/>
  <c r="Z33" i="67"/>
  <c r="Y33" i="67"/>
  <c r="W33" i="67"/>
  <c r="V33" i="67"/>
  <c r="O33" i="67"/>
  <c r="N33" i="67"/>
  <c r="G33" i="67"/>
  <c r="F33" i="67"/>
  <c r="B33" i="67"/>
  <c r="B34" i="76" s="1"/>
  <c r="Z32" i="67"/>
  <c r="Y32" i="67"/>
  <c r="W32" i="67"/>
  <c r="V32" i="67"/>
  <c r="O32" i="67"/>
  <c r="N32" i="67"/>
  <c r="G32" i="67"/>
  <c r="F32" i="67"/>
  <c r="B32" i="67"/>
  <c r="B33" i="76" s="1"/>
  <c r="Z31" i="67"/>
  <c r="Y31" i="67"/>
  <c r="W31" i="67"/>
  <c r="V31" i="67"/>
  <c r="O31" i="67"/>
  <c r="N31" i="67"/>
  <c r="G31" i="67"/>
  <c r="F31" i="67"/>
  <c r="B31" i="67"/>
  <c r="B32" i="76" s="1"/>
  <c r="Z30" i="67"/>
  <c r="Y30" i="67"/>
  <c r="W30" i="67"/>
  <c r="V30" i="67"/>
  <c r="O30" i="67"/>
  <c r="N30" i="67"/>
  <c r="G30" i="67"/>
  <c r="F30" i="67"/>
  <c r="B30" i="67"/>
  <c r="B31" i="76" s="1"/>
  <c r="Z29" i="67"/>
  <c r="Y29" i="67"/>
  <c r="W29" i="67"/>
  <c r="V29" i="67"/>
  <c r="O29" i="67"/>
  <c r="N29" i="67"/>
  <c r="G29" i="67"/>
  <c r="F29" i="67"/>
  <c r="B29" i="67"/>
  <c r="B30" i="76" s="1"/>
  <c r="Z28" i="67"/>
  <c r="Y28" i="67"/>
  <c r="W28" i="67"/>
  <c r="V28" i="67"/>
  <c r="O28" i="67"/>
  <c r="N28" i="67"/>
  <c r="G28" i="67"/>
  <c r="F28" i="67"/>
  <c r="B28" i="67"/>
  <c r="B29" i="76" s="1"/>
  <c r="Z27" i="67"/>
  <c r="Y27" i="67"/>
  <c r="W27" i="67"/>
  <c r="V27" i="67"/>
  <c r="O27" i="67"/>
  <c r="N27" i="67"/>
  <c r="G27" i="67"/>
  <c r="F27" i="67"/>
  <c r="B27" i="67"/>
  <c r="B28" i="76" s="1"/>
  <c r="Z26" i="67"/>
  <c r="Y26" i="67"/>
  <c r="W26" i="67"/>
  <c r="X26" i="67" s="1"/>
  <c r="N27" i="76" s="1"/>
  <c r="V26" i="67"/>
  <c r="O26" i="67"/>
  <c r="N26" i="67"/>
  <c r="G26" i="67"/>
  <c r="F26" i="67"/>
  <c r="B26" i="67"/>
  <c r="B27" i="76" s="1"/>
  <c r="Z25" i="67"/>
  <c r="Y25" i="67"/>
  <c r="W25" i="67"/>
  <c r="V25" i="67"/>
  <c r="O25" i="67"/>
  <c r="N25" i="67"/>
  <c r="G25" i="67"/>
  <c r="F25" i="67"/>
  <c r="B25" i="67"/>
  <c r="B26" i="76" s="1"/>
  <c r="Z24" i="67"/>
  <c r="Y24" i="67"/>
  <c r="W24" i="67"/>
  <c r="V24" i="67"/>
  <c r="O24" i="67"/>
  <c r="N24" i="67"/>
  <c r="G24" i="67"/>
  <c r="F24" i="67"/>
  <c r="B24" i="67"/>
  <c r="B25" i="76" s="1"/>
  <c r="Z23" i="67"/>
  <c r="Y23" i="67"/>
  <c r="W23" i="67"/>
  <c r="V23" i="67"/>
  <c r="O23" i="67"/>
  <c r="N23" i="67"/>
  <c r="G23" i="67"/>
  <c r="F23" i="67"/>
  <c r="B23" i="67"/>
  <c r="B24" i="76" s="1"/>
  <c r="Z22" i="67"/>
  <c r="Y22" i="67"/>
  <c r="W22" i="67"/>
  <c r="V22" i="67"/>
  <c r="O22" i="67"/>
  <c r="N22" i="67"/>
  <c r="G22" i="67"/>
  <c r="F22" i="67"/>
  <c r="B22" i="67"/>
  <c r="B23" i="76" s="1"/>
  <c r="Z21" i="67"/>
  <c r="Y21" i="67"/>
  <c r="W21" i="67"/>
  <c r="V21" i="67"/>
  <c r="O21" i="67"/>
  <c r="N21" i="67"/>
  <c r="G21" i="67"/>
  <c r="F21" i="67"/>
  <c r="B21" i="67"/>
  <c r="B22" i="76" s="1"/>
  <c r="Z20" i="67"/>
  <c r="Y20" i="67"/>
  <c r="W20" i="67"/>
  <c r="V20" i="67"/>
  <c r="O20" i="67"/>
  <c r="N20" i="67"/>
  <c r="G20" i="67"/>
  <c r="F20" i="67"/>
  <c r="B20" i="67"/>
  <c r="B21" i="76" s="1"/>
  <c r="Z19" i="67"/>
  <c r="Y19" i="67"/>
  <c r="W19" i="67"/>
  <c r="V19" i="67"/>
  <c r="O19" i="67"/>
  <c r="N19" i="67"/>
  <c r="G19" i="67"/>
  <c r="F19" i="67"/>
  <c r="B19" i="67"/>
  <c r="B20" i="76" s="1"/>
  <c r="Z18" i="67"/>
  <c r="Y18" i="67"/>
  <c r="W18" i="67"/>
  <c r="V18" i="67"/>
  <c r="O18" i="67"/>
  <c r="N18" i="67"/>
  <c r="G18" i="67"/>
  <c r="F18" i="67"/>
  <c r="B18" i="67"/>
  <c r="B19" i="76" s="1"/>
  <c r="Z17" i="67"/>
  <c r="Y17" i="67"/>
  <c r="W17" i="67"/>
  <c r="V17" i="67"/>
  <c r="O17" i="67"/>
  <c r="N17" i="67"/>
  <c r="G17" i="67"/>
  <c r="F17" i="67"/>
  <c r="B17" i="67"/>
  <c r="B18" i="76" s="1"/>
  <c r="Z16" i="67"/>
  <c r="Y16" i="67"/>
  <c r="W16" i="67"/>
  <c r="V16" i="67"/>
  <c r="O16" i="67"/>
  <c r="N16" i="67"/>
  <c r="G16" i="67"/>
  <c r="F16" i="67"/>
  <c r="B16" i="67"/>
  <c r="B17" i="76" s="1"/>
  <c r="Z15" i="67"/>
  <c r="Y15" i="67"/>
  <c r="W15" i="67"/>
  <c r="V15" i="67"/>
  <c r="O15" i="67"/>
  <c r="N15" i="67"/>
  <c r="G15" i="67"/>
  <c r="F15" i="67"/>
  <c r="B15" i="67"/>
  <c r="B16" i="76" s="1"/>
  <c r="F8" i="67"/>
  <c r="C6" i="67"/>
  <c r="C5" i="67"/>
  <c r="Y72" i="66"/>
  <c r="V72" i="66"/>
  <c r="N72" i="66"/>
  <c r="F72" i="66"/>
  <c r="B72" i="66"/>
  <c r="B73" i="75" s="1"/>
  <c r="Y71" i="66"/>
  <c r="V71" i="66"/>
  <c r="N71" i="66"/>
  <c r="H71" i="66"/>
  <c r="F72" i="75" s="1"/>
  <c r="F71" i="66"/>
  <c r="B71" i="66"/>
  <c r="B72" i="75" s="1"/>
  <c r="Y70" i="66"/>
  <c r="V70" i="66"/>
  <c r="N70" i="66"/>
  <c r="F70" i="66"/>
  <c r="B70" i="66"/>
  <c r="B71" i="75" s="1"/>
  <c r="Y69" i="66"/>
  <c r="V69" i="66"/>
  <c r="N69" i="66"/>
  <c r="F69" i="66"/>
  <c r="B69" i="66"/>
  <c r="B70" i="75" s="1"/>
  <c r="Y68" i="66"/>
  <c r="V68" i="66"/>
  <c r="N68" i="66"/>
  <c r="F68" i="66"/>
  <c r="B68" i="66"/>
  <c r="B69" i="75" s="1"/>
  <c r="Y67" i="66"/>
  <c r="X67" i="66"/>
  <c r="N68" i="75" s="1"/>
  <c r="V67" i="66"/>
  <c r="N67" i="66"/>
  <c r="F67" i="66"/>
  <c r="B67" i="66"/>
  <c r="B68" i="75" s="1"/>
  <c r="Y66" i="66"/>
  <c r="V66" i="66"/>
  <c r="N66" i="66"/>
  <c r="F66" i="66"/>
  <c r="B66" i="66"/>
  <c r="B67" i="75" s="1"/>
  <c r="Y65" i="66"/>
  <c r="V65" i="66"/>
  <c r="X65" i="66" s="1"/>
  <c r="N66" i="75" s="1"/>
  <c r="N65" i="66"/>
  <c r="F65" i="66"/>
  <c r="B65" i="66"/>
  <c r="B66" i="75" s="1"/>
  <c r="Y64" i="66"/>
  <c r="V64" i="66"/>
  <c r="N64" i="66"/>
  <c r="F64" i="66"/>
  <c r="B64" i="66"/>
  <c r="B65" i="75" s="1"/>
  <c r="Y63" i="66"/>
  <c r="V63" i="66"/>
  <c r="X63" i="66" s="1"/>
  <c r="N64" i="75" s="1"/>
  <c r="N63" i="66"/>
  <c r="F63" i="66"/>
  <c r="B63" i="66"/>
  <c r="B64" i="75" s="1"/>
  <c r="Y62" i="66"/>
  <c r="V62" i="66"/>
  <c r="X62" i="66" s="1"/>
  <c r="N63" i="75" s="1"/>
  <c r="N62" i="66"/>
  <c r="P62" i="66" s="1"/>
  <c r="J63" i="75" s="1"/>
  <c r="F62" i="66"/>
  <c r="B62" i="66"/>
  <c r="B63" i="75" s="1"/>
  <c r="Y61" i="66"/>
  <c r="V61" i="66"/>
  <c r="N61" i="66"/>
  <c r="F61" i="66"/>
  <c r="B61" i="66"/>
  <c r="B62" i="75" s="1"/>
  <c r="Y60" i="66"/>
  <c r="V60" i="66"/>
  <c r="N60" i="66"/>
  <c r="F60" i="66"/>
  <c r="B60" i="66"/>
  <c r="B61" i="75" s="1"/>
  <c r="Y59" i="66"/>
  <c r="V59" i="66"/>
  <c r="N59" i="66"/>
  <c r="F59" i="66"/>
  <c r="H59" i="66" s="1"/>
  <c r="F60" i="75" s="1"/>
  <c r="B59" i="66"/>
  <c r="B60" i="75" s="1"/>
  <c r="Y58" i="66"/>
  <c r="V58" i="66"/>
  <c r="N58" i="66"/>
  <c r="F58" i="66"/>
  <c r="B58" i="66"/>
  <c r="B59" i="75" s="1"/>
  <c r="Y57" i="66"/>
  <c r="V57" i="66"/>
  <c r="N57" i="66"/>
  <c r="F57" i="66"/>
  <c r="B57" i="66"/>
  <c r="B58" i="75" s="1"/>
  <c r="Y56" i="66"/>
  <c r="V56" i="66"/>
  <c r="N56" i="66"/>
  <c r="F56" i="66"/>
  <c r="B56" i="66"/>
  <c r="B57" i="75" s="1"/>
  <c r="Y55" i="66"/>
  <c r="V55" i="66"/>
  <c r="N55" i="66"/>
  <c r="F55" i="66"/>
  <c r="B55" i="66"/>
  <c r="B56" i="75" s="1"/>
  <c r="Y54" i="66"/>
  <c r="V54" i="66"/>
  <c r="X54" i="66" s="1"/>
  <c r="N55" i="75" s="1"/>
  <c r="N54" i="66"/>
  <c r="P54" i="66" s="1"/>
  <c r="F54" i="66"/>
  <c r="B54" i="66"/>
  <c r="B55" i="75" s="1"/>
  <c r="Y53" i="66"/>
  <c r="V53" i="66"/>
  <c r="N53" i="66"/>
  <c r="F53" i="66"/>
  <c r="B53" i="66"/>
  <c r="B54" i="75" s="1"/>
  <c r="Y52" i="66"/>
  <c r="V52" i="66"/>
  <c r="N52" i="66"/>
  <c r="F52" i="66"/>
  <c r="B52" i="66"/>
  <c r="B53" i="75" s="1"/>
  <c r="Y51" i="66"/>
  <c r="V51" i="66"/>
  <c r="N51" i="66"/>
  <c r="F51" i="66"/>
  <c r="H51" i="66" s="1"/>
  <c r="F52" i="75" s="1"/>
  <c r="B51" i="66"/>
  <c r="B52" i="75" s="1"/>
  <c r="Y50" i="66"/>
  <c r="V50" i="66"/>
  <c r="X50" i="66" s="1"/>
  <c r="N51" i="75" s="1"/>
  <c r="N50" i="66"/>
  <c r="F50" i="66"/>
  <c r="B50" i="66"/>
  <c r="B51" i="75" s="1"/>
  <c r="Y49" i="66"/>
  <c r="V49" i="66"/>
  <c r="N49" i="66"/>
  <c r="F49" i="66"/>
  <c r="B49" i="66"/>
  <c r="B50" i="75" s="1"/>
  <c r="Y48" i="66"/>
  <c r="V48" i="66"/>
  <c r="N48" i="66"/>
  <c r="F48" i="66"/>
  <c r="B48" i="66"/>
  <c r="B49" i="75" s="1"/>
  <c r="Y47" i="66"/>
  <c r="V47" i="66"/>
  <c r="N47" i="66"/>
  <c r="F47" i="66"/>
  <c r="H47" i="66" s="1"/>
  <c r="F48" i="75" s="1"/>
  <c r="B47" i="66"/>
  <c r="B48" i="75" s="1"/>
  <c r="Y46" i="66"/>
  <c r="V46" i="66"/>
  <c r="X46" i="66" s="1"/>
  <c r="N47" i="75" s="1"/>
  <c r="N46" i="66"/>
  <c r="F46" i="66"/>
  <c r="B46" i="66"/>
  <c r="B47" i="75" s="1"/>
  <c r="Y45" i="66"/>
  <c r="V45" i="66"/>
  <c r="N45" i="66"/>
  <c r="F45" i="66"/>
  <c r="B45" i="66"/>
  <c r="B46" i="75" s="1"/>
  <c r="Y44" i="66"/>
  <c r="V44" i="66"/>
  <c r="N44" i="66"/>
  <c r="F44" i="66"/>
  <c r="B44" i="66"/>
  <c r="B45" i="75" s="1"/>
  <c r="Y43" i="66"/>
  <c r="V43" i="66"/>
  <c r="X43" i="66" s="1"/>
  <c r="N44" i="75" s="1"/>
  <c r="N43" i="66"/>
  <c r="F43" i="66"/>
  <c r="B43" i="66"/>
  <c r="B44" i="75" s="1"/>
  <c r="Y42" i="66"/>
  <c r="V42" i="66"/>
  <c r="N42" i="66"/>
  <c r="F42" i="66"/>
  <c r="B42" i="66"/>
  <c r="B43" i="75" s="1"/>
  <c r="Y41" i="66"/>
  <c r="V41" i="66"/>
  <c r="N41" i="66"/>
  <c r="F41" i="66"/>
  <c r="B41" i="66"/>
  <c r="B42" i="75" s="1"/>
  <c r="Y40" i="66"/>
  <c r="V40" i="66"/>
  <c r="N40" i="66"/>
  <c r="F40" i="66"/>
  <c r="B40" i="66"/>
  <c r="B41" i="75" s="1"/>
  <c r="Y39" i="66"/>
  <c r="V39" i="66"/>
  <c r="N39" i="66"/>
  <c r="F39" i="66"/>
  <c r="B39" i="66"/>
  <c r="B40" i="75" s="1"/>
  <c r="Y38" i="66"/>
  <c r="V38" i="66"/>
  <c r="N38" i="66"/>
  <c r="F38" i="66"/>
  <c r="B38" i="66"/>
  <c r="B39" i="75" s="1"/>
  <c r="Y37" i="66"/>
  <c r="V37" i="66"/>
  <c r="N37" i="66"/>
  <c r="F37" i="66"/>
  <c r="B37" i="66"/>
  <c r="B38" i="75" s="1"/>
  <c r="Y36" i="66"/>
  <c r="V36" i="66"/>
  <c r="N36" i="66"/>
  <c r="F36" i="66"/>
  <c r="B36" i="66"/>
  <c r="B37" i="75" s="1"/>
  <c r="Y35" i="66"/>
  <c r="V35" i="66"/>
  <c r="N35" i="66"/>
  <c r="F35" i="66"/>
  <c r="B35" i="66"/>
  <c r="B36" i="75" s="1"/>
  <c r="Y34" i="66"/>
  <c r="V34" i="66"/>
  <c r="N34" i="66"/>
  <c r="F34" i="66"/>
  <c r="B34" i="66"/>
  <c r="B35" i="75" s="1"/>
  <c r="Y33" i="66"/>
  <c r="V33" i="66"/>
  <c r="N33" i="66"/>
  <c r="F33" i="66"/>
  <c r="B33" i="66"/>
  <c r="B34" i="75" s="1"/>
  <c r="Y32" i="66"/>
  <c r="V32" i="66"/>
  <c r="N32" i="66"/>
  <c r="F32" i="66"/>
  <c r="B32" i="66"/>
  <c r="B33" i="75" s="1"/>
  <c r="Y31" i="66"/>
  <c r="V31" i="66"/>
  <c r="N31" i="66"/>
  <c r="F31" i="66"/>
  <c r="B31" i="66"/>
  <c r="B32" i="75" s="1"/>
  <c r="Y30" i="66"/>
  <c r="V30" i="66"/>
  <c r="N30" i="66"/>
  <c r="F30" i="66"/>
  <c r="B30" i="66"/>
  <c r="B31" i="75" s="1"/>
  <c r="Y29" i="66"/>
  <c r="V29" i="66"/>
  <c r="N29" i="66"/>
  <c r="F29" i="66"/>
  <c r="B29" i="66"/>
  <c r="B30" i="75" s="1"/>
  <c r="Y28" i="66"/>
  <c r="V28" i="66"/>
  <c r="N28" i="66"/>
  <c r="F28" i="66"/>
  <c r="B28" i="66"/>
  <c r="B29" i="75" s="1"/>
  <c r="Y27" i="66"/>
  <c r="V27" i="66"/>
  <c r="N27" i="66"/>
  <c r="F27" i="66"/>
  <c r="B27" i="66"/>
  <c r="B28" i="75" s="1"/>
  <c r="Y26" i="66"/>
  <c r="V26" i="66"/>
  <c r="N26" i="66"/>
  <c r="F26" i="66"/>
  <c r="B26" i="66"/>
  <c r="B27" i="75" s="1"/>
  <c r="Y25" i="66"/>
  <c r="V25" i="66"/>
  <c r="N25" i="66"/>
  <c r="F25" i="66"/>
  <c r="B25" i="66"/>
  <c r="B26" i="75" s="1"/>
  <c r="Y24" i="66"/>
  <c r="V24" i="66"/>
  <c r="N24" i="66"/>
  <c r="F24" i="66"/>
  <c r="B24" i="66"/>
  <c r="B25" i="75" s="1"/>
  <c r="Y23" i="66"/>
  <c r="V23" i="66"/>
  <c r="N23" i="66"/>
  <c r="F23" i="66"/>
  <c r="B23" i="66"/>
  <c r="B24" i="75" s="1"/>
  <c r="Y22" i="66"/>
  <c r="V22" i="66"/>
  <c r="N22" i="66"/>
  <c r="F22" i="66"/>
  <c r="B22" i="66"/>
  <c r="B23" i="75" s="1"/>
  <c r="Y21" i="66"/>
  <c r="V21" i="66"/>
  <c r="N21" i="66"/>
  <c r="F21" i="66"/>
  <c r="B21" i="66"/>
  <c r="B22" i="75" s="1"/>
  <c r="Y20" i="66"/>
  <c r="V20" i="66"/>
  <c r="N20" i="66"/>
  <c r="F20" i="66"/>
  <c r="B20" i="66"/>
  <c r="B21" i="75" s="1"/>
  <c r="Y19" i="66"/>
  <c r="V19" i="66"/>
  <c r="N19" i="66"/>
  <c r="F19" i="66"/>
  <c r="B19" i="66"/>
  <c r="B20" i="75" s="1"/>
  <c r="Y18" i="66"/>
  <c r="V18" i="66"/>
  <c r="N18" i="66"/>
  <c r="F18" i="66"/>
  <c r="B18" i="66"/>
  <c r="B19" i="75" s="1"/>
  <c r="Y17" i="66"/>
  <c r="V17" i="66"/>
  <c r="N17" i="66"/>
  <c r="F17" i="66"/>
  <c r="B17" i="66"/>
  <c r="B18" i="75" s="1"/>
  <c r="Y16" i="66"/>
  <c r="V16" i="66"/>
  <c r="N16" i="66"/>
  <c r="F16" i="66"/>
  <c r="B16" i="66"/>
  <c r="B17" i="75" s="1"/>
  <c r="Y15" i="66"/>
  <c r="V15" i="66"/>
  <c r="N15" i="66"/>
  <c r="F15" i="66"/>
  <c r="B15" i="66"/>
  <c r="B16" i="75" s="1"/>
  <c r="F8" i="66"/>
  <c r="B72" i="65"/>
  <c r="B73" i="74" s="1"/>
  <c r="B71" i="65"/>
  <c r="B72" i="74" s="1"/>
  <c r="B70" i="65"/>
  <c r="B71" i="74" s="1"/>
  <c r="B69" i="65"/>
  <c r="B70" i="74" s="1"/>
  <c r="B68" i="65"/>
  <c r="B69" i="74" s="1"/>
  <c r="B67" i="65"/>
  <c r="B68" i="74" s="1"/>
  <c r="B66" i="65"/>
  <c r="B67" i="74" s="1"/>
  <c r="B65" i="65"/>
  <c r="B66" i="74" s="1"/>
  <c r="B64" i="65"/>
  <c r="B65" i="74" s="1"/>
  <c r="B63" i="65"/>
  <c r="B64" i="74" s="1"/>
  <c r="B62" i="65"/>
  <c r="B63" i="74" s="1"/>
  <c r="B61" i="65"/>
  <c r="B62" i="74" s="1"/>
  <c r="B60" i="65"/>
  <c r="B61" i="74" s="1"/>
  <c r="B59" i="65"/>
  <c r="B60" i="74" s="1"/>
  <c r="B58" i="65"/>
  <c r="B59" i="74" s="1"/>
  <c r="B57" i="65"/>
  <c r="B58" i="74" s="1"/>
  <c r="B56" i="65"/>
  <c r="B57" i="74" s="1"/>
  <c r="B55" i="65"/>
  <c r="B56" i="74" s="1"/>
  <c r="B54" i="65"/>
  <c r="B55" i="74" s="1"/>
  <c r="B53" i="65"/>
  <c r="B54" i="74" s="1"/>
  <c r="B52" i="65"/>
  <c r="B53" i="74" s="1"/>
  <c r="B51" i="65"/>
  <c r="B52" i="74" s="1"/>
  <c r="B50" i="65"/>
  <c r="B51" i="74" s="1"/>
  <c r="B49" i="65"/>
  <c r="B50" i="74" s="1"/>
  <c r="B48" i="65"/>
  <c r="B49" i="74" s="1"/>
  <c r="B47" i="65"/>
  <c r="B48" i="74" s="1"/>
  <c r="B46" i="65"/>
  <c r="B47" i="74" s="1"/>
  <c r="B45" i="65"/>
  <c r="B46" i="74" s="1"/>
  <c r="B44" i="65"/>
  <c r="B45" i="74" s="1"/>
  <c r="B43" i="65"/>
  <c r="B44" i="74" s="1"/>
  <c r="B42" i="65"/>
  <c r="B43" i="74" s="1"/>
  <c r="B41" i="65"/>
  <c r="B42" i="74" s="1"/>
  <c r="B40" i="65"/>
  <c r="B41" i="74" s="1"/>
  <c r="B39" i="65"/>
  <c r="B40" i="74" s="1"/>
  <c r="B38" i="65"/>
  <c r="B39" i="74" s="1"/>
  <c r="B37" i="65"/>
  <c r="B38" i="74" s="1"/>
  <c r="B36" i="65"/>
  <c r="B37" i="74" s="1"/>
  <c r="B35" i="65"/>
  <c r="B36" i="74" s="1"/>
  <c r="B34" i="65"/>
  <c r="B35" i="74" s="1"/>
  <c r="B33" i="65"/>
  <c r="B34" i="74" s="1"/>
  <c r="B32" i="65"/>
  <c r="B33" i="74" s="1"/>
  <c r="B31" i="65"/>
  <c r="B32" i="74" s="1"/>
  <c r="B30" i="65"/>
  <c r="B31" i="74" s="1"/>
  <c r="B29" i="65"/>
  <c r="B30" i="74" s="1"/>
  <c r="B28" i="65"/>
  <c r="B29" i="74" s="1"/>
  <c r="B27" i="65"/>
  <c r="B28" i="74" s="1"/>
  <c r="B26" i="65"/>
  <c r="B27" i="74" s="1"/>
  <c r="B25" i="65"/>
  <c r="B26" i="74" s="1"/>
  <c r="B24" i="65"/>
  <c r="B25" i="74" s="1"/>
  <c r="B23" i="65"/>
  <c r="B24" i="74" s="1"/>
  <c r="B22" i="65"/>
  <c r="B23" i="74" s="1"/>
  <c r="B21" i="65"/>
  <c r="B22" i="74" s="1"/>
  <c r="B20" i="65"/>
  <c r="B21" i="74" s="1"/>
  <c r="B19" i="65"/>
  <c r="B20" i="74" s="1"/>
  <c r="B18" i="65"/>
  <c r="B19" i="74" s="1"/>
  <c r="B17" i="65"/>
  <c r="B18" i="74" s="1"/>
  <c r="B16" i="65"/>
  <c r="B17" i="74" s="1"/>
  <c r="B15" i="65"/>
  <c r="B16" i="74" s="1"/>
  <c r="C6" i="66"/>
  <c r="C5" i="66"/>
  <c r="Y72" i="65"/>
  <c r="V72" i="65"/>
  <c r="N72" i="65"/>
  <c r="Y71" i="65"/>
  <c r="V71" i="65"/>
  <c r="N71" i="65"/>
  <c r="Y70" i="65"/>
  <c r="V70" i="65"/>
  <c r="N70" i="65"/>
  <c r="Y69" i="65"/>
  <c r="V69" i="65"/>
  <c r="N69" i="65"/>
  <c r="Y68" i="65"/>
  <c r="V68" i="65"/>
  <c r="N68" i="65"/>
  <c r="Y67" i="65"/>
  <c r="V67" i="65"/>
  <c r="N67" i="65"/>
  <c r="Y66" i="65"/>
  <c r="V66" i="65"/>
  <c r="N66" i="65"/>
  <c r="Y65" i="65"/>
  <c r="V65" i="65"/>
  <c r="N65" i="65"/>
  <c r="Y64" i="65"/>
  <c r="V64" i="65"/>
  <c r="N64" i="65"/>
  <c r="Y63" i="65"/>
  <c r="V63" i="65"/>
  <c r="N63" i="65"/>
  <c r="Y62" i="65"/>
  <c r="V62" i="65"/>
  <c r="N62" i="65"/>
  <c r="Y61" i="65"/>
  <c r="V61" i="65"/>
  <c r="N61" i="65"/>
  <c r="Y60" i="65"/>
  <c r="V60" i="65"/>
  <c r="N60" i="65"/>
  <c r="Y59" i="65"/>
  <c r="V59" i="65"/>
  <c r="N59" i="65"/>
  <c r="Y58" i="65"/>
  <c r="V58" i="65"/>
  <c r="N58" i="65"/>
  <c r="Y57" i="65"/>
  <c r="V57" i="65"/>
  <c r="N57" i="65"/>
  <c r="Y56" i="65"/>
  <c r="V56" i="65"/>
  <c r="N56" i="65"/>
  <c r="Y55" i="65"/>
  <c r="V55" i="65"/>
  <c r="N55" i="65"/>
  <c r="Y54" i="65"/>
  <c r="V54" i="65"/>
  <c r="N54" i="65"/>
  <c r="Y53" i="65"/>
  <c r="V53" i="65"/>
  <c r="N53" i="65"/>
  <c r="Y52" i="65"/>
  <c r="V52" i="65"/>
  <c r="N52" i="65"/>
  <c r="Y51" i="65"/>
  <c r="V51" i="65"/>
  <c r="N51" i="65"/>
  <c r="Y50" i="65"/>
  <c r="V50" i="65"/>
  <c r="N50" i="65"/>
  <c r="Y49" i="65"/>
  <c r="V49" i="65"/>
  <c r="N49" i="65"/>
  <c r="Y48" i="65"/>
  <c r="V48" i="65"/>
  <c r="N48" i="65"/>
  <c r="Y47" i="65"/>
  <c r="V47" i="65"/>
  <c r="N47" i="65"/>
  <c r="Y46" i="65"/>
  <c r="V46" i="65"/>
  <c r="N46" i="65"/>
  <c r="Y45" i="65"/>
  <c r="V45" i="65"/>
  <c r="N45" i="65"/>
  <c r="Y44" i="65"/>
  <c r="V44" i="65"/>
  <c r="N44" i="65"/>
  <c r="Y43" i="65"/>
  <c r="V43" i="65"/>
  <c r="N43" i="65"/>
  <c r="Y42" i="65"/>
  <c r="V42" i="65"/>
  <c r="N42" i="65"/>
  <c r="Y41" i="65"/>
  <c r="V41" i="65"/>
  <c r="N41" i="65"/>
  <c r="Y40" i="65"/>
  <c r="V40" i="65"/>
  <c r="N40" i="65"/>
  <c r="Y39" i="65"/>
  <c r="V39" i="65"/>
  <c r="N39" i="65"/>
  <c r="Y38" i="65"/>
  <c r="V38" i="65"/>
  <c r="N38" i="65"/>
  <c r="Y37" i="65"/>
  <c r="V37" i="65"/>
  <c r="N37" i="65"/>
  <c r="Y36" i="65"/>
  <c r="V36" i="65"/>
  <c r="N36" i="65"/>
  <c r="Y35" i="65"/>
  <c r="V35" i="65"/>
  <c r="N35" i="65"/>
  <c r="Y34" i="65"/>
  <c r="V34" i="65"/>
  <c r="N34" i="65"/>
  <c r="Y33" i="65"/>
  <c r="V33" i="65"/>
  <c r="N33" i="65"/>
  <c r="Y32" i="65"/>
  <c r="V32" i="65"/>
  <c r="N32" i="65"/>
  <c r="Y31" i="65"/>
  <c r="V31" i="65"/>
  <c r="N31" i="65"/>
  <c r="Y30" i="65"/>
  <c r="V30" i="65"/>
  <c r="N30" i="65"/>
  <c r="Y29" i="65"/>
  <c r="V29" i="65"/>
  <c r="N29" i="65"/>
  <c r="Y28" i="65"/>
  <c r="V28" i="65"/>
  <c r="N28" i="65"/>
  <c r="Y27" i="65"/>
  <c r="V27" i="65"/>
  <c r="N27" i="65"/>
  <c r="Y26" i="65"/>
  <c r="V26" i="65"/>
  <c r="N26" i="65"/>
  <c r="Y25" i="65"/>
  <c r="V25" i="65"/>
  <c r="N25" i="65"/>
  <c r="Y24" i="65"/>
  <c r="V24" i="65"/>
  <c r="N24" i="65"/>
  <c r="Y23" i="65"/>
  <c r="V23" i="65"/>
  <c r="N23" i="65"/>
  <c r="Y22" i="65"/>
  <c r="V22" i="65"/>
  <c r="N22" i="65"/>
  <c r="Y21" i="65"/>
  <c r="V21" i="65"/>
  <c r="N21" i="65"/>
  <c r="Y20" i="65"/>
  <c r="V20" i="65"/>
  <c r="N20" i="65"/>
  <c r="Y19" i="65"/>
  <c r="V19" i="65"/>
  <c r="N19" i="65"/>
  <c r="Y18" i="65"/>
  <c r="V18" i="65"/>
  <c r="N18" i="65"/>
  <c r="Y17" i="65"/>
  <c r="V17" i="65"/>
  <c r="N17" i="65"/>
  <c r="Y16" i="65"/>
  <c r="V16" i="65"/>
  <c r="P55" i="71" l="1"/>
  <c r="J56" i="80" s="1"/>
  <c r="P63" i="71"/>
  <c r="J64" i="80" s="1"/>
  <c r="P71" i="71"/>
  <c r="J72" i="80" s="1"/>
  <c r="H19" i="67"/>
  <c r="F20" i="76" s="1"/>
  <c r="H44" i="68"/>
  <c r="H31" i="69"/>
  <c r="F32" i="78" s="1"/>
  <c r="H39" i="69"/>
  <c r="F40" i="78" s="1"/>
  <c r="X31" i="70"/>
  <c r="N32" i="79" s="1"/>
  <c r="X39" i="70"/>
  <c r="N40" i="79" s="1"/>
  <c r="X47" i="70"/>
  <c r="N48" i="79" s="1"/>
  <c r="X55" i="70"/>
  <c r="N56" i="79" s="1"/>
  <c r="X63" i="70"/>
  <c r="N64" i="79" s="1"/>
  <c r="X71" i="70"/>
  <c r="N72" i="79" s="1"/>
  <c r="X22" i="73"/>
  <c r="N23" i="82" s="1"/>
  <c r="X54" i="73"/>
  <c r="N55" i="82" s="1"/>
  <c r="P56" i="73"/>
  <c r="J57" i="82" s="1"/>
  <c r="P64" i="73"/>
  <c r="J65" i="82" s="1"/>
  <c r="X35" i="72"/>
  <c r="N36" i="81" s="1"/>
  <c r="X44" i="72"/>
  <c r="N45" i="81" s="1"/>
  <c r="X47" i="72"/>
  <c r="N48" i="81" s="1"/>
  <c r="X59" i="72"/>
  <c r="N60" i="81" s="1"/>
  <c r="P25" i="72"/>
  <c r="J26" i="81" s="1"/>
  <c r="X43" i="72"/>
  <c r="N44" i="81" s="1"/>
  <c r="X52" i="72"/>
  <c r="N53" i="81" s="1"/>
  <c r="X55" i="72"/>
  <c r="N56" i="81" s="1"/>
  <c r="X36" i="72"/>
  <c r="N37" i="81" s="1"/>
  <c r="X39" i="72"/>
  <c r="N40" i="81" s="1"/>
  <c r="X51" i="72"/>
  <c r="N52" i="81" s="1"/>
  <c r="X60" i="72"/>
  <c r="N61" i="81" s="1"/>
  <c r="X63" i="72"/>
  <c r="N64" i="81" s="1"/>
  <c r="P15" i="71"/>
  <c r="J16" i="80" s="1"/>
  <c r="P31" i="71"/>
  <c r="J32" i="80" s="1"/>
  <c r="P39" i="71"/>
  <c r="J40" i="80" s="1"/>
  <c r="P47" i="71"/>
  <c r="J48" i="80" s="1"/>
  <c r="X67" i="71"/>
  <c r="N68" i="80" s="1"/>
  <c r="P21" i="71"/>
  <c r="J22" i="80" s="1"/>
  <c r="P29" i="71"/>
  <c r="J30" i="80" s="1"/>
  <c r="P37" i="71"/>
  <c r="J38" i="80" s="1"/>
  <c r="P45" i="71"/>
  <c r="J46" i="80" s="1"/>
  <c r="P53" i="71"/>
  <c r="J54" i="80" s="1"/>
  <c r="P61" i="71"/>
  <c r="J62" i="80" s="1"/>
  <c r="P69" i="71"/>
  <c r="J70" i="80" s="1"/>
  <c r="H31" i="71"/>
  <c r="F32" i="80" s="1"/>
  <c r="X33" i="70"/>
  <c r="N34" i="79" s="1"/>
  <c r="X41" i="70"/>
  <c r="N42" i="79" s="1"/>
  <c r="X49" i="70"/>
  <c r="N50" i="79" s="1"/>
  <c r="X57" i="70"/>
  <c r="N58" i="79" s="1"/>
  <c r="X65" i="70"/>
  <c r="N66" i="79" s="1"/>
  <c r="P33" i="70"/>
  <c r="J34" i="79" s="1"/>
  <c r="P41" i="70"/>
  <c r="J42" i="79" s="1"/>
  <c r="P49" i="70"/>
  <c r="J50" i="79" s="1"/>
  <c r="P57" i="70"/>
  <c r="J58" i="79" s="1"/>
  <c r="P65" i="70"/>
  <c r="J66" i="79" s="1"/>
  <c r="P23" i="67"/>
  <c r="J24" i="76" s="1"/>
  <c r="P39" i="67"/>
  <c r="J40" i="76" s="1"/>
  <c r="P47" i="67"/>
  <c r="J48" i="76" s="1"/>
  <c r="P55" i="67"/>
  <c r="J56" i="76" s="1"/>
  <c r="P63" i="67"/>
  <c r="J64" i="76" s="1"/>
  <c r="P71" i="67"/>
  <c r="J72" i="76" s="1"/>
  <c r="AA60" i="73"/>
  <c r="O61" i="82" s="1"/>
  <c r="AA20" i="73"/>
  <c r="O21" i="82" s="1"/>
  <c r="X67" i="72"/>
  <c r="N68" i="81" s="1"/>
  <c r="X68" i="72"/>
  <c r="N69" i="81" s="1"/>
  <c r="P60" i="73"/>
  <c r="J61" i="82" s="1"/>
  <c r="X66" i="73"/>
  <c r="N67" i="82" s="1"/>
  <c r="P68" i="73"/>
  <c r="J69" i="82" s="1"/>
  <c r="P19" i="67"/>
  <c r="J20" i="76" s="1"/>
  <c r="P27" i="67"/>
  <c r="J28" i="76" s="1"/>
  <c r="P35" i="67"/>
  <c r="J36" i="76" s="1"/>
  <c r="P43" i="67"/>
  <c r="J44" i="76" s="1"/>
  <c r="P51" i="67"/>
  <c r="J52" i="76" s="1"/>
  <c r="P59" i="67"/>
  <c r="J60" i="76" s="1"/>
  <c r="P67" i="67"/>
  <c r="J68" i="76" s="1"/>
  <c r="X28" i="68"/>
  <c r="N29" i="77" s="1"/>
  <c r="X36" i="68"/>
  <c r="N37" i="77" s="1"/>
  <c r="H40" i="68"/>
  <c r="F41" i="77" s="1"/>
  <c r="X44" i="68"/>
  <c r="N45" i="77" s="1"/>
  <c r="X52" i="68"/>
  <c r="N53" i="77" s="1"/>
  <c r="H56" i="68"/>
  <c r="F57" i="77" s="1"/>
  <c r="X60" i="68"/>
  <c r="N61" i="77" s="1"/>
  <c r="X68" i="68"/>
  <c r="N69" i="77" s="1"/>
  <c r="X15" i="69"/>
  <c r="N16" i="78" s="1"/>
  <c r="X23" i="69"/>
  <c r="N24" i="78" s="1"/>
  <c r="X31" i="69"/>
  <c r="N32" i="78" s="1"/>
  <c r="H35" i="69"/>
  <c r="F36" i="78" s="1"/>
  <c r="X39" i="69"/>
  <c r="N40" i="78" s="1"/>
  <c r="H43" i="69"/>
  <c r="F44" i="78" s="1"/>
  <c r="X47" i="69"/>
  <c r="N48" i="78" s="1"/>
  <c r="H51" i="69"/>
  <c r="F52" i="78" s="1"/>
  <c r="X55" i="69"/>
  <c r="N56" i="78" s="1"/>
  <c r="X63" i="69"/>
  <c r="N64" i="78" s="1"/>
  <c r="X71" i="69"/>
  <c r="N72" i="78" s="1"/>
  <c r="P21" i="70"/>
  <c r="J22" i="79" s="1"/>
  <c r="X27" i="70"/>
  <c r="N28" i="79" s="1"/>
  <c r="X35" i="70"/>
  <c r="N36" i="79" s="1"/>
  <c r="P37" i="70"/>
  <c r="J38" i="79" s="1"/>
  <c r="X43" i="70"/>
  <c r="N44" i="79" s="1"/>
  <c r="P45" i="70"/>
  <c r="J46" i="79" s="1"/>
  <c r="X51" i="70"/>
  <c r="N52" i="79" s="1"/>
  <c r="P53" i="70"/>
  <c r="J54" i="79" s="1"/>
  <c r="X59" i="70"/>
  <c r="N60" i="79" s="1"/>
  <c r="P61" i="70"/>
  <c r="J62" i="79" s="1"/>
  <c r="X67" i="70"/>
  <c r="N68" i="79" s="1"/>
  <c r="P69" i="70"/>
  <c r="J70" i="79" s="1"/>
  <c r="P17" i="71"/>
  <c r="J18" i="80" s="1"/>
  <c r="P25" i="71"/>
  <c r="J26" i="80" s="1"/>
  <c r="H27" i="71"/>
  <c r="F28" i="80" s="1"/>
  <c r="P33" i="71"/>
  <c r="J34" i="80" s="1"/>
  <c r="H35" i="71"/>
  <c r="F36" i="80" s="1"/>
  <c r="P41" i="71"/>
  <c r="J42" i="80" s="1"/>
  <c r="H43" i="71"/>
  <c r="F44" i="80" s="1"/>
  <c r="P49" i="71"/>
  <c r="J50" i="80" s="1"/>
  <c r="H51" i="71"/>
  <c r="F52" i="80" s="1"/>
  <c r="P57" i="71"/>
  <c r="J58" i="80" s="1"/>
  <c r="H59" i="71"/>
  <c r="F60" i="80" s="1"/>
  <c r="X63" i="71"/>
  <c r="N64" i="80" s="1"/>
  <c r="P65" i="71"/>
  <c r="J66" i="80" s="1"/>
  <c r="H67" i="71"/>
  <c r="F68" i="80" s="1"/>
  <c r="X71" i="71"/>
  <c r="N72" i="80" s="1"/>
  <c r="X71" i="72"/>
  <c r="N72" i="81" s="1"/>
  <c r="X59" i="73"/>
  <c r="N60" i="82" s="1"/>
  <c r="X67" i="73"/>
  <c r="N68" i="82" s="1"/>
  <c r="H27" i="68"/>
  <c r="F28" i="77" s="1"/>
  <c r="H35" i="68"/>
  <c r="F36" i="77" s="1"/>
  <c r="H43" i="68"/>
  <c r="F44" i="77" s="1"/>
  <c r="H51" i="68"/>
  <c r="F52" i="77" s="1"/>
  <c r="H59" i="68"/>
  <c r="F60" i="77" s="1"/>
  <c r="H67" i="68"/>
  <c r="F68" i="77" s="1"/>
  <c r="H30" i="69"/>
  <c r="F31" i="78" s="1"/>
  <c r="H38" i="69"/>
  <c r="F39" i="78" s="1"/>
  <c r="X38" i="70"/>
  <c r="N39" i="79" s="1"/>
  <c r="X46" i="70"/>
  <c r="N47" i="79" s="1"/>
  <c r="X54" i="70"/>
  <c r="N55" i="79" s="1"/>
  <c r="X62" i="70"/>
  <c r="N63" i="79" s="1"/>
  <c r="X70" i="70"/>
  <c r="N71" i="79" s="1"/>
  <c r="P20" i="71"/>
  <c r="J21" i="80" s="1"/>
  <c r="P28" i="71"/>
  <c r="J29" i="80" s="1"/>
  <c r="P36" i="71"/>
  <c r="J37" i="80" s="1"/>
  <c r="P52" i="71"/>
  <c r="J53" i="80" s="1"/>
  <c r="P60" i="71"/>
  <c r="J61" i="80" s="1"/>
  <c r="P68" i="71"/>
  <c r="J69" i="80" s="1"/>
  <c r="X19" i="72"/>
  <c r="N20" i="81" s="1"/>
  <c r="X20" i="72"/>
  <c r="N21" i="81" s="1"/>
  <c r="X23" i="72"/>
  <c r="N24" i="81" s="1"/>
  <c r="X27" i="72"/>
  <c r="N28" i="81" s="1"/>
  <c r="AA28" i="73"/>
  <c r="O29" i="82" s="1"/>
  <c r="X55" i="73"/>
  <c r="N56" i="82" s="1"/>
  <c r="X63" i="73"/>
  <c r="N64" i="82" s="1"/>
  <c r="X71" i="73"/>
  <c r="N72" i="82" s="1"/>
  <c r="X54" i="67"/>
  <c r="N55" i="76" s="1"/>
  <c r="X70" i="67"/>
  <c r="N71" i="76" s="1"/>
  <c r="X49" i="68"/>
  <c r="N50" i="77" s="1"/>
  <c r="X36" i="69"/>
  <c r="N37" i="78" s="1"/>
  <c r="X44" i="69"/>
  <c r="N45" i="78" s="1"/>
  <c r="X52" i="69"/>
  <c r="N53" i="78" s="1"/>
  <c r="X60" i="69"/>
  <c r="N61" i="78" s="1"/>
  <c r="X68" i="69"/>
  <c r="N69" i="78" s="1"/>
  <c r="X24" i="70"/>
  <c r="N25" i="79" s="1"/>
  <c r="X32" i="70"/>
  <c r="N33" i="79" s="1"/>
  <c r="X48" i="70"/>
  <c r="N49" i="79" s="1"/>
  <c r="X56" i="70"/>
  <c r="N57" i="79" s="1"/>
  <c r="X64" i="70"/>
  <c r="N65" i="79" s="1"/>
  <c r="X72" i="70"/>
  <c r="N73" i="79" s="1"/>
  <c r="AA68" i="73"/>
  <c r="O69" i="82" s="1"/>
  <c r="AA42" i="72"/>
  <c r="O43" i="81" s="1"/>
  <c r="AA50" i="67"/>
  <c r="O51" i="76" s="1"/>
  <c r="AA58" i="67"/>
  <c r="O59" i="76" s="1"/>
  <c r="AA66" i="67"/>
  <c r="O67" i="76" s="1"/>
  <c r="AA16" i="69"/>
  <c r="O17" i="78" s="1"/>
  <c r="AA32" i="69"/>
  <c r="O33" i="78" s="1"/>
  <c r="AA40" i="69"/>
  <c r="O41" i="78" s="1"/>
  <c r="AA48" i="69"/>
  <c r="O49" i="78" s="1"/>
  <c r="AA56" i="69"/>
  <c r="O57" i="78" s="1"/>
  <c r="AA20" i="72"/>
  <c r="O21" i="81" s="1"/>
  <c r="AA28" i="72"/>
  <c r="O29" i="81" s="1"/>
  <c r="AA36" i="72"/>
  <c r="O37" i="81" s="1"/>
  <c r="AA44" i="72"/>
  <c r="O45" i="81" s="1"/>
  <c r="AA52" i="72"/>
  <c r="O53" i="81" s="1"/>
  <c r="AA60" i="72"/>
  <c r="O61" i="81" s="1"/>
  <c r="AA68" i="72"/>
  <c r="O69" i="81" s="1"/>
  <c r="AA16" i="73"/>
  <c r="O17" i="82" s="1"/>
  <c r="AA24" i="73"/>
  <c r="O25" i="82" s="1"/>
  <c r="AA32" i="73"/>
  <c r="O33" i="82" s="1"/>
  <c r="AA40" i="73"/>
  <c r="O41" i="82" s="1"/>
  <c r="AA64" i="73"/>
  <c r="O65" i="82" s="1"/>
  <c r="AA72" i="73"/>
  <c r="O73" i="82" s="1"/>
  <c r="AA26" i="67"/>
  <c r="O27" i="76" s="1"/>
  <c r="AA34" i="67"/>
  <c r="O35" i="76" s="1"/>
  <c r="AA42" i="67"/>
  <c r="O43" i="76" s="1"/>
  <c r="AA43" i="67"/>
  <c r="O44" i="76" s="1"/>
  <c r="AA67" i="67"/>
  <c r="O68" i="76" s="1"/>
  <c r="AA22" i="68"/>
  <c r="O23" i="77" s="1"/>
  <c r="AA54" i="68"/>
  <c r="O55" i="77" s="1"/>
  <c r="AA62" i="68"/>
  <c r="O63" i="77" s="1"/>
  <c r="AA57" i="69"/>
  <c r="O58" i="78" s="1"/>
  <c r="AA17" i="71"/>
  <c r="O18" i="80" s="1"/>
  <c r="AA25" i="71"/>
  <c r="O26" i="80" s="1"/>
  <c r="AA33" i="71"/>
  <c r="O34" i="80" s="1"/>
  <c r="AA41" i="71"/>
  <c r="O42" i="80" s="1"/>
  <c r="AA49" i="71"/>
  <c r="O50" i="80" s="1"/>
  <c r="AA57" i="71"/>
  <c r="O58" i="80" s="1"/>
  <c r="AA65" i="71"/>
  <c r="O66" i="80" s="1"/>
  <c r="AA21" i="72"/>
  <c r="O22" i="81" s="1"/>
  <c r="AA29" i="72"/>
  <c r="O30" i="81" s="1"/>
  <c r="AA37" i="72"/>
  <c r="O38" i="81" s="1"/>
  <c r="AA45" i="72"/>
  <c r="O46" i="81" s="1"/>
  <c r="AA53" i="72"/>
  <c r="O54" i="81" s="1"/>
  <c r="AA61" i="72"/>
  <c r="O62" i="81" s="1"/>
  <c r="AA69" i="72"/>
  <c r="O70" i="81" s="1"/>
  <c r="AA57" i="73"/>
  <c r="O58" i="82" s="1"/>
  <c r="AA65" i="73"/>
  <c r="O66" i="82" s="1"/>
  <c r="AA50" i="68"/>
  <c r="O51" i="77" s="1"/>
  <c r="AA53" i="69"/>
  <c r="O54" i="78" s="1"/>
  <c r="AA21" i="71"/>
  <c r="O22" i="80" s="1"/>
  <c r="AA29" i="71"/>
  <c r="O30" i="80" s="1"/>
  <c r="AA37" i="71"/>
  <c r="O38" i="80" s="1"/>
  <c r="AA45" i="71"/>
  <c r="O46" i="80" s="1"/>
  <c r="AA53" i="71"/>
  <c r="O54" i="80" s="1"/>
  <c r="AA61" i="71"/>
  <c r="O62" i="80" s="1"/>
  <c r="AA69" i="71"/>
  <c r="O70" i="80" s="1"/>
  <c r="AA17" i="72"/>
  <c r="O18" i="81" s="1"/>
  <c r="AA25" i="72"/>
  <c r="O26" i="81" s="1"/>
  <c r="AA33" i="72"/>
  <c r="O34" i="81" s="1"/>
  <c r="AA41" i="72"/>
  <c r="O42" i="81" s="1"/>
  <c r="AA49" i="72"/>
  <c r="O50" i="81" s="1"/>
  <c r="AA57" i="72"/>
  <c r="O58" i="81" s="1"/>
  <c r="AA65" i="72"/>
  <c r="O66" i="81" s="1"/>
  <c r="AA21" i="73"/>
  <c r="O22" i="82" s="1"/>
  <c r="AA29" i="73"/>
  <c r="O30" i="82" s="1"/>
  <c r="AA37" i="73"/>
  <c r="O38" i="82" s="1"/>
  <c r="AA45" i="73"/>
  <c r="O46" i="82" s="1"/>
  <c r="AA53" i="73"/>
  <c r="O54" i="82" s="1"/>
  <c r="AA61" i="73"/>
  <c r="O62" i="82" s="1"/>
  <c r="AA69" i="73"/>
  <c r="O70" i="82" s="1"/>
  <c r="AA46" i="69"/>
  <c r="O47" i="78" s="1"/>
  <c r="AA70" i="69"/>
  <c r="O71" i="78" s="1"/>
  <c r="AA26" i="71"/>
  <c r="O27" i="80" s="1"/>
  <c r="AA66" i="71"/>
  <c r="O67" i="80" s="1"/>
  <c r="AA49" i="66"/>
  <c r="O50" i="75" s="1"/>
  <c r="AA21" i="68"/>
  <c r="O22" i="77" s="1"/>
  <c r="AA29" i="68"/>
  <c r="O30" i="77" s="1"/>
  <c r="AA37" i="68"/>
  <c r="O38" i="77" s="1"/>
  <c r="AA45" i="68"/>
  <c r="O46" i="77" s="1"/>
  <c r="AA53" i="68"/>
  <c r="O54" i="77" s="1"/>
  <c r="AA61" i="68"/>
  <c r="O62" i="77" s="1"/>
  <c r="AA69" i="68"/>
  <c r="O70" i="77" s="1"/>
  <c r="AA64" i="69"/>
  <c r="O65" i="78" s="1"/>
  <c r="AA72" i="69"/>
  <c r="O73" i="78" s="1"/>
  <c r="AA48" i="73"/>
  <c r="O49" i="82" s="1"/>
  <c r="AA56" i="73"/>
  <c r="O57" i="82" s="1"/>
  <c r="AA57" i="66"/>
  <c r="O58" i="75" s="1"/>
  <c r="AA65" i="66"/>
  <c r="O66" i="75" s="1"/>
  <c r="AA42" i="71"/>
  <c r="O43" i="80" s="1"/>
  <c r="AA21" i="67"/>
  <c r="O22" i="76" s="1"/>
  <c r="AA37" i="67"/>
  <c r="O38" i="76" s="1"/>
  <c r="AA45" i="67"/>
  <c r="O46" i="76" s="1"/>
  <c r="AA53" i="67"/>
  <c r="O54" i="76" s="1"/>
  <c r="AA61" i="67"/>
  <c r="O62" i="76" s="1"/>
  <c r="AA69" i="67"/>
  <c r="O70" i="76" s="1"/>
  <c r="AA24" i="68"/>
  <c r="O25" i="77" s="1"/>
  <c r="AA32" i="68"/>
  <c r="O33" i="77" s="1"/>
  <c r="AA40" i="68"/>
  <c r="O41" i="77" s="1"/>
  <c r="AA48" i="68"/>
  <c r="O49" i="77" s="1"/>
  <c r="AA56" i="68"/>
  <c r="O57" i="77" s="1"/>
  <c r="AA64" i="68"/>
  <c r="O65" i="77" s="1"/>
  <c r="AA72" i="68"/>
  <c r="O73" i="77" s="1"/>
  <c r="AA27" i="69"/>
  <c r="O28" i="78" s="1"/>
  <c r="AA51" i="69"/>
  <c r="O52" i="78" s="1"/>
  <c r="AA34" i="71"/>
  <c r="O35" i="80" s="1"/>
  <c r="AA58" i="71"/>
  <c r="O59" i="80" s="1"/>
  <c r="AA36" i="73"/>
  <c r="O37" i="82" s="1"/>
  <c r="AA44" i="73"/>
  <c r="O45" i="82" s="1"/>
  <c r="AA52" i="73"/>
  <c r="O53" i="82" s="1"/>
  <c r="AA18" i="71"/>
  <c r="O19" i="80" s="1"/>
  <c r="AA50" i="71"/>
  <c r="O51" i="80" s="1"/>
  <c r="AA42" i="69"/>
  <c r="O43" i="78" s="1"/>
  <c r="AA45" i="66"/>
  <c r="O46" i="75" s="1"/>
  <c r="AA53" i="66"/>
  <c r="O54" i="75" s="1"/>
  <c r="AA61" i="66"/>
  <c r="O62" i="75" s="1"/>
  <c r="AA69" i="66"/>
  <c r="O70" i="75" s="1"/>
  <c r="AA22" i="71"/>
  <c r="O23" i="80" s="1"/>
  <c r="AA30" i="71"/>
  <c r="O31" i="80" s="1"/>
  <c r="AA38" i="71"/>
  <c r="O39" i="80" s="1"/>
  <c r="AA46" i="71"/>
  <c r="O47" i="80" s="1"/>
  <c r="AA54" i="71"/>
  <c r="O55" i="80" s="1"/>
  <c r="AA62" i="71"/>
  <c r="O63" i="80" s="1"/>
  <c r="AA70" i="71"/>
  <c r="O71" i="80" s="1"/>
  <c r="AA70" i="73"/>
  <c r="O71" i="82" s="1"/>
  <c r="N73" i="67"/>
  <c r="P44" i="71"/>
  <c r="J45" i="80" s="1"/>
  <c r="P31" i="67"/>
  <c r="J32" i="76" s="1"/>
  <c r="X16" i="72"/>
  <c r="N17" i="81" s="1"/>
  <c r="X24" i="72"/>
  <c r="N25" i="81" s="1"/>
  <c r="X32" i="72"/>
  <c r="N33" i="81" s="1"/>
  <c r="H36" i="72"/>
  <c r="F37" i="81" s="1"/>
  <c r="AA38" i="72"/>
  <c r="O39" i="81" s="1"/>
  <c r="X40" i="72"/>
  <c r="N41" i="81" s="1"/>
  <c r="AA46" i="72"/>
  <c r="O47" i="81" s="1"/>
  <c r="X48" i="72"/>
  <c r="N49" i="81" s="1"/>
  <c r="X56" i="72"/>
  <c r="N57" i="81" s="1"/>
  <c r="X64" i="72"/>
  <c r="N65" i="81" s="1"/>
  <c r="H68" i="72"/>
  <c r="F69" i="81" s="1"/>
  <c r="AA70" i="72"/>
  <c r="O71" i="81" s="1"/>
  <c r="X72" i="72"/>
  <c r="N73" i="81" s="1"/>
  <c r="AA17" i="73"/>
  <c r="O18" i="82" s="1"/>
  <c r="X19" i="73"/>
  <c r="N20" i="82" s="1"/>
  <c r="AA25" i="73"/>
  <c r="O26" i="82" s="1"/>
  <c r="AA33" i="73"/>
  <c r="O34" i="82" s="1"/>
  <c r="AA41" i="73"/>
  <c r="O42" i="82" s="1"/>
  <c r="AA49" i="73"/>
  <c r="O50" i="82" s="1"/>
  <c r="X51" i="73"/>
  <c r="N52" i="82" s="1"/>
  <c r="X45" i="66"/>
  <c r="N46" i="75" s="1"/>
  <c r="X61" i="66"/>
  <c r="N62" i="75" s="1"/>
  <c r="X69" i="66"/>
  <c r="N70" i="75" s="1"/>
  <c r="H20" i="67"/>
  <c r="F21" i="76" s="1"/>
  <c r="AA30" i="67"/>
  <c r="O31" i="76" s="1"/>
  <c r="AA38" i="67"/>
  <c r="O39" i="76" s="1"/>
  <c r="AA46" i="67"/>
  <c r="O47" i="76" s="1"/>
  <c r="AA54" i="67"/>
  <c r="O55" i="76" s="1"/>
  <c r="AA62" i="67"/>
  <c r="O63" i="76" s="1"/>
  <c r="AA70" i="67"/>
  <c r="O71" i="76" s="1"/>
  <c r="H23" i="68"/>
  <c r="F24" i="77" s="1"/>
  <c r="AA25" i="68"/>
  <c r="O26" i="77" s="1"/>
  <c r="H31" i="68"/>
  <c r="F32" i="77" s="1"/>
  <c r="AA33" i="68"/>
  <c r="O34" i="77" s="1"/>
  <c r="H39" i="68"/>
  <c r="F40" i="77" s="1"/>
  <c r="AA41" i="68"/>
  <c r="O42" i="77" s="1"/>
  <c r="H47" i="68"/>
  <c r="F48" i="77" s="1"/>
  <c r="AA49" i="68"/>
  <c r="O50" i="77" s="1"/>
  <c r="H55" i="68"/>
  <c r="F56" i="77" s="1"/>
  <c r="AA57" i="68"/>
  <c r="O58" i="77" s="1"/>
  <c r="H63" i="68"/>
  <c r="F64" i="77" s="1"/>
  <c r="AA65" i="68"/>
  <c r="O66" i="77" s="1"/>
  <c r="H71" i="68"/>
  <c r="F72" i="77" s="1"/>
  <c r="AA20" i="69"/>
  <c r="O21" i="78" s="1"/>
  <c r="H26" i="69"/>
  <c r="F27" i="78" s="1"/>
  <c r="AA28" i="69"/>
  <c r="O29" i="78" s="1"/>
  <c r="H34" i="69"/>
  <c r="F35" i="78" s="1"/>
  <c r="AA36" i="69"/>
  <c r="O37" i="78" s="1"/>
  <c r="AA44" i="69"/>
  <c r="O45" i="78" s="1"/>
  <c r="AA52" i="69"/>
  <c r="O53" i="78" s="1"/>
  <c r="AA60" i="69"/>
  <c r="O61" i="78" s="1"/>
  <c r="AA68" i="69"/>
  <c r="O69" i="78" s="1"/>
  <c r="X26" i="70"/>
  <c r="N27" i="79" s="1"/>
  <c r="X42" i="70"/>
  <c r="N43" i="79" s="1"/>
  <c r="X50" i="70"/>
  <c r="N51" i="79" s="1"/>
  <c r="X58" i="70"/>
  <c r="N59" i="79" s="1"/>
  <c r="X66" i="70"/>
  <c r="N67" i="79" s="1"/>
  <c r="P16" i="71"/>
  <c r="J17" i="80" s="1"/>
  <c r="P24" i="71"/>
  <c r="J25" i="80" s="1"/>
  <c r="P32" i="71"/>
  <c r="J33" i="80" s="1"/>
  <c r="P40" i="71"/>
  <c r="J41" i="80" s="1"/>
  <c r="P48" i="71"/>
  <c r="J49" i="80" s="1"/>
  <c r="P56" i="71"/>
  <c r="J57" i="80" s="1"/>
  <c r="P64" i="71"/>
  <c r="J65" i="80" s="1"/>
  <c r="AA16" i="72"/>
  <c r="O17" i="81" s="1"/>
  <c r="AA24" i="72"/>
  <c r="O25" i="81" s="1"/>
  <c r="AA32" i="72"/>
  <c r="O33" i="81" s="1"/>
  <c r="AA40" i="72"/>
  <c r="O41" i="81" s="1"/>
  <c r="AA48" i="72"/>
  <c r="O49" i="81" s="1"/>
  <c r="AA56" i="72"/>
  <c r="O57" i="81" s="1"/>
  <c r="AA64" i="72"/>
  <c r="O65" i="81" s="1"/>
  <c r="AA72" i="72"/>
  <c r="O73" i="81" s="1"/>
  <c r="AA59" i="73"/>
  <c r="O60" i="82" s="1"/>
  <c r="P58" i="66"/>
  <c r="J59" i="75" s="1"/>
  <c r="P66" i="66"/>
  <c r="J67" i="75" s="1"/>
  <c r="AA17" i="67"/>
  <c r="O18" i="76" s="1"/>
  <c r="AA33" i="67"/>
  <c r="O34" i="76" s="1"/>
  <c r="AA57" i="67"/>
  <c r="O58" i="76" s="1"/>
  <c r="AA65" i="67"/>
  <c r="O66" i="76" s="1"/>
  <c r="AA20" i="68"/>
  <c r="O21" i="77" s="1"/>
  <c r="AA28" i="68"/>
  <c r="O29" i="77" s="1"/>
  <c r="AA36" i="68"/>
  <c r="O37" i="77" s="1"/>
  <c r="AA44" i="68"/>
  <c r="O45" i="77" s="1"/>
  <c r="AA52" i="68"/>
  <c r="O53" i="77" s="1"/>
  <c r="AA60" i="68"/>
  <c r="O61" i="77" s="1"/>
  <c r="AA68" i="68"/>
  <c r="O69" i="77" s="1"/>
  <c r="X29" i="70"/>
  <c r="N30" i="79" s="1"/>
  <c r="X37" i="70"/>
  <c r="N38" i="79" s="1"/>
  <c r="X45" i="70"/>
  <c r="N46" i="79" s="1"/>
  <c r="X53" i="70"/>
  <c r="N54" i="79" s="1"/>
  <c r="X61" i="70"/>
  <c r="N62" i="79" s="1"/>
  <c r="X69" i="70"/>
  <c r="N70" i="79" s="1"/>
  <c r="P19" i="71"/>
  <c r="J20" i="80" s="1"/>
  <c r="P35" i="71"/>
  <c r="J36" i="80" s="1"/>
  <c r="P43" i="71"/>
  <c r="J44" i="80" s="1"/>
  <c r="P51" i="71"/>
  <c r="J52" i="80" s="1"/>
  <c r="P59" i="71"/>
  <c r="J60" i="80" s="1"/>
  <c r="P67" i="71"/>
  <c r="J68" i="80" s="1"/>
  <c r="H25" i="72"/>
  <c r="F26" i="81" s="1"/>
  <c r="AA27" i="72"/>
  <c r="O28" i="81" s="1"/>
  <c r="H65" i="72"/>
  <c r="F66" i="81" s="1"/>
  <c r="X64" i="73"/>
  <c r="N65" i="82" s="1"/>
  <c r="X72" i="73"/>
  <c r="N73" i="82" s="1"/>
  <c r="X52" i="66"/>
  <c r="N53" i="75" s="1"/>
  <c r="X64" i="66"/>
  <c r="N65" i="75" s="1"/>
  <c r="X72" i="66"/>
  <c r="N73" i="75" s="1"/>
  <c r="AA20" i="67"/>
  <c r="O21" i="76" s="1"/>
  <c r="H26" i="67"/>
  <c r="F27" i="76" s="1"/>
  <c r="H30" i="67"/>
  <c r="F31" i="76" s="1"/>
  <c r="H34" i="67"/>
  <c r="F35" i="76" s="1"/>
  <c r="AA36" i="67"/>
  <c r="O37" i="76" s="1"/>
  <c r="H38" i="67"/>
  <c r="F39" i="76" s="1"/>
  <c r="AA40" i="67"/>
  <c r="O41" i="76" s="1"/>
  <c r="H42" i="67"/>
  <c r="F43" i="76" s="1"/>
  <c r="AA44" i="67"/>
  <c r="O45" i="76" s="1"/>
  <c r="H46" i="67"/>
  <c r="F47" i="76" s="1"/>
  <c r="AA48" i="67"/>
  <c r="O49" i="76" s="1"/>
  <c r="H50" i="67"/>
  <c r="F51" i="76" s="1"/>
  <c r="AA52" i="67"/>
  <c r="O53" i="76" s="1"/>
  <c r="H54" i="67"/>
  <c r="F55" i="76" s="1"/>
  <c r="AA56" i="67"/>
  <c r="O57" i="76" s="1"/>
  <c r="AA60" i="67"/>
  <c r="O61" i="76" s="1"/>
  <c r="AA64" i="67"/>
  <c r="O65" i="76" s="1"/>
  <c r="AA68" i="67"/>
  <c r="O69" i="76" s="1"/>
  <c r="AA72" i="67"/>
  <c r="O73" i="76" s="1"/>
  <c r="H29" i="68"/>
  <c r="F30" i="77" s="1"/>
  <c r="AA39" i="68"/>
  <c r="O40" i="77" s="1"/>
  <c r="AA43" i="68"/>
  <c r="O44" i="77" s="1"/>
  <c r="AA47" i="68"/>
  <c r="O48" i="77" s="1"/>
  <c r="AA51" i="68"/>
  <c r="O52" i="77" s="1"/>
  <c r="H65" i="68"/>
  <c r="F66" i="77" s="1"/>
  <c r="H69" i="68"/>
  <c r="F70" i="77" s="1"/>
  <c r="AA71" i="68"/>
  <c r="O72" i="77" s="1"/>
  <c r="X56" i="66"/>
  <c r="N57" i="75" s="1"/>
  <c r="X68" i="66"/>
  <c r="N69" i="75" s="1"/>
  <c r="AA24" i="67"/>
  <c r="O25" i="76" s="1"/>
  <c r="AA32" i="67"/>
  <c r="O33" i="76" s="1"/>
  <c r="P15" i="66"/>
  <c r="J16" i="75" s="1"/>
  <c r="P19" i="66"/>
  <c r="J20" i="75" s="1"/>
  <c r="P23" i="66"/>
  <c r="J24" i="75" s="1"/>
  <c r="P27" i="66"/>
  <c r="J28" i="75" s="1"/>
  <c r="P31" i="66"/>
  <c r="J32" i="75" s="1"/>
  <c r="P35" i="66"/>
  <c r="J36" i="75" s="1"/>
  <c r="P39" i="66"/>
  <c r="J40" i="75" s="1"/>
  <c r="P43" i="66"/>
  <c r="J44" i="75" s="1"/>
  <c r="P47" i="66"/>
  <c r="J48" i="75" s="1"/>
  <c r="P51" i="66"/>
  <c r="J52" i="75" s="1"/>
  <c r="P55" i="66"/>
  <c r="J56" i="75" s="1"/>
  <c r="P59" i="66"/>
  <c r="J60" i="75" s="1"/>
  <c r="P63" i="66"/>
  <c r="J64" i="75" s="1"/>
  <c r="P67" i="66"/>
  <c r="J68" i="75" s="1"/>
  <c r="P71" i="66"/>
  <c r="J72" i="75" s="1"/>
  <c r="X19" i="67"/>
  <c r="N20" i="76" s="1"/>
  <c r="X23" i="67"/>
  <c r="N24" i="76" s="1"/>
  <c r="X27" i="67"/>
  <c r="N28" i="76" s="1"/>
  <c r="X31" i="67"/>
  <c r="N32" i="76" s="1"/>
  <c r="X35" i="67"/>
  <c r="N36" i="76" s="1"/>
  <c r="X39" i="67"/>
  <c r="N40" i="76" s="1"/>
  <c r="X43" i="67"/>
  <c r="N44" i="76" s="1"/>
  <c r="X47" i="67"/>
  <c r="N48" i="76" s="1"/>
  <c r="X51" i="67"/>
  <c r="N52" i="76" s="1"/>
  <c r="X55" i="67"/>
  <c r="N56" i="76" s="1"/>
  <c r="X59" i="67"/>
  <c r="N60" i="76" s="1"/>
  <c r="X63" i="67"/>
  <c r="N64" i="76" s="1"/>
  <c r="X67" i="67"/>
  <c r="N68" i="76" s="1"/>
  <c r="X71" i="67"/>
  <c r="N72" i="76" s="1"/>
  <c r="X22" i="68"/>
  <c r="N23" i="77" s="1"/>
  <c r="X34" i="68"/>
  <c r="N35" i="77" s="1"/>
  <c r="X38" i="68"/>
  <c r="N39" i="77" s="1"/>
  <c r="X42" i="68"/>
  <c r="N43" i="77" s="1"/>
  <c r="X46" i="68"/>
  <c r="N47" i="77" s="1"/>
  <c r="X50" i="68"/>
  <c r="N51" i="77" s="1"/>
  <c r="X54" i="68"/>
  <c r="N55" i="77" s="1"/>
  <c r="X58" i="68"/>
  <c r="N59" i="77" s="1"/>
  <c r="X62" i="68"/>
  <c r="N63" i="77" s="1"/>
  <c r="X66" i="68"/>
  <c r="N67" i="77" s="1"/>
  <c r="X70" i="68"/>
  <c r="N71" i="77" s="1"/>
  <c r="X48" i="66"/>
  <c r="N49" i="75" s="1"/>
  <c r="X60" i="66"/>
  <c r="N61" i="75" s="1"/>
  <c r="AA28" i="67"/>
  <c r="O29" i="76" s="1"/>
  <c r="AA44" i="66"/>
  <c r="O45" i="75" s="1"/>
  <c r="H54" i="66"/>
  <c r="F55" i="75" s="1"/>
  <c r="AA68" i="66"/>
  <c r="O69" i="75" s="1"/>
  <c r="P22" i="67"/>
  <c r="J23" i="76" s="1"/>
  <c r="P26" i="67"/>
  <c r="J27" i="76" s="1"/>
  <c r="P30" i="67"/>
  <c r="J31" i="76" s="1"/>
  <c r="P34" i="67"/>
  <c r="J35" i="76" s="1"/>
  <c r="P38" i="67"/>
  <c r="J39" i="76" s="1"/>
  <c r="P42" i="67"/>
  <c r="J43" i="76" s="1"/>
  <c r="P46" i="67"/>
  <c r="J47" i="76" s="1"/>
  <c r="P50" i="67"/>
  <c r="J51" i="76" s="1"/>
  <c r="P54" i="67"/>
  <c r="J55" i="76" s="1"/>
  <c r="P58" i="67"/>
  <c r="J59" i="76" s="1"/>
  <c r="P62" i="67"/>
  <c r="J63" i="76" s="1"/>
  <c r="P66" i="67"/>
  <c r="J67" i="76" s="1"/>
  <c r="P70" i="67"/>
  <c r="J71" i="76" s="1"/>
  <c r="P16" i="69"/>
  <c r="J17" i="78" s="1"/>
  <c r="P20" i="69"/>
  <c r="J21" i="78" s="1"/>
  <c r="P30" i="66"/>
  <c r="J31" i="75" s="1"/>
  <c r="P26" i="66"/>
  <c r="J27" i="75" s="1"/>
  <c r="AA15" i="66"/>
  <c r="O16" i="75" s="1"/>
  <c r="AA23" i="66"/>
  <c r="O24" i="75" s="1"/>
  <c r="AA27" i="66"/>
  <c r="O28" i="75" s="1"/>
  <c r="AA31" i="66"/>
  <c r="O32" i="75" s="1"/>
  <c r="H41" i="66"/>
  <c r="F42" i="75" s="1"/>
  <c r="H45" i="66"/>
  <c r="F46" i="75" s="1"/>
  <c r="AA71" i="66"/>
  <c r="O72" i="75" s="1"/>
  <c r="P17" i="67"/>
  <c r="J18" i="76" s="1"/>
  <c r="P21" i="67"/>
  <c r="J22" i="76" s="1"/>
  <c r="P25" i="67"/>
  <c r="J26" i="76" s="1"/>
  <c r="P29" i="67"/>
  <c r="J30" i="76" s="1"/>
  <c r="P33" i="67"/>
  <c r="J34" i="76" s="1"/>
  <c r="P37" i="67"/>
  <c r="J38" i="76" s="1"/>
  <c r="P41" i="67"/>
  <c r="J42" i="76" s="1"/>
  <c r="P45" i="67"/>
  <c r="J46" i="76" s="1"/>
  <c r="P49" i="67"/>
  <c r="J50" i="76" s="1"/>
  <c r="P53" i="67"/>
  <c r="J54" i="76" s="1"/>
  <c r="P57" i="67"/>
  <c r="J58" i="76" s="1"/>
  <c r="P61" i="67"/>
  <c r="J62" i="76" s="1"/>
  <c r="P65" i="67"/>
  <c r="J66" i="76" s="1"/>
  <c r="P69" i="67"/>
  <c r="J70" i="76" s="1"/>
  <c r="P16" i="68"/>
  <c r="J17" i="77" s="1"/>
  <c r="P20" i="68"/>
  <c r="J21" i="77" s="1"/>
  <c r="P24" i="68"/>
  <c r="J25" i="77" s="1"/>
  <c r="P28" i="68"/>
  <c r="J29" i="77" s="1"/>
  <c r="P32" i="68"/>
  <c r="J33" i="77" s="1"/>
  <c r="P36" i="68"/>
  <c r="J37" i="77" s="1"/>
  <c r="P40" i="68"/>
  <c r="J41" i="77" s="1"/>
  <c r="P44" i="68"/>
  <c r="J45" i="77" s="1"/>
  <c r="P48" i="68"/>
  <c r="J49" i="77" s="1"/>
  <c r="P52" i="68"/>
  <c r="J53" i="77" s="1"/>
  <c r="P56" i="68"/>
  <c r="J57" i="77" s="1"/>
  <c r="P60" i="68"/>
  <c r="J61" i="77" s="1"/>
  <c r="P64" i="68"/>
  <c r="J65" i="77" s="1"/>
  <c r="P68" i="68"/>
  <c r="J69" i="77" s="1"/>
  <c r="P19" i="69"/>
  <c r="J20" i="78" s="1"/>
  <c r="P18" i="66"/>
  <c r="J19" i="75" s="1"/>
  <c r="P33" i="66"/>
  <c r="J34" i="75" s="1"/>
  <c r="P41" i="66"/>
  <c r="J42" i="75" s="1"/>
  <c r="P49" i="66"/>
  <c r="J50" i="75" s="1"/>
  <c r="P65" i="66"/>
  <c r="J66" i="75" s="1"/>
  <c r="X29" i="67"/>
  <c r="N30" i="76" s="1"/>
  <c r="X33" i="67"/>
  <c r="N34" i="76" s="1"/>
  <c r="X37" i="67"/>
  <c r="N38" i="76" s="1"/>
  <c r="X41" i="67"/>
  <c r="N42" i="76" s="1"/>
  <c r="X45" i="67"/>
  <c r="N46" i="76" s="1"/>
  <c r="X49" i="67"/>
  <c r="N50" i="76" s="1"/>
  <c r="X53" i="67"/>
  <c r="N54" i="76" s="1"/>
  <c r="X57" i="67"/>
  <c r="N58" i="76" s="1"/>
  <c r="X61" i="67"/>
  <c r="N62" i="76" s="1"/>
  <c r="X65" i="67"/>
  <c r="N66" i="76" s="1"/>
  <c r="X69" i="67"/>
  <c r="N70" i="76" s="1"/>
  <c r="X20" i="68"/>
  <c r="N21" i="77" s="1"/>
  <c r="P34" i="66"/>
  <c r="J35" i="75" s="1"/>
  <c r="P29" i="66"/>
  <c r="J30" i="75" s="1"/>
  <c r="P37" i="66"/>
  <c r="J38" i="75" s="1"/>
  <c r="P45" i="66"/>
  <c r="J46" i="75" s="1"/>
  <c r="P61" i="66"/>
  <c r="J62" i="75" s="1"/>
  <c r="H44" i="66"/>
  <c r="F45" i="75" s="1"/>
  <c r="AA50" i="66"/>
  <c r="O51" i="75" s="1"/>
  <c r="AA54" i="66"/>
  <c r="O55" i="75" s="1"/>
  <c r="AA58" i="66"/>
  <c r="O59" i="75" s="1"/>
  <c r="AA62" i="66"/>
  <c r="O63" i="75" s="1"/>
  <c r="AA66" i="66"/>
  <c r="O67" i="75" s="1"/>
  <c r="H68" i="66"/>
  <c r="F69" i="75" s="1"/>
  <c r="P15" i="68"/>
  <c r="J16" i="77" s="1"/>
  <c r="P19" i="68"/>
  <c r="J20" i="77" s="1"/>
  <c r="P23" i="68"/>
  <c r="J24" i="77" s="1"/>
  <c r="P27" i="68"/>
  <c r="J28" i="77" s="1"/>
  <c r="P31" i="68"/>
  <c r="J32" i="77" s="1"/>
  <c r="P35" i="68"/>
  <c r="J36" i="77" s="1"/>
  <c r="P39" i="68"/>
  <c r="J40" i="77" s="1"/>
  <c r="P43" i="68"/>
  <c r="J44" i="77" s="1"/>
  <c r="P47" i="68"/>
  <c r="J48" i="77" s="1"/>
  <c r="P51" i="68"/>
  <c r="J52" i="77" s="1"/>
  <c r="P55" i="68"/>
  <c r="J56" i="77" s="1"/>
  <c r="P59" i="68"/>
  <c r="J60" i="77" s="1"/>
  <c r="P63" i="68"/>
  <c r="J64" i="77" s="1"/>
  <c r="P67" i="68"/>
  <c r="J68" i="77" s="1"/>
  <c r="P71" i="68"/>
  <c r="J72" i="77" s="1"/>
  <c r="P42" i="66"/>
  <c r="J43" i="75" s="1"/>
  <c r="P22" i="66"/>
  <c r="J23" i="75" s="1"/>
  <c r="P50" i="66"/>
  <c r="J51" i="75" s="1"/>
  <c r="P20" i="66"/>
  <c r="J21" i="75" s="1"/>
  <c r="P24" i="66"/>
  <c r="J25" i="75" s="1"/>
  <c r="P28" i="66"/>
  <c r="J29" i="75" s="1"/>
  <c r="P32" i="66"/>
  <c r="J33" i="75" s="1"/>
  <c r="P36" i="66"/>
  <c r="J37" i="75" s="1"/>
  <c r="P40" i="66"/>
  <c r="J41" i="75" s="1"/>
  <c r="P48" i="66"/>
  <c r="J49" i="75" s="1"/>
  <c r="P52" i="66"/>
  <c r="J53" i="75" s="1"/>
  <c r="P56" i="66"/>
  <c r="J57" i="75" s="1"/>
  <c r="P60" i="66"/>
  <c r="J61" i="75" s="1"/>
  <c r="P64" i="66"/>
  <c r="J65" i="75" s="1"/>
  <c r="X20" i="67"/>
  <c r="N21" i="76" s="1"/>
  <c r="X48" i="67"/>
  <c r="N49" i="76" s="1"/>
  <c r="X56" i="67"/>
  <c r="N57" i="76" s="1"/>
  <c r="X60" i="67"/>
  <c r="N61" i="76" s="1"/>
  <c r="X64" i="67"/>
  <c r="N65" i="76" s="1"/>
  <c r="X68" i="67"/>
  <c r="N69" i="76" s="1"/>
  <c r="X72" i="67"/>
  <c r="N73" i="76" s="1"/>
  <c r="X19" i="68"/>
  <c r="N20" i="77" s="1"/>
  <c r="X23" i="68"/>
  <c r="N24" i="77" s="1"/>
  <c r="X27" i="68"/>
  <c r="N28" i="77" s="1"/>
  <c r="X31" i="68"/>
  <c r="N32" i="77" s="1"/>
  <c r="X35" i="68"/>
  <c r="N36" i="77" s="1"/>
  <c r="X39" i="68"/>
  <c r="N40" i="77" s="1"/>
  <c r="X43" i="68"/>
  <c r="N44" i="77" s="1"/>
  <c r="X47" i="68"/>
  <c r="N48" i="77" s="1"/>
  <c r="X51" i="68"/>
  <c r="N52" i="77" s="1"/>
  <c r="X55" i="68"/>
  <c r="N56" i="77" s="1"/>
  <c r="X59" i="68"/>
  <c r="N60" i="77" s="1"/>
  <c r="X63" i="68"/>
  <c r="N64" i="77" s="1"/>
  <c r="X67" i="68"/>
  <c r="N68" i="77" s="1"/>
  <c r="X71" i="68"/>
  <c r="N72" i="77" s="1"/>
  <c r="P23" i="69"/>
  <c r="J24" i="78" s="1"/>
  <c r="P31" i="69"/>
  <c r="J32" i="78" s="1"/>
  <c r="P35" i="69"/>
  <c r="J36" i="78" s="1"/>
  <c r="P39" i="69"/>
  <c r="J40" i="78" s="1"/>
  <c r="P43" i="69"/>
  <c r="J44" i="78" s="1"/>
  <c r="P47" i="69"/>
  <c r="J48" i="78" s="1"/>
  <c r="P51" i="69"/>
  <c r="J52" i="78" s="1"/>
  <c r="P55" i="69"/>
  <c r="J56" i="78" s="1"/>
  <c r="P59" i="69"/>
  <c r="J60" i="78" s="1"/>
  <c r="P63" i="69"/>
  <c r="J64" i="78" s="1"/>
  <c r="P67" i="69"/>
  <c r="J68" i="78" s="1"/>
  <c r="P71" i="69"/>
  <c r="J72" i="78" s="1"/>
  <c r="AA43" i="70"/>
  <c r="O44" i="79" s="1"/>
  <c r="AA47" i="70"/>
  <c r="O48" i="79" s="1"/>
  <c r="H53" i="70"/>
  <c r="F54" i="79" s="1"/>
  <c r="H65" i="70"/>
  <c r="F66" i="79" s="1"/>
  <c r="X29" i="71"/>
  <c r="N30" i="80" s="1"/>
  <c r="X33" i="71"/>
  <c r="N34" i="80" s="1"/>
  <c r="X37" i="71"/>
  <c r="N38" i="80" s="1"/>
  <c r="X41" i="71"/>
  <c r="N42" i="80" s="1"/>
  <c r="X45" i="71"/>
  <c r="N46" i="80" s="1"/>
  <c r="X49" i="71"/>
  <c r="N50" i="80" s="1"/>
  <c r="X53" i="71"/>
  <c r="N54" i="80" s="1"/>
  <c r="X57" i="71"/>
  <c r="N58" i="80" s="1"/>
  <c r="X61" i="71"/>
  <c r="N62" i="80" s="1"/>
  <c r="X65" i="71"/>
  <c r="N66" i="80" s="1"/>
  <c r="X69" i="71"/>
  <c r="N70" i="80" s="1"/>
  <c r="P35" i="72"/>
  <c r="J36" i="81" s="1"/>
  <c r="P39" i="72"/>
  <c r="J40" i="81" s="1"/>
  <c r="P43" i="72"/>
  <c r="J44" i="81" s="1"/>
  <c r="P47" i="72"/>
  <c r="J48" i="81" s="1"/>
  <c r="P51" i="72"/>
  <c r="J52" i="81" s="1"/>
  <c r="P55" i="72"/>
  <c r="J56" i="81" s="1"/>
  <c r="P59" i="72"/>
  <c r="J60" i="81" s="1"/>
  <c r="P63" i="72"/>
  <c r="J64" i="81" s="1"/>
  <c r="P67" i="72"/>
  <c r="J68" i="81" s="1"/>
  <c r="P71" i="72"/>
  <c r="J72" i="81" s="1"/>
  <c r="AA71" i="73"/>
  <c r="O72" i="82" s="1"/>
  <c r="AA18" i="70"/>
  <c r="O19" i="79" s="1"/>
  <c r="AA22" i="70"/>
  <c r="O23" i="79" s="1"/>
  <c r="H24" i="70"/>
  <c r="F25" i="79" s="1"/>
  <c r="AA26" i="70"/>
  <c r="O27" i="79" s="1"/>
  <c r="H28" i="70"/>
  <c r="F29" i="79" s="1"/>
  <c r="AA30" i="70"/>
  <c r="O31" i="79" s="1"/>
  <c r="H32" i="70"/>
  <c r="F33" i="79" s="1"/>
  <c r="AA34" i="70"/>
  <c r="O35" i="79" s="1"/>
  <c r="AA38" i="70"/>
  <c r="O39" i="79" s="1"/>
  <c r="AA42" i="70"/>
  <c r="O43" i="79" s="1"/>
  <c r="AA46" i="70"/>
  <c r="O47" i="79" s="1"/>
  <c r="AA50" i="70"/>
  <c r="O51" i="79" s="1"/>
  <c r="H52" i="70"/>
  <c r="F53" i="79" s="1"/>
  <c r="AA54" i="70"/>
  <c r="O55" i="79" s="1"/>
  <c r="H56" i="70"/>
  <c r="F57" i="79" s="1"/>
  <c r="AA58" i="70"/>
  <c r="O59" i="79" s="1"/>
  <c r="AA62" i="70"/>
  <c r="O63" i="79" s="1"/>
  <c r="H64" i="70"/>
  <c r="F65" i="79" s="1"/>
  <c r="AA66" i="70"/>
  <c r="O67" i="79" s="1"/>
  <c r="AA70" i="70"/>
  <c r="O71" i="79" s="1"/>
  <c r="H72" i="70"/>
  <c r="F73" i="79" s="1"/>
  <c r="X16" i="71"/>
  <c r="N17" i="80" s="1"/>
  <c r="X24" i="71"/>
  <c r="N25" i="80" s="1"/>
  <c r="X28" i="71"/>
  <c r="N29" i="80" s="1"/>
  <c r="X32" i="71"/>
  <c r="N33" i="80" s="1"/>
  <c r="X36" i="71"/>
  <c r="N37" i="80" s="1"/>
  <c r="X40" i="71"/>
  <c r="N41" i="80" s="1"/>
  <c r="X44" i="71"/>
  <c r="N45" i="80" s="1"/>
  <c r="X48" i="71"/>
  <c r="N49" i="80" s="1"/>
  <c r="X52" i="71"/>
  <c r="N53" i="80" s="1"/>
  <c r="X56" i="71"/>
  <c r="N57" i="80" s="1"/>
  <c r="X60" i="71"/>
  <c r="N61" i="80" s="1"/>
  <c r="X64" i="71"/>
  <c r="N65" i="80" s="1"/>
  <c r="X68" i="71"/>
  <c r="N69" i="80" s="1"/>
  <c r="X72" i="71"/>
  <c r="N73" i="80" s="1"/>
  <c r="H16" i="73"/>
  <c r="F17" i="82" s="1"/>
  <c r="AA18" i="73"/>
  <c r="O19" i="82" s="1"/>
  <c r="H20" i="73"/>
  <c r="F21" i="82" s="1"/>
  <c r="AA22" i="73"/>
  <c r="O23" i="82" s="1"/>
  <c r="AA26" i="73"/>
  <c r="O27" i="82" s="1"/>
  <c r="AA30" i="73"/>
  <c r="O31" i="82" s="1"/>
  <c r="AA34" i="73"/>
  <c r="O35" i="82" s="1"/>
  <c r="AA38" i="73"/>
  <c r="O39" i="82" s="1"/>
  <c r="AA42" i="73"/>
  <c r="O43" i="82" s="1"/>
  <c r="AA46" i="73"/>
  <c r="O47" i="82" s="1"/>
  <c r="AA50" i="73"/>
  <c r="O51" i="82" s="1"/>
  <c r="AA54" i="73"/>
  <c r="O55" i="82" s="1"/>
  <c r="AA58" i="73"/>
  <c r="O59" i="82" s="1"/>
  <c r="AA62" i="73"/>
  <c r="O63" i="82" s="1"/>
  <c r="AA66" i="73"/>
  <c r="O67" i="82" s="1"/>
  <c r="X30" i="69"/>
  <c r="N31" i="78" s="1"/>
  <c r="X34" i="69"/>
  <c r="N35" i="78" s="1"/>
  <c r="X38" i="69"/>
  <c r="N39" i="78" s="1"/>
  <c r="X42" i="69"/>
  <c r="N43" i="78" s="1"/>
  <c r="X50" i="69"/>
  <c r="N51" i="78" s="1"/>
  <c r="X66" i="69"/>
  <c r="N67" i="78" s="1"/>
  <c r="P16" i="70"/>
  <c r="J17" i="79" s="1"/>
  <c r="P20" i="70"/>
  <c r="J21" i="79" s="1"/>
  <c r="P24" i="70"/>
  <c r="J25" i="79" s="1"/>
  <c r="P28" i="70"/>
  <c r="J29" i="79" s="1"/>
  <c r="P32" i="70"/>
  <c r="J33" i="79" s="1"/>
  <c r="P36" i="70"/>
  <c r="J37" i="79" s="1"/>
  <c r="P40" i="70"/>
  <c r="J41" i="79" s="1"/>
  <c r="P44" i="70"/>
  <c r="J45" i="79" s="1"/>
  <c r="AA16" i="71"/>
  <c r="O17" i="80" s="1"/>
  <c r="AA24" i="71"/>
  <c r="O25" i="80" s="1"/>
  <c r="AA28" i="71"/>
  <c r="O29" i="80" s="1"/>
  <c r="AA32" i="71"/>
  <c r="O33" i="80" s="1"/>
  <c r="AA40" i="71"/>
  <c r="O41" i="80" s="1"/>
  <c r="AA44" i="71"/>
  <c r="O45" i="80" s="1"/>
  <c r="AA48" i="71"/>
  <c r="O49" i="80" s="1"/>
  <c r="AA52" i="71"/>
  <c r="O53" i="80" s="1"/>
  <c r="AA56" i="71"/>
  <c r="O57" i="80" s="1"/>
  <c r="AA60" i="71"/>
  <c r="O61" i="80" s="1"/>
  <c r="AA64" i="71"/>
  <c r="O65" i="80" s="1"/>
  <c r="AA68" i="71"/>
  <c r="O69" i="80" s="1"/>
  <c r="AA72" i="71"/>
  <c r="O73" i="80" s="1"/>
  <c r="X18" i="72"/>
  <c r="N19" i="81" s="1"/>
  <c r="X30" i="72"/>
  <c r="N31" i="81" s="1"/>
  <c r="X34" i="72"/>
  <c r="N35" i="81" s="1"/>
  <c r="X38" i="72"/>
  <c r="N39" i="81" s="1"/>
  <c r="X42" i="72"/>
  <c r="N43" i="81" s="1"/>
  <c r="X46" i="72"/>
  <c r="N47" i="81" s="1"/>
  <c r="X54" i="72"/>
  <c r="N55" i="81" s="1"/>
  <c r="X58" i="72"/>
  <c r="N59" i="81" s="1"/>
  <c r="X62" i="72"/>
  <c r="N63" i="81" s="1"/>
  <c r="X66" i="72"/>
  <c r="N67" i="81" s="1"/>
  <c r="X70" i="72"/>
  <c r="N71" i="81" s="1"/>
  <c r="X29" i="73"/>
  <c r="N30" i="82" s="1"/>
  <c r="X33" i="73"/>
  <c r="N34" i="82" s="1"/>
  <c r="X37" i="73"/>
  <c r="N38" i="82" s="1"/>
  <c r="X41" i="73"/>
  <c r="N42" i="82" s="1"/>
  <c r="X45" i="73"/>
  <c r="N46" i="82" s="1"/>
  <c r="X49" i="73"/>
  <c r="N50" i="82" s="1"/>
  <c r="X53" i="73"/>
  <c r="N54" i="82" s="1"/>
  <c r="X57" i="73"/>
  <c r="N58" i="82" s="1"/>
  <c r="X61" i="73"/>
  <c r="N62" i="82" s="1"/>
  <c r="X65" i="73"/>
  <c r="N66" i="82" s="1"/>
  <c r="X69" i="73"/>
  <c r="N70" i="82" s="1"/>
  <c r="AA41" i="70"/>
  <c r="O42" i="79" s="1"/>
  <c r="AA45" i="70"/>
  <c r="O46" i="79" s="1"/>
  <c r="AA49" i="70"/>
  <c r="O50" i="79" s="1"/>
  <c r="AA53" i="70"/>
  <c r="O54" i="79" s="1"/>
  <c r="AA57" i="70"/>
  <c r="O58" i="79" s="1"/>
  <c r="AA61" i="70"/>
  <c r="O62" i="79" s="1"/>
  <c r="AA65" i="70"/>
  <c r="O66" i="79" s="1"/>
  <c r="AA69" i="70"/>
  <c r="O70" i="79" s="1"/>
  <c r="X23" i="71"/>
  <c r="N24" i="80" s="1"/>
  <c r="X27" i="71"/>
  <c r="N28" i="80" s="1"/>
  <c r="X35" i="71"/>
  <c r="N36" i="80" s="1"/>
  <c r="X39" i="71"/>
  <c r="N40" i="80" s="1"/>
  <c r="X43" i="71"/>
  <c r="N44" i="80" s="1"/>
  <c r="X47" i="71"/>
  <c r="N48" i="80" s="1"/>
  <c r="X51" i="71"/>
  <c r="N52" i="80" s="1"/>
  <c r="X55" i="71"/>
  <c r="N56" i="80" s="1"/>
  <c r="X59" i="71"/>
  <c r="N60" i="80" s="1"/>
  <c r="P33" i="72"/>
  <c r="J34" i="81" s="1"/>
  <c r="P41" i="72"/>
  <c r="J42" i="81" s="1"/>
  <c r="P45" i="72"/>
  <c r="J46" i="81" s="1"/>
  <c r="P49" i="72"/>
  <c r="J50" i="81" s="1"/>
  <c r="P53" i="72"/>
  <c r="J54" i="81" s="1"/>
  <c r="P57" i="72"/>
  <c r="J58" i="81" s="1"/>
  <c r="P61" i="72"/>
  <c r="J62" i="81" s="1"/>
  <c r="P65" i="72"/>
  <c r="J66" i="81" s="1"/>
  <c r="P16" i="73"/>
  <c r="J17" i="82" s="1"/>
  <c r="P20" i="73"/>
  <c r="J21" i="82" s="1"/>
  <c r="P28" i="73"/>
  <c r="J29" i="82" s="1"/>
  <c r="P32" i="73"/>
  <c r="J33" i="82" s="1"/>
  <c r="P36" i="73"/>
  <c r="J37" i="82" s="1"/>
  <c r="P40" i="73"/>
  <c r="J41" i="82" s="1"/>
  <c r="P44" i="73"/>
  <c r="J45" i="82" s="1"/>
  <c r="P48" i="73"/>
  <c r="J49" i="82" s="1"/>
  <c r="P52" i="73"/>
  <c r="J53" i="82" s="1"/>
  <c r="X53" i="69"/>
  <c r="N54" i="78" s="1"/>
  <c r="X61" i="69"/>
  <c r="N62" i="78" s="1"/>
  <c r="X65" i="69"/>
  <c r="N66" i="78" s="1"/>
  <c r="P15" i="70"/>
  <c r="J16" i="79" s="1"/>
  <c r="P19" i="70"/>
  <c r="J20" i="79" s="1"/>
  <c r="P23" i="70"/>
  <c r="J24" i="79" s="1"/>
  <c r="P27" i="70"/>
  <c r="J28" i="79" s="1"/>
  <c r="P31" i="70"/>
  <c r="J32" i="79" s="1"/>
  <c r="P39" i="70"/>
  <c r="J40" i="79" s="1"/>
  <c r="P47" i="70"/>
  <c r="J48" i="79" s="1"/>
  <c r="P51" i="70"/>
  <c r="J52" i="79" s="1"/>
  <c r="P55" i="70"/>
  <c r="J56" i="79" s="1"/>
  <c r="P59" i="70"/>
  <c r="J60" i="79" s="1"/>
  <c r="P63" i="70"/>
  <c r="J64" i="79" s="1"/>
  <c r="P67" i="70"/>
  <c r="J68" i="79" s="1"/>
  <c r="P71" i="70"/>
  <c r="J72" i="79" s="1"/>
  <c r="AA19" i="71"/>
  <c r="O20" i="80" s="1"/>
  <c r="AA35" i="71"/>
  <c r="O36" i="80" s="1"/>
  <c r="AA55" i="71"/>
  <c r="O56" i="80" s="1"/>
  <c r="H61" i="71"/>
  <c r="F62" i="80" s="1"/>
  <c r="H69" i="71"/>
  <c r="F70" i="80" s="1"/>
  <c r="N73" i="72"/>
  <c r="X17" i="72"/>
  <c r="N18" i="81" s="1"/>
  <c r="X21" i="72"/>
  <c r="N22" i="81" s="1"/>
  <c r="X25" i="72"/>
  <c r="N26" i="81" s="1"/>
  <c r="X29" i="72"/>
  <c r="N30" i="81" s="1"/>
  <c r="X33" i="72"/>
  <c r="N34" i="81" s="1"/>
  <c r="X37" i="72"/>
  <c r="N38" i="81" s="1"/>
  <c r="X45" i="72"/>
  <c r="N46" i="81" s="1"/>
  <c r="X49" i="72"/>
  <c r="N50" i="81" s="1"/>
  <c r="X53" i="72"/>
  <c r="N54" i="81" s="1"/>
  <c r="X57" i="72"/>
  <c r="N58" i="81" s="1"/>
  <c r="X61" i="72"/>
  <c r="N62" i="81" s="1"/>
  <c r="X65" i="72"/>
  <c r="N66" i="81" s="1"/>
  <c r="X69" i="72"/>
  <c r="N70" i="81" s="1"/>
  <c r="X20" i="73"/>
  <c r="N21" i="82" s="1"/>
  <c r="X24" i="73"/>
  <c r="N25" i="82" s="1"/>
  <c r="X28" i="73"/>
  <c r="N29" i="82" s="1"/>
  <c r="X32" i="73"/>
  <c r="N33" i="82" s="1"/>
  <c r="X40" i="73"/>
  <c r="N41" i="82" s="1"/>
  <c r="X48" i="73"/>
  <c r="N49" i="82" s="1"/>
  <c r="X52" i="73"/>
  <c r="N53" i="82" s="1"/>
  <c r="X56" i="73"/>
  <c r="N57" i="82" s="1"/>
  <c r="P24" i="69"/>
  <c r="J25" i="78" s="1"/>
  <c r="P28" i="69"/>
  <c r="J29" i="78" s="1"/>
  <c r="P32" i="69"/>
  <c r="J33" i="78" s="1"/>
  <c r="P36" i="69"/>
  <c r="J37" i="78" s="1"/>
  <c r="P40" i="69"/>
  <c r="J41" i="78" s="1"/>
  <c r="P44" i="69"/>
  <c r="J45" i="78" s="1"/>
  <c r="P48" i="69"/>
  <c r="J49" i="78" s="1"/>
  <c r="P52" i="69"/>
  <c r="J53" i="78" s="1"/>
  <c r="P56" i="69"/>
  <c r="J57" i="78" s="1"/>
  <c r="P60" i="69"/>
  <c r="J61" i="78" s="1"/>
  <c r="P64" i="69"/>
  <c r="J65" i="78" s="1"/>
  <c r="P68" i="69"/>
  <c r="J69" i="78" s="1"/>
  <c r="AA24" i="70"/>
  <c r="O25" i="79" s="1"/>
  <c r="AA28" i="70"/>
  <c r="O29" i="79" s="1"/>
  <c r="AA32" i="70"/>
  <c r="O33" i="79" s="1"/>
  <c r="AA36" i="70"/>
  <c r="O37" i="79" s="1"/>
  <c r="AA40" i="70"/>
  <c r="O41" i="79" s="1"/>
  <c r="AA44" i="70"/>
  <c r="O45" i="79" s="1"/>
  <c r="AA48" i="70"/>
  <c r="O49" i="79" s="1"/>
  <c r="AA52" i="70"/>
  <c r="O53" i="79" s="1"/>
  <c r="AA56" i="70"/>
  <c r="O57" i="79" s="1"/>
  <c r="AA60" i="70"/>
  <c r="O61" i="79" s="1"/>
  <c r="AA64" i="70"/>
  <c r="O65" i="79" s="1"/>
  <c r="AA68" i="70"/>
  <c r="O69" i="79" s="1"/>
  <c r="AA72" i="70"/>
  <c r="O73" i="79" s="1"/>
  <c r="X22" i="71"/>
  <c r="N23" i="80" s="1"/>
  <c r="X38" i="71"/>
  <c r="N39" i="80" s="1"/>
  <c r="X66" i="71"/>
  <c r="N67" i="80" s="1"/>
  <c r="P16" i="72"/>
  <c r="J17" i="81" s="1"/>
  <c r="P20" i="72"/>
  <c r="J21" i="81" s="1"/>
  <c r="P28" i="72"/>
  <c r="J29" i="81" s="1"/>
  <c r="P32" i="72"/>
  <c r="J33" i="81" s="1"/>
  <c r="P36" i="72"/>
  <c r="J37" i="81" s="1"/>
  <c r="P40" i="72"/>
  <c r="J41" i="81" s="1"/>
  <c r="P44" i="72"/>
  <c r="J45" i="81" s="1"/>
  <c r="P48" i="72"/>
  <c r="J49" i="81" s="1"/>
  <c r="P56" i="72"/>
  <c r="J57" i="81" s="1"/>
  <c r="P60" i="72"/>
  <c r="J61" i="81" s="1"/>
  <c r="P15" i="73"/>
  <c r="J16" i="82" s="1"/>
  <c r="P19" i="73"/>
  <c r="J20" i="82" s="1"/>
  <c r="P23" i="73"/>
  <c r="J24" i="82" s="1"/>
  <c r="P27" i="73"/>
  <c r="J28" i="82" s="1"/>
  <c r="P31" i="73"/>
  <c r="J32" i="82" s="1"/>
  <c r="P35" i="73"/>
  <c r="J36" i="82" s="1"/>
  <c r="P39" i="73"/>
  <c r="J40" i="82" s="1"/>
  <c r="P43" i="73"/>
  <c r="J44" i="82" s="1"/>
  <c r="P47" i="73"/>
  <c r="J48" i="82" s="1"/>
  <c r="P51" i="73"/>
  <c r="J52" i="82" s="1"/>
  <c r="P55" i="73"/>
  <c r="J56" i="82" s="1"/>
  <c r="P59" i="73"/>
  <c r="J60" i="82" s="1"/>
  <c r="P63" i="73"/>
  <c r="J64" i="82" s="1"/>
  <c r="P67" i="73"/>
  <c r="J68" i="82" s="1"/>
  <c r="P71" i="73"/>
  <c r="J72" i="82" s="1"/>
  <c r="AA15" i="72"/>
  <c r="O16" i="81" s="1"/>
  <c r="X22" i="70"/>
  <c r="N23" i="79" s="1"/>
  <c r="X25" i="69"/>
  <c r="N26" i="78" s="1"/>
  <c r="AA25" i="69"/>
  <c r="O26" i="78" s="1"/>
  <c r="X20" i="69"/>
  <c r="N21" i="78" s="1"/>
  <c r="X24" i="69"/>
  <c r="N25" i="78" s="1"/>
  <c r="X18" i="68"/>
  <c r="N19" i="77" s="1"/>
  <c r="AA18" i="68"/>
  <c r="O19" i="77" s="1"/>
  <c r="H15" i="67"/>
  <c r="F16" i="76" s="1"/>
  <c r="AA15" i="67"/>
  <c r="O16" i="76" s="1"/>
  <c r="H28" i="66"/>
  <c r="F29" i="75" s="1"/>
  <c r="H32" i="66"/>
  <c r="F33" i="75" s="1"/>
  <c r="H36" i="66"/>
  <c r="F37" i="75" s="1"/>
  <c r="AA22" i="66"/>
  <c r="O23" i="75" s="1"/>
  <c r="X41" i="66"/>
  <c r="N42" i="75" s="1"/>
  <c r="AA37" i="66"/>
  <c r="O38" i="75" s="1"/>
  <c r="AA21" i="66"/>
  <c r="O22" i="75" s="1"/>
  <c r="X23" i="66"/>
  <c r="N24" i="75" s="1"/>
  <c r="X35" i="66"/>
  <c r="N36" i="75" s="1"/>
  <c r="AA38" i="66"/>
  <c r="O39" i="75" s="1"/>
  <c r="AA41" i="66"/>
  <c r="O42" i="75" s="1"/>
  <c r="AA17" i="66"/>
  <c r="O18" i="75" s="1"/>
  <c r="AA25" i="66"/>
  <c r="O26" i="75" s="1"/>
  <c r="AA29" i="66"/>
  <c r="O30" i="75" s="1"/>
  <c r="AA33" i="66"/>
  <c r="O34" i="75" s="1"/>
  <c r="F43" i="84"/>
  <c r="F46" i="84" s="1"/>
  <c r="X15" i="72"/>
  <c r="N16" i="81" s="1"/>
  <c r="F73" i="72"/>
  <c r="AA16" i="70"/>
  <c r="O17" i="79" s="1"/>
  <c r="AA20" i="70"/>
  <c r="O21" i="79" s="1"/>
  <c r="X18" i="70"/>
  <c r="N19" i="79" s="1"/>
  <c r="X17" i="70"/>
  <c r="N18" i="79" s="1"/>
  <c r="X21" i="70"/>
  <c r="N22" i="79" s="1"/>
  <c r="H16" i="70"/>
  <c r="F17" i="79" s="1"/>
  <c r="H20" i="70"/>
  <c r="F21" i="79" s="1"/>
  <c r="AA17" i="69"/>
  <c r="O18" i="78" s="1"/>
  <c r="AA21" i="69"/>
  <c r="O22" i="78" s="1"/>
  <c r="AA24" i="69"/>
  <c r="O25" i="78" s="1"/>
  <c r="AA15" i="69"/>
  <c r="O16" i="78" s="1"/>
  <c r="H15" i="69"/>
  <c r="F16" i="78" s="1"/>
  <c r="H18" i="69"/>
  <c r="F19" i="78" s="1"/>
  <c r="H22" i="69"/>
  <c r="F23" i="78" s="1"/>
  <c r="X16" i="68"/>
  <c r="N17" i="77" s="1"/>
  <c r="AA17" i="68"/>
  <c r="O18" i="77" s="1"/>
  <c r="AA16" i="68"/>
  <c r="O17" i="77" s="1"/>
  <c r="H19" i="68"/>
  <c r="F20" i="77" s="1"/>
  <c r="AA16" i="67"/>
  <c r="O17" i="76" s="1"/>
  <c r="H16" i="67"/>
  <c r="F17" i="76" s="1"/>
  <c r="X18" i="66"/>
  <c r="N19" i="75" s="1"/>
  <c r="X22" i="66"/>
  <c r="N23" i="75" s="1"/>
  <c r="X37" i="66"/>
  <c r="N38" i="75" s="1"/>
  <c r="X16" i="66"/>
  <c r="N17" i="75" s="1"/>
  <c r="X20" i="66"/>
  <c r="N21" i="75" s="1"/>
  <c r="X24" i="66"/>
  <c r="N25" i="75" s="1"/>
  <c r="X28" i="66"/>
  <c r="N29" i="75" s="1"/>
  <c r="X36" i="66"/>
  <c r="N37" i="75" s="1"/>
  <c r="X40" i="66"/>
  <c r="N41" i="75" s="1"/>
  <c r="X39" i="66"/>
  <c r="N40" i="75" s="1"/>
  <c r="H15" i="66"/>
  <c r="F16" i="75" s="1"/>
  <c r="H19" i="66"/>
  <c r="F20" i="75" s="1"/>
  <c r="H23" i="66"/>
  <c r="F24" i="75" s="1"/>
  <c r="H31" i="66"/>
  <c r="F32" i="75" s="1"/>
  <c r="H35" i="66"/>
  <c r="F36" i="75" s="1"/>
  <c r="H39" i="66"/>
  <c r="F40" i="75" s="1"/>
  <c r="D44" i="85"/>
  <c r="D47" i="85" s="1"/>
  <c r="E47" i="85" s="1"/>
  <c r="X17" i="73"/>
  <c r="N18" i="82" s="1"/>
  <c r="X15" i="73"/>
  <c r="N16" i="82" s="1"/>
  <c r="X23" i="73"/>
  <c r="N24" i="82" s="1"/>
  <c r="X27" i="73"/>
  <c r="N28" i="82" s="1"/>
  <c r="X31" i="73"/>
  <c r="N32" i="82" s="1"/>
  <c r="X35" i="73"/>
  <c r="N36" i="82" s="1"/>
  <c r="X39" i="73"/>
  <c r="N40" i="82" s="1"/>
  <c r="X43" i="73"/>
  <c r="N44" i="82" s="1"/>
  <c r="X17" i="68"/>
  <c r="N18" i="77" s="1"/>
  <c r="X21" i="68"/>
  <c r="N22" i="77" s="1"/>
  <c r="X25" i="68"/>
  <c r="N26" i="77" s="1"/>
  <c r="X21" i="73"/>
  <c r="N22" i="82" s="1"/>
  <c r="X25" i="73"/>
  <c r="N26" i="82" s="1"/>
  <c r="X33" i="68"/>
  <c r="N34" i="77" s="1"/>
  <c r="X37" i="68"/>
  <c r="N38" i="77" s="1"/>
  <c r="X41" i="68"/>
  <c r="N42" i="77" s="1"/>
  <c r="X53" i="68"/>
  <c r="N54" i="77" s="1"/>
  <c r="X57" i="68"/>
  <c r="N58" i="77" s="1"/>
  <c r="X17" i="69"/>
  <c r="N18" i="78" s="1"/>
  <c r="X21" i="69"/>
  <c r="N22" i="78" s="1"/>
  <c r="X15" i="71"/>
  <c r="N16" i="80" s="1"/>
  <c r="X19" i="71"/>
  <c r="N20" i="80" s="1"/>
  <c r="X31" i="71"/>
  <c r="N32" i="80" s="1"/>
  <c r="X18" i="67"/>
  <c r="N19" i="76" s="1"/>
  <c r="X22" i="67"/>
  <c r="N23" i="76" s="1"/>
  <c r="X30" i="67"/>
  <c r="N31" i="76" s="1"/>
  <c r="X34" i="67"/>
  <c r="N35" i="76" s="1"/>
  <c r="X38" i="67"/>
  <c r="N39" i="76" s="1"/>
  <c r="X42" i="67"/>
  <c r="N43" i="76" s="1"/>
  <c r="X46" i="67"/>
  <c r="N47" i="76" s="1"/>
  <c r="X50" i="67"/>
  <c r="N51" i="76" s="1"/>
  <c r="AA51" i="70"/>
  <c r="O52" i="79" s="1"/>
  <c r="AA55" i="70"/>
  <c r="O56" i="79" s="1"/>
  <c r="H57" i="70"/>
  <c r="F58" i="79" s="1"/>
  <c r="AA59" i="70"/>
  <c r="O60" i="79" s="1"/>
  <c r="AA63" i="70"/>
  <c r="O64" i="79" s="1"/>
  <c r="AA67" i="70"/>
  <c r="O68" i="79" s="1"/>
  <c r="AA71" i="70"/>
  <c r="O72" i="79" s="1"/>
  <c r="P16" i="66"/>
  <c r="J17" i="75" s="1"/>
  <c r="P44" i="66"/>
  <c r="J45" i="75" s="1"/>
  <c r="P68" i="66"/>
  <c r="J69" i="75" s="1"/>
  <c r="X20" i="71"/>
  <c r="N21" i="80" s="1"/>
  <c r="X31" i="72"/>
  <c r="N32" i="81" s="1"/>
  <c r="AA19" i="67"/>
  <c r="O20" i="76" s="1"/>
  <c r="AA23" i="67"/>
  <c r="O24" i="76" s="1"/>
  <c r="AA27" i="67"/>
  <c r="O28" i="76" s="1"/>
  <c r="H29" i="67"/>
  <c r="F30" i="76" s="1"/>
  <c r="AA31" i="67"/>
  <c r="O32" i="76" s="1"/>
  <c r="AA35" i="67"/>
  <c r="O36" i="76" s="1"/>
  <c r="AA39" i="67"/>
  <c r="O40" i="76" s="1"/>
  <c r="AA47" i="67"/>
  <c r="O48" i="76" s="1"/>
  <c r="AA51" i="67"/>
  <c r="O52" i="76" s="1"/>
  <c r="AA55" i="67"/>
  <c r="O56" i="76" s="1"/>
  <c r="AA59" i="67"/>
  <c r="O60" i="76" s="1"/>
  <c r="AA63" i="67"/>
  <c r="O64" i="76" s="1"/>
  <c r="H65" i="67"/>
  <c r="F66" i="76" s="1"/>
  <c r="AA71" i="67"/>
  <c r="O72" i="76" s="1"/>
  <c r="X17" i="71"/>
  <c r="N18" i="80" s="1"/>
  <c r="X21" i="71"/>
  <c r="N22" i="80" s="1"/>
  <c r="X25" i="71"/>
  <c r="N26" i="80" s="1"/>
  <c r="P17" i="66"/>
  <c r="J18" i="75" s="1"/>
  <c r="P21" i="66"/>
  <c r="J22" i="75" s="1"/>
  <c r="X21" i="67"/>
  <c r="N22" i="76" s="1"/>
  <c r="AA35" i="70"/>
  <c r="O36" i="79" s="1"/>
  <c r="AA39" i="70"/>
  <c r="O40" i="79" s="1"/>
  <c r="P17" i="72"/>
  <c r="J18" i="81" s="1"/>
  <c r="P21" i="72"/>
  <c r="J22" i="81" s="1"/>
  <c r="P37" i="72"/>
  <c r="J38" i="81" s="1"/>
  <c r="X26" i="66"/>
  <c r="N27" i="75" s="1"/>
  <c r="X30" i="66"/>
  <c r="N31" i="75" s="1"/>
  <c r="X34" i="66"/>
  <c r="N35" i="75" s="1"/>
  <c r="X38" i="66"/>
  <c r="N39" i="75" s="1"/>
  <c r="X42" i="66"/>
  <c r="N43" i="75" s="1"/>
  <c r="X58" i="66"/>
  <c r="N59" i="75" s="1"/>
  <c r="X66" i="66"/>
  <c r="N67" i="75" s="1"/>
  <c r="X70" i="66"/>
  <c r="N71" i="75" s="1"/>
  <c r="AA59" i="71"/>
  <c r="O60" i="80" s="1"/>
  <c r="AA63" i="71"/>
  <c r="O64" i="80" s="1"/>
  <c r="AA67" i="71"/>
  <c r="O68" i="80" s="1"/>
  <c r="AA71" i="71"/>
  <c r="O72" i="80" s="1"/>
  <c r="X47" i="73"/>
  <c r="N48" i="82" s="1"/>
  <c r="X16" i="67"/>
  <c r="N17" i="76" s="1"/>
  <c r="X29" i="69"/>
  <c r="N30" i="78" s="1"/>
  <c r="X33" i="69"/>
  <c r="N34" i="78" s="1"/>
  <c r="X37" i="69"/>
  <c r="N38" i="78" s="1"/>
  <c r="X41" i="69"/>
  <c r="N42" i="78" s="1"/>
  <c r="X45" i="69"/>
  <c r="N46" i="78" s="1"/>
  <c r="X19" i="66"/>
  <c r="N20" i="75" s="1"/>
  <c r="X27" i="66"/>
  <c r="N28" i="75" s="1"/>
  <c r="X31" i="66"/>
  <c r="N32" i="75" s="1"/>
  <c r="X47" i="66"/>
  <c r="N48" i="75" s="1"/>
  <c r="X51" i="66"/>
  <c r="N52" i="75" s="1"/>
  <c r="X55" i="66"/>
  <c r="N56" i="75" s="1"/>
  <c r="X59" i="66"/>
  <c r="N60" i="75" s="1"/>
  <c r="X71" i="66"/>
  <c r="N72" i="75" s="1"/>
  <c r="X24" i="67"/>
  <c r="N25" i="76" s="1"/>
  <c r="X32" i="67"/>
  <c r="N33" i="76" s="1"/>
  <c r="X36" i="67"/>
  <c r="N37" i="76" s="1"/>
  <c r="X40" i="67"/>
  <c r="N41" i="76" s="1"/>
  <c r="X15" i="68"/>
  <c r="N16" i="77" s="1"/>
  <c r="X15" i="70"/>
  <c r="N16" i="79" s="1"/>
  <c r="X19" i="70"/>
  <c r="N20" i="79" s="1"/>
  <c r="X23" i="70"/>
  <c r="N24" i="79" s="1"/>
  <c r="X17" i="66"/>
  <c r="N18" i="75" s="1"/>
  <c r="X21" i="66"/>
  <c r="N22" i="75" s="1"/>
  <c r="X25" i="66"/>
  <c r="N26" i="75" s="1"/>
  <c r="X29" i="66"/>
  <c r="N30" i="75" s="1"/>
  <c r="X33" i="66"/>
  <c r="N34" i="75" s="1"/>
  <c r="X49" i="66"/>
  <c r="N50" i="75" s="1"/>
  <c r="X53" i="66"/>
  <c r="N54" i="75" s="1"/>
  <c r="X57" i="66"/>
  <c r="N58" i="75" s="1"/>
  <c r="AA19" i="69"/>
  <c r="O20" i="78" s="1"/>
  <c r="AA23" i="69"/>
  <c r="O24" i="78" s="1"/>
  <c r="AA31" i="69"/>
  <c r="O32" i="78" s="1"/>
  <c r="AA35" i="69"/>
  <c r="O36" i="78" s="1"/>
  <c r="AA39" i="69"/>
  <c r="O40" i="78" s="1"/>
  <c r="AA43" i="69"/>
  <c r="O44" i="78" s="1"/>
  <c r="AA47" i="69"/>
  <c r="O48" i="78" s="1"/>
  <c r="AA55" i="69"/>
  <c r="O56" i="78" s="1"/>
  <c r="AA59" i="69"/>
  <c r="O60" i="78" s="1"/>
  <c r="H61" i="69"/>
  <c r="F62" i="78" s="1"/>
  <c r="AA63" i="69"/>
  <c r="O64" i="78" s="1"/>
  <c r="H65" i="69"/>
  <c r="F66" i="78" s="1"/>
  <c r="AA67" i="69"/>
  <c r="O68" i="78" s="1"/>
  <c r="AA71" i="69"/>
  <c r="O72" i="78" s="1"/>
  <c r="X25" i="70"/>
  <c r="N26" i="79" s="1"/>
  <c r="X58" i="67"/>
  <c r="N59" i="76" s="1"/>
  <c r="X62" i="67"/>
  <c r="N63" i="76" s="1"/>
  <c r="X66" i="67"/>
  <c r="N67" i="76" s="1"/>
  <c r="AA19" i="72"/>
  <c r="O20" i="81" s="1"/>
  <c r="H21" i="72"/>
  <c r="F22" i="81" s="1"/>
  <c r="AA23" i="72"/>
  <c r="O24" i="81" s="1"/>
  <c r="AA31" i="72"/>
  <c r="O32" i="81" s="1"/>
  <c r="AA35" i="72"/>
  <c r="O36" i="81" s="1"/>
  <c r="AA39" i="72"/>
  <c r="O40" i="81" s="1"/>
  <c r="AA43" i="72"/>
  <c r="O44" i="81" s="1"/>
  <c r="AA47" i="72"/>
  <c r="O48" i="81" s="1"/>
  <c r="H49" i="72"/>
  <c r="F50" i="81" s="1"/>
  <c r="AA51" i="72"/>
  <c r="O52" i="81" s="1"/>
  <c r="AA55" i="72"/>
  <c r="O56" i="81" s="1"/>
  <c r="AA59" i="72"/>
  <c r="O60" i="81" s="1"/>
  <c r="AA63" i="72"/>
  <c r="O64" i="81" s="1"/>
  <c r="AA67" i="72"/>
  <c r="O68" i="81" s="1"/>
  <c r="AA71" i="72"/>
  <c r="O72" i="81" s="1"/>
  <c r="X16" i="73"/>
  <c r="N17" i="82" s="1"/>
  <c r="X36" i="73"/>
  <c r="N37" i="82" s="1"/>
  <c r="X44" i="73"/>
  <c r="N45" i="82" s="1"/>
  <c r="X18" i="69"/>
  <c r="N19" i="78" s="1"/>
  <c r="X22" i="69"/>
  <c r="N23" i="78" s="1"/>
  <c r="X26" i="69"/>
  <c r="N27" i="78" s="1"/>
  <c r="X46" i="69"/>
  <c r="N47" i="78" s="1"/>
  <c r="X54" i="69"/>
  <c r="N55" i="78" s="1"/>
  <c r="X58" i="69"/>
  <c r="N59" i="78" s="1"/>
  <c r="X62" i="69"/>
  <c r="N63" i="78" s="1"/>
  <c r="X70" i="69"/>
  <c r="N71" i="78" s="1"/>
  <c r="O73" i="71"/>
  <c r="X32" i="66"/>
  <c r="N33" i="75" s="1"/>
  <c r="X44" i="66"/>
  <c r="N45" i="75" s="1"/>
  <c r="X46" i="71"/>
  <c r="N47" i="80" s="1"/>
  <c r="X50" i="71"/>
  <c r="N51" i="80" s="1"/>
  <c r="X54" i="71"/>
  <c r="N55" i="80" s="1"/>
  <c r="X58" i="71"/>
  <c r="N59" i="80" s="1"/>
  <c r="P52" i="72"/>
  <c r="J53" i="81" s="1"/>
  <c r="P64" i="72"/>
  <c r="J65" i="81" s="1"/>
  <c r="P68" i="72"/>
  <c r="J69" i="81" s="1"/>
  <c r="X49" i="69"/>
  <c r="N50" i="78" s="1"/>
  <c r="X57" i="69"/>
  <c r="N58" i="78" s="1"/>
  <c r="X69" i="69"/>
  <c r="N70" i="78" s="1"/>
  <c r="AA16" i="66"/>
  <c r="O17" i="75" s="1"/>
  <c r="H18" i="66"/>
  <c r="F19" i="75" s="1"/>
  <c r="AA20" i="66"/>
  <c r="O21" i="75" s="1"/>
  <c r="H22" i="66"/>
  <c r="F23" i="75" s="1"/>
  <c r="AA24" i="66"/>
  <c r="O25" i="75" s="1"/>
  <c r="AA28" i="66"/>
  <c r="O29" i="75" s="1"/>
  <c r="H30" i="66"/>
  <c r="F31" i="75" s="1"/>
  <c r="AA32" i="66"/>
  <c r="O33" i="75" s="1"/>
  <c r="AA36" i="66"/>
  <c r="O37" i="75" s="1"/>
  <c r="AA40" i="66"/>
  <c r="O41" i="75" s="1"/>
  <c r="H46" i="66"/>
  <c r="F47" i="75" s="1"/>
  <c r="AA48" i="66"/>
  <c r="O49" i="75" s="1"/>
  <c r="AA52" i="66"/>
  <c r="O53" i="75" s="1"/>
  <c r="AA56" i="66"/>
  <c r="O57" i="75" s="1"/>
  <c r="AA60" i="66"/>
  <c r="O61" i="75" s="1"/>
  <c r="AA64" i="66"/>
  <c r="O65" i="75" s="1"/>
  <c r="AA72" i="66"/>
  <c r="O73" i="75" s="1"/>
  <c r="X26" i="68"/>
  <c r="N27" i="77" s="1"/>
  <c r="X30" i="68"/>
  <c r="N31" i="77" s="1"/>
  <c r="X28" i="72"/>
  <c r="N29" i="81" s="1"/>
  <c r="X18" i="73"/>
  <c r="N19" i="82" s="1"/>
  <c r="X26" i="73"/>
  <c r="N27" i="82" s="1"/>
  <c r="X30" i="73"/>
  <c r="N31" i="82" s="1"/>
  <c r="X34" i="73"/>
  <c r="N35" i="82" s="1"/>
  <c r="X38" i="73"/>
  <c r="N39" i="82" s="1"/>
  <c r="X42" i="73"/>
  <c r="N43" i="82" s="1"/>
  <c r="X46" i="73"/>
  <c r="N47" i="82" s="1"/>
  <c r="X50" i="73"/>
  <c r="N51" i="82" s="1"/>
  <c r="X58" i="73"/>
  <c r="N59" i="82" s="1"/>
  <c r="X62" i="73"/>
  <c r="N63" i="82" s="1"/>
  <c r="X70" i="73"/>
  <c r="N71" i="82" s="1"/>
  <c r="P38" i="66"/>
  <c r="J39" i="75" s="1"/>
  <c r="P46" i="66"/>
  <c r="J47" i="75" s="1"/>
  <c r="X15" i="67"/>
  <c r="N16" i="76" s="1"/>
  <c r="X28" i="69"/>
  <c r="N29" i="78" s="1"/>
  <c r="X61" i="68"/>
  <c r="N62" i="77" s="1"/>
  <c r="X65" i="68"/>
  <c r="N66" i="77" s="1"/>
  <c r="P15" i="69"/>
  <c r="J16" i="78" s="1"/>
  <c r="P27" i="69"/>
  <c r="J28" i="78" s="1"/>
  <c r="AA15" i="70"/>
  <c r="O16" i="79" s="1"/>
  <c r="AA19" i="70"/>
  <c r="O20" i="79" s="1"/>
  <c r="AA23" i="70"/>
  <c r="O24" i="79" s="1"/>
  <c r="AA27" i="70"/>
  <c r="O28" i="79" s="1"/>
  <c r="AA31" i="70"/>
  <c r="O32" i="79" s="1"/>
  <c r="O73" i="67"/>
  <c r="X18" i="71"/>
  <c r="N19" i="80" s="1"/>
  <c r="X26" i="71"/>
  <c r="N27" i="80" s="1"/>
  <c r="X30" i="71"/>
  <c r="N31" i="80" s="1"/>
  <c r="X34" i="71"/>
  <c r="N35" i="80" s="1"/>
  <c r="X42" i="71"/>
  <c r="N43" i="80" s="1"/>
  <c r="F45" i="77"/>
  <c r="X16" i="70"/>
  <c r="N17" i="79" s="1"/>
  <c r="X20" i="70"/>
  <c r="N21" i="79" s="1"/>
  <c r="X28" i="70"/>
  <c r="N29" i="79" s="1"/>
  <c r="X40" i="70"/>
  <c r="N41" i="79" s="1"/>
  <c r="X44" i="70"/>
  <c r="N45" i="79" s="1"/>
  <c r="X52" i="70"/>
  <c r="N53" i="79" s="1"/>
  <c r="AA15" i="73"/>
  <c r="O16" i="82" s="1"/>
  <c r="H17" i="73"/>
  <c r="AA19" i="73"/>
  <c r="O20" i="82" s="1"/>
  <c r="AA23" i="73"/>
  <c r="O24" i="82" s="1"/>
  <c r="AA27" i="73"/>
  <c r="O28" i="82" s="1"/>
  <c r="H29" i="73"/>
  <c r="AA31" i="73"/>
  <c r="O32" i="82" s="1"/>
  <c r="AA35" i="73"/>
  <c r="O36" i="82" s="1"/>
  <c r="AA39" i="73"/>
  <c r="O40" i="82" s="1"/>
  <c r="AA43" i="73"/>
  <c r="O44" i="82" s="1"/>
  <c r="AA47" i="73"/>
  <c r="O48" i="82" s="1"/>
  <c r="AA51" i="73"/>
  <c r="O52" i="82" s="1"/>
  <c r="H53" i="73"/>
  <c r="AA55" i="73"/>
  <c r="O56" i="82" s="1"/>
  <c r="H57" i="73"/>
  <c r="F58" i="82" s="1"/>
  <c r="AA63" i="73"/>
  <c r="O64" i="82" s="1"/>
  <c r="H65" i="73"/>
  <c r="F66" i="82" s="1"/>
  <c r="AA67" i="73"/>
  <c r="O68" i="82" s="1"/>
  <c r="H69" i="73"/>
  <c r="F70" i="82" s="1"/>
  <c r="H17" i="66"/>
  <c r="F18" i="75" s="1"/>
  <c r="AA19" i="66"/>
  <c r="O20" i="75" s="1"/>
  <c r="H21" i="66"/>
  <c r="F22" i="75" s="1"/>
  <c r="H33" i="66"/>
  <c r="F34" i="75" s="1"/>
  <c r="AA35" i="66"/>
  <c r="O36" i="75" s="1"/>
  <c r="H37" i="66"/>
  <c r="F38" i="75" s="1"/>
  <c r="AA39" i="66"/>
  <c r="O40" i="75" s="1"/>
  <c r="AA43" i="66"/>
  <c r="O44" i="75" s="1"/>
  <c r="AA47" i="66"/>
  <c r="O48" i="75" s="1"/>
  <c r="AA51" i="66"/>
  <c r="O52" i="75" s="1"/>
  <c r="J55" i="75"/>
  <c r="AA55" i="66"/>
  <c r="O56" i="75" s="1"/>
  <c r="H57" i="66"/>
  <c r="F58" i="75" s="1"/>
  <c r="AA59" i="66"/>
  <c r="O60" i="75" s="1"/>
  <c r="AA63" i="66"/>
  <c r="O64" i="75" s="1"/>
  <c r="H65" i="66"/>
  <c r="F66" i="75" s="1"/>
  <c r="AA67" i="66"/>
  <c r="O68" i="75" s="1"/>
  <c r="AA18" i="69"/>
  <c r="O19" i="78" s="1"/>
  <c r="AA22" i="69"/>
  <c r="O23" i="78" s="1"/>
  <c r="AA26" i="69"/>
  <c r="O27" i="78" s="1"/>
  <c r="AA30" i="69"/>
  <c r="O31" i="78" s="1"/>
  <c r="AA34" i="69"/>
  <c r="O35" i="78" s="1"/>
  <c r="AA38" i="69"/>
  <c r="O39" i="78" s="1"/>
  <c r="AA50" i="69"/>
  <c r="O51" i="78" s="1"/>
  <c r="AA54" i="69"/>
  <c r="O55" i="78" s="1"/>
  <c r="AA58" i="69"/>
  <c r="O59" i="78" s="1"/>
  <c r="AA62" i="69"/>
  <c r="O63" i="78" s="1"/>
  <c r="AA66" i="69"/>
  <c r="O67" i="78" s="1"/>
  <c r="G73" i="66"/>
  <c r="AA18" i="66"/>
  <c r="O19" i="75" s="1"/>
  <c r="AA26" i="66"/>
  <c r="O27" i="75" s="1"/>
  <c r="AA30" i="66"/>
  <c r="O31" i="75" s="1"/>
  <c r="AA34" i="66"/>
  <c r="O35" i="75" s="1"/>
  <c r="H40" i="66"/>
  <c r="AA42" i="66"/>
  <c r="O43" i="75" s="1"/>
  <c r="AA46" i="66"/>
  <c r="O47" i="75" s="1"/>
  <c r="AA70" i="66"/>
  <c r="O71" i="75" s="1"/>
  <c r="AA15" i="68"/>
  <c r="O16" i="77" s="1"/>
  <c r="AA19" i="68"/>
  <c r="O20" i="77" s="1"/>
  <c r="AA23" i="68"/>
  <c r="O24" i="77" s="1"/>
  <c r="H25" i="68"/>
  <c r="AA27" i="68"/>
  <c r="O28" i="77" s="1"/>
  <c r="AA31" i="68"/>
  <c r="O32" i="77" s="1"/>
  <c r="H33" i="68"/>
  <c r="AA35" i="68"/>
  <c r="O36" i="77" s="1"/>
  <c r="AA55" i="68"/>
  <c r="O56" i="77" s="1"/>
  <c r="AA59" i="68"/>
  <c r="O60" i="77" s="1"/>
  <c r="AA63" i="68"/>
  <c r="O64" i="77" s="1"/>
  <c r="AA67" i="68"/>
  <c r="O68" i="77" s="1"/>
  <c r="O73" i="69"/>
  <c r="AA29" i="69"/>
  <c r="O30" i="78" s="1"/>
  <c r="AA33" i="69"/>
  <c r="O34" i="78" s="1"/>
  <c r="AA37" i="69"/>
  <c r="O38" i="78" s="1"/>
  <c r="AA41" i="69"/>
  <c r="O42" i="78" s="1"/>
  <c r="AA45" i="69"/>
  <c r="O46" i="78" s="1"/>
  <c r="H47" i="69"/>
  <c r="F48" i="78" s="1"/>
  <c r="AA49" i="69"/>
  <c r="O50" i="78" s="1"/>
  <c r="H59" i="69"/>
  <c r="F60" i="78" s="1"/>
  <c r="AA61" i="69"/>
  <c r="O62" i="78" s="1"/>
  <c r="AA65" i="69"/>
  <c r="O66" i="78" s="1"/>
  <c r="AA69" i="69"/>
  <c r="O70" i="78" s="1"/>
  <c r="H71" i="69"/>
  <c r="F72" i="78" s="1"/>
  <c r="P17" i="70"/>
  <c r="P25" i="70"/>
  <c r="J26" i="79" s="1"/>
  <c r="P29" i="70"/>
  <c r="J30" i="79" s="1"/>
  <c r="O73" i="68"/>
  <c r="H20" i="68"/>
  <c r="H24" i="68"/>
  <c r="F25" i="77" s="1"/>
  <c r="AA26" i="68"/>
  <c r="O27" i="77" s="1"/>
  <c r="AA30" i="68"/>
  <c r="O31" i="77" s="1"/>
  <c r="AA34" i="68"/>
  <c r="O35" i="77" s="1"/>
  <c r="AA38" i="68"/>
  <c r="O39" i="77" s="1"/>
  <c r="AA42" i="68"/>
  <c r="O43" i="77" s="1"/>
  <c r="AA46" i="68"/>
  <c r="O47" i="77" s="1"/>
  <c r="AA58" i="68"/>
  <c r="O59" i="77" s="1"/>
  <c r="H60" i="68"/>
  <c r="F61" i="77" s="1"/>
  <c r="AA66" i="68"/>
  <c r="O67" i="77" s="1"/>
  <c r="AA70" i="68"/>
  <c r="O71" i="77" s="1"/>
  <c r="AA15" i="71"/>
  <c r="O16" i="80" s="1"/>
  <c r="H17" i="71"/>
  <c r="AA23" i="71"/>
  <c r="O24" i="80" s="1"/>
  <c r="AA27" i="71"/>
  <c r="O28" i="80" s="1"/>
  <c r="H29" i="71"/>
  <c r="AA31" i="71"/>
  <c r="O32" i="80" s="1"/>
  <c r="AA39" i="71"/>
  <c r="O40" i="80" s="1"/>
  <c r="AA43" i="71"/>
  <c r="O44" i="80" s="1"/>
  <c r="AA47" i="71"/>
  <c r="O48" i="80" s="1"/>
  <c r="AA51" i="71"/>
  <c r="O52" i="80" s="1"/>
  <c r="H53" i="71"/>
  <c r="F54" i="80" s="1"/>
  <c r="AA20" i="71"/>
  <c r="O21" i="80" s="1"/>
  <c r="AA36" i="71"/>
  <c r="O37" i="80" s="1"/>
  <c r="X62" i="71"/>
  <c r="N63" i="80" s="1"/>
  <c r="X70" i="71"/>
  <c r="N71" i="80" s="1"/>
  <c r="X22" i="72"/>
  <c r="N23" i="81" s="1"/>
  <c r="X26" i="72"/>
  <c r="N27" i="81" s="1"/>
  <c r="X50" i="72"/>
  <c r="N51" i="81" s="1"/>
  <c r="X30" i="70"/>
  <c r="N31" i="79" s="1"/>
  <c r="X34" i="70"/>
  <c r="N35" i="79" s="1"/>
  <c r="O73" i="72"/>
  <c r="AA18" i="72"/>
  <c r="O19" i="81" s="1"/>
  <c r="H20" i="72"/>
  <c r="F21" i="81" s="1"/>
  <c r="AA22" i="72"/>
  <c r="O23" i="81" s="1"/>
  <c r="AA26" i="72"/>
  <c r="O27" i="81" s="1"/>
  <c r="H28" i="72"/>
  <c r="AA30" i="72"/>
  <c r="O31" i="81" s="1"/>
  <c r="AA34" i="72"/>
  <c r="O35" i="81" s="1"/>
  <c r="H40" i="72"/>
  <c r="F41" i="81" s="1"/>
  <c r="AA50" i="72"/>
  <c r="O51" i="81" s="1"/>
  <c r="AA54" i="72"/>
  <c r="O55" i="81" s="1"/>
  <c r="AA58" i="72"/>
  <c r="O59" i="81" s="1"/>
  <c r="AA62" i="72"/>
  <c r="O63" i="81" s="1"/>
  <c r="AA66" i="72"/>
  <c r="O67" i="81" s="1"/>
  <c r="P24" i="73"/>
  <c r="X41" i="72"/>
  <c r="N42" i="81" s="1"/>
  <c r="H37" i="73"/>
  <c r="H45" i="73"/>
  <c r="F46" i="82" s="1"/>
  <c r="H25" i="73"/>
  <c r="F26" i="82" s="1"/>
  <c r="H33" i="73"/>
  <c r="H41" i="73"/>
  <c r="H49" i="73"/>
  <c r="F50" i="82" s="1"/>
  <c r="H61" i="73"/>
  <c r="H21" i="73"/>
  <c r="F22" i="82" s="1"/>
  <c r="P42" i="73"/>
  <c r="J43" i="82" s="1"/>
  <c r="H68" i="73"/>
  <c r="F69" i="82" s="1"/>
  <c r="F73" i="73"/>
  <c r="P30" i="73"/>
  <c r="J31" i="82" s="1"/>
  <c r="P34" i="73"/>
  <c r="J35" i="82" s="1"/>
  <c r="G73" i="73"/>
  <c r="H64" i="73"/>
  <c r="F65" i="82" s="1"/>
  <c r="P38" i="73"/>
  <c r="J39" i="82" s="1"/>
  <c r="H52" i="73"/>
  <c r="F53" i="82" s="1"/>
  <c r="P66" i="73"/>
  <c r="J67" i="82" s="1"/>
  <c r="P26" i="73"/>
  <c r="J27" i="82" s="1"/>
  <c r="H72" i="73"/>
  <c r="F73" i="82" s="1"/>
  <c r="H60" i="73"/>
  <c r="F61" i="82" s="1"/>
  <c r="N73" i="73"/>
  <c r="H48" i="73"/>
  <c r="F49" i="82" s="1"/>
  <c r="P62" i="73"/>
  <c r="J63" i="82" s="1"/>
  <c r="P18" i="73"/>
  <c r="J19" i="82" s="1"/>
  <c r="H44" i="73"/>
  <c r="F45" i="82" s="1"/>
  <c r="P58" i="73"/>
  <c r="J59" i="82" s="1"/>
  <c r="O73" i="73"/>
  <c r="H24" i="73"/>
  <c r="F25" i="82" s="1"/>
  <c r="H40" i="73"/>
  <c r="F41" i="82" s="1"/>
  <c r="P54" i="73"/>
  <c r="J55" i="82" s="1"/>
  <c r="H56" i="73"/>
  <c r="F57" i="82" s="1"/>
  <c r="P22" i="73"/>
  <c r="J23" i="82" s="1"/>
  <c r="H36" i="73"/>
  <c r="F37" i="82" s="1"/>
  <c r="P50" i="73"/>
  <c r="J51" i="82" s="1"/>
  <c r="P70" i="73"/>
  <c r="J71" i="82" s="1"/>
  <c r="H28" i="73"/>
  <c r="F29" i="82" s="1"/>
  <c r="H32" i="73"/>
  <c r="F33" i="82" s="1"/>
  <c r="P46" i="73"/>
  <c r="J47" i="82" s="1"/>
  <c r="H15" i="73"/>
  <c r="F16" i="82" s="1"/>
  <c r="H19" i="73"/>
  <c r="F20" i="82" s="1"/>
  <c r="H23" i="73"/>
  <c r="F24" i="82" s="1"/>
  <c r="H27" i="73"/>
  <c r="F28" i="82" s="1"/>
  <c r="H31" i="73"/>
  <c r="F32" i="82" s="1"/>
  <c r="H35" i="73"/>
  <c r="F36" i="82" s="1"/>
  <c r="H39" i="73"/>
  <c r="F40" i="82" s="1"/>
  <c r="H43" i="73"/>
  <c r="F44" i="82" s="1"/>
  <c r="H47" i="73"/>
  <c r="F48" i="82" s="1"/>
  <c r="H51" i="73"/>
  <c r="F52" i="82" s="1"/>
  <c r="H55" i="73"/>
  <c r="F56" i="82" s="1"/>
  <c r="H59" i="73"/>
  <c r="F60" i="82" s="1"/>
  <c r="H63" i="73"/>
  <c r="F64" i="82" s="1"/>
  <c r="H67" i="73"/>
  <c r="F68" i="82" s="1"/>
  <c r="H71" i="73"/>
  <c r="F72" i="82" s="1"/>
  <c r="P17" i="73"/>
  <c r="J18" i="82" s="1"/>
  <c r="P21" i="73"/>
  <c r="J22" i="82" s="1"/>
  <c r="P25" i="73"/>
  <c r="J26" i="82" s="1"/>
  <c r="P29" i="73"/>
  <c r="J30" i="82" s="1"/>
  <c r="P33" i="73"/>
  <c r="J34" i="82" s="1"/>
  <c r="P37" i="73"/>
  <c r="J38" i="82" s="1"/>
  <c r="P41" i="73"/>
  <c r="J42" i="82" s="1"/>
  <c r="P45" i="73"/>
  <c r="J46" i="82" s="1"/>
  <c r="P49" i="73"/>
  <c r="J50" i="82" s="1"/>
  <c r="P53" i="73"/>
  <c r="J54" i="82" s="1"/>
  <c r="P57" i="73"/>
  <c r="J58" i="82" s="1"/>
  <c r="P61" i="73"/>
  <c r="J62" i="82" s="1"/>
  <c r="P65" i="73"/>
  <c r="J66" i="82" s="1"/>
  <c r="P69" i="73"/>
  <c r="J70" i="82" s="1"/>
  <c r="H18" i="73"/>
  <c r="F19" i="82" s="1"/>
  <c r="H22" i="73"/>
  <c r="F23" i="82" s="1"/>
  <c r="H26" i="73"/>
  <c r="F27" i="82" s="1"/>
  <c r="H30" i="73"/>
  <c r="F31" i="82" s="1"/>
  <c r="H34" i="73"/>
  <c r="F35" i="82" s="1"/>
  <c r="H38" i="73"/>
  <c r="F39" i="82" s="1"/>
  <c r="H42" i="73"/>
  <c r="F43" i="82" s="1"/>
  <c r="H46" i="73"/>
  <c r="F47" i="82" s="1"/>
  <c r="H50" i="73"/>
  <c r="F51" i="82" s="1"/>
  <c r="H54" i="73"/>
  <c r="F55" i="82" s="1"/>
  <c r="H58" i="73"/>
  <c r="F59" i="82" s="1"/>
  <c r="H62" i="73"/>
  <c r="F63" i="82" s="1"/>
  <c r="H66" i="73"/>
  <c r="F67" i="82" s="1"/>
  <c r="H70" i="73"/>
  <c r="F71" i="82" s="1"/>
  <c r="P72" i="73"/>
  <c r="J73" i="82" s="1"/>
  <c r="H57" i="72"/>
  <c r="H53" i="72"/>
  <c r="H45" i="72"/>
  <c r="F46" i="81" s="1"/>
  <c r="H64" i="72"/>
  <c r="F65" i="81" s="1"/>
  <c r="H41" i="72"/>
  <c r="H60" i="72"/>
  <c r="F61" i="81" s="1"/>
  <c r="H24" i="72"/>
  <c r="F25" i="81" s="1"/>
  <c r="H33" i="72"/>
  <c r="H37" i="72"/>
  <c r="F38" i="81" s="1"/>
  <c r="H56" i="72"/>
  <c r="H17" i="72"/>
  <c r="H52" i="72"/>
  <c r="F53" i="81" s="1"/>
  <c r="P24" i="72"/>
  <c r="H29" i="72"/>
  <c r="H48" i="72"/>
  <c r="H44" i="72"/>
  <c r="F45" i="81" s="1"/>
  <c r="H69" i="72"/>
  <c r="G73" i="72"/>
  <c r="P15" i="72"/>
  <c r="J16" i="81" s="1"/>
  <c r="P19" i="72"/>
  <c r="J20" i="81" s="1"/>
  <c r="P23" i="72"/>
  <c r="J24" i="81" s="1"/>
  <c r="P27" i="72"/>
  <c r="J28" i="81" s="1"/>
  <c r="P31" i="72"/>
  <c r="J32" i="81" s="1"/>
  <c r="H16" i="72"/>
  <c r="F17" i="81" s="1"/>
  <c r="P18" i="72"/>
  <c r="J19" i="81" s="1"/>
  <c r="P22" i="72"/>
  <c r="J23" i="81" s="1"/>
  <c r="P26" i="72"/>
  <c r="J27" i="81" s="1"/>
  <c r="P30" i="72"/>
  <c r="J31" i="81" s="1"/>
  <c r="P34" i="72"/>
  <c r="J35" i="81" s="1"/>
  <c r="P38" i="72"/>
  <c r="J39" i="81" s="1"/>
  <c r="P42" i="72"/>
  <c r="J43" i="81" s="1"/>
  <c r="P46" i="72"/>
  <c r="J47" i="81" s="1"/>
  <c r="P50" i="72"/>
  <c r="J51" i="81" s="1"/>
  <c r="P54" i="72"/>
  <c r="J55" i="81" s="1"/>
  <c r="P58" i="72"/>
  <c r="J59" i="81" s="1"/>
  <c r="P62" i="72"/>
  <c r="J63" i="81" s="1"/>
  <c r="P66" i="72"/>
  <c r="J67" i="81" s="1"/>
  <c r="P70" i="72"/>
  <c r="J71" i="81" s="1"/>
  <c r="H15" i="72"/>
  <c r="F16" i="81" s="1"/>
  <c r="H19" i="72"/>
  <c r="F20" i="81" s="1"/>
  <c r="H23" i="72"/>
  <c r="F24" i="81" s="1"/>
  <c r="H27" i="72"/>
  <c r="F28" i="81" s="1"/>
  <c r="H31" i="72"/>
  <c r="F32" i="81" s="1"/>
  <c r="H35" i="72"/>
  <c r="F36" i="81" s="1"/>
  <c r="H39" i="72"/>
  <c r="F40" i="81" s="1"/>
  <c r="H43" i="72"/>
  <c r="F44" i="81" s="1"/>
  <c r="H47" i="72"/>
  <c r="F48" i="81" s="1"/>
  <c r="H51" i="72"/>
  <c r="F52" i="81" s="1"/>
  <c r="H55" i="72"/>
  <c r="F56" i="81" s="1"/>
  <c r="H59" i="72"/>
  <c r="F60" i="81" s="1"/>
  <c r="P69" i="72"/>
  <c r="J70" i="81" s="1"/>
  <c r="H18" i="72"/>
  <c r="F19" i="81" s="1"/>
  <c r="H22" i="72"/>
  <c r="F23" i="81" s="1"/>
  <c r="H26" i="72"/>
  <c r="F27" i="81" s="1"/>
  <c r="H30" i="72"/>
  <c r="F31" i="81" s="1"/>
  <c r="H34" i="72"/>
  <c r="F35" i="81" s="1"/>
  <c r="H38" i="72"/>
  <c r="F39" i="81" s="1"/>
  <c r="H42" i="72"/>
  <c r="F43" i="81" s="1"/>
  <c r="H46" i="72"/>
  <c r="F47" i="81" s="1"/>
  <c r="H50" i="72"/>
  <c r="F51" i="81" s="1"/>
  <c r="H54" i="72"/>
  <c r="F55" i="81" s="1"/>
  <c r="H58" i="72"/>
  <c r="F59" i="81" s="1"/>
  <c r="H62" i="72"/>
  <c r="F63" i="81" s="1"/>
  <c r="H66" i="72"/>
  <c r="F67" i="81" s="1"/>
  <c r="H70" i="72"/>
  <c r="F71" i="81" s="1"/>
  <c r="P72" i="72"/>
  <c r="J73" i="81" s="1"/>
  <c r="N73" i="71"/>
  <c r="H25" i="71"/>
  <c r="F26" i="80" s="1"/>
  <c r="P27" i="71"/>
  <c r="H41" i="71"/>
  <c r="F42" i="80" s="1"/>
  <c r="H49" i="71"/>
  <c r="P23" i="71"/>
  <c r="J24" i="80" s="1"/>
  <c r="H57" i="71"/>
  <c r="H65" i="71"/>
  <c r="H21" i="71"/>
  <c r="H37" i="71"/>
  <c r="F38" i="80" s="1"/>
  <c r="H33" i="71"/>
  <c r="H45" i="71"/>
  <c r="G73" i="71"/>
  <c r="H28" i="71"/>
  <c r="F29" i="80" s="1"/>
  <c r="H56" i="71"/>
  <c r="F57" i="80" s="1"/>
  <c r="H72" i="71"/>
  <c r="F73" i="80" s="1"/>
  <c r="P18" i="71"/>
  <c r="H52" i="71"/>
  <c r="F53" i="80" s="1"/>
  <c r="P62" i="71"/>
  <c r="J63" i="80" s="1"/>
  <c r="H44" i="71"/>
  <c r="F45" i="80" s="1"/>
  <c r="P58" i="71"/>
  <c r="J59" i="80" s="1"/>
  <c r="H32" i="71"/>
  <c r="F33" i="80" s="1"/>
  <c r="H48" i="71"/>
  <c r="F49" i="80" s="1"/>
  <c r="P26" i="71"/>
  <c r="J27" i="80" s="1"/>
  <c r="H36" i="71"/>
  <c r="F37" i="80" s="1"/>
  <c r="H40" i="71"/>
  <c r="F41" i="80" s="1"/>
  <c r="P54" i="71"/>
  <c r="J55" i="80" s="1"/>
  <c r="H68" i="71"/>
  <c r="F69" i="80" s="1"/>
  <c r="P50" i="71"/>
  <c r="J51" i="80" s="1"/>
  <c r="H24" i="71"/>
  <c r="F25" i="80" s="1"/>
  <c r="H60" i="71"/>
  <c r="F61" i="80" s="1"/>
  <c r="P30" i="71"/>
  <c r="J31" i="80" s="1"/>
  <c r="P46" i="71"/>
  <c r="J47" i="80" s="1"/>
  <c r="P42" i="71"/>
  <c r="J43" i="80" s="1"/>
  <c r="P22" i="71"/>
  <c r="J23" i="80" s="1"/>
  <c r="P34" i="71"/>
  <c r="J35" i="80" s="1"/>
  <c r="P38" i="71"/>
  <c r="J39" i="80" s="1"/>
  <c r="F73" i="71"/>
  <c r="H16" i="71"/>
  <c r="F17" i="80" s="1"/>
  <c r="H20" i="71"/>
  <c r="F21" i="80" s="1"/>
  <c r="H64" i="71"/>
  <c r="F65" i="80" s="1"/>
  <c r="P66" i="71"/>
  <c r="J67" i="80" s="1"/>
  <c r="P70" i="71"/>
  <c r="J71" i="80" s="1"/>
  <c r="H15" i="71"/>
  <c r="F16" i="80" s="1"/>
  <c r="H19" i="71"/>
  <c r="F20" i="80" s="1"/>
  <c r="H23" i="71"/>
  <c r="F24" i="80" s="1"/>
  <c r="H71" i="71"/>
  <c r="F72" i="80" s="1"/>
  <c r="H18" i="71"/>
  <c r="F19" i="80" s="1"/>
  <c r="H22" i="71"/>
  <c r="F23" i="80" s="1"/>
  <c r="H26" i="71"/>
  <c r="F27" i="80" s="1"/>
  <c r="H30" i="71"/>
  <c r="F31" i="80" s="1"/>
  <c r="H34" i="71"/>
  <c r="F35" i="80" s="1"/>
  <c r="H38" i="71"/>
  <c r="F39" i="80" s="1"/>
  <c r="H42" i="71"/>
  <c r="F43" i="80" s="1"/>
  <c r="H46" i="71"/>
  <c r="F47" i="80" s="1"/>
  <c r="H50" i="71"/>
  <c r="F51" i="80" s="1"/>
  <c r="H54" i="71"/>
  <c r="F55" i="80" s="1"/>
  <c r="H58" i="71"/>
  <c r="F59" i="80" s="1"/>
  <c r="H62" i="71"/>
  <c r="F63" i="80" s="1"/>
  <c r="H66" i="71"/>
  <c r="F67" i="80" s="1"/>
  <c r="H70" i="71"/>
  <c r="F71" i="80" s="1"/>
  <c r="P72" i="71"/>
  <c r="J73" i="80" s="1"/>
  <c r="H29" i="70"/>
  <c r="F30" i="79" s="1"/>
  <c r="H45" i="70"/>
  <c r="H69" i="70"/>
  <c r="H25" i="70"/>
  <c r="F26" i="79" s="1"/>
  <c r="H61" i="70"/>
  <c r="H21" i="70"/>
  <c r="F22" i="79" s="1"/>
  <c r="H49" i="70"/>
  <c r="H17" i="70"/>
  <c r="F18" i="79" s="1"/>
  <c r="H41" i="70"/>
  <c r="H33" i="70"/>
  <c r="F34" i="79" s="1"/>
  <c r="H23" i="70"/>
  <c r="F24" i="79" s="1"/>
  <c r="H31" i="70"/>
  <c r="F32" i="79" s="1"/>
  <c r="H37" i="70"/>
  <c r="F38" i="79" s="1"/>
  <c r="P48" i="70"/>
  <c r="J49" i="79" s="1"/>
  <c r="P54" i="70"/>
  <c r="J55" i="79" s="1"/>
  <c r="G73" i="70"/>
  <c r="H18" i="70"/>
  <c r="F19" i="79" s="1"/>
  <c r="P22" i="70"/>
  <c r="J23" i="79" s="1"/>
  <c r="H26" i="70"/>
  <c r="F27" i="79" s="1"/>
  <c r="P30" i="70"/>
  <c r="J31" i="79" s="1"/>
  <c r="AA37" i="70"/>
  <c r="O38" i="79" s="1"/>
  <c r="H40" i="70"/>
  <c r="F41" i="79" s="1"/>
  <c r="P43" i="70"/>
  <c r="J44" i="79" s="1"/>
  <c r="H44" i="70"/>
  <c r="F45" i="79" s="1"/>
  <c r="P62" i="70"/>
  <c r="J63" i="79" s="1"/>
  <c r="P70" i="70"/>
  <c r="J71" i="79" s="1"/>
  <c r="N73" i="70"/>
  <c r="P50" i="70"/>
  <c r="J51" i="79" s="1"/>
  <c r="P56" i="70"/>
  <c r="J57" i="79" s="1"/>
  <c r="P64" i="70"/>
  <c r="J65" i="79" s="1"/>
  <c r="F73" i="70"/>
  <c r="H15" i="70"/>
  <c r="F16" i="79" s="1"/>
  <c r="O73" i="70"/>
  <c r="AA21" i="70"/>
  <c r="O22" i="79" s="1"/>
  <c r="AA29" i="70"/>
  <c r="O30" i="79" s="1"/>
  <c r="H35" i="70"/>
  <c r="F36" i="79" s="1"/>
  <c r="H19" i="70"/>
  <c r="F20" i="79" s="1"/>
  <c r="H27" i="70"/>
  <c r="F28" i="79" s="1"/>
  <c r="P18" i="70"/>
  <c r="J19" i="79" s="1"/>
  <c r="H22" i="70"/>
  <c r="F23" i="79" s="1"/>
  <c r="P26" i="70"/>
  <c r="J27" i="79" s="1"/>
  <c r="H30" i="70"/>
  <c r="F31" i="79" s="1"/>
  <c r="P34" i="70"/>
  <c r="J35" i="79" s="1"/>
  <c r="H39" i="70"/>
  <c r="F40" i="79" s="1"/>
  <c r="P46" i="70"/>
  <c r="J47" i="79" s="1"/>
  <c r="P52" i="70"/>
  <c r="J53" i="79" s="1"/>
  <c r="P58" i="70"/>
  <c r="J59" i="79" s="1"/>
  <c r="P66" i="70"/>
  <c r="J67" i="79" s="1"/>
  <c r="H60" i="70"/>
  <c r="F61" i="79" s="1"/>
  <c r="H68" i="70"/>
  <c r="F69" i="79" s="1"/>
  <c r="P35" i="70"/>
  <c r="J36" i="79" s="1"/>
  <c r="P60" i="70"/>
  <c r="J61" i="79" s="1"/>
  <c r="P68" i="70"/>
  <c r="J69" i="79" s="1"/>
  <c r="AA17" i="70"/>
  <c r="O18" i="79" s="1"/>
  <c r="AA25" i="70"/>
  <c r="O26" i="79" s="1"/>
  <c r="AA33" i="70"/>
  <c r="O34" i="79" s="1"/>
  <c r="H36" i="70"/>
  <c r="F37" i="79" s="1"/>
  <c r="P38" i="70"/>
  <c r="J39" i="79" s="1"/>
  <c r="P42" i="70"/>
  <c r="J43" i="79" s="1"/>
  <c r="H48" i="70"/>
  <c r="F49" i="79" s="1"/>
  <c r="H43" i="70"/>
  <c r="F44" i="79" s="1"/>
  <c r="H47" i="70"/>
  <c r="F48" i="79" s="1"/>
  <c r="H51" i="70"/>
  <c r="F52" i="79" s="1"/>
  <c r="H55" i="70"/>
  <c r="F56" i="79" s="1"/>
  <c r="H59" i="70"/>
  <c r="F60" i="79" s="1"/>
  <c r="H63" i="70"/>
  <c r="F64" i="79" s="1"/>
  <c r="H67" i="70"/>
  <c r="F68" i="79" s="1"/>
  <c r="H71" i="70"/>
  <c r="F72" i="79" s="1"/>
  <c r="H34" i="70"/>
  <c r="F35" i="79" s="1"/>
  <c r="H38" i="70"/>
  <c r="F39" i="79" s="1"/>
  <c r="H42" i="70"/>
  <c r="F43" i="79" s="1"/>
  <c r="H46" i="70"/>
  <c r="F47" i="79" s="1"/>
  <c r="H50" i="70"/>
  <c r="F51" i="79" s="1"/>
  <c r="H54" i="70"/>
  <c r="F55" i="79" s="1"/>
  <c r="H58" i="70"/>
  <c r="F59" i="79" s="1"/>
  <c r="H62" i="70"/>
  <c r="F63" i="79" s="1"/>
  <c r="H66" i="70"/>
  <c r="F67" i="79" s="1"/>
  <c r="H70" i="70"/>
  <c r="F71" i="79" s="1"/>
  <c r="P72" i="70"/>
  <c r="J73" i="79" s="1"/>
  <c r="H57" i="69"/>
  <c r="F58" i="78" s="1"/>
  <c r="H63" i="69"/>
  <c r="H33" i="69"/>
  <c r="F34" i="78" s="1"/>
  <c r="H37" i="69"/>
  <c r="F38" i="78" s="1"/>
  <c r="H41" i="69"/>
  <c r="F42" i="78" s="1"/>
  <c r="H45" i="69"/>
  <c r="H27" i="69"/>
  <c r="H29" i="69"/>
  <c r="H49" i="69"/>
  <c r="F50" i="78" s="1"/>
  <c r="H69" i="69"/>
  <c r="F70" i="78" s="1"/>
  <c r="H17" i="69"/>
  <c r="F18" i="78" s="1"/>
  <c r="H19" i="69"/>
  <c r="H21" i="69"/>
  <c r="H23" i="69"/>
  <c r="H55" i="69"/>
  <c r="H67" i="69"/>
  <c r="H25" i="69"/>
  <c r="H53" i="69"/>
  <c r="F54" i="78" s="1"/>
  <c r="P26" i="69"/>
  <c r="J27" i="78" s="1"/>
  <c r="P61" i="69"/>
  <c r="J62" i="78" s="1"/>
  <c r="P49" i="69"/>
  <c r="J50" i="78" s="1"/>
  <c r="P21" i="69"/>
  <c r="J22" i="78" s="1"/>
  <c r="P65" i="69"/>
  <c r="J66" i="78" s="1"/>
  <c r="P22" i="69"/>
  <c r="J23" i="78" s="1"/>
  <c r="H24" i="69"/>
  <c r="F25" i="78" s="1"/>
  <c r="H48" i="69"/>
  <c r="F49" i="78" s="1"/>
  <c r="H60" i="69"/>
  <c r="F61" i="78" s="1"/>
  <c r="P69" i="69"/>
  <c r="J70" i="78" s="1"/>
  <c r="H16" i="69"/>
  <c r="F17" i="78" s="1"/>
  <c r="P18" i="69"/>
  <c r="J19" i="78" s="1"/>
  <c r="H20" i="69"/>
  <c r="F21" i="78" s="1"/>
  <c r="F73" i="69"/>
  <c r="P17" i="69"/>
  <c r="J18" i="78" s="1"/>
  <c r="P45" i="69"/>
  <c r="J46" i="78" s="1"/>
  <c r="P57" i="69"/>
  <c r="J58" i="78" s="1"/>
  <c r="P33" i="69"/>
  <c r="J34" i="78" s="1"/>
  <c r="P37" i="69"/>
  <c r="J38" i="78" s="1"/>
  <c r="P41" i="69"/>
  <c r="J42" i="78" s="1"/>
  <c r="P42" i="69"/>
  <c r="J43" i="78" s="1"/>
  <c r="H44" i="69"/>
  <c r="F45" i="78" s="1"/>
  <c r="H56" i="69"/>
  <c r="F57" i="78" s="1"/>
  <c r="H28" i="69"/>
  <c r="F29" i="78" s="1"/>
  <c r="G73" i="69"/>
  <c r="N73" i="69"/>
  <c r="P29" i="69"/>
  <c r="J30" i="78" s="1"/>
  <c r="H64" i="69"/>
  <c r="F65" i="78" s="1"/>
  <c r="P30" i="69"/>
  <c r="J31" i="78" s="1"/>
  <c r="H32" i="69"/>
  <c r="F33" i="78" s="1"/>
  <c r="P34" i="69"/>
  <c r="J35" i="78" s="1"/>
  <c r="H36" i="69"/>
  <c r="F37" i="78" s="1"/>
  <c r="P38" i="69"/>
  <c r="J39" i="78" s="1"/>
  <c r="H40" i="69"/>
  <c r="F41" i="78" s="1"/>
  <c r="P53" i="69"/>
  <c r="J54" i="78" s="1"/>
  <c r="H68" i="69"/>
  <c r="F69" i="78" s="1"/>
  <c r="P25" i="69"/>
  <c r="J26" i="78" s="1"/>
  <c r="H52" i="69"/>
  <c r="F53" i="78" s="1"/>
  <c r="H72" i="69"/>
  <c r="F73" i="78" s="1"/>
  <c r="P46" i="69"/>
  <c r="J47" i="78" s="1"/>
  <c r="P50" i="69"/>
  <c r="J51" i="78" s="1"/>
  <c r="P54" i="69"/>
  <c r="J55" i="78" s="1"/>
  <c r="P58" i="69"/>
  <c r="J59" i="78" s="1"/>
  <c r="P62" i="69"/>
  <c r="J63" i="78" s="1"/>
  <c r="P66" i="69"/>
  <c r="J67" i="78" s="1"/>
  <c r="P70" i="69"/>
  <c r="J71" i="78" s="1"/>
  <c r="H42" i="69"/>
  <c r="F43" i="78" s="1"/>
  <c r="H46" i="69"/>
  <c r="F47" i="78" s="1"/>
  <c r="H50" i="69"/>
  <c r="F51" i="78" s="1"/>
  <c r="H54" i="69"/>
  <c r="F55" i="78" s="1"/>
  <c r="H58" i="69"/>
  <c r="F59" i="78" s="1"/>
  <c r="H62" i="69"/>
  <c r="F63" i="78" s="1"/>
  <c r="H66" i="69"/>
  <c r="F67" i="78" s="1"/>
  <c r="H70" i="69"/>
  <c r="F71" i="78" s="1"/>
  <c r="P72" i="69"/>
  <c r="J73" i="78" s="1"/>
  <c r="H17" i="68"/>
  <c r="F18" i="77" s="1"/>
  <c r="H61" i="68"/>
  <c r="H21" i="68"/>
  <c r="F22" i="77" s="1"/>
  <c r="H49" i="68"/>
  <c r="H53" i="68"/>
  <c r="H57" i="68"/>
  <c r="H37" i="68"/>
  <c r="H41" i="68"/>
  <c r="H45" i="68"/>
  <c r="P37" i="68"/>
  <c r="J38" i="77" s="1"/>
  <c r="P38" i="68"/>
  <c r="J39" i="77" s="1"/>
  <c r="H52" i="68"/>
  <c r="F53" i="77" s="1"/>
  <c r="P33" i="68"/>
  <c r="J34" i="77" s="1"/>
  <c r="P34" i="68"/>
  <c r="J35" i="77" s="1"/>
  <c r="H48" i="68"/>
  <c r="F49" i="77" s="1"/>
  <c r="P25" i="68"/>
  <c r="J26" i="77" s="1"/>
  <c r="P26" i="68"/>
  <c r="J27" i="77" s="1"/>
  <c r="P21" i="68"/>
  <c r="J22" i="77" s="1"/>
  <c r="P22" i="68"/>
  <c r="J23" i="77" s="1"/>
  <c r="H36" i="68"/>
  <c r="F37" i="77" s="1"/>
  <c r="G73" i="68"/>
  <c r="P17" i="68"/>
  <c r="J18" i="77" s="1"/>
  <c r="P18" i="68"/>
  <c r="J19" i="77" s="1"/>
  <c r="H32" i="68"/>
  <c r="F33" i="77" s="1"/>
  <c r="P65" i="68"/>
  <c r="J66" i="77" s="1"/>
  <c r="P66" i="68"/>
  <c r="J67" i="77" s="1"/>
  <c r="P46" i="68"/>
  <c r="J47" i="77" s="1"/>
  <c r="P41" i="68"/>
  <c r="J42" i="77" s="1"/>
  <c r="P42" i="68"/>
  <c r="J43" i="77" s="1"/>
  <c r="P29" i="68"/>
  <c r="J30" i="77" s="1"/>
  <c r="P30" i="68"/>
  <c r="J31" i="77" s="1"/>
  <c r="H68" i="68"/>
  <c r="F69" i="77" s="1"/>
  <c r="F73" i="68"/>
  <c r="H15" i="68"/>
  <c r="F16" i="77" s="1"/>
  <c r="H28" i="68"/>
  <c r="F29" i="77" s="1"/>
  <c r="P61" i="68"/>
  <c r="J62" i="77" s="1"/>
  <c r="P62" i="68"/>
  <c r="J63" i="77" s="1"/>
  <c r="P45" i="68"/>
  <c r="J46" i="77" s="1"/>
  <c r="P57" i="68"/>
  <c r="J58" i="77" s="1"/>
  <c r="P58" i="68"/>
  <c r="J59" i="77" s="1"/>
  <c r="H72" i="68"/>
  <c r="F73" i="77" s="1"/>
  <c r="N73" i="68"/>
  <c r="P53" i="68"/>
  <c r="J54" i="77" s="1"/>
  <c r="P54" i="68"/>
  <c r="J55" i="77" s="1"/>
  <c r="H16" i="68"/>
  <c r="F17" i="77" s="1"/>
  <c r="P49" i="68"/>
  <c r="J50" i="77" s="1"/>
  <c r="P50" i="68"/>
  <c r="J51" i="77" s="1"/>
  <c r="H64" i="68"/>
  <c r="F65" i="77" s="1"/>
  <c r="P69" i="68"/>
  <c r="J70" i="77" s="1"/>
  <c r="P70" i="68"/>
  <c r="J71" i="77" s="1"/>
  <c r="H18" i="68"/>
  <c r="F19" i="77" s="1"/>
  <c r="H22" i="68"/>
  <c r="F23" i="77" s="1"/>
  <c r="H26" i="68"/>
  <c r="F27" i="77" s="1"/>
  <c r="H30" i="68"/>
  <c r="F31" i="77" s="1"/>
  <c r="H34" i="68"/>
  <c r="F35" i="77" s="1"/>
  <c r="H38" i="68"/>
  <c r="F39" i="77" s="1"/>
  <c r="H42" i="68"/>
  <c r="F43" i="77" s="1"/>
  <c r="H46" i="68"/>
  <c r="F47" i="77" s="1"/>
  <c r="H50" i="68"/>
  <c r="F51" i="77" s="1"/>
  <c r="H54" i="68"/>
  <c r="F55" i="77" s="1"/>
  <c r="H58" i="68"/>
  <c r="F59" i="77" s="1"/>
  <c r="H62" i="68"/>
  <c r="F63" i="77" s="1"/>
  <c r="H66" i="68"/>
  <c r="F67" i="77" s="1"/>
  <c r="H70" i="68"/>
  <c r="F71" i="77" s="1"/>
  <c r="P72" i="68"/>
  <c r="J73" i="77" s="1"/>
  <c r="H61" i="67"/>
  <c r="H57" i="67"/>
  <c r="P18" i="67"/>
  <c r="J19" i="76" s="1"/>
  <c r="H25" i="67"/>
  <c r="H53" i="67"/>
  <c r="H21" i="67"/>
  <c r="F22" i="76" s="1"/>
  <c r="H17" i="67"/>
  <c r="F18" i="76" s="1"/>
  <c r="H45" i="67"/>
  <c r="H49" i="67"/>
  <c r="H69" i="67"/>
  <c r="H33" i="67"/>
  <c r="H37" i="67"/>
  <c r="H41" i="67"/>
  <c r="F42" i="76" s="1"/>
  <c r="H23" i="67"/>
  <c r="F24" i="76" s="1"/>
  <c r="P15" i="67"/>
  <c r="J16" i="76" s="1"/>
  <c r="P16" i="67"/>
  <c r="J17" i="76" s="1"/>
  <c r="AA18" i="67"/>
  <c r="O19" i="76" s="1"/>
  <c r="AA29" i="67"/>
  <c r="O30" i="76" s="1"/>
  <c r="AA49" i="67"/>
  <c r="O50" i="76" s="1"/>
  <c r="H27" i="67"/>
  <c r="F28" i="76" s="1"/>
  <c r="H28" i="67"/>
  <c r="F29" i="76" s="1"/>
  <c r="AA41" i="67"/>
  <c r="O42" i="76" s="1"/>
  <c r="H24" i="67"/>
  <c r="F25" i="76" s="1"/>
  <c r="H43" i="67"/>
  <c r="F44" i="76" s="1"/>
  <c r="H47" i="67"/>
  <c r="F48" i="76" s="1"/>
  <c r="F73" i="67"/>
  <c r="X17" i="67"/>
  <c r="N18" i="76" s="1"/>
  <c r="H39" i="67"/>
  <c r="F40" i="76" s="1"/>
  <c r="G73" i="67"/>
  <c r="AA22" i="67"/>
  <c r="O23" i="76" s="1"/>
  <c r="X25" i="67"/>
  <c r="N26" i="76" s="1"/>
  <c r="H35" i="67"/>
  <c r="F36" i="76" s="1"/>
  <c r="X52" i="67"/>
  <c r="N53" i="76" s="1"/>
  <c r="X28" i="67"/>
  <c r="N29" i="76" s="1"/>
  <c r="H51" i="67"/>
  <c r="F52" i="76" s="1"/>
  <c r="H31" i="67"/>
  <c r="F32" i="76" s="1"/>
  <c r="H32" i="67"/>
  <c r="F33" i="76" s="1"/>
  <c r="P20" i="67"/>
  <c r="J21" i="76" s="1"/>
  <c r="AA25" i="67"/>
  <c r="O26" i="76" s="1"/>
  <c r="X44" i="67"/>
  <c r="N45" i="76" s="1"/>
  <c r="H36" i="67"/>
  <c r="F37" i="76" s="1"/>
  <c r="H40" i="67"/>
  <c r="F41" i="76" s="1"/>
  <c r="H44" i="67"/>
  <c r="F45" i="76" s="1"/>
  <c r="H48" i="67"/>
  <c r="F49" i="76" s="1"/>
  <c r="H52" i="67"/>
  <c r="F53" i="76" s="1"/>
  <c r="H56" i="67"/>
  <c r="F57" i="76" s="1"/>
  <c r="H60" i="67"/>
  <c r="F61" i="76" s="1"/>
  <c r="H64" i="67"/>
  <c r="F65" i="76" s="1"/>
  <c r="H68" i="67"/>
  <c r="F69" i="76" s="1"/>
  <c r="H72" i="67"/>
  <c r="F73" i="76" s="1"/>
  <c r="H55" i="67"/>
  <c r="F56" i="76" s="1"/>
  <c r="H59" i="67"/>
  <c r="F60" i="76" s="1"/>
  <c r="H63" i="67"/>
  <c r="F64" i="76" s="1"/>
  <c r="H67" i="67"/>
  <c r="F68" i="76" s="1"/>
  <c r="H71" i="67"/>
  <c r="F72" i="76" s="1"/>
  <c r="H18" i="67"/>
  <c r="F19" i="76" s="1"/>
  <c r="H22" i="67"/>
  <c r="F23" i="76" s="1"/>
  <c r="H58" i="67"/>
  <c r="F59" i="76" s="1"/>
  <c r="H62" i="67"/>
  <c r="F63" i="76" s="1"/>
  <c r="H66" i="67"/>
  <c r="F67" i="76" s="1"/>
  <c r="H70" i="67"/>
  <c r="F71" i="76" s="1"/>
  <c r="P24" i="67"/>
  <c r="J25" i="76" s="1"/>
  <c r="P28" i="67"/>
  <c r="J29" i="76" s="1"/>
  <c r="P32" i="67"/>
  <c r="J33" i="76" s="1"/>
  <c r="P36" i="67"/>
  <c r="J37" i="76" s="1"/>
  <c r="P40" i="67"/>
  <c r="J41" i="76" s="1"/>
  <c r="P44" i="67"/>
  <c r="J45" i="76" s="1"/>
  <c r="P48" i="67"/>
  <c r="J49" i="76" s="1"/>
  <c r="P52" i="67"/>
  <c r="J53" i="76" s="1"/>
  <c r="P56" i="67"/>
  <c r="J57" i="76" s="1"/>
  <c r="P60" i="67"/>
  <c r="J61" i="76" s="1"/>
  <c r="P64" i="67"/>
  <c r="J65" i="76" s="1"/>
  <c r="P68" i="67"/>
  <c r="J69" i="76" s="1"/>
  <c r="P72" i="67"/>
  <c r="J73" i="76" s="1"/>
  <c r="H34" i="66"/>
  <c r="F35" i="75" s="1"/>
  <c r="H38" i="66"/>
  <c r="F39" i="75" s="1"/>
  <c r="P53" i="66"/>
  <c r="J54" i="75" s="1"/>
  <c r="P57" i="66"/>
  <c r="P25" i="66"/>
  <c r="H62" i="66"/>
  <c r="H26" i="66"/>
  <c r="F27" i="75" s="1"/>
  <c r="H53" i="66"/>
  <c r="F54" i="75" s="1"/>
  <c r="H25" i="66"/>
  <c r="H16" i="66"/>
  <c r="F17" i="75" s="1"/>
  <c r="H29" i="66"/>
  <c r="F30" i="75" s="1"/>
  <c r="H20" i="66"/>
  <c r="H50" i="66"/>
  <c r="F51" i="75" s="1"/>
  <c r="H56" i="66"/>
  <c r="F57" i="75" s="1"/>
  <c r="X15" i="66"/>
  <c r="N16" i="75" s="1"/>
  <c r="O73" i="66"/>
  <c r="H24" i="66"/>
  <c r="F25" i="75" s="1"/>
  <c r="H27" i="66"/>
  <c r="F28" i="75" s="1"/>
  <c r="H42" i="66"/>
  <c r="F43" i="75" s="1"/>
  <c r="H48" i="66"/>
  <c r="F49" i="75" s="1"/>
  <c r="H60" i="66"/>
  <c r="F61" i="75" s="1"/>
  <c r="H63" i="66"/>
  <c r="F64" i="75" s="1"/>
  <c r="N73" i="66"/>
  <c r="H66" i="66"/>
  <c r="F67" i="75" s="1"/>
  <c r="H69" i="66"/>
  <c r="F70" i="75" s="1"/>
  <c r="H72" i="66"/>
  <c r="F73" i="75" s="1"/>
  <c r="P70" i="66"/>
  <c r="J71" i="75" s="1"/>
  <c r="F73" i="66"/>
  <c r="P69" i="66"/>
  <c r="J70" i="75" s="1"/>
  <c r="P72" i="66"/>
  <c r="J73" i="75" s="1"/>
  <c r="H43" i="66"/>
  <c r="F44" i="75" s="1"/>
  <c r="H49" i="66"/>
  <c r="F50" i="75" s="1"/>
  <c r="H52" i="66"/>
  <c r="F53" i="75" s="1"/>
  <c r="H55" i="66"/>
  <c r="F56" i="75" s="1"/>
  <c r="H58" i="66"/>
  <c r="F59" i="75" s="1"/>
  <c r="H61" i="66"/>
  <c r="F62" i="75" s="1"/>
  <c r="H64" i="66"/>
  <c r="F65" i="75" s="1"/>
  <c r="H67" i="66"/>
  <c r="F68" i="75" s="1"/>
  <c r="H70" i="66"/>
  <c r="F71" i="75" s="1"/>
  <c r="N16" i="65"/>
  <c r="Y15" i="65"/>
  <c r="V15" i="65"/>
  <c r="N15" i="65"/>
  <c r="N73" i="65" s="1"/>
  <c r="AA72" i="65"/>
  <c r="O73" i="74" s="1"/>
  <c r="X72" i="65"/>
  <c r="N73" i="74" s="1"/>
  <c r="AA71" i="65"/>
  <c r="O72" i="74" s="1"/>
  <c r="X71" i="65"/>
  <c r="N72" i="74" s="1"/>
  <c r="AA70" i="65"/>
  <c r="O71" i="74" s="1"/>
  <c r="X70" i="65"/>
  <c r="N71" i="74" s="1"/>
  <c r="AA69" i="65"/>
  <c r="O70" i="74" s="1"/>
  <c r="X69" i="65"/>
  <c r="N70" i="74" s="1"/>
  <c r="P69" i="65"/>
  <c r="J70" i="74" s="1"/>
  <c r="AA68" i="65"/>
  <c r="O69" i="74" s="1"/>
  <c r="X68" i="65"/>
  <c r="N69" i="74" s="1"/>
  <c r="P68" i="65"/>
  <c r="J69" i="74" s="1"/>
  <c r="AA67" i="65"/>
  <c r="O68" i="74" s="1"/>
  <c r="X67" i="65"/>
  <c r="N68" i="74" s="1"/>
  <c r="P67" i="65"/>
  <c r="J68" i="74" s="1"/>
  <c r="AA66" i="65"/>
  <c r="O67" i="74" s="1"/>
  <c r="X66" i="65"/>
  <c r="N67" i="74" s="1"/>
  <c r="P66" i="65"/>
  <c r="J67" i="74" s="1"/>
  <c r="AA65" i="65"/>
  <c r="O66" i="74" s="1"/>
  <c r="X65" i="65"/>
  <c r="N66" i="74" s="1"/>
  <c r="P65" i="65"/>
  <c r="AA64" i="65"/>
  <c r="O65" i="74" s="1"/>
  <c r="X64" i="65"/>
  <c r="N65" i="74" s="1"/>
  <c r="P64" i="65"/>
  <c r="J65" i="74" s="1"/>
  <c r="AA63" i="65"/>
  <c r="O64" i="74" s="1"/>
  <c r="X63" i="65"/>
  <c r="N64" i="74" s="1"/>
  <c r="AA62" i="65"/>
  <c r="O63" i="74" s="1"/>
  <c r="X62" i="65"/>
  <c r="N63" i="74" s="1"/>
  <c r="P62" i="65"/>
  <c r="J63" i="74" s="1"/>
  <c r="AA61" i="65"/>
  <c r="O62" i="74" s="1"/>
  <c r="X61" i="65"/>
  <c r="N62" i="74" s="1"/>
  <c r="AA60" i="65"/>
  <c r="O61" i="74" s="1"/>
  <c r="X60" i="65"/>
  <c r="N61" i="74" s="1"/>
  <c r="AA59" i="65"/>
  <c r="O60" i="74" s="1"/>
  <c r="X59" i="65"/>
  <c r="N60" i="74" s="1"/>
  <c r="AA58" i="65"/>
  <c r="O59" i="74" s="1"/>
  <c r="X58" i="65"/>
  <c r="N59" i="74" s="1"/>
  <c r="AA57" i="65"/>
  <c r="O58" i="74" s="1"/>
  <c r="X57" i="65"/>
  <c r="N58" i="74" s="1"/>
  <c r="P57" i="65"/>
  <c r="J58" i="74" s="1"/>
  <c r="AA56" i="65"/>
  <c r="O57" i="74" s="1"/>
  <c r="X56" i="65"/>
  <c r="N57" i="74" s="1"/>
  <c r="P56" i="65"/>
  <c r="J57" i="74" s="1"/>
  <c r="AA55" i="65"/>
  <c r="O56" i="74" s="1"/>
  <c r="X55" i="65"/>
  <c r="N56" i="74" s="1"/>
  <c r="P55" i="65"/>
  <c r="J56" i="74" s="1"/>
  <c r="AA54" i="65"/>
  <c r="O55" i="74" s="1"/>
  <c r="X54" i="65"/>
  <c r="N55" i="74" s="1"/>
  <c r="P54" i="65"/>
  <c r="J55" i="74" s="1"/>
  <c r="AA53" i="65"/>
  <c r="O54" i="74" s="1"/>
  <c r="X53" i="65"/>
  <c r="N54" i="74" s="1"/>
  <c r="P53" i="65"/>
  <c r="AA52" i="65"/>
  <c r="O53" i="74" s="1"/>
  <c r="X52" i="65"/>
  <c r="N53" i="74" s="1"/>
  <c r="P52" i="65"/>
  <c r="J53" i="74" s="1"/>
  <c r="AA51" i="65"/>
  <c r="O52" i="74" s="1"/>
  <c r="X51" i="65"/>
  <c r="N52" i="74" s="1"/>
  <c r="AA50" i="65"/>
  <c r="O51" i="74" s="1"/>
  <c r="X50" i="65"/>
  <c r="N51" i="74" s="1"/>
  <c r="P50" i="65"/>
  <c r="AA49" i="65"/>
  <c r="O50" i="74" s="1"/>
  <c r="X49" i="65"/>
  <c r="N50" i="74" s="1"/>
  <c r="AA48" i="65"/>
  <c r="O49" i="74" s="1"/>
  <c r="X48" i="65"/>
  <c r="N49" i="74" s="1"/>
  <c r="AA47" i="65"/>
  <c r="O48" i="74" s="1"/>
  <c r="X47" i="65"/>
  <c r="N48" i="74" s="1"/>
  <c r="AA46" i="65"/>
  <c r="O47" i="74" s="1"/>
  <c r="X46" i="65"/>
  <c r="N47" i="74" s="1"/>
  <c r="AA45" i="65"/>
  <c r="O46" i="74" s="1"/>
  <c r="X45" i="65"/>
  <c r="N46" i="74" s="1"/>
  <c r="P45" i="65"/>
  <c r="J46" i="74" s="1"/>
  <c r="AA44" i="65"/>
  <c r="O45" i="74" s="1"/>
  <c r="X44" i="65"/>
  <c r="N45" i="74" s="1"/>
  <c r="P44" i="65"/>
  <c r="J45" i="74" s="1"/>
  <c r="AA43" i="65"/>
  <c r="O44" i="74" s="1"/>
  <c r="X43" i="65"/>
  <c r="N44" i="74" s="1"/>
  <c r="P43" i="65"/>
  <c r="J44" i="74" s="1"/>
  <c r="AA42" i="65"/>
  <c r="O43" i="74" s="1"/>
  <c r="X42" i="65"/>
  <c r="N43" i="74" s="1"/>
  <c r="P42" i="65"/>
  <c r="J43" i="74" s="1"/>
  <c r="AA41" i="65"/>
  <c r="O42" i="74" s="1"/>
  <c r="X41" i="65"/>
  <c r="N42" i="74" s="1"/>
  <c r="P41" i="65"/>
  <c r="AA40" i="65"/>
  <c r="O41" i="74" s="1"/>
  <c r="X40" i="65"/>
  <c r="N41" i="74" s="1"/>
  <c r="P40" i="65"/>
  <c r="J41" i="74" s="1"/>
  <c r="AA39" i="65"/>
  <c r="O40" i="74" s="1"/>
  <c r="X39" i="65"/>
  <c r="N40" i="74" s="1"/>
  <c r="AA38" i="65"/>
  <c r="O39" i="74" s="1"/>
  <c r="X38" i="65"/>
  <c r="N39" i="74" s="1"/>
  <c r="P38" i="65"/>
  <c r="AA37" i="65"/>
  <c r="O38" i="74" s="1"/>
  <c r="X37" i="65"/>
  <c r="N38" i="74" s="1"/>
  <c r="AA36" i="65"/>
  <c r="O37" i="74" s="1"/>
  <c r="X36" i="65"/>
  <c r="N37" i="74" s="1"/>
  <c r="AA35" i="65"/>
  <c r="O36" i="74" s="1"/>
  <c r="X35" i="65"/>
  <c r="N36" i="74" s="1"/>
  <c r="P35" i="65"/>
  <c r="J36" i="74" s="1"/>
  <c r="AA34" i="65"/>
  <c r="O35" i="74" s="1"/>
  <c r="X34" i="65"/>
  <c r="N35" i="74" s="1"/>
  <c r="AA33" i="65"/>
  <c r="O34" i="74" s="1"/>
  <c r="X33" i="65"/>
  <c r="N34" i="74" s="1"/>
  <c r="P33" i="65"/>
  <c r="J34" i="74" s="1"/>
  <c r="AA32" i="65"/>
  <c r="O33" i="74" s="1"/>
  <c r="X32" i="65"/>
  <c r="N33" i="74" s="1"/>
  <c r="P32" i="65"/>
  <c r="AA31" i="65"/>
  <c r="O32" i="74" s="1"/>
  <c r="X31" i="65"/>
  <c r="N32" i="74" s="1"/>
  <c r="P31" i="65"/>
  <c r="J32" i="74" s="1"/>
  <c r="AA30" i="65"/>
  <c r="O31" i="74" s="1"/>
  <c r="X30" i="65"/>
  <c r="N31" i="74" s="1"/>
  <c r="P30" i="65"/>
  <c r="J31" i="74" s="1"/>
  <c r="AA29" i="65"/>
  <c r="O30" i="74" s="1"/>
  <c r="X29" i="65"/>
  <c r="N30" i="74" s="1"/>
  <c r="P29" i="65"/>
  <c r="AA28" i="65"/>
  <c r="O29" i="74" s="1"/>
  <c r="X28" i="65"/>
  <c r="N29" i="74" s="1"/>
  <c r="P28" i="65"/>
  <c r="J29" i="74" s="1"/>
  <c r="AA27" i="65"/>
  <c r="O28" i="74" s="1"/>
  <c r="X27" i="65"/>
  <c r="N28" i="74" s="1"/>
  <c r="AA26" i="65"/>
  <c r="O27" i="74" s="1"/>
  <c r="X26" i="65"/>
  <c r="N27" i="74" s="1"/>
  <c r="AA25" i="65"/>
  <c r="O26" i="74" s="1"/>
  <c r="X25" i="65"/>
  <c r="N26" i="74" s="1"/>
  <c r="AA24" i="65"/>
  <c r="O25" i="74" s="1"/>
  <c r="X24" i="65"/>
  <c r="N25" i="74" s="1"/>
  <c r="AA23" i="65"/>
  <c r="O24" i="74" s="1"/>
  <c r="X23" i="65"/>
  <c r="N24" i="74" s="1"/>
  <c r="P23" i="65"/>
  <c r="J24" i="74" s="1"/>
  <c r="AA22" i="65"/>
  <c r="O23" i="74" s="1"/>
  <c r="X22" i="65"/>
  <c r="N23" i="74" s="1"/>
  <c r="AA21" i="65"/>
  <c r="O22" i="74" s="1"/>
  <c r="X21" i="65"/>
  <c r="N22" i="74" s="1"/>
  <c r="P21" i="65"/>
  <c r="J22" i="74" s="1"/>
  <c r="AA20" i="65"/>
  <c r="O21" i="74" s="1"/>
  <c r="X20" i="65"/>
  <c r="N21" i="74" s="1"/>
  <c r="P20" i="65"/>
  <c r="J21" i="74" s="1"/>
  <c r="AA19" i="65"/>
  <c r="O20" i="74" s="1"/>
  <c r="X19" i="65"/>
  <c r="N20" i="74" s="1"/>
  <c r="AA18" i="65"/>
  <c r="O19" i="74" s="1"/>
  <c r="X18" i="65"/>
  <c r="N19" i="74" s="1"/>
  <c r="P18" i="65"/>
  <c r="J19" i="74" s="1"/>
  <c r="AA17" i="65"/>
  <c r="O18" i="74" s="1"/>
  <c r="X17" i="65"/>
  <c r="N18" i="74" s="1"/>
  <c r="P17" i="65"/>
  <c r="AA16" i="65"/>
  <c r="O17" i="74" s="1"/>
  <c r="X16" i="65"/>
  <c r="N17" i="74" s="1"/>
  <c r="F16" i="65"/>
  <c r="F17" i="65"/>
  <c r="F18" i="65"/>
  <c r="F19" i="65"/>
  <c r="F20" i="65"/>
  <c r="F21" i="65"/>
  <c r="F22" i="65"/>
  <c r="F23" i="65"/>
  <c r="F24" i="65"/>
  <c r="H24" i="65" s="1"/>
  <c r="F25" i="74" s="1"/>
  <c r="F25" i="65"/>
  <c r="F26" i="65"/>
  <c r="F27" i="65"/>
  <c r="F28" i="65"/>
  <c r="F29" i="65"/>
  <c r="F30" i="65"/>
  <c r="F31" i="65"/>
  <c r="F32" i="65"/>
  <c r="F33" i="65"/>
  <c r="F34" i="65"/>
  <c r="F35" i="65"/>
  <c r="F36" i="65"/>
  <c r="F37" i="65"/>
  <c r="F38" i="65"/>
  <c r="F39" i="65"/>
  <c r="F40" i="65"/>
  <c r="F41" i="65"/>
  <c r="F42" i="65"/>
  <c r="F43" i="65"/>
  <c r="F44" i="65"/>
  <c r="F45" i="65"/>
  <c r="F46" i="65"/>
  <c r="F47" i="65"/>
  <c r="F48" i="65"/>
  <c r="F49" i="65"/>
  <c r="F50" i="65"/>
  <c r="F51" i="65"/>
  <c r="F52" i="65"/>
  <c r="F53" i="65"/>
  <c r="F54" i="65"/>
  <c r="H54" i="65"/>
  <c r="F55" i="74" s="1"/>
  <c r="F55" i="65"/>
  <c r="F56" i="65"/>
  <c r="F57" i="65"/>
  <c r="F58" i="65"/>
  <c r="F59" i="65"/>
  <c r="F60" i="65"/>
  <c r="F61" i="65"/>
  <c r="F62" i="65"/>
  <c r="F63" i="65"/>
  <c r="F64" i="65"/>
  <c r="F65" i="65"/>
  <c r="F66" i="65"/>
  <c r="H66" i="65" s="1"/>
  <c r="F67" i="74" s="1"/>
  <c r="F67" i="65"/>
  <c r="F68" i="65"/>
  <c r="F69" i="65"/>
  <c r="F70" i="65"/>
  <c r="F71" i="65"/>
  <c r="F72" i="65"/>
  <c r="F15" i="65"/>
  <c r="H42" i="65" l="1"/>
  <c r="F43" i="74" s="1"/>
  <c r="H69" i="65"/>
  <c r="F70" i="74" s="1"/>
  <c r="H65" i="65"/>
  <c r="F66" i="74" s="1"/>
  <c r="H53" i="65"/>
  <c r="F54" i="74" s="1"/>
  <c r="H45" i="65"/>
  <c r="F46" i="74" s="1"/>
  <c r="H41" i="65"/>
  <c r="F42" i="74" s="1"/>
  <c r="H29" i="65"/>
  <c r="F30" i="74" s="1"/>
  <c r="H21" i="65"/>
  <c r="F22" i="74" s="1"/>
  <c r="F73" i="65"/>
  <c r="X15" i="65"/>
  <c r="N16" i="74" s="1"/>
  <c r="H28" i="65"/>
  <c r="F29" i="74" s="1"/>
  <c r="H22" i="65"/>
  <c r="F23" i="74" s="1"/>
  <c r="H16" i="65"/>
  <c r="F17" i="74" s="1"/>
  <c r="F42" i="77"/>
  <c r="F22" i="80"/>
  <c r="F22" i="78"/>
  <c r="F42" i="81"/>
  <c r="F21" i="77"/>
  <c r="F50" i="80"/>
  <c r="J74" i="78"/>
  <c r="G24" i="33" s="1"/>
  <c r="J74" i="77"/>
  <c r="G23" i="33" s="1"/>
  <c r="F70" i="76"/>
  <c r="F26" i="76"/>
  <c r="F41" i="75"/>
  <c r="F66" i="80"/>
  <c r="P73" i="66"/>
  <c r="J26" i="75"/>
  <c r="F54" i="77"/>
  <c r="J51" i="74"/>
  <c r="F63" i="75"/>
  <c r="F42" i="79"/>
  <c r="F46" i="79"/>
  <c r="J18" i="79"/>
  <c r="J30" i="74"/>
  <c r="J33" i="74"/>
  <c r="F50" i="76"/>
  <c r="F58" i="76"/>
  <c r="F50" i="77"/>
  <c r="F20" i="78"/>
  <c r="F58" i="80"/>
  <c r="J66" i="74"/>
  <c r="F46" i="77"/>
  <c r="F57" i="81"/>
  <c r="F29" i="81"/>
  <c r="F34" i="77"/>
  <c r="F21" i="75"/>
  <c r="F49" i="81"/>
  <c r="F62" i="82"/>
  <c r="F38" i="82"/>
  <c r="J58" i="75"/>
  <c r="J42" i="74"/>
  <c r="F62" i="79"/>
  <c r="F42" i="82"/>
  <c r="F30" i="80"/>
  <c r="J74" i="76"/>
  <c r="G22" i="33" s="1"/>
  <c r="F38" i="76"/>
  <c r="F34" i="82"/>
  <c r="J39" i="74"/>
  <c r="F26" i="75"/>
  <c r="F34" i="76"/>
  <c r="F68" i="78"/>
  <c r="G73" i="65"/>
  <c r="J18" i="74"/>
  <c r="J54" i="74"/>
  <c r="F58" i="77"/>
  <c r="F56" i="78"/>
  <c r="F70" i="79"/>
  <c r="P73" i="71"/>
  <c r="J19" i="80"/>
  <c r="F54" i="81"/>
  <c r="F18" i="80"/>
  <c r="F54" i="76"/>
  <c r="F46" i="78"/>
  <c r="F70" i="81"/>
  <c r="F54" i="82"/>
  <c r="F26" i="77"/>
  <c r="F46" i="80"/>
  <c r="J28" i="80"/>
  <c r="F30" i="81"/>
  <c r="F34" i="81"/>
  <c r="F50" i="79"/>
  <c r="F34" i="80"/>
  <c r="J25" i="81"/>
  <c r="J74" i="81" s="1"/>
  <c r="G27" i="33" s="1"/>
  <c r="F30" i="78"/>
  <c r="J25" i="82"/>
  <c r="J74" i="82" s="1"/>
  <c r="G28" i="33" s="1"/>
  <c r="F38" i="77"/>
  <c r="F26" i="78"/>
  <c r="F28" i="78"/>
  <c r="F30" i="82"/>
  <c r="F46" i="76"/>
  <c r="F62" i="76"/>
  <c r="F62" i="77"/>
  <c r="F24" i="78"/>
  <c r="F64" i="78"/>
  <c r="F18" i="81"/>
  <c r="F58" i="81"/>
  <c r="F18" i="82"/>
  <c r="P73" i="73"/>
  <c r="H73" i="73"/>
  <c r="H73" i="72"/>
  <c r="P73" i="72"/>
  <c r="H73" i="71"/>
  <c r="AA15" i="65"/>
  <c r="O16" i="74" s="1"/>
  <c r="H46" i="65"/>
  <c r="H26" i="65"/>
  <c r="H19" i="65"/>
  <c r="F20" i="74" s="1"/>
  <c r="H17" i="65"/>
  <c r="P73" i="70"/>
  <c r="H73" i="70"/>
  <c r="H73" i="69"/>
  <c r="P73" i="69"/>
  <c r="P73" i="68"/>
  <c r="H73" i="68"/>
  <c r="H73" i="67"/>
  <c r="P73" i="67"/>
  <c r="H73" i="66"/>
  <c r="P16" i="65"/>
  <c r="P22" i="65"/>
  <c r="J23" i="74" s="1"/>
  <c r="P19" i="65"/>
  <c r="J20" i="74" s="1"/>
  <c r="P46" i="65"/>
  <c r="J47" i="74" s="1"/>
  <c r="P58" i="65"/>
  <c r="J59" i="74" s="1"/>
  <c r="P70" i="65"/>
  <c r="J71" i="74" s="1"/>
  <c r="P71" i="65"/>
  <c r="J72" i="74" s="1"/>
  <c r="P36" i="65"/>
  <c r="J37" i="74" s="1"/>
  <c r="P48" i="65"/>
  <c r="J49" i="74" s="1"/>
  <c r="P60" i="65"/>
  <c r="J61" i="74" s="1"/>
  <c r="P72" i="65"/>
  <c r="J73" i="74" s="1"/>
  <c r="P47" i="65"/>
  <c r="J48" i="74" s="1"/>
  <c r="P37" i="65"/>
  <c r="J38" i="74" s="1"/>
  <c r="P49" i="65"/>
  <c r="J50" i="74" s="1"/>
  <c r="P61" i="65"/>
  <c r="J62" i="74" s="1"/>
  <c r="P59" i="65"/>
  <c r="J60" i="74" s="1"/>
  <c r="P34" i="65"/>
  <c r="J35" i="74" s="1"/>
  <c r="P24" i="65"/>
  <c r="J25" i="74" s="1"/>
  <c r="P25" i="65"/>
  <c r="J26" i="74" s="1"/>
  <c r="P26" i="65"/>
  <c r="J27" i="74" s="1"/>
  <c r="P15" i="65"/>
  <c r="J16" i="74" s="1"/>
  <c r="P27" i="65"/>
  <c r="J28" i="74" s="1"/>
  <c r="P39" i="65"/>
  <c r="J40" i="74" s="1"/>
  <c r="P51" i="65"/>
  <c r="J52" i="74" s="1"/>
  <c r="P63" i="65"/>
  <c r="J64" i="74" s="1"/>
  <c r="H43" i="65"/>
  <c r="H55" i="65"/>
  <c r="H34" i="65"/>
  <c r="H57" i="65"/>
  <c r="H67" i="65"/>
  <c r="H36" i="65"/>
  <c r="H58" i="65"/>
  <c r="H50" i="65"/>
  <c r="H62" i="65"/>
  <c r="H31" i="65"/>
  <c r="H37" i="65"/>
  <c r="F38" i="74" s="1"/>
  <c r="H48" i="65"/>
  <c r="H49" i="65"/>
  <c r="H38" i="65"/>
  <c r="H60" i="65"/>
  <c r="H25" i="65"/>
  <c r="H33" i="65"/>
  <c r="H61" i="65"/>
  <c r="H52" i="65"/>
  <c r="F53" i="74" s="1"/>
  <c r="H64" i="65"/>
  <c r="F65" i="74" s="1"/>
  <c r="H23" i="65"/>
  <c r="F24" i="74" s="1"/>
  <c r="H35" i="65"/>
  <c r="F36" i="74" s="1"/>
  <c r="H47" i="65"/>
  <c r="F48" i="74" s="1"/>
  <c r="H59" i="65"/>
  <c r="F60" i="74" s="1"/>
  <c r="H71" i="65"/>
  <c r="F72" i="74" s="1"/>
  <c r="H30" i="65"/>
  <c r="F31" i="74" s="1"/>
  <c r="H20" i="65"/>
  <c r="F21" i="74" s="1"/>
  <c r="H32" i="65"/>
  <c r="F33" i="74" s="1"/>
  <c r="H44" i="65"/>
  <c r="F45" i="74" s="1"/>
  <c r="H56" i="65"/>
  <c r="F57" i="74" s="1"/>
  <c r="H68" i="65"/>
  <c r="F69" i="74" s="1"/>
  <c r="H40" i="65"/>
  <c r="F41" i="74" s="1"/>
  <c r="H18" i="65"/>
  <c r="F19" i="74" s="1"/>
  <c r="H15" i="65"/>
  <c r="F16" i="74" s="1"/>
  <c r="H27" i="65"/>
  <c r="F28" i="74" s="1"/>
  <c r="H39" i="65"/>
  <c r="F40" i="74" s="1"/>
  <c r="H51" i="65"/>
  <c r="F52" i="74" s="1"/>
  <c r="H63" i="65"/>
  <c r="F64" i="74" s="1"/>
  <c r="H70" i="65"/>
  <c r="F71" i="74" s="1"/>
  <c r="H72" i="65"/>
  <c r="F73" i="74" s="1"/>
  <c r="C6" i="65"/>
  <c r="C5" i="65"/>
  <c r="C6" i="64"/>
  <c r="C5" i="64"/>
  <c r="J73" i="64"/>
  <c r="G27" i="19" s="1"/>
  <c r="F73" i="64"/>
  <c r="E27" i="19" s="1"/>
  <c r="C6" i="63"/>
  <c r="C5" i="63"/>
  <c r="J73" i="63"/>
  <c r="G26" i="19" s="1"/>
  <c r="F73" i="63"/>
  <c r="E26" i="19" s="1"/>
  <c r="C6" i="62"/>
  <c r="C5" i="62"/>
  <c r="J73" i="62"/>
  <c r="G25" i="19" s="1"/>
  <c r="F73" i="62"/>
  <c r="E25" i="19" s="1"/>
  <c r="C6" i="61"/>
  <c r="C5" i="61"/>
  <c r="J73" i="61"/>
  <c r="G24" i="19" s="1"/>
  <c r="F73" i="61"/>
  <c r="E24" i="19" s="1"/>
  <c r="C6" i="60"/>
  <c r="C5" i="60"/>
  <c r="J73" i="60"/>
  <c r="G23" i="19" s="1"/>
  <c r="F73" i="60"/>
  <c r="E23" i="19" s="1"/>
  <c r="C6" i="59"/>
  <c r="C5" i="59"/>
  <c r="J73" i="59"/>
  <c r="G22" i="19" s="1"/>
  <c r="F73" i="59"/>
  <c r="E22" i="19" s="1"/>
  <c r="C6" i="58"/>
  <c r="C5" i="58"/>
  <c r="J73" i="58"/>
  <c r="G21" i="19" s="1"/>
  <c r="F73" i="58"/>
  <c r="E21" i="19" s="1"/>
  <c r="C6" i="57"/>
  <c r="C5" i="57"/>
  <c r="J73" i="57"/>
  <c r="G20" i="19" s="1"/>
  <c r="F73" i="57"/>
  <c r="E20" i="19" s="1"/>
  <c r="C6" i="56"/>
  <c r="C5" i="56"/>
  <c r="F73" i="56"/>
  <c r="E19" i="19" s="1"/>
  <c r="J73" i="56"/>
  <c r="G19" i="19" s="1"/>
  <c r="J151" i="22"/>
  <c r="F151" i="22"/>
  <c r="J17" i="22"/>
  <c r="F17" i="22"/>
  <c r="D151" i="51"/>
  <c r="H151" i="51" s="1"/>
  <c r="E151" i="51"/>
  <c r="L151" i="51"/>
  <c r="M151" i="51"/>
  <c r="D17" i="51"/>
  <c r="E17" i="51"/>
  <c r="L17" i="51"/>
  <c r="P17" i="51" s="1"/>
  <c r="F151" i="51" l="1"/>
  <c r="I151" i="51" s="1"/>
  <c r="N17" i="51"/>
  <c r="Q17" i="51" s="1"/>
  <c r="F74" i="79"/>
  <c r="E25" i="33" s="1"/>
  <c r="F74" i="80"/>
  <c r="E26" i="33" s="1"/>
  <c r="F44" i="74"/>
  <c r="F27" i="74"/>
  <c r="F74" i="77"/>
  <c r="E23" i="33" s="1"/>
  <c r="F32" i="74"/>
  <c r="F34" i="74"/>
  <c r="F63" i="74"/>
  <c r="F74" i="82"/>
  <c r="E28" i="33" s="1"/>
  <c r="F74" i="75"/>
  <c r="E21" i="33" s="1"/>
  <c r="J17" i="74"/>
  <c r="J74" i="79"/>
  <c r="G25" i="33" s="1"/>
  <c r="F47" i="74"/>
  <c r="F56" i="74"/>
  <c r="F62" i="74"/>
  <c r="F74" i="76"/>
  <c r="E22" i="33" s="1"/>
  <c r="F74" i="78"/>
  <c r="E24" i="33" s="1"/>
  <c r="F74" i="81"/>
  <c r="E27" i="33" s="1"/>
  <c r="F61" i="74"/>
  <c r="F51" i="74"/>
  <c r="F39" i="74"/>
  <c r="F59" i="74"/>
  <c r="J74" i="75"/>
  <c r="G21" i="33" s="1"/>
  <c r="F37" i="74"/>
  <c r="J74" i="80"/>
  <c r="G26" i="33" s="1"/>
  <c r="F26" i="74"/>
  <c r="F68" i="74"/>
  <c r="F50" i="74"/>
  <c r="F58" i="74"/>
  <c r="F18" i="74"/>
  <c r="F49" i="74"/>
  <c r="F35" i="74"/>
  <c r="F17" i="51"/>
  <c r="N151" i="51"/>
  <c r="P73" i="65"/>
  <c r="H73" i="65"/>
  <c r="P151" i="51"/>
  <c r="H17" i="51"/>
  <c r="H18" i="39" l="1"/>
  <c r="J18" i="39" s="1"/>
  <c r="F74" i="74"/>
  <c r="E20" i="33" s="1"/>
  <c r="J74" i="74"/>
  <c r="G20" i="33" s="1"/>
  <c r="I17" i="51"/>
  <c r="D18" i="39"/>
  <c r="F18" i="39" s="1"/>
  <c r="Q151" i="51"/>
  <c r="H152" i="39"/>
  <c r="J152" i="39" s="1"/>
  <c r="G49" i="40" l="1"/>
  <c r="H49" i="40"/>
  <c r="J49" i="40"/>
  <c r="K49" i="40"/>
  <c r="M49" i="40"/>
  <c r="N49" i="40"/>
  <c r="P49" i="40"/>
  <c r="Q49" i="40"/>
  <c r="S49" i="40"/>
  <c r="T49" i="40"/>
  <c r="J48" i="2"/>
  <c r="R49" i="40" l="1"/>
  <c r="H49" i="29" s="1"/>
  <c r="O49" i="40"/>
  <c r="G49" i="29" s="1"/>
  <c r="U49" i="40"/>
  <c r="I49" i="29" s="1"/>
  <c r="V49" i="40"/>
  <c r="L49" i="40"/>
  <c r="F49" i="29" s="1"/>
  <c r="I49" i="40"/>
  <c r="E49" i="29" s="1"/>
  <c r="W49" i="40"/>
  <c r="J49" i="29" l="1"/>
  <c r="X49" i="40"/>
  <c r="A39" i="31" l="1"/>
  <c r="B31" i="31"/>
  <c r="B26" i="31"/>
  <c r="C6" i="40" l="1"/>
  <c r="A3" i="53"/>
  <c r="L18" i="38" l="1"/>
  <c r="D8" i="41"/>
  <c r="C6" i="22"/>
  <c r="C5" i="22"/>
  <c r="C6" i="12"/>
  <c r="C5" i="12"/>
  <c r="C6" i="16"/>
  <c r="C5" i="16"/>
  <c r="C6" i="23"/>
  <c r="C5" i="23"/>
  <c r="C6" i="18"/>
  <c r="C5" i="18"/>
  <c r="C6" i="17"/>
  <c r="C5" i="17"/>
  <c r="C6" i="19"/>
  <c r="C5" i="19"/>
  <c r="C6" i="28"/>
  <c r="C5" i="28"/>
  <c r="C6" i="24"/>
  <c r="C5" i="24"/>
  <c r="C6" i="20"/>
  <c r="C5" i="20"/>
  <c r="E9" i="51" l="1"/>
  <c r="D9" i="51" l="1"/>
  <c r="F9" i="51" s="1"/>
  <c r="D10" i="39" s="1"/>
  <c r="D36" i="52" s="1"/>
  <c r="F8" i="49"/>
  <c r="D8" i="48"/>
  <c r="D9" i="36" s="1"/>
  <c r="F8" i="47"/>
  <c r="F9" i="35" s="1"/>
  <c r="D8" i="46"/>
  <c r="D9" i="34" s="1"/>
  <c r="V162" i="38" l="1"/>
  <c r="V157" i="38"/>
  <c r="V152" i="38"/>
  <c r="V147" i="38"/>
  <c r="V142" i="38"/>
  <c r="V137" i="38"/>
  <c r="V132" i="38"/>
  <c r="V127" i="38"/>
  <c r="V122" i="38"/>
  <c r="V117" i="38"/>
  <c r="V112" i="38"/>
  <c r="V107" i="38"/>
  <c r="V102" i="38"/>
  <c r="V97" i="38"/>
  <c r="V92" i="38"/>
  <c r="V87" i="38"/>
  <c r="V82" i="38"/>
  <c r="V77" i="38"/>
  <c r="V72" i="38"/>
  <c r="V67" i="38"/>
  <c r="V62" i="38"/>
  <c r="V57" i="38"/>
  <c r="V52" i="38"/>
  <c r="V47" i="38"/>
  <c r="V42" i="38"/>
  <c r="V37" i="38"/>
  <c r="V32" i="38"/>
  <c r="V27" i="38"/>
  <c r="V22" i="38"/>
  <c r="V17" i="38"/>
  <c r="Q22" i="38"/>
  <c r="Q17" i="38"/>
  <c r="C6" i="51"/>
  <c r="C5" i="51"/>
  <c r="C6" i="38"/>
  <c r="C5" i="38"/>
  <c r="C6" i="49"/>
  <c r="C5" i="49"/>
  <c r="C6" i="48"/>
  <c r="C5" i="48"/>
  <c r="C6" i="47"/>
  <c r="C5" i="47"/>
  <c r="C6" i="46"/>
  <c r="C5" i="46"/>
  <c r="C6" i="43"/>
  <c r="C5" i="43"/>
  <c r="C6" i="41"/>
  <c r="C5" i="41"/>
  <c r="C7" i="40"/>
  <c r="C7" i="39"/>
  <c r="C6" i="39"/>
  <c r="C7" i="50"/>
  <c r="C6" i="50"/>
  <c r="C7" i="37"/>
  <c r="C6" i="37"/>
  <c r="C7" i="36"/>
  <c r="C6" i="36"/>
  <c r="C7" i="35"/>
  <c r="C6" i="35"/>
  <c r="C7" i="34"/>
  <c r="C6" i="34"/>
  <c r="C7" i="33"/>
  <c r="C6" i="33"/>
  <c r="C7" i="32"/>
  <c r="C6" i="32"/>
  <c r="C7" i="31"/>
  <c r="C6" i="31"/>
  <c r="C7" i="30"/>
  <c r="C6" i="30"/>
  <c r="C7" i="29"/>
  <c r="C6" i="29"/>
  <c r="D6" i="53"/>
  <c r="D5" i="53"/>
  <c r="A4" i="39" l="1"/>
  <c r="A4" i="50"/>
  <c r="A4" i="37"/>
  <c r="A4" i="36"/>
  <c r="A4" i="35"/>
  <c r="A4" i="34"/>
  <c r="A4" i="33"/>
  <c r="A4" i="32"/>
  <c r="A4" i="31"/>
  <c r="A4" i="30"/>
  <c r="A4" i="29"/>
  <c r="E312" i="52"/>
  <c r="E303" i="52"/>
  <c r="E294" i="52"/>
  <c r="E285" i="52"/>
  <c r="E276" i="52"/>
  <c r="E267" i="52"/>
  <c r="E258" i="52"/>
  <c r="E249" i="52"/>
  <c r="E240" i="52"/>
  <c r="E231" i="52"/>
  <c r="E222" i="52"/>
  <c r="E213" i="52"/>
  <c r="E204" i="52"/>
  <c r="E195" i="52"/>
  <c r="E186" i="52"/>
  <c r="E177" i="52"/>
  <c r="E168" i="52"/>
  <c r="E159" i="52"/>
  <c r="E150" i="52"/>
  <c r="E141" i="52"/>
  <c r="E132" i="52"/>
  <c r="E123" i="52"/>
  <c r="E114" i="52"/>
  <c r="E105" i="52"/>
  <c r="E96" i="52"/>
  <c r="E87" i="52"/>
  <c r="E78" i="52"/>
  <c r="E69" i="52"/>
  <c r="E60" i="52"/>
  <c r="E51" i="52"/>
  <c r="E313" i="52"/>
  <c r="E304" i="52"/>
  <c r="E295" i="52"/>
  <c r="E286" i="52"/>
  <c r="E277" i="52"/>
  <c r="E268" i="52"/>
  <c r="E259" i="52"/>
  <c r="E250" i="52"/>
  <c r="E241" i="52"/>
  <c r="E232" i="52"/>
  <c r="E223" i="52"/>
  <c r="E214" i="52"/>
  <c r="E205" i="52"/>
  <c r="E196" i="52"/>
  <c r="E187" i="52"/>
  <c r="E178" i="52"/>
  <c r="E169" i="52"/>
  <c r="E160" i="52"/>
  <c r="E151" i="52"/>
  <c r="E142" i="52"/>
  <c r="E133" i="52"/>
  <c r="E124" i="52"/>
  <c r="E115" i="52"/>
  <c r="E106" i="52"/>
  <c r="E97" i="52"/>
  <c r="E88" i="52"/>
  <c r="E79" i="52"/>
  <c r="E70" i="52"/>
  <c r="E61" i="52"/>
  <c r="E52" i="52"/>
  <c r="E86" i="52"/>
  <c r="M19" i="51"/>
  <c r="M20" i="51"/>
  <c r="M21" i="51"/>
  <c r="M22" i="51"/>
  <c r="M23" i="51"/>
  <c r="M24" i="51"/>
  <c r="M25" i="51"/>
  <c r="M26" i="51"/>
  <c r="M27" i="51"/>
  <c r="M28" i="51"/>
  <c r="M29" i="51"/>
  <c r="M30" i="51"/>
  <c r="M31" i="51"/>
  <c r="M32" i="51"/>
  <c r="M33" i="51"/>
  <c r="M34" i="51"/>
  <c r="M35" i="51"/>
  <c r="M36" i="51"/>
  <c r="M37" i="51"/>
  <c r="M38" i="51"/>
  <c r="M39" i="51"/>
  <c r="M40" i="51"/>
  <c r="M41" i="51"/>
  <c r="M42" i="51"/>
  <c r="M43" i="51"/>
  <c r="M44" i="51"/>
  <c r="M45" i="51"/>
  <c r="M46" i="51"/>
  <c r="M47" i="51"/>
  <c r="M48" i="51"/>
  <c r="M49" i="51"/>
  <c r="M50" i="51"/>
  <c r="M51" i="51"/>
  <c r="M52" i="51"/>
  <c r="M53" i="51"/>
  <c r="M54" i="51"/>
  <c r="M55" i="51"/>
  <c r="M56" i="51"/>
  <c r="M57" i="51"/>
  <c r="M58" i="51"/>
  <c r="M59" i="51"/>
  <c r="M60" i="51"/>
  <c r="M61" i="51"/>
  <c r="M62" i="51"/>
  <c r="M63" i="51"/>
  <c r="M64" i="51"/>
  <c r="M65" i="51"/>
  <c r="M66" i="51"/>
  <c r="M67" i="51"/>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2" i="51"/>
  <c r="M153" i="51"/>
  <c r="M154" i="51"/>
  <c r="M155" i="51"/>
  <c r="M156" i="51"/>
  <c r="M157" i="51"/>
  <c r="M158" i="51"/>
  <c r="M159" i="51"/>
  <c r="M160" i="51"/>
  <c r="M161" i="51"/>
  <c r="M162" i="51"/>
  <c r="M163" i="51"/>
  <c r="M164" i="51"/>
  <c r="M165" i="51"/>
  <c r="M166" i="51"/>
  <c r="M167" i="51"/>
  <c r="M168" i="51"/>
  <c r="M169" i="51"/>
  <c r="M170" i="51"/>
  <c r="M171" i="51"/>
  <c r="M172" i="51"/>
  <c r="M173" i="51"/>
  <c r="M174" i="51"/>
  <c r="M175" i="51"/>
  <c r="M176" i="51"/>
  <c r="M177" i="51"/>
  <c r="M178" i="51"/>
  <c r="M179" i="51"/>
  <c r="M180" i="51"/>
  <c r="M181" i="51"/>
  <c r="M182" i="51"/>
  <c r="M183" i="51"/>
  <c r="M184" i="51"/>
  <c r="M185" i="51"/>
  <c r="M186" i="51"/>
  <c r="M187" i="51"/>
  <c r="M188" i="51"/>
  <c r="M189" i="51"/>
  <c r="M190" i="51"/>
  <c r="M191" i="51"/>
  <c r="M192" i="51"/>
  <c r="M193" i="51"/>
  <c r="M194" i="51"/>
  <c r="M195" i="51"/>
  <c r="M196" i="51"/>
  <c r="M18" i="51"/>
  <c r="L19" i="51"/>
  <c r="P19" i="51" s="1"/>
  <c r="L20" i="51"/>
  <c r="L21" i="51"/>
  <c r="L22" i="51"/>
  <c r="L23" i="51"/>
  <c r="L24" i="51"/>
  <c r="L25" i="51"/>
  <c r="L26" i="51"/>
  <c r="L27" i="51"/>
  <c r="L28" i="51"/>
  <c r="L29" i="51"/>
  <c r="L30" i="51"/>
  <c r="L31" i="51"/>
  <c r="L32" i="51"/>
  <c r="L33" i="51"/>
  <c r="L34" i="51"/>
  <c r="L35" i="51"/>
  <c r="L36" i="51"/>
  <c r="L37" i="51"/>
  <c r="L38" i="51"/>
  <c r="L39" i="51"/>
  <c r="L40" i="51"/>
  <c r="L41" i="51"/>
  <c r="L42" i="51"/>
  <c r="L43" i="51"/>
  <c r="L44" i="51"/>
  <c r="L45" i="51"/>
  <c r="L46" i="51"/>
  <c r="L47" i="51"/>
  <c r="L48" i="51"/>
  <c r="L49" i="51"/>
  <c r="L50" i="51"/>
  <c r="L51" i="51"/>
  <c r="L52" i="51"/>
  <c r="L53" i="51"/>
  <c r="L54" i="51"/>
  <c r="L55" i="51"/>
  <c r="L56" i="51"/>
  <c r="L57" i="51"/>
  <c r="L58" i="51"/>
  <c r="L59" i="51"/>
  <c r="L60" i="51"/>
  <c r="L61" i="51"/>
  <c r="L62" i="51"/>
  <c r="L63" i="51"/>
  <c r="L64" i="51"/>
  <c r="L65" i="51"/>
  <c r="L66" i="51"/>
  <c r="L67" i="51"/>
  <c r="L68" i="51"/>
  <c r="L69" i="51"/>
  <c r="L70" i="51"/>
  <c r="L71" i="51"/>
  <c r="L72" i="51"/>
  <c r="L73" i="51"/>
  <c r="L74" i="51"/>
  <c r="L75" i="51"/>
  <c r="L76" i="51"/>
  <c r="L77" i="51"/>
  <c r="L78" i="51"/>
  <c r="L79" i="51"/>
  <c r="L80" i="51"/>
  <c r="L81" i="51"/>
  <c r="L82" i="51"/>
  <c r="L83" i="51"/>
  <c r="L84" i="51"/>
  <c r="L85" i="51"/>
  <c r="L86" i="51"/>
  <c r="L87" i="51"/>
  <c r="L88" i="51"/>
  <c r="L89" i="51"/>
  <c r="L90" i="51"/>
  <c r="L91" i="51"/>
  <c r="L92" i="51"/>
  <c r="L93" i="51"/>
  <c r="L94" i="51"/>
  <c r="L95" i="51"/>
  <c r="L96" i="51"/>
  <c r="L97" i="51"/>
  <c r="L98" i="51"/>
  <c r="L99" i="51"/>
  <c r="L100" i="51"/>
  <c r="L101" i="51"/>
  <c r="L102" i="51"/>
  <c r="L103" i="51"/>
  <c r="L104" i="51"/>
  <c r="L105" i="51"/>
  <c r="L106" i="51"/>
  <c r="L107" i="51"/>
  <c r="L108" i="51"/>
  <c r="L109" i="51"/>
  <c r="L110" i="51"/>
  <c r="L111" i="51"/>
  <c r="L112" i="51"/>
  <c r="L113" i="51"/>
  <c r="L114" i="51"/>
  <c r="L115" i="51"/>
  <c r="L116" i="51"/>
  <c r="L117" i="51"/>
  <c r="L118" i="51"/>
  <c r="L119" i="51"/>
  <c r="L120" i="51"/>
  <c r="L121" i="51"/>
  <c r="L122" i="51"/>
  <c r="L123" i="51"/>
  <c r="L124" i="51"/>
  <c r="L125" i="51"/>
  <c r="L126" i="51"/>
  <c r="L127" i="51"/>
  <c r="L128" i="51"/>
  <c r="L129" i="51"/>
  <c r="L130" i="51"/>
  <c r="L131" i="51"/>
  <c r="L132" i="51"/>
  <c r="L133" i="51"/>
  <c r="L134" i="51"/>
  <c r="L135" i="51"/>
  <c r="L136" i="51"/>
  <c r="L137" i="51"/>
  <c r="L138" i="51"/>
  <c r="L139" i="51"/>
  <c r="L140" i="51"/>
  <c r="L141" i="51"/>
  <c r="L142" i="51"/>
  <c r="L143" i="51"/>
  <c r="L144" i="51"/>
  <c r="L145" i="51"/>
  <c r="L146" i="51"/>
  <c r="L147" i="51"/>
  <c r="L148" i="51"/>
  <c r="L149" i="51"/>
  <c r="L150" i="51"/>
  <c r="L152" i="51"/>
  <c r="L153" i="51"/>
  <c r="L154" i="51"/>
  <c r="L155" i="51"/>
  <c r="L156" i="51"/>
  <c r="L157" i="51"/>
  <c r="L158" i="51"/>
  <c r="L159" i="51"/>
  <c r="L160" i="51"/>
  <c r="L161" i="51"/>
  <c r="L162" i="51"/>
  <c r="L163" i="51"/>
  <c r="L164" i="51"/>
  <c r="L165" i="51"/>
  <c r="L166" i="51"/>
  <c r="L167" i="51"/>
  <c r="L168" i="51"/>
  <c r="L169" i="51"/>
  <c r="L170" i="51"/>
  <c r="L171" i="51"/>
  <c r="L172" i="51"/>
  <c r="L173" i="51"/>
  <c r="L174" i="51"/>
  <c r="L175" i="51"/>
  <c r="L176" i="51"/>
  <c r="L177" i="51"/>
  <c r="L178" i="51"/>
  <c r="L179" i="51"/>
  <c r="L180" i="51"/>
  <c r="L181" i="51"/>
  <c r="L182" i="51"/>
  <c r="L183" i="51"/>
  <c r="L184" i="51"/>
  <c r="L185" i="51"/>
  <c r="L186" i="51"/>
  <c r="L187" i="51"/>
  <c r="L188" i="51"/>
  <c r="L189" i="51"/>
  <c r="L190" i="51"/>
  <c r="L191" i="51"/>
  <c r="L192" i="51"/>
  <c r="L193" i="51"/>
  <c r="L194" i="51"/>
  <c r="L195" i="51"/>
  <c r="L196" i="51"/>
  <c r="L18" i="51"/>
  <c r="P18" i="51" s="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2"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2" i="51"/>
  <c r="D153" i="51"/>
  <c r="D154" i="51"/>
  <c r="D155" i="51"/>
  <c r="D156" i="51"/>
  <c r="D157" i="51"/>
  <c r="D158" i="51"/>
  <c r="D159" i="51"/>
  <c r="D160" i="51"/>
  <c r="D161" i="51"/>
  <c r="D162" i="51"/>
  <c r="D163" i="51"/>
  <c r="D164" i="51"/>
  <c r="D165" i="51"/>
  <c r="D166" i="51"/>
  <c r="D167" i="51"/>
  <c r="D168" i="51"/>
  <c r="D169" i="51"/>
  <c r="D170" i="51"/>
  <c r="D171" i="51"/>
  <c r="D172" i="51"/>
  <c r="D173" i="51"/>
  <c r="D174" i="51"/>
  <c r="D175" i="51"/>
  <c r="D176" i="51"/>
  <c r="D177" i="51"/>
  <c r="D178" i="51"/>
  <c r="D179" i="51"/>
  <c r="D180" i="51"/>
  <c r="D181" i="51"/>
  <c r="D182" i="51"/>
  <c r="D183" i="51"/>
  <c r="D184" i="51"/>
  <c r="D185" i="51"/>
  <c r="D186" i="51"/>
  <c r="D187" i="51"/>
  <c r="D188" i="51"/>
  <c r="D189" i="51"/>
  <c r="D190" i="51"/>
  <c r="D191" i="51"/>
  <c r="D192" i="51"/>
  <c r="D193" i="51"/>
  <c r="D194" i="51"/>
  <c r="D195" i="51"/>
  <c r="D196" i="51"/>
  <c r="D18" i="51"/>
  <c r="H18" i="51" s="1"/>
  <c r="N183" i="38"/>
  <c r="M175" i="38"/>
  <c r="U162" i="38"/>
  <c r="U157" i="38"/>
  <c r="W157" i="38" s="1"/>
  <c r="O158" i="50" s="1"/>
  <c r="D304" i="52" s="1"/>
  <c r="U152" i="38"/>
  <c r="U147" i="38"/>
  <c r="U142" i="38"/>
  <c r="U137" i="38"/>
  <c r="U132" i="38"/>
  <c r="W132" i="38" s="1"/>
  <c r="O133" i="50" s="1"/>
  <c r="D259" i="52" s="1"/>
  <c r="U127" i="38"/>
  <c r="U122" i="38"/>
  <c r="U117" i="38"/>
  <c r="U112" i="38"/>
  <c r="W112" i="38" s="1"/>
  <c r="O113" i="50" s="1"/>
  <c r="D223" i="52" s="1"/>
  <c r="U107" i="38"/>
  <c r="W107" i="38" s="1"/>
  <c r="O108" i="50" s="1"/>
  <c r="D214" i="52" s="1"/>
  <c r="U102" i="38"/>
  <c r="U97" i="38"/>
  <c r="U92" i="38"/>
  <c r="U87" i="38"/>
  <c r="U82" i="38"/>
  <c r="U77" i="38"/>
  <c r="W77" i="38" s="1"/>
  <c r="O78" i="50" s="1"/>
  <c r="D160" i="52" s="1"/>
  <c r="U72" i="38"/>
  <c r="W72" i="38" s="1"/>
  <c r="O73" i="50" s="1"/>
  <c r="D151" i="52" s="1"/>
  <c r="U67" i="38"/>
  <c r="U62" i="38"/>
  <c r="U57" i="38"/>
  <c r="W57" i="38" s="1"/>
  <c r="O58" i="50" s="1"/>
  <c r="D124" i="52" s="1"/>
  <c r="U52" i="38"/>
  <c r="U47" i="38"/>
  <c r="W47" i="38" s="1"/>
  <c r="O48" i="50" s="1"/>
  <c r="D106" i="52" s="1"/>
  <c r="U42" i="38"/>
  <c r="U37" i="38"/>
  <c r="U32" i="38"/>
  <c r="U27" i="38"/>
  <c r="U22" i="38"/>
  <c r="Q162" i="38"/>
  <c r="P162" i="38"/>
  <c r="Z162" i="38" s="1"/>
  <c r="Q157" i="38"/>
  <c r="P157" i="38"/>
  <c r="Z157" i="38" s="1"/>
  <c r="Q152" i="38"/>
  <c r="P152" i="38"/>
  <c r="Q147" i="38"/>
  <c r="P147" i="38"/>
  <c r="Q142" i="38"/>
  <c r="P142" i="38"/>
  <c r="Z142" i="38" s="1"/>
  <c r="Q137" i="38"/>
  <c r="P137" i="38"/>
  <c r="Q132" i="38"/>
  <c r="P132" i="38"/>
  <c r="Z132" i="38" s="1"/>
  <c r="Q127" i="38"/>
  <c r="P127" i="38"/>
  <c r="Q122" i="38"/>
  <c r="P122" i="38"/>
  <c r="Q117" i="38"/>
  <c r="P117" i="38"/>
  <c r="Q112" i="38"/>
  <c r="P112" i="38"/>
  <c r="Q107" i="38"/>
  <c r="P107" i="38"/>
  <c r="Q102" i="38"/>
  <c r="P102" i="38"/>
  <c r="Q97" i="38"/>
  <c r="P97" i="38"/>
  <c r="Z97" i="38" s="1"/>
  <c r="Q92" i="38"/>
  <c r="P92" i="38"/>
  <c r="Q87" i="38"/>
  <c r="P87" i="38"/>
  <c r="Q82" i="38"/>
  <c r="P82" i="38"/>
  <c r="Z82" i="38" s="1"/>
  <c r="Q77" i="38"/>
  <c r="P77" i="38"/>
  <c r="Z77" i="38" s="1"/>
  <c r="Q72" i="38"/>
  <c r="P72" i="38"/>
  <c r="Z72" i="38" s="1"/>
  <c r="Q67" i="38"/>
  <c r="P67" i="38"/>
  <c r="Q62" i="38"/>
  <c r="P62" i="38"/>
  <c r="Q57" i="38"/>
  <c r="P57" i="38"/>
  <c r="Q52" i="38"/>
  <c r="P52" i="38"/>
  <c r="Q47" i="38"/>
  <c r="P47" i="38"/>
  <c r="Q42" i="38"/>
  <c r="P42" i="38"/>
  <c r="Z42" i="38" s="1"/>
  <c r="Q37" i="38"/>
  <c r="P37" i="38"/>
  <c r="Q32" i="38"/>
  <c r="P32" i="38"/>
  <c r="Q27" i="38"/>
  <c r="P27" i="38"/>
  <c r="Z27" i="38" s="1"/>
  <c r="P22" i="38"/>
  <c r="U17" i="38"/>
  <c r="P17" i="38"/>
  <c r="Z17" i="38" s="1"/>
  <c r="Z22" i="38" l="1"/>
  <c r="Z122" i="38"/>
  <c r="Z37" i="38"/>
  <c r="F20" i="51"/>
  <c r="I20" i="51" s="1"/>
  <c r="F188" i="51"/>
  <c r="D189" i="39" s="1"/>
  <c r="F164" i="51"/>
  <c r="D165" i="39" s="1"/>
  <c r="F139" i="51"/>
  <c r="D140" i="39" s="1"/>
  <c r="N193" i="51"/>
  <c r="H194" i="39" s="1"/>
  <c r="N169" i="51"/>
  <c r="H170" i="39" s="1"/>
  <c r="N144" i="51"/>
  <c r="H145" i="39" s="1"/>
  <c r="N120" i="51"/>
  <c r="H121" i="39" s="1"/>
  <c r="N96" i="51"/>
  <c r="H97" i="39" s="1"/>
  <c r="N72" i="51"/>
  <c r="H73" i="39" s="1"/>
  <c r="N48" i="51"/>
  <c r="H49" i="39" s="1"/>
  <c r="N24" i="51"/>
  <c r="H25" i="39" s="1"/>
  <c r="N196" i="51"/>
  <c r="H197" i="39" s="1"/>
  <c r="N195" i="51"/>
  <c r="H196" i="39" s="1"/>
  <c r="N171" i="51"/>
  <c r="H172" i="39" s="1"/>
  <c r="N146" i="51"/>
  <c r="H147" i="39" s="1"/>
  <c r="F174" i="51"/>
  <c r="D175" i="39" s="1"/>
  <c r="F149" i="51"/>
  <c r="D150" i="39" s="1"/>
  <c r="F125" i="51"/>
  <c r="I125" i="51" s="1"/>
  <c r="F196" i="51"/>
  <c r="D197" i="39" s="1"/>
  <c r="F172" i="51"/>
  <c r="D173" i="39" s="1"/>
  <c r="F147" i="51"/>
  <c r="D148" i="39" s="1"/>
  <c r="F183" i="51"/>
  <c r="D184" i="39" s="1"/>
  <c r="N179" i="51"/>
  <c r="H180" i="39" s="1"/>
  <c r="N155" i="51"/>
  <c r="H156" i="39" s="1"/>
  <c r="F182" i="51"/>
  <c r="I182" i="51" s="1"/>
  <c r="F158" i="51"/>
  <c r="D159" i="39" s="1"/>
  <c r="F133" i="51"/>
  <c r="D134" i="39" s="1"/>
  <c r="F193" i="51"/>
  <c r="D194" i="39" s="1"/>
  <c r="N177" i="51"/>
  <c r="H178" i="39" s="1"/>
  <c r="N153" i="51"/>
  <c r="H154" i="39" s="1"/>
  <c r="N128" i="51"/>
  <c r="H129" i="39" s="1"/>
  <c r="N104" i="51"/>
  <c r="H105" i="39" s="1"/>
  <c r="N80" i="51"/>
  <c r="H81" i="39" s="1"/>
  <c r="N56" i="51"/>
  <c r="H57" i="39" s="1"/>
  <c r="N32" i="51"/>
  <c r="H33" i="39" s="1"/>
  <c r="F180" i="51"/>
  <c r="D181" i="39" s="1"/>
  <c r="F156" i="51"/>
  <c r="D157" i="39" s="1"/>
  <c r="F131" i="51"/>
  <c r="D132" i="39" s="1"/>
  <c r="F191" i="51"/>
  <c r="D192" i="39" s="1"/>
  <c r="N187" i="51"/>
  <c r="H188" i="39" s="1"/>
  <c r="N163" i="51"/>
  <c r="H164" i="39" s="1"/>
  <c r="N138" i="51"/>
  <c r="H139" i="39" s="1"/>
  <c r="F190" i="51"/>
  <c r="D191" i="39" s="1"/>
  <c r="F166" i="51"/>
  <c r="D167" i="39" s="1"/>
  <c r="F141" i="51"/>
  <c r="I141" i="51" s="1"/>
  <c r="F117" i="51"/>
  <c r="D118" i="39" s="1"/>
  <c r="N185" i="51"/>
  <c r="H186" i="39" s="1"/>
  <c r="N161" i="51"/>
  <c r="H162" i="39" s="1"/>
  <c r="N136" i="51"/>
  <c r="H137" i="39" s="1"/>
  <c r="N112" i="51"/>
  <c r="H113" i="39" s="1"/>
  <c r="N88" i="51"/>
  <c r="H89" i="39" s="1"/>
  <c r="N64" i="51"/>
  <c r="H65" i="39" s="1"/>
  <c r="N40" i="51"/>
  <c r="H41" i="39" s="1"/>
  <c r="R22" i="38"/>
  <c r="F18" i="51"/>
  <c r="D19" i="39" s="1"/>
  <c r="F36" i="52" s="1"/>
  <c r="F115" i="51"/>
  <c r="D116" i="39" s="1"/>
  <c r="F99" i="51"/>
  <c r="D100" i="39" s="1"/>
  <c r="F83" i="51"/>
  <c r="D84" i="39" s="1"/>
  <c r="F67" i="51"/>
  <c r="D68" i="39" s="1"/>
  <c r="F51" i="51"/>
  <c r="D52" i="39" s="1"/>
  <c r="F35" i="51"/>
  <c r="D36" i="39" s="1"/>
  <c r="F27" i="51"/>
  <c r="D28" i="39" s="1"/>
  <c r="F19" i="51"/>
  <c r="D20" i="39" s="1"/>
  <c r="F123" i="51"/>
  <c r="D124" i="39" s="1"/>
  <c r="F107" i="51"/>
  <c r="D108" i="39" s="1"/>
  <c r="F91" i="51"/>
  <c r="D92" i="39" s="1"/>
  <c r="F75" i="51"/>
  <c r="D76" i="39" s="1"/>
  <c r="F59" i="51"/>
  <c r="D60" i="39" s="1"/>
  <c r="F43" i="51"/>
  <c r="D44" i="39" s="1"/>
  <c r="F195" i="51"/>
  <c r="D196" i="39" s="1"/>
  <c r="F189" i="51"/>
  <c r="D190" i="39" s="1"/>
  <c r="F194" i="51"/>
  <c r="D195" i="39" s="1"/>
  <c r="F109" i="51"/>
  <c r="I109" i="51" s="1"/>
  <c r="F101" i="51"/>
  <c r="D102" i="39" s="1"/>
  <c r="F93" i="51"/>
  <c r="D94" i="39" s="1"/>
  <c r="F85" i="51"/>
  <c r="D86" i="39" s="1"/>
  <c r="F77" i="51"/>
  <c r="D78" i="39" s="1"/>
  <c r="F69" i="51"/>
  <c r="D70" i="39" s="1"/>
  <c r="F61" i="51"/>
  <c r="I61" i="51" s="1"/>
  <c r="F53" i="51"/>
  <c r="I53" i="51" s="1"/>
  <c r="F45" i="51"/>
  <c r="D46" i="39" s="1"/>
  <c r="F37" i="51"/>
  <c r="I37" i="51" s="1"/>
  <c r="F29" i="51"/>
  <c r="I29" i="51" s="1"/>
  <c r="F21" i="51"/>
  <c r="I21" i="51" s="1"/>
  <c r="N130" i="51"/>
  <c r="H131" i="39" s="1"/>
  <c r="N122" i="51"/>
  <c r="H123" i="39" s="1"/>
  <c r="N114" i="51"/>
  <c r="H115" i="39" s="1"/>
  <c r="N106" i="51"/>
  <c r="H107" i="39" s="1"/>
  <c r="N98" i="51"/>
  <c r="H99" i="39" s="1"/>
  <c r="N90" i="51"/>
  <c r="H91" i="39" s="1"/>
  <c r="N82" i="51"/>
  <c r="H83" i="39" s="1"/>
  <c r="N74" i="51"/>
  <c r="H75" i="39" s="1"/>
  <c r="N66" i="51"/>
  <c r="H67" i="39" s="1"/>
  <c r="N58" i="51"/>
  <c r="H59" i="39" s="1"/>
  <c r="N50" i="51"/>
  <c r="H51" i="39" s="1"/>
  <c r="N42" i="51"/>
  <c r="H43" i="39" s="1"/>
  <c r="N34" i="51"/>
  <c r="H35" i="39" s="1"/>
  <c r="N26" i="51"/>
  <c r="H27" i="39" s="1"/>
  <c r="F181" i="51"/>
  <c r="I181" i="51" s="1"/>
  <c r="F173" i="51"/>
  <c r="I173" i="51" s="1"/>
  <c r="F165" i="51"/>
  <c r="I165" i="51" s="1"/>
  <c r="F157" i="51"/>
  <c r="I157" i="51" s="1"/>
  <c r="F148" i="51"/>
  <c r="I148" i="51" s="1"/>
  <c r="F140" i="51"/>
  <c r="I140" i="51" s="1"/>
  <c r="F132" i="51"/>
  <c r="D133" i="39" s="1"/>
  <c r="F124" i="51"/>
  <c r="I124" i="51" s="1"/>
  <c r="F116" i="51"/>
  <c r="I116" i="51" s="1"/>
  <c r="F108" i="51"/>
  <c r="I108" i="51" s="1"/>
  <c r="F100" i="51"/>
  <c r="D101" i="39" s="1"/>
  <c r="F92" i="51"/>
  <c r="I92" i="51" s="1"/>
  <c r="F84" i="51"/>
  <c r="I84" i="51" s="1"/>
  <c r="F76" i="51"/>
  <c r="I76" i="51" s="1"/>
  <c r="F68" i="51"/>
  <c r="D69" i="39" s="1"/>
  <c r="F60" i="51"/>
  <c r="I60" i="51" s="1"/>
  <c r="F52" i="51"/>
  <c r="D53" i="39" s="1"/>
  <c r="F44" i="51"/>
  <c r="I44" i="51" s="1"/>
  <c r="F36" i="51"/>
  <c r="I36" i="51" s="1"/>
  <c r="F28" i="51"/>
  <c r="I28" i="51" s="1"/>
  <c r="N194" i="51"/>
  <c r="H195" i="39" s="1"/>
  <c r="N186" i="51"/>
  <c r="H187" i="39" s="1"/>
  <c r="N178" i="51"/>
  <c r="H179" i="39" s="1"/>
  <c r="N170" i="51"/>
  <c r="H171" i="39" s="1"/>
  <c r="N162" i="51"/>
  <c r="H163" i="39" s="1"/>
  <c r="N154" i="51"/>
  <c r="H155" i="39" s="1"/>
  <c r="N145" i="51"/>
  <c r="H146" i="39" s="1"/>
  <c r="N137" i="51"/>
  <c r="Q137" i="51" s="1"/>
  <c r="N129" i="51"/>
  <c r="Q129" i="51" s="1"/>
  <c r="N121" i="51"/>
  <c r="Q121" i="51" s="1"/>
  <c r="N113" i="51"/>
  <c r="Q113" i="51" s="1"/>
  <c r="N105" i="51"/>
  <c r="Q105" i="51" s="1"/>
  <c r="N97" i="51"/>
  <c r="Q97" i="51" s="1"/>
  <c r="N89" i="51"/>
  <c r="Q89" i="51" s="1"/>
  <c r="N81" i="51"/>
  <c r="H82" i="39" s="1"/>
  <c r="N73" i="51"/>
  <c r="Q73" i="51" s="1"/>
  <c r="N65" i="51"/>
  <c r="Q65" i="51" s="1"/>
  <c r="N57" i="51"/>
  <c r="Q57" i="51" s="1"/>
  <c r="N49" i="51"/>
  <c r="Q49" i="51" s="1"/>
  <c r="N41" i="51"/>
  <c r="Q41" i="51" s="1"/>
  <c r="N33" i="51"/>
  <c r="Q33" i="51" s="1"/>
  <c r="N25" i="51"/>
  <c r="H26" i="39" s="1"/>
  <c r="F187" i="51"/>
  <c r="D188" i="39" s="1"/>
  <c r="F179" i="51"/>
  <c r="D180" i="39" s="1"/>
  <c r="F171" i="51"/>
  <c r="D172" i="39" s="1"/>
  <c r="F163" i="51"/>
  <c r="D164" i="39" s="1"/>
  <c r="F155" i="51"/>
  <c r="D156" i="39" s="1"/>
  <c r="F146" i="51"/>
  <c r="D147" i="39" s="1"/>
  <c r="F138" i="51"/>
  <c r="D139" i="39" s="1"/>
  <c r="F130" i="51"/>
  <c r="D131" i="39" s="1"/>
  <c r="F122" i="51"/>
  <c r="D123" i="39" s="1"/>
  <c r="F114" i="51"/>
  <c r="D115" i="39" s="1"/>
  <c r="F106" i="51"/>
  <c r="D107" i="39" s="1"/>
  <c r="F98" i="51"/>
  <c r="D99" i="39" s="1"/>
  <c r="F90" i="51"/>
  <c r="D91" i="39" s="1"/>
  <c r="F82" i="51"/>
  <c r="I82" i="51" s="1"/>
  <c r="F74" i="51"/>
  <c r="D75" i="39" s="1"/>
  <c r="F66" i="51"/>
  <c r="D67" i="39" s="1"/>
  <c r="F58" i="51"/>
  <c r="I58" i="51" s="1"/>
  <c r="F50" i="51"/>
  <c r="D51" i="39" s="1"/>
  <c r="F42" i="51"/>
  <c r="D43" i="39" s="1"/>
  <c r="F34" i="51"/>
  <c r="D35" i="39" s="1"/>
  <c r="F26" i="51"/>
  <c r="D27" i="39" s="1"/>
  <c r="N192" i="51"/>
  <c r="H193" i="39" s="1"/>
  <c r="N184" i="51"/>
  <c r="H185" i="39" s="1"/>
  <c r="N176" i="51"/>
  <c r="H177" i="39" s="1"/>
  <c r="N168" i="51"/>
  <c r="H169" i="39" s="1"/>
  <c r="N160" i="51"/>
  <c r="H161" i="39" s="1"/>
  <c r="N152" i="51"/>
  <c r="H153" i="39" s="1"/>
  <c r="N143" i="51"/>
  <c r="H144" i="39" s="1"/>
  <c r="N135" i="51"/>
  <c r="H136" i="39" s="1"/>
  <c r="N127" i="51"/>
  <c r="H128" i="39" s="1"/>
  <c r="N119" i="51"/>
  <c r="H120" i="39" s="1"/>
  <c r="N111" i="51"/>
  <c r="H112" i="39" s="1"/>
  <c r="N103" i="51"/>
  <c r="H104" i="39" s="1"/>
  <c r="N95" i="51"/>
  <c r="H96" i="39" s="1"/>
  <c r="N87" i="51"/>
  <c r="H88" i="39" s="1"/>
  <c r="N79" i="51"/>
  <c r="H80" i="39" s="1"/>
  <c r="N71" i="51"/>
  <c r="H72" i="39" s="1"/>
  <c r="N63" i="51"/>
  <c r="Q63" i="51" s="1"/>
  <c r="N55" i="51"/>
  <c r="H56" i="39" s="1"/>
  <c r="N47" i="51"/>
  <c r="H48" i="39" s="1"/>
  <c r="N39" i="51"/>
  <c r="H40" i="39" s="1"/>
  <c r="N31" i="51"/>
  <c r="H32" i="39" s="1"/>
  <c r="N23" i="51"/>
  <c r="Q23" i="51" s="1"/>
  <c r="F186" i="51"/>
  <c r="D187" i="39" s="1"/>
  <c r="F178" i="51"/>
  <c r="D179" i="39" s="1"/>
  <c r="F170" i="51"/>
  <c r="D171" i="39" s="1"/>
  <c r="F162" i="51"/>
  <c r="D163" i="39" s="1"/>
  <c r="F154" i="51"/>
  <c r="D155" i="39" s="1"/>
  <c r="F145" i="51"/>
  <c r="D146" i="39" s="1"/>
  <c r="F137" i="51"/>
  <c r="D138" i="39" s="1"/>
  <c r="F129" i="51"/>
  <c r="D130" i="39" s="1"/>
  <c r="F121" i="51"/>
  <c r="D122" i="39" s="1"/>
  <c r="F113" i="51"/>
  <c r="D114" i="39" s="1"/>
  <c r="F105" i="51"/>
  <c r="D106" i="39" s="1"/>
  <c r="F97" i="51"/>
  <c r="D98" i="39" s="1"/>
  <c r="F89" i="51"/>
  <c r="D90" i="39" s="1"/>
  <c r="F81" i="51"/>
  <c r="D82" i="39" s="1"/>
  <c r="F73" i="51"/>
  <c r="D74" i="39" s="1"/>
  <c r="F65" i="51"/>
  <c r="D66" i="39" s="1"/>
  <c r="F57" i="51"/>
  <c r="D58" i="39" s="1"/>
  <c r="F49" i="51"/>
  <c r="D50" i="39" s="1"/>
  <c r="F41" i="51"/>
  <c r="D42" i="39" s="1"/>
  <c r="F33" i="51"/>
  <c r="D34" i="39" s="1"/>
  <c r="F25" i="51"/>
  <c r="D26" i="39" s="1"/>
  <c r="N191" i="51"/>
  <c r="H192" i="39" s="1"/>
  <c r="N183" i="51"/>
  <c r="H184" i="39" s="1"/>
  <c r="N175" i="51"/>
  <c r="H176" i="39" s="1"/>
  <c r="N167" i="51"/>
  <c r="H168" i="39" s="1"/>
  <c r="N159" i="51"/>
  <c r="H160" i="39" s="1"/>
  <c r="N150" i="51"/>
  <c r="H151" i="39" s="1"/>
  <c r="N142" i="51"/>
  <c r="Q142" i="51" s="1"/>
  <c r="N134" i="51"/>
  <c r="H135" i="39" s="1"/>
  <c r="N126" i="51"/>
  <c r="H127" i="39" s="1"/>
  <c r="N118" i="51"/>
  <c r="Q118" i="51" s="1"/>
  <c r="N110" i="51"/>
  <c r="Q110" i="51" s="1"/>
  <c r="N102" i="51"/>
  <c r="H103" i="39" s="1"/>
  <c r="N94" i="51"/>
  <c r="H95" i="39" s="1"/>
  <c r="N86" i="51"/>
  <c r="H87" i="39" s="1"/>
  <c r="N78" i="51"/>
  <c r="Q78" i="51" s="1"/>
  <c r="N70" i="51"/>
  <c r="H71" i="39" s="1"/>
  <c r="N62" i="51"/>
  <c r="H63" i="39" s="1"/>
  <c r="N54" i="51"/>
  <c r="Q54" i="51" s="1"/>
  <c r="N46" i="51"/>
  <c r="Q46" i="51" s="1"/>
  <c r="N38" i="51"/>
  <c r="H39" i="39" s="1"/>
  <c r="N30" i="51"/>
  <c r="H31" i="39" s="1"/>
  <c r="N22" i="51"/>
  <c r="Q22" i="51" s="1"/>
  <c r="F185" i="51"/>
  <c r="D186" i="39" s="1"/>
  <c r="F177" i="51"/>
  <c r="D178" i="39" s="1"/>
  <c r="F169" i="51"/>
  <c r="D170" i="39" s="1"/>
  <c r="F161" i="51"/>
  <c r="I161" i="51" s="1"/>
  <c r="F153" i="51"/>
  <c r="D154" i="39" s="1"/>
  <c r="F144" i="51"/>
  <c r="D145" i="39" s="1"/>
  <c r="F136" i="51"/>
  <c r="D137" i="39" s="1"/>
  <c r="F128" i="51"/>
  <c r="D129" i="39" s="1"/>
  <c r="F120" i="51"/>
  <c r="I120" i="51" s="1"/>
  <c r="F112" i="51"/>
  <c r="D113" i="39" s="1"/>
  <c r="F104" i="51"/>
  <c r="D105" i="39" s="1"/>
  <c r="F96" i="51"/>
  <c r="D97" i="39" s="1"/>
  <c r="F88" i="51"/>
  <c r="D89" i="39" s="1"/>
  <c r="F80" i="51"/>
  <c r="I80" i="51" s="1"/>
  <c r="F72" i="51"/>
  <c r="D73" i="39" s="1"/>
  <c r="F64" i="51"/>
  <c r="I64" i="51" s="1"/>
  <c r="F56" i="51"/>
  <c r="D57" i="39" s="1"/>
  <c r="F48" i="51"/>
  <c r="D49" i="39" s="1"/>
  <c r="F40" i="51"/>
  <c r="D41" i="39" s="1"/>
  <c r="F32" i="51"/>
  <c r="D33" i="39" s="1"/>
  <c r="F24" i="51"/>
  <c r="D25" i="39" s="1"/>
  <c r="N190" i="51"/>
  <c r="H191" i="39" s="1"/>
  <c r="N182" i="51"/>
  <c r="Q182" i="51" s="1"/>
  <c r="N174" i="51"/>
  <c r="H175" i="39" s="1"/>
  <c r="N166" i="51"/>
  <c r="H167" i="39" s="1"/>
  <c r="N158" i="51"/>
  <c r="H159" i="39" s="1"/>
  <c r="N149" i="51"/>
  <c r="Q149" i="51" s="1"/>
  <c r="N141" i="51"/>
  <c r="Q141" i="51" s="1"/>
  <c r="N133" i="51"/>
  <c r="Q133" i="51" s="1"/>
  <c r="N125" i="51"/>
  <c r="Q125" i="51" s="1"/>
  <c r="N117" i="51"/>
  <c r="Q117" i="51" s="1"/>
  <c r="N109" i="51"/>
  <c r="Q109" i="51" s="1"/>
  <c r="N101" i="51"/>
  <c r="Q101" i="51" s="1"/>
  <c r="N93" i="51"/>
  <c r="Q93" i="51" s="1"/>
  <c r="N85" i="51"/>
  <c r="Q85" i="51" s="1"/>
  <c r="N77" i="51"/>
  <c r="Q77" i="51" s="1"/>
  <c r="N69" i="51"/>
  <c r="Q69" i="51" s="1"/>
  <c r="N61" i="51"/>
  <c r="Q61" i="51" s="1"/>
  <c r="N53" i="51"/>
  <c r="Q53" i="51" s="1"/>
  <c r="N45" i="51"/>
  <c r="Q45" i="51" s="1"/>
  <c r="N37" i="51"/>
  <c r="Q37" i="51" s="1"/>
  <c r="N29" i="51"/>
  <c r="H30" i="39" s="1"/>
  <c r="N21" i="51"/>
  <c r="Q21" i="51" s="1"/>
  <c r="F192" i="51"/>
  <c r="I192" i="51" s="1"/>
  <c r="F184" i="51"/>
  <c r="D185" i="39" s="1"/>
  <c r="F176" i="51"/>
  <c r="D177" i="39" s="1"/>
  <c r="F168" i="51"/>
  <c r="I168" i="51" s="1"/>
  <c r="F160" i="51"/>
  <c r="D161" i="39" s="1"/>
  <c r="F152" i="51"/>
  <c r="F143" i="51"/>
  <c r="D144" i="39" s="1"/>
  <c r="F135" i="51"/>
  <c r="D136" i="39" s="1"/>
  <c r="F127" i="51"/>
  <c r="D128" i="39" s="1"/>
  <c r="F119" i="51"/>
  <c r="I119" i="51" s="1"/>
  <c r="F111" i="51"/>
  <c r="I111" i="51" s="1"/>
  <c r="F103" i="51"/>
  <c r="D104" i="39" s="1"/>
  <c r="F95" i="51"/>
  <c r="D96" i="39" s="1"/>
  <c r="F87" i="51"/>
  <c r="D88" i="39" s="1"/>
  <c r="F79" i="51"/>
  <c r="D80" i="39" s="1"/>
  <c r="F71" i="51"/>
  <c r="D72" i="39" s="1"/>
  <c r="F63" i="51"/>
  <c r="D64" i="39" s="1"/>
  <c r="F55" i="51"/>
  <c r="D56" i="39" s="1"/>
  <c r="F47" i="51"/>
  <c r="D48" i="39" s="1"/>
  <c r="F39" i="51"/>
  <c r="D40" i="39" s="1"/>
  <c r="F31" i="51"/>
  <c r="D32" i="39" s="1"/>
  <c r="F23" i="51"/>
  <c r="D24" i="39" s="1"/>
  <c r="N189" i="51"/>
  <c r="H190" i="39" s="1"/>
  <c r="N181" i="51"/>
  <c r="H182" i="39" s="1"/>
  <c r="N173" i="51"/>
  <c r="Q173" i="51" s="1"/>
  <c r="N165" i="51"/>
  <c r="Q165" i="51" s="1"/>
  <c r="N157" i="51"/>
  <c r="H158" i="39" s="1"/>
  <c r="N148" i="51"/>
  <c r="Q148" i="51" s="1"/>
  <c r="N140" i="51"/>
  <c r="Q140" i="51" s="1"/>
  <c r="N132" i="51"/>
  <c r="Q132" i="51" s="1"/>
  <c r="N124" i="51"/>
  <c r="Q124" i="51" s="1"/>
  <c r="N116" i="51"/>
  <c r="Q116" i="51" s="1"/>
  <c r="N108" i="51"/>
  <c r="Q108" i="51" s="1"/>
  <c r="N100" i="51"/>
  <c r="Q100" i="51" s="1"/>
  <c r="N92" i="51"/>
  <c r="Q92" i="51" s="1"/>
  <c r="N84" i="51"/>
  <c r="Q84" i="51" s="1"/>
  <c r="N76" i="51"/>
  <c r="Q76" i="51" s="1"/>
  <c r="N68" i="51"/>
  <c r="Q68" i="51" s="1"/>
  <c r="N60" i="51"/>
  <c r="Q60" i="51" s="1"/>
  <c r="N52" i="51"/>
  <c r="Q52" i="51" s="1"/>
  <c r="N44" i="51"/>
  <c r="Q44" i="51" s="1"/>
  <c r="N36" i="51"/>
  <c r="Q36" i="51" s="1"/>
  <c r="N28" i="51"/>
  <c r="Q28" i="51" s="1"/>
  <c r="N20" i="51"/>
  <c r="Q20" i="51" s="1"/>
  <c r="F175" i="51"/>
  <c r="D176" i="39" s="1"/>
  <c r="F167" i="51"/>
  <c r="D168" i="39" s="1"/>
  <c r="F159" i="51"/>
  <c r="D160" i="39" s="1"/>
  <c r="F150" i="51"/>
  <c r="D151" i="39" s="1"/>
  <c r="F142" i="51"/>
  <c r="D143" i="39" s="1"/>
  <c r="F134" i="51"/>
  <c r="D135" i="39" s="1"/>
  <c r="F126" i="51"/>
  <c r="D127" i="39" s="1"/>
  <c r="F118" i="51"/>
  <c r="D119" i="39" s="1"/>
  <c r="F110" i="51"/>
  <c r="D111" i="39" s="1"/>
  <c r="F102" i="51"/>
  <c r="D103" i="39" s="1"/>
  <c r="F94" i="51"/>
  <c r="D95" i="39" s="1"/>
  <c r="F86" i="51"/>
  <c r="D87" i="39" s="1"/>
  <c r="F78" i="51"/>
  <c r="D79" i="39" s="1"/>
  <c r="F70" i="51"/>
  <c r="I70" i="51" s="1"/>
  <c r="F62" i="51"/>
  <c r="D63" i="39" s="1"/>
  <c r="F54" i="51"/>
  <c r="I54" i="51" s="1"/>
  <c r="F46" i="51"/>
  <c r="D47" i="39" s="1"/>
  <c r="F38" i="51"/>
  <c r="D39" i="39" s="1"/>
  <c r="F30" i="51"/>
  <c r="D31" i="39" s="1"/>
  <c r="F22" i="51"/>
  <c r="D23" i="39" s="1"/>
  <c r="N188" i="51"/>
  <c r="H189" i="39" s="1"/>
  <c r="N180" i="51"/>
  <c r="H181" i="39" s="1"/>
  <c r="N172" i="51"/>
  <c r="H173" i="39" s="1"/>
  <c r="N164" i="51"/>
  <c r="H165" i="39" s="1"/>
  <c r="N156" i="51"/>
  <c r="H157" i="39" s="1"/>
  <c r="N147" i="51"/>
  <c r="Q147" i="51" s="1"/>
  <c r="N139" i="51"/>
  <c r="Q139" i="51" s="1"/>
  <c r="N131" i="51"/>
  <c r="H132" i="39" s="1"/>
  <c r="N123" i="51"/>
  <c r="H124" i="39" s="1"/>
  <c r="N115" i="51"/>
  <c r="Q115" i="51" s="1"/>
  <c r="N107" i="51"/>
  <c r="Q107" i="51" s="1"/>
  <c r="N99" i="51"/>
  <c r="H100" i="39" s="1"/>
  <c r="N91" i="51"/>
  <c r="Q91" i="51" s="1"/>
  <c r="N83" i="51"/>
  <c r="Q83" i="51" s="1"/>
  <c r="N75" i="51"/>
  <c r="H76" i="39" s="1"/>
  <c r="N67" i="51"/>
  <c r="Q67" i="51" s="1"/>
  <c r="N59" i="51"/>
  <c r="H60" i="39" s="1"/>
  <c r="N51" i="51"/>
  <c r="Q51" i="51" s="1"/>
  <c r="N43" i="51"/>
  <c r="H44" i="39" s="1"/>
  <c r="N35" i="51"/>
  <c r="H36" i="39" s="1"/>
  <c r="N27" i="51"/>
  <c r="Q27" i="51" s="1"/>
  <c r="N19" i="51"/>
  <c r="H20" i="39" s="1"/>
  <c r="R52" i="38"/>
  <c r="R152" i="38"/>
  <c r="AA152" i="38" s="1"/>
  <c r="R47" i="38"/>
  <c r="R67" i="38"/>
  <c r="R107" i="38"/>
  <c r="R127" i="38"/>
  <c r="M128" i="50" s="1"/>
  <c r="D249" i="52" s="1"/>
  <c r="R147" i="38"/>
  <c r="M148" i="50" s="1"/>
  <c r="D285" i="52" s="1"/>
  <c r="R57" i="38"/>
  <c r="M58" i="50" s="1"/>
  <c r="D123" i="52" s="1"/>
  <c r="R117" i="38"/>
  <c r="R137" i="38"/>
  <c r="M197" i="51"/>
  <c r="N18" i="51"/>
  <c r="E197" i="51"/>
  <c r="R92" i="38"/>
  <c r="R112" i="38"/>
  <c r="M113" i="50" s="1"/>
  <c r="D222" i="52" s="1"/>
  <c r="W42" i="38"/>
  <c r="O43" i="50" s="1"/>
  <c r="D97" i="52" s="1"/>
  <c r="W162" i="38"/>
  <c r="O163" i="50" s="1"/>
  <c r="D313" i="52" s="1"/>
  <c r="R87" i="38"/>
  <c r="R32" i="38"/>
  <c r="M33" i="50" s="1"/>
  <c r="D78" i="52" s="1"/>
  <c r="R122" i="38"/>
  <c r="Z137" i="38"/>
  <c r="W37" i="38"/>
  <c r="O38" i="50" s="1"/>
  <c r="D88" i="52" s="1"/>
  <c r="W97" i="38"/>
  <c r="O98" i="50" s="1"/>
  <c r="D196" i="52" s="1"/>
  <c r="W117" i="38"/>
  <c r="O118" i="50" s="1"/>
  <c r="D232" i="52" s="1"/>
  <c r="W137" i="38"/>
  <c r="O138" i="50" s="1"/>
  <c r="D268" i="52" s="1"/>
  <c r="Z47" i="38"/>
  <c r="Z87" i="38"/>
  <c r="Z152" i="38"/>
  <c r="Z107" i="38"/>
  <c r="R27" i="38"/>
  <c r="M28" i="50" s="1"/>
  <c r="D69" i="52" s="1"/>
  <c r="W22" i="38"/>
  <c r="O23" i="50" s="1"/>
  <c r="D61" i="52" s="1"/>
  <c r="W62" i="38"/>
  <c r="O63" i="50" s="1"/>
  <c r="D133" i="52" s="1"/>
  <c r="W82" i="38"/>
  <c r="O83" i="50" s="1"/>
  <c r="D169" i="52" s="1"/>
  <c r="W102" i="38"/>
  <c r="O103" i="50" s="1"/>
  <c r="D205" i="52" s="1"/>
  <c r="W122" i="38"/>
  <c r="O123" i="50" s="1"/>
  <c r="D241" i="52" s="1"/>
  <c r="W142" i="38"/>
  <c r="O143" i="50" s="1"/>
  <c r="D277" i="52" s="1"/>
  <c r="Z52" i="38"/>
  <c r="Z67" i="38"/>
  <c r="Z92" i="38"/>
  <c r="R72" i="38"/>
  <c r="M73" i="50" s="1"/>
  <c r="D150" i="52" s="1"/>
  <c r="R132" i="38"/>
  <c r="M133" i="50" s="1"/>
  <c r="D258" i="52" s="1"/>
  <c r="W27" i="38"/>
  <c r="O28" i="50" s="1"/>
  <c r="D70" i="52" s="1"/>
  <c r="W67" i="38"/>
  <c r="O68" i="50" s="1"/>
  <c r="D142" i="52" s="1"/>
  <c r="W87" i="38"/>
  <c r="O88" i="50" s="1"/>
  <c r="D178" i="52" s="1"/>
  <c r="W127" i="38"/>
  <c r="O128" i="50" s="1"/>
  <c r="D250" i="52" s="1"/>
  <c r="W147" i="38"/>
  <c r="O148" i="50" s="1"/>
  <c r="D286" i="52" s="1"/>
  <c r="Z57" i="38"/>
  <c r="Z112" i="38"/>
  <c r="Z127" i="38"/>
  <c r="R37" i="38"/>
  <c r="M38" i="50" s="1"/>
  <c r="D87" i="52" s="1"/>
  <c r="R77" i="38"/>
  <c r="M78" i="50" s="1"/>
  <c r="D159" i="52" s="1"/>
  <c r="R97" i="38"/>
  <c r="M98" i="50" s="1"/>
  <c r="D195" i="52" s="1"/>
  <c r="R157" i="38"/>
  <c r="M158" i="50" s="1"/>
  <c r="D303" i="52" s="1"/>
  <c r="W32" i="38"/>
  <c r="O33" i="50" s="1"/>
  <c r="D79" i="52" s="1"/>
  <c r="W52" i="38"/>
  <c r="O53" i="50" s="1"/>
  <c r="D115" i="52" s="1"/>
  <c r="W92" i="38"/>
  <c r="O93" i="50" s="1"/>
  <c r="D187" i="52" s="1"/>
  <c r="W152" i="38"/>
  <c r="O153" i="50" s="1"/>
  <c r="D295" i="52" s="1"/>
  <c r="Z32" i="38"/>
  <c r="Z147" i="38"/>
  <c r="R42" i="38"/>
  <c r="M43" i="50" s="1"/>
  <c r="D96" i="52" s="1"/>
  <c r="R62" i="38"/>
  <c r="M63" i="50" s="1"/>
  <c r="D132" i="52" s="1"/>
  <c r="R82" i="38"/>
  <c r="M83" i="50" s="1"/>
  <c r="D168" i="52" s="1"/>
  <c r="R102" i="38"/>
  <c r="M103" i="50" s="1"/>
  <c r="D204" i="52" s="1"/>
  <c r="R142" i="38"/>
  <c r="M143" i="50" s="1"/>
  <c r="D276" i="52" s="1"/>
  <c r="R162" i="38"/>
  <c r="M163" i="50" s="1"/>
  <c r="D312" i="52" s="1"/>
  <c r="Z62" i="38"/>
  <c r="Z102" i="38"/>
  <c r="Z117" i="38"/>
  <c r="W17" i="38"/>
  <c r="O18" i="50" s="1"/>
  <c r="D52" i="52" s="1"/>
  <c r="R17" i="38"/>
  <c r="I188" i="51" l="1"/>
  <c r="I164" i="51"/>
  <c r="L184" i="50"/>
  <c r="I77" i="51"/>
  <c r="Q169" i="51"/>
  <c r="Q177" i="51"/>
  <c r="AA22" i="38"/>
  <c r="AA52" i="38"/>
  <c r="Q187" i="51"/>
  <c r="D62" i="39"/>
  <c r="Q163" i="51"/>
  <c r="Q144" i="51"/>
  <c r="H58" i="39"/>
  <c r="Q98" i="51"/>
  <c r="I139" i="51"/>
  <c r="I190" i="51"/>
  <c r="I149" i="51"/>
  <c r="Q40" i="51"/>
  <c r="I107" i="51"/>
  <c r="D112" i="39"/>
  <c r="Q104" i="51"/>
  <c r="I68" i="51"/>
  <c r="I150" i="51"/>
  <c r="H50" i="39"/>
  <c r="Q153" i="51"/>
  <c r="Q145" i="51"/>
  <c r="M23" i="50"/>
  <c r="D60" i="52" s="1"/>
  <c r="Q90" i="51"/>
  <c r="I89" i="51"/>
  <c r="Q120" i="51"/>
  <c r="H138" i="39"/>
  <c r="Q29" i="51"/>
  <c r="Q103" i="51"/>
  <c r="Q128" i="51"/>
  <c r="Q82" i="51"/>
  <c r="Q96" i="51"/>
  <c r="D126" i="39"/>
  <c r="D158" i="39"/>
  <c r="I69" i="51"/>
  <c r="I178" i="51"/>
  <c r="I166" i="51"/>
  <c r="I196" i="51"/>
  <c r="I195" i="51"/>
  <c r="D166" i="39"/>
  <c r="D37" i="39"/>
  <c r="Q62" i="51"/>
  <c r="I122" i="51"/>
  <c r="I103" i="51"/>
  <c r="I187" i="51"/>
  <c r="Q56" i="51"/>
  <c r="I45" i="51"/>
  <c r="H122" i="39"/>
  <c r="I117" i="51"/>
  <c r="I91" i="51"/>
  <c r="I193" i="51"/>
  <c r="Q64" i="51"/>
  <c r="I42" i="51"/>
  <c r="H148" i="39"/>
  <c r="I174" i="51"/>
  <c r="Q193" i="51"/>
  <c r="D61" i="39"/>
  <c r="Q72" i="51"/>
  <c r="Q131" i="51"/>
  <c r="Q159" i="51"/>
  <c r="D183" i="39"/>
  <c r="H118" i="39"/>
  <c r="I156" i="51"/>
  <c r="H130" i="39"/>
  <c r="Q158" i="51"/>
  <c r="Q171" i="51"/>
  <c r="Q195" i="51"/>
  <c r="I183" i="51"/>
  <c r="Q111" i="51"/>
  <c r="D81" i="39"/>
  <c r="Q24" i="51"/>
  <c r="I128" i="51"/>
  <c r="I35" i="51"/>
  <c r="D110" i="39"/>
  <c r="Q48" i="51"/>
  <c r="I98" i="51"/>
  <c r="Q58" i="51"/>
  <c r="I90" i="51"/>
  <c r="Q74" i="51"/>
  <c r="Q66" i="51"/>
  <c r="I114" i="51"/>
  <c r="I52" i="51"/>
  <c r="I26" i="51"/>
  <c r="Q122" i="51"/>
  <c r="D54" i="39"/>
  <c r="H34" i="39"/>
  <c r="I72" i="51"/>
  <c r="Q189" i="51"/>
  <c r="H126" i="39"/>
  <c r="I186" i="51"/>
  <c r="I100" i="51"/>
  <c r="D125" i="39"/>
  <c r="I159" i="51"/>
  <c r="Q154" i="51"/>
  <c r="I48" i="51"/>
  <c r="D59" i="39"/>
  <c r="H70" i="39"/>
  <c r="Q47" i="51"/>
  <c r="H98" i="39"/>
  <c r="Q161" i="51"/>
  <c r="Q126" i="51"/>
  <c r="I121" i="51"/>
  <c r="Q143" i="51"/>
  <c r="I163" i="51"/>
  <c r="Q155" i="51"/>
  <c r="Q196" i="51"/>
  <c r="I145" i="51"/>
  <c r="D193" i="39"/>
  <c r="Q181" i="51"/>
  <c r="H62" i="39"/>
  <c r="Q123" i="51"/>
  <c r="I154" i="51"/>
  <c r="H110" i="39"/>
  <c r="H29" i="39"/>
  <c r="I153" i="51"/>
  <c r="Q164" i="51"/>
  <c r="H125" i="39"/>
  <c r="H24" i="39"/>
  <c r="I47" i="51"/>
  <c r="I66" i="51"/>
  <c r="Q34" i="51"/>
  <c r="Q119" i="51"/>
  <c r="Q146" i="51"/>
  <c r="Q75" i="51"/>
  <c r="I118" i="51"/>
  <c r="I23" i="51"/>
  <c r="H90" i="39"/>
  <c r="Q102" i="51"/>
  <c r="Q136" i="51"/>
  <c r="I19" i="51"/>
  <c r="Q172" i="51"/>
  <c r="H66" i="39"/>
  <c r="Q186" i="51"/>
  <c r="I94" i="51"/>
  <c r="I142" i="51"/>
  <c r="I127" i="51"/>
  <c r="Q130" i="51"/>
  <c r="I180" i="51"/>
  <c r="H183" i="39"/>
  <c r="H28" i="39"/>
  <c r="I144" i="51"/>
  <c r="I79" i="51"/>
  <c r="Q134" i="51"/>
  <c r="Q71" i="51"/>
  <c r="D29" i="39"/>
  <c r="H93" i="39"/>
  <c r="Q185" i="51"/>
  <c r="Q25" i="51"/>
  <c r="D142" i="39"/>
  <c r="Q167" i="51"/>
  <c r="I73" i="51"/>
  <c r="Q35" i="51"/>
  <c r="I83" i="51"/>
  <c r="Q157" i="51"/>
  <c r="I126" i="51"/>
  <c r="I81" i="51"/>
  <c r="Q99" i="51"/>
  <c r="Q176" i="51"/>
  <c r="I147" i="51"/>
  <c r="H174" i="39"/>
  <c r="I189" i="51"/>
  <c r="H45" i="39"/>
  <c r="H85" i="39"/>
  <c r="H64" i="39"/>
  <c r="I40" i="51"/>
  <c r="D21" i="39"/>
  <c r="Q179" i="51"/>
  <c r="D120" i="39"/>
  <c r="I132" i="51"/>
  <c r="I115" i="51"/>
  <c r="H23" i="39"/>
  <c r="I137" i="51"/>
  <c r="H119" i="39"/>
  <c r="Q43" i="51"/>
  <c r="I160" i="51"/>
  <c r="D55" i="39"/>
  <c r="D149" i="39"/>
  <c r="Q50" i="51"/>
  <c r="Q32" i="51"/>
  <c r="Q79" i="51"/>
  <c r="H52" i="39"/>
  <c r="Q138" i="51"/>
  <c r="Q95" i="51"/>
  <c r="Q80" i="51"/>
  <c r="H114" i="39"/>
  <c r="H108" i="39"/>
  <c r="Q70" i="51"/>
  <c r="I179" i="51"/>
  <c r="D77" i="39"/>
  <c r="I32" i="51"/>
  <c r="I34" i="51"/>
  <c r="I18" i="51"/>
  <c r="I95" i="51"/>
  <c r="H166" i="39"/>
  <c r="I136" i="51"/>
  <c r="I172" i="51"/>
  <c r="Q160" i="51"/>
  <c r="H55" i="39"/>
  <c r="H78" i="39"/>
  <c r="I57" i="51"/>
  <c r="H22" i="39"/>
  <c r="I99" i="51"/>
  <c r="D38" i="39"/>
  <c r="D169" i="39"/>
  <c r="I63" i="51"/>
  <c r="H53" i="39"/>
  <c r="I22" i="51"/>
  <c r="Q188" i="51"/>
  <c r="I49" i="51"/>
  <c r="Q38" i="51"/>
  <c r="Q168" i="51"/>
  <c r="D83" i="39"/>
  <c r="H61" i="39"/>
  <c r="I104" i="51"/>
  <c r="I46" i="51"/>
  <c r="N175" i="38"/>
  <c r="Q30" i="51"/>
  <c r="H54" i="39"/>
  <c r="I96" i="51"/>
  <c r="I62" i="51"/>
  <c r="Q190" i="51"/>
  <c r="H86" i="39"/>
  <c r="D30" i="39"/>
  <c r="D71" i="39"/>
  <c r="H21" i="39"/>
  <c r="H109" i="39"/>
  <c r="D121" i="39"/>
  <c r="I43" i="51"/>
  <c r="H74" i="39"/>
  <c r="H117" i="39"/>
  <c r="D65" i="39"/>
  <c r="D162" i="39"/>
  <c r="D153" i="39"/>
  <c r="D152" i="39"/>
  <c r="F152" i="39" s="1"/>
  <c r="F197" i="51"/>
  <c r="H46" i="39"/>
  <c r="H150" i="39"/>
  <c r="Q178" i="51"/>
  <c r="Q114" i="51"/>
  <c r="Q31" i="51"/>
  <c r="Q81" i="51"/>
  <c r="I191" i="51"/>
  <c r="I135" i="51"/>
  <c r="I169" i="51"/>
  <c r="H68" i="39"/>
  <c r="Q112" i="51"/>
  <c r="Q39" i="51"/>
  <c r="D85" i="39"/>
  <c r="D93" i="39"/>
  <c r="I133" i="51"/>
  <c r="Q59" i="51"/>
  <c r="Q183" i="51"/>
  <c r="I146" i="51"/>
  <c r="Q88" i="51"/>
  <c r="Q191" i="51"/>
  <c r="I155" i="51"/>
  <c r="I131" i="51"/>
  <c r="I71" i="51"/>
  <c r="I176" i="51"/>
  <c r="I177" i="51"/>
  <c r="Q170" i="51"/>
  <c r="I113" i="51"/>
  <c r="I78" i="51"/>
  <c r="Q26" i="51"/>
  <c r="Q135" i="51"/>
  <c r="I39" i="51"/>
  <c r="I50" i="51"/>
  <c r="I158" i="51"/>
  <c r="I101" i="51"/>
  <c r="Q94" i="51"/>
  <c r="I86" i="51"/>
  <c r="H142" i="39"/>
  <c r="I27" i="51"/>
  <c r="L177" i="50"/>
  <c r="N179" i="38"/>
  <c r="L179" i="50"/>
  <c r="L176" i="50"/>
  <c r="I102" i="51"/>
  <c r="I167" i="51"/>
  <c r="H133" i="39"/>
  <c r="Q106" i="51"/>
  <c r="Q194" i="51"/>
  <c r="I110" i="51"/>
  <c r="I175" i="51"/>
  <c r="H42" i="39"/>
  <c r="H106" i="39"/>
  <c r="H116" i="39"/>
  <c r="I65" i="51"/>
  <c r="I129" i="51"/>
  <c r="I194" i="51"/>
  <c r="Q86" i="51"/>
  <c r="Q152" i="51"/>
  <c r="I30" i="51"/>
  <c r="I87" i="51"/>
  <c r="I59" i="51"/>
  <c r="I31" i="51"/>
  <c r="I143" i="51"/>
  <c r="I55" i="51"/>
  <c r="H37" i="39"/>
  <c r="I51" i="51"/>
  <c r="D22" i="39"/>
  <c r="H94" i="39"/>
  <c r="H38" i="39"/>
  <c r="H47" i="39"/>
  <c r="I106" i="51"/>
  <c r="I171" i="51"/>
  <c r="I85" i="51"/>
  <c r="I123" i="51"/>
  <c r="D109" i="39"/>
  <c r="H69" i="39"/>
  <c r="H141" i="39"/>
  <c r="I185" i="51"/>
  <c r="D174" i="39"/>
  <c r="Q19" i="51"/>
  <c r="H79" i="39"/>
  <c r="Q55" i="51"/>
  <c r="I38" i="51"/>
  <c r="I74" i="51"/>
  <c r="H140" i="39"/>
  <c r="I134" i="51"/>
  <c r="H102" i="39"/>
  <c r="Q156" i="51"/>
  <c r="Q166" i="51"/>
  <c r="H111" i="39"/>
  <c r="Q150" i="51"/>
  <c r="Q127" i="51"/>
  <c r="D45" i="39"/>
  <c r="I93" i="51"/>
  <c r="Q180" i="51"/>
  <c r="H77" i="39"/>
  <c r="H149" i="39"/>
  <c r="H92" i="39"/>
  <c r="I56" i="51"/>
  <c r="I24" i="51"/>
  <c r="H101" i="39"/>
  <c r="D182" i="39"/>
  <c r="I112" i="51"/>
  <c r="I25" i="51"/>
  <c r="L180" i="50"/>
  <c r="H84" i="39"/>
  <c r="Q42" i="51"/>
  <c r="Q162" i="51"/>
  <c r="H134" i="39"/>
  <c r="N176" i="38"/>
  <c r="Q174" i="51"/>
  <c r="I33" i="51"/>
  <c r="I97" i="51"/>
  <c r="I162" i="51"/>
  <c r="H143" i="39"/>
  <c r="I130" i="51"/>
  <c r="Q87" i="51"/>
  <c r="Q184" i="51"/>
  <c r="I152" i="51"/>
  <c r="I88" i="51"/>
  <c r="D117" i="39"/>
  <c r="I184" i="51"/>
  <c r="I67" i="51"/>
  <c r="D141" i="39"/>
  <c r="N178" i="38"/>
  <c r="I41" i="51"/>
  <c r="I105" i="51"/>
  <c r="I170" i="51"/>
  <c r="Q175" i="51"/>
  <c r="I138" i="51"/>
  <c r="Q192" i="51"/>
  <c r="I75" i="51"/>
  <c r="M53" i="50"/>
  <c r="D114" i="52" s="1"/>
  <c r="M153" i="50"/>
  <c r="D294" i="52" s="1"/>
  <c r="AA32" i="38"/>
  <c r="AA127" i="38"/>
  <c r="AA112" i="38"/>
  <c r="AA57" i="38"/>
  <c r="AA147" i="38"/>
  <c r="AA67" i="38"/>
  <c r="M68" i="50"/>
  <c r="D141" i="52" s="1"/>
  <c r="AA47" i="38"/>
  <c r="M48" i="50"/>
  <c r="D105" i="52" s="1"/>
  <c r="AA137" i="38"/>
  <c r="M138" i="50"/>
  <c r="D267" i="52" s="1"/>
  <c r="AA92" i="38"/>
  <c r="M93" i="50"/>
  <c r="D186" i="52" s="1"/>
  <c r="AA117" i="38"/>
  <c r="M118" i="50"/>
  <c r="D231" i="52" s="1"/>
  <c r="AA122" i="38"/>
  <c r="M123" i="50"/>
  <c r="D240" i="52" s="1"/>
  <c r="AA87" i="38"/>
  <c r="M88" i="50"/>
  <c r="D177" i="52" s="1"/>
  <c r="N197" i="51"/>
  <c r="H19" i="39"/>
  <c r="Q18" i="51"/>
  <c r="AA107" i="38"/>
  <c r="M108" i="50"/>
  <c r="D213" i="52" s="1"/>
  <c r="AA72" i="38"/>
  <c r="AA37" i="38"/>
  <c r="AA162" i="38"/>
  <c r="AA82" i="38"/>
  <c r="AA132" i="38"/>
  <c r="AA62" i="38"/>
  <c r="AA157" i="38"/>
  <c r="AA142" i="38"/>
  <c r="AA97" i="38"/>
  <c r="AA102" i="38"/>
  <c r="AA42" i="38"/>
  <c r="AA77" i="38"/>
  <c r="AA17" i="38"/>
  <c r="M18" i="50"/>
  <c r="D51" i="52" s="1"/>
  <c r="AA27" i="38"/>
  <c r="R167" i="38"/>
  <c r="L178" i="50" l="1"/>
  <c r="N177" i="38"/>
  <c r="I197" i="51"/>
  <c r="I8" i="51" s="1"/>
  <c r="D198" i="39"/>
  <c r="L165" i="38"/>
  <c r="L164" i="38"/>
  <c r="L163" i="38"/>
  <c r="L160" i="38"/>
  <c r="L159" i="38"/>
  <c r="L158" i="38"/>
  <c r="L155" i="38"/>
  <c r="L154" i="38"/>
  <c r="L153" i="38"/>
  <c r="L150" i="38"/>
  <c r="L149" i="38"/>
  <c r="L148" i="38"/>
  <c r="L145" i="38"/>
  <c r="L144" i="38"/>
  <c r="L143" i="38"/>
  <c r="L140" i="38"/>
  <c r="L139" i="38"/>
  <c r="L138" i="38"/>
  <c r="L135" i="38"/>
  <c r="L134" i="38"/>
  <c r="L133" i="38"/>
  <c r="L130" i="38"/>
  <c r="L129" i="38"/>
  <c r="L128" i="38"/>
  <c r="L125" i="38"/>
  <c r="L124" i="38"/>
  <c r="L123" i="38"/>
  <c r="L120" i="38"/>
  <c r="L119" i="38"/>
  <c r="L118" i="38"/>
  <c r="L115" i="38"/>
  <c r="L114" i="38"/>
  <c r="L113" i="38"/>
  <c r="L110" i="38"/>
  <c r="L109" i="38"/>
  <c r="L108" i="38"/>
  <c r="L105" i="38"/>
  <c r="L104" i="38"/>
  <c r="L103" i="38"/>
  <c r="L100" i="38"/>
  <c r="L99" i="38"/>
  <c r="L98" i="38"/>
  <c r="L95" i="38"/>
  <c r="L94" i="38"/>
  <c r="L93" i="38"/>
  <c r="L90" i="38"/>
  <c r="L89" i="38"/>
  <c r="L88" i="38"/>
  <c r="L85" i="38"/>
  <c r="L84" i="38"/>
  <c r="L83" i="38"/>
  <c r="L80" i="38"/>
  <c r="L79" i="38"/>
  <c r="L78" i="38"/>
  <c r="L75" i="38"/>
  <c r="L74" i="38"/>
  <c r="L73" i="38"/>
  <c r="L70" i="38"/>
  <c r="L69" i="38"/>
  <c r="L68" i="38"/>
  <c r="L65" i="38"/>
  <c r="L64" i="38"/>
  <c r="L63" i="38"/>
  <c r="L60" i="38"/>
  <c r="L59" i="38"/>
  <c r="L58" i="38"/>
  <c r="L55" i="38"/>
  <c r="L54" i="38"/>
  <c r="L53" i="38"/>
  <c r="L50" i="38"/>
  <c r="L49" i="38"/>
  <c r="L48" i="38"/>
  <c r="L45" i="38"/>
  <c r="L44" i="38"/>
  <c r="L43" i="38"/>
  <c r="L40" i="38"/>
  <c r="L39" i="38"/>
  <c r="L38" i="38"/>
  <c r="L35" i="38"/>
  <c r="L34" i="38"/>
  <c r="L33" i="38"/>
  <c r="L30" i="38"/>
  <c r="L29" i="38"/>
  <c r="L28" i="38"/>
  <c r="L25" i="38"/>
  <c r="L24" i="38"/>
  <c r="L23" i="38"/>
  <c r="L20" i="38" l="1"/>
  <c r="K165" i="38"/>
  <c r="M165" i="38" s="1"/>
  <c r="K166" i="50" s="1"/>
  <c r="K164" i="38"/>
  <c r="M164" i="38" s="1"/>
  <c r="K165" i="50" s="1"/>
  <c r="K163" i="38"/>
  <c r="M163" i="38" s="1"/>
  <c r="K164" i="50" s="1"/>
  <c r="K160" i="38"/>
  <c r="M160" i="38" s="1"/>
  <c r="K161" i="50" s="1"/>
  <c r="K159" i="38"/>
  <c r="M159" i="38" s="1"/>
  <c r="K160" i="50" s="1"/>
  <c r="K158" i="38"/>
  <c r="M158" i="38" s="1"/>
  <c r="K159" i="50" s="1"/>
  <c r="K155" i="38"/>
  <c r="M155" i="38" s="1"/>
  <c r="K156" i="50" s="1"/>
  <c r="K154" i="38"/>
  <c r="M154" i="38" s="1"/>
  <c r="K155" i="50" s="1"/>
  <c r="K153" i="38"/>
  <c r="M153" i="38" s="1"/>
  <c r="K154" i="50" s="1"/>
  <c r="K150" i="38"/>
  <c r="M150" i="38" s="1"/>
  <c r="K151" i="50" s="1"/>
  <c r="K149" i="38"/>
  <c r="M149" i="38" s="1"/>
  <c r="K150" i="50" s="1"/>
  <c r="K148" i="38"/>
  <c r="M148" i="38" s="1"/>
  <c r="K149" i="50" s="1"/>
  <c r="K145" i="38"/>
  <c r="M145" i="38" s="1"/>
  <c r="K146" i="50" s="1"/>
  <c r="K144" i="38"/>
  <c r="M144" i="38" s="1"/>
  <c r="K145" i="50" s="1"/>
  <c r="K143" i="38"/>
  <c r="M143" i="38" s="1"/>
  <c r="K144" i="50" s="1"/>
  <c r="K140" i="38"/>
  <c r="M140" i="38" s="1"/>
  <c r="K141" i="50" s="1"/>
  <c r="K139" i="38"/>
  <c r="M139" i="38" s="1"/>
  <c r="K140" i="50" s="1"/>
  <c r="K138" i="38"/>
  <c r="M138" i="38" s="1"/>
  <c r="K139" i="50" s="1"/>
  <c r="K135" i="38"/>
  <c r="M135" i="38" s="1"/>
  <c r="K136" i="50" s="1"/>
  <c r="K134" i="38"/>
  <c r="M134" i="38" s="1"/>
  <c r="K135" i="50" s="1"/>
  <c r="K133" i="38"/>
  <c r="M133" i="38" s="1"/>
  <c r="K134" i="50" s="1"/>
  <c r="K130" i="38"/>
  <c r="M130" i="38" s="1"/>
  <c r="K131" i="50" s="1"/>
  <c r="K129" i="38"/>
  <c r="M129" i="38" s="1"/>
  <c r="K130" i="50" s="1"/>
  <c r="K128" i="38"/>
  <c r="M128" i="38" s="1"/>
  <c r="K129" i="50" s="1"/>
  <c r="K125" i="38"/>
  <c r="M125" i="38" s="1"/>
  <c r="K126" i="50" s="1"/>
  <c r="K124" i="38"/>
  <c r="M124" i="38" s="1"/>
  <c r="K125" i="50" s="1"/>
  <c r="K123" i="38"/>
  <c r="M123" i="38" s="1"/>
  <c r="K124" i="50" s="1"/>
  <c r="K120" i="38"/>
  <c r="M120" i="38" s="1"/>
  <c r="K121" i="50" s="1"/>
  <c r="K119" i="38"/>
  <c r="M119" i="38" s="1"/>
  <c r="K120" i="50" s="1"/>
  <c r="K118" i="38"/>
  <c r="M118" i="38" s="1"/>
  <c r="K119" i="50" s="1"/>
  <c r="K115" i="38"/>
  <c r="M115" i="38" s="1"/>
  <c r="K116" i="50" s="1"/>
  <c r="K114" i="38"/>
  <c r="M114" i="38" s="1"/>
  <c r="K115" i="50" s="1"/>
  <c r="K113" i="38"/>
  <c r="M113" i="38" s="1"/>
  <c r="K114" i="50" s="1"/>
  <c r="K110" i="38"/>
  <c r="M110" i="38" s="1"/>
  <c r="K111" i="50" s="1"/>
  <c r="K109" i="38"/>
  <c r="M109" i="38" s="1"/>
  <c r="K110" i="50" s="1"/>
  <c r="K108" i="38"/>
  <c r="M108" i="38" s="1"/>
  <c r="K109" i="50" s="1"/>
  <c r="K105" i="38"/>
  <c r="M105" i="38" s="1"/>
  <c r="K106" i="50" s="1"/>
  <c r="K104" i="38"/>
  <c r="M104" i="38" s="1"/>
  <c r="K105" i="50" s="1"/>
  <c r="K103" i="38"/>
  <c r="M103" i="38" s="1"/>
  <c r="K104" i="50" s="1"/>
  <c r="K100" i="38"/>
  <c r="M100" i="38" s="1"/>
  <c r="K101" i="50" s="1"/>
  <c r="K99" i="38"/>
  <c r="M99" i="38" s="1"/>
  <c r="K100" i="50" s="1"/>
  <c r="K98" i="38"/>
  <c r="M98" i="38" s="1"/>
  <c r="K99" i="50" s="1"/>
  <c r="K95" i="38"/>
  <c r="M95" i="38" s="1"/>
  <c r="K96" i="50" s="1"/>
  <c r="K94" i="38"/>
  <c r="M94" i="38" s="1"/>
  <c r="K95" i="50" s="1"/>
  <c r="K93" i="38"/>
  <c r="M93" i="38" s="1"/>
  <c r="K94" i="50" s="1"/>
  <c r="K90" i="38"/>
  <c r="M90" i="38" s="1"/>
  <c r="K91" i="50" s="1"/>
  <c r="K89" i="38"/>
  <c r="M89" i="38" s="1"/>
  <c r="K90" i="50" s="1"/>
  <c r="K88" i="38"/>
  <c r="M88" i="38" s="1"/>
  <c r="K89" i="50" s="1"/>
  <c r="K85" i="38"/>
  <c r="M85" i="38" s="1"/>
  <c r="K86" i="50" s="1"/>
  <c r="K84" i="38"/>
  <c r="M84" i="38" s="1"/>
  <c r="K85" i="50" s="1"/>
  <c r="K83" i="38"/>
  <c r="M83" i="38" s="1"/>
  <c r="K84" i="50" s="1"/>
  <c r="K80" i="38"/>
  <c r="M80" i="38" s="1"/>
  <c r="K81" i="50" s="1"/>
  <c r="K79" i="38"/>
  <c r="M79" i="38" s="1"/>
  <c r="K80" i="50" s="1"/>
  <c r="K78" i="38"/>
  <c r="M78" i="38" s="1"/>
  <c r="K79" i="50" s="1"/>
  <c r="K75" i="38"/>
  <c r="M75" i="38" s="1"/>
  <c r="K76" i="50" s="1"/>
  <c r="K74" i="38"/>
  <c r="M74" i="38" s="1"/>
  <c r="K75" i="50" s="1"/>
  <c r="K73" i="38"/>
  <c r="M73" i="38" s="1"/>
  <c r="K74" i="50" s="1"/>
  <c r="K70" i="38"/>
  <c r="M70" i="38" s="1"/>
  <c r="K71" i="50" s="1"/>
  <c r="K69" i="38"/>
  <c r="M69" i="38" s="1"/>
  <c r="K70" i="50" s="1"/>
  <c r="K68" i="38"/>
  <c r="M68" i="38" s="1"/>
  <c r="K69" i="50" s="1"/>
  <c r="K65" i="38"/>
  <c r="M65" i="38" s="1"/>
  <c r="K66" i="50" s="1"/>
  <c r="K64" i="38"/>
  <c r="M64" i="38" s="1"/>
  <c r="K65" i="50" s="1"/>
  <c r="K63" i="38"/>
  <c r="M63" i="38" s="1"/>
  <c r="K64" i="50" s="1"/>
  <c r="K60" i="38"/>
  <c r="M60" i="38" s="1"/>
  <c r="K61" i="50" s="1"/>
  <c r="K59" i="38"/>
  <c r="M59" i="38" s="1"/>
  <c r="K60" i="50" s="1"/>
  <c r="K58" i="38"/>
  <c r="M58" i="38" s="1"/>
  <c r="K59" i="50" s="1"/>
  <c r="K55" i="38"/>
  <c r="M55" i="38" s="1"/>
  <c r="K56" i="50" s="1"/>
  <c r="K54" i="38"/>
  <c r="M54" i="38" s="1"/>
  <c r="K55" i="50" s="1"/>
  <c r="K53" i="38"/>
  <c r="M53" i="38" s="1"/>
  <c r="K54" i="50" s="1"/>
  <c r="K50" i="38"/>
  <c r="M50" i="38" s="1"/>
  <c r="K51" i="50" s="1"/>
  <c r="K49" i="38"/>
  <c r="M49" i="38" s="1"/>
  <c r="K50" i="50" s="1"/>
  <c r="K48" i="38"/>
  <c r="M48" i="38" s="1"/>
  <c r="K49" i="50" s="1"/>
  <c r="K45" i="38"/>
  <c r="M45" i="38" s="1"/>
  <c r="K46" i="50" s="1"/>
  <c r="K44" i="38"/>
  <c r="M44" i="38" s="1"/>
  <c r="K45" i="50" s="1"/>
  <c r="K43" i="38"/>
  <c r="M43" i="38" s="1"/>
  <c r="K44" i="50" s="1"/>
  <c r="K40" i="38"/>
  <c r="M40" i="38" s="1"/>
  <c r="K41" i="50" s="1"/>
  <c r="K39" i="38"/>
  <c r="M39" i="38" s="1"/>
  <c r="K40" i="50" s="1"/>
  <c r="K38" i="38"/>
  <c r="M38" i="38" s="1"/>
  <c r="K39" i="50" s="1"/>
  <c r="K35" i="38"/>
  <c r="M35" i="38" s="1"/>
  <c r="K36" i="50" s="1"/>
  <c r="K34" i="38"/>
  <c r="M34" i="38" s="1"/>
  <c r="K35" i="50" s="1"/>
  <c r="K33" i="38"/>
  <c r="M33" i="38" s="1"/>
  <c r="K34" i="50" s="1"/>
  <c r="K30" i="38"/>
  <c r="M30" i="38" s="1"/>
  <c r="K31" i="50" s="1"/>
  <c r="K29" i="38"/>
  <c r="M29" i="38" s="1"/>
  <c r="K30" i="50" s="1"/>
  <c r="K28" i="38"/>
  <c r="M28" i="38" s="1"/>
  <c r="K29" i="50" s="1"/>
  <c r="K25" i="38"/>
  <c r="M25" i="38" s="1"/>
  <c r="K26" i="50" s="1"/>
  <c r="K24" i="38"/>
  <c r="M24" i="38" s="1"/>
  <c r="K25" i="50" s="1"/>
  <c r="K23" i="38"/>
  <c r="M23" i="38" s="1"/>
  <c r="K24" i="50" s="1"/>
  <c r="J165" i="38"/>
  <c r="J166" i="50" s="1"/>
  <c r="J164" i="38"/>
  <c r="J165" i="50" s="1"/>
  <c r="J163" i="38"/>
  <c r="J164" i="50" s="1"/>
  <c r="J160" i="38"/>
  <c r="J161" i="50" s="1"/>
  <c r="J159" i="38"/>
  <c r="J160" i="50" s="1"/>
  <c r="J158" i="38"/>
  <c r="J159" i="50" s="1"/>
  <c r="J155" i="38"/>
  <c r="J156" i="50" s="1"/>
  <c r="J154" i="38"/>
  <c r="J155" i="50" s="1"/>
  <c r="J153" i="38"/>
  <c r="J154" i="50" s="1"/>
  <c r="J150" i="38"/>
  <c r="J151" i="50" s="1"/>
  <c r="J149" i="38"/>
  <c r="J150" i="50" s="1"/>
  <c r="J148" i="38"/>
  <c r="J149" i="50" s="1"/>
  <c r="J145" i="38"/>
  <c r="J146" i="50" s="1"/>
  <c r="J144" i="38"/>
  <c r="J145" i="50" s="1"/>
  <c r="J143" i="38"/>
  <c r="J144" i="50" s="1"/>
  <c r="J140" i="38"/>
  <c r="J141" i="50" s="1"/>
  <c r="J139" i="38"/>
  <c r="J140" i="50" s="1"/>
  <c r="J138" i="38"/>
  <c r="J139" i="50" s="1"/>
  <c r="J135" i="38"/>
  <c r="J136" i="50" s="1"/>
  <c r="J134" i="38"/>
  <c r="J135" i="50" s="1"/>
  <c r="J133" i="38"/>
  <c r="J134" i="50" s="1"/>
  <c r="J130" i="38"/>
  <c r="J131" i="50" s="1"/>
  <c r="J129" i="38"/>
  <c r="J130" i="50" s="1"/>
  <c r="J128" i="38"/>
  <c r="J129" i="50" s="1"/>
  <c r="J125" i="38"/>
  <c r="J126" i="50" s="1"/>
  <c r="J124" i="38"/>
  <c r="J125" i="50" s="1"/>
  <c r="J123" i="38"/>
  <c r="J124" i="50" s="1"/>
  <c r="J120" i="38"/>
  <c r="J121" i="50" s="1"/>
  <c r="J119" i="38"/>
  <c r="J120" i="50" s="1"/>
  <c r="J118" i="38"/>
  <c r="J119" i="50" s="1"/>
  <c r="J115" i="38"/>
  <c r="J116" i="50" s="1"/>
  <c r="J114" i="38"/>
  <c r="J115" i="50" s="1"/>
  <c r="J113" i="38"/>
  <c r="J114" i="50" s="1"/>
  <c r="J110" i="38"/>
  <c r="J111" i="50" s="1"/>
  <c r="J109" i="38"/>
  <c r="J110" i="50" s="1"/>
  <c r="J108" i="38"/>
  <c r="J109" i="50" s="1"/>
  <c r="J105" i="38"/>
  <c r="J106" i="50" s="1"/>
  <c r="J104" i="38"/>
  <c r="J105" i="50" s="1"/>
  <c r="J103" i="38"/>
  <c r="J104" i="50" s="1"/>
  <c r="J100" i="38"/>
  <c r="J101" i="50" s="1"/>
  <c r="J99" i="38"/>
  <c r="J100" i="50" s="1"/>
  <c r="J98" i="38"/>
  <c r="J99" i="50" s="1"/>
  <c r="J95" i="38"/>
  <c r="J96" i="50" s="1"/>
  <c r="J94" i="38"/>
  <c r="J95" i="50" s="1"/>
  <c r="J93" i="38"/>
  <c r="J94" i="50" s="1"/>
  <c r="J90" i="38"/>
  <c r="J91" i="50" s="1"/>
  <c r="J89" i="38"/>
  <c r="J90" i="50" s="1"/>
  <c r="J88" i="38"/>
  <c r="J89" i="50" s="1"/>
  <c r="J85" i="38"/>
  <c r="J86" i="50" s="1"/>
  <c r="J84" i="38"/>
  <c r="J85" i="50" s="1"/>
  <c r="J83" i="38"/>
  <c r="J84" i="50" s="1"/>
  <c r="J80" i="38"/>
  <c r="J81" i="50" s="1"/>
  <c r="J79" i="38"/>
  <c r="J80" i="50" s="1"/>
  <c r="J78" i="38"/>
  <c r="J79" i="50" s="1"/>
  <c r="J75" i="38"/>
  <c r="J76" i="50" s="1"/>
  <c r="J74" i="38"/>
  <c r="J75" i="50" s="1"/>
  <c r="J73" i="38"/>
  <c r="J74" i="50" s="1"/>
  <c r="J70" i="38"/>
  <c r="J71" i="50" s="1"/>
  <c r="J69" i="38"/>
  <c r="J70" i="50" s="1"/>
  <c r="J68" i="38"/>
  <c r="J69" i="50" s="1"/>
  <c r="J65" i="38"/>
  <c r="J66" i="50" s="1"/>
  <c r="J64" i="38"/>
  <c r="J65" i="50" s="1"/>
  <c r="J63" i="38"/>
  <c r="J64" i="50" s="1"/>
  <c r="J60" i="38"/>
  <c r="J61" i="50" s="1"/>
  <c r="J59" i="38"/>
  <c r="J60" i="50" s="1"/>
  <c r="J58" i="38"/>
  <c r="J59" i="50" s="1"/>
  <c r="J55" i="38"/>
  <c r="J56" i="50" s="1"/>
  <c r="J54" i="38"/>
  <c r="J55" i="50" s="1"/>
  <c r="J53" i="38"/>
  <c r="J54" i="50" s="1"/>
  <c r="J50" i="38"/>
  <c r="J51" i="50" s="1"/>
  <c r="J49" i="38"/>
  <c r="J50" i="50" s="1"/>
  <c r="J48" i="38"/>
  <c r="J49" i="50" s="1"/>
  <c r="J45" i="38"/>
  <c r="J46" i="50" s="1"/>
  <c r="J44" i="38"/>
  <c r="J45" i="50" s="1"/>
  <c r="J43" i="38"/>
  <c r="J44" i="50" s="1"/>
  <c r="J40" i="38"/>
  <c r="J41" i="50" s="1"/>
  <c r="J39" i="38"/>
  <c r="J40" i="50" s="1"/>
  <c r="J38" i="38"/>
  <c r="J39" i="50" s="1"/>
  <c r="J35" i="38"/>
  <c r="J36" i="50" s="1"/>
  <c r="J34" i="38"/>
  <c r="J35" i="50" s="1"/>
  <c r="J33" i="38"/>
  <c r="J34" i="50" s="1"/>
  <c r="J30" i="38"/>
  <c r="J31" i="50" s="1"/>
  <c r="J29" i="38"/>
  <c r="J30" i="50" s="1"/>
  <c r="J28" i="38"/>
  <c r="J29" i="50" s="1"/>
  <c r="J25" i="38"/>
  <c r="J26" i="50" s="1"/>
  <c r="J24" i="38"/>
  <c r="J25" i="50" s="1"/>
  <c r="J23" i="38"/>
  <c r="J24" i="50" s="1"/>
  <c r="J20" i="38"/>
  <c r="J21" i="50" s="1"/>
  <c r="J19" i="38"/>
  <c r="J20" i="50" s="1"/>
  <c r="J18" i="38"/>
  <c r="K20" i="38"/>
  <c r="K19" i="38"/>
  <c r="K18" i="38"/>
  <c r="M18" i="38" s="1"/>
  <c r="K19" i="50" s="1"/>
  <c r="E162" i="38"/>
  <c r="E163" i="50" s="1"/>
  <c r="D162" i="38"/>
  <c r="D163" i="50" s="1"/>
  <c r="E157" i="38"/>
  <c r="E158" i="50" s="1"/>
  <c r="D157" i="38"/>
  <c r="D158" i="50" s="1"/>
  <c r="E152" i="38"/>
  <c r="E153" i="50" s="1"/>
  <c r="D152" i="38"/>
  <c r="D153" i="50" s="1"/>
  <c r="E147" i="38"/>
  <c r="E148" i="50" s="1"/>
  <c r="D147" i="38"/>
  <c r="D148" i="50" s="1"/>
  <c r="E142" i="38"/>
  <c r="E143" i="50" s="1"/>
  <c r="D142" i="38"/>
  <c r="D143" i="50" s="1"/>
  <c r="E137" i="38"/>
  <c r="E138" i="50" s="1"/>
  <c r="D137" i="38"/>
  <c r="D138" i="50" s="1"/>
  <c r="E132" i="38"/>
  <c r="E133" i="50" s="1"/>
  <c r="D132" i="38"/>
  <c r="D133" i="50" s="1"/>
  <c r="E127" i="38"/>
  <c r="E128" i="50" s="1"/>
  <c r="D127" i="38"/>
  <c r="D128" i="50" s="1"/>
  <c r="E122" i="38"/>
  <c r="E123" i="50" s="1"/>
  <c r="D122" i="38"/>
  <c r="D123" i="50" s="1"/>
  <c r="E117" i="38"/>
  <c r="E118" i="50" s="1"/>
  <c r="D117" i="38"/>
  <c r="D118" i="50" s="1"/>
  <c r="E112" i="38"/>
  <c r="E113" i="50" s="1"/>
  <c r="D112" i="38"/>
  <c r="D113" i="50" s="1"/>
  <c r="E107" i="38"/>
  <c r="E108" i="50" s="1"/>
  <c r="D107" i="38"/>
  <c r="D108" i="50" s="1"/>
  <c r="E102" i="38"/>
  <c r="E103" i="50" s="1"/>
  <c r="D102" i="38"/>
  <c r="D103" i="50" s="1"/>
  <c r="E97" i="38"/>
  <c r="E98" i="50" s="1"/>
  <c r="D97" i="38"/>
  <c r="D98" i="50" s="1"/>
  <c r="E92" i="38"/>
  <c r="E93" i="50" s="1"/>
  <c r="D92" i="38"/>
  <c r="D93" i="50" s="1"/>
  <c r="E87" i="38"/>
  <c r="E88" i="50" s="1"/>
  <c r="D87" i="38"/>
  <c r="D88" i="50" s="1"/>
  <c r="E82" i="38"/>
  <c r="E83" i="50" s="1"/>
  <c r="D82" i="38"/>
  <c r="D83" i="50" s="1"/>
  <c r="E77" i="38"/>
  <c r="E78" i="50" s="1"/>
  <c r="D77" i="38"/>
  <c r="D78" i="50" s="1"/>
  <c r="E72" i="38"/>
  <c r="E73" i="50" s="1"/>
  <c r="D72" i="38"/>
  <c r="D73" i="50" s="1"/>
  <c r="E67" i="38"/>
  <c r="E68" i="50" s="1"/>
  <c r="D67" i="38"/>
  <c r="D68" i="50" s="1"/>
  <c r="E62" i="38"/>
  <c r="E63" i="50" s="1"/>
  <c r="D62" i="38"/>
  <c r="D63" i="50" s="1"/>
  <c r="E57" i="38"/>
  <c r="E58" i="50" s="1"/>
  <c r="D57" i="38"/>
  <c r="D58" i="50" s="1"/>
  <c r="E52" i="38"/>
  <c r="E53" i="50" s="1"/>
  <c r="D52" i="38"/>
  <c r="D53" i="50" s="1"/>
  <c r="E47" i="38"/>
  <c r="E48" i="50" s="1"/>
  <c r="D47" i="38"/>
  <c r="D48" i="50" s="1"/>
  <c r="E42" i="38"/>
  <c r="E43" i="50" s="1"/>
  <c r="D42" i="38"/>
  <c r="D43" i="50" s="1"/>
  <c r="E37" i="38"/>
  <c r="E38" i="50" s="1"/>
  <c r="D37" i="38"/>
  <c r="D38" i="50" s="1"/>
  <c r="E32" i="38"/>
  <c r="E33" i="50" s="1"/>
  <c r="D32" i="38"/>
  <c r="D33" i="50" s="1"/>
  <c r="E27" i="38"/>
  <c r="E28" i="50" s="1"/>
  <c r="D27" i="38"/>
  <c r="D28" i="50" s="1"/>
  <c r="E22" i="38"/>
  <c r="E23" i="50" s="1"/>
  <c r="D22" i="38"/>
  <c r="D23" i="50" s="1"/>
  <c r="E17" i="38"/>
  <c r="E18" i="50" s="1"/>
  <c r="D17" i="38"/>
  <c r="D18" i="50" s="1"/>
  <c r="B162" i="38"/>
  <c r="B163" i="50" s="1"/>
  <c r="B310" i="52" s="1"/>
  <c r="B157" i="38"/>
  <c r="B152" i="38"/>
  <c r="B153" i="50" s="1"/>
  <c r="B292" i="52" s="1"/>
  <c r="B147" i="38"/>
  <c r="B148" i="50" s="1"/>
  <c r="B283" i="52" s="1"/>
  <c r="B142" i="38"/>
  <c r="B143" i="50" s="1"/>
  <c r="B274" i="52" s="1"/>
  <c r="B137" i="38"/>
  <c r="B138" i="50" s="1"/>
  <c r="B265" i="52" s="1"/>
  <c r="B132" i="38"/>
  <c r="B133" i="50" s="1"/>
  <c r="B256" i="52" s="1"/>
  <c r="B127" i="38"/>
  <c r="B128" i="50" s="1"/>
  <c r="B247" i="52" s="1"/>
  <c r="B122" i="38"/>
  <c r="B123" i="50" s="1"/>
  <c r="B238" i="52" s="1"/>
  <c r="B117" i="38"/>
  <c r="B118" i="50" s="1"/>
  <c r="B229" i="52" s="1"/>
  <c r="B112" i="38"/>
  <c r="B113" i="50" s="1"/>
  <c r="B220" i="52" s="1"/>
  <c r="B107" i="38"/>
  <c r="B108" i="50" s="1"/>
  <c r="B211" i="52" s="1"/>
  <c r="B102" i="38"/>
  <c r="B103" i="50" s="1"/>
  <c r="B202" i="52" s="1"/>
  <c r="B97" i="38"/>
  <c r="B98" i="50" s="1"/>
  <c r="B193" i="52" s="1"/>
  <c r="B92" i="38"/>
  <c r="B93" i="50" s="1"/>
  <c r="B184" i="52" s="1"/>
  <c r="B87" i="38"/>
  <c r="B88" i="50" s="1"/>
  <c r="B175" i="52" s="1"/>
  <c r="B82" i="38"/>
  <c r="B83" i="50" s="1"/>
  <c r="B166" i="52" s="1"/>
  <c r="B77" i="38"/>
  <c r="B78" i="50" s="1"/>
  <c r="B157" i="52" s="1"/>
  <c r="B72" i="38"/>
  <c r="B73" i="50" s="1"/>
  <c r="B148" i="52" s="1"/>
  <c r="B67" i="38"/>
  <c r="B68" i="50" s="1"/>
  <c r="B139" i="52" s="1"/>
  <c r="B62" i="38"/>
  <c r="B63" i="50" s="1"/>
  <c r="B130" i="52" s="1"/>
  <c r="B57" i="38"/>
  <c r="B58" i="50" s="1"/>
  <c r="B121" i="52" s="1"/>
  <c r="B52" i="38"/>
  <c r="B53" i="50" s="1"/>
  <c r="B112" i="52" s="1"/>
  <c r="B47" i="38"/>
  <c r="B48" i="50" s="1"/>
  <c r="B103" i="52" s="1"/>
  <c r="B42" i="38"/>
  <c r="B43" i="50" s="1"/>
  <c r="B94" i="52" s="1"/>
  <c r="B37" i="38"/>
  <c r="B38" i="50" s="1"/>
  <c r="B85" i="52" s="1"/>
  <c r="B32" i="38"/>
  <c r="B33" i="50" s="1"/>
  <c r="B76" i="52" s="1"/>
  <c r="B17" i="38"/>
  <c r="B22" i="38"/>
  <c r="B23" i="50" s="1"/>
  <c r="B58" i="52" s="1"/>
  <c r="B27" i="38"/>
  <c r="B28" i="50" s="1"/>
  <c r="B67" i="52" s="1"/>
  <c r="F162" i="38"/>
  <c r="F163" i="50" s="1"/>
  <c r="F157" i="38"/>
  <c r="F158" i="50" s="1"/>
  <c r="F152" i="38"/>
  <c r="F153" i="50" s="1"/>
  <c r="F147" i="38"/>
  <c r="F148" i="50" s="1"/>
  <c r="F142" i="38"/>
  <c r="F143" i="50" s="1"/>
  <c r="F137" i="38"/>
  <c r="F138" i="50" s="1"/>
  <c r="F132" i="38"/>
  <c r="F133" i="50" s="1"/>
  <c r="F127" i="38"/>
  <c r="F128" i="50" s="1"/>
  <c r="F122" i="38"/>
  <c r="F123" i="50" s="1"/>
  <c r="F117" i="38"/>
  <c r="F118" i="50" s="1"/>
  <c r="F112" i="38"/>
  <c r="F113" i="50" s="1"/>
  <c r="F107" i="38"/>
  <c r="F108" i="50" s="1"/>
  <c r="F102" i="38"/>
  <c r="F103" i="50" s="1"/>
  <c r="F97" i="38"/>
  <c r="F98" i="50" s="1"/>
  <c r="F92" i="38"/>
  <c r="F93" i="50" s="1"/>
  <c r="F87" i="38"/>
  <c r="F88" i="50" s="1"/>
  <c r="F82" i="38"/>
  <c r="F83" i="50" s="1"/>
  <c r="F77" i="38"/>
  <c r="F78" i="50" s="1"/>
  <c r="F72" i="38"/>
  <c r="F73" i="50" s="1"/>
  <c r="F67" i="38"/>
  <c r="F68" i="50" s="1"/>
  <c r="F62" i="38"/>
  <c r="F63" i="50" s="1"/>
  <c r="F57" i="38"/>
  <c r="F58" i="50" s="1"/>
  <c r="F52" i="38"/>
  <c r="F53" i="50" s="1"/>
  <c r="F47" i="38"/>
  <c r="F48" i="50" s="1"/>
  <c r="F42" i="38"/>
  <c r="F43" i="50" s="1"/>
  <c r="F37" i="38"/>
  <c r="F38" i="50" s="1"/>
  <c r="F32" i="38"/>
  <c r="F33" i="50" s="1"/>
  <c r="F27" i="38"/>
  <c r="F28" i="50" s="1"/>
  <c r="F22" i="38"/>
  <c r="F23" i="50" s="1"/>
  <c r="F17" i="38"/>
  <c r="H162" i="38"/>
  <c r="H163" i="50" s="1"/>
  <c r="G162" i="38"/>
  <c r="G163" i="50" s="1"/>
  <c r="H157" i="38"/>
  <c r="H158" i="50" s="1"/>
  <c r="G157" i="38"/>
  <c r="G158" i="50" s="1"/>
  <c r="H152" i="38"/>
  <c r="H153" i="50" s="1"/>
  <c r="G152" i="38"/>
  <c r="G153" i="50" s="1"/>
  <c r="H147" i="38"/>
  <c r="H148" i="50" s="1"/>
  <c r="G147" i="38"/>
  <c r="G148" i="50" s="1"/>
  <c r="H142" i="38"/>
  <c r="H143" i="50" s="1"/>
  <c r="G142" i="38"/>
  <c r="G143" i="50" s="1"/>
  <c r="H137" i="38"/>
  <c r="H138" i="50" s="1"/>
  <c r="G137" i="38"/>
  <c r="G138" i="50" s="1"/>
  <c r="H132" i="38"/>
  <c r="H133" i="50" s="1"/>
  <c r="G132" i="38"/>
  <c r="G133" i="50" s="1"/>
  <c r="H127" i="38"/>
  <c r="H128" i="50" s="1"/>
  <c r="G127" i="38"/>
  <c r="G128" i="50" s="1"/>
  <c r="H122" i="38"/>
  <c r="H123" i="50" s="1"/>
  <c r="G122" i="38"/>
  <c r="G123" i="50" s="1"/>
  <c r="H117" i="38"/>
  <c r="H118" i="50" s="1"/>
  <c r="G117" i="38"/>
  <c r="G118" i="50" s="1"/>
  <c r="H112" i="38"/>
  <c r="H113" i="50" s="1"/>
  <c r="G112" i="38"/>
  <c r="G113" i="50" s="1"/>
  <c r="H107" i="38"/>
  <c r="H108" i="50" s="1"/>
  <c r="G107" i="38"/>
  <c r="G108" i="50" s="1"/>
  <c r="H102" i="38"/>
  <c r="H103" i="50" s="1"/>
  <c r="G102" i="38"/>
  <c r="G103" i="50" s="1"/>
  <c r="H97" i="38"/>
  <c r="H98" i="50" s="1"/>
  <c r="G97" i="38"/>
  <c r="G98" i="50" s="1"/>
  <c r="H92" i="38"/>
  <c r="H93" i="50" s="1"/>
  <c r="G92" i="38"/>
  <c r="G93" i="50" s="1"/>
  <c r="H87" i="38"/>
  <c r="H88" i="50" s="1"/>
  <c r="G87" i="38"/>
  <c r="G88" i="50" s="1"/>
  <c r="H82" i="38"/>
  <c r="H83" i="50" s="1"/>
  <c r="G82" i="38"/>
  <c r="G83" i="50" s="1"/>
  <c r="H77" i="38"/>
  <c r="H78" i="50" s="1"/>
  <c r="G77" i="38"/>
  <c r="G78" i="50" s="1"/>
  <c r="H72" i="38"/>
  <c r="H73" i="50" s="1"/>
  <c r="G72" i="38"/>
  <c r="G73" i="50" s="1"/>
  <c r="H67" i="38"/>
  <c r="H68" i="50" s="1"/>
  <c r="G67" i="38"/>
  <c r="G68" i="50" s="1"/>
  <c r="H62" i="38"/>
  <c r="H63" i="50" s="1"/>
  <c r="G62" i="38"/>
  <c r="G63" i="50" s="1"/>
  <c r="H57" i="38"/>
  <c r="H58" i="50" s="1"/>
  <c r="G57" i="38"/>
  <c r="G58" i="50" s="1"/>
  <c r="H52" i="38"/>
  <c r="H53" i="50" s="1"/>
  <c r="G52" i="38"/>
  <c r="G53" i="50" s="1"/>
  <c r="H47" i="38"/>
  <c r="H48" i="50" s="1"/>
  <c r="G47" i="38"/>
  <c r="G48" i="50" s="1"/>
  <c r="H42" i="38"/>
  <c r="H43" i="50" s="1"/>
  <c r="G42" i="38"/>
  <c r="G43" i="50" s="1"/>
  <c r="H37" i="38"/>
  <c r="H38" i="50" s="1"/>
  <c r="G37" i="38"/>
  <c r="G38" i="50" s="1"/>
  <c r="H32" i="38"/>
  <c r="H33" i="50" s="1"/>
  <c r="G32" i="38"/>
  <c r="G33" i="50" s="1"/>
  <c r="H27" i="38"/>
  <c r="H28" i="50" s="1"/>
  <c r="G27" i="38"/>
  <c r="G28" i="50" s="1"/>
  <c r="H22" i="38"/>
  <c r="H23" i="50" s="1"/>
  <c r="G22" i="38"/>
  <c r="G23" i="50" s="1"/>
  <c r="H17" i="38"/>
  <c r="H18" i="50" s="1"/>
  <c r="G17" i="38"/>
  <c r="G18" i="50" s="1"/>
  <c r="I17" i="38" l="1"/>
  <c r="L17" i="38"/>
  <c r="I157" i="38"/>
  <c r="B158" i="50"/>
  <c r="B301" i="52" s="1"/>
  <c r="K175" i="38"/>
  <c r="O175" i="38" s="1"/>
  <c r="F18" i="50"/>
  <c r="M19" i="38"/>
  <c r="K20" i="50" s="1"/>
  <c r="M20" i="38"/>
  <c r="K21" i="50" s="1"/>
  <c r="L176" i="38"/>
  <c r="P176" i="38" s="1"/>
  <c r="L175" i="38"/>
  <c r="P175" i="38" s="1"/>
  <c r="L181" i="38"/>
  <c r="L183" i="38"/>
  <c r="L184" i="38"/>
  <c r="L182" i="38"/>
  <c r="L179" i="38"/>
  <c r="P179" i="38" s="1"/>
  <c r="L178" i="38"/>
  <c r="P178" i="38" s="1"/>
  <c r="J19" i="50"/>
  <c r="K176" i="50" s="1"/>
  <c r="L180" i="38"/>
  <c r="L177" i="38"/>
  <c r="P177" i="38" s="1"/>
  <c r="B18" i="50"/>
  <c r="K17" i="38"/>
  <c r="X17" i="38" s="1"/>
  <c r="F167" i="38"/>
  <c r="W167" i="38"/>
  <c r="AA167" i="38" s="1"/>
  <c r="V167" i="38"/>
  <c r="Q167" i="38"/>
  <c r="M162" i="38"/>
  <c r="M157" i="38"/>
  <c r="M152" i="38"/>
  <c r="M147" i="38"/>
  <c r="M142" i="38"/>
  <c r="M137" i="38"/>
  <c r="M132" i="38"/>
  <c r="M127" i="38"/>
  <c r="M122" i="38"/>
  <c r="M117" i="38"/>
  <c r="M112" i="38"/>
  <c r="M107" i="38"/>
  <c r="M102" i="38"/>
  <c r="M97" i="38"/>
  <c r="M92" i="38"/>
  <c r="M87" i="38"/>
  <c r="M82" i="38"/>
  <c r="M77" i="38"/>
  <c r="M72" i="38"/>
  <c r="M67" i="38"/>
  <c r="M62" i="38"/>
  <c r="M57" i="38"/>
  <c r="M52" i="38"/>
  <c r="M47" i="38"/>
  <c r="M42" i="38"/>
  <c r="M37" i="38"/>
  <c r="M32" i="38"/>
  <c r="M27" i="38"/>
  <c r="M22" i="38"/>
  <c r="L162" i="38"/>
  <c r="L157" i="38"/>
  <c r="L152" i="38"/>
  <c r="L147" i="38"/>
  <c r="L142" i="38"/>
  <c r="L137" i="38"/>
  <c r="L132" i="38"/>
  <c r="L127" i="38"/>
  <c r="L122" i="38"/>
  <c r="L117" i="38"/>
  <c r="L112" i="38"/>
  <c r="L107" i="38"/>
  <c r="L102" i="38"/>
  <c r="L97" i="38"/>
  <c r="L92" i="38"/>
  <c r="L87" i="38"/>
  <c r="L82" i="38"/>
  <c r="L77" i="38"/>
  <c r="L72" i="38"/>
  <c r="L67" i="38"/>
  <c r="L62" i="38"/>
  <c r="L57" i="38"/>
  <c r="L52" i="38"/>
  <c r="L47" i="38"/>
  <c r="L42" i="38"/>
  <c r="L37" i="38"/>
  <c r="L32" i="38"/>
  <c r="L27" i="38"/>
  <c r="L22" i="38"/>
  <c r="N17" i="38" l="1"/>
  <c r="B49" i="52"/>
  <c r="M17" i="38"/>
  <c r="L167" i="38"/>
  <c r="O97" i="38"/>
  <c r="T97" i="38"/>
  <c r="Y97" i="38"/>
  <c r="AC97" i="38"/>
  <c r="T22" i="38"/>
  <c r="AC22" i="38"/>
  <c r="Y22" i="38"/>
  <c r="T62" i="38"/>
  <c r="Y62" i="38"/>
  <c r="AC62" i="38"/>
  <c r="O102" i="38"/>
  <c r="Y102" i="38"/>
  <c r="T102" i="38"/>
  <c r="AC102" i="38"/>
  <c r="O142" i="38"/>
  <c r="T142" i="38"/>
  <c r="Y142" i="38"/>
  <c r="AC142" i="38"/>
  <c r="T27" i="38"/>
  <c r="Y27" i="38"/>
  <c r="AC27" i="38"/>
  <c r="O107" i="38"/>
  <c r="AC107" i="38"/>
  <c r="Y107" i="38"/>
  <c r="T107" i="38"/>
  <c r="Y37" i="38"/>
  <c r="T37" i="38"/>
  <c r="AC37" i="38"/>
  <c r="O77" i="38"/>
  <c r="Y77" i="38"/>
  <c r="T77" i="38"/>
  <c r="AC77" i="38"/>
  <c r="O117" i="38"/>
  <c r="AC117" i="38"/>
  <c r="T117" i="38"/>
  <c r="Y117" i="38"/>
  <c r="O157" i="38"/>
  <c r="Y157" i="38"/>
  <c r="T157" i="38"/>
  <c r="AC157" i="38"/>
  <c r="S17" i="38"/>
  <c r="AB17" i="38"/>
  <c r="Y57" i="38"/>
  <c r="T57" i="38"/>
  <c r="AC57" i="38"/>
  <c r="O137" i="38"/>
  <c r="AC137" i="38"/>
  <c r="T137" i="38"/>
  <c r="Y137" i="38"/>
  <c r="T32" i="38"/>
  <c r="Y32" i="38"/>
  <c r="AC32" i="38"/>
  <c r="O112" i="38"/>
  <c r="Y112" i="38"/>
  <c r="T112" i="38"/>
  <c r="AC112" i="38"/>
  <c r="Y42" i="38"/>
  <c r="T42" i="38"/>
  <c r="AC42" i="38"/>
  <c r="O82" i="38"/>
  <c r="Y82" i="38"/>
  <c r="T82" i="38"/>
  <c r="AC82" i="38"/>
  <c r="O122" i="38"/>
  <c r="T122" i="38"/>
  <c r="AC122" i="38"/>
  <c r="Y122" i="38"/>
  <c r="O162" i="38"/>
  <c r="Y162" i="38"/>
  <c r="T162" i="38"/>
  <c r="AC162" i="38"/>
  <c r="AC67" i="38"/>
  <c r="T67" i="38"/>
  <c r="Y67" i="38"/>
  <c r="O147" i="38"/>
  <c r="T147" i="38"/>
  <c r="Y147" i="38"/>
  <c r="AC147" i="38"/>
  <c r="Y72" i="38"/>
  <c r="T72" i="38"/>
  <c r="AC72" i="38"/>
  <c r="Y47" i="38"/>
  <c r="T47" i="38"/>
  <c r="AC47" i="38"/>
  <c r="AC87" i="38"/>
  <c r="T87" i="38"/>
  <c r="Y87" i="38"/>
  <c r="O127" i="38"/>
  <c r="T127" i="38"/>
  <c r="AC127" i="38"/>
  <c r="Y127" i="38"/>
  <c r="O152" i="38"/>
  <c r="T152" i="38"/>
  <c r="AC152" i="38"/>
  <c r="Y152" i="38"/>
  <c r="T52" i="38"/>
  <c r="AC52" i="38"/>
  <c r="Y52" i="38"/>
  <c r="O92" i="38"/>
  <c r="T92" i="38"/>
  <c r="AC92" i="38"/>
  <c r="Y92" i="38"/>
  <c r="O132" i="38"/>
  <c r="Y132" i="38"/>
  <c r="T132" i="38"/>
  <c r="AC132" i="38"/>
  <c r="P183" i="38"/>
  <c r="T175" i="38"/>
  <c r="T176" i="38"/>
  <c r="Q173" i="38"/>
  <c r="Y17" i="38" l="1"/>
  <c r="O17" i="38"/>
  <c r="AC17" i="38"/>
  <c r="M167" i="38"/>
  <c r="T17" i="38"/>
  <c r="Z16" i="49"/>
  <c r="Z17" i="49"/>
  <c r="Z18" i="49"/>
  <c r="Z19" i="49"/>
  <c r="Z20" i="49"/>
  <c r="Z21" i="49"/>
  <c r="Z22" i="49"/>
  <c r="Z23" i="49"/>
  <c r="Z24" i="49"/>
  <c r="Z25" i="49"/>
  <c r="Z26" i="49"/>
  <c r="Z27" i="49"/>
  <c r="Z28" i="49"/>
  <c r="Z29" i="49"/>
  <c r="Z30" i="49"/>
  <c r="Z31" i="49"/>
  <c r="Z32" i="49"/>
  <c r="Z33" i="49"/>
  <c r="Z34" i="49"/>
  <c r="Z35" i="49"/>
  <c r="Z36" i="49"/>
  <c r="Z37" i="49"/>
  <c r="Z38" i="49"/>
  <c r="Z39" i="49"/>
  <c r="Z40" i="49"/>
  <c r="Z41" i="49"/>
  <c r="Z42" i="49"/>
  <c r="Z43" i="49"/>
  <c r="Z44" i="49"/>
  <c r="Z45" i="49"/>
  <c r="Z46" i="49"/>
  <c r="Z47" i="49"/>
  <c r="Z48" i="49"/>
  <c r="Z49" i="49"/>
  <c r="Z50" i="49"/>
  <c r="Z51" i="49"/>
  <c r="Z52" i="49"/>
  <c r="Z53" i="49"/>
  <c r="Z54" i="49"/>
  <c r="Z55" i="49"/>
  <c r="Z56" i="49"/>
  <c r="Z57" i="49"/>
  <c r="Z58" i="49"/>
  <c r="Z59" i="49"/>
  <c r="Z60" i="49"/>
  <c r="Z61" i="49"/>
  <c r="Z62" i="49"/>
  <c r="Z63" i="49"/>
  <c r="Z64" i="49"/>
  <c r="Z65" i="49"/>
  <c r="Z66" i="49"/>
  <c r="Z67" i="49"/>
  <c r="Z68" i="49"/>
  <c r="Z69" i="49"/>
  <c r="Z70" i="49"/>
  <c r="Z71" i="49"/>
  <c r="Z72" i="49"/>
  <c r="W16" i="49"/>
  <c r="W17" i="49"/>
  <c r="W18" i="49"/>
  <c r="W19" i="49"/>
  <c r="W20" i="49"/>
  <c r="W21" i="49"/>
  <c r="W22" i="49"/>
  <c r="W23" i="49"/>
  <c r="W24" i="49"/>
  <c r="W25" i="49"/>
  <c r="W26" i="49"/>
  <c r="W27" i="49"/>
  <c r="W28" i="49"/>
  <c r="W29" i="49"/>
  <c r="W30" i="49"/>
  <c r="W31" i="49"/>
  <c r="W32" i="49"/>
  <c r="W33" i="49"/>
  <c r="W34" i="49"/>
  <c r="W35" i="49"/>
  <c r="W36" i="49"/>
  <c r="W37" i="49"/>
  <c r="W38" i="49"/>
  <c r="W39" i="49"/>
  <c r="W40" i="49"/>
  <c r="W41" i="49"/>
  <c r="W42" i="49"/>
  <c r="W43" i="49"/>
  <c r="W44" i="49"/>
  <c r="W45" i="49"/>
  <c r="W46" i="49"/>
  <c r="W47" i="49"/>
  <c r="W48" i="49"/>
  <c r="W49" i="49"/>
  <c r="W50" i="49"/>
  <c r="W51" i="49"/>
  <c r="W52" i="49"/>
  <c r="W53" i="49"/>
  <c r="W54" i="49"/>
  <c r="W55" i="49"/>
  <c r="W56" i="49"/>
  <c r="W57" i="49"/>
  <c r="W58" i="49"/>
  <c r="W59" i="49"/>
  <c r="W60" i="49"/>
  <c r="W61" i="49"/>
  <c r="W62" i="49"/>
  <c r="W63" i="49"/>
  <c r="W64" i="49"/>
  <c r="W65" i="49"/>
  <c r="W66" i="49"/>
  <c r="W67" i="49"/>
  <c r="W68" i="49"/>
  <c r="W69" i="49"/>
  <c r="W70" i="49"/>
  <c r="W71" i="49"/>
  <c r="W72" i="49"/>
  <c r="Z15" i="49"/>
  <c r="W15" i="49"/>
  <c r="Y16" i="49"/>
  <c r="Y17" i="49"/>
  <c r="Y18" i="49"/>
  <c r="Y19" i="49"/>
  <c r="Y20" i="49"/>
  <c r="Y21" i="49"/>
  <c r="Y22" i="49"/>
  <c r="Y23" i="49"/>
  <c r="Y24" i="49"/>
  <c r="Y25" i="49"/>
  <c r="Y26" i="49"/>
  <c r="Y27" i="49"/>
  <c r="Y28" i="49"/>
  <c r="Y29" i="49"/>
  <c r="Y30" i="49"/>
  <c r="Y31" i="49"/>
  <c r="Y32" i="49"/>
  <c r="Y33" i="49"/>
  <c r="Y34" i="49"/>
  <c r="Y35" i="49"/>
  <c r="Y36" i="49"/>
  <c r="Y37" i="49"/>
  <c r="Y38" i="49"/>
  <c r="Y39" i="49"/>
  <c r="Y40" i="49"/>
  <c r="Y41" i="49"/>
  <c r="Y42" i="49"/>
  <c r="Y43" i="49"/>
  <c r="Y44" i="49"/>
  <c r="Y45" i="49"/>
  <c r="Y46" i="49"/>
  <c r="Y47" i="49"/>
  <c r="Y48" i="49"/>
  <c r="Y49" i="49"/>
  <c r="Y50" i="49"/>
  <c r="Y51" i="49"/>
  <c r="Y52" i="49"/>
  <c r="Y53" i="49"/>
  <c r="Y54" i="49"/>
  <c r="Y55" i="49"/>
  <c r="Y56" i="49"/>
  <c r="Y57" i="49"/>
  <c r="Y58" i="49"/>
  <c r="Y59" i="49"/>
  <c r="Y60" i="49"/>
  <c r="Y61" i="49"/>
  <c r="Y62" i="49"/>
  <c r="Y63" i="49"/>
  <c r="Y64" i="49"/>
  <c r="Y65" i="49"/>
  <c r="Y66" i="49"/>
  <c r="Y67" i="49"/>
  <c r="Y68" i="49"/>
  <c r="Y69" i="49"/>
  <c r="Y70" i="49"/>
  <c r="Y71" i="49"/>
  <c r="Y72" i="49"/>
  <c r="V16" i="49"/>
  <c r="V17" i="49"/>
  <c r="V18" i="49"/>
  <c r="V19" i="49"/>
  <c r="V20" i="49"/>
  <c r="V21" i="49"/>
  <c r="V22" i="49"/>
  <c r="V23" i="49"/>
  <c r="V24" i="49"/>
  <c r="V25" i="49"/>
  <c r="V26" i="49"/>
  <c r="V27" i="49"/>
  <c r="V28" i="49"/>
  <c r="V29" i="49"/>
  <c r="V30" i="49"/>
  <c r="V31" i="49"/>
  <c r="V32" i="49"/>
  <c r="V33" i="49"/>
  <c r="V34" i="49"/>
  <c r="V35" i="49"/>
  <c r="V36" i="49"/>
  <c r="V37" i="49"/>
  <c r="V38" i="49"/>
  <c r="V39" i="49"/>
  <c r="V40" i="49"/>
  <c r="V41" i="49"/>
  <c r="V42" i="49"/>
  <c r="V43" i="49"/>
  <c r="V44" i="49"/>
  <c r="V45" i="49"/>
  <c r="V46" i="49"/>
  <c r="V47" i="49"/>
  <c r="V48" i="49"/>
  <c r="V49" i="49"/>
  <c r="V50" i="49"/>
  <c r="V51" i="49"/>
  <c r="V52" i="49"/>
  <c r="V53" i="49"/>
  <c r="V54" i="49"/>
  <c r="V55" i="49"/>
  <c r="V56" i="49"/>
  <c r="V57" i="49"/>
  <c r="V58" i="49"/>
  <c r="V59" i="49"/>
  <c r="V60" i="49"/>
  <c r="V61" i="49"/>
  <c r="V62" i="49"/>
  <c r="V63" i="49"/>
  <c r="V64" i="49"/>
  <c r="V65" i="49"/>
  <c r="V66" i="49"/>
  <c r="V67" i="49"/>
  <c r="V68" i="49"/>
  <c r="V69" i="49"/>
  <c r="V70" i="49"/>
  <c r="V71" i="49"/>
  <c r="V72" i="49"/>
  <c r="Y15" i="49"/>
  <c r="V15" i="49"/>
  <c r="O16" i="49"/>
  <c r="O17" i="49"/>
  <c r="O18" i="49"/>
  <c r="O19" i="49"/>
  <c r="O20" i="49"/>
  <c r="O21" i="49"/>
  <c r="O22" i="49"/>
  <c r="O23" i="49"/>
  <c r="O24" i="49"/>
  <c r="O25" i="49"/>
  <c r="O26" i="49"/>
  <c r="O27" i="49"/>
  <c r="O28"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15" i="49"/>
  <c r="N16" i="49"/>
  <c r="N17" i="49"/>
  <c r="N18" i="49"/>
  <c r="N19" i="49"/>
  <c r="N20" i="49"/>
  <c r="N21" i="49"/>
  <c r="N22" i="49"/>
  <c r="N23" i="49"/>
  <c r="N24" i="49"/>
  <c r="N25" i="49"/>
  <c r="N26" i="49"/>
  <c r="N27" i="49"/>
  <c r="N28" i="49"/>
  <c r="N29" i="49"/>
  <c r="N30" i="49"/>
  <c r="N31" i="49"/>
  <c r="N32" i="49"/>
  <c r="N33" i="49"/>
  <c r="N34" i="49"/>
  <c r="N35" i="49"/>
  <c r="N36" i="49"/>
  <c r="N37" i="49"/>
  <c r="N38" i="49"/>
  <c r="N39" i="49"/>
  <c r="N40" i="49"/>
  <c r="N41" i="49"/>
  <c r="N42" i="49"/>
  <c r="N43" i="49"/>
  <c r="N44" i="49"/>
  <c r="N45" i="49"/>
  <c r="N46" i="49"/>
  <c r="N47" i="49"/>
  <c r="N48" i="49"/>
  <c r="N49" i="49"/>
  <c r="N50" i="49"/>
  <c r="N51" i="49"/>
  <c r="N52" i="49"/>
  <c r="N53" i="49"/>
  <c r="N54" i="49"/>
  <c r="N55" i="49"/>
  <c r="N56" i="49"/>
  <c r="N57" i="49"/>
  <c r="N58" i="49"/>
  <c r="N59" i="49"/>
  <c r="N60" i="49"/>
  <c r="N61" i="49"/>
  <c r="N62" i="49"/>
  <c r="N63" i="49"/>
  <c r="N64" i="49"/>
  <c r="N65" i="49"/>
  <c r="N66" i="49"/>
  <c r="N67" i="49"/>
  <c r="N68" i="49"/>
  <c r="N69" i="49"/>
  <c r="N70" i="49"/>
  <c r="N71" i="49"/>
  <c r="N72" i="49"/>
  <c r="N15" i="49"/>
  <c r="G16" i="49"/>
  <c r="G17" i="49"/>
  <c r="G18" i="49"/>
  <c r="G19"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15" i="49"/>
  <c r="B16" i="49"/>
  <c r="B17" i="37" s="1"/>
  <c r="B17" i="49"/>
  <c r="B18" i="37" s="1"/>
  <c r="B18" i="49"/>
  <c r="B19" i="37" s="1"/>
  <c r="B19" i="49"/>
  <c r="B20" i="37" s="1"/>
  <c r="B20" i="49"/>
  <c r="B21" i="37" s="1"/>
  <c r="B21" i="49"/>
  <c r="B22" i="37" s="1"/>
  <c r="B22" i="49"/>
  <c r="B23" i="37" s="1"/>
  <c r="B23" i="49"/>
  <c r="B24" i="37" s="1"/>
  <c r="B24" i="49"/>
  <c r="B25" i="37" s="1"/>
  <c r="B25" i="49"/>
  <c r="B26" i="37" s="1"/>
  <c r="B26" i="49"/>
  <c r="B27" i="37" s="1"/>
  <c r="B27" i="49"/>
  <c r="B28" i="37" s="1"/>
  <c r="B28" i="49"/>
  <c r="B29" i="37" s="1"/>
  <c r="B29" i="49"/>
  <c r="B30" i="37" s="1"/>
  <c r="B30" i="49"/>
  <c r="B31" i="37" s="1"/>
  <c r="B31" i="49"/>
  <c r="B32" i="37" s="1"/>
  <c r="B32" i="49"/>
  <c r="B33" i="37" s="1"/>
  <c r="B33" i="49"/>
  <c r="B34" i="37" s="1"/>
  <c r="B34" i="49"/>
  <c r="B35" i="37" s="1"/>
  <c r="B35" i="49"/>
  <c r="B36" i="37" s="1"/>
  <c r="B36" i="49"/>
  <c r="B37" i="37" s="1"/>
  <c r="B37" i="49"/>
  <c r="B38" i="37" s="1"/>
  <c r="B38" i="49"/>
  <c r="B39" i="37" s="1"/>
  <c r="B39" i="49"/>
  <c r="B40" i="37" s="1"/>
  <c r="B40" i="49"/>
  <c r="B41" i="37" s="1"/>
  <c r="B41" i="49"/>
  <c r="B42" i="37" s="1"/>
  <c r="B42" i="49"/>
  <c r="B43" i="37" s="1"/>
  <c r="B43" i="49"/>
  <c r="B44" i="37" s="1"/>
  <c r="B44" i="49"/>
  <c r="B45" i="37" s="1"/>
  <c r="B45" i="49"/>
  <c r="B46" i="37" s="1"/>
  <c r="B46" i="49"/>
  <c r="B47" i="37" s="1"/>
  <c r="B47" i="49"/>
  <c r="B48" i="37" s="1"/>
  <c r="B48" i="49"/>
  <c r="B49" i="37" s="1"/>
  <c r="B49" i="49"/>
  <c r="B50" i="37" s="1"/>
  <c r="B50" i="49"/>
  <c r="B51" i="37" s="1"/>
  <c r="B51" i="49"/>
  <c r="B52" i="37" s="1"/>
  <c r="B52" i="49"/>
  <c r="B53" i="37" s="1"/>
  <c r="B53" i="49"/>
  <c r="B54" i="37" s="1"/>
  <c r="B54" i="49"/>
  <c r="B55" i="37" s="1"/>
  <c r="B55" i="49"/>
  <c r="B56" i="37" s="1"/>
  <c r="B56" i="49"/>
  <c r="B57" i="37" s="1"/>
  <c r="B57" i="49"/>
  <c r="B58" i="37" s="1"/>
  <c r="B58" i="49"/>
  <c r="B59" i="37" s="1"/>
  <c r="B59" i="49"/>
  <c r="B60" i="37" s="1"/>
  <c r="B60" i="49"/>
  <c r="B61" i="37" s="1"/>
  <c r="B61" i="49"/>
  <c r="B62" i="37" s="1"/>
  <c r="B62" i="49"/>
  <c r="B63" i="37" s="1"/>
  <c r="B63" i="49"/>
  <c r="B64" i="37" s="1"/>
  <c r="B64" i="49"/>
  <c r="B65" i="37" s="1"/>
  <c r="B65" i="49"/>
  <c r="B66" i="37" s="1"/>
  <c r="B66" i="49"/>
  <c r="B67" i="37" s="1"/>
  <c r="B67" i="49"/>
  <c r="B68" i="37" s="1"/>
  <c r="B68" i="49"/>
  <c r="B69" i="37" s="1"/>
  <c r="B69" i="49"/>
  <c r="B70" i="37" s="1"/>
  <c r="B70" i="49"/>
  <c r="B71" i="37" s="1"/>
  <c r="B71" i="49"/>
  <c r="B72" i="37" s="1"/>
  <c r="B72" i="49"/>
  <c r="B73" i="37" s="1"/>
  <c r="B15" i="49"/>
  <c r="B16" i="37" s="1"/>
  <c r="B16" i="48"/>
  <c r="B17" i="36" s="1"/>
  <c r="B17" i="48"/>
  <c r="B18" i="36" s="1"/>
  <c r="B18" i="48"/>
  <c r="B19" i="36" s="1"/>
  <c r="B19" i="48"/>
  <c r="B20" i="36" s="1"/>
  <c r="B20" i="48"/>
  <c r="B21" i="36" s="1"/>
  <c r="B21" i="48"/>
  <c r="B22" i="36" s="1"/>
  <c r="B22" i="48"/>
  <c r="B23" i="36" s="1"/>
  <c r="B23" i="48"/>
  <c r="B24" i="36" s="1"/>
  <c r="B24" i="48"/>
  <c r="B25" i="36" s="1"/>
  <c r="B25" i="48"/>
  <c r="B26" i="36" s="1"/>
  <c r="B26" i="48"/>
  <c r="B27" i="36" s="1"/>
  <c r="B27" i="48"/>
  <c r="B28" i="36" s="1"/>
  <c r="B28" i="48"/>
  <c r="B29" i="36" s="1"/>
  <c r="B29" i="48"/>
  <c r="B30" i="36" s="1"/>
  <c r="B30" i="48"/>
  <c r="B31" i="36" s="1"/>
  <c r="B31" i="48"/>
  <c r="B32" i="36" s="1"/>
  <c r="B32" i="48"/>
  <c r="B33" i="36" s="1"/>
  <c r="B33" i="48"/>
  <c r="B34" i="36" s="1"/>
  <c r="B34" i="48"/>
  <c r="B35" i="36" s="1"/>
  <c r="B35" i="48"/>
  <c r="B36" i="36" s="1"/>
  <c r="B36" i="48"/>
  <c r="B37" i="36" s="1"/>
  <c r="B37" i="48"/>
  <c r="B38" i="36" s="1"/>
  <c r="B38" i="48"/>
  <c r="B39" i="36" s="1"/>
  <c r="B39" i="48"/>
  <c r="B40" i="36" s="1"/>
  <c r="B40" i="48"/>
  <c r="B41" i="36" s="1"/>
  <c r="B41" i="48"/>
  <c r="B42" i="36" s="1"/>
  <c r="B42" i="48"/>
  <c r="B43" i="36" s="1"/>
  <c r="B43" i="48"/>
  <c r="B44" i="36" s="1"/>
  <c r="B44" i="48"/>
  <c r="B45" i="36" s="1"/>
  <c r="B45" i="48"/>
  <c r="B46" i="36" s="1"/>
  <c r="B46" i="48"/>
  <c r="B47" i="36" s="1"/>
  <c r="B47" i="48"/>
  <c r="B48" i="36" s="1"/>
  <c r="B48" i="48"/>
  <c r="B49" i="36" s="1"/>
  <c r="B49" i="48"/>
  <c r="B50" i="36" s="1"/>
  <c r="B50" i="48"/>
  <c r="B51" i="36" s="1"/>
  <c r="B51" i="48"/>
  <c r="B52" i="36" s="1"/>
  <c r="B52" i="48"/>
  <c r="B53" i="36" s="1"/>
  <c r="B53" i="48"/>
  <c r="B54" i="36" s="1"/>
  <c r="B54" i="48"/>
  <c r="B55" i="36" s="1"/>
  <c r="B55" i="48"/>
  <c r="B56" i="36" s="1"/>
  <c r="B56" i="48"/>
  <c r="B57" i="36" s="1"/>
  <c r="B57" i="48"/>
  <c r="B58" i="36" s="1"/>
  <c r="B58" i="48"/>
  <c r="B59" i="36" s="1"/>
  <c r="B59" i="48"/>
  <c r="B60" i="48"/>
  <c r="B61" i="48"/>
  <c r="B62" i="48"/>
  <c r="B63" i="48"/>
  <c r="B64" i="48"/>
  <c r="B65" i="48"/>
  <c r="B66" i="48"/>
  <c r="B67" i="48"/>
  <c r="B68" i="36" s="1"/>
  <c r="B68" i="48"/>
  <c r="B69" i="36" s="1"/>
  <c r="B69" i="48"/>
  <c r="B70" i="36" s="1"/>
  <c r="B70" i="48"/>
  <c r="B71" i="36" s="1"/>
  <c r="B71" i="48"/>
  <c r="B72" i="36" s="1"/>
  <c r="B72" i="48"/>
  <c r="B73" i="36" s="1"/>
  <c r="B15" i="48"/>
  <c r="Z16" i="48"/>
  <c r="Z17" i="48"/>
  <c r="Z18" i="48"/>
  <c r="Z19" i="48"/>
  <c r="Z20" i="48"/>
  <c r="Z21" i="48"/>
  <c r="Z22" i="48"/>
  <c r="Z23" i="48"/>
  <c r="Z24" i="48"/>
  <c r="Z25" i="48"/>
  <c r="Z26" i="48"/>
  <c r="Z27" i="48"/>
  <c r="Z28" i="48"/>
  <c r="Z29" i="48"/>
  <c r="Z30" i="48"/>
  <c r="Z31" i="48"/>
  <c r="Z32" i="48"/>
  <c r="Z33" i="48"/>
  <c r="Z34" i="48"/>
  <c r="Z35" i="48"/>
  <c r="Z36" i="48"/>
  <c r="Z37" i="48"/>
  <c r="Z38" i="48"/>
  <c r="Z39" i="48"/>
  <c r="Z40" i="48"/>
  <c r="Z41" i="48"/>
  <c r="Z42" i="48"/>
  <c r="Z43" i="48"/>
  <c r="Z44" i="48"/>
  <c r="Z45" i="48"/>
  <c r="Z46" i="48"/>
  <c r="Z47" i="48"/>
  <c r="Z48" i="48"/>
  <c r="Z49" i="48"/>
  <c r="Z50" i="48"/>
  <c r="Z51" i="48"/>
  <c r="Z52" i="48"/>
  <c r="Z53" i="48"/>
  <c r="Z54" i="48"/>
  <c r="Z55" i="48"/>
  <c r="Z56" i="48"/>
  <c r="Z57" i="48"/>
  <c r="Z58" i="48"/>
  <c r="Z59" i="48"/>
  <c r="Z60" i="48"/>
  <c r="Z61" i="48"/>
  <c r="Z62" i="48"/>
  <c r="Z63" i="48"/>
  <c r="Z64" i="48"/>
  <c r="Z65" i="48"/>
  <c r="Z66" i="48"/>
  <c r="Z67" i="48"/>
  <c r="Z68" i="48"/>
  <c r="Z69" i="48"/>
  <c r="Z70" i="48"/>
  <c r="Z71" i="48"/>
  <c r="Z72" i="48"/>
  <c r="Z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56" i="48"/>
  <c r="W57" i="48"/>
  <c r="W58" i="48"/>
  <c r="W59" i="48"/>
  <c r="W60" i="48"/>
  <c r="W61" i="48"/>
  <c r="W62" i="48"/>
  <c r="W63" i="48"/>
  <c r="W64" i="48"/>
  <c r="W65" i="48"/>
  <c r="W66" i="48"/>
  <c r="W67" i="48"/>
  <c r="W68" i="48"/>
  <c r="W69" i="48"/>
  <c r="W70" i="48"/>
  <c r="W71" i="48"/>
  <c r="W72" i="48"/>
  <c r="W15" i="48"/>
  <c r="Y16" i="48"/>
  <c r="Y17" i="48"/>
  <c r="Y18" i="48"/>
  <c r="Y19" i="48"/>
  <c r="Y20" i="48"/>
  <c r="Y21" i="48"/>
  <c r="Y22" i="48"/>
  <c r="Y23" i="48"/>
  <c r="Y24" i="48"/>
  <c r="Y25" i="48"/>
  <c r="Y26" i="48"/>
  <c r="Y27" i="48"/>
  <c r="Y28" i="48"/>
  <c r="Y29" i="48"/>
  <c r="Y30" i="48"/>
  <c r="Y31" i="48"/>
  <c r="Y32" i="48"/>
  <c r="Y33" i="48"/>
  <c r="Y34" i="48"/>
  <c r="Y35" i="48"/>
  <c r="Y36" i="48"/>
  <c r="Y37" i="48"/>
  <c r="Y38" i="48"/>
  <c r="Y39" i="48"/>
  <c r="Y40" i="48"/>
  <c r="Y41" i="48"/>
  <c r="Y42" i="48"/>
  <c r="Y43" i="48"/>
  <c r="Y44" i="48"/>
  <c r="Y45" i="48"/>
  <c r="Y46" i="48"/>
  <c r="Y47" i="48"/>
  <c r="Y48" i="48"/>
  <c r="Y49" i="48"/>
  <c r="Y50" i="48"/>
  <c r="Y51" i="48"/>
  <c r="Y52" i="48"/>
  <c r="Y53" i="48"/>
  <c r="Y54" i="48"/>
  <c r="Y55" i="48"/>
  <c r="Y56" i="48"/>
  <c r="Y57" i="48"/>
  <c r="Y58" i="48"/>
  <c r="Y59" i="48"/>
  <c r="Y60" i="48"/>
  <c r="Y61" i="48"/>
  <c r="Y62" i="48"/>
  <c r="Y63" i="48"/>
  <c r="Y64" i="48"/>
  <c r="Y65" i="48"/>
  <c r="Y66" i="48"/>
  <c r="Y67" i="48"/>
  <c r="Y68" i="48"/>
  <c r="Y69" i="48"/>
  <c r="Y70" i="48"/>
  <c r="Y71" i="48"/>
  <c r="Y72" i="48"/>
  <c r="V16" i="48"/>
  <c r="V17" i="48"/>
  <c r="V18" i="48"/>
  <c r="V19" i="48"/>
  <c r="V20" i="48"/>
  <c r="V21" i="48"/>
  <c r="V22" i="48"/>
  <c r="V23" i="48"/>
  <c r="V24" i="48"/>
  <c r="V25" i="48"/>
  <c r="V26" i="48"/>
  <c r="V27" i="48"/>
  <c r="V28" i="48"/>
  <c r="V29" i="48"/>
  <c r="V30" i="48"/>
  <c r="V31" i="48"/>
  <c r="V32" i="48"/>
  <c r="V33" i="48"/>
  <c r="V34" i="48"/>
  <c r="V35" i="48"/>
  <c r="V36" i="48"/>
  <c r="V37" i="48"/>
  <c r="V38" i="48"/>
  <c r="V39" i="48"/>
  <c r="V40" i="48"/>
  <c r="V41" i="48"/>
  <c r="V42" i="48"/>
  <c r="V43" i="48"/>
  <c r="V44" i="48"/>
  <c r="V45" i="48"/>
  <c r="V46" i="48"/>
  <c r="V47" i="48"/>
  <c r="V48" i="48"/>
  <c r="V49" i="48"/>
  <c r="V50" i="48"/>
  <c r="V51" i="48"/>
  <c r="V52" i="48"/>
  <c r="V53" i="48"/>
  <c r="V54" i="48"/>
  <c r="V55" i="48"/>
  <c r="V56" i="48"/>
  <c r="V57" i="48"/>
  <c r="V58" i="48"/>
  <c r="V59" i="48"/>
  <c r="V60" i="48"/>
  <c r="V61" i="48"/>
  <c r="V62" i="48"/>
  <c r="V63" i="48"/>
  <c r="V64" i="48"/>
  <c r="V65" i="48"/>
  <c r="V66" i="48"/>
  <c r="V67" i="48"/>
  <c r="V68" i="48"/>
  <c r="V69" i="48"/>
  <c r="V70" i="48"/>
  <c r="V71" i="48"/>
  <c r="V72" i="48"/>
  <c r="Y15" i="48"/>
  <c r="V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N16" i="48"/>
  <c r="N17" i="48"/>
  <c r="N18" i="48"/>
  <c r="N19" i="48"/>
  <c r="N20" i="48"/>
  <c r="N21" i="48"/>
  <c r="N22" i="48"/>
  <c r="N23" i="48"/>
  <c r="N24" i="48"/>
  <c r="N25" i="48"/>
  <c r="N26" i="48"/>
  <c r="N27" i="48"/>
  <c r="N28" i="48"/>
  <c r="N29" i="48"/>
  <c r="N30" i="48"/>
  <c r="N31" i="48"/>
  <c r="N32" i="48"/>
  <c r="N33" i="48"/>
  <c r="N34" i="48"/>
  <c r="N35" i="48"/>
  <c r="N36" i="48"/>
  <c r="N37" i="48"/>
  <c r="N38" i="48"/>
  <c r="N39" i="48"/>
  <c r="N40" i="48"/>
  <c r="N41" i="48"/>
  <c r="N42" i="48"/>
  <c r="N43" i="48"/>
  <c r="N44" i="48"/>
  <c r="N45" i="48"/>
  <c r="N46" i="48"/>
  <c r="N47" i="48"/>
  <c r="N48" i="48"/>
  <c r="N49" i="48"/>
  <c r="N50" i="48"/>
  <c r="N51" i="48"/>
  <c r="N52" i="48"/>
  <c r="N53" i="48"/>
  <c r="N54" i="48"/>
  <c r="N55" i="48"/>
  <c r="N56" i="48"/>
  <c r="N57" i="48"/>
  <c r="N58" i="48"/>
  <c r="N59" i="48"/>
  <c r="N60" i="48"/>
  <c r="N61" i="48"/>
  <c r="N62" i="48"/>
  <c r="N63" i="48"/>
  <c r="N64" i="48"/>
  <c r="N65" i="48"/>
  <c r="N66" i="48"/>
  <c r="N67" i="48"/>
  <c r="N68" i="48"/>
  <c r="N69" i="48"/>
  <c r="N70" i="48"/>
  <c r="N71" i="48"/>
  <c r="N72" i="48"/>
  <c r="N15" i="48"/>
  <c r="G21" i="48"/>
  <c r="G16" i="48"/>
  <c r="G17" i="48"/>
  <c r="G18" i="48"/>
  <c r="G19" i="48"/>
  <c r="G20"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15" i="48"/>
  <c r="H67" i="48" l="1"/>
  <c r="F68" i="36" s="1"/>
  <c r="H64" i="48"/>
  <c r="F65" i="36" s="1"/>
  <c r="H69" i="48"/>
  <c r="F70" i="36" s="1"/>
  <c r="P71" i="48"/>
  <c r="J72" i="36" s="1"/>
  <c r="H70" i="48"/>
  <c r="F71" i="36" s="1"/>
  <c r="P66" i="48"/>
  <c r="J67" i="36" s="1"/>
  <c r="X72" i="48"/>
  <c r="N73" i="36" s="1"/>
  <c r="H53" i="48"/>
  <c r="F54" i="36" s="1"/>
  <c r="X71" i="48"/>
  <c r="N72" i="36" s="1"/>
  <c r="P64" i="48"/>
  <c r="J65" i="36" s="1"/>
  <c r="H51" i="48"/>
  <c r="F52" i="36" s="1"/>
  <c r="P63" i="48"/>
  <c r="J64" i="36" s="1"/>
  <c r="P47" i="48"/>
  <c r="J48" i="36" s="1"/>
  <c r="X69" i="48"/>
  <c r="N70" i="36" s="1"/>
  <c r="X45" i="48"/>
  <c r="N46" i="36" s="1"/>
  <c r="P72" i="48"/>
  <c r="J73" i="36" s="1"/>
  <c r="X53" i="48"/>
  <c r="N54" i="36" s="1"/>
  <c r="H61" i="48"/>
  <c r="F62" i="36" s="1"/>
  <c r="P57" i="48"/>
  <c r="J58" i="36" s="1"/>
  <c r="X63" i="48"/>
  <c r="N64" i="36" s="1"/>
  <c r="H72" i="48"/>
  <c r="F73" i="36" s="1"/>
  <c r="P56" i="48"/>
  <c r="J57" i="36" s="1"/>
  <c r="X62" i="48"/>
  <c r="N63" i="36" s="1"/>
  <c r="H59" i="48"/>
  <c r="F60" i="36" s="1"/>
  <c r="P55" i="48"/>
  <c r="J56" i="36" s="1"/>
  <c r="X61" i="48"/>
  <c r="N62" i="36" s="1"/>
  <c r="X37" i="48"/>
  <c r="N38" i="36" s="1"/>
  <c r="P65" i="48"/>
  <c r="J66" i="36" s="1"/>
  <c r="X70" i="48"/>
  <c r="N71" i="36" s="1"/>
  <c r="X72" i="49"/>
  <c r="N73" i="37" s="1"/>
  <c r="X71" i="49"/>
  <c r="N72" i="37" s="1"/>
  <c r="P31" i="48"/>
  <c r="J32" i="36" s="1"/>
  <c r="P39" i="48"/>
  <c r="J40" i="36" s="1"/>
  <c r="P23" i="48"/>
  <c r="J24" i="36" s="1"/>
  <c r="X29" i="48"/>
  <c r="N30" i="36" s="1"/>
  <c r="H43" i="48"/>
  <c r="F44" i="36" s="1"/>
  <c r="H15" i="48"/>
  <c r="F16" i="36" s="1"/>
  <c r="X21" i="48"/>
  <c r="N22" i="36" s="1"/>
  <c r="H27" i="48"/>
  <c r="F28" i="36" s="1"/>
  <c r="H35" i="48"/>
  <c r="F36" i="36" s="1"/>
  <c r="AA34" i="49"/>
  <c r="O35" i="37" s="1"/>
  <c r="H18" i="48"/>
  <c r="H66" i="48"/>
  <c r="F67" i="36" s="1"/>
  <c r="H58" i="48"/>
  <c r="F59" i="36" s="1"/>
  <c r="H50" i="48"/>
  <c r="F51" i="36" s="1"/>
  <c r="H42" i="48"/>
  <c r="F43" i="36" s="1"/>
  <c r="H34" i="48"/>
  <c r="F35" i="36" s="1"/>
  <c r="H26" i="48"/>
  <c r="F27" i="36" s="1"/>
  <c r="H17" i="48"/>
  <c r="F18" i="36" s="1"/>
  <c r="P70" i="48"/>
  <c r="J71" i="36" s="1"/>
  <c r="P62" i="48"/>
  <c r="J63" i="36" s="1"/>
  <c r="P54" i="48"/>
  <c r="J55" i="36" s="1"/>
  <c r="P46" i="48"/>
  <c r="J47" i="36" s="1"/>
  <c r="P38" i="48"/>
  <c r="J39" i="36" s="1"/>
  <c r="P30" i="48"/>
  <c r="J31" i="36" s="1"/>
  <c r="P22" i="48"/>
  <c r="J23" i="36" s="1"/>
  <c r="X68" i="48"/>
  <c r="N69" i="36" s="1"/>
  <c r="X60" i="48"/>
  <c r="N61" i="36" s="1"/>
  <c r="X52" i="48"/>
  <c r="N53" i="36" s="1"/>
  <c r="X44" i="48"/>
  <c r="N45" i="36" s="1"/>
  <c r="X36" i="48"/>
  <c r="N37" i="36" s="1"/>
  <c r="X28" i="48"/>
  <c r="N29" i="36" s="1"/>
  <c r="X20" i="48"/>
  <c r="N21" i="36" s="1"/>
  <c r="P62" i="49"/>
  <c r="J63" i="37" s="1"/>
  <c r="X69" i="49"/>
  <c r="N70" i="37" s="1"/>
  <c r="H65" i="48"/>
  <c r="F66" i="36" s="1"/>
  <c r="H57" i="48"/>
  <c r="F58" i="36" s="1"/>
  <c r="H49" i="48"/>
  <c r="F50" i="36" s="1"/>
  <c r="H41" i="48"/>
  <c r="F42" i="36" s="1"/>
  <c r="H33" i="48"/>
  <c r="F34" i="36" s="1"/>
  <c r="H25" i="48"/>
  <c r="F26" i="36" s="1"/>
  <c r="H16" i="48"/>
  <c r="F17" i="36" s="1"/>
  <c r="P69" i="48"/>
  <c r="J70" i="36" s="1"/>
  <c r="P61" i="48"/>
  <c r="J62" i="36" s="1"/>
  <c r="P53" i="48"/>
  <c r="J54" i="36" s="1"/>
  <c r="P45" i="48"/>
  <c r="J46" i="36" s="1"/>
  <c r="P37" i="48"/>
  <c r="J38" i="36" s="1"/>
  <c r="P29" i="48"/>
  <c r="J30" i="36" s="1"/>
  <c r="P21" i="48"/>
  <c r="J22" i="36" s="1"/>
  <c r="X67" i="48"/>
  <c r="N68" i="36" s="1"/>
  <c r="X59" i="48"/>
  <c r="N60" i="36" s="1"/>
  <c r="X51" i="48"/>
  <c r="N52" i="36" s="1"/>
  <c r="X43" i="48"/>
  <c r="N44" i="36" s="1"/>
  <c r="X35" i="48"/>
  <c r="N36" i="36" s="1"/>
  <c r="X27" i="48"/>
  <c r="N28" i="36" s="1"/>
  <c r="X19" i="48"/>
  <c r="N20" i="36" s="1"/>
  <c r="F73" i="48"/>
  <c r="H56" i="48"/>
  <c r="F57" i="36" s="1"/>
  <c r="H48" i="48"/>
  <c r="F49" i="36" s="1"/>
  <c r="H40" i="48"/>
  <c r="F41" i="36" s="1"/>
  <c r="H32" i="48"/>
  <c r="F33" i="36" s="1"/>
  <c r="H24" i="48"/>
  <c r="F25" i="36" s="1"/>
  <c r="H21" i="48"/>
  <c r="P68" i="48"/>
  <c r="J69" i="36" s="1"/>
  <c r="P60" i="48"/>
  <c r="J61" i="36" s="1"/>
  <c r="P52" i="48"/>
  <c r="J53" i="36" s="1"/>
  <c r="P44" i="48"/>
  <c r="J45" i="36" s="1"/>
  <c r="P36" i="48"/>
  <c r="J37" i="36" s="1"/>
  <c r="P28" i="48"/>
  <c r="J29" i="36" s="1"/>
  <c r="P20" i="48"/>
  <c r="J21" i="36" s="1"/>
  <c r="X66" i="48"/>
  <c r="N67" i="36" s="1"/>
  <c r="X58" i="48"/>
  <c r="N59" i="36" s="1"/>
  <c r="X50" i="48"/>
  <c r="N51" i="36" s="1"/>
  <c r="X42" i="48"/>
  <c r="N43" i="36" s="1"/>
  <c r="X34" i="48"/>
  <c r="N35" i="36" s="1"/>
  <c r="X26" i="48"/>
  <c r="N27" i="36" s="1"/>
  <c r="X18" i="48"/>
  <c r="N19" i="36" s="1"/>
  <c r="P28" i="49"/>
  <c r="J29" i="37" s="1"/>
  <c r="H71" i="48"/>
  <c r="F72" i="36" s="1"/>
  <c r="H63" i="48"/>
  <c r="F64" i="36" s="1"/>
  <c r="H55" i="48"/>
  <c r="F56" i="36" s="1"/>
  <c r="H47" i="48"/>
  <c r="F48" i="36" s="1"/>
  <c r="H39" i="48"/>
  <c r="F40" i="36" s="1"/>
  <c r="H31" i="48"/>
  <c r="F32" i="36" s="1"/>
  <c r="H23" i="48"/>
  <c r="F24" i="36" s="1"/>
  <c r="P67" i="48"/>
  <c r="J68" i="36" s="1"/>
  <c r="P59" i="48"/>
  <c r="J60" i="36" s="1"/>
  <c r="P51" i="48"/>
  <c r="J52" i="36" s="1"/>
  <c r="P43" i="48"/>
  <c r="J44" i="36" s="1"/>
  <c r="P35" i="48"/>
  <c r="J36" i="36" s="1"/>
  <c r="P27" i="48"/>
  <c r="J28" i="36" s="1"/>
  <c r="P19" i="48"/>
  <c r="X15" i="48"/>
  <c r="N16" i="36" s="1"/>
  <c r="X65" i="48"/>
  <c r="N66" i="36" s="1"/>
  <c r="X57" i="48"/>
  <c r="N58" i="36" s="1"/>
  <c r="X49" i="48"/>
  <c r="N50" i="36" s="1"/>
  <c r="X41" i="48"/>
  <c r="N42" i="36" s="1"/>
  <c r="X33" i="48"/>
  <c r="N34" i="36" s="1"/>
  <c r="X25" i="48"/>
  <c r="N26" i="36" s="1"/>
  <c r="X17" i="48"/>
  <c r="N18" i="36" s="1"/>
  <c r="H62" i="48"/>
  <c r="F63" i="36" s="1"/>
  <c r="H54" i="48"/>
  <c r="F55" i="36" s="1"/>
  <c r="H46" i="48"/>
  <c r="F47" i="36" s="1"/>
  <c r="H38" i="48"/>
  <c r="F39" i="36" s="1"/>
  <c r="H30" i="48"/>
  <c r="F31" i="36" s="1"/>
  <c r="H22" i="48"/>
  <c r="F23" i="36" s="1"/>
  <c r="P58" i="48"/>
  <c r="J59" i="36" s="1"/>
  <c r="P50" i="48"/>
  <c r="J51" i="36" s="1"/>
  <c r="P42" i="48"/>
  <c r="J43" i="36" s="1"/>
  <c r="P34" i="48"/>
  <c r="J35" i="36" s="1"/>
  <c r="P26" i="48"/>
  <c r="J27" i="36" s="1"/>
  <c r="P18" i="48"/>
  <c r="J19" i="36" s="1"/>
  <c r="X64" i="48"/>
  <c r="N65" i="36" s="1"/>
  <c r="X56" i="48"/>
  <c r="N57" i="36" s="1"/>
  <c r="X48" i="48"/>
  <c r="N49" i="36" s="1"/>
  <c r="X40" i="48"/>
  <c r="N41" i="36" s="1"/>
  <c r="X32" i="48"/>
  <c r="N33" i="36" s="1"/>
  <c r="X24" i="48"/>
  <c r="N25" i="36" s="1"/>
  <c r="X16" i="48"/>
  <c r="N17" i="36" s="1"/>
  <c r="H45" i="48"/>
  <c r="F46" i="36" s="1"/>
  <c r="H37" i="48"/>
  <c r="F38" i="36" s="1"/>
  <c r="H29" i="48"/>
  <c r="F30" i="36" s="1"/>
  <c r="H20" i="48"/>
  <c r="F21" i="36" s="1"/>
  <c r="P49" i="48"/>
  <c r="J50" i="36" s="1"/>
  <c r="P41" i="48"/>
  <c r="J42" i="36" s="1"/>
  <c r="P33" i="48"/>
  <c r="J34" i="36" s="1"/>
  <c r="P25" i="48"/>
  <c r="J26" i="36" s="1"/>
  <c r="P17" i="48"/>
  <c r="J18" i="36" s="1"/>
  <c r="X55" i="48"/>
  <c r="N56" i="36" s="1"/>
  <c r="X47" i="48"/>
  <c r="N48" i="36" s="1"/>
  <c r="X39" i="48"/>
  <c r="N40" i="36" s="1"/>
  <c r="X31" i="48"/>
  <c r="N32" i="36" s="1"/>
  <c r="X23" i="48"/>
  <c r="N24" i="36" s="1"/>
  <c r="X56" i="49"/>
  <c r="N57" i="37" s="1"/>
  <c r="H68" i="48"/>
  <c r="F69" i="36" s="1"/>
  <c r="H60" i="48"/>
  <c r="F61" i="36" s="1"/>
  <c r="H52" i="48"/>
  <c r="F53" i="36" s="1"/>
  <c r="H44" i="48"/>
  <c r="F45" i="36" s="1"/>
  <c r="H36" i="48"/>
  <c r="F37" i="36" s="1"/>
  <c r="H28" i="48"/>
  <c r="F29" i="36" s="1"/>
  <c r="H19" i="48"/>
  <c r="F20" i="36" s="1"/>
  <c r="P48" i="48"/>
  <c r="J49" i="36" s="1"/>
  <c r="P40" i="48"/>
  <c r="J41" i="36" s="1"/>
  <c r="P32" i="48"/>
  <c r="J33" i="36" s="1"/>
  <c r="P24" i="48"/>
  <c r="J25" i="36" s="1"/>
  <c r="P16" i="48"/>
  <c r="J17" i="36" s="1"/>
  <c r="X54" i="48"/>
  <c r="N55" i="36" s="1"/>
  <c r="X46" i="48"/>
  <c r="N47" i="36" s="1"/>
  <c r="X38" i="48"/>
  <c r="N39" i="36" s="1"/>
  <c r="X30" i="48"/>
  <c r="N31" i="36" s="1"/>
  <c r="X22" i="48"/>
  <c r="N23" i="36" s="1"/>
  <c r="O167" i="38"/>
  <c r="Y167" i="38"/>
  <c r="AA67" i="48"/>
  <c r="O68" i="36" s="1"/>
  <c r="AA59" i="48"/>
  <c r="O60" i="36" s="1"/>
  <c r="AA51" i="48"/>
  <c r="O52" i="36" s="1"/>
  <c r="AA43" i="48"/>
  <c r="O44" i="36" s="1"/>
  <c r="AA35" i="48"/>
  <c r="O36" i="36" s="1"/>
  <c r="AA27" i="48"/>
  <c r="O28" i="36" s="1"/>
  <c r="AA19" i="48"/>
  <c r="O20" i="36" s="1"/>
  <c r="AA66" i="48"/>
  <c r="O67" i="36" s="1"/>
  <c r="AA58" i="48"/>
  <c r="O59" i="36" s="1"/>
  <c r="AA50" i="48"/>
  <c r="O51" i="36" s="1"/>
  <c r="AA42" i="48"/>
  <c r="O43" i="36" s="1"/>
  <c r="AA34" i="48"/>
  <c r="O35" i="36" s="1"/>
  <c r="AA26" i="48"/>
  <c r="O27" i="36" s="1"/>
  <c r="AA18" i="48"/>
  <c r="O19" i="36" s="1"/>
  <c r="AA15" i="48"/>
  <c r="O16" i="36" s="1"/>
  <c r="AA65" i="48"/>
  <c r="O66" i="36" s="1"/>
  <c r="AA57" i="48"/>
  <c r="O58" i="36" s="1"/>
  <c r="AA49" i="48"/>
  <c r="O50" i="36" s="1"/>
  <c r="AA41" i="48"/>
  <c r="O42" i="36" s="1"/>
  <c r="AA33" i="48"/>
  <c r="O34" i="36" s="1"/>
  <c r="AA25" i="48"/>
  <c r="O26" i="36" s="1"/>
  <c r="AA17" i="48"/>
  <c r="O18" i="36" s="1"/>
  <c r="AA72" i="48"/>
  <c r="O73" i="36" s="1"/>
  <c r="AA64" i="48"/>
  <c r="O65" i="36" s="1"/>
  <c r="AA56" i="48"/>
  <c r="O57" i="36" s="1"/>
  <c r="AA48" i="48"/>
  <c r="O49" i="36" s="1"/>
  <c r="AA40" i="48"/>
  <c r="O41" i="36" s="1"/>
  <c r="AA32" i="48"/>
  <c r="O33" i="36" s="1"/>
  <c r="AA24" i="48"/>
  <c r="O25" i="36" s="1"/>
  <c r="AA16" i="48"/>
  <c r="O17" i="36" s="1"/>
  <c r="AA71" i="48"/>
  <c r="O72" i="36" s="1"/>
  <c r="AA63" i="48"/>
  <c r="O64" i="36" s="1"/>
  <c r="AA55" i="48"/>
  <c r="O56" i="36" s="1"/>
  <c r="AA47" i="48"/>
  <c r="O48" i="36" s="1"/>
  <c r="AA39" i="48"/>
  <c r="O40" i="36" s="1"/>
  <c r="AA31" i="48"/>
  <c r="O32" i="36" s="1"/>
  <c r="AA23" i="48"/>
  <c r="O24" i="36" s="1"/>
  <c r="AA70" i="48"/>
  <c r="O71" i="36" s="1"/>
  <c r="AA62" i="48"/>
  <c r="O63" i="36" s="1"/>
  <c r="AA54" i="48"/>
  <c r="O55" i="36" s="1"/>
  <c r="AA46" i="48"/>
  <c r="O47" i="36" s="1"/>
  <c r="AA38" i="48"/>
  <c r="O39" i="36" s="1"/>
  <c r="AA30" i="48"/>
  <c r="O31" i="36" s="1"/>
  <c r="AA22" i="48"/>
  <c r="O23" i="36" s="1"/>
  <c r="AA69" i="48"/>
  <c r="O70" i="36" s="1"/>
  <c r="AA61" i="48"/>
  <c r="O62" i="36" s="1"/>
  <c r="AA53" i="48"/>
  <c r="O54" i="36" s="1"/>
  <c r="AA45" i="48"/>
  <c r="O46" i="36" s="1"/>
  <c r="AA37" i="48"/>
  <c r="O38" i="36" s="1"/>
  <c r="AA29" i="48"/>
  <c r="O30" i="36" s="1"/>
  <c r="AA21" i="48"/>
  <c r="O22" i="36" s="1"/>
  <c r="AA68" i="48"/>
  <c r="O69" i="36" s="1"/>
  <c r="AA60" i="48"/>
  <c r="O61" i="36" s="1"/>
  <c r="AA52" i="48"/>
  <c r="O53" i="36" s="1"/>
  <c r="AA44" i="48"/>
  <c r="O45" i="36" s="1"/>
  <c r="AA36" i="48"/>
  <c r="O37" i="36" s="1"/>
  <c r="AA28" i="48"/>
  <c r="O29" i="36" s="1"/>
  <c r="AA20" i="48"/>
  <c r="O21" i="36" s="1"/>
  <c r="AA51" i="49"/>
  <c r="O52" i="37" s="1"/>
  <c r="AA57" i="49"/>
  <c r="O58" i="37" s="1"/>
  <c r="AA33" i="49"/>
  <c r="O34" i="37" s="1"/>
  <c r="H24" i="49"/>
  <c r="H16" i="49"/>
  <c r="X27" i="49"/>
  <c r="N28" i="37" s="1"/>
  <c r="AA52" i="49"/>
  <c r="O53" i="37" s="1"/>
  <c r="AA28" i="49"/>
  <c r="O29" i="37" s="1"/>
  <c r="X45" i="49"/>
  <c r="N46" i="37" s="1"/>
  <c r="X21" i="49"/>
  <c r="N22" i="37" s="1"/>
  <c r="AA46" i="49"/>
  <c r="O47" i="37" s="1"/>
  <c r="AA22" i="49"/>
  <c r="O23" i="37" s="1"/>
  <c r="H42" i="49"/>
  <c r="H18" i="49"/>
  <c r="P30" i="49"/>
  <c r="J31" i="37" s="1"/>
  <c r="X33" i="49"/>
  <c r="N34" i="37" s="1"/>
  <c r="H30" i="49"/>
  <c r="H21" i="49"/>
  <c r="P33" i="49"/>
  <c r="J34" i="37" s="1"/>
  <c r="H66" i="49"/>
  <c r="H45" i="49"/>
  <c r="P49" i="49"/>
  <c r="J50" i="37" s="1"/>
  <c r="AA63" i="49"/>
  <c r="O64" i="37" s="1"/>
  <c r="AA39" i="49"/>
  <c r="O40" i="37" s="1"/>
  <c r="H59" i="49"/>
  <c r="H51" i="49"/>
  <c r="H43" i="49"/>
  <c r="H35" i="49"/>
  <c r="H27" i="49"/>
  <c r="H19" i="49"/>
  <c r="P63" i="49"/>
  <c r="J64" i="37" s="1"/>
  <c r="P39" i="49"/>
  <c r="J40" i="37" s="1"/>
  <c r="X51" i="49"/>
  <c r="N52" i="37" s="1"/>
  <c r="H48" i="49"/>
  <c r="H40" i="49"/>
  <c r="X57" i="49"/>
  <c r="N58" i="37" s="1"/>
  <c r="H54" i="49"/>
  <c r="P42" i="49"/>
  <c r="J43" i="37" s="1"/>
  <c r="T167" i="38"/>
  <c r="AC167" i="38"/>
  <c r="H64" i="49"/>
  <c r="H69" i="49"/>
  <c r="P15" i="49"/>
  <c r="P65" i="49"/>
  <c r="J66" i="37" s="1"/>
  <c r="P57" i="49"/>
  <c r="J58" i="37" s="1"/>
  <c r="AA69" i="49"/>
  <c r="O70" i="37" s="1"/>
  <c r="AA45" i="49"/>
  <c r="O46" i="37" s="1"/>
  <c r="AA21" i="49"/>
  <c r="O22" i="37" s="1"/>
  <c r="H57" i="49"/>
  <c r="H33" i="49"/>
  <c r="P53" i="49"/>
  <c r="J54" i="37" s="1"/>
  <c r="P45" i="49"/>
  <c r="J46" i="37" s="1"/>
  <c r="P21" i="49"/>
  <c r="G73" i="48"/>
  <c r="O73" i="48"/>
  <c r="P15" i="48"/>
  <c r="P69" i="49"/>
  <c r="J70" i="37" s="1"/>
  <c r="H72" i="49"/>
  <c r="AA15" i="49"/>
  <c r="O16" i="37" s="1"/>
  <c r="H71" i="49"/>
  <c r="H63" i="49"/>
  <c r="H47" i="49"/>
  <c r="H39" i="49"/>
  <c r="H31" i="49"/>
  <c r="H23" i="49"/>
  <c r="P51" i="49"/>
  <c r="J52" i="37" s="1"/>
  <c r="P43" i="49"/>
  <c r="J44" i="37" s="1"/>
  <c r="P19" i="49"/>
  <c r="J20" i="37" s="1"/>
  <c r="P66" i="49"/>
  <c r="J67" i="37" s="1"/>
  <c r="X63" i="49"/>
  <c r="N64" i="37" s="1"/>
  <c r="X39" i="49"/>
  <c r="N40" i="37" s="1"/>
  <c r="AA40" i="49"/>
  <c r="O41" i="37" s="1"/>
  <c r="AA16" i="49"/>
  <c r="O17" i="37" s="1"/>
  <c r="H60" i="49"/>
  <c r="H52" i="49"/>
  <c r="H36" i="49"/>
  <c r="H28" i="49"/>
  <c r="H62" i="49"/>
  <c r="H50" i="49"/>
  <c r="H38" i="49"/>
  <c r="X15" i="49"/>
  <c r="N16" i="37" s="1"/>
  <c r="X70" i="49"/>
  <c r="N71" i="37" s="1"/>
  <c r="AA71" i="49"/>
  <c r="O72" i="37" s="1"/>
  <c r="H26" i="49"/>
  <c r="H15" i="49"/>
  <c r="H61" i="49"/>
  <c r="H49" i="49"/>
  <c r="H37" i="49"/>
  <c r="H25" i="49"/>
  <c r="X25" i="49"/>
  <c r="N26" i="37" s="1"/>
  <c r="AA24" i="49"/>
  <c r="O25" i="37" s="1"/>
  <c r="P68" i="49"/>
  <c r="J69" i="37" s="1"/>
  <c r="X35" i="49"/>
  <c r="N36" i="37" s="1"/>
  <c r="H70" i="49"/>
  <c r="P67" i="49"/>
  <c r="J68" i="37" s="1"/>
  <c r="H34" i="49"/>
  <c r="P55" i="49"/>
  <c r="J56" i="37" s="1"/>
  <c r="X66" i="49"/>
  <c r="N67" i="37" s="1"/>
  <c r="AA61" i="49"/>
  <c r="O62" i="37" s="1"/>
  <c r="H68" i="49"/>
  <c r="H56" i="49"/>
  <c r="H44" i="49"/>
  <c r="H32" i="49"/>
  <c r="H20" i="49"/>
  <c r="P29" i="49"/>
  <c r="J30" i="37" s="1"/>
  <c r="P17" i="49"/>
  <c r="J18" i="37" s="1"/>
  <c r="X65" i="49"/>
  <c r="N66" i="37" s="1"/>
  <c r="AA42" i="49"/>
  <c r="O43" i="37" s="1"/>
  <c r="H58" i="49"/>
  <c r="H46" i="49"/>
  <c r="H22" i="49"/>
  <c r="H67" i="49"/>
  <c r="H55" i="49"/>
  <c r="P64" i="49"/>
  <c r="J65" i="37" s="1"/>
  <c r="X53" i="49"/>
  <c r="N54" i="37" s="1"/>
  <c r="O73" i="49"/>
  <c r="P31" i="49"/>
  <c r="J32" i="37" s="1"/>
  <c r="AA27" i="49"/>
  <c r="O28" i="37" s="1"/>
  <c r="G73" i="49"/>
  <c r="H65" i="49"/>
  <c r="H41" i="49"/>
  <c r="H17" i="49"/>
  <c r="P71" i="49"/>
  <c r="J72" i="37" s="1"/>
  <c r="P56" i="49"/>
  <c r="J57" i="37" s="1"/>
  <c r="P27" i="49"/>
  <c r="J28" i="37" s="1"/>
  <c r="P20" i="49"/>
  <c r="J21" i="37" s="1"/>
  <c r="X55" i="49"/>
  <c r="N56" i="37" s="1"/>
  <c r="X34" i="49"/>
  <c r="N35" i="37" s="1"/>
  <c r="X24" i="49"/>
  <c r="N25" i="37" s="1"/>
  <c r="AA70" i="49"/>
  <c r="O71" i="37" s="1"/>
  <c r="AA60" i="49"/>
  <c r="O61" i="37" s="1"/>
  <c r="AA41" i="49"/>
  <c r="O42" i="37" s="1"/>
  <c r="AA23" i="49"/>
  <c r="O24" i="37" s="1"/>
  <c r="P70" i="49"/>
  <c r="J71" i="37" s="1"/>
  <c r="P48" i="49"/>
  <c r="J49" i="37" s="1"/>
  <c r="P41" i="49"/>
  <c r="J42" i="37" s="1"/>
  <c r="P34" i="49"/>
  <c r="J35" i="37" s="1"/>
  <c r="X64" i="49"/>
  <c r="N65" i="37" s="1"/>
  <c r="X54" i="49"/>
  <c r="N55" i="37" s="1"/>
  <c r="X44" i="49"/>
  <c r="N45" i="37" s="1"/>
  <c r="X23" i="49"/>
  <c r="N24" i="37" s="1"/>
  <c r="AA59" i="49"/>
  <c r="O60" i="37" s="1"/>
  <c r="AA50" i="49"/>
  <c r="O51" i="37" s="1"/>
  <c r="AA32" i="49"/>
  <c r="O33" i="37" s="1"/>
  <c r="P35" i="49"/>
  <c r="J36" i="37" s="1"/>
  <c r="P26" i="49"/>
  <c r="J27" i="37" s="1"/>
  <c r="X43" i="49"/>
  <c r="N44" i="37" s="1"/>
  <c r="X22" i="49"/>
  <c r="N23" i="37" s="1"/>
  <c r="AA58" i="49"/>
  <c r="O59" i="37" s="1"/>
  <c r="AA49" i="49"/>
  <c r="O50" i="37" s="1"/>
  <c r="AA31" i="49"/>
  <c r="O32" i="37" s="1"/>
  <c r="P61" i="49"/>
  <c r="J62" i="37" s="1"/>
  <c r="P54" i="49"/>
  <c r="J55" i="37" s="1"/>
  <c r="P47" i="49"/>
  <c r="J48" i="37" s="1"/>
  <c r="P40" i="49"/>
  <c r="J41" i="37" s="1"/>
  <c r="P25" i="49"/>
  <c r="J26" i="37" s="1"/>
  <c r="P18" i="49"/>
  <c r="J19" i="37" s="1"/>
  <c r="X52" i="49"/>
  <c r="N53" i="37" s="1"/>
  <c r="X42" i="49"/>
  <c r="N43" i="37" s="1"/>
  <c r="X32" i="49"/>
  <c r="N33" i="37" s="1"/>
  <c r="AA68" i="49"/>
  <c r="O69" i="37" s="1"/>
  <c r="AA48" i="49"/>
  <c r="O49" i="37" s="1"/>
  <c r="AA30" i="49"/>
  <c r="O31" i="37" s="1"/>
  <c r="H53" i="49"/>
  <c r="H29" i="49"/>
  <c r="P32" i="49"/>
  <c r="J33" i="37" s="1"/>
  <c r="X62" i="49"/>
  <c r="N63" i="37" s="1"/>
  <c r="X41" i="49"/>
  <c r="N42" i="37" s="1"/>
  <c r="X31" i="49"/>
  <c r="N32" i="37" s="1"/>
  <c r="AA67" i="49"/>
  <c r="O68" i="37" s="1"/>
  <c r="AA47" i="49"/>
  <c r="O48" i="37" s="1"/>
  <c r="AA29" i="49"/>
  <c r="O30" i="37" s="1"/>
  <c r="P60" i="49"/>
  <c r="J61" i="37" s="1"/>
  <c r="P46" i="49"/>
  <c r="J47" i="37" s="1"/>
  <c r="P24" i="49"/>
  <c r="J25" i="37" s="1"/>
  <c r="X61" i="49"/>
  <c r="N62" i="37" s="1"/>
  <c r="X40" i="49"/>
  <c r="N41" i="37" s="1"/>
  <c r="X30" i="49"/>
  <c r="N31" i="37" s="1"/>
  <c r="X20" i="49"/>
  <c r="N21" i="37" s="1"/>
  <c r="AA66" i="49"/>
  <c r="O67" i="37" s="1"/>
  <c r="AA56" i="49"/>
  <c r="O57" i="37" s="1"/>
  <c r="AA38" i="49"/>
  <c r="O39" i="37" s="1"/>
  <c r="AA20" i="49"/>
  <c r="O21" i="37" s="1"/>
  <c r="P38" i="49"/>
  <c r="J39" i="37" s="1"/>
  <c r="X60" i="49"/>
  <c r="N61" i="37" s="1"/>
  <c r="X50" i="49"/>
  <c r="N51" i="37" s="1"/>
  <c r="X29" i="49"/>
  <c r="N30" i="37" s="1"/>
  <c r="X19" i="49"/>
  <c r="N20" i="37" s="1"/>
  <c r="AA65" i="49"/>
  <c r="O66" i="37" s="1"/>
  <c r="AA55" i="49"/>
  <c r="O56" i="37" s="1"/>
  <c r="AA37" i="49"/>
  <c r="O38" i="37" s="1"/>
  <c r="AA19" i="49"/>
  <c r="O20" i="37" s="1"/>
  <c r="P59" i="49"/>
  <c r="J60" i="37" s="1"/>
  <c r="P52" i="49"/>
  <c r="J53" i="37" s="1"/>
  <c r="P37" i="49"/>
  <c r="J38" i="37" s="1"/>
  <c r="P23" i="49"/>
  <c r="J24" i="37" s="1"/>
  <c r="P16" i="49"/>
  <c r="J17" i="37" s="1"/>
  <c r="X59" i="49"/>
  <c r="N60" i="37" s="1"/>
  <c r="X49" i="49"/>
  <c r="N50" i="37" s="1"/>
  <c r="X28" i="49"/>
  <c r="N29" i="37" s="1"/>
  <c r="X18" i="49"/>
  <c r="N19" i="37" s="1"/>
  <c r="AA64" i="49"/>
  <c r="O65" i="37" s="1"/>
  <c r="AA54" i="49"/>
  <c r="O55" i="37" s="1"/>
  <c r="AA36" i="49"/>
  <c r="O37" i="37" s="1"/>
  <c r="AA18" i="49"/>
  <c r="O19" i="37" s="1"/>
  <c r="P44" i="49"/>
  <c r="J45" i="37" s="1"/>
  <c r="X58" i="49"/>
  <c r="N59" i="37" s="1"/>
  <c r="X48" i="49"/>
  <c r="N49" i="37" s="1"/>
  <c r="X38" i="49"/>
  <c r="N39" i="37" s="1"/>
  <c r="X17" i="49"/>
  <c r="N18" i="37" s="1"/>
  <c r="AA53" i="49"/>
  <c r="O54" i="37" s="1"/>
  <c r="AA35" i="49"/>
  <c r="O36" i="37" s="1"/>
  <c r="AA17" i="49"/>
  <c r="O18" i="37" s="1"/>
  <c r="P72" i="49"/>
  <c r="J73" i="37" s="1"/>
  <c r="P58" i="49"/>
  <c r="J59" i="37" s="1"/>
  <c r="P36" i="49"/>
  <c r="J37" i="37" s="1"/>
  <c r="P22" i="49"/>
  <c r="J23" i="37" s="1"/>
  <c r="X68" i="49"/>
  <c r="N69" i="37" s="1"/>
  <c r="X47" i="49"/>
  <c r="N48" i="37" s="1"/>
  <c r="X37" i="49"/>
  <c r="N38" i="37" s="1"/>
  <c r="X16" i="49"/>
  <c r="N17" i="37" s="1"/>
  <c r="AA44" i="49"/>
  <c r="O45" i="37" s="1"/>
  <c r="AA26" i="49"/>
  <c r="O27" i="37" s="1"/>
  <c r="P50" i="49"/>
  <c r="J51" i="37" s="1"/>
  <c r="X67" i="49"/>
  <c r="N68" i="37" s="1"/>
  <c r="X46" i="49"/>
  <c r="N47" i="37" s="1"/>
  <c r="X36" i="49"/>
  <c r="N37" i="37" s="1"/>
  <c r="X26" i="49"/>
  <c r="N27" i="37" s="1"/>
  <c r="AA72" i="49"/>
  <c r="O73" i="37" s="1"/>
  <c r="AA62" i="49"/>
  <c r="O63" i="37" s="1"/>
  <c r="AA43" i="49"/>
  <c r="O44" i="37" s="1"/>
  <c r="AA25" i="49"/>
  <c r="O26" i="37" s="1"/>
  <c r="Z16" i="47"/>
  <c r="Z17" i="47"/>
  <c r="Z18" i="47"/>
  <c r="Z19" i="47"/>
  <c r="Z20" i="47"/>
  <c r="Z21" i="47"/>
  <c r="Z22" i="47"/>
  <c r="Z23" i="47"/>
  <c r="Z24" i="47"/>
  <c r="Z25" i="47"/>
  <c r="Z26" i="47"/>
  <c r="Z27" i="47"/>
  <c r="Z28" i="47"/>
  <c r="Z29" i="47"/>
  <c r="Z30" i="47"/>
  <c r="Z31" i="47"/>
  <c r="Z32" i="47"/>
  <c r="Z33" i="47"/>
  <c r="Z34" i="47"/>
  <c r="Z35" i="47"/>
  <c r="Z36" i="47"/>
  <c r="Z37" i="47"/>
  <c r="Z38" i="47"/>
  <c r="Z39" i="47"/>
  <c r="Z40" i="47"/>
  <c r="Z41" i="47"/>
  <c r="Z42" i="47"/>
  <c r="Z43" i="47"/>
  <c r="Z44" i="47"/>
  <c r="Z45" i="47"/>
  <c r="Z46" i="47"/>
  <c r="Z47" i="47"/>
  <c r="Z48" i="47"/>
  <c r="Z49" i="47"/>
  <c r="Z50" i="47"/>
  <c r="Z51" i="47"/>
  <c r="Z52" i="47"/>
  <c r="Z53" i="47"/>
  <c r="Z54" i="47"/>
  <c r="Z55" i="47"/>
  <c r="Z56" i="47"/>
  <c r="Z57" i="47"/>
  <c r="Z58" i="47"/>
  <c r="Z59" i="47"/>
  <c r="Z60" i="47"/>
  <c r="Z61" i="47"/>
  <c r="Z62" i="47"/>
  <c r="Z63" i="47"/>
  <c r="Z64" i="47"/>
  <c r="Z65" i="47"/>
  <c r="Z66" i="47"/>
  <c r="Z67" i="47"/>
  <c r="Z68" i="47"/>
  <c r="Z69" i="47"/>
  <c r="Z70" i="47"/>
  <c r="Z71" i="47"/>
  <c r="Z72" i="47"/>
  <c r="Z15" i="47"/>
  <c r="W16" i="47"/>
  <c r="W17" i="47"/>
  <c r="W18" i="47"/>
  <c r="W19" i="47"/>
  <c r="W20" i="47"/>
  <c r="W21" i="47"/>
  <c r="W22" i="47"/>
  <c r="W23" i="47"/>
  <c r="W24" i="47"/>
  <c r="W25" i="47"/>
  <c r="W26" i="47"/>
  <c r="W27" i="47"/>
  <c r="W28" i="47"/>
  <c r="W29" i="47"/>
  <c r="W30" i="47"/>
  <c r="W31" i="47"/>
  <c r="W32" i="47"/>
  <c r="W33" i="47"/>
  <c r="W34" i="47"/>
  <c r="W35" i="47"/>
  <c r="W36" i="47"/>
  <c r="W37" i="47"/>
  <c r="W38" i="47"/>
  <c r="W39" i="47"/>
  <c r="W40" i="47"/>
  <c r="W41" i="47"/>
  <c r="W42" i="47"/>
  <c r="W43" i="47"/>
  <c r="W44" i="47"/>
  <c r="W45" i="47"/>
  <c r="W46" i="47"/>
  <c r="W47" i="47"/>
  <c r="W48" i="47"/>
  <c r="W49" i="47"/>
  <c r="W50" i="47"/>
  <c r="W51" i="47"/>
  <c r="W52" i="47"/>
  <c r="W53" i="47"/>
  <c r="W54" i="47"/>
  <c r="W55" i="47"/>
  <c r="W56" i="47"/>
  <c r="W57" i="47"/>
  <c r="W58" i="47"/>
  <c r="W59" i="47"/>
  <c r="W60" i="47"/>
  <c r="W61" i="47"/>
  <c r="W62" i="47"/>
  <c r="W63" i="47"/>
  <c r="W64" i="47"/>
  <c r="W65" i="47"/>
  <c r="W66" i="47"/>
  <c r="W67" i="47"/>
  <c r="W68" i="47"/>
  <c r="W69" i="47"/>
  <c r="W70" i="47"/>
  <c r="W71" i="47"/>
  <c r="W72" i="47"/>
  <c r="W15" i="47"/>
  <c r="Y16" i="47"/>
  <c r="Y17" i="47"/>
  <c r="Y18" i="47"/>
  <c r="Y19" i="47"/>
  <c r="Y20" i="47"/>
  <c r="Y21" i="47"/>
  <c r="Y22" i="47"/>
  <c r="Y23" i="47"/>
  <c r="Y24" i="47"/>
  <c r="Y25" i="47"/>
  <c r="Y26" i="47"/>
  <c r="Y27" i="47"/>
  <c r="Y28" i="47"/>
  <c r="Y29" i="47"/>
  <c r="Y30" i="47"/>
  <c r="Y31" i="47"/>
  <c r="Y32" i="47"/>
  <c r="Y33" i="47"/>
  <c r="Y34" i="47"/>
  <c r="Y35" i="47"/>
  <c r="Y36" i="47"/>
  <c r="Y37" i="47"/>
  <c r="Y38" i="47"/>
  <c r="Y39" i="47"/>
  <c r="Y40" i="47"/>
  <c r="Y41" i="47"/>
  <c r="Y42" i="47"/>
  <c r="Y43" i="47"/>
  <c r="Y44" i="47"/>
  <c r="Y45" i="47"/>
  <c r="Y46" i="47"/>
  <c r="Y47" i="47"/>
  <c r="Y48" i="47"/>
  <c r="Y49" i="47"/>
  <c r="Y50" i="47"/>
  <c r="Y51" i="47"/>
  <c r="Y52" i="47"/>
  <c r="Y53" i="47"/>
  <c r="Y54" i="47"/>
  <c r="Y55" i="47"/>
  <c r="Y56" i="47"/>
  <c r="Y57" i="47"/>
  <c r="Y58" i="47"/>
  <c r="Y59" i="47"/>
  <c r="Y60" i="47"/>
  <c r="Y61" i="47"/>
  <c r="Y62" i="47"/>
  <c r="Y63" i="47"/>
  <c r="Y64" i="47"/>
  <c r="Y65" i="47"/>
  <c r="Y66" i="47"/>
  <c r="Y67" i="47"/>
  <c r="Y68" i="47"/>
  <c r="Y69" i="47"/>
  <c r="Y70" i="47"/>
  <c r="Y71" i="47"/>
  <c r="Y72" i="47"/>
  <c r="Y15" i="47"/>
  <c r="V16" i="47"/>
  <c r="V17" i="47"/>
  <c r="V18" i="47"/>
  <c r="V19" i="47"/>
  <c r="V20" i="47"/>
  <c r="V21" i="47"/>
  <c r="V22" i="47"/>
  <c r="V23" i="47"/>
  <c r="V24" i="47"/>
  <c r="V25" i="47"/>
  <c r="V26" i="47"/>
  <c r="V27" i="47"/>
  <c r="V28" i="47"/>
  <c r="V29" i="47"/>
  <c r="V30" i="47"/>
  <c r="V31" i="47"/>
  <c r="V32" i="47"/>
  <c r="V33" i="47"/>
  <c r="V34" i="47"/>
  <c r="V35" i="47"/>
  <c r="V36" i="47"/>
  <c r="V37" i="47"/>
  <c r="V38" i="47"/>
  <c r="V39" i="47"/>
  <c r="V40" i="47"/>
  <c r="V41" i="47"/>
  <c r="V42" i="47"/>
  <c r="V43" i="47"/>
  <c r="V44" i="47"/>
  <c r="V45" i="47"/>
  <c r="V46" i="47"/>
  <c r="V47" i="47"/>
  <c r="V48" i="47"/>
  <c r="V49" i="47"/>
  <c r="V50" i="47"/>
  <c r="V51" i="47"/>
  <c r="V52" i="47"/>
  <c r="V53" i="47"/>
  <c r="V54" i="47"/>
  <c r="V55" i="47"/>
  <c r="V56" i="47"/>
  <c r="V57" i="47"/>
  <c r="V58" i="47"/>
  <c r="V59" i="47"/>
  <c r="V60" i="47"/>
  <c r="V61" i="47"/>
  <c r="V62" i="47"/>
  <c r="V63" i="47"/>
  <c r="V64" i="47"/>
  <c r="V65" i="47"/>
  <c r="V66" i="47"/>
  <c r="V67" i="47"/>
  <c r="V68" i="47"/>
  <c r="V69" i="47"/>
  <c r="V70" i="47"/>
  <c r="V71" i="47"/>
  <c r="V72" i="47"/>
  <c r="V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N16" i="47"/>
  <c r="N17" i="47"/>
  <c r="N18" i="47"/>
  <c r="N19" i="47"/>
  <c r="N20" i="47"/>
  <c r="N21" i="47"/>
  <c r="N22" i="47"/>
  <c r="N23" i="47"/>
  <c r="N24" i="47"/>
  <c r="N25" i="47"/>
  <c r="N26" i="47"/>
  <c r="N27" i="47"/>
  <c r="N28" i="47"/>
  <c r="N29" i="47"/>
  <c r="N30" i="47"/>
  <c r="N31" i="47"/>
  <c r="N32" i="47"/>
  <c r="N33" i="47"/>
  <c r="N34" i="47"/>
  <c r="N35" i="47"/>
  <c r="N36" i="47"/>
  <c r="N37" i="47"/>
  <c r="N38" i="47"/>
  <c r="N39" i="47"/>
  <c r="N40" i="47"/>
  <c r="N41" i="47"/>
  <c r="N42" i="47"/>
  <c r="N43" i="47"/>
  <c r="N44" i="47"/>
  <c r="N45" i="47"/>
  <c r="N46" i="47"/>
  <c r="N47" i="47"/>
  <c r="N48" i="47"/>
  <c r="N49" i="47"/>
  <c r="N50" i="47"/>
  <c r="N51" i="47"/>
  <c r="N52" i="47"/>
  <c r="N53" i="47"/>
  <c r="N54" i="47"/>
  <c r="N55" i="47"/>
  <c r="N56" i="47"/>
  <c r="N57" i="47"/>
  <c r="N58" i="47"/>
  <c r="N59" i="47"/>
  <c r="N60" i="47"/>
  <c r="N61" i="47"/>
  <c r="N62" i="47"/>
  <c r="N63" i="47"/>
  <c r="N64" i="47"/>
  <c r="N65" i="47"/>
  <c r="N66" i="47"/>
  <c r="N67" i="47"/>
  <c r="N68" i="47"/>
  <c r="N69" i="47"/>
  <c r="N70" i="47"/>
  <c r="N71" i="47"/>
  <c r="N72" i="47"/>
  <c r="N15" i="47"/>
  <c r="G16" i="47"/>
  <c r="G17" i="47"/>
  <c r="G18" i="47"/>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15" i="47"/>
  <c r="B16" i="47"/>
  <c r="B17" i="35" s="1"/>
  <c r="B17" i="47"/>
  <c r="B18" i="47"/>
  <c r="B19" i="35" s="1"/>
  <c r="B19" i="47"/>
  <c r="B20" i="47"/>
  <c r="B21" i="35" s="1"/>
  <c r="B21" i="47"/>
  <c r="B22" i="35" s="1"/>
  <c r="B22" i="47"/>
  <c r="B23" i="35" s="1"/>
  <c r="B23" i="47"/>
  <c r="B24" i="35" s="1"/>
  <c r="B24" i="47"/>
  <c r="B25" i="35" s="1"/>
  <c r="B25" i="47"/>
  <c r="B26" i="35" s="1"/>
  <c r="B26" i="47"/>
  <c r="B27" i="35" s="1"/>
  <c r="B27" i="47"/>
  <c r="B28" i="35" s="1"/>
  <c r="B28" i="47"/>
  <c r="B29" i="35" s="1"/>
  <c r="B29" i="47"/>
  <c r="B30" i="35" s="1"/>
  <c r="B30" i="47"/>
  <c r="B31" i="35" s="1"/>
  <c r="B31" i="47"/>
  <c r="B32" i="35" s="1"/>
  <c r="B32" i="47"/>
  <c r="B33" i="35" s="1"/>
  <c r="B33" i="47"/>
  <c r="B34" i="35" s="1"/>
  <c r="B34" i="47"/>
  <c r="B35" i="35" s="1"/>
  <c r="B35" i="47"/>
  <c r="B36" i="35" s="1"/>
  <c r="B36" i="47"/>
  <c r="B37" i="35" s="1"/>
  <c r="B37" i="47"/>
  <c r="B38" i="35" s="1"/>
  <c r="B38" i="47"/>
  <c r="B39" i="35" s="1"/>
  <c r="B39" i="47"/>
  <c r="B40" i="35" s="1"/>
  <c r="B40" i="47"/>
  <c r="B41" i="35" s="1"/>
  <c r="B41" i="47"/>
  <c r="B42" i="35" s="1"/>
  <c r="B42" i="47"/>
  <c r="B43" i="35" s="1"/>
  <c r="B43" i="47"/>
  <c r="B44" i="35" s="1"/>
  <c r="B44" i="47"/>
  <c r="B45" i="35" s="1"/>
  <c r="B45" i="47"/>
  <c r="B46" i="35" s="1"/>
  <c r="B46" i="47"/>
  <c r="B47" i="35" s="1"/>
  <c r="B47" i="47"/>
  <c r="B48" i="35" s="1"/>
  <c r="B48" i="47"/>
  <c r="B49" i="35" s="1"/>
  <c r="B49" i="47"/>
  <c r="B50" i="35" s="1"/>
  <c r="B50" i="47"/>
  <c r="B51" i="35" s="1"/>
  <c r="B51" i="47"/>
  <c r="B52" i="35" s="1"/>
  <c r="B52" i="47"/>
  <c r="B53" i="35" s="1"/>
  <c r="B53" i="47"/>
  <c r="B54" i="35" s="1"/>
  <c r="B54" i="47"/>
  <c r="B55" i="35" s="1"/>
  <c r="B55" i="47"/>
  <c r="B56" i="35" s="1"/>
  <c r="B56" i="47"/>
  <c r="B57" i="35" s="1"/>
  <c r="B57" i="47"/>
  <c r="B58" i="35" s="1"/>
  <c r="B58" i="47"/>
  <c r="B59" i="35" s="1"/>
  <c r="B59" i="47"/>
  <c r="B60" i="35" s="1"/>
  <c r="B60" i="47"/>
  <c r="B61" i="35" s="1"/>
  <c r="B61" i="47"/>
  <c r="B62" i="35" s="1"/>
  <c r="B62" i="47"/>
  <c r="B63" i="35" s="1"/>
  <c r="B63" i="47"/>
  <c r="B64" i="35" s="1"/>
  <c r="B64" i="47"/>
  <c r="B65" i="35" s="1"/>
  <c r="B65" i="47"/>
  <c r="B66" i="35" s="1"/>
  <c r="B66" i="47"/>
  <c r="B67" i="35" s="1"/>
  <c r="B67" i="47"/>
  <c r="B68" i="35" s="1"/>
  <c r="B68" i="47"/>
  <c r="B69" i="35" s="1"/>
  <c r="B69" i="47"/>
  <c r="B70" i="35" s="1"/>
  <c r="B70" i="47"/>
  <c r="B71" i="35" s="1"/>
  <c r="B71" i="47"/>
  <c r="B72" i="35" s="1"/>
  <c r="B72" i="47"/>
  <c r="B73" i="35" s="1"/>
  <c r="B15" i="47"/>
  <c r="B16" i="35" s="1"/>
  <c r="Z16" i="46"/>
  <c r="Z17" i="46"/>
  <c r="Z18" i="46"/>
  <c r="Z19"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15" i="46"/>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15" i="46"/>
  <c r="O16" i="46"/>
  <c r="O17" i="46"/>
  <c r="O18"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15" i="46"/>
  <c r="G16" i="46"/>
  <c r="G17" i="46"/>
  <c r="G18" i="46"/>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67" i="46"/>
  <c r="G68" i="46"/>
  <c r="G69" i="46"/>
  <c r="G70" i="46"/>
  <c r="G71" i="46"/>
  <c r="G72" i="46"/>
  <c r="G15" i="46"/>
  <c r="Y16" i="46"/>
  <c r="Y17" i="46"/>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V16" i="46"/>
  <c r="V17" i="46"/>
  <c r="V18" i="46"/>
  <c r="V19" i="46"/>
  <c r="V20" i="46"/>
  <c r="V21" i="46"/>
  <c r="V22" i="46"/>
  <c r="V23" i="46"/>
  <c r="V24" i="46"/>
  <c r="V25" i="46"/>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Y15" i="46"/>
  <c r="V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15" i="46"/>
  <c r="B16" i="46"/>
  <c r="B17" i="34" s="1"/>
  <c r="B17" i="46"/>
  <c r="B18" i="46"/>
  <c r="B19" i="34" s="1"/>
  <c r="B19" i="46"/>
  <c r="B20" i="34" s="1"/>
  <c r="B20" i="46"/>
  <c r="B21" i="34" s="1"/>
  <c r="B21" i="46"/>
  <c r="B22" i="34" s="1"/>
  <c r="B22" i="46"/>
  <c r="B23" i="34" s="1"/>
  <c r="B23" i="46"/>
  <c r="B24" i="34" s="1"/>
  <c r="B24" i="46"/>
  <c r="B25" i="34" s="1"/>
  <c r="B25" i="46"/>
  <c r="B26" i="34" s="1"/>
  <c r="B26" i="46"/>
  <c r="B27" i="34" s="1"/>
  <c r="B27" i="46"/>
  <c r="B28" i="34" s="1"/>
  <c r="B28" i="46"/>
  <c r="B29" i="34" s="1"/>
  <c r="B29" i="46"/>
  <c r="B30" i="34" s="1"/>
  <c r="B30" i="46"/>
  <c r="B31" i="34" s="1"/>
  <c r="B31" i="46"/>
  <c r="B32" i="34" s="1"/>
  <c r="B32" i="46"/>
  <c r="B33" i="34" s="1"/>
  <c r="B33" i="46"/>
  <c r="B34" i="34" s="1"/>
  <c r="B34" i="46"/>
  <c r="B35" i="34" s="1"/>
  <c r="B35" i="46"/>
  <c r="B36" i="34" s="1"/>
  <c r="B36" i="46"/>
  <c r="B37" i="34" s="1"/>
  <c r="B37" i="46"/>
  <c r="B38" i="34" s="1"/>
  <c r="B38" i="46"/>
  <c r="B39" i="34" s="1"/>
  <c r="B39" i="46"/>
  <c r="B40" i="34" s="1"/>
  <c r="B40" i="46"/>
  <c r="B41" i="34" s="1"/>
  <c r="B41" i="46"/>
  <c r="B42" i="34" s="1"/>
  <c r="B42" i="46"/>
  <c r="B43" i="34" s="1"/>
  <c r="B43" i="46"/>
  <c r="B44" i="34" s="1"/>
  <c r="B44" i="46"/>
  <c r="B45" i="34" s="1"/>
  <c r="B45" i="46"/>
  <c r="B46" i="34" s="1"/>
  <c r="B46" i="46"/>
  <c r="B47" i="34" s="1"/>
  <c r="B47" i="46"/>
  <c r="B48" i="34" s="1"/>
  <c r="B48" i="46"/>
  <c r="B49" i="34" s="1"/>
  <c r="B49" i="46"/>
  <c r="B50" i="34" s="1"/>
  <c r="B50" i="46"/>
  <c r="B51" i="34" s="1"/>
  <c r="B51" i="46"/>
  <c r="B52" i="34" s="1"/>
  <c r="B52" i="46"/>
  <c r="B53" i="34" s="1"/>
  <c r="B53" i="46"/>
  <c r="B54" i="34" s="1"/>
  <c r="B54" i="46"/>
  <c r="B55" i="34" s="1"/>
  <c r="B55" i="46"/>
  <c r="B56" i="34" s="1"/>
  <c r="B56" i="46"/>
  <c r="B57" i="34" s="1"/>
  <c r="B57" i="46"/>
  <c r="B58" i="34" s="1"/>
  <c r="B58" i="46"/>
  <c r="B59" i="34" s="1"/>
  <c r="B59" i="46"/>
  <c r="B60" i="34" s="1"/>
  <c r="B60" i="46"/>
  <c r="B61" i="34" s="1"/>
  <c r="B61" i="46"/>
  <c r="B62" i="34" s="1"/>
  <c r="B62" i="46"/>
  <c r="B63" i="34" s="1"/>
  <c r="B63" i="46"/>
  <c r="B64" i="34" s="1"/>
  <c r="B64" i="46"/>
  <c r="B65" i="34" s="1"/>
  <c r="B65" i="46"/>
  <c r="B66" i="34" s="1"/>
  <c r="B66" i="46"/>
  <c r="B67" i="34" s="1"/>
  <c r="B67" i="46"/>
  <c r="B68" i="34" s="1"/>
  <c r="B68" i="46"/>
  <c r="B69" i="34" s="1"/>
  <c r="B69" i="46"/>
  <c r="B70" i="34" s="1"/>
  <c r="B70" i="46"/>
  <c r="B71" i="34" s="1"/>
  <c r="B71" i="46"/>
  <c r="B72" i="34" s="1"/>
  <c r="B72" i="46"/>
  <c r="B73" i="34" s="1"/>
  <c r="B15" i="46"/>
  <c r="B16" i="34" s="1"/>
  <c r="H15" i="43"/>
  <c r="N16" i="43"/>
  <c r="I17" i="32" s="1"/>
  <c r="N17" i="43"/>
  <c r="I18" i="32" s="1"/>
  <c r="N18" i="43"/>
  <c r="I19" i="32" s="1"/>
  <c r="N19" i="43"/>
  <c r="I20" i="32" s="1"/>
  <c r="N20" i="43"/>
  <c r="I21" i="32" s="1"/>
  <c r="N21" i="43"/>
  <c r="I22" i="32" s="1"/>
  <c r="N22" i="43"/>
  <c r="I23" i="32" s="1"/>
  <c r="N23" i="43"/>
  <c r="I24" i="32" s="1"/>
  <c r="N24" i="43"/>
  <c r="I25" i="32" s="1"/>
  <c r="N15" i="43"/>
  <c r="I16" i="32" s="1"/>
  <c r="M16" i="43"/>
  <c r="H17" i="32" s="1"/>
  <c r="M17" i="43"/>
  <c r="H18" i="32" s="1"/>
  <c r="M18" i="43"/>
  <c r="H19" i="32" s="1"/>
  <c r="M19" i="43"/>
  <c r="H20" i="32" s="1"/>
  <c r="M20" i="43"/>
  <c r="H21" i="32" s="1"/>
  <c r="M21" i="43"/>
  <c r="H22" i="32" s="1"/>
  <c r="M22" i="43"/>
  <c r="H23" i="32" s="1"/>
  <c r="M23" i="43"/>
  <c r="H24" i="32" s="1"/>
  <c r="M24" i="43"/>
  <c r="H25" i="32" s="1"/>
  <c r="M15" i="43"/>
  <c r="H16" i="32" s="1"/>
  <c r="L16" i="43"/>
  <c r="G17" i="32" s="1"/>
  <c r="L17" i="43"/>
  <c r="G18" i="32" s="1"/>
  <c r="L18" i="43"/>
  <c r="G19" i="32" s="1"/>
  <c r="L19" i="43"/>
  <c r="G20" i="32" s="1"/>
  <c r="L20" i="43"/>
  <c r="G21" i="32" s="1"/>
  <c r="L21" i="43"/>
  <c r="G22" i="32" s="1"/>
  <c r="L22" i="43"/>
  <c r="G23" i="32" s="1"/>
  <c r="L23" i="43"/>
  <c r="G24" i="32" s="1"/>
  <c r="L24" i="43"/>
  <c r="G25" i="32" s="1"/>
  <c r="L15" i="43"/>
  <c r="G16" i="32" s="1"/>
  <c r="G16" i="43"/>
  <c r="G17" i="43"/>
  <c r="G18" i="43"/>
  <c r="G19" i="43"/>
  <c r="G20" i="43"/>
  <c r="G21" i="43"/>
  <c r="G22" i="43"/>
  <c r="G23" i="43"/>
  <c r="G24" i="43"/>
  <c r="G15" i="43"/>
  <c r="B16" i="43"/>
  <c r="B17" i="32" s="1"/>
  <c r="B17" i="43"/>
  <c r="B18" i="32" s="1"/>
  <c r="B18" i="43"/>
  <c r="B19" i="32" s="1"/>
  <c r="B19" i="43"/>
  <c r="B20" i="32" s="1"/>
  <c r="B20" i="43"/>
  <c r="B21" i="32" s="1"/>
  <c r="B21" i="43"/>
  <c r="B22" i="32" s="1"/>
  <c r="B22" i="43"/>
  <c r="B23" i="32" s="1"/>
  <c r="B23" i="43"/>
  <c r="B24" i="32" s="1"/>
  <c r="B24" i="43"/>
  <c r="B25" i="32" s="1"/>
  <c r="B15" i="43"/>
  <c r="B16" i="32" s="1"/>
  <c r="D16" i="43"/>
  <c r="D17" i="43"/>
  <c r="D18" i="43"/>
  <c r="D19" i="43"/>
  <c r="D20" i="43"/>
  <c r="D21" i="43"/>
  <c r="D22" i="43"/>
  <c r="D23" i="43"/>
  <c r="D24" i="43"/>
  <c r="D15" i="43"/>
  <c r="E15" i="43"/>
  <c r="P69" i="46" l="1"/>
  <c r="J70" i="34" s="1"/>
  <c r="H66" i="46"/>
  <c r="F67" i="34" s="1"/>
  <c r="P67" i="47"/>
  <c r="X54" i="47"/>
  <c r="N55" i="35" s="1"/>
  <c r="H49" i="46"/>
  <c r="F50" i="34" s="1"/>
  <c r="X30" i="47"/>
  <c r="N31" i="35" s="1"/>
  <c r="H52" i="47"/>
  <c r="F53" i="35" s="1"/>
  <c r="H28" i="47"/>
  <c r="F29" i="35" s="1"/>
  <c r="H64" i="46"/>
  <c r="F65" i="34" s="1"/>
  <c r="X71" i="47"/>
  <c r="N72" i="35" s="1"/>
  <c r="X47" i="47"/>
  <c r="N48" i="35" s="1"/>
  <c r="X23" i="47"/>
  <c r="N24" i="35" s="1"/>
  <c r="H61" i="46"/>
  <c r="F62" i="34" s="1"/>
  <c r="H37" i="46"/>
  <c r="F38" i="34" s="1"/>
  <c r="P57" i="46"/>
  <c r="J58" i="34" s="1"/>
  <c r="P33" i="46"/>
  <c r="J34" i="34" s="1"/>
  <c r="H52" i="46"/>
  <c r="F53" i="34" s="1"/>
  <c r="H28" i="46"/>
  <c r="F29" i="34" s="1"/>
  <c r="X68" i="47"/>
  <c r="N69" i="35" s="1"/>
  <c r="X67" i="46"/>
  <c r="N68" i="34" s="1"/>
  <c r="X43" i="46"/>
  <c r="N44" i="34" s="1"/>
  <c r="H72" i="46"/>
  <c r="F73" i="34" s="1"/>
  <c r="H60" i="46"/>
  <c r="F61" i="34" s="1"/>
  <c r="H36" i="46"/>
  <c r="F37" i="34" s="1"/>
  <c r="P56" i="46"/>
  <c r="J57" i="34" s="1"/>
  <c r="P32" i="46"/>
  <c r="J33" i="34" s="1"/>
  <c r="H53" i="47"/>
  <c r="F54" i="35" s="1"/>
  <c r="H29" i="47"/>
  <c r="F30" i="35" s="1"/>
  <c r="P49" i="47"/>
  <c r="J50" i="35" s="1"/>
  <c r="P25" i="47"/>
  <c r="J26" i="35" s="1"/>
  <c r="X55" i="47"/>
  <c r="N56" i="35" s="1"/>
  <c r="X31" i="47"/>
  <c r="N32" i="35" s="1"/>
  <c r="H69" i="46"/>
  <c r="F70" i="34" s="1"/>
  <c r="H57" i="46"/>
  <c r="F58" i="34" s="1"/>
  <c r="H45" i="46"/>
  <c r="F46" i="34" s="1"/>
  <c r="H21" i="46"/>
  <c r="F22" i="34" s="1"/>
  <c r="P65" i="46"/>
  <c r="J66" i="34" s="1"/>
  <c r="P41" i="46"/>
  <c r="J42" i="34" s="1"/>
  <c r="X51" i="46"/>
  <c r="N52" i="34" s="1"/>
  <c r="X27" i="46"/>
  <c r="N28" i="34" s="1"/>
  <c r="H68" i="46"/>
  <c r="F69" i="34" s="1"/>
  <c r="H44" i="46"/>
  <c r="F45" i="34" s="1"/>
  <c r="P64" i="46"/>
  <c r="J65" i="34" s="1"/>
  <c r="P40" i="46"/>
  <c r="J41" i="34" s="1"/>
  <c r="H61" i="47"/>
  <c r="F62" i="35" s="1"/>
  <c r="H37" i="47"/>
  <c r="F38" i="35" s="1"/>
  <c r="P57" i="47"/>
  <c r="J58" i="35" s="1"/>
  <c r="P33" i="47"/>
  <c r="J34" i="35" s="1"/>
  <c r="X63" i="47"/>
  <c r="N64" i="35" s="1"/>
  <c r="X39" i="47"/>
  <c r="N40" i="35" s="1"/>
  <c r="H60" i="47"/>
  <c r="F61" i="35" s="1"/>
  <c r="H36" i="47"/>
  <c r="F37" i="35" s="1"/>
  <c r="P56" i="47"/>
  <c r="J57" i="35" s="1"/>
  <c r="P32" i="47"/>
  <c r="J33" i="35" s="1"/>
  <c r="X62" i="47"/>
  <c r="N63" i="35" s="1"/>
  <c r="X38" i="47"/>
  <c r="N39" i="35" s="1"/>
  <c r="H65" i="46"/>
  <c r="F66" i="34" s="1"/>
  <c r="H53" i="46"/>
  <c r="F54" i="34" s="1"/>
  <c r="H41" i="46"/>
  <c r="F42" i="34" s="1"/>
  <c r="H29" i="46"/>
  <c r="F30" i="34" s="1"/>
  <c r="P49" i="46"/>
  <c r="J50" i="34" s="1"/>
  <c r="P25" i="46"/>
  <c r="J26" i="34" s="1"/>
  <c r="X59" i="46"/>
  <c r="N60" i="34" s="1"/>
  <c r="X35" i="46"/>
  <c r="N36" i="34" s="1"/>
  <c r="X60" i="47"/>
  <c r="N61" i="35" s="1"/>
  <c r="P72" i="46"/>
  <c r="J73" i="34" s="1"/>
  <c r="P48" i="46"/>
  <c r="J49" i="34" s="1"/>
  <c r="P24" i="46"/>
  <c r="J25" i="34" s="1"/>
  <c r="H69" i="47"/>
  <c r="F70" i="35" s="1"/>
  <c r="H45" i="47"/>
  <c r="F46" i="35" s="1"/>
  <c r="H21" i="47"/>
  <c r="F22" i="35" s="1"/>
  <c r="P65" i="47"/>
  <c r="J66" i="35" s="1"/>
  <c r="P41" i="47"/>
  <c r="J42" i="35" s="1"/>
  <c r="H68" i="47"/>
  <c r="F69" i="35" s="1"/>
  <c r="H44" i="47"/>
  <c r="F45" i="35" s="1"/>
  <c r="H20" i="47"/>
  <c r="F21" i="35" s="1"/>
  <c r="P64" i="47"/>
  <c r="J65" i="35" s="1"/>
  <c r="P40" i="47"/>
  <c r="J41" i="35" s="1"/>
  <c r="X70" i="47"/>
  <c r="N71" i="35" s="1"/>
  <c r="X46" i="47"/>
  <c r="N47" i="35" s="1"/>
  <c r="P15" i="46"/>
  <c r="J16" i="34" s="1"/>
  <c r="P17" i="47"/>
  <c r="J18" i="35" s="1"/>
  <c r="H15" i="47"/>
  <c r="F16" i="35" s="1"/>
  <c r="X19" i="46"/>
  <c r="N20" i="34" s="1"/>
  <c r="P17" i="46"/>
  <c r="J18" i="34" s="1"/>
  <c r="P16" i="46"/>
  <c r="J17" i="34" s="1"/>
  <c r="J15" i="43"/>
  <c r="P16" i="47"/>
  <c r="J17" i="35" s="1"/>
  <c r="F15" i="43"/>
  <c r="D16" i="32" s="1"/>
  <c r="F20" i="37"/>
  <c r="F19" i="37"/>
  <c r="F30" i="37"/>
  <c r="F59" i="37"/>
  <c r="F57" i="37"/>
  <c r="F16" i="37"/>
  <c r="F29" i="37"/>
  <c r="F64" i="37"/>
  <c r="F22" i="36"/>
  <c r="H73" i="48"/>
  <c r="J20" i="36"/>
  <c r="H20" i="46"/>
  <c r="F21" i="34" s="1"/>
  <c r="X66" i="46"/>
  <c r="N67" i="34" s="1"/>
  <c r="X58" i="46"/>
  <c r="N59" i="34" s="1"/>
  <c r="X50" i="46"/>
  <c r="N51" i="34" s="1"/>
  <c r="X42" i="46"/>
  <c r="N43" i="34" s="1"/>
  <c r="X34" i="46"/>
  <c r="N35" i="34" s="1"/>
  <c r="X26" i="46"/>
  <c r="N27" i="34" s="1"/>
  <c r="X18" i="46"/>
  <c r="N19" i="34" s="1"/>
  <c r="X22" i="47"/>
  <c r="N23" i="35" s="1"/>
  <c r="F54" i="37"/>
  <c r="F69" i="37"/>
  <c r="F27" i="37"/>
  <c r="F37" i="37"/>
  <c r="F72" i="37"/>
  <c r="J22" i="37"/>
  <c r="F55" i="37"/>
  <c r="F28" i="37"/>
  <c r="F46" i="37"/>
  <c r="F43" i="37"/>
  <c r="F17" i="37"/>
  <c r="K29" i="43"/>
  <c r="K30" i="43"/>
  <c r="H67" i="46"/>
  <c r="F68" i="34" s="1"/>
  <c r="H59" i="46"/>
  <c r="F60" i="34" s="1"/>
  <c r="H51" i="46"/>
  <c r="F52" i="34" s="1"/>
  <c r="H43" i="46"/>
  <c r="F44" i="34" s="1"/>
  <c r="H35" i="46"/>
  <c r="F36" i="34" s="1"/>
  <c r="H27" i="46"/>
  <c r="F28" i="34" s="1"/>
  <c r="H19" i="46"/>
  <c r="F20" i="34" s="1"/>
  <c r="P71" i="46"/>
  <c r="J72" i="34" s="1"/>
  <c r="P63" i="46"/>
  <c r="J64" i="34" s="1"/>
  <c r="P55" i="46"/>
  <c r="J56" i="34" s="1"/>
  <c r="P47" i="46"/>
  <c r="J48" i="34" s="1"/>
  <c r="P39" i="46"/>
  <c r="J40" i="34" s="1"/>
  <c r="P31" i="46"/>
  <c r="J32" i="34" s="1"/>
  <c r="P23" i="46"/>
  <c r="J24" i="34" s="1"/>
  <c r="X15" i="46"/>
  <c r="N16" i="34" s="1"/>
  <c r="X65" i="46"/>
  <c r="N66" i="34" s="1"/>
  <c r="X57" i="46"/>
  <c r="N58" i="34" s="1"/>
  <c r="X49" i="46"/>
  <c r="N50" i="34" s="1"/>
  <c r="X41" i="46"/>
  <c r="N42" i="34" s="1"/>
  <c r="X33" i="46"/>
  <c r="N34" i="34" s="1"/>
  <c r="X25" i="46"/>
  <c r="N26" i="34" s="1"/>
  <c r="X17" i="46"/>
  <c r="N18" i="34" s="1"/>
  <c r="H67" i="47"/>
  <c r="F68" i="35" s="1"/>
  <c r="H59" i="47"/>
  <c r="F60" i="35" s="1"/>
  <c r="H51" i="47"/>
  <c r="F52" i="35" s="1"/>
  <c r="H43" i="47"/>
  <c r="F44" i="35" s="1"/>
  <c r="H35" i="47"/>
  <c r="F36" i="35" s="1"/>
  <c r="H27" i="47"/>
  <c r="F28" i="35" s="1"/>
  <c r="H19" i="47"/>
  <c r="F20" i="35" s="1"/>
  <c r="P71" i="47"/>
  <c r="J72" i="35" s="1"/>
  <c r="P63" i="47"/>
  <c r="J64" i="35" s="1"/>
  <c r="P55" i="47"/>
  <c r="J56" i="35" s="1"/>
  <c r="P47" i="47"/>
  <c r="J48" i="35" s="1"/>
  <c r="P39" i="47"/>
  <c r="J40" i="35" s="1"/>
  <c r="P31" i="47"/>
  <c r="J32" i="35" s="1"/>
  <c r="P23" i="47"/>
  <c r="J24" i="35" s="1"/>
  <c r="X15" i="47"/>
  <c r="N16" i="35" s="1"/>
  <c r="X69" i="47"/>
  <c r="N70" i="35" s="1"/>
  <c r="X61" i="47"/>
  <c r="N62" i="35" s="1"/>
  <c r="X53" i="47"/>
  <c r="N54" i="35" s="1"/>
  <c r="X45" i="47"/>
  <c r="N46" i="35" s="1"/>
  <c r="X37" i="47"/>
  <c r="N38" i="35" s="1"/>
  <c r="X29" i="47"/>
  <c r="N30" i="35" s="1"/>
  <c r="X21" i="47"/>
  <c r="N22" i="35" s="1"/>
  <c r="F53" i="37"/>
  <c r="F36" i="37"/>
  <c r="F67" i="37"/>
  <c r="F25" i="37"/>
  <c r="H58" i="46"/>
  <c r="F59" i="34" s="1"/>
  <c r="H50" i="46"/>
  <c r="F51" i="34" s="1"/>
  <c r="H42" i="46"/>
  <c r="F43" i="34" s="1"/>
  <c r="H34" i="46"/>
  <c r="F35" i="34" s="1"/>
  <c r="H26" i="46"/>
  <c r="F27" i="34" s="1"/>
  <c r="H18" i="46"/>
  <c r="F19" i="34" s="1"/>
  <c r="P70" i="46"/>
  <c r="J71" i="34" s="1"/>
  <c r="P62" i="46"/>
  <c r="J63" i="34" s="1"/>
  <c r="P54" i="46"/>
  <c r="J55" i="34" s="1"/>
  <c r="P46" i="46"/>
  <c r="J47" i="34" s="1"/>
  <c r="P38" i="46"/>
  <c r="J39" i="34" s="1"/>
  <c r="P30" i="46"/>
  <c r="J31" i="34" s="1"/>
  <c r="P22" i="46"/>
  <c r="X72" i="46"/>
  <c r="N73" i="34" s="1"/>
  <c r="X64" i="46"/>
  <c r="N65" i="34" s="1"/>
  <c r="X56" i="46"/>
  <c r="N57" i="34" s="1"/>
  <c r="X48" i="46"/>
  <c r="N49" i="34" s="1"/>
  <c r="X40" i="46"/>
  <c r="N41" i="34" s="1"/>
  <c r="X32" i="46"/>
  <c r="N33" i="34" s="1"/>
  <c r="X24" i="46"/>
  <c r="N25" i="34" s="1"/>
  <c r="X16" i="46"/>
  <c r="N17" i="34" s="1"/>
  <c r="H66" i="47"/>
  <c r="F67" i="35" s="1"/>
  <c r="H58" i="47"/>
  <c r="F59" i="35" s="1"/>
  <c r="H50" i="47"/>
  <c r="F51" i="35" s="1"/>
  <c r="H42" i="47"/>
  <c r="F43" i="35" s="1"/>
  <c r="H34" i="47"/>
  <c r="F35" i="35" s="1"/>
  <c r="H26" i="47"/>
  <c r="F27" i="35" s="1"/>
  <c r="H18" i="47"/>
  <c r="F19" i="35" s="1"/>
  <c r="P70" i="47"/>
  <c r="J71" i="35" s="1"/>
  <c r="P54" i="47"/>
  <c r="J55" i="35" s="1"/>
  <c r="P46" i="47"/>
  <c r="J47" i="35" s="1"/>
  <c r="P30" i="47"/>
  <c r="J31" i="35" s="1"/>
  <c r="P22" i="47"/>
  <c r="J23" i="35" s="1"/>
  <c r="X52" i="47"/>
  <c r="N53" i="35" s="1"/>
  <c r="X44" i="47"/>
  <c r="N45" i="35" s="1"/>
  <c r="X36" i="47"/>
  <c r="N37" i="35" s="1"/>
  <c r="X28" i="47"/>
  <c r="N29" i="35" s="1"/>
  <c r="X20" i="47"/>
  <c r="N21" i="35" s="1"/>
  <c r="F18" i="37"/>
  <c r="F61" i="37"/>
  <c r="F73" i="37"/>
  <c r="J16" i="37"/>
  <c r="F41" i="37"/>
  <c r="F44" i="37"/>
  <c r="H33" i="46"/>
  <c r="F34" i="34" s="1"/>
  <c r="H25" i="46"/>
  <c r="F26" i="34" s="1"/>
  <c r="H17" i="46"/>
  <c r="F18" i="34" s="1"/>
  <c r="P61" i="46"/>
  <c r="J62" i="34" s="1"/>
  <c r="P53" i="46"/>
  <c r="J54" i="34" s="1"/>
  <c r="P45" i="46"/>
  <c r="J46" i="34" s="1"/>
  <c r="P37" i="46"/>
  <c r="J38" i="34" s="1"/>
  <c r="P29" i="46"/>
  <c r="J30" i="34" s="1"/>
  <c r="P21" i="46"/>
  <c r="J22" i="34" s="1"/>
  <c r="X71" i="46"/>
  <c r="N72" i="34" s="1"/>
  <c r="X63" i="46"/>
  <c r="N64" i="34" s="1"/>
  <c r="X55" i="46"/>
  <c r="N56" i="34" s="1"/>
  <c r="X47" i="46"/>
  <c r="N48" i="34" s="1"/>
  <c r="X39" i="46"/>
  <c r="N40" i="34" s="1"/>
  <c r="X31" i="46"/>
  <c r="N32" i="34" s="1"/>
  <c r="X23" i="46"/>
  <c r="N24" i="34" s="1"/>
  <c r="H65" i="47"/>
  <c r="F66" i="35" s="1"/>
  <c r="H57" i="47"/>
  <c r="F58" i="35" s="1"/>
  <c r="H49" i="47"/>
  <c r="F50" i="35" s="1"/>
  <c r="H41" i="47"/>
  <c r="F42" i="35" s="1"/>
  <c r="H33" i="47"/>
  <c r="F34" i="35" s="1"/>
  <c r="H25" i="47"/>
  <c r="F26" i="35" s="1"/>
  <c r="H17" i="47"/>
  <c r="F18" i="35" s="1"/>
  <c r="P69" i="47"/>
  <c r="J70" i="35" s="1"/>
  <c r="P61" i="47"/>
  <c r="J62" i="35" s="1"/>
  <c r="P53" i="47"/>
  <c r="J54" i="35" s="1"/>
  <c r="P45" i="47"/>
  <c r="J46" i="35" s="1"/>
  <c r="P37" i="47"/>
  <c r="J38" i="35" s="1"/>
  <c r="P29" i="47"/>
  <c r="J30" i="35" s="1"/>
  <c r="P21" i="47"/>
  <c r="J22" i="35" s="1"/>
  <c r="AA15" i="47"/>
  <c r="O16" i="35" s="1"/>
  <c r="X67" i="47"/>
  <c r="N68" i="35" s="1"/>
  <c r="X59" i="47"/>
  <c r="N60" i="35" s="1"/>
  <c r="X51" i="47"/>
  <c r="N52" i="35" s="1"/>
  <c r="X43" i="47"/>
  <c r="N44" i="35" s="1"/>
  <c r="X35" i="47"/>
  <c r="N36" i="35" s="1"/>
  <c r="X27" i="47"/>
  <c r="N28" i="35" s="1"/>
  <c r="X19" i="47"/>
  <c r="N20" i="35" s="1"/>
  <c r="F42" i="37"/>
  <c r="F56" i="37"/>
  <c r="F26" i="37"/>
  <c r="F24" i="37"/>
  <c r="F34" i="37"/>
  <c r="F70" i="37"/>
  <c r="F49" i="37"/>
  <c r="F52" i="37"/>
  <c r="F22" i="37"/>
  <c r="H56" i="46"/>
  <c r="F57" i="34" s="1"/>
  <c r="H48" i="46"/>
  <c r="F49" i="34" s="1"/>
  <c r="H40" i="46"/>
  <c r="F41" i="34" s="1"/>
  <c r="H32" i="46"/>
  <c r="F33" i="34" s="1"/>
  <c r="H24" i="46"/>
  <c r="F25" i="34" s="1"/>
  <c r="H16" i="46"/>
  <c r="F17" i="34" s="1"/>
  <c r="P68" i="46"/>
  <c r="J69" i="34" s="1"/>
  <c r="P60" i="46"/>
  <c r="J61" i="34" s="1"/>
  <c r="P52" i="46"/>
  <c r="J53" i="34" s="1"/>
  <c r="P44" i="46"/>
  <c r="J45" i="34" s="1"/>
  <c r="P36" i="46"/>
  <c r="J37" i="34" s="1"/>
  <c r="P28" i="46"/>
  <c r="J29" i="34" s="1"/>
  <c r="P20" i="46"/>
  <c r="J21" i="34" s="1"/>
  <c r="X70" i="46"/>
  <c r="N71" i="34" s="1"/>
  <c r="X62" i="46"/>
  <c r="N63" i="34" s="1"/>
  <c r="X54" i="46"/>
  <c r="N55" i="34" s="1"/>
  <c r="X46" i="46"/>
  <c r="N47" i="34" s="1"/>
  <c r="X38" i="46"/>
  <c r="N39" i="34" s="1"/>
  <c r="X30" i="46"/>
  <c r="N31" i="34" s="1"/>
  <c r="X22" i="46"/>
  <c r="N23" i="34" s="1"/>
  <c r="H72" i="47"/>
  <c r="F73" i="35" s="1"/>
  <c r="H64" i="47"/>
  <c r="F65" i="35" s="1"/>
  <c r="H56" i="47"/>
  <c r="F57" i="35" s="1"/>
  <c r="H48" i="47"/>
  <c r="F49" i="35" s="1"/>
  <c r="H40" i="47"/>
  <c r="F41" i="35" s="1"/>
  <c r="H32" i="47"/>
  <c r="F33" i="35" s="1"/>
  <c r="H24" i="47"/>
  <c r="F25" i="35" s="1"/>
  <c r="H16" i="47"/>
  <c r="F17" i="35" s="1"/>
  <c r="P68" i="47"/>
  <c r="P52" i="47"/>
  <c r="P44" i="47"/>
  <c r="J45" i="35" s="1"/>
  <c r="P28" i="47"/>
  <c r="P20" i="47"/>
  <c r="X66" i="47"/>
  <c r="N67" i="35" s="1"/>
  <c r="X58" i="47"/>
  <c r="N59" i="35" s="1"/>
  <c r="X50" i="47"/>
  <c r="N51" i="35" s="1"/>
  <c r="X42" i="47"/>
  <c r="N43" i="35" s="1"/>
  <c r="X34" i="47"/>
  <c r="N35" i="35" s="1"/>
  <c r="X26" i="47"/>
  <c r="N27" i="35" s="1"/>
  <c r="X18" i="47"/>
  <c r="N19" i="35" s="1"/>
  <c r="F66" i="37"/>
  <c r="F68" i="37"/>
  <c r="F21" i="37"/>
  <c r="F35" i="37"/>
  <c r="F38" i="37"/>
  <c r="F39" i="37"/>
  <c r="F32" i="37"/>
  <c r="F58" i="37"/>
  <c r="F65" i="37"/>
  <c r="F60" i="37"/>
  <c r="F31" i="37"/>
  <c r="F19" i="36"/>
  <c r="H71" i="46"/>
  <c r="F72" i="34" s="1"/>
  <c r="H63" i="46"/>
  <c r="F64" i="34" s="1"/>
  <c r="H55" i="46"/>
  <c r="F56" i="34" s="1"/>
  <c r="H47" i="46"/>
  <c r="F48" i="34" s="1"/>
  <c r="H39" i="46"/>
  <c r="F40" i="34" s="1"/>
  <c r="H31" i="46"/>
  <c r="F32" i="34" s="1"/>
  <c r="H23" i="46"/>
  <c r="F24" i="34" s="1"/>
  <c r="P67" i="46"/>
  <c r="J68" i="34" s="1"/>
  <c r="P59" i="46"/>
  <c r="J60" i="34" s="1"/>
  <c r="P51" i="46"/>
  <c r="J52" i="34" s="1"/>
  <c r="P43" i="46"/>
  <c r="J44" i="34" s="1"/>
  <c r="P35" i="46"/>
  <c r="J36" i="34" s="1"/>
  <c r="P27" i="46"/>
  <c r="J28" i="34" s="1"/>
  <c r="P19" i="46"/>
  <c r="J20" i="34" s="1"/>
  <c r="X69" i="46"/>
  <c r="N70" i="34" s="1"/>
  <c r="X61" i="46"/>
  <c r="N62" i="34" s="1"/>
  <c r="X53" i="46"/>
  <c r="N54" i="34" s="1"/>
  <c r="X45" i="46"/>
  <c r="N46" i="34" s="1"/>
  <c r="X37" i="46"/>
  <c r="N38" i="34" s="1"/>
  <c r="X29" i="46"/>
  <c r="N30" i="34" s="1"/>
  <c r="X21" i="46"/>
  <c r="N22" i="34" s="1"/>
  <c r="H71" i="47"/>
  <c r="F72" i="35" s="1"/>
  <c r="H63" i="47"/>
  <c r="F64" i="35" s="1"/>
  <c r="H55" i="47"/>
  <c r="F56" i="35" s="1"/>
  <c r="H47" i="47"/>
  <c r="F48" i="35" s="1"/>
  <c r="H39" i="47"/>
  <c r="F40" i="35" s="1"/>
  <c r="H31" i="47"/>
  <c r="F32" i="35" s="1"/>
  <c r="H23" i="47"/>
  <c r="F24" i="35" s="1"/>
  <c r="P59" i="47"/>
  <c r="P51" i="47"/>
  <c r="J52" i="35" s="1"/>
  <c r="P43" i="47"/>
  <c r="J44" i="35" s="1"/>
  <c r="P35" i="47"/>
  <c r="J36" i="35" s="1"/>
  <c r="P27" i="47"/>
  <c r="P19" i="47"/>
  <c r="X65" i="47"/>
  <c r="N66" i="35" s="1"/>
  <c r="X57" i="47"/>
  <c r="N58" i="35" s="1"/>
  <c r="X49" i="47"/>
  <c r="N50" i="35" s="1"/>
  <c r="X41" i="47"/>
  <c r="N42" i="35" s="1"/>
  <c r="X33" i="47"/>
  <c r="N34" i="35" s="1"/>
  <c r="X25" i="47"/>
  <c r="N26" i="35" s="1"/>
  <c r="X17" i="47"/>
  <c r="N18" i="35" s="1"/>
  <c r="F23" i="37"/>
  <c r="F33" i="37"/>
  <c r="F50" i="37"/>
  <c r="F51" i="37"/>
  <c r="F40" i="37"/>
  <c r="H70" i="46"/>
  <c r="F71" i="34" s="1"/>
  <c r="H62" i="46"/>
  <c r="F63" i="34" s="1"/>
  <c r="H54" i="46"/>
  <c r="F55" i="34" s="1"/>
  <c r="H46" i="46"/>
  <c r="F47" i="34" s="1"/>
  <c r="H38" i="46"/>
  <c r="F39" i="34" s="1"/>
  <c r="H30" i="46"/>
  <c r="F31" i="34" s="1"/>
  <c r="H22" i="46"/>
  <c r="F23" i="34" s="1"/>
  <c r="P66" i="46"/>
  <c r="J67" i="34" s="1"/>
  <c r="P58" i="46"/>
  <c r="J59" i="34" s="1"/>
  <c r="P50" i="46"/>
  <c r="J51" i="34" s="1"/>
  <c r="P42" i="46"/>
  <c r="J43" i="34" s="1"/>
  <c r="P34" i="46"/>
  <c r="J35" i="34" s="1"/>
  <c r="P26" i="46"/>
  <c r="J27" i="34" s="1"/>
  <c r="P18" i="46"/>
  <c r="J19" i="34" s="1"/>
  <c r="X68" i="46"/>
  <c r="N69" i="34" s="1"/>
  <c r="X60" i="46"/>
  <c r="N61" i="34" s="1"/>
  <c r="X52" i="46"/>
  <c r="N53" i="34" s="1"/>
  <c r="X44" i="46"/>
  <c r="N45" i="34" s="1"/>
  <c r="X36" i="46"/>
  <c r="N37" i="34" s="1"/>
  <c r="X28" i="46"/>
  <c r="N29" i="34" s="1"/>
  <c r="X20" i="46"/>
  <c r="N21" i="34" s="1"/>
  <c r="H70" i="47"/>
  <c r="F71" i="35" s="1"/>
  <c r="H62" i="47"/>
  <c r="F63" i="35" s="1"/>
  <c r="H54" i="47"/>
  <c r="F55" i="35" s="1"/>
  <c r="H46" i="47"/>
  <c r="F47" i="35" s="1"/>
  <c r="H38" i="47"/>
  <c r="F39" i="35" s="1"/>
  <c r="H30" i="47"/>
  <c r="F31" i="35" s="1"/>
  <c r="H22" i="47"/>
  <c r="F23" i="35" s="1"/>
  <c r="P66" i="47"/>
  <c r="J67" i="35" s="1"/>
  <c r="P58" i="47"/>
  <c r="P50" i="47"/>
  <c r="J51" i="35" s="1"/>
  <c r="P42" i="47"/>
  <c r="J43" i="35" s="1"/>
  <c r="P34" i="47"/>
  <c r="J35" i="35" s="1"/>
  <c r="P18" i="47"/>
  <c r="J19" i="35" s="1"/>
  <c r="X72" i="47"/>
  <c r="N73" i="35" s="1"/>
  <c r="X64" i="47"/>
  <c r="N65" i="35" s="1"/>
  <c r="X56" i="47"/>
  <c r="N57" i="35" s="1"/>
  <c r="X48" i="47"/>
  <c r="N49" i="35" s="1"/>
  <c r="X40" i="47"/>
  <c r="N41" i="35" s="1"/>
  <c r="X32" i="47"/>
  <c r="N33" i="35" s="1"/>
  <c r="X24" i="47"/>
  <c r="N25" i="35" s="1"/>
  <c r="X16" i="47"/>
  <c r="N17" i="35" s="1"/>
  <c r="F47" i="37"/>
  <c r="F45" i="37"/>
  <c r="F71" i="37"/>
  <c r="F62" i="37"/>
  <c r="F63" i="37"/>
  <c r="F48" i="37"/>
  <c r="AA70" i="47"/>
  <c r="O71" i="35" s="1"/>
  <c r="AA62" i="47"/>
  <c r="O63" i="35" s="1"/>
  <c r="AA54" i="47"/>
  <c r="O55" i="35" s="1"/>
  <c r="AA46" i="47"/>
  <c r="O47" i="35" s="1"/>
  <c r="AA38" i="47"/>
  <c r="O39" i="35" s="1"/>
  <c r="AA30" i="47"/>
  <c r="O31" i="35" s="1"/>
  <c r="AA22" i="47"/>
  <c r="O23" i="35" s="1"/>
  <c r="AA28" i="46"/>
  <c r="O29" i="34" s="1"/>
  <c r="AA69" i="46"/>
  <c r="O70" i="34" s="1"/>
  <c r="AA61" i="46"/>
  <c r="O62" i="34" s="1"/>
  <c r="AA53" i="46"/>
  <c r="O54" i="34" s="1"/>
  <c r="AA45" i="46"/>
  <c r="O46" i="34" s="1"/>
  <c r="AA37" i="46"/>
  <c r="O38" i="34" s="1"/>
  <c r="AA29" i="46"/>
  <c r="O30" i="34" s="1"/>
  <c r="AA21" i="46"/>
  <c r="O22" i="34" s="1"/>
  <c r="AA71" i="47"/>
  <c r="O72" i="35" s="1"/>
  <c r="AA63" i="47"/>
  <c r="O64" i="35" s="1"/>
  <c r="AA55" i="47"/>
  <c r="O56" i="35" s="1"/>
  <c r="AA47" i="47"/>
  <c r="O48" i="35" s="1"/>
  <c r="AA39" i="47"/>
  <c r="O40" i="35" s="1"/>
  <c r="AA31" i="47"/>
  <c r="O32" i="35" s="1"/>
  <c r="AA23" i="47"/>
  <c r="O24" i="35" s="1"/>
  <c r="AA44" i="46"/>
  <c r="O45" i="34" s="1"/>
  <c r="AA67" i="46"/>
  <c r="O68" i="34" s="1"/>
  <c r="AA59" i="46"/>
  <c r="O60" i="34" s="1"/>
  <c r="AA51" i="46"/>
  <c r="O52" i="34" s="1"/>
  <c r="AA43" i="46"/>
  <c r="O44" i="34" s="1"/>
  <c r="AA35" i="46"/>
  <c r="O36" i="34" s="1"/>
  <c r="AA27" i="46"/>
  <c r="O28" i="34" s="1"/>
  <c r="AA19" i="46"/>
  <c r="O20" i="34" s="1"/>
  <c r="AA69" i="47"/>
  <c r="O70" i="35" s="1"/>
  <c r="AA61" i="47"/>
  <c r="O62" i="35" s="1"/>
  <c r="AA53" i="47"/>
  <c r="O54" i="35" s="1"/>
  <c r="AA45" i="47"/>
  <c r="O46" i="35" s="1"/>
  <c r="AA37" i="47"/>
  <c r="O38" i="35" s="1"/>
  <c r="AA29" i="47"/>
  <c r="O30" i="35" s="1"/>
  <c r="AA21" i="47"/>
  <c r="O22" i="35" s="1"/>
  <c r="AA36" i="46"/>
  <c r="O37" i="34" s="1"/>
  <c r="AA66" i="46"/>
  <c r="O67" i="34" s="1"/>
  <c r="AA58" i="46"/>
  <c r="O59" i="34" s="1"/>
  <c r="AA50" i="46"/>
  <c r="O51" i="34" s="1"/>
  <c r="AA42" i="46"/>
  <c r="O43" i="34" s="1"/>
  <c r="AA34" i="46"/>
  <c r="O35" i="34" s="1"/>
  <c r="AA26" i="46"/>
  <c r="O27" i="34" s="1"/>
  <c r="AA18" i="46"/>
  <c r="O19" i="34" s="1"/>
  <c r="AA68" i="47"/>
  <c r="O69" i="35" s="1"/>
  <c r="AA60" i="47"/>
  <c r="O61" i="35" s="1"/>
  <c r="AA52" i="47"/>
  <c r="O53" i="35" s="1"/>
  <c r="AA44" i="47"/>
  <c r="O45" i="35" s="1"/>
  <c r="AA36" i="47"/>
  <c r="O37" i="35" s="1"/>
  <c r="AA28" i="47"/>
  <c r="O29" i="35" s="1"/>
  <c r="AA20" i="47"/>
  <c r="O21" i="35" s="1"/>
  <c r="AA68" i="46"/>
  <c r="O69" i="34" s="1"/>
  <c r="AA15" i="46"/>
  <c r="O16" i="34" s="1"/>
  <c r="AA65" i="46"/>
  <c r="O66" i="34" s="1"/>
  <c r="AA57" i="46"/>
  <c r="O58" i="34" s="1"/>
  <c r="AA49" i="46"/>
  <c r="O50" i="34" s="1"/>
  <c r="AA41" i="46"/>
  <c r="O42" i="34" s="1"/>
  <c r="AA33" i="46"/>
  <c r="O34" i="34" s="1"/>
  <c r="AA25" i="46"/>
  <c r="O26" i="34" s="1"/>
  <c r="AA17" i="46"/>
  <c r="O18" i="34" s="1"/>
  <c r="AA67" i="47"/>
  <c r="O68" i="35" s="1"/>
  <c r="AA59" i="47"/>
  <c r="O60" i="35" s="1"/>
  <c r="AA51" i="47"/>
  <c r="O52" i="35" s="1"/>
  <c r="AA43" i="47"/>
  <c r="O44" i="35" s="1"/>
  <c r="AA35" i="47"/>
  <c r="O36" i="35" s="1"/>
  <c r="AA27" i="47"/>
  <c r="O28" i="35" s="1"/>
  <c r="AA19" i="47"/>
  <c r="O20" i="35" s="1"/>
  <c r="AA20" i="46"/>
  <c r="O21" i="34" s="1"/>
  <c r="I15" i="43"/>
  <c r="AA72" i="46"/>
  <c r="O73" i="34" s="1"/>
  <c r="AA64" i="46"/>
  <c r="O65" i="34" s="1"/>
  <c r="AA56" i="46"/>
  <c r="O57" i="34" s="1"/>
  <c r="AA48" i="46"/>
  <c r="O49" i="34" s="1"/>
  <c r="AA40" i="46"/>
  <c r="O41" i="34" s="1"/>
  <c r="AA32" i="46"/>
  <c r="O33" i="34" s="1"/>
  <c r="AA24" i="46"/>
  <c r="O25" i="34" s="1"/>
  <c r="AA16" i="46"/>
  <c r="O17" i="34" s="1"/>
  <c r="AA66" i="47"/>
  <c r="O67" i="35" s="1"/>
  <c r="AA58" i="47"/>
  <c r="O59" i="35" s="1"/>
  <c r="AA50" i="47"/>
  <c r="O51" i="35" s="1"/>
  <c r="AA42" i="47"/>
  <c r="O43" i="35" s="1"/>
  <c r="AA34" i="47"/>
  <c r="O35" i="35" s="1"/>
  <c r="AA26" i="47"/>
  <c r="O27" i="35" s="1"/>
  <c r="AA18" i="47"/>
  <c r="O19" i="35" s="1"/>
  <c r="AA60" i="46"/>
  <c r="O61" i="34" s="1"/>
  <c r="AA71" i="46"/>
  <c r="O72" i="34" s="1"/>
  <c r="AA63" i="46"/>
  <c r="O64" i="34" s="1"/>
  <c r="AA55" i="46"/>
  <c r="O56" i="34" s="1"/>
  <c r="AA47" i="46"/>
  <c r="O48" i="34" s="1"/>
  <c r="AA39" i="46"/>
  <c r="O40" i="34" s="1"/>
  <c r="AA31" i="46"/>
  <c r="O32" i="34" s="1"/>
  <c r="AA23" i="46"/>
  <c r="O24" i="34" s="1"/>
  <c r="AA65" i="47"/>
  <c r="O66" i="35" s="1"/>
  <c r="AA57" i="47"/>
  <c r="O58" i="35" s="1"/>
  <c r="AA49" i="47"/>
  <c r="O50" i="35" s="1"/>
  <c r="AA41" i="47"/>
  <c r="O42" i="35" s="1"/>
  <c r="AA33" i="47"/>
  <c r="O34" i="35" s="1"/>
  <c r="AA25" i="47"/>
  <c r="O26" i="35" s="1"/>
  <c r="AA17" i="47"/>
  <c r="O18" i="35" s="1"/>
  <c r="AA52" i="46"/>
  <c r="O53" i="34" s="1"/>
  <c r="AA70" i="46"/>
  <c r="O71" i="34" s="1"/>
  <c r="AA62" i="46"/>
  <c r="O63" i="34" s="1"/>
  <c r="AA54" i="46"/>
  <c r="O55" i="34" s="1"/>
  <c r="AA46" i="46"/>
  <c r="O47" i="34" s="1"/>
  <c r="AA38" i="46"/>
  <c r="O39" i="34" s="1"/>
  <c r="AA30" i="46"/>
  <c r="O31" i="34" s="1"/>
  <c r="AA22" i="46"/>
  <c r="O23" i="34" s="1"/>
  <c r="AA72" i="47"/>
  <c r="O73" i="35" s="1"/>
  <c r="AA64" i="47"/>
  <c r="O65" i="35" s="1"/>
  <c r="AA56" i="47"/>
  <c r="O57" i="35" s="1"/>
  <c r="AA48" i="47"/>
  <c r="O49" i="35" s="1"/>
  <c r="AA40" i="47"/>
  <c r="O41" i="35" s="1"/>
  <c r="AA32" i="47"/>
  <c r="O33" i="35" s="1"/>
  <c r="AA24" i="47"/>
  <c r="O25" i="35" s="1"/>
  <c r="AA16" i="47"/>
  <c r="O17" i="35" s="1"/>
  <c r="J68" i="35"/>
  <c r="G73" i="46"/>
  <c r="H15" i="46"/>
  <c r="O73" i="46"/>
  <c r="P73" i="48"/>
  <c r="J16" i="36"/>
  <c r="H73" i="49"/>
  <c r="P73" i="49"/>
  <c r="P72" i="47"/>
  <c r="P60" i="47"/>
  <c r="P48" i="47"/>
  <c r="P36" i="47"/>
  <c r="P24" i="47"/>
  <c r="O73" i="47"/>
  <c r="P62" i="47"/>
  <c r="P38" i="47"/>
  <c r="P26" i="47"/>
  <c r="P15" i="47"/>
  <c r="G73" i="47"/>
  <c r="F73" i="46"/>
  <c r="H20" i="20"/>
  <c r="F21" i="41"/>
  <c r="F22" i="30" s="1"/>
  <c r="F22" i="41"/>
  <c r="F23" i="30" s="1"/>
  <c r="F23" i="41"/>
  <c r="F24" i="30" s="1"/>
  <c r="F24" i="41"/>
  <c r="F25" i="30" s="1"/>
  <c r="F20" i="41"/>
  <c r="F21" i="30" s="1"/>
  <c r="E21" i="41"/>
  <c r="E22" i="30" s="1"/>
  <c r="E22" i="41"/>
  <c r="E23" i="30" s="1"/>
  <c r="E23" i="41"/>
  <c r="E24" i="30" s="1"/>
  <c r="E24" i="41"/>
  <c r="E25" i="30" s="1"/>
  <c r="E20" i="41"/>
  <c r="E21" i="30" s="1"/>
  <c r="D21" i="41"/>
  <c r="D22" i="30" s="1"/>
  <c r="D22" i="41"/>
  <c r="D23" i="30" s="1"/>
  <c r="D23" i="41"/>
  <c r="D24" i="30" s="1"/>
  <c r="D24" i="41"/>
  <c r="D25" i="30" s="1"/>
  <c r="D20" i="41"/>
  <c r="B21" i="41"/>
  <c r="B22" i="30" s="1"/>
  <c r="B22" i="41"/>
  <c r="B23" i="30" s="1"/>
  <c r="B23" i="41"/>
  <c r="B24" i="30" s="1"/>
  <c r="B24" i="41"/>
  <c r="B25" i="30" s="1"/>
  <c r="B20" i="41"/>
  <c r="B21" i="30" s="1"/>
  <c r="D9" i="30"/>
  <c r="H20" i="41"/>
  <c r="G21" i="41"/>
  <c r="G22" i="41"/>
  <c r="G23" i="41"/>
  <c r="G24" i="41"/>
  <c r="G20" i="41"/>
  <c r="J20" i="41" s="1"/>
  <c r="K15" i="43" l="1"/>
  <c r="K27" i="43" s="1"/>
  <c r="H73" i="47"/>
  <c r="J60" i="35"/>
  <c r="J20" i="35"/>
  <c r="J29" i="35"/>
  <c r="J23" i="34"/>
  <c r="J28" i="35"/>
  <c r="F16" i="34"/>
  <c r="I20" i="41"/>
  <c r="G21" i="30" s="1"/>
  <c r="H21" i="30" s="1"/>
  <c r="J59" i="35"/>
  <c r="J21" i="35"/>
  <c r="P73" i="46"/>
  <c r="J53" i="35"/>
  <c r="J69" i="35"/>
  <c r="E16" i="32"/>
  <c r="F16" i="32" s="1"/>
  <c r="J37" i="35"/>
  <c r="H73" i="46"/>
  <c r="P73" i="47"/>
  <c r="J25" i="35"/>
  <c r="J49" i="35"/>
  <c r="J16" i="35"/>
  <c r="J61" i="35"/>
  <c r="J27" i="35"/>
  <c r="J73" i="35"/>
  <c r="J39" i="35"/>
  <c r="J63" i="35"/>
  <c r="K29" i="41"/>
  <c r="K30" i="41"/>
  <c r="D21" i="30"/>
  <c r="K20" i="41" l="1"/>
  <c r="K98" i="40"/>
  <c r="J98" i="40"/>
  <c r="R24" i="40"/>
  <c r="O24" i="40"/>
  <c r="F28" i="32"/>
  <c r="I89" i="40" s="1"/>
  <c r="E89" i="29" s="1"/>
  <c r="L98" i="40" l="1"/>
  <c r="F98" i="29" s="1"/>
  <c r="H24" i="29"/>
  <c r="G24" i="29"/>
  <c r="N30" i="40"/>
  <c r="T94" i="40"/>
  <c r="T85" i="40"/>
  <c r="T84" i="40"/>
  <c r="T83" i="40"/>
  <c r="T82" i="40"/>
  <c r="T78" i="40"/>
  <c r="T77" i="40"/>
  <c r="T76" i="40"/>
  <c r="T75" i="40"/>
  <c r="T74" i="40"/>
  <c r="T73" i="40"/>
  <c r="T72" i="40"/>
  <c r="T71" i="40"/>
  <c r="T67" i="40"/>
  <c r="T66" i="40"/>
  <c r="T65" i="40"/>
  <c r="T64" i="40"/>
  <c r="T63" i="40"/>
  <c r="T62" i="40"/>
  <c r="T61" i="40"/>
  <c r="T57" i="40"/>
  <c r="T56" i="40"/>
  <c r="T55" i="40"/>
  <c r="T54" i="40"/>
  <c r="T50" i="40"/>
  <c r="T48" i="40"/>
  <c r="T47" i="40"/>
  <c r="T46" i="40"/>
  <c r="T45" i="40"/>
  <c r="T44" i="40"/>
  <c r="T38" i="40"/>
  <c r="T37" i="40"/>
  <c r="T36" i="40"/>
  <c r="T30" i="40"/>
  <c r="T29" i="40"/>
  <c r="T28" i="40"/>
  <c r="T20" i="40"/>
  <c r="T19" i="40"/>
  <c r="T14" i="40"/>
  <c r="T15" i="40"/>
  <c r="T13" i="40"/>
  <c r="Q13" i="40"/>
  <c r="E13" i="40"/>
  <c r="H13" i="40"/>
  <c r="Q94" i="40"/>
  <c r="Q78" i="40"/>
  <c r="Q77" i="40"/>
  <c r="Q76" i="40"/>
  <c r="Q75" i="40"/>
  <c r="Q74" i="40"/>
  <c r="Q73" i="40"/>
  <c r="Q72" i="40"/>
  <c r="Q71" i="40"/>
  <c r="Q67" i="40"/>
  <c r="Q66" i="40"/>
  <c r="Q65" i="40"/>
  <c r="Q64" i="40"/>
  <c r="Q63" i="40"/>
  <c r="Q62" i="40"/>
  <c r="Q61" i="40"/>
  <c r="Q57" i="40"/>
  <c r="Q56" i="40"/>
  <c r="Q55" i="40"/>
  <c r="Q54" i="40"/>
  <c r="Q50" i="40"/>
  <c r="Q48" i="40"/>
  <c r="Q47" i="40"/>
  <c r="Q46" i="40"/>
  <c r="Q45" i="40"/>
  <c r="Q44" i="40"/>
  <c r="Q38" i="40"/>
  <c r="Q37" i="40"/>
  <c r="Q36" i="40"/>
  <c r="Q30" i="40"/>
  <c r="Q29" i="40"/>
  <c r="Q28" i="40"/>
  <c r="Q20" i="40"/>
  <c r="Q19" i="40"/>
  <c r="Q15" i="40"/>
  <c r="Q14" i="40"/>
  <c r="N94" i="40"/>
  <c r="N78" i="40"/>
  <c r="N77" i="40"/>
  <c r="N76" i="40"/>
  <c r="N75" i="40"/>
  <c r="N74" i="40"/>
  <c r="N73" i="40"/>
  <c r="N72" i="40"/>
  <c r="N71" i="40"/>
  <c r="N67" i="40"/>
  <c r="N66" i="40"/>
  <c r="N65" i="40"/>
  <c r="N64" i="40"/>
  <c r="N63" i="40"/>
  <c r="N62" i="40"/>
  <c r="N61" i="40"/>
  <c r="N57" i="40"/>
  <c r="N56" i="40"/>
  <c r="N55" i="40"/>
  <c r="N54" i="40"/>
  <c r="N50" i="40"/>
  <c r="N48" i="40"/>
  <c r="N47" i="40"/>
  <c r="N46" i="40"/>
  <c r="N45" i="40"/>
  <c r="N44" i="40"/>
  <c r="N38" i="40"/>
  <c r="N37" i="40"/>
  <c r="N36" i="40"/>
  <c r="N20" i="40"/>
  <c r="N19" i="40"/>
  <c r="N15" i="40"/>
  <c r="N14" i="40"/>
  <c r="N13" i="40"/>
  <c r="K13" i="40"/>
  <c r="K94" i="40"/>
  <c r="K78" i="40"/>
  <c r="K77" i="40"/>
  <c r="K76" i="40"/>
  <c r="K75" i="40"/>
  <c r="K74" i="40"/>
  <c r="K73" i="40"/>
  <c r="K72" i="40"/>
  <c r="K71" i="40"/>
  <c r="K67" i="40"/>
  <c r="K66" i="40"/>
  <c r="K65" i="40"/>
  <c r="K64" i="40"/>
  <c r="K63" i="40"/>
  <c r="K62" i="40"/>
  <c r="K61" i="40"/>
  <c r="K57" i="40"/>
  <c r="K56" i="40"/>
  <c r="K55" i="40"/>
  <c r="K54" i="40"/>
  <c r="K50" i="40"/>
  <c r="K48" i="40"/>
  <c r="K47" i="40"/>
  <c r="K46" i="40"/>
  <c r="K45" i="40"/>
  <c r="K44" i="40"/>
  <c r="K38" i="40"/>
  <c r="K37" i="40"/>
  <c r="K36" i="40"/>
  <c r="K30" i="40"/>
  <c r="K29" i="40"/>
  <c r="K28" i="40"/>
  <c r="K20" i="40"/>
  <c r="K19" i="40"/>
  <c r="K15" i="40"/>
  <c r="K14" i="40"/>
  <c r="H78" i="40"/>
  <c r="H77" i="40"/>
  <c r="H76" i="40"/>
  <c r="H75" i="40"/>
  <c r="H74" i="40"/>
  <c r="H73" i="40"/>
  <c r="H72" i="40"/>
  <c r="H71" i="40"/>
  <c r="H67" i="40"/>
  <c r="H66" i="40"/>
  <c r="H65" i="40"/>
  <c r="H64" i="40"/>
  <c r="H63" i="40"/>
  <c r="H62" i="40"/>
  <c r="H61" i="40"/>
  <c r="H57" i="40"/>
  <c r="H56" i="40"/>
  <c r="H55" i="40"/>
  <c r="H54" i="40"/>
  <c r="H50" i="40"/>
  <c r="H48" i="40"/>
  <c r="H47" i="40"/>
  <c r="H46" i="40"/>
  <c r="H45" i="40"/>
  <c r="H44" i="40"/>
  <c r="H38" i="40"/>
  <c r="H37" i="40"/>
  <c r="H36" i="40"/>
  <c r="H30" i="40"/>
  <c r="H29" i="40"/>
  <c r="H28" i="40"/>
  <c r="H20" i="40"/>
  <c r="H19" i="40"/>
  <c r="H15" i="40"/>
  <c r="H14" i="40"/>
  <c r="E20" i="40"/>
  <c r="E19" i="40"/>
  <c r="E14" i="40"/>
  <c r="E15" i="40"/>
  <c r="T90" i="40"/>
  <c r="Q90" i="40"/>
  <c r="N90" i="40"/>
  <c r="K90" i="40"/>
  <c r="H90" i="40"/>
  <c r="I90" i="40"/>
  <c r="Q79" i="40" l="1"/>
  <c r="W48" i="40"/>
  <c r="N28" i="40"/>
  <c r="N29" i="40"/>
  <c r="T39" i="40"/>
  <c r="Q58" i="40"/>
  <c r="N51" i="40"/>
  <c r="Q51" i="40"/>
  <c r="Q68" i="40"/>
  <c r="T51" i="40"/>
  <c r="T86" i="40"/>
  <c r="N39" i="40"/>
  <c r="Q39" i="40"/>
  <c r="T31" i="40"/>
  <c r="W13" i="40"/>
  <c r="T79" i="40"/>
  <c r="T68" i="40"/>
  <c r="T58" i="40"/>
  <c r="Q31" i="40"/>
  <c r="N79" i="40"/>
  <c r="N68" i="40"/>
  <c r="N58" i="40"/>
  <c r="K58" i="40"/>
  <c r="K79" i="40"/>
  <c r="K68" i="40"/>
  <c r="K51" i="40"/>
  <c r="K39" i="40"/>
  <c r="K31" i="40"/>
  <c r="H58" i="40"/>
  <c r="H39" i="40"/>
  <c r="H31" i="40"/>
  <c r="H68" i="40"/>
  <c r="H51" i="40"/>
  <c r="H79" i="40"/>
  <c r="N31" i="40" l="1"/>
  <c r="W31" i="40" s="1"/>
  <c r="V101" i="40"/>
  <c r="J101" i="29" s="1"/>
  <c r="S94" i="40"/>
  <c r="U94" i="40" s="1"/>
  <c r="I94" i="29" s="1"/>
  <c r="P94" i="40"/>
  <c r="R94" i="40" s="1"/>
  <c r="H94" i="29" s="1"/>
  <c r="M94" i="40"/>
  <c r="O94" i="40" s="1"/>
  <c r="J94" i="40"/>
  <c r="L94" i="40" s="1"/>
  <c r="F94" i="29" s="1"/>
  <c r="S83" i="40"/>
  <c r="U83" i="40" s="1"/>
  <c r="I83" i="29" s="1"/>
  <c r="J83" i="29" s="1"/>
  <c r="S84" i="40"/>
  <c r="V84" i="40" s="1"/>
  <c r="S85" i="40"/>
  <c r="U85" i="40" s="1"/>
  <c r="I85" i="29" s="1"/>
  <c r="J85" i="29" s="1"/>
  <c r="S82" i="40"/>
  <c r="V82" i="40" s="1"/>
  <c r="S72" i="40"/>
  <c r="U72" i="40" s="1"/>
  <c r="I72" i="29" s="1"/>
  <c r="S73" i="40"/>
  <c r="U73" i="40" s="1"/>
  <c r="I73" i="29" s="1"/>
  <c r="S74" i="40"/>
  <c r="U74" i="40" s="1"/>
  <c r="I74" i="29" s="1"/>
  <c r="S75" i="40"/>
  <c r="U75" i="40" s="1"/>
  <c r="I75" i="29" s="1"/>
  <c r="S76" i="40"/>
  <c r="U76" i="40" s="1"/>
  <c r="I76" i="29" s="1"/>
  <c r="S77" i="40"/>
  <c r="U77" i="40" s="1"/>
  <c r="I77" i="29" s="1"/>
  <c r="S78" i="40"/>
  <c r="U78" i="40" s="1"/>
  <c r="I78" i="29" s="1"/>
  <c r="P78" i="40"/>
  <c r="R78" i="40" s="1"/>
  <c r="H78" i="29" s="1"/>
  <c r="P72" i="40"/>
  <c r="R72" i="40" s="1"/>
  <c r="H72" i="29" s="1"/>
  <c r="P73" i="40"/>
  <c r="R73" i="40" s="1"/>
  <c r="H73" i="29" s="1"/>
  <c r="P74" i="40"/>
  <c r="R74" i="40" s="1"/>
  <c r="H74" i="29" s="1"/>
  <c r="P75" i="40"/>
  <c r="R75" i="40" s="1"/>
  <c r="H75" i="29" s="1"/>
  <c r="P76" i="40"/>
  <c r="R76" i="40" s="1"/>
  <c r="H76" i="29" s="1"/>
  <c r="P77" i="40"/>
  <c r="R77" i="40" s="1"/>
  <c r="H77" i="29" s="1"/>
  <c r="M72" i="40"/>
  <c r="O72" i="40" s="1"/>
  <c r="G72" i="29" s="1"/>
  <c r="M73" i="40"/>
  <c r="O73" i="40" s="1"/>
  <c r="G73" i="29" s="1"/>
  <c r="M74" i="40"/>
  <c r="O74" i="40" s="1"/>
  <c r="G74" i="29" s="1"/>
  <c r="M75" i="40"/>
  <c r="O75" i="40" s="1"/>
  <c r="G75" i="29" s="1"/>
  <c r="M76" i="40"/>
  <c r="O76" i="40" s="1"/>
  <c r="G76" i="29" s="1"/>
  <c r="M77" i="40"/>
  <c r="O77" i="40" s="1"/>
  <c r="G77" i="29" s="1"/>
  <c r="M78" i="40"/>
  <c r="O78" i="40" s="1"/>
  <c r="G78" i="29" s="1"/>
  <c r="J72" i="40"/>
  <c r="L72" i="40" s="1"/>
  <c r="F72" i="29" s="1"/>
  <c r="J73" i="40"/>
  <c r="L73" i="40" s="1"/>
  <c r="F73" i="29" s="1"/>
  <c r="J74" i="40"/>
  <c r="L74" i="40" s="1"/>
  <c r="F74" i="29" s="1"/>
  <c r="J75" i="40"/>
  <c r="L75" i="40" s="1"/>
  <c r="F75" i="29" s="1"/>
  <c r="J76" i="40"/>
  <c r="L76" i="40" s="1"/>
  <c r="F76" i="29" s="1"/>
  <c r="J77" i="40"/>
  <c r="L77" i="40" s="1"/>
  <c r="F77" i="29" s="1"/>
  <c r="J78" i="40"/>
  <c r="L78" i="40" s="1"/>
  <c r="F78" i="29" s="1"/>
  <c r="G72" i="40"/>
  <c r="I72" i="40" s="1"/>
  <c r="E72" i="29" s="1"/>
  <c r="G73" i="40"/>
  <c r="I73" i="40" s="1"/>
  <c r="E73" i="29" s="1"/>
  <c r="G74" i="40"/>
  <c r="I74" i="40" s="1"/>
  <c r="E74" i="29" s="1"/>
  <c r="G75" i="40"/>
  <c r="I75" i="40" s="1"/>
  <c r="E75" i="29" s="1"/>
  <c r="G76" i="40"/>
  <c r="I76" i="40" s="1"/>
  <c r="E76" i="29" s="1"/>
  <c r="G77" i="40"/>
  <c r="I77" i="40" s="1"/>
  <c r="E77" i="29" s="1"/>
  <c r="G78" i="40"/>
  <c r="I78" i="40" s="1"/>
  <c r="E78" i="29" s="1"/>
  <c r="S71" i="40"/>
  <c r="U71" i="40" s="1"/>
  <c r="P71" i="40"/>
  <c r="R71" i="40" s="1"/>
  <c r="M71" i="40"/>
  <c r="O71" i="40" s="1"/>
  <c r="J71" i="40"/>
  <c r="L71" i="40" s="1"/>
  <c r="G71" i="40"/>
  <c r="S62" i="40"/>
  <c r="U62" i="40" s="1"/>
  <c r="I62" i="29" s="1"/>
  <c r="S63" i="40"/>
  <c r="U63" i="40" s="1"/>
  <c r="I63" i="29" s="1"/>
  <c r="S64" i="40"/>
  <c r="U64" i="40" s="1"/>
  <c r="I64" i="29" s="1"/>
  <c r="S65" i="40"/>
  <c r="U65" i="40" s="1"/>
  <c r="I65" i="29" s="1"/>
  <c r="S66" i="40"/>
  <c r="U66" i="40" s="1"/>
  <c r="I66" i="29" s="1"/>
  <c r="S67" i="40"/>
  <c r="U67" i="40" s="1"/>
  <c r="I67" i="29" s="1"/>
  <c r="P62" i="40"/>
  <c r="R62" i="40" s="1"/>
  <c r="H62" i="29" s="1"/>
  <c r="P63" i="40"/>
  <c r="R63" i="40" s="1"/>
  <c r="H63" i="29" s="1"/>
  <c r="P64" i="40"/>
  <c r="P65" i="40"/>
  <c r="R65" i="40" s="1"/>
  <c r="H65" i="29" s="1"/>
  <c r="P66" i="40"/>
  <c r="R66" i="40" s="1"/>
  <c r="H66" i="29" s="1"/>
  <c r="P67" i="40"/>
  <c r="R67" i="40" s="1"/>
  <c r="H67" i="29" s="1"/>
  <c r="M62" i="40"/>
  <c r="O62" i="40" s="1"/>
  <c r="G62" i="29" s="1"/>
  <c r="M63" i="40"/>
  <c r="O63" i="40" s="1"/>
  <c r="G63" i="29" s="1"/>
  <c r="M64" i="40"/>
  <c r="M65" i="40"/>
  <c r="O65" i="40" s="1"/>
  <c r="G65" i="29" s="1"/>
  <c r="M66" i="40"/>
  <c r="O66" i="40" s="1"/>
  <c r="G66" i="29" s="1"/>
  <c r="M67" i="40"/>
  <c r="O67" i="40" s="1"/>
  <c r="G67" i="29" s="1"/>
  <c r="J62" i="40"/>
  <c r="L62" i="40" s="1"/>
  <c r="F62" i="29" s="1"/>
  <c r="J63" i="40"/>
  <c r="L63" i="40" s="1"/>
  <c r="F63" i="29" s="1"/>
  <c r="J64" i="40"/>
  <c r="L64" i="40" s="1"/>
  <c r="F64" i="29" s="1"/>
  <c r="J65" i="40"/>
  <c r="J66" i="40"/>
  <c r="L66" i="40" s="1"/>
  <c r="F66" i="29" s="1"/>
  <c r="J67" i="40"/>
  <c r="L67" i="40" s="1"/>
  <c r="F67" i="29" s="1"/>
  <c r="G62" i="40"/>
  <c r="I62" i="40" s="1"/>
  <c r="E62" i="29" s="1"/>
  <c r="G63" i="40"/>
  <c r="I63" i="40" s="1"/>
  <c r="E63" i="29" s="1"/>
  <c r="G64" i="40"/>
  <c r="I64" i="40" s="1"/>
  <c r="E64" i="29" s="1"/>
  <c r="G65" i="40"/>
  <c r="I65" i="40" s="1"/>
  <c r="E65" i="29" s="1"/>
  <c r="G66" i="40"/>
  <c r="I66" i="40" s="1"/>
  <c r="E66" i="29" s="1"/>
  <c r="G67" i="40"/>
  <c r="I67" i="40" s="1"/>
  <c r="E67" i="29" s="1"/>
  <c r="S61" i="40"/>
  <c r="U61" i="40" s="1"/>
  <c r="P61" i="40"/>
  <c r="R61" i="40" s="1"/>
  <c r="H61" i="29" s="1"/>
  <c r="M61" i="40"/>
  <c r="O61" i="40" s="1"/>
  <c r="J61" i="40"/>
  <c r="L61" i="40" s="1"/>
  <c r="G61" i="40"/>
  <c r="I61" i="40" s="1"/>
  <c r="S55" i="40"/>
  <c r="U55" i="40" s="1"/>
  <c r="I55" i="29" s="1"/>
  <c r="S56" i="40"/>
  <c r="U56" i="40" s="1"/>
  <c r="I56" i="29" s="1"/>
  <c r="S57" i="40"/>
  <c r="U57" i="40" s="1"/>
  <c r="I57" i="29" s="1"/>
  <c r="P55" i="40"/>
  <c r="R55" i="40" s="1"/>
  <c r="H55" i="29" s="1"/>
  <c r="P56" i="40"/>
  <c r="R56" i="40" s="1"/>
  <c r="H56" i="29" s="1"/>
  <c r="P57" i="40"/>
  <c r="R57" i="40" s="1"/>
  <c r="H57" i="29" s="1"/>
  <c r="M55" i="40"/>
  <c r="O55" i="40" s="1"/>
  <c r="G55" i="29" s="1"/>
  <c r="M56" i="40"/>
  <c r="O56" i="40" s="1"/>
  <c r="G56" i="29" s="1"/>
  <c r="M57" i="40"/>
  <c r="O57" i="40" s="1"/>
  <c r="G57" i="29" s="1"/>
  <c r="J55" i="40"/>
  <c r="L55" i="40" s="1"/>
  <c r="F55" i="29" s="1"/>
  <c r="J56" i="40"/>
  <c r="L56" i="40" s="1"/>
  <c r="F56" i="29" s="1"/>
  <c r="J57" i="40"/>
  <c r="L57" i="40" s="1"/>
  <c r="F57" i="29" s="1"/>
  <c r="G55" i="40"/>
  <c r="I55" i="40" s="1"/>
  <c r="E55" i="29" s="1"/>
  <c r="G56" i="40"/>
  <c r="I56" i="40" s="1"/>
  <c r="E56" i="29" s="1"/>
  <c r="G57" i="40"/>
  <c r="I57" i="40" s="1"/>
  <c r="E57" i="29" s="1"/>
  <c r="S54" i="40"/>
  <c r="U54" i="40" s="1"/>
  <c r="P54" i="40"/>
  <c r="R54" i="40" s="1"/>
  <c r="M54" i="40"/>
  <c r="O54" i="40" s="1"/>
  <c r="J54" i="40"/>
  <c r="L54" i="40" s="1"/>
  <c r="G54" i="40"/>
  <c r="S45" i="40"/>
  <c r="U45" i="40" s="1"/>
  <c r="I45" i="29" s="1"/>
  <c r="S46" i="40"/>
  <c r="U46" i="40" s="1"/>
  <c r="I46" i="29" s="1"/>
  <c r="S47" i="40"/>
  <c r="S48" i="40"/>
  <c r="U48" i="40" s="1"/>
  <c r="I48" i="29" s="1"/>
  <c r="S50" i="40"/>
  <c r="U50" i="40" s="1"/>
  <c r="I50" i="29" s="1"/>
  <c r="P50" i="40"/>
  <c r="R50" i="40" s="1"/>
  <c r="H50" i="29" s="1"/>
  <c r="P45" i="40"/>
  <c r="R45" i="40" s="1"/>
  <c r="H45" i="29" s="1"/>
  <c r="P46" i="40"/>
  <c r="R46" i="40" s="1"/>
  <c r="H46" i="29" s="1"/>
  <c r="P47" i="40"/>
  <c r="R47" i="40" s="1"/>
  <c r="H47" i="29" s="1"/>
  <c r="P48" i="40"/>
  <c r="R48" i="40" s="1"/>
  <c r="H48" i="29" s="1"/>
  <c r="M45" i="40"/>
  <c r="O45" i="40" s="1"/>
  <c r="G45" i="29" s="1"/>
  <c r="M46" i="40"/>
  <c r="O46" i="40" s="1"/>
  <c r="G46" i="29" s="1"/>
  <c r="M47" i="40"/>
  <c r="O47" i="40" s="1"/>
  <c r="G47" i="29" s="1"/>
  <c r="M48" i="40"/>
  <c r="O48" i="40" s="1"/>
  <c r="G48" i="29" s="1"/>
  <c r="M50" i="40"/>
  <c r="O50" i="40" s="1"/>
  <c r="G50" i="29" s="1"/>
  <c r="J45" i="40"/>
  <c r="L45" i="40" s="1"/>
  <c r="F45" i="29" s="1"/>
  <c r="J46" i="40"/>
  <c r="L46" i="40" s="1"/>
  <c r="F46" i="29" s="1"/>
  <c r="J47" i="40"/>
  <c r="L47" i="40" s="1"/>
  <c r="F47" i="29" s="1"/>
  <c r="J48" i="40"/>
  <c r="L48" i="40" s="1"/>
  <c r="F48" i="29" s="1"/>
  <c r="J50" i="40"/>
  <c r="L50" i="40" s="1"/>
  <c r="F50" i="29" s="1"/>
  <c r="G45" i="40"/>
  <c r="I45" i="40" s="1"/>
  <c r="E45" i="29" s="1"/>
  <c r="G46" i="40"/>
  <c r="I46" i="40" s="1"/>
  <c r="E46" i="29" s="1"/>
  <c r="G47" i="40"/>
  <c r="I47" i="40" s="1"/>
  <c r="E47" i="29" s="1"/>
  <c r="G48" i="40"/>
  <c r="I48" i="40" s="1"/>
  <c r="E48" i="29" s="1"/>
  <c r="G50" i="40"/>
  <c r="I50" i="40" s="1"/>
  <c r="E50" i="29" s="1"/>
  <c r="S44" i="40"/>
  <c r="P44" i="40"/>
  <c r="R44" i="40" s="1"/>
  <c r="M44" i="40"/>
  <c r="J44" i="40"/>
  <c r="L44" i="40" s="1"/>
  <c r="G44" i="40"/>
  <c r="S37" i="40"/>
  <c r="U37" i="40" s="1"/>
  <c r="I37" i="29" s="1"/>
  <c r="S38" i="40"/>
  <c r="U38" i="40" s="1"/>
  <c r="I38" i="29" s="1"/>
  <c r="P37" i="40"/>
  <c r="R37" i="40" s="1"/>
  <c r="H37" i="29" s="1"/>
  <c r="P38" i="40"/>
  <c r="R38" i="40" s="1"/>
  <c r="H38" i="29" s="1"/>
  <c r="M37" i="40"/>
  <c r="O37" i="40" s="1"/>
  <c r="G37" i="29" s="1"/>
  <c r="M38" i="40"/>
  <c r="O38" i="40" s="1"/>
  <c r="G38" i="29" s="1"/>
  <c r="J37" i="40"/>
  <c r="L37" i="40" s="1"/>
  <c r="F37" i="29" s="1"/>
  <c r="J38" i="40"/>
  <c r="L38" i="40" s="1"/>
  <c r="F38" i="29" s="1"/>
  <c r="G37" i="40"/>
  <c r="I37" i="40" s="1"/>
  <c r="E37" i="29" s="1"/>
  <c r="G38" i="40"/>
  <c r="I38" i="40" s="1"/>
  <c r="E38" i="29" s="1"/>
  <c r="S36" i="40"/>
  <c r="U36" i="40" s="1"/>
  <c r="P36" i="40"/>
  <c r="R36" i="40" s="1"/>
  <c r="M36" i="40"/>
  <c r="O36" i="40" s="1"/>
  <c r="G36" i="29" s="1"/>
  <c r="J36" i="40"/>
  <c r="G36" i="40"/>
  <c r="S29" i="40"/>
  <c r="U29" i="40" s="1"/>
  <c r="I29" i="29" s="1"/>
  <c r="S30" i="40"/>
  <c r="U30" i="40" s="1"/>
  <c r="I30" i="29" s="1"/>
  <c r="P29" i="40"/>
  <c r="R29" i="40" s="1"/>
  <c r="H29" i="29" s="1"/>
  <c r="P30" i="40"/>
  <c r="R30" i="40" s="1"/>
  <c r="H30" i="29" s="1"/>
  <c r="M29" i="40"/>
  <c r="O29" i="40" s="1"/>
  <c r="G29" i="29" s="1"/>
  <c r="M30" i="40"/>
  <c r="O30" i="40" s="1"/>
  <c r="G30" i="29" s="1"/>
  <c r="J29" i="40"/>
  <c r="L29" i="40" s="1"/>
  <c r="F29" i="29" s="1"/>
  <c r="J30" i="40"/>
  <c r="L30" i="40" s="1"/>
  <c r="F30" i="29" s="1"/>
  <c r="S28" i="40"/>
  <c r="P28" i="40"/>
  <c r="M28" i="40"/>
  <c r="O28" i="40" s="1"/>
  <c r="G28" i="29" s="1"/>
  <c r="J28" i="40"/>
  <c r="G29" i="40"/>
  <c r="I29" i="40" s="1"/>
  <c r="E29" i="29" s="1"/>
  <c r="G30" i="40"/>
  <c r="I30" i="40" s="1"/>
  <c r="E30" i="29" s="1"/>
  <c r="G28" i="40"/>
  <c r="S20" i="40"/>
  <c r="U20" i="40" s="1"/>
  <c r="I20" i="29" s="1"/>
  <c r="S19" i="40"/>
  <c r="U19" i="40" s="1"/>
  <c r="I19" i="29" s="1"/>
  <c r="P20" i="40"/>
  <c r="R20" i="40" s="1"/>
  <c r="H20" i="29" s="1"/>
  <c r="P19" i="40"/>
  <c r="R19" i="40" s="1"/>
  <c r="H19" i="29" s="1"/>
  <c r="M20" i="40"/>
  <c r="O20" i="40" s="1"/>
  <c r="G20" i="29" s="1"/>
  <c r="M19" i="40"/>
  <c r="O19" i="40" s="1"/>
  <c r="G19" i="29" s="1"/>
  <c r="J20" i="40"/>
  <c r="L20" i="40" s="1"/>
  <c r="F20" i="29" s="1"/>
  <c r="J19" i="40"/>
  <c r="L19" i="40" s="1"/>
  <c r="F19" i="29" s="1"/>
  <c r="G20" i="40"/>
  <c r="I20" i="40" s="1"/>
  <c r="E20" i="29" s="1"/>
  <c r="G19" i="40"/>
  <c r="I19" i="40" s="1"/>
  <c r="E19" i="29" s="1"/>
  <c r="D20" i="40"/>
  <c r="F20" i="40" s="1"/>
  <c r="D20" i="29" s="1"/>
  <c r="D19" i="40"/>
  <c r="F19" i="40" s="1"/>
  <c r="D19" i="29" s="1"/>
  <c r="S14" i="40"/>
  <c r="U14" i="40" s="1"/>
  <c r="I14" i="29" s="1"/>
  <c r="S15" i="40"/>
  <c r="U15" i="40" s="1"/>
  <c r="I15" i="29" s="1"/>
  <c r="S13" i="40"/>
  <c r="P14" i="40"/>
  <c r="P15" i="40"/>
  <c r="P13" i="40"/>
  <c r="R13" i="40" s="1"/>
  <c r="H13" i="29" s="1"/>
  <c r="M14" i="40"/>
  <c r="O14" i="40" s="1"/>
  <c r="G14" i="29" s="1"/>
  <c r="M15" i="40"/>
  <c r="O15" i="40" s="1"/>
  <c r="G15" i="29" s="1"/>
  <c r="M13" i="40"/>
  <c r="O13" i="40" s="1"/>
  <c r="G13" i="29" s="1"/>
  <c r="J14" i="40"/>
  <c r="L14" i="40" s="1"/>
  <c r="F14" i="29" s="1"/>
  <c r="J15" i="40"/>
  <c r="L15" i="40" s="1"/>
  <c r="F15" i="29" s="1"/>
  <c r="J13" i="40"/>
  <c r="L13" i="40" s="1"/>
  <c r="F13" i="29" s="1"/>
  <c r="G14" i="40"/>
  <c r="I14" i="40" s="1"/>
  <c r="E14" i="29" s="1"/>
  <c r="G15" i="40"/>
  <c r="I15" i="40" s="1"/>
  <c r="E15" i="29" s="1"/>
  <c r="G13" i="40"/>
  <c r="I13" i="40" s="1"/>
  <c r="E13" i="29" s="1"/>
  <c r="W90" i="40"/>
  <c r="W86" i="40"/>
  <c r="I85" i="2"/>
  <c r="J85" i="2" s="1"/>
  <c r="W79" i="40"/>
  <c r="W78" i="40"/>
  <c r="W77" i="40"/>
  <c r="W76" i="40"/>
  <c r="W75" i="40"/>
  <c r="W74" i="40"/>
  <c r="W73" i="40"/>
  <c r="W72" i="40"/>
  <c r="W71" i="40"/>
  <c r="W68" i="40"/>
  <c r="W67" i="40"/>
  <c r="W66" i="40"/>
  <c r="W65" i="40"/>
  <c r="W64" i="40"/>
  <c r="W63" i="40"/>
  <c r="W62" i="40"/>
  <c r="W61" i="40"/>
  <c r="W58" i="40"/>
  <c r="W57" i="40"/>
  <c r="W56" i="40"/>
  <c r="W55" i="40"/>
  <c r="W54" i="40"/>
  <c r="W51" i="40"/>
  <c r="W50" i="40"/>
  <c r="W47" i="40"/>
  <c r="W46" i="40"/>
  <c r="W45" i="40"/>
  <c r="W44" i="40"/>
  <c r="W39" i="40"/>
  <c r="W38" i="40"/>
  <c r="W37" i="40"/>
  <c r="W36" i="40"/>
  <c r="W30" i="40"/>
  <c r="W29" i="40"/>
  <c r="W28" i="40"/>
  <c r="W85" i="40"/>
  <c r="W84" i="40"/>
  <c r="W83" i="40"/>
  <c r="W82" i="40"/>
  <c r="J74" i="2"/>
  <c r="J81" i="2"/>
  <c r="J14" i="2"/>
  <c r="J13" i="2"/>
  <c r="J12" i="2"/>
  <c r="W20" i="40"/>
  <c r="W19" i="40"/>
  <c r="W15" i="40"/>
  <c r="W14" i="40"/>
  <c r="T25" i="40"/>
  <c r="Q25" i="40"/>
  <c r="R25" i="40"/>
  <c r="N25" i="40"/>
  <c r="O25" i="40"/>
  <c r="K25" i="40"/>
  <c r="H25" i="40"/>
  <c r="T21" i="40"/>
  <c r="Q21" i="40"/>
  <c r="N21" i="40"/>
  <c r="K21" i="40"/>
  <c r="H21" i="40"/>
  <c r="E21" i="40"/>
  <c r="T16" i="40"/>
  <c r="Q16" i="40"/>
  <c r="N16" i="40"/>
  <c r="K16" i="40"/>
  <c r="H16" i="40"/>
  <c r="E16" i="40"/>
  <c r="D14" i="40"/>
  <c r="F14" i="40" s="1"/>
  <c r="D14" i="29" s="1"/>
  <c r="D15" i="40"/>
  <c r="F15" i="40" s="1"/>
  <c r="D15" i="29" s="1"/>
  <c r="D13" i="40"/>
  <c r="F313" i="52"/>
  <c r="F312" i="52"/>
  <c r="F304" i="52"/>
  <c r="F303" i="52"/>
  <c r="F295" i="52"/>
  <c r="F294" i="52"/>
  <c r="F286" i="52"/>
  <c r="F285" i="52"/>
  <c r="F277" i="52"/>
  <c r="F276" i="52"/>
  <c r="F268" i="52"/>
  <c r="F267" i="52"/>
  <c r="F259" i="52"/>
  <c r="F258" i="52"/>
  <c r="F250" i="52"/>
  <c r="F249" i="52"/>
  <c r="F241" i="52"/>
  <c r="F240" i="52"/>
  <c r="F232" i="52"/>
  <c r="F231" i="52"/>
  <c r="F223" i="52"/>
  <c r="F222" i="52"/>
  <c r="F214" i="52"/>
  <c r="F213" i="52"/>
  <c r="F205" i="52"/>
  <c r="F204" i="52"/>
  <c r="F196" i="52"/>
  <c r="F195" i="52"/>
  <c r="F187" i="52"/>
  <c r="F186" i="52"/>
  <c r="F178" i="52"/>
  <c r="F177" i="52"/>
  <c r="F169" i="52"/>
  <c r="F168" i="52"/>
  <c r="F160" i="52"/>
  <c r="F159" i="52"/>
  <c r="F151" i="52"/>
  <c r="F150" i="52"/>
  <c r="F142" i="52"/>
  <c r="F141" i="52"/>
  <c r="F133" i="52"/>
  <c r="F132" i="52"/>
  <c r="F124" i="52"/>
  <c r="F123" i="52"/>
  <c r="F115" i="52"/>
  <c r="F114" i="52"/>
  <c r="F106" i="52"/>
  <c r="F105" i="52"/>
  <c r="F97" i="52"/>
  <c r="F96" i="52"/>
  <c r="F88" i="52"/>
  <c r="F87" i="52"/>
  <c r="F79" i="52"/>
  <c r="F78" i="52"/>
  <c r="F70" i="52"/>
  <c r="F69" i="52"/>
  <c r="F61" i="52"/>
  <c r="F60" i="52"/>
  <c r="F52" i="52"/>
  <c r="F51" i="52"/>
  <c r="B299" i="52"/>
  <c r="L197" i="51"/>
  <c r="D197" i="51"/>
  <c r="P196" i="51"/>
  <c r="H196" i="51"/>
  <c r="P195" i="51"/>
  <c r="H195" i="51"/>
  <c r="P194" i="51"/>
  <c r="H194" i="51"/>
  <c r="P193" i="51"/>
  <c r="H193" i="51"/>
  <c r="P192" i="51"/>
  <c r="H192" i="51"/>
  <c r="P191" i="51"/>
  <c r="H191" i="51"/>
  <c r="P190" i="51"/>
  <c r="H190" i="51"/>
  <c r="P189" i="51"/>
  <c r="H189" i="51"/>
  <c r="P188" i="51"/>
  <c r="H188" i="51"/>
  <c r="P187" i="51"/>
  <c r="H187" i="51"/>
  <c r="P186" i="51"/>
  <c r="H186" i="51"/>
  <c r="P185" i="51"/>
  <c r="H185" i="51"/>
  <c r="P184" i="51"/>
  <c r="H184" i="51"/>
  <c r="P183" i="51"/>
  <c r="H183" i="51"/>
  <c r="P182" i="51"/>
  <c r="H182" i="51"/>
  <c r="P181" i="51"/>
  <c r="H181" i="51"/>
  <c r="P180" i="51"/>
  <c r="H180" i="51"/>
  <c r="P179" i="51"/>
  <c r="H179" i="51"/>
  <c r="P178" i="51"/>
  <c r="H178" i="51"/>
  <c r="P177" i="51"/>
  <c r="H177" i="51"/>
  <c r="P176" i="51"/>
  <c r="H176" i="51"/>
  <c r="P175" i="51"/>
  <c r="H175" i="51"/>
  <c r="P174" i="51"/>
  <c r="H174" i="51"/>
  <c r="P173" i="51"/>
  <c r="H173" i="51"/>
  <c r="P172" i="51"/>
  <c r="H172" i="51"/>
  <c r="P171" i="51"/>
  <c r="H171" i="51"/>
  <c r="P170" i="51"/>
  <c r="H170" i="51"/>
  <c r="P169" i="51"/>
  <c r="H169" i="51"/>
  <c r="P168" i="51"/>
  <c r="H168" i="51"/>
  <c r="P167" i="51"/>
  <c r="H167" i="51"/>
  <c r="P166" i="51"/>
  <c r="H166" i="51"/>
  <c r="P165" i="51"/>
  <c r="H165" i="51"/>
  <c r="P164" i="51"/>
  <c r="H164" i="51"/>
  <c r="P163" i="51"/>
  <c r="H163" i="51"/>
  <c r="P162" i="51"/>
  <c r="H162" i="51"/>
  <c r="P161" i="51"/>
  <c r="H161" i="51"/>
  <c r="P160" i="51"/>
  <c r="H160" i="51"/>
  <c r="P159" i="51"/>
  <c r="H159" i="51"/>
  <c r="P158" i="51"/>
  <c r="H158" i="51"/>
  <c r="P157" i="51"/>
  <c r="H157" i="51"/>
  <c r="P156" i="51"/>
  <c r="H156" i="51"/>
  <c r="P155" i="51"/>
  <c r="H155" i="51"/>
  <c r="P154" i="51"/>
  <c r="H154" i="51"/>
  <c r="P153" i="51"/>
  <c r="H153" i="51"/>
  <c r="P152" i="51"/>
  <c r="H152" i="51"/>
  <c r="P150" i="51"/>
  <c r="H150" i="51"/>
  <c r="P149" i="51"/>
  <c r="H149" i="51"/>
  <c r="P148" i="51"/>
  <c r="H148" i="51"/>
  <c r="P147" i="51"/>
  <c r="H147" i="51"/>
  <c r="P146" i="51"/>
  <c r="H146" i="51"/>
  <c r="P145" i="51"/>
  <c r="H145" i="51"/>
  <c r="P144" i="51"/>
  <c r="H144" i="51"/>
  <c r="P143" i="51"/>
  <c r="H143" i="51"/>
  <c r="P142" i="51"/>
  <c r="H142" i="51"/>
  <c r="P141" i="51"/>
  <c r="H141" i="51"/>
  <c r="P140" i="51"/>
  <c r="H140" i="51"/>
  <c r="P139" i="51"/>
  <c r="H139" i="51"/>
  <c r="P138" i="51"/>
  <c r="H138" i="51"/>
  <c r="P137" i="51"/>
  <c r="H137" i="51"/>
  <c r="P136" i="51"/>
  <c r="H136" i="51"/>
  <c r="P135" i="51"/>
  <c r="H135" i="51"/>
  <c r="P134" i="51"/>
  <c r="H134" i="51"/>
  <c r="P133" i="51"/>
  <c r="H133" i="51"/>
  <c r="P132" i="51"/>
  <c r="H132" i="51"/>
  <c r="P131" i="51"/>
  <c r="H131" i="51"/>
  <c r="P130" i="51"/>
  <c r="H130" i="51"/>
  <c r="P129" i="51"/>
  <c r="H129" i="51"/>
  <c r="P128" i="51"/>
  <c r="H128" i="51"/>
  <c r="P127" i="51"/>
  <c r="H127" i="51"/>
  <c r="P126" i="51"/>
  <c r="H126" i="51"/>
  <c r="P125" i="51"/>
  <c r="H125" i="51"/>
  <c r="P124" i="51"/>
  <c r="H124" i="51"/>
  <c r="P123" i="51"/>
  <c r="H123" i="51"/>
  <c r="P122" i="51"/>
  <c r="H122" i="51"/>
  <c r="P121" i="51"/>
  <c r="H121" i="51"/>
  <c r="P120" i="51"/>
  <c r="H120" i="51"/>
  <c r="P119" i="51"/>
  <c r="H119" i="51"/>
  <c r="P118" i="51"/>
  <c r="H118" i="51"/>
  <c r="P117" i="51"/>
  <c r="H117" i="51"/>
  <c r="P116" i="51"/>
  <c r="H116" i="51"/>
  <c r="P115" i="51"/>
  <c r="H115" i="51"/>
  <c r="P114" i="51"/>
  <c r="H114" i="51"/>
  <c r="P113" i="51"/>
  <c r="H113" i="51"/>
  <c r="P112" i="51"/>
  <c r="H112" i="51"/>
  <c r="P111" i="51"/>
  <c r="H111" i="51"/>
  <c r="P110" i="51"/>
  <c r="H110" i="51"/>
  <c r="P109" i="51"/>
  <c r="H109" i="51"/>
  <c r="P108" i="51"/>
  <c r="H108" i="51"/>
  <c r="P107" i="51"/>
  <c r="H107" i="51"/>
  <c r="P106" i="51"/>
  <c r="H106" i="51"/>
  <c r="P105" i="51"/>
  <c r="H105" i="51"/>
  <c r="P104" i="51"/>
  <c r="H104" i="51"/>
  <c r="P103" i="51"/>
  <c r="H103" i="51"/>
  <c r="P102" i="51"/>
  <c r="H102" i="51"/>
  <c r="P101" i="51"/>
  <c r="H101" i="51"/>
  <c r="P100" i="51"/>
  <c r="H100" i="51"/>
  <c r="P99" i="51"/>
  <c r="H99" i="51"/>
  <c r="P98" i="51"/>
  <c r="H98" i="51"/>
  <c r="P97" i="51"/>
  <c r="H97" i="51"/>
  <c r="P96" i="51"/>
  <c r="H96" i="51"/>
  <c r="P95" i="51"/>
  <c r="H95" i="51"/>
  <c r="P94" i="51"/>
  <c r="H94" i="51"/>
  <c r="P93" i="51"/>
  <c r="H93" i="51"/>
  <c r="P92" i="51"/>
  <c r="H92" i="51"/>
  <c r="P91" i="51"/>
  <c r="H91" i="51"/>
  <c r="P90" i="51"/>
  <c r="H90" i="51"/>
  <c r="P89" i="51"/>
  <c r="H89" i="51"/>
  <c r="P88" i="51"/>
  <c r="H88" i="51"/>
  <c r="P87" i="51"/>
  <c r="H87" i="51"/>
  <c r="P86" i="51"/>
  <c r="H86" i="51"/>
  <c r="P85" i="51"/>
  <c r="H85" i="51"/>
  <c r="P84" i="51"/>
  <c r="H84" i="51"/>
  <c r="P83" i="51"/>
  <c r="H83" i="51"/>
  <c r="P82" i="51"/>
  <c r="H82" i="51"/>
  <c r="P81" i="51"/>
  <c r="H81" i="51"/>
  <c r="P80" i="51"/>
  <c r="H80" i="51"/>
  <c r="P79" i="51"/>
  <c r="H79" i="51"/>
  <c r="P78" i="51"/>
  <c r="H78" i="51"/>
  <c r="P77" i="51"/>
  <c r="H77" i="51"/>
  <c r="P76" i="51"/>
  <c r="H76" i="51"/>
  <c r="P75" i="51"/>
  <c r="H75" i="51"/>
  <c r="P74" i="51"/>
  <c r="H74" i="51"/>
  <c r="P73" i="51"/>
  <c r="H73" i="51"/>
  <c r="P72" i="51"/>
  <c r="H72" i="51"/>
  <c r="P71" i="51"/>
  <c r="H71" i="51"/>
  <c r="P70" i="51"/>
  <c r="H70" i="51"/>
  <c r="P69" i="51"/>
  <c r="H69" i="51"/>
  <c r="P68" i="51"/>
  <c r="H68" i="51"/>
  <c r="P67" i="51"/>
  <c r="H67" i="51"/>
  <c r="P66" i="51"/>
  <c r="H66" i="51"/>
  <c r="P65" i="51"/>
  <c r="H65" i="51"/>
  <c r="P64" i="51"/>
  <c r="H64" i="51"/>
  <c r="P63" i="51"/>
  <c r="H63" i="51"/>
  <c r="P62" i="51"/>
  <c r="H62" i="51"/>
  <c r="P61" i="51"/>
  <c r="H61" i="51"/>
  <c r="P60" i="51"/>
  <c r="H60" i="51"/>
  <c r="P59" i="51"/>
  <c r="H59" i="51"/>
  <c r="P58" i="51"/>
  <c r="H58" i="51"/>
  <c r="P57" i="51"/>
  <c r="H57" i="51"/>
  <c r="P56" i="51"/>
  <c r="H56" i="51"/>
  <c r="P55" i="51"/>
  <c r="H55" i="51"/>
  <c r="P54" i="51"/>
  <c r="H54" i="51"/>
  <c r="P53" i="51"/>
  <c r="H53" i="51"/>
  <c r="P52" i="51"/>
  <c r="H52" i="51"/>
  <c r="P51" i="51"/>
  <c r="H51" i="51"/>
  <c r="P50" i="51"/>
  <c r="H50" i="51"/>
  <c r="P49" i="51"/>
  <c r="H49" i="51"/>
  <c r="P48" i="51"/>
  <c r="H48" i="51"/>
  <c r="P47" i="51"/>
  <c r="H47" i="51"/>
  <c r="P46" i="51"/>
  <c r="H46" i="51"/>
  <c r="P45" i="51"/>
  <c r="H45" i="51"/>
  <c r="P44" i="51"/>
  <c r="H44" i="51"/>
  <c r="P43" i="51"/>
  <c r="H43" i="51"/>
  <c r="P42" i="51"/>
  <c r="H42" i="51"/>
  <c r="P41" i="51"/>
  <c r="H41" i="51"/>
  <c r="P40" i="51"/>
  <c r="H40" i="51"/>
  <c r="P39" i="51"/>
  <c r="H39" i="51"/>
  <c r="P38" i="51"/>
  <c r="H38" i="51"/>
  <c r="P37" i="51"/>
  <c r="H37" i="51"/>
  <c r="P36" i="51"/>
  <c r="H36" i="51"/>
  <c r="P35" i="51"/>
  <c r="H35" i="51"/>
  <c r="P34" i="51"/>
  <c r="H34" i="51"/>
  <c r="P33" i="51"/>
  <c r="H33" i="51"/>
  <c r="P32" i="51"/>
  <c r="H32" i="51"/>
  <c r="P31" i="51"/>
  <c r="H31" i="51"/>
  <c r="P30" i="51"/>
  <c r="H30" i="51"/>
  <c r="P29" i="51"/>
  <c r="H29" i="51"/>
  <c r="P28" i="51"/>
  <c r="H28" i="51"/>
  <c r="P27" i="51"/>
  <c r="H27" i="51"/>
  <c r="P26" i="51"/>
  <c r="H26" i="51"/>
  <c r="P25" i="51"/>
  <c r="H25" i="51"/>
  <c r="P24" i="51"/>
  <c r="H24" i="51"/>
  <c r="P23" i="51"/>
  <c r="H23" i="51"/>
  <c r="P22" i="51"/>
  <c r="H22" i="51"/>
  <c r="P21" i="51"/>
  <c r="H21" i="51"/>
  <c r="P20" i="51"/>
  <c r="H20" i="51"/>
  <c r="H19" i="51"/>
  <c r="K185" i="50"/>
  <c r="K184" i="50"/>
  <c r="K183" i="50"/>
  <c r="K182" i="50"/>
  <c r="K181" i="50"/>
  <c r="K180" i="50"/>
  <c r="K179" i="50"/>
  <c r="K178" i="50"/>
  <c r="M178" i="50" s="1"/>
  <c r="N178" i="50" s="1"/>
  <c r="K177" i="50"/>
  <c r="O168" i="50"/>
  <c r="M168" i="50"/>
  <c r="F168" i="50"/>
  <c r="Q163" i="50"/>
  <c r="D314" i="52" s="1"/>
  <c r="K163" i="50"/>
  <c r="P163" i="50" s="1"/>
  <c r="D316" i="52" s="1"/>
  <c r="I163" i="50"/>
  <c r="Q158" i="50"/>
  <c r="D305" i="52" s="1"/>
  <c r="K158" i="50"/>
  <c r="I158" i="50"/>
  <c r="Q153" i="50"/>
  <c r="D296" i="52" s="1"/>
  <c r="K153" i="50"/>
  <c r="D293" i="52" s="1"/>
  <c r="I153" i="50"/>
  <c r="Q148" i="50"/>
  <c r="K148" i="50"/>
  <c r="D284" i="52" s="1"/>
  <c r="I148" i="50"/>
  <c r="Q143" i="50"/>
  <c r="D278" i="52" s="1"/>
  <c r="K143" i="50"/>
  <c r="I143" i="50"/>
  <c r="Q138" i="50"/>
  <c r="K138" i="50"/>
  <c r="I138" i="50"/>
  <c r="Q133" i="50"/>
  <c r="D260" i="52" s="1"/>
  <c r="K133" i="50"/>
  <c r="D257" i="52" s="1"/>
  <c r="I133" i="50"/>
  <c r="Q128" i="50"/>
  <c r="D251" i="52" s="1"/>
  <c r="K128" i="50"/>
  <c r="I128" i="50"/>
  <c r="Q123" i="50"/>
  <c r="K123" i="50"/>
  <c r="I123" i="50"/>
  <c r="Q118" i="50"/>
  <c r="D233" i="52" s="1"/>
  <c r="K118" i="50"/>
  <c r="I118" i="50"/>
  <c r="Q113" i="50"/>
  <c r="K113" i="50"/>
  <c r="N113" i="50" s="1"/>
  <c r="D225" i="52" s="1"/>
  <c r="I113" i="50"/>
  <c r="Q108" i="50"/>
  <c r="D215" i="52" s="1"/>
  <c r="K108" i="50"/>
  <c r="I108" i="50"/>
  <c r="Q103" i="50"/>
  <c r="K103" i="50"/>
  <c r="I103" i="50"/>
  <c r="Q98" i="50"/>
  <c r="D197" i="52" s="1"/>
  <c r="K98" i="50"/>
  <c r="I98" i="50"/>
  <c r="Q93" i="50"/>
  <c r="D188" i="52" s="1"/>
  <c r="K93" i="50"/>
  <c r="D185" i="52" s="1"/>
  <c r="I93" i="50"/>
  <c r="Q88" i="50"/>
  <c r="K88" i="50"/>
  <c r="I88" i="50"/>
  <c r="Q83" i="50"/>
  <c r="D170" i="52" s="1"/>
  <c r="K83" i="50"/>
  <c r="I83" i="50"/>
  <c r="Q78" i="50"/>
  <c r="K78" i="50"/>
  <c r="I78" i="50"/>
  <c r="Q73" i="50"/>
  <c r="D152" i="52" s="1"/>
  <c r="K73" i="50"/>
  <c r="D149" i="52" s="1"/>
  <c r="I73" i="50"/>
  <c r="Q68" i="50"/>
  <c r="D143" i="52" s="1"/>
  <c r="K68" i="50"/>
  <c r="I68" i="50"/>
  <c r="Q63" i="50"/>
  <c r="K63" i="50"/>
  <c r="I63" i="50"/>
  <c r="Q58" i="50"/>
  <c r="D125" i="52" s="1"/>
  <c r="K58" i="50"/>
  <c r="I58" i="50"/>
  <c r="Q53" i="50"/>
  <c r="K53" i="50"/>
  <c r="N53" i="50" s="1"/>
  <c r="D117" i="52" s="1"/>
  <c r="I53" i="50"/>
  <c r="Q48" i="50"/>
  <c r="D107" i="52" s="1"/>
  <c r="K48" i="50"/>
  <c r="I48" i="50"/>
  <c r="Q43" i="50"/>
  <c r="K43" i="50"/>
  <c r="I43" i="50"/>
  <c r="Q38" i="50"/>
  <c r="K38" i="50"/>
  <c r="I38" i="50"/>
  <c r="Q33" i="50"/>
  <c r="D80" i="52" s="1"/>
  <c r="K33" i="50"/>
  <c r="D77" i="52" s="1"/>
  <c r="I33" i="50"/>
  <c r="Q28" i="50"/>
  <c r="K28" i="50"/>
  <c r="I28" i="50"/>
  <c r="Q23" i="50"/>
  <c r="D62" i="52" s="1"/>
  <c r="K23" i="50"/>
  <c r="I23" i="50"/>
  <c r="Q18" i="50"/>
  <c r="D53" i="52" s="1"/>
  <c r="K18" i="50"/>
  <c r="D50" i="52" s="1"/>
  <c r="I18" i="50"/>
  <c r="N73" i="49"/>
  <c r="F73" i="49"/>
  <c r="N73" i="48"/>
  <c r="N73" i="47"/>
  <c r="F73" i="47"/>
  <c r="N73" i="46"/>
  <c r="J30" i="43"/>
  <c r="J29" i="43"/>
  <c r="A29" i="43"/>
  <c r="A30" i="43" s="1"/>
  <c r="J28" i="43"/>
  <c r="J27" i="43"/>
  <c r="J24" i="43"/>
  <c r="J23" i="43"/>
  <c r="J22" i="43"/>
  <c r="J21" i="43"/>
  <c r="J20" i="43"/>
  <c r="J19" i="43"/>
  <c r="J18" i="43"/>
  <c r="J17" i="43"/>
  <c r="J16" i="43"/>
  <c r="A16" i="43"/>
  <c r="J30" i="41"/>
  <c r="A30" i="41"/>
  <c r="J29" i="41"/>
  <c r="J24" i="41"/>
  <c r="J28" i="41" s="1"/>
  <c r="J23" i="41"/>
  <c r="J22" i="41"/>
  <c r="J21" i="41"/>
  <c r="J27" i="41" s="1"/>
  <c r="A21" i="41"/>
  <c r="H198" i="39"/>
  <c r="D31" i="52" s="1"/>
  <c r="D30" i="52"/>
  <c r="J197" i="39"/>
  <c r="F197" i="39"/>
  <c r="J196" i="39"/>
  <c r="F196" i="39"/>
  <c r="J195" i="39"/>
  <c r="F195" i="39"/>
  <c r="J194" i="39"/>
  <c r="F194" i="39"/>
  <c r="J193" i="39"/>
  <c r="F193" i="39"/>
  <c r="J192" i="39"/>
  <c r="F192" i="39"/>
  <c r="J191" i="39"/>
  <c r="F191" i="39"/>
  <c r="J190" i="39"/>
  <c r="F190" i="39"/>
  <c r="J189" i="39"/>
  <c r="F189" i="39"/>
  <c r="J188" i="39"/>
  <c r="F188" i="39"/>
  <c r="J187" i="39"/>
  <c r="F187" i="39"/>
  <c r="J186" i="39"/>
  <c r="F186" i="39"/>
  <c r="J185" i="39"/>
  <c r="F185" i="39"/>
  <c r="J184" i="39"/>
  <c r="F184" i="39"/>
  <c r="J183" i="39"/>
  <c r="F183" i="39"/>
  <c r="J182" i="39"/>
  <c r="F182" i="39"/>
  <c r="J181" i="39"/>
  <c r="F181" i="39"/>
  <c r="J180" i="39"/>
  <c r="F180" i="39"/>
  <c r="J179" i="39"/>
  <c r="F179" i="39"/>
  <c r="J178" i="39"/>
  <c r="F178" i="39"/>
  <c r="J177" i="39"/>
  <c r="F177" i="39"/>
  <c r="J176" i="39"/>
  <c r="F176" i="39"/>
  <c r="J175" i="39"/>
  <c r="F175" i="39"/>
  <c r="J174" i="39"/>
  <c r="F174" i="39"/>
  <c r="J173" i="39"/>
  <c r="F173" i="39"/>
  <c r="J172" i="39"/>
  <c r="F172" i="39"/>
  <c r="J171" i="39"/>
  <c r="F171" i="39"/>
  <c r="J170" i="39"/>
  <c r="F170" i="39"/>
  <c r="J169" i="39"/>
  <c r="F169" i="39"/>
  <c r="J168" i="39"/>
  <c r="F168" i="39"/>
  <c r="J167" i="39"/>
  <c r="F167" i="39"/>
  <c r="J166" i="39"/>
  <c r="F166" i="39"/>
  <c r="J165" i="39"/>
  <c r="F165" i="39"/>
  <c r="J164" i="39"/>
  <c r="F164" i="39"/>
  <c r="J163" i="39"/>
  <c r="F163" i="39"/>
  <c r="J162" i="39"/>
  <c r="F162" i="39"/>
  <c r="J161" i="39"/>
  <c r="F161" i="39"/>
  <c r="J160" i="39"/>
  <c r="F160" i="39"/>
  <c r="J159" i="39"/>
  <c r="F159" i="39"/>
  <c r="J158" i="39"/>
  <c r="F158" i="39"/>
  <c r="J157" i="39"/>
  <c r="F157" i="39"/>
  <c r="J156" i="39"/>
  <c r="F156" i="39"/>
  <c r="J155" i="39"/>
  <c r="F155" i="39"/>
  <c r="J154" i="39"/>
  <c r="F154" i="39"/>
  <c r="J153" i="39"/>
  <c r="F153" i="39"/>
  <c r="J151" i="39"/>
  <c r="F151" i="39"/>
  <c r="J150" i="39"/>
  <c r="F150" i="39"/>
  <c r="J149" i="39"/>
  <c r="F149" i="39"/>
  <c r="J148" i="39"/>
  <c r="F148" i="39"/>
  <c r="J147" i="39"/>
  <c r="F147" i="39"/>
  <c r="J146" i="39"/>
  <c r="F146" i="39"/>
  <c r="J145" i="39"/>
  <c r="F145" i="39"/>
  <c r="J144" i="39"/>
  <c r="F144" i="39"/>
  <c r="J143" i="39"/>
  <c r="F143" i="39"/>
  <c r="J142" i="39"/>
  <c r="F142" i="39"/>
  <c r="J141" i="39"/>
  <c r="F141" i="39"/>
  <c r="J140" i="39"/>
  <c r="F140" i="39"/>
  <c r="J139" i="39"/>
  <c r="F139" i="39"/>
  <c r="J138" i="39"/>
  <c r="F138" i="39"/>
  <c r="J137" i="39"/>
  <c r="F137" i="39"/>
  <c r="J136" i="39"/>
  <c r="F136" i="39"/>
  <c r="J135" i="39"/>
  <c r="F135" i="39"/>
  <c r="J134" i="39"/>
  <c r="F134" i="39"/>
  <c r="J133" i="39"/>
  <c r="F133" i="39"/>
  <c r="J132" i="39"/>
  <c r="F132" i="39"/>
  <c r="J131" i="39"/>
  <c r="F131" i="39"/>
  <c r="J130" i="39"/>
  <c r="F130" i="39"/>
  <c r="J129" i="39"/>
  <c r="F129" i="39"/>
  <c r="J128" i="39"/>
  <c r="F128" i="39"/>
  <c r="J127" i="39"/>
  <c r="F127" i="39"/>
  <c r="J126" i="39"/>
  <c r="F126" i="39"/>
  <c r="J125" i="39"/>
  <c r="F125" i="39"/>
  <c r="J124" i="39"/>
  <c r="F124" i="39"/>
  <c r="J123" i="39"/>
  <c r="F123" i="39"/>
  <c r="J122" i="39"/>
  <c r="F122" i="39"/>
  <c r="J121" i="39"/>
  <c r="F121" i="39"/>
  <c r="J120" i="39"/>
  <c r="F120" i="39"/>
  <c r="J119" i="39"/>
  <c r="F119" i="39"/>
  <c r="J118" i="39"/>
  <c r="F118" i="39"/>
  <c r="J117" i="39"/>
  <c r="F117" i="39"/>
  <c r="J116" i="39"/>
  <c r="F116" i="39"/>
  <c r="J115" i="39"/>
  <c r="F115" i="39"/>
  <c r="J114" i="39"/>
  <c r="F114" i="39"/>
  <c r="J113" i="39"/>
  <c r="F113" i="39"/>
  <c r="J112" i="39"/>
  <c r="F112" i="39"/>
  <c r="J111" i="39"/>
  <c r="F111" i="39"/>
  <c r="J110" i="39"/>
  <c r="F110" i="39"/>
  <c r="J109" i="39"/>
  <c r="F109" i="39"/>
  <c r="J108" i="39"/>
  <c r="F108" i="39"/>
  <c r="J107" i="39"/>
  <c r="F107" i="39"/>
  <c r="J106" i="39"/>
  <c r="F106" i="39"/>
  <c r="J105" i="39"/>
  <c r="F105" i="39"/>
  <c r="J104" i="39"/>
  <c r="F104" i="39"/>
  <c r="J103" i="39"/>
  <c r="F103" i="39"/>
  <c r="J102" i="39"/>
  <c r="F102" i="39"/>
  <c r="J101" i="39"/>
  <c r="F101" i="39"/>
  <c r="J100" i="39"/>
  <c r="F100" i="39"/>
  <c r="J99" i="39"/>
  <c r="F99" i="39"/>
  <c r="J98" i="39"/>
  <c r="F98" i="39"/>
  <c r="J97" i="39"/>
  <c r="F97" i="39"/>
  <c r="J96" i="39"/>
  <c r="F96" i="39"/>
  <c r="J95" i="39"/>
  <c r="F95" i="39"/>
  <c r="J94" i="39"/>
  <c r="F94" i="39"/>
  <c r="J93" i="39"/>
  <c r="F93" i="39"/>
  <c r="J92" i="39"/>
  <c r="F92" i="39"/>
  <c r="J91" i="39"/>
  <c r="F91" i="39"/>
  <c r="J90" i="39"/>
  <c r="F90" i="39"/>
  <c r="J89" i="39"/>
  <c r="F89" i="39"/>
  <c r="J88" i="39"/>
  <c r="F88" i="39"/>
  <c r="J87" i="39"/>
  <c r="F87" i="39"/>
  <c r="J86" i="39"/>
  <c r="F86" i="39"/>
  <c r="J85" i="39"/>
  <c r="F85" i="39"/>
  <c r="J84" i="39"/>
  <c r="F84" i="39"/>
  <c r="J83" i="39"/>
  <c r="F83" i="39"/>
  <c r="J82" i="39"/>
  <c r="F82" i="39"/>
  <c r="J81" i="39"/>
  <c r="F81" i="39"/>
  <c r="J80" i="39"/>
  <c r="F80" i="39"/>
  <c r="J79" i="39"/>
  <c r="F79" i="39"/>
  <c r="J78" i="39"/>
  <c r="F78" i="39"/>
  <c r="J77" i="39"/>
  <c r="F77" i="39"/>
  <c r="J76" i="39"/>
  <c r="F76" i="39"/>
  <c r="J75" i="39"/>
  <c r="F75" i="39"/>
  <c r="J74" i="39"/>
  <c r="F74" i="39"/>
  <c r="J73" i="39"/>
  <c r="F73" i="39"/>
  <c r="J72" i="39"/>
  <c r="F72" i="39"/>
  <c r="J71" i="39"/>
  <c r="F71" i="39"/>
  <c r="J70" i="39"/>
  <c r="F70" i="39"/>
  <c r="J69" i="39"/>
  <c r="F69" i="39"/>
  <c r="J68" i="39"/>
  <c r="F68" i="39"/>
  <c r="J67" i="39"/>
  <c r="F67" i="39"/>
  <c r="J66" i="39"/>
  <c r="F66" i="39"/>
  <c r="J65" i="39"/>
  <c r="F65" i="39"/>
  <c r="J64" i="39"/>
  <c r="F64" i="39"/>
  <c r="J63" i="39"/>
  <c r="F63" i="39"/>
  <c r="J62" i="39"/>
  <c r="F62" i="39"/>
  <c r="J61" i="39"/>
  <c r="F61" i="39"/>
  <c r="J60" i="39"/>
  <c r="F60" i="39"/>
  <c r="J59" i="39"/>
  <c r="F59" i="39"/>
  <c r="J58" i="39"/>
  <c r="F58" i="39"/>
  <c r="J57" i="39"/>
  <c r="F57" i="39"/>
  <c r="J56" i="39"/>
  <c r="F56" i="39"/>
  <c r="J55" i="39"/>
  <c r="F55" i="39"/>
  <c r="J54" i="39"/>
  <c r="F54" i="39"/>
  <c r="J53" i="39"/>
  <c r="F53" i="39"/>
  <c r="J52" i="39"/>
  <c r="F52" i="39"/>
  <c r="J51" i="39"/>
  <c r="F51" i="39"/>
  <c r="J50" i="39"/>
  <c r="F50" i="39"/>
  <c r="J49" i="39"/>
  <c r="F49" i="39"/>
  <c r="J48" i="39"/>
  <c r="F48" i="39"/>
  <c r="J47" i="39"/>
  <c r="F47" i="39"/>
  <c r="J46" i="39"/>
  <c r="F46" i="39"/>
  <c r="J45" i="39"/>
  <c r="F45" i="39"/>
  <c r="J44" i="39"/>
  <c r="F44" i="39"/>
  <c r="J43" i="39"/>
  <c r="F43" i="39"/>
  <c r="J42" i="39"/>
  <c r="F42" i="39"/>
  <c r="J41" i="39"/>
  <c r="F41" i="39"/>
  <c r="J40" i="39"/>
  <c r="F40" i="39"/>
  <c r="J39" i="39"/>
  <c r="F39" i="39"/>
  <c r="J38" i="39"/>
  <c r="F38" i="39"/>
  <c r="J37" i="39"/>
  <c r="F37" i="39"/>
  <c r="J36" i="39"/>
  <c r="F36" i="39"/>
  <c r="J35" i="39"/>
  <c r="F35" i="39"/>
  <c r="J34" i="39"/>
  <c r="F34" i="39"/>
  <c r="J33" i="39"/>
  <c r="F33" i="39"/>
  <c r="J32" i="39"/>
  <c r="F32" i="39"/>
  <c r="J31" i="39"/>
  <c r="F31" i="39"/>
  <c r="J30" i="39"/>
  <c r="F30" i="39"/>
  <c r="J29" i="39"/>
  <c r="F29" i="39"/>
  <c r="J28" i="39"/>
  <c r="F28" i="39"/>
  <c r="J27" i="39"/>
  <c r="F27" i="39"/>
  <c r="J26" i="39"/>
  <c r="F26" i="39"/>
  <c r="J25" i="39"/>
  <c r="F25" i="39"/>
  <c r="J24" i="39"/>
  <c r="F24" i="39"/>
  <c r="J23" i="39"/>
  <c r="F23" i="39"/>
  <c r="J22" i="39"/>
  <c r="F22" i="39"/>
  <c r="J21" i="39"/>
  <c r="F21" i="39"/>
  <c r="J20" i="39"/>
  <c r="F20" i="39"/>
  <c r="J19" i="39"/>
  <c r="F19" i="39"/>
  <c r="K184" i="38"/>
  <c r="M183" i="38"/>
  <c r="K183" i="38"/>
  <c r="K182" i="38"/>
  <c r="K181" i="38"/>
  <c r="K180" i="38"/>
  <c r="M179" i="38"/>
  <c r="K179" i="38"/>
  <c r="M178" i="38"/>
  <c r="K178" i="38"/>
  <c r="M177" i="38"/>
  <c r="K177" i="38"/>
  <c r="M176" i="38"/>
  <c r="K176" i="38"/>
  <c r="P170" i="38"/>
  <c r="U167" i="38"/>
  <c r="P167" i="38"/>
  <c r="K162" i="38"/>
  <c r="I162" i="38"/>
  <c r="K157" i="38"/>
  <c r="K152" i="38"/>
  <c r="AB152" i="38" s="1"/>
  <c r="I152" i="38"/>
  <c r="K147" i="38"/>
  <c r="I147" i="38"/>
  <c r="K142" i="38"/>
  <c r="I142" i="38"/>
  <c r="K137" i="38"/>
  <c r="I137" i="38"/>
  <c r="K132" i="38"/>
  <c r="I132" i="38"/>
  <c r="K127" i="38"/>
  <c r="I127" i="38"/>
  <c r="K122" i="38"/>
  <c r="I122" i="38"/>
  <c r="K117" i="38"/>
  <c r="I117" i="38"/>
  <c r="K112" i="38"/>
  <c r="I112" i="38"/>
  <c r="K107" i="38"/>
  <c r="I107" i="38"/>
  <c r="K102" i="38"/>
  <c r="I102" i="38"/>
  <c r="K97" i="38"/>
  <c r="I97" i="38"/>
  <c r="K92" i="38"/>
  <c r="AB92" i="38" s="1"/>
  <c r="I92" i="38"/>
  <c r="K87" i="38"/>
  <c r="AB87" i="38" s="1"/>
  <c r="I87" i="38"/>
  <c r="O87" i="38" s="1"/>
  <c r="K82" i="38"/>
  <c r="I82" i="38"/>
  <c r="K77" i="38"/>
  <c r="I77" i="38"/>
  <c r="K72" i="38"/>
  <c r="I72" i="38"/>
  <c r="O72" i="38" s="1"/>
  <c r="K67" i="38"/>
  <c r="I67" i="38"/>
  <c r="O67" i="38" s="1"/>
  <c r="K62" i="38"/>
  <c r="I62" i="38"/>
  <c r="O62" i="38" s="1"/>
  <c r="K57" i="38"/>
  <c r="I57" i="38"/>
  <c r="O57" i="38" s="1"/>
  <c r="K52" i="38"/>
  <c r="I52" i="38"/>
  <c r="O52" i="38" s="1"/>
  <c r="K47" i="38"/>
  <c r="I47" i="38"/>
  <c r="O47" i="38" s="1"/>
  <c r="K42" i="38"/>
  <c r="I42" i="38"/>
  <c r="O42" i="38" s="1"/>
  <c r="K37" i="38"/>
  <c r="I37" i="38"/>
  <c r="O37" i="38" s="1"/>
  <c r="K32" i="38"/>
  <c r="AB32" i="38" s="1"/>
  <c r="I32" i="38"/>
  <c r="O32" i="38" s="1"/>
  <c r="K27" i="38"/>
  <c r="AB27" i="38" s="1"/>
  <c r="I27" i="38"/>
  <c r="O27" i="38" s="1"/>
  <c r="K22" i="38"/>
  <c r="I22" i="38"/>
  <c r="O22" i="38" s="1"/>
  <c r="J74" i="37"/>
  <c r="G18" i="33" s="1"/>
  <c r="F74" i="37"/>
  <c r="E18" i="33" s="1"/>
  <c r="J74" i="36"/>
  <c r="G17" i="33" s="1"/>
  <c r="F74" i="36"/>
  <c r="E17" i="33" s="1"/>
  <c r="J74" i="35"/>
  <c r="G16" i="33" s="1"/>
  <c r="F74" i="35"/>
  <c r="E16" i="33" s="1"/>
  <c r="J74" i="34"/>
  <c r="G15" i="33" s="1"/>
  <c r="F74" i="34"/>
  <c r="E15" i="33" s="1"/>
  <c r="F31" i="32"/>
  <c r="R89" i="40" s="1"/>
  <c r="F30" i="32"/>
  <c r="O89" i="40" s="1"/>
  <c r="A30" i="32"/>
  <c r="A31" i="32" s="1"/>
  <c r="A17" i="32"/>
  <c r="A18" i="32" s="1"/>
  <c r="A19" i="32" s="1"/>
  <c r="A20" i="32" s="1"/>
  <c r="A21" i="32" s="1"/>
  <c r="A22" i="32" s="1"/>
  <c r="A23" i="32" s="1"/>
  <c r="A24" i="32" s="1"/>
  <c r="A25" i="32" s="1"/>
  <c r="A26" i="32" s="1"/>
  <c r="H31" i="30"/>
  <c r="A31" i="30"/>
  <c r="H30" i="30"/>
  <c r="A22" i="30"/>
  <c r="A23" i="30" s="1"/>
  <c r="A24" i="30" s="1"/>
  <c r="A25" i="30" s="1"/>
  <c r="A26" i="30" s="1"/>
  <c r="E90" i="29"/>
  <c r="H25" i="29"/>
  <c r="G25" i="29"/>
  <c r="L38" i="50" l="1"/>
  <c r="G29" i="33"/>
  <c r="E29" i="33"/>
  <c r="V83" i="40"/>
  <c r="G16" i="29"/>
  <c r="G51" i="40"/>
  <c r="X83" i="40"/>
  <c r="D21" i="29"/>
  <c r="X85" i="40"/>
  <c r="V85" i="40"/>
  <c r="I44" i="40"/>
  <c r="G39" i="40"/>
  <c r="I36" i="40"/>
  <c r="A22" i="41"/>
  <c r="H21" i="41"/>
  <c r="I21" i="41" s="1"/>
  <c r="G31" i="40"/>
  <c r="I28" i="40"/>
  <c r="E28" i="29" s="1"/>
  <c r="E61" i="29"/>
  <c r="E68" i="29" s="1"/>
  <c r="I68" i="40"/>
  <c r="G94" i="29"/>
  <c r="R170" i="38"/>
  <c r="M171" i="50" s="1"/>
  <c r="A17" i="43"/>
  <c r="H16" i="43"/>
  <c r="I16" i="43" s="1"/>
  <c r="E17" i="32" s="1"/>
  <c r="E16" i="43"/>
  <c r="F16" i="43" s="1"/>
  <c r="D16" i="40"/>
  <c r="F13" i="40"/>
  <c r="D13" i="29" s="1"/>
  <c r="E35" i="33"/>
  <c r="D29" i="52"/>
  <c r="G68" i="40"/>
  <c r="F21" i="40"/>
  <c r="G79" i="40"/>
  <c r="I71" i="40"/>
  <c r="X71" i="40" s="1"/>
  <c r="S86" i="40"/>
  <c r="V86" i="40" s="1"/>
  <c r="U82" i="40"/>
  <c r="G58" i="40"/>
  <c r="I54" i="40"/>
  <c r="X54" i="40" s="1"/>
  <c r="U84" i="40"/>
  <c r="J21" i="40"/>
  <c r="H21" i="29"/>
  <c r="G21" i="29"/>
  <c r="J72" i="29"/>
  <c r="J45" i="29"/>
  <c r="J73" i="29"/>
  <c r="J19" i="29"/>
  <c r="J76" i="29"/>
  <c r="I21" i="29"/>
  <c r="P58" i="40"/>
  <c r="E21" i="29"/>
  <c r="F21" i="29"/>
  <c r="P51" i="40"/>
  <c r="J50" i="29"/>
  <c r="J56" i="29"/>
  <c r="E16" i="29"/>
  <c r="J30" i="29"/>
  <c r="J37" i="29"/>
  <c r="J57" i="29"/>
  <c r="J55" i="29"/>
  <c r="J63" i="29"/>
  <c r="J67" i="29"/>
  <c r="J78" i="29"/>
  <c r="J77" i="29"/>
  <c r="J38" i="29"/>
  <c r="J48" i="29"/>
  <c r="J66" i="29"/>
  <c r="J74" i="29"/>
  <c r="M16" i="40"/>
  <c r="P21" i="40"/>
  <c r="M58" i="40"/>
  <c r="J20" i="29"/>
  <c r="S68" i="40"/>
  <c r="M39" i="40"/>
  <c r="J79" i="40"/>
  <c r="X46" i="40"/>
  <c r="S58" i="40"/>
  <c r="J51" i="40"/>
  <c r="P79" i="40"/>
  <c r="S21" i="40"/>
  <c r="S79" i="40"/>
  <c r="J75" i="29"/>
  <c r="V37" i="40"/>
  <c r="G21" i="40"/>
  <c r="X61" i="40"/>
  <c r="V71" i="40"/>
  <c r="X76" i="40"/>
  <c r="F16" i="29"/>
  <c r="R39" i="40"/>
  <c r="J46" i="29"/>
  <c r="I16" i="40"/>
  <c r="L21" i="40"/>
  <c r="V73" i="40"/>
  <c r="V28" i="40"/>
  <c r="L58" i="40"/>
  <c r="V67" i="40"/>
  <c r="G31" i="29"/>
  <c r="J29" i="29"/>
  <c r="P39" i="40"/>
  <c r="V62" i="40"/>
  <c r="X73" i="40"/>
  <c r="U39" i="40"/>
  <c r="J16" i="40"/>
  <c r="S39" i="40"/>
  <c r="J68" i="40"/>
  <c r="O21" i="40"/>
  <c r="X56" i="40"/>
  <c r="V74" i="40"/>
  <c r="M31" i="40"/>
  <c r="V29" i="40"/>
  <c r="V57" i="40"/>
  <c r="X62" i="40"/>
  <c r="X19" i="40"/>
  <c r="V44" i="40"/>
  <c r="X50" i="40"/>
  <c r="R79" i="40"/>
  <c r="M21" i="40"/>
  <c r="J58" i="40"/>
  <c r="M79" i="40"/>
  <c r="V20" i="40"/>
  <c r="V76" i="40"/>
  <c r="G16" i="40"/>
  <c r="V36" i="40"/>
  <c r="R58" i="40"/>
  <c r="X30" i="40"/>
  <c r="V61" i="40"/>
  <c r="V66" i="40"/>
  <c r="R51" i="40"/>
  <c r="V45" i="40"/>
  <c r="V48" i="40"/>
  <c r="V55" i="40"/>
  <c r="X57" i="40"/>
  <c r="V63" i="40"/>
  <c r="V72" i="40"/>
  <c r="X74" i="40"/>
  <c r="X77" i="40"/>
  <c r="S16" i="40"/>
  <c r="U13" i="40"/>
  <c r="I13" i="29" s="1"/>
  <c r="V47" i="40"/>
  <c r="U47" i="40"/>
  <c r="F61" i="29"/>
  <c r="I36" i="29"/>
  <c r="I39" i="29" s="1"/>
  <c r="H44" i="29"/>
  <c r="H51" i="29" s="1"/>
  <c r="L16" i="40"/>
  <c r="R21" i="40"/>
  <c r="X20" i="40"/>
  <c r="X29" i="40"/>
  <c r="X37" i="40"/>
  <c r="X66" i="40"/>
  <c r="V75" i="40"/>
  <c r="S51" i="40"/>
  <c r="U44" i="40"/>
  <c r="G61" i="29"/>
  <c r="V64" i="40"/>
  <c r="R64" i="40"/>
  <c r="V30" i="40"/>
  <c r="X45" i="40"/>
  <c r="X48" i="40"/>
  <c r="X55" i="40"/>
  <c r="X63" i="40"/>
  <c r="X72" i="40"/>
  <c r="X78" i="40"/>
  <c r="J31" i="40"/>
  <c r="L28" i="40"/>
  <c r="F28" i="29" s="1"/>
  <c r="H71" i="29"/>
  <c r="H79" i="29" s="1"/>
  <c r="H36" i="29"/>
  <c r="H39" i="29" s="1"/>
  <c r="O16" i="40"/>
  <c r="I21" i="40"/>
  <c r="U21" i="40"/>
  <c r="X38" i="40"/>
  <c r="V46" i="40"/>
  <c r="V56" i="40"/>
  <c r="X67" i="40"/>
  <c r="X75" i="40"/>
  <c r="V54" i="40"/>
  <c r="I61" i="29"/>
  <c r="I68" i="29" s="1"/>
  <c r="U68" i="40"/>
  <c r="M68" i="40"/>
  <c r="O64" i="40"/>
  <c r="F71" i="29"/>
  <c r="F79" i="29" s="1"/>
  <c r="L79" i="40"/>
  <c r="O31" i="40"/>
  <c r="P31" i="40"/>
  <c r="R28" i="40"/>
  <c r="H28" i="29" s="1"/>
  <c r="V65" i="40"/>
  <c r="L65" i="40"/>
  <c r="L68" i="40" s="1"/>
  <c r="G71" i="29"/>
  <c r="G79" i="29" s="1"/>
  <c r="O79" i="40"/>
  <c r="J62" i="29"/>
  <c r="F54" i="29"/>
  <c r="F58" i="29" s="1"/>
  <c r="S31" i="40"/>
  <c r="U28" i="40"/>
  <c r="I28" i="29" s="1"/>
  <c r="G54" i="29"/>
  <c r="G58" i="29" s="1"/>
  <c r="O58" i="40"/>
  <c r="V15" i="40"/>
  <c r="R15" i="40"/>
  <c r="H15" i="29" s="1"/>
  <c r="F44" i="29"/>
  <c r="F51" i="29" s="1"/>
  <c r="L51" i="40"/>
  <c r="I71" i="29"/>
  <c r="I79" i="29" s="1"/>
  <c r="U79" i="40"/>
  <c r="G39" i="29"/>
  <c r="H54" i="29"/>
  <c r="H58" i="29" s="1"/>
  <c r="V14" i="40"/>
  <c r="R14" i="40"/>
  <c r="J39" i="40"/>
  <c r="L36" i="40"/>
  <c r="M51" i="40"/>
  <c r="O44" i="40"/>
  <c r="I54" i="29"/>
  <c r="I58" i="29" s="1"/>
  <c r="U58" i="40"/>
  <c r="O39" i="40"/>
  <c r="Q33" i="40"/>
  <c r="Q41" i="40" s="1"/>
  <c r="Q92" i="40" s="1"/>
  <c r="Q96" i="40" s="1"/>
  <c r="P53" i="50"/>
  <c r="D118" i="52" s="1"/>
  <c r="D113" i="52"/>
  <c r="R63" i="50"/>
  <c r="D137" i="52" s="1"/>
  <c r="D134" i="52"/>
  <c r="L78" i="50"/>
  <c r="D158" i="52"/>
  <c r="N103" i="50"/>
  <c r="D207" i="52" s="1"/>
  <c r="D203" i="52"/>
  <c r="R138" i="50"/>
  <c r="D272" i="52" s="1"/>
  <c r="D269" i="52"/>
  <c r="P103" i="50"/>
  <c r="D208" i="52" s="1"/>
  <c r="R113" i="50"/>
  <c r="D227" i="52" s="1"/>
  <c r="D224" i="52"/>
  <c r="P128" i="50"/>
  <c r="D253" i="52" s="1"/>
  <c r="D248" i="52"/>
  <c r="N43" i="50"/>
  <c r="D99" i="52" s="1"/>
  <c r="D95" i="52"/>
  <c r="R78" i="50"/>
  <c r="D164" i="52" s="1"/>
  <c r="D161" i="52"/>
  <c r="P43" i="50"/>
  <c r="D100" i="52" s="1"/>
  <c r="R53" i="50"/>
  <c r="D119" i="52" s="1"/>
  <c r="D116" i="52"/>
  <c r="P68" i="50"/>
  <c r="D145" i="52" s="1"/>
  <c r="D140" i="52"/>
  <c r="N93" i="50"/>
  <c r="D189" i="52" s="1"/>
  <c r="R103" i="50"/>
  <c r="D209" i="52" s="1"/>
  <c r="D206" i="52"/>
  <c r="N143" i="50"/>
  <c r="D279" i="52" s="1"/>
  <c r="D275" i="52"/>
  <c r="L118" i="50"/>
  <c r="D230" i="52"/>
  <c r="P158" i="50"/>
  <c r="D307" i="52" s="1"/>
  <c r="D302" i="52"/>
  <c r="N83" i="50"/>
  <c r="D171" i="52" s="1"/>
  <c r="D167" i="52"/>
  <c r="P38" i="50"/>
  <c r="D91" i="52" s="1"/>
  <c r="D86" i="52"/>
  <c r="F86" i="52" s="1"/>
  <c r="L58" i="50"/>
  <c r="D122" i="52"/>
  <c r="P108" i="50"/>
  <c r="D217" i="52" s="1"/>
  <c r="D212" i="52"/>
  <c r="L158" i="50"/>
  <c r="N23" i="50"/>
  <c r="D63" i="52" s="1"/>
  <c r="D59" i="52"/>
  <c r="P48" i="50"/>
  <c r="D109" i="52" s="1"/>
  <c r="D104" i="52"/>
  <c r="P98" i="50"/>
  <c r="D199" i="52" s="1"/>
  <c r="D194" i="52"/>
  <c r="R43" i="50"/>
  <c r="D101" i="52" s="1"/>
  <c r="D98" i="52"/>
  <c r="P28" i="50"/>
  <c r="D73" i="52" s="1"/>
  <c r="D68" i="52"/>
  <c r="N38" i="50"/>
  <c r="D90" i="52" s="1"/>
  <c r="P88" i="50"/>
  <c r="D181" i="52" s="1"/>
  <c r="D176" i="52"/>
  <c r="P123" i="50"/>
  <c r="D244" i="52" s="1"/>
  <c r="D239" i="52"/>
  <c r="R148" i="50"/>
  <c r="D290" i="52" s="1"/>
  <c r="D287" i="52"/>
  <c r="R28" i="50"/>
  <c r="D74" i="52" s="1"/>
  <c r="D71" i="52"/>
  <c r="R38" i="50"/>
  <c r="D92" i="52" s="1"/>
  <c r="D89" i="52"/>
  <c r="N63" i="50"/>
  <c r="D135" i="52" s="1"/>
  <c r="D131" i="52"/>
  <c r="R88" i="50"/>
  <c r="D182" i="52" s="1"/>
  <c r="D179" i="52"/>
  <c r="P113" i="50"/>
  <c r="D226" i="52" s="1"/>
  <c r="D221" i="52"/>
  <c r="R123" i="50"/>
  <c r="D245" i="52" s="1"/>
  <c r="D242" i="52"/>
  <c r="L138" i="50"/>
  <c r="D266" i="52"/>
  <c r="N163" i="50"/>
  <c r="D315" i="52" s="1"/>
  <c r="D311" i="52"/>
  <c r="J198" i="39"/>
  <c r="F198" i="39"/>
  <c r="P197" i="51"/>
  <c r="H9" i="51" s="1"/>
  <c r="Q197" i="51"/>
  <c r="I9" i="51" s="1"/>
  <c r="I10" i="51" s="1"/>
  <c r="H197" i="51"/>
  <c r="H8" i="51" s="1"/>
  <c r="R153" i="50"/>
  <c r="D299" i="52" s="1"/>
  <c r="R133" i="50"/>
  <c r="D263" i="52" s="1"/>
  <c r="R93" i="50"/>
  <c r="D191" i="52" s="1"/>
  <c r="R73" i="50"/>
  <c r="D155" i="52" s="1"/>
  <c r="R33" i="50"/>
  <c r="D83" i="52" s="1"/>
  <c r="L163" i="50"/>
  <c r="R163" i="50"/>
  <c r="D317" i="52" s="1"/>
  <c r="N158" i="50"/>
  <c r="D306" i="52" s="1"/>
  <c r="R158" i="50"/>
  <c r="D308" i="52" s="1"/>
  <c r="L153" i="50"/>
  <c r="N153" i="50"/>
  <c r="D297" i="52" s="1"/>
  <c r="P153" i="50"/>
  <c r="D298" i="52" s="1"/>
  <c r="P143" i="50"/>
  <c r="D280" i="52" s="1"/>
  <c r="R143" i="50"/>
  <c r="D281" i="52" s="1"/>
  <c r="N138" i="50"/>
  <c r="D270" i="52" s="1"/>
  <c r="P138" i="50"/>
  <c r="D271" i="52" s="1"/>
  <c r="L128" i="50"/>
  <c r="N128" i="50"/>
  <c r="D252" i="52" s="1"/>
  <c r="R128" i="50"/>
  <c r="D254" i="52" s="1"/>
  <c r="N118" i="50"/>
  <c r="D234" i="52" s="1"/>
  <c r="P118" i="50"/>
  <c r="D235" i="52" s="1"/>
  <c r="R118" i="50"/>
  <c r="D236" i="52" s="1"/>
  <c r="L113" i="50"/>
  <c r="L103" i="50"/>
  <c r="L98" i="50"/>
  <c r="N98" i="50"/>
  <c r="D198" i="52" s="1"/>
  <c r="R98" i="50"/>
  <c r="D200" i="52" s="1"/>
  <c r="L93" i="50"/>
  <c r="P93" i="50"/>
  <c r="D190" i="52" s="1"/>
  <c r="P83" i="50"/>
  <c r="D172" i="52" s="1"/>
  <c r="R83" i="50"/>
  <c r="D173" i="52" s="1"/>
  <c r="N78" i="50"/>
  <c r="D162" i="52" s="1"/>
  <c r="P78" i="50"/>
  <c r="D163" i="52" s="1"/>
  <c r="L68" i="50"/>
  <c r="N68" i="50"/>
  <c r="D144" i="52" s="1"/>
  <c r="R68" i="50"/>
  <c r="D146" i="52" s="1"/>
  <c r="N58" i="50"/>
  <c r="D126" i="52" s="1"/>
  <c r="P58" i="50"/>
  <c r="D127" i="52" s="1"/>
  <c r="R58" i="50"/>
  <c r="D128" i="52" s="1"/>
  <c r="L53" i="50"/>
  <c r="L43" i="50"/>
  <c r="L33" i="50"/>
  <c r="N33" i="50"/>
  <c r="D81" i="52" s="1"/>
  <c r="P33" i="50"/>
  <c r="D82" i="52" s="1"/>
  <c r="P23" i="50"/>
  <c r="D64" i="52" s="1"/>
  <c r="R23" i="50"/>
  <c r="D65" i="52" s="1"/>
  <c r="Q168" i="50"/>
  <c r="L18" i="50"/>
  <c r="S132" i="38"/>
  <c r="AB132" i="38"/>
  <c r="S72" i="38"/>
  <c r="AB72" i="38"/>
  <c r="X112" i="38"/>
  <c r="AB112" i="38"/>
  <c r="X157" i="38"/>
  <c r="AB157" i="38"/>
  <c r="S37" i="38"/>
  <c r="AB37" i="38"/>
  <c r="N57" i="38"/>
  <c r="AB57" i="38"/>
  <c r="N77" i="38"/>
  <c r="AB77" i="38"/>
  <c r="X97" i="38"/>
  <c r="AB97" i="38"/>
  <c r="N117" i="38"/>
  <c r="AB117" i="38"/>
  <c r="N137" i="38"/>
  <c r="AB137" i="38"/>
  <c r="K167" i="38"/>
  <c r="N167" i="38" s="1"/>
  <c r="AB162" i="38"/>
  <c r="S52" i="38"/>
  <c r="AB52" i="38"/>
  <c r="X22" i="38"/>
  <c r="AB22" i="38"/>
  <c r="S42" i="38"/>
  <c r="AB42" i="38"/>
  <c r="X62" i="38"/>
  <c r="AB62" i="38"/>
  <c r="X82" i="38"/>
  <c r="AB82" i="38"/>
  <c r="S102" i="38"/>
  <c r="AB102" i="38"/>
  <c r="S122" i="38"/>
  <c r="AB122" i="38"/>
  <c r="X142" i="38"/>
  <c r="AB142" i="38"/>
  <c r="X162" i="38"/>
  <c r="X47" i="38"/>
  <c r="AB47" i="38"/>
  <c r="X67" i="38"/>
  <c r="AB67" i="38"/>
  <c r="S107" i="38"/>
  <c r="AB107" i="38"/>
  <c r="X127" i="38"/>
  <c r="AB127" i="38"/>
  <c r="X147" i="38"/>
  <c r="AB147" i="38"/>
  <c r="O183" i="38"/>
  <c r="M179" i="50"/>
  <c r="N179" i="50" s="1"/>
  <c r="N18" i="50"/>
  <c r="D54" i="52" s="1"/>
  <c r="K168" i="50"/>
  <c r="D28" i="52" s="1"/>
  <c r="P18" i="50"/>
  <c r="D55" i="52" s="1"/>
  <c r="R18" i="50"/>
  <c r="D56" i="52" s="1"/>
  <c r="M177" i="50"/>
  <c r="N177" i="50" s="1"/>
  <c r="M184" i="50"/>
  <c r="N184" i="50" s="1"/>
  <c r="M176" i="50"/>
  <c r="N176" i="50" s="1"/>
  <c r="M180" i="50"/>
  <c r="N180" i="50" s="1"/>
  <c r="X52" i="38"/>
  <c r="T183" i="38"/>
  <c r="T179" i="38"/>
  <c r="T178" i="38"/>
  <c r="O177" i="38"/>
  <c r="S82" i="38"/>
  <c r="N52" i="38"/>
  <c r="X137" i="38"/>
  <c r="S137" i="38"/>
  <c r="X42" i="38"/>
  <c r="S77" i="38"/>
  <c r="X107" i="38"/>
  <c r="N107" i="38"/>
  <c r="N82" i="38"/>
  <c r="N97" i="38"/>
  <c r="N112" i="38"/>
  <c r="X132" i="38"/>
  <c r="S112" i="38"/>
  <c r="N47" i="38"/>
  <c r="X102" i="38"/>
  <c r="N142" i="38"/>
  <c r="N157" i="38"/>
  <c r="S47" i="38"/>
  <c r="S142" i="38"/>
  <c r="O176" i="38"/>
  <c r="X72" i="38"/>
  <c r="N22" i="38"/>
  <c r="N37" i="38"/>
  <c r="X77" i="38"/>
  <c r="S22" i="38"/>
  <c r="X37" i="38"/>
  <c r="O178" i="38"/>
  <c r="O179" i="38"/>
  <c r="O90" i="40"/>
  <c r="G89" i="29"/>
  <c r="R90" i="40"/>
  <c r="H89" i="29"/>
  <c r="H90" i="29" s="1"/>
  <c r="J25" i="43"/>
  <c r="J31" i="43" s="1"/>
  <c r="B230" i="52"/>
  <c r="B51" i="52"/>
  <c r="B107" i="52"/>
  <c r="B142" i="52"/>
  <c r="B206" i="52"/>
  <c r="B71" i="52"/>
  <c r="B196" i="52"/>
  <c r="B133" i="52"/>
  <c r="B62" i="52"/>
  <c r="B73" i="52"/>
  <c r="B99" i="52"/>
  <c r="B55" i="52"/>
  <c r="B215" i="52"/>
  <c r="B240" i="52"/>
  <c r="B278" i="52"/>
  <c r="W25" i="40"/>
  <c r="J25" i="41"/>
  <c r="J31" i="41" s="1"/>
  <c r="B101" i="52"/>
  <c r="B173" i="52"/>
  <c r="B91" i="52"/>
  <c r="B199" i="52"/>
  <c r="B312" i="52"/>
  <c r="B125" i="52"/>
  <c r="B236" i="52"/>
  <c r="B249" i="52"/>
  <c r="T33" i="40"/>
  <c r="T41" i="40" s="1"/>
  <c r="T92" i="40" s="1"/>
  <c r="T96" i="40" s="1"/>
  <c r="N33" i="40"/>
  <c r="N41" i="40" s="1"/>
  <c r="N92" i="40" s="1"/>
  <c r="N96" i="40" s="1"/>
  <c r="H33" i="40"/>
  <c r="H41" i="40" s="1"/>
  <c r="H92" i="40" s="1"/>
  <c r="H94" i="40" s="1"/>
  <c r="H96" i="40" s="1"/>
  <c r="W21" i="40"/>
  <c r="K33" i="40"/>
  <c r="K41" i="40" s="1"/>
  <c r="K92" i="40" s="1"/>
  <c r="W16" i="40"/>
  <c r="B54" i="52"/>
  <c r="B61" i="52"/>
  <c r="B89" i="52"/>
  <c r="B123" i="52"/>
  <c r="B132" i="52"/>
  <c r="B141" i="52"/>
  <c r="B162" i="52"/>
  <c r="B181" i="52"/>
  <c r="B204" i="52"/>
  <c r="B267" i="52"/>
  <c r="B277" i="52"/>
  <c r="B311" i="52"/>
  <c r="B70" i="52"/>
  <c r="B98" i="52"/>
  <c r="B172" i="52"/>
  <c r="B244" i="52"/>
  <c r="B108" i="52"/>
  <c r="B270" i="52"/>
  <c r="B304" i="52"/>
  <c r="B64" i="52"/>
  <c r="B92" i="52"/>
  <c r="B126" i="52"/>
  <c r="B135" i="52"/>
  <c r="B144" i="52"/>
  <c r="B167" i="52"/>
  <c r="B207" i="52"/>
  <c r="B280" i="52"/>
  <c r="B314" i="52"/>
  <c r="B65" i="52"/>
  <c r="B86" i="52"/>
  <c r="B145" i="52"/>
  <c r="B218" i="52"/>
  <c r="B52" i="52"/>
  <c r="B74" i="52"/>
  <c r="B95" i="52"/>
  <c r="B128" i="52"/>
  <c r="B159" i="52"/>
  <c r="B169" i="52"/>
  <c r="B178" i="52"/>
  <c r="B209" i="52"/>
  <c r="B241" i="52"/>
  <c r="B307" i="52"/>
  <c r="B281" i="52"/>
  <c r="B59" i="52"/>
  <c r="B104" i="52"/>
  <c r="B275" i="52"/>
  <c r="B136" i="52"/>
  <c r="B315" i="52"/>
  <c r="B68" i="52"/>
  <c r="B88" i="52"/>
  <c r="B96" i="52"/>
  <c r="B110" i="52"/>
  <c r="B122" i="52"/>
  <c r="B170" i="52"/>
  <c r="B203" i="52"/>
  <c r="B233" i="52"/>
  <c r="B252" i="52"/>
  <c r="B105" i="52"/>
  <c r="B212" i="52"/>
  <c r="B243" i="52"/>
  <c r="B317" i="52"/>
  <c r="V78" i="40"/>
  <c r="V77" i="40"/>
  <c r="P68" i="40"/>
  <c r="V50" i="40"/>
  <c r="V38" i="40"/>
  <c r="D21" i="40"/>
  <c r="V19" i="40"/>
  <c r="V13" i="40"/>
  <c r="P16" i="40"/>
  <c r="B286" i="52"/>
  <c r="B289" i="52"/>
  <c r="B78" i="52"/>
  <c r="B81" i="52"/>
  <c r="B115" i="52"/>
  <c r="B118" i="52"/>
  <c r="B149" i="52"/>
  <c r="B152" i="52"/>
  <c r="B155" i="52"/>
  <c r="B186" i="52"/>
  <c r="B189" i="52"/>
  <c r="B223" i="52"/>
  <c r="B226" i="52"/>
  <c r="B257" i="52"/>
  <c r="B260" i="52"/>
  <c r="B263" i="52"/>
  <c r="B294" i="52"/>
  <c r="B297" i="52"/>
  <c r="B160" i="52"/>
  <c r="B163" i="52"/>
  <c r="B194" i="52"/>
  <c r="B197" i="52"/>
  <c r="B200" i="52"/>
  <c r="B231" i="52"/>
  <c r="B234" i="52"/>
  <c r="B268" i="52"/>
  <c r="B271" i="52"/>
  <c r="B302" i="52"/>
  <c r="B305" i="52"/>
  <c r="B308" i="52"/>
  <c r="B60" i="52"/>
  <c r="B63" i="52"/>
  <c r="B97" i="52"/>
  <c r="B100" i="52"/>
  <c r="B131" i="52"/>
  <c r="B134" i="52"/>
  <c r="B137" i="52"/>
  <c r="B168" i="52"/>
  <c r="B171" i="52"/>
  <c r="B205" i="52"/>
  <c r="B208" i="52"/>
  <c r="B239" i="52"/>
  <c r="B242" i="52"/>
  <c r="B245" i="52"/>
  <c r="B276" i="52"/>
  <c r="B279" i="52"/>
  <c r="B313" i="52"/>
  <c r="B316" i="52"/>
  <c r="B176" i="52"/>
  <c r="B179" i="52"/>
  <c r="B182" i="52"/>
  <c r="B213" i="52"/>
  <c r="B216" i="52"/>
  <c r="B250" i="52"/>
  <c r="B253" i="52"/>
  <c r="B284" i="52"/>
  <c r="B287" i="52"/>
  <c r="B290" i="52"/>
  <c r="B79" i="52"/>
  <c r="B82" i="52"/>
  <c r="B113" i="52"/>
  <c r="B116" i="52"/>
  <c r="B119" i="52"/>
  <c r="B150" i="52"/>
  <c r="B153" i="52"/>
  <c r="B187" i="52"/>
  <c r="B190" i="52"/>
  <c r="B221" i="52"/>
  <c r="B224" i="52"/>
  <c r="B227" i="52"/>
  <c r="B258" i="52"/>
  <c r="B261" i="52"/>
  <c r="B295" i="52"/>
  <c r="B298" i="52"/>
  <c r="B50" i="52"/>
  <c r="B53" i="52"/>
  <c r="B56" i="52"/>
  <c r="B87" i="52"/>
  <c r="B90" i="52"/>
  <c r="B124" i="52"/>
  <c r="B127" i="52"/>
  <c r="B158" i="52"/>
  <c r="B161" i="52"/>
  <c r="B164" i="52"/>
  <c r="B195" i="52"/>
  <c r="B198" i="52"/>
  <c r="B232" i="52"/>
  <c r="B235" i="52"/>
  <c r="B266" i="52"/>
  <c r="B269" i="52"/>
  <c r="B272" i="52"/>
  <c r="B303" i="52"/>
  <c r="B306" i="52"/>
  <c r="B69" i="52"/>
  <c r="B72" i="52"/>
  <c r="B106" i="52"/>
  <c r="B109" i="52"/>
  <c r="B140" i="52"/>
  <c r="B143" i="52"/>
  <c r="B146" i="52"/>
  <c r="B177" i="52"/>
  <c r="B180" i="52"/>
  <c r="B214" i="52"/>
  <c r="B217" i="52"/>
  <c r="B248" i="52"/>
  <c r="B251" i="52"/>
  <c r="B254" i="52"/>
  <c r="B285" i="52"/>
  <c r="B288" i="52"/>
  <c r="B77" i="52"/>
  <c r="B80" i="52"/>
  <c r="B83" i="52"/>
  <c r="B114" i="52"/>
  <c r="B117" i="52"/>
  <c r="B151" i="52"/>
  <c r="B154" i="52"/>
  <c r="B185" i="52"/>
  <c r="B188" i="52"/>
  <c r="B191" i="52"/>
  <c r="B222" i="52"/>
  <c r="B225" i="52"/>
  <c r="B259" i="52"/>
  <c r="B262" i="52"/>
  <c r="B293" i="52"/>
  <c r="B296" i="52"/>
  <c r="R48" i="50"/>
  <c r="D110" i="52" s="1"/>
  <c r="R108" i="50"/>
  <c r="D218" i="52" s="1"/>
  <c r="L28" i="50"/>
  <c r="L88" i="50"/>
  <c r="L148" i="50"/>
  <c r="N28" i="50"/>
  <c r="D72" i="52" s="1"/>
  <c r="L63" i="50"/>
  <c r="N88" i="50"/>
  <c r="D180" i="52" s="1"/>
  <c r="L123" i="50"/>
  <c r="N148" i="50"/>
  <c r="D288" i="52" s="1"/>
  <c r="N123" i="50"/>
  <c r="D243" i="52" s="1"/>
  <c r="L48" i="50"/>
  <c r="N73" i="50"/>
  <c r="D153" i="52" s="1"/>
  <c r="L108" i="50"/>
  <c r="N133" i="50"/>
  <c r="D261" i="52" s="1"/>
  <c r="P148" i="50"/>
  <c r="D289" i="52" s="1"/>
  <c r="P63" i="50"/>
  <c r="D136" i="52" s="1"/>
  <c r="L73" i="50"/>
  <c r="L23" i="50"/>
  <c r="N48" i="50"/>
  <c r="D108" i="52" s="1"/>
  <c r="P73" i="50"/>
  <c r="D154" i="52" s="1"/>
  <c r="L83" i="50"/>
  <c r="N108" i="50"/>
  <c r="D216" i="52" s="1"/>
  <c r="P133" i="50"/>
  <c r="D262" i="52" s="1"/>
  <c r="L143" i="50"/>
  <c r="L133" i="50"/>
  <c r="N32" i="38"/>
  <c r="S57" i="38"/>
  <c r="N92" i="38"/>
  <c r="S117" i="38"/>
  <c r="N152" i="38"/>
  <c r="S32" i="38"/>
  <c r="X57" i="38"/>
  <c r="N67" i="38"/>
  <c r="S92" i="38"/>
  <c r="X117" i="38"/>
  <c r="N127" i="38"/>
  <c r="S152" i="38"/>
  <c r="X32" i="38"/>
  <c r="N42" i="38"/>
  <c r="S67" i="38"/>
  <c r="X92" i="38"/>
  <c r="N102" i="38"/>
  <c r="S127" i="38"/>
  <c r="X152" i="38"/>
  <c r="N162" i="38"/>
  <c r="Z167" i="38"/>
  <c r="S162" i="38"/>
  <c r="N27" i="38"/>
  <c r="N87" i="38"/>
  <c r="N147" i="38"/>
  <c r="S27" i="38"/>
  <c r="N62" i="38"/>
  <c r="S87" i="38"/>
  <c r="N122" i="38"/>
  <c r="S147" i="38"/>
  <c r="X27" i="38"/>
  <c r="S62" i="38"/>
  <c r="N72" i="38"/>
  <c r="S97" i="38"/>
  <c r="X122" i="38"/>
  <c r="N132" i="38"/>
  <c r="S157" i="38"/>
  <c r="X87" i="38"/>
  <c r="X14" i="40" l="1"/>
  <c r="H14" i="29"/>
  <c r="G33" i="29"/>
  <c r="G41" i="29" s="1"/>
  <c r="I84" i="29"/>
  <c r="J84" i="29" s="1"/>
  <c r="X84" i="40"/>
  <c r="E71" i="29"/>
  <c r="E79" i="29" s="1"/>
  <c r="J79" i="29" s="1"/>
  <c r="I79" i="40"/>
  <c r="X79" i="40" s="1"/>
  <c r="A18" i="43"/>
  <c r="H17" i="43"/>
  <c r="I17" i="43" s="1"/>
  <c r="E18" i="32" s="1"/>
  <c r="E17" i="43"/>
  <c r="F17" i="43" s="1"/>
  <c r="K21" i="41"/>
  <c r="K27" i="41" s="1"/>
  <c r="I24" i="40" s="1"/>
  <c r="G22" i="30"/>
  <c r="H22" i="30" s="1"/>
  <c r="H28" i="30" s="1"/>
  <c r="D16" i="29"/>
  <c r="F16" i="40"/>
  <c r="A23" i="41"/>
  <c r="H22" i="41"/>
  <c r="I22" i="41" s="1"/>
  <c r="I82" i="29"/>
  <c r="U86" i="40"/>
  <c r="X86" i="40" s="1"/>
  <c r="X82" i="40"/>
  <c r="E36" i="29"/>
  <c r="E39" i="29" s="1"/>
  <c r="I39" i="40"/>
  <c r="E31" i="29"/>
  <c r="I31" i="40"/>
  <c r="D17" i="32"/>
  <c r="F17" i="32" s="1"/>
  <c r="F29" i="32" s="1"/>
  <c r="L89" i="40" s="1"/>
  <c r="K16" i="43"/>
  <c r="K28" i="43" s="1"/>
  <c r="E54" i="29"/>
  <c r="E58" i="29" s="1"/>
  <c r="J58" i="29" s="1"/>
  <c r="I58" i="40"/>
  <c r="X58" i="40" s="1"/>
  <c r="N168" i="50"/>
  <c r="E44" i="29"/>
  <c r="E51" i="29" s="1"/>
  <c r="I51" i="40"/>
  <c r="V51" i="40"/>
  <c r="J21" i="29"/>
  <c r="V79" i="40"/>
  <c r="V58" i="40"/>
  <c r="V21" i="40"/>
  <c r="V39" i="40"/>
  <c r="X21" i="40"/>
  <c r="O33" i="40"/>
  <c r="O41" i="40" s="1"/>
  <c r="V16" i="40"/>
  <c r="V68" i="40"/>
  <c r="G64" i="29"/>
  <c r="G68" i="29" s="1"/>
  <c r="X64" i="40"/>
  <c r="V31" i="40"/>
  <c r="F65" i="29"/>
  <c r="J65" i="29" s="1"/>
  <c r="X65" i="40"/>
  <c r="H64" i="29"/>
  <c r="H68" i="29" s="1"/>
  <c r="R68" i="40"/>
  <c r="J61" i="29"/>
  <c r="I47" i="29"/>
  <c r="J47" i="29" s="1"/>
  <c r="X47" i="40"/>
  <c r="X44" i="40"/>
  <c r="O51" i="40"/>
  <c r="G44" i="29"/>
  <c r="G51" i="29" s="1"/>
  <c r="U31" i="40"/>
  <c r="I31" i="29"/>
  <c r="H31" i="29"/>
  <c r="R31" i="40"/>
  <c r="O68" i="40"/>
  <c r="U16" i="40"/>
  <c r="X36" i="40"/>
  <c r="L39" i="40"/>
  <c r="F36" i="29"/>
  <c r="U51" i="40"/>
  <c r="I44" i="29"/>
  <c r="X13" i="40"/>
  <c r="R16" i="40"/>
  <c r="J15" i="29"/>
  <c r="X15" i="40"/>
  <c r="L31" i="40"/>
  <c r="X28" i="40"/>
  <c r="F9" i="39"/>
  <c r="D37" i="52"/>
  <c r="F10" i="39"/>
  <c r="D38" i="52"/>
  <c r="H10" i="51"/>
  <c r="R168" i="50"/>
  <c r="S167" i="38"/>
  <c r="AB167" i="38"/>
  <c r="P168" i="50"/>
  <c r="L168" i="50"/>
  <c r="T177" i="38"/>
  <c r="S179" i="38"/>
  <c r="S183" i="38"/>
  <c r="S176" i="38"/>
  <c r="S175" i="38"/>
  <c r="S178" i="38"/>
  <c r="S177" i="38"/>
  <c r="X167" i="38"/>
  <c r="G90" i="29"/>
  <c r="W94" i="40"/>
  <c r="W33" i="40"/>
  <c r="W41" i="40"/>
  <c r="K96" i="40"/>
  <c r="W92" i="40"/>
  <c r="H104" i="40"/>
  <c r="J71" i="29" l="1"/>
  <c r="E24" i="29"/>
  <c r="I25" i="40"/>
  <c r="F89" i="29"/>
  <c r="L90" i="40"/>
  <c r="U89" i="40"/>
  <c r="J54" i="29"/>
  <c r="J82" i="29"/>
  <c r="I86" i="29"/>
  <c r="J86" i="29" s="1"/>
  <c r="K22" i="41"/>
  <c r="G23" i="30"/>
  <c r="H23" i="30" s="1"/>
  <c r="A24" i="41"/>
  <c r="H23" i="41"/>
  <c r="I23" i="41" s="1"/>
  <c r="D18" i="32"/>
  <c r="F18" i="32" s="1"/>
  <c r="K17" i="43"/>
  <c r="X39" i="40"/>
  <c r="A19" i="43"/>
  <c r="E18" i="43"/>
  <c r="F18" i="43" s="1"/>
  <c r="H18" i="43"/>
  <c r="I18" i="43" s="1"/>
  <c r="E19" i="32" s="1"/>
  <c r="X16" i="40"/>
  <c r="I51" i="29"/>
  <c r="J51" i="29" s="1"/>
  <c r="O92" i="40"/>
  <c r="R33" i="40"/>
  <c r="R41" i="40" s="1"/>
  <c r="R92" i="40" s="1"/>
  <c r="R96" i="40" s="1"/>
  <c r="J64" i="29"/>
  <c r="F68" i="29"/>
  <c r="J68" i="29" s="1"/>
  <c r="X31" i="40"/>
  <c r="H16" i="29"/>
  <c r="H33" i="29" s="1"/>
  <c r="H41" i="29" s="1"/>
  <c r="H92" i="29" s="1"/>
  <c r="J14" i="29"/>
  <c r="J44" i="29"/>
  <c r="X68" i="40"/>
  <c r="F31" i="29"/>
  <c r="J28" i="29"/>
  <c r="F39" i="29"/>
  <c r="J39" i="29" s="1"/>
  <c r="J36" i="29"/>
  <c r="J13" i="29"/>
  <c r="I16" i="29"/>
  <c r="X51" i="40"/>
  <c r="G92" i="29"/>
  <c r="G96" i="29" s="1"/>
  <c r="E36" i="33" s="1"/>
  <c r="F11" i="39"/>
  <c r="K99" i="40"/>
  <c r="W96" i="40"/>
  <c r="H96" i="29" l="1"/>
  <c r="G30" i="33"/>
  <c r="G31" i="33" s="1"/>
  <c r="E25" i="29"/>
  <c r="I33" i="40"/>
  <c r="U90" i="40"/>
  <c r="X89" i="40"/>
  <c r="F90" i="29"/>
  <c r="I89" i="29"/>
  <c r="D19" i="32"/>
  <c r="F19" i="32" s="1"/>
  <c r="K18" i="43"/>
  <c r="A20" i="43"/>
  <c r="H19" i="43"/>
  <c r="I19" i="43" s="1"/>
  <c r="E20" i="32" s="1"/>
  <c r="E19" i="43"/>
  <c r="F19" i="43" s="1"/>
  <c r="O96" i="40"/>
  <c r="R169" i="38"/>
  <c r="M170" i="50" s="1"/>
  <c r="A25" i="41"/>
  <c r="H24" i="41"/>
  <c r="I24" i="41" s="1"/>
  <c r="K23" i="41"/>
  <c r="G24" i="30"/>
  <c r="H24" i="30" s="1"/>
  <c r="J16" i="29"/>
  <c r="J31" i="29"/>
  <c r="I41" i="40" l="1"/>
  <c r="I92" i="40" s="1"/>
  <c r="I94" i="40" s="1"/>
  <c r="X94" i="40" s="1"/>
  <c r="E33" i="29"/>
  <c r="E41" i="29" s="1"/>
  <c r="E92" i="29" s="1"/>
  <c r="E94" i="29" s="1"/>
  <c r="E96" i="29" s="1"/>
  <c r="I90" i="29"/>
  <c r="J90" i="29" s="1"/>
  <c r="J89" i="29"/>
  <c r="X90" i="40"/>
  <c r="D20" i="32"/>
  <c r="F20" i="32" s="1"/>
  <c r="K19" i="43"/>
  <c r="A21" i="43"/>
  <c r="E20" i="43"/>
  <c r="F20" i="43" s="1"/>
  <c r="H20" i="43"/>
  <c r="I20" i="43" s="1"/>
  <c r="E21" i="32" s="1"/>
  <c r="K24" i="41"/>
  <c r="K25" i="41" s="1"/>
  <c r="G25" i="30"/>
  <c r="H25" i="30" s="1"/>
  <c r="H26" i="30" s="1"/>
  <c r="I96" i="40" l="1"/>
  <c r="H29" i="30"/>
  <c r="H32" i="30" s="1"/>
  <c r="K28" i="41"/>
  <c r="L24" i="40" s="1"/>
  <c r="D21" i="32"/>
  <c r="F21" i="32" s="1"/>
  <c r="K20" i="43"/>
  <c r="A22" i="43"/>
  <c r="H21" i="43"/>
  <c r="I21" i="43" s="1"/>
  <c r="E22" i="32" s="1"/>
  <c r="E21" i="43"/>
  <c r="F21" i="43" s="1"/>
  <c r="D13" i="52"/>
  <c r="J94" i="29"/>
  <c r="K94" i="29" s="1"/>
  <c r="F24" i="29" l="1"/>
  <c r="L25" i="40"/>
  <c r="U24" i="40"/>
  <c r="U25" i="40" s="1"/>
  <c r="U33" i="40" s="1"/>
  <c r="U41" i="40" s="1"/>
  <c r="U92" i="40" s="1"/>
  <c r="U96" i="40" s="1"/>
  <c r="D22" i="32"/>
  <c r="F22" i="32" s="1"/>
  <c r="K21" i="43"/>
  <c r="A23" i="43"/>
  <c r="H22" i="43"/>
  <c r="I22" i="43" s="1"/>
  <c r="E23" i="32" s="1"/>
  <c r="E22" i="43"/>
  <c r="F22" i="43" s="1"/>
  <c r="F19" i="22"/>
  <c r="X24" i="40" l="1"/>
  <c r="L33" i="40"/>
  <c r="X25" i="40"/>
  <c r="F25" i="29"/>
  <c r="I24" i="29"/>
  <c r="A24" i="43"/>
  <c r="H23" i="43"/>
  <c r="I23" i="43" s="1"/>
  <c r="E24" i="32" s="1"/>
  <c r="E23" i="43"/>
  <c r="F23" i="43" s="1"/>
  <c r="D23" i="32"/>
  <c r="F23" i="32" s="1"/>
  <c r="K22" i="43"/>
  <c r="I162" i="12"/>
  <c r="I157" i="12"/>
  <c r="I152" i="12"/>
  <c r="I147" i="12"/>
  <c r="I142" i="12"/>
  <c r="I137" i="12"/>
  <c r="I132" i="12"/>
  <c r="I127" i="12"/>
  <c r="J24" i="29" l="1"/>
  <c r="I25" i="29"/>
  <c r="I33" i="29" s="1"/>
  <c r="I41" i="29" s="1"/>
  <c r="I92" i="29" s="1"/>
  <c r="I96" i="29" s="1"/>
  <c r="F33" i="29"/>
  <c r="L41" i="40"/>
  <c r="X33" i="40"/>
  <c r="D24" i="32"/>
  <c r="F24" i="32" s="1"/>
  <c r="K23" i="43"/>
  <c r="A25" i="43"/>
  <c r="E24" i="43"/>
  <c r="F24" i="43" s="1"/>
  <c r="H24" i="43"/>
  <c r="I24" i="43" s="1"/>
  <c r="E25" i="32" s="1"/>
  <c r="K184" i="12"/>
  <c r="J25" i="29" l="1"/>
  <c r="X41" i="40"/>
  <c r="L92" i="40"/>
  <c r="J33" i="29"/>
  <c r="F41" i="29"/>
  <c r="D25" i="32"/>
  <c r="F25" i="32" s="1"/>
  <c r="F26" i="32" s="1"/>
  <c r="K24" i="43"/>
  <c r="K25" i="43" s="1"/>
  <c r="K176" i="12"/>
  <c r="K175" i="12"/>
  <c r="F92" i="29" l="1"/>
  <c r="E30" i="33" s="1"/>
  <c r="E31" i="33" s="1"/>
  <c r="J41" i="29"/>
  <c r="L96" i="40"/>
  <c r="I104" i="40"/>
  <c r="X92" i="40"/>
  <c r="F32" i="32"/>
  <c r="D14" i="52"/>
  <c r="F38" i="2"/>
  <c r="G38" i="2"/>
  <c r="H38" i="2"/>
  <c r="I38" i="2"/>
  <c r="E38" i="2"/>
  <c r="J37" i="2"/>
  <c r="O8" i="51" l="1"/>
  <c r="O10" i="51" s="1"/>
  <c r="S12" i="51" s="1"/>
  <c r="F8" i="51"/>
  <c r="F10" i="51" s="1"/>
  <c r="I12" i="51" s="1"/>
  <c r="L99" i="40"/>
  <c r="X96" i="40"/>
  <c r="X102" i="40" s="1"/>
  <c r="F96" i="29"/>
  <c r="D42" i="52" s="1"/>
  <c r="E104" i="29"/>
  <c r="J92" i="29"/>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R54" i="66" l="1"/>
  <c r="R25" i="71"/>
  <c r="R15" i="66"/>
  <c r="R64" i="71"/>
  <c r="R63" i="68"/>
  <c r="J20" i="73"/>
  <c r="R16" i="68"/>
  <c r="R63" i="73"/>
  <c r="R53" i="70"/>
  <c r="R31" i="73"/>
  <c r="J45" i="71"/>
  <c r="R24" i="70"/>
  <c r="R24" i="71"/>
  <c r="J47" i="69"/>
  <c r="R17" i="66"/>
  <c r="R43" i="68"/>
  <c r="R45" i="70"/>
  <c r="R69" i="71"/>
  <c r="J19" i="66"/>
  <c r="J20" i="70"/>
  <c r="R16" i="66"/>
  <c r="J33" i="71"/>
  <c r="R43" i="67"/>
  <c r="R68" i="73"/>
  <c r="J46" i="66"/>
  <c r="J67" i="68"/>
  <c r="R21" i="70"/>
  <c r="J57" i="70"/>
  <c r="J29" i="66"/>
  <c r="R15" i="69"/>
  <c r="J32" i="66"/>
  <c r="R64" i="69"/>
  <c r="R46" i="67"/>
  <c r="J15" i="69"/>
  <c r="R35" i="72"/>
  <c r="R50" i="67"/>
  <c r="J69" i="72"/>
  <c r="J54" i="70"/>
  <c r="R61" i="69"/>
  <c r="R44" i="65"/>
  <c r="J37" i="67"/>
  <c r="J23" i="72"/>
  <c r="J58" i="69"/>
  <c r="J36" i="67"/>
  <c r="J63" i="69"/>
  <c r="J71" i="71"/>
  <c r="R72" i="68"/>
  <c r="R70" i="72"/>
  <c r="J67" i="69"/>
  <c r="J36" i="71"/>
  <c r="R45" i="69"/>
  <c r="J25" i="73"/>
  <c r="R46" i="71"/>
  <c r="J28" i="69"/>
  <c r="R49" i="73"/>
  <c r="R50" i="68"/>
  <c r="J34" i="73"/>
  <c r="J52" i="71"/>
  <c r="J66" i="69"/>
  <c r="R70" i="66"/>
  <c r="J34" i="72"/>
  <c r="J40" i="66"/>
  <c r="J37" i="73"/>
  <c r="R26" i="72"/>
  <c r="J62" i="69"/>
  <c r="J51" i="67"/>
  <c r="J25" i="68"/>
  <c r="R46" i="73"/>
  <c r="J22" i="70"/>
  <c r="J66" i="68"/>
  <c r="R31" i="65"/>
  <c r="J32" i="68"/>
  <c r="J36" i="70"/>
  <c r="R70" i="73"/>
  <c r="J37" i="68"/>
  <c r="J56" i="72"/>
  <c r="J22" i="67"/>
  <c r="R30" i="69"/>
  <c r="J58" i="73"/>
  <c r="J60" i="69"/>
  <c r="R65" i="73"/>
  <c r="J64" i="65"/>
  <c r="J73" i="73"/>
  <c r="J37" i="65"/>
  <c r="R49" i="65"/>
  <c r="R32" i="71"/>
  <c r="R49" i="71"/>
  <c r="J65" i="67"/>
  <c r="J47" i="71"/>
  <c r="R49" i="70"/>
  <c r="R67" i="73"/>
  <c r="R23" i="73"/>
  <c r="J63" i="72"/>
  <c r="R28" i="71"/>
  <c r="R20" i="72"/>
  <c r="J37" i="71"/>
  <c r="R36" i="66"/>
  <c r="R16" i="71"/>
  <c r="J35" i="69"/>
  <c r="J41" i="66"/>
  <c r="J59" i="68"/>
  <c r="J61" i="71"/>
  <c r="R39" i="70"/>
  <c r="R67" i="66"/>
  <c r="J61" i="69"/>
  <c r="R59" i="66"/>
  <c r="J25" i="71"/>
  <c r="R39" i="67"/>
  <c r="R55" i="72"/>
  <c r="J17" i="66"/>
  <c r="J19" i="67"/>
  <c r="R63" i="66"/>
  <c r="J53" i="70"/>
  <c r="J68" i="66"/>
  <c r="R15" i="68"/>
  <c r="J71" i="66"/>
  <c r="R23" i="67"/>
  <c r="R47" i="70"/>
  <c r="J36" i="66"/>
  <c r="R23" i="66"/>
  <c r="J15" i="66"/>
  <c r="J23" i="69"/>
  <c r="J67" i="70"/>
  <c r="R17" i="69"/>
  <c r="J54" i="65"/>
  <c r="J53" i="73"/>
  <c r="J46" i="72"/>
  <c r="J46" i="69"/>
  <c r="J32" i="67"/>
  <c r="J17" i="72"/>
  <c r="J29" i="70"/>
  <c r="R26" i="68"/>
  <c r="J58" i="68"/>
  <c r="J45" i="69"/>
  <c r="R42" i="71"/>
  <c r="R53" i="68"/>
  <c r="J44" i="73"/>
  <c r="J24" i="71"/>
  <c r="J28" i="68"/>
  <c r="J43" i="73"/>
  <c r="J72" i="67"/>
  <c r="J30" i="73"/>
  <c r="J44" i="71"/>
  <c r="J16" i="69"/>
  <c r="J42" i="66"/>
  <c r="R54" i="71"/>
  <c r="J44" i="72"/>
  <c r="R41" i="65"/>
  <c r="R66" i="72"/>
  <c r="J54" i="69"/>
  <c r="J66" i="67"/>
  <c r="R27" i="71"/>
  <c r="J56" i="73"/>
  <c r="J42" i="70"/>
  <c r="J42" i="68"/>
  <c r="J45" i="65"/>
  <c r="J48" i="68"/>
  <c r="J31" i="70"/>
  <c r="J47" i="72"/>
  <c r="J38" i="73"/>
  <c r="R65" i="68"/>
  <c r="J63" i="66"/>
  <c r="R29" i="68"/>
  <c r="R19" i="72"/>
  <c r="R60" i="67"/>
  <c r="J24" i="73"/>
  <c r="J70" i="65"/>
  <c r="J46" i="65"/>
  <c r="J67" i="65"/>
  <c r="R60" i="65"/>
  <c r="R28" i="70"/>
  <c r="R40" i="69"/>
  <c r="R51" i="68"/>
  <c r="R35" i="71"/>
  <c r="R19" i="68"/>
  <c r="J71" i="72"/>
  <c r="R46" i="66"/>
  <c r="R64" i="72"/>
  <c r="J29" i="68"/>
  <c r="R39" i="72"/>
  <c r="J16" i="70"/>
  <c r="R41" i="70"/>
  <c r="R27" i="69"/>
  <c r="J71" i="69"/>
  <c r="R64" i="68"/>
  <c r="R37" i="67"/>
  <c r="R16" i="69"/>
  <c r="R69" i="70"/>
  <c r="R62" i="66"/>
  <c r="R48" i="69"/>
  <c r="R51" i="66"/>
  <c r="R25" i="70"/>
  <c r="R58" i="67"/>
  <c r="R43" i="72"/>
  <c r="J59" i="66"/>
  <c r="R22" i="67"/>
  <c r="J22" i="69"/>
  <c r="J59" i="69"/>
  <c r="R33" i="70"/>
  <c r="J47" i="68"/>
  <c r="R71" i="68"/>
  <c r="R31" i="66"/>
  <c r="R47" i="72"/>
  <c r="J55" i="71"/>
  <c r="R60" i="66"/>
  <c r="R67" i="69"/>
  <c r="J21" i="73"/>
  <c r="R60" i="70"/>
  <c r="R25" i="68"/>
  <c r="J66" i="65"/>
  <c r="J45" i="67"/>
  <c r="J50" i="72"/>
  <c r="J52" i="69"/>
  <c r="J28" i="67"/>
  <c r="J31" i="73"/>
  <c r="J39" i="70"/>
  <c r="R38" i="68"/>
  <c r="R16" i="67"/>
  <c r="J61" i="67"/>
  <c r="J18" i="71"/>
  <c r="J26" i="68"/>
  <c r="R72" i="73"/>
  <c r="R30" i="71"/>
  <c r="J62" i="68"/>
  <c r="R23" i="72"/>
  <c r="J56" i="67"/>
  <c r="J55" i="73"/>
  <c r="R18" i="71"/>
  <c r="R66" i="68"/>
  <c r="R64" i="65"/>
  <c r="J56" i="71"/>
  <c r="J20" i="66"/>
  <c r="J50" i="66"/>
  <c r="J39" i="72"/>
  <c r="R41" i="69"/>
  <c r="J63" i="67"/>
  <c r="J49" i="70"/>
  <c r="J42" i="72"/>
  <c r="J34" i="70"/>
  <c r="J54" i="68"/>
  <c r="J65" i="73"/>
  <c r="R56" i="67"/>
  <c r="J57" i="69"/>
  <c r="J38" i="71"/>
  <c r="J70" i="72"/>
  <c r="J69" i="67"/>
  <c r="R45" i="65"/>
  <c r="R21" i="68"/>
  <c r="R58" i="72"/>
  <c r="R38" i="69"/>
  <c r="J72" i="73"/>
  <c r="J47" i="65"/>
  <c r="J60" i="65"/>
  <c r="J27" i="65"/>
  <c r="R34" i="65"/>
  <c r="R51" i="69"/>
  <c r="R56" i="69"/>
  <c r="R24" i="69"/>
  <c r="R33" i="71"/>
  <c r="R32" i="68"/>
  <c r="J60" i="72"/>
  <c r="R40" i="70"/>
  <c r="J69" i="71"/>
  <c r="R68" i="68"/>
  <c r="J16" i="73"/>
  <c r="R55" i="70"/>
  <c r="R47" i="69"/>
  <c r="R64" i="73"/>
  <c r="J39" i="68"/>
  <c r="R68" i="71"/>
  <c r="R65" i="67"/>
  <c r="J30" i="69"/>
  <c r="J55" i="68"/>
  <c r="R40" i="66"/>
  <c r="J31" i="68"/>
  <c r="R59" i="70"/>
  <c r="J64" i="70"/>
  <c r="R55" i="66"/>
  <c r="J24" i="72"/>
  <c r="R52" i="72"/>
  <c r="R57" i="67"/>
  <c r="J34" i="69"/>
  <c r="R19" i="67"/>
  <c r="R39" i="66"/>
  <c r="R27" i="67"/>
  <c r="R16" i="70"/>
  <c r="R20" i="70"/>
  <c r="R27" i="73"/>
  <c r="J31" i="69"/>
  <c r="J65" i="68"/>
  <c r="J41" i="68"/>
  <c r="R69" i="73"/>
  <c r="J59" i="70"/>
  <c r="R54" i="68"/>
  <c r="J54" i="72"/>
  <c r="J49" i="73"/>
  <c r="J15" i="71"/>
  <c r="R72" i="69"/>
  <c r="R69" i="66"/>
  <c r="J46" i="73"/>
  <c r="R18" i="70"/>
  <c r="J21" i="67"/>
  <c r="J24" i="67"/>
  <c r="R17" i="73"/>
  <c r="J20" i="71"/>
  <c r="J48" i="66"/>
  <c r="J23" i="73"/>
  <c r="J21" i="70"/>
  <c r="J38" i="68"/>
  <c r="J55" i="72"/>
  <c r="R25" i="66"/>
  <c r="R33" i="73"/>
  <c r="J25" i="70"/>
  <c r="J15" i="68"/>
  <c r="R55" i="65"/>
  <c r="J35" i="70"/>
  <c r="J61" i="73"/>
  <c r="J61" i="68"/>
  <c r="J26" i="71"/>
  <c r="R34" i="69"/>
  <c r="J48" i="67"/>
  <c r="J17" i="73"/>
  <c r="R15" i="72"/>
  <c r="J47" i="70"/>
  <c r="R69" i="68"/>
  <c r="J71" i="73"/>
  <c r="R40" i="65"/>
  <c r="R22" i="68"/>
  <c r="J66" i="70"/>
  <c r="R18" i="72"/>
  <c r="R57" i="73"/>
  <c r="J60" i="67"/>
  <c r="J31" i="67"/>
  <c r="R48" i="70"/>
  <c r="R36" i="67"/>
  <c r="R62" i="71"/>
  <c r="R15" i="65"/>
  <c r="J25" i="65"/>
  <c r="J73" i="71"/>
  <c r="R46" i="65"/>
  <c r="R67" i="72"/>
  <c r="R43" i="73"/>
  <c r="J39" i="69"/>
  <c r="R56" i="73"/>
  <c r="R57" i="71"/>
  <c r="R52" i="68"/>
  <c r="R33" i="72"/>
  <c r="J18" i="69"/>
  <c r="J59" i="71"/>
  <c r="R27" i="68"/>
  <c r="J69" i="73"/>
  <c r="R65" i="70"/>
  <c r="R15" i="73"/>
  <c r="R36" i="72"/>
  <c r="R47" i="68"/>
  <c r="R24" i="68"/>
  <c r="R51" i="67"/>
  <c r="R48" i="71"/>
  <c r="J17" i="68"/>
  <c r="R29" i="66"/>
  <c r="J60" i="68"/>
  <c r="R52" i="69"/>
  <c r="J65" i="69"/>
  <c r="J30" i="66"/>
  <c r="R45" i="71"/>
  <c r="R65" i="72"/>
  <c r="R53" i="67"/>
  <c r="R60" i="68"/>
  <c r="R38" i="67"/>
  <c r="R20" i="68"/>
  <c r="J54" i="67"/>
  <c r="R19" i="71"/>
  <c r="J19" i="68"/>
  <c r="J35" i="68"/>
  <c r="R41" i="67"/>
  <c r="J35" i="66"/>
  <c r="J25" i="67"/>
  <c r="J32" i="73"/>
  <c r="J55" i="70"/>
  <c r="J68" i="67"/>
  <c r="J22" i="68"/>
  <c r="R21" i="73"/>
  <c r="J72" i="71"/>
  <c r="J24" i="69"/>
  <c r="J33" i="69"/>
  <c r="R30" i="73"/>
  <c r="J70" i="70"/>
  <c r="J27" i="67"/>
  <c r="R54" i="65"/>
  <c r="J26" i="73"/>
  <c r="J33" i="70"/>
  <c r="J21" i="71"/>
  <c r="R45" i="73"/>
  <c r="J46" i="70"/>
  <c r="R72" i="67"/>
  <c r="J58" i="71"/>
  <c r="J67" i="66"/>
  <c r="J35" i="73"/>
  <c r="J27" i="70"/>
  <c r="R70" i="68"/>
  <c r="R20" i="65"/>
  <c r="J51" i="70"/>
  <c r="R57" i="66"/>
  <c r="R34" i="73"/>
  <c r="J64" i="71"/>
  <c r="R66" i="69"/>
  <c r="J64" i="66"/>
  <c r="J20" i="68"/>
  <c r="J27" i="72"/>
  <c r="J69" i="69"/>
  <c r="J41" i="67"/>
  <c r="R22" i="73"/>
  <c r="R43" i="70"/>
  <c r="J17" i="67"/>
  <c r="R23" i="65"/>
  <c r="R66" i="70"/>
  <c r="J18" i="73"/>
  <c r="J65" i="65"/>
  <c r="R40" i="67"/>
  <c r="R26" i="69"/>
  <c r="J15" i="73"/>
  <c r="R72" i="70"/>
  <c r="J39" i="65"/>
  <c r="R39" i="65"/>
  <c r="R58" i="65"/>
  <c r="J38" i="69"/>
  <c r="J51" i="71"/>
  <c r="R69" i="67"/>
  <c r="R24" i="66"/>
  <c r="R31" i="70"/>
  <c r="R44" i="71"/>
  <c r="J28" i="70"/>
  <c r="R16" i="72"/>
  <c r="R61" i="71"/>
  <c r="R42" i="66"/>
  <c r="J68" i="72"/>
  <c r="J29" i="67"/>
  <c r="R37" i="70"/>
  <c r="R23" i="71"/>
  <c r="R37" i="66"/>
  <c r="J67" i="71"/>
  <c r="R44" i="66"/>
  <c r="J36" i="72"/>
  <c r="R42" i="67"/>
  <c r="R56" i="71"/>
  <c r="R50" i="66"/>
  <c r="J25" i="72"/>
  <c r="R34" i="67"/>
  <c r="J56" i="66"/>
  <c r="J42" i="67"/>
  <c r="R17" i="71"/>
  <c r="R26" i="66"/>
  <c r="R41" i="72"/>
  <c r="R66" i="67"/>
  <c r="R40" i="73"/>
  <c r="J18" i="66"/>
  <c r="R44" i="73"/>
  <c r="J37" i="66"/>
  <c r="R18" i="66"/>
  <c r="R51" i="70"/>
  <c r="R59" i="67"/>
  <c r="J28" i="72"/>
  <c r="R50" i="73"/>
  <c r="R22" i="69"/>
  <c r="J60" i="66"/>
  <c r="R66" i="65"/>
  <c r="J22" i="73"/>
  <c r="R34" i="70"/>
  <c r="R34" i="68"/>
  <c r="J29" i="65"/>
  <c r="J62" i="72"/>
  <c r="R29" i="69"/>
  <c r="R21" i="65"/>
  <c r="J57" i="71"/>
  <c r="R69" i="72"/>
  <c r="R26" i="70"/>
  <c r="J27" i="69"/>
  <c r="R22" i="72"/>
  <c r="J53" i="69"/>
  <c r="R53" i="66"/>
  <c r="J44" i="69"/>
  <c r="J19" i="69"/>
  <c r="J30" i="72"/>
  <c r="R62" i="70"/>
  <c r="R24" i="67"/>
  <c r="J42" i="73"/>
  <c r="J72" i="68"/>
  <c r="R70" i="70"/>
  <c r="R26" i="73"/>
  <c r="R56" i="70"/>
  <c r="J68" i="68"/>
  <c r="J28" i="65"/>
  <c r="R24" i="72"/>
  <c r="R26" i="71"/>
  <c r="R37" i="69"/>
  <c r="J58" i="66"/>
  <c r="R46" i="70"/>
  <c r="J41" i="70"/>
  <c r="R57" i="68"/>
  <c r="J24" i="65"/>
  <c r="J52" i="67"/>
  <c r="R50" i="69"/>
  <c r="J16" i="71"/>
  <c r="J19" i="65"/>
  <c r="J18" i="68"/>
  <c r="R72" i="71"/>
  <c r="J26" i="65"/>
  <c r="R51" i="65"/>
  <c r="J15" i="65"/>
  <c r="J55" i="65"/>
  <c r="R20" i="69"/>
  <c r="J43" i="71"/>
  <c r="R21" i="67"/>
  <c r="R60" i="73"/>
  <c r="R60" i="69"/>
  <c r="R44" i="70"/>
  <c r="R61" i="70"/>
  <c r="R40" i="72"/>
  <c r="J32" i="70"/>
  <c r="R48" i="73"/>
  <c r="R68" i="72"/>
  <c r="R27" i="66"/>
  <c r="R28" i="68"/>
  <c r="R63" i="71"/>
  <c r="R56" i="66"/>
  <c r="R27" i="70"/>
  <c r="R66" i="66"/>
  <c r="R71" i="72"/>
  <c r="R17" i="67"/>
  <c r="R40" i="71"/>
  <c r="R38" i="66"/>
  <c r="R29" i="72"/>
  <c r="R25" i="67"/>
  <c r="R56" i="68"/>
  <c r="R49" i="67"/>
  <c r="R29" i="70"/>
  <c r="R20" i="66"/>
  <c r="R51" i="71"/>
  <c r="R35" i="66"/>
  <c r="J49" i="72"/>
  <c r="R19" i="66"/>
  <c r="R28" i="73"/>
  <c r="R45" i="72"/>
  <c r="R43" i="69"/>
  <c r="J24" i="68"/>
  <c r="J38" i="66"/>
  <c r="R38" i="65"/>
  <c r="J31" i="72"/>
  <c r="R33" i="69"/>
  <c r="R18" i="65"/>
  <c r="J21" i="65"/>
  <c r="J60" i="73"/>
  <c r="J48" i="70"/>
  <c r="R61" i="68"/>
  <c r="J49" i="67"/>
  <c r="J51" i="72"/>
  <c r="J36" i="69"/>
  <c r="R35" i="65"/>
  <c r="J33" i="68"/>
  <c r="J38" i="72"/>
  <c r="J17" i="69"/>
  <c r="J45" i="72"/>
  <c r="J35" i="72"/>
  <c r="J40" i="69"/>
  <c r="R52" i="65"/>
  <c r="J64" i="69"/>
  <c r="J61" i="70"/>
  <c r="R54" i="72"/>
  <c r="J49" i="69"/>
  <c r="J40" i="67"/>
  <c r="J66" i="73"/>
  <c r="J70" i="67"/>
  <c r="J71" i="67"/>
  <c r="J48" i="73"/>
  <c r="J37" i="70"/>
  <c r="R46" i="68"/>
  <c r="J26" i="66"/>
  <c r="J19" i="73"/>
  <c r="J46" i="71"/>
  <c r="R53" i="69"/>
  <c r="J69" i="66"/>
  <c r="R22" i="70"/>
  <c r="J50" i="73"/>
  <c r="J39" i="73"/>
  <c r="R52" i="67"/>
  <c r="J60" i="71"/>
  <c r="J56" i="69"/>
  <c r="J44" i="70"/>
  <c r="J62" i="66"/>
  <c r="J67" i="67"/>
  <c r="J50" i="70"/>
  <c r="J48" i="65"/>
  <c r="J38" i="65"/>
  <c r="R71" i="65"/>
  <c r="J73" i="66"/>
  <c r="R32" i="73"/>
  <c r="R71" i="71"/>
  <c r="R49" i="66"/>
  <c r="R16" i="73"/>
  <c r="J51" i="69"/>
  <c r="R20" i="73"/>
  <c r="R32" i="69"/>
  <c r="R60" i="71"/>
  <c r="R15" i="70"/>
  <c r="R31" i="69"/>
  <c r="R37" i="72"/>
  <c r="R35" i="68"/>
  <c r="R19" i="70"/>
  <c r="R47" i="71"/>
  <c r="J39" i="66"/>
  <c r="R71" i="70"/>
  <c r="J22" i="66"/>
  <c r="R25" i="72"/>
  <c r="R67" i="67"/>
  <c r="R71" i="73"/>
  <c r="J34" i="66"/>
  <c r="J27" i="71"/>
  <c r="J46" i="67"/>
  <c r="R21" i="66"/>
  <c r="R43" i="66"/>
  <c r="J72" i="70"/>
  <c r="J23" i="66"/>
  <c r="R21" i="71"/>
  <c r="R41" i="66"/>
  <c r="R43" i="71"/>
  <c r="J51" i="66"/>
  <c r="J57" i="73"/>
  <c r="J43" i="69"/>
  <c r="R59" i="72"/>
  <c r="R47" i="66"/>
  <c r="R71" i="69"/>
  <c r="J57" i="68"/>
  <c r="J22" i="72"/>
  <c r="R49" i="69"/>
  <c r="R43" i="65"/>
  <c r="J68" i="71"/>
  <c r="J64" i="73"/>
  <c r="J18" i="70"/>
  <c r="J39" i="67"/>
  <c r="J29" i="72"/>
  <c r="J28" i="71"/>
  <c r="R62" i="69"/>
  <c r="R56" i="65"/>
  <c r="J29" i="71"/>
  <c r="R50" i="72"/>
  <c r="R46" i="69"/>
  <c r="J29" i="73"/>
  <c r="J34" i="71"/>
  <c r="R57" i="69"/>
  <c r="R68" i="65"/>
  <c r="J50" i="69"/>
  <c r="J53" i="72"/>
  <c r="R38" i="71"/>
  <c r="J32" i="69"/>
  <c r="R64" i="67"/>
  <c r="J40" i="73"/>
  <c r="R15" i="67"/>
  <c r="J41" i="72"/>
  <c r="J19" i="72"/>
  <c r="R52" i="70"/>
  <c r="R17" i="68"/>
  <c r="J65" i="71"/>
  <c r="J36" i="73"/>
  <c r="J66" i="71"/>
  <c r="R18" i="68"/>
  <c r="R62" i="65"/>
  <c r="J48" i="69"/>
  <c r="R27" i="72"/>
  <c r="R30" i="70"/>
  <c r="J60" i="70"/>
  <c r="R69" i="69"/>
  <c r="R45" i="68"/>
  <c r="J62" i="70"/>
  <c r="J45" i="68"/>
  <c r="J70" i="66"/>
  <c r="J23" i="70"/>
  <c r="R22" i="65"/>
  <c r="R27" i="65"/>
  <c r="R48" i="65"/>
  <c r="J36" i="65"/>
  <c r="R30" i="66"/>
  <c r="R15" i="71"/>
  <c r="R44" i="68"/>
  <c r="R60" i="72"/>
  <c r="J27" i="68"/>
  <c r="R20" i="71"/>
  <c r="R48" i="66"/>
  <c r="R39" i="73"/>
  <c r="R59" i="69"/>
  <c r="R19" i="69"/>
  <c r="R61" i="72"/>
  <c r="R63" i="72"/>
  <c r="R39" i="68"/>
  <c r="R65" i="71"/>
  <c r="R58" i="66"/>
  <c r="J40" i="68"/>
  <c r="J44" i="66"/>
  <c r="R53" i="72"/>
  <c r="R54" i="67"/>
  <c r="R41" i="71"/>
  <c r="R52" i="66"/>
  <c r="J53" i="71"/>
  <c r="R47" i="67"/>
  <c r="R39" i="69"/>
  <c r="J31" i="66"/>
  <c r="J63" i="68"/>
  <c r="R31" i="68"/>
  <c r="R53" i="71"/>
  <c r="R71" i="66"/>
  <c r="J69" i="70"/>
  <c r="R65" i="66"/>
  <c r="R59" i="71"/>
  <c r="R32" i="66"/>
  <c r="R57" i="70"/>
  <c r="R34" i="66"/>
  <c r="R67" i="71"/>
  <c r="J17" i="71"/>
  <c r="J32" i="71"/>
  <c r="R70" i="69"/>
  <c r="R42" i="65"/>
  <c r="R29" i="65"/>
  <c r="J18" i="72"/>
  <c r="J37" i="69"/>
  <c r="R48" i="67"/>
  <c r="J25" i="69"/>
  <c r="R66" i="71"/>
  <c r="J30" i="68"/>
  <c r="J69" i="65"/>
  <c r="J25" i="66"/>
  <c r="R34" i="71"/>
  <c r="J42" i="69"/>
  <c r="J57" i="72"/>
  <c r="R70" i="71"/>
  <c r="R18" i="69"/>
  <c r="J42" i="65"/>
  <c r="R49" i="68"/>
  <c r="R24" i="73"/>
  <c r="R50" i="71"/>
  <c r="J72" i="69"/>
  <c r="J53" i="66"/>
  <c r="R34" i="72"/>
  <c r="J72" i="66"/>
  <c r="R17" i="70"/>
  <c r="J59" i="72"/>
  <c r="R38" i="70"/>
  <c r="R18" i="67"/>
  <c r="J41" i="71"/>
  <c r="J68" i="73"/>
  <c r="J23" i="71"/>
  <c r="R30" i="68"/>
  <c r="R30" i="65"/>
  <c r="R58" i="69"/>
  <c r="R58" i="71"/>
  <c r="J33" i="67"/>
  <c r="J64" i="72"/>
  <c r="J70" i="71"/>
  <c r="R41" i="68"/>
  <c r="J68" i="69"/>
  <c r="J29" i="69"/>
  <c r="J33" i="73"/>
  <c r="R20" i="67"/>
  <c r="R19" i="65"/>
  <c r="J43" i="65"/>
  <c r="J57" i="65"/>
  <c r="J34" i="65"/>
  <c r="R31" i="67"/>
  <c r="R39" i="71"/>
  <c r="J67" i="72"/>
  <c r="J15" i="67"/>
  <c r="J26" i="67"/>
  <c r="J34" i="67"/>
  <c r="R68" i="66"/>
  <c r="J54" i="66"/>
  <c r="J57" i="66"/>
  <c r="J41" i="69"/>
  <c r="J48" i="71"/>
  <c r="J43" i="70"/>
  <c r="J68" i="70"/>
  <c r="J23" i="67"/>
  <c r="R54" i="70"/>
  <c r="J28" i="73"/>
  <c r="R57" i="65"/>
  <c r="J44" i="67"/>
  <c r="J47" i="67"/>
  <c r="R72" i="66"/>
  <c r="R72" i="65"/>
  <c r="J32" i="65"/>
  <c r="J73" i="72"/>
  <c r="J30" i="65"/>
  <c r="J60" i="49"/>
  <c r="J70" i="49"/>
  <c r="J34" i="49"/>
  <c r="J36" i="49"/>
  <c r="J38" i="49"/>
  <c r="J48" i="49"/>
  <c r="R52" i="47"/>
  <c r="R60" i="47"/>
  <c r="R59" i="47"/>
  <c r="R21" i="47"/>
  <c r="J36" i="48"/>
  <c r="J21" i="46"/>
  <c r="R64" i="48"/>
  <c r="R65" i="49"/>
  <c r="J18" i="46"/>
  <c r="J41" i="48"/>
  <c r="J43" i="46"/>
  <c r="J20" i="48"/>
  <c r="J31" i="48"/>
  <c r="R53" i="49"/>
  <c r="J53" i="46"/>
  <c r="R36" i="46"/>
  <c r="J26" i="47"/>
  <c r="J66" i="48"/>
  <c r="J59" i="47"/>
  <c r="J16" i="47"/>
  <c r="R47" i="49"/>
  <c r="R49" i="48"/>
  <c r="J67" i="46"/>
  <c r="J35" i="48"/>
  <c r="R41" i="49"/>
  <c r="J43" i="48"/>
  <c r="R48" i="49"/>
  <c r="R34" i="48"/>
  <c r="J38" i="46"/>
  <c r="R17" i="46"/>
  <c r="R66" i="48"/>
  <c r="R46" i="49"/>
  <c r="J44" i="47"/>
  <c r="J29" i="48"/>
  <c r="J53" i="48"/>
  <c r="J40" i="47"/>
  <c r="J58" i="47"/>
  <c r="R30" i="49"/>
  <c r="R51" i="73"/>
  <c r="J49" i="71"/>
  <c r="R30" i="72"/>
  <c r="R56" i="47"/>
  <c r="R67" i="47"/>
  <c r="R70" i="47"/>
  <c r="J60" i="47"/>
  <c r="R23" i="48"/>
  <c r="J42" i="48"/>
  <c r="R32" i="49"/>
  <c r="R47" i="48"/>
  <c r="R25" i="49"/>
  <c r="R54" i="46"/>
  <c r="J61" i="48"/>
  <c r="R67" i="70"/>
  <c r="R33" i="66"/>
  <c r="R36" i="69"/>
  <c r="J26" i="69"/>
  <c r="J47" i="66"/>
  <c r="J33" i="66"/>
  <c r="R51" i="72"/>
  <c r="J65" i="70"/>
  <c r="J28" i="66"/>
  <c r="R44" i="67"/>
  <c r="R33" i="68"/>
  <c r="J18" i="67"/>
  <c r="J57" i="67"/>
  <c r="J17" i="70"/>
  <c r="R37" i="68"/>
  <c r="J63" i="73"/>
  <c r="J48" i="72"/>
  <c r="J52" i="73"/>
  <c r="R35" i="70"/>
  <c r="J16" i="68"/>
  <c r="R24" i="65"/>
  <c r="R16" i="65"/>
  <c r="J35" i="65"/>
  <c r="J59" i="65"/>
  <c r="J43" i="49"/>
  <c r="R40" i="47"/>
  <c r="R15" i="48"/>
  <c r="J27" i="49"/>
  <c r="J64" i="49"/>
  <c r="J63" i="49"/>
  <c r="R68" i="47"/>
  <c r="R50" i="47"/>
  <c r="R45" i="47"/>
  <c r="R30" i="47"/>
  <c r="R48" i="48"/>
  <c r="J40" i="46"/>
  <c r="J69" i="48"/>
  <c r="R23" i="46"/>
  <c r="J27" i="46"/>
  <c r="J50" i="48"/>
  <c r="J52" i="46"/>
  <c r="J24" i="48"/>
  <c r="R15" i="49"/>
  <c r="J70" i="47"/>
  <c r="J62" i="46"/>
  <c r="R53" i="46"/>
  <c r="R49" i="49"/>
  <c r="J19" i="48"/>
  <c r="R69" i="46"/>
  <c r="R18" i="46"/>
  <c r="R56" i="49"/>
  <c r="J71" i="48"/>
  <c r="J30" i="46"/>
  <c r="J26" i="48"/>
  <c r="R54" i="49"/>
  <c r="R55" i="49"/>
  <c r="R29" i="46"/>
  <c r="J19" i="46"/>
  <c r="R71" i="67"/>
  <c r="R55" i="47"/>
  <c r="J16" i="46"/>
  <c r="R19" i="73"/>
  <c r="R45" i="66"/>
  <c r="R68" i="69"/>
  <c r="R36" i="73"/>
  <c r="R40" i="68"/>
  <c r="R28" i="66"/>
  <c r="J21" i="72"/>
  <c r="J50" i="67"/>
  <c r="R17" i="72"/>
  <c r="J55" i="67"/>
  <c r="J70" i="68"/>
  <c r="J52" i="66"/>
  <c r="R65" i="65"/>
  <c r="J71" i="70"/>
  <c r="J46" i="68"/>
  <c r="J59" i="73"/>
  <c r="J41" i="73"/>
  <c r="J54" i="71"/>
  <c r="R54" i="69"/>
  <c r="J64" i="67"/>
  <c r="J63" i="65"/>
  <c r="J40" i="65"/>
  <c r="J72" i="65"/>
  <c r="J51" i="65"/>
  <c r="J23" i="49"/>
  <c r="J66" i="49"/>
  <c r="J30" i="49"/>
  <c r="J65" i="49"/>
  <c r="J32" i="49"/>
  <c r="R25" i="47"/>
  <c r="R63" i="47"/>
  <c r="R66" i="47"/>
  <c r="R19" i="47"/>
  <c r="R53" i="47"/>
  <c r="R38" i="48"/>
  <c r="R34" i="49"/>
  <c r="J39" i="48"/>
  <c r="R67" i="49"/>
  <c r="J36" i="46"/>
  <c r="R62" i="48"/>
  <c r="J61" i="46"/>
  <c r="R21" i="48"/>
  <c r="J18" i="47"/>
  <c r="R72" i="46"/>
  <c r="J63" i="46"/>
  <c r="R46" i="46"/>
  <c r="R39" i="46"/>
  <c r="R16" i="48"/>
  <c r="R57" i="49"/>
  <c r="R42" i="49"/>
  <c r="R24" i="49"/>
  <c r="J67" i="47"/>
  <c r="J31" i="46"/>
  <c r="R46" i="48"/>
  <c r="R33" i="48"/>
  <c r="J70" i="48"/>
  <c r="J24" i="46"/>
  <c r="R29" i="48"/>
  <c r="J46" i="46"/>
  <c r="J41" i="47"/>
  <c r="J51" i="47"/>
  <c r="R65" i="48"/>
  <c r="R49" i="46"/>
  <c r="J63" i="71"/>
  <c r="J56" i="68"/>
  <c r="R68" i="67"/>
  <c r="R31" i="72"/>
  <c r="J62" i="71"/>
  <c r="R22" i="71"/>
  <c r="J73" i="67"/>
  <c r="J29" i="49"/>
  <c r="J45" i="49"/>
  <c r="R72" i="47"/>
  <c r="J55" i="46"/>
  <c r="J56" i="47"/>
  <c r="J37" i="48"/>
  <c r="R60" i="48"/>
  <c r="R61" i="46"/>
  <c r="R47" i="46"/>
  <c r="J48" i="46"/>
  <c r="R36" i="70"/>
  <c r="R32" i="72"/>
  <c r="R23" i="68"/>
  <c r="J52" i="72"/>
  <c r="R35" i="69"/>
  <c r="R64" i="66"/>
  <c r="R56" i="72"/>
  <c r="J65" i="66"/>
  <c r="R23" i="70"/>
  <c r="J35" i="67"/>
  <c r="R58" i="68"/>
  <c r="J66" i="66"/>
  <c r="J33" i="72"/>
  <c r="J40" i="70"/>
  <c r="R32" i="67"/>
  <c r="R58" i="73"/>
  <c r="R53" i="65"/>
  <c r="J19" i="71"/>
  <c r="R62" i="68"/>
  <c r="J16" i="65"/>
  <c r="J44" i="65"/>
  <c r="J50" i="65"/>
  <c r="R59" i="65"/>
  <c r="J73" i="65"/>
  <c r="J51" i="49"/>
  <c r="J72" i="49"/>
  <c r="J50" i="49"/>
  <c r="J37" i="49"/>
  <c r="J47" i="49"/>
  <c r="R17" i="47"/>
  <c r="R58" i="47"/>
  <c r="R29" i="47"/>
  <c r="J73" i="49"/>
  <c r="R28" i="47"/>
  <c r="J50" i="47"/>
  <c r="R23" i="49"/>
  <c r="J23" i="48"/>
  <c r="J62" i="47"/>
  <c r="J45" i="46"/>
  <c r="J67" i="48"/>
  <c r="J70" i="46"/>
  <c r="J33" i="48"/>
  <c r="R28" i="46"/>
  <c r="J63" i="47"/>
  <c r="J72" i="46"/>
  <c r="J29" i="47"/>
  <c r="R16" i="46"/>
  <c r="J28" i="48"/>
  <c r="J52" i="47"/>
  <c r="J25" i="47"/>
  <c r="R18" i="49"/>
  <c r="R19" i="49"/>
  <c r="R60" i="49"/>
  <c r="J38" i="48"/>
  <c r="R56" i="48"/>
  <c r="R62" i="49"/>
  <c r="R27" i="49"/>
  <c r="R43" i="49"/>
  <c r="R67" i="48"/>
  <c r="J42" i="46"/>
  <c r="R69" i="49"/>
  <c r="J37" i="47"/>
  <c r="R34" i="46"/>
  <c r="J56" i="70"/>
  <c r="J45" i="66"/>
  <c r="R30" i="67"/>
  <c r="J61" i="72"/>
  <c r="R50" i="65"/>
  <c r="R25" i="73"/>
  <c r="R72" i="72"/>
  <c r="J43" i="72"/>
  <c r="J49" i="65"/>
  <c r="J58" i="49"/>
  <c r="J25" i="48"/>
  <c r="R18" i="48"/>
  <c r="J71" i="47"/>
  <c r="J53" i="47"/>
  <c r="R44" i="46"/>
  <c r="R44" i="49"/>
  <c r="R48" i="68"/>
  <c r="J24" i="70"/>
  <c r="R31" i="71"/>
  <c r="R55" i="73"/>
  <c r="J16" i="67"/>
  <c r="J20" i="67"/>
  <c r="R44" i="69"/>
  <c r="J38" i="67"/>
  <c r="R23" i="69"/>
  <c r="J53" i="65"/>
  <c r="J52" i="68"/>
  <c r="J21" i="69"/>
  <c r="R28" i="65"/>
  <c r="J51" i="73"/>
  <c r="R69" i="65"/>
  <c r="J22" i="65"/>
  <c r="J40" i="71"/>
  <c r="R62" i="72"/>
  <c r="R54" i="73"/>
  <c r="R38" i="72"/>
  <c r="R29" i="73"/>
  <c r="J73" i="70"/>
  <c r="J73" i="68"/>
  <c r="J73" i="69"/>
  <c r="R33" i="47"/>
  <c r="J41" i="49"/>
  <c r="J61" i="49"/>
  <c r="J57" i="49"/>
  <c r="J19" i="49"/>
  <c r="J53" i="49"/>
  <c r="R23" i="47"/>
  <c r="R18" i="47"/>
  <c r="R27" i="47"/>
  <c r="R20" i="47"/>
  <c r="T20" i="47" s="1"/>
  <c r="R60" i="46"/>
  <c r="J16" i="48"/>
  <c r="R28" i="49"/>
  <c r="R64" i="46"/>
  <c r="J54" i="46"/>
  <c r="J21" i="48"/>
  <c r="J65" i="46"/>
  <c r="R32" i="48"/>
  <c r="R51" i="48"/>
  <c r="R65" i="46"/>
  <c r="R52" i="49"/>
  <c r="J15" i="47"/>
  <c r="J25" i="46"/>
  <c r="R26" i="48"/>
  <c r="R62" i="46"/>
  <c r="R35" i="46"/>
  <c r="R35" i="49"/>
  <c r="R70" i="46"/>
  <c r="R59" i="49"/>
  <c r="R68" i="46"/>
  <c r="J62" i="48"/>
  <c r="R35" i="48"/>
  <c r="R72" i="49"/>
  <c r="R66" i="49"/>
  <c r="R45" i="48"/>
  <c r="J37" i="46"/>
  <c r="R45" i="49"/>
  <c r="R42" i="46"/>
  <c r="R70" i="49"/>
  <c r="R63" i="70"/>
  <c r="J41" i="65"/>
  <c r="J55" i="69"/>
  <c r="R26" i="65"/>
  <c r="J33" i="49"/>
  <c r="R34" i="47"/>
  <c r="R51" i="49"/>
  <c r="J35" i="47"/>
  <c r="J41" i="46"/>
  <c r="R71" i="46"/>
  <c r="R36" i="68"/>
  <c r="J52" i="70"/>
  <c r="R37" i="71"/>
  <c r="J72" i="72"/>
  <c r="R61" i="66"/>
  <c r="R29" i="67"/>
  <c r="R61" i="67"/>
  <c r="R63" i="67"/>
  <c r="J51" i="68"/>
  <c r="J49" i="68"/>
  <c r="J43" i="66"/>
  <c r="J45" i="70"/>
  <c r="R32" i="65"/>
  <c r="R46" i="72"/>
  <c r="J53" i="68"/>
  <c r="J53" i="67"/>
  <c r="J58" i="70"/>
  <c r="J30" i="71"/>
  <c r="J50" i="68"/>
  <c r="J50" i="71"/>
  <c r="J16" i="72"/>
  <c r="J17" i="65"/>
  <c r="J20" i="65"/>
  <c r="J23" i="65"/>
  <c r="J68" i="49"/>
  <c r="J21" i="49"/>
  <c r="R16" i="47"/>
  <c r="J22" i="49"/>
  <c r="R49" i="47"/>
  <c r="J44" i="49"/>
  <c r="R15" i="47"/>
  <c r="T15" i="47" s="1"/>
  <c r="J15" i="46"/>
  <c r="R37" i="47"/>
  <c r="R73" i="47"/>
  <c r="R63" i="46"/>
  <c r="R22" i="48"/>
  <c r="R20" i="46"/>
  <c r="J55" i="47"/>
  <c r="J64" i="46"/>
  <c r="R19" i="48"/>
  <c r="R16" i="49"/>
  <c r="R54" i="48"/>
  <c r="R45" i="46"/>
  <c r="R58" i="46"/>
  <c r="R22" i="49"/>
  <c r="J64" i="47"/>
  <c r="R42" i="48"/>
  <c r="R37" i="48"/>
  <c r="J45" i="47"/>
  <c r="J50" i="46"/>
  <c r="R69" i="48"/>
  <c r="R39" i="48"/>
  <c r="R59" i="48"/>
  <c r="R22" i="46"/>
  <c r="J69" i="47"/>
  <c r="J54" i="47"/>
  <c r="J68" i="47"/>
  <c r="R24" i="46"/>
  <c r="R58" i="48"/>
  <c r="R27" i="46"/>
  <c r="R41" i="46"/>
  <c r="J17" i="48"/>
  <c r="R51" i="46"/>
  <c r="R35" i="73"/>
  <c r="J30" i="67"/>
  <c r="J44" i="68"/>
  <c r="J65" i="72"/>
  <c r="R36" i="71"/>
  <c r="R67" i="68"/>
  <c r="R49" i="72"/>
  <c r="R59" i="73"/>
  <c r="R48" i="72"/>
  <c r="R55" i="71"/>
  <c r="R32" i="70"/>
  <c r="R28" i="69"/>
  <c r="J70" i="73"/>
  <c r="R42" i="73"/>
  <c r="J26" i="72"/>
  <c r="J54" i="73"/>
  <c r="R64" i="70"/>
  <c r="J58" i="72"/>
  <c r="R42" i="68"/>
  <c r="J36" i="68"/>
  <c r="R42" i="69"/>
  <c r="J47" i="73"/>
  <c r="J66" i="72"/>
  <c r="J24" i="66"/>
  <c r="R37" i="65"/>
  <c r="J56" i="65"/>
  <c r="J58" i="65"/>
  <c r="R57" i="47"/>
  <c r="J31" i="49"/>
  <c r="J26" i="49"/>
  <c r="J69" i="49"/>
  <c r="J62" i="49"/>
  <c r="J17" i="49"/>
  <c r="R54" i="47"/>
  <c r="R69" i="47"/>
  <c r="R36" i="47"/>
  <c r="R44" i="47"/>
  <c r="R50" i="48"/>
  <c r="J24" i="47"/>
  <c r="J51" i="48"/>
  <c r="J20" i="47"/>
  <c r="R50" i="46"/>
  <c r="R71" i="49"/>
  <c r="R15" i="46"/>
  <c r="R53" i="48"/>
  <c r="J68" i="48"/>
  <c r="R38" i="46"/>
  <c r="J26" i="46"/>
  <c r="R71" i="48"/>
  <c r="R64" i="49"/>
  <c r="R52" i="48"/>
  <c r="J63" i="48"/>
  <c r="R32" i="46"/>
  <c r="J22" i="46"/>
  <c r="R36" i="48"/>
  <c r="R26" i="46"/>
  <c r="J15" i="48"/>
  <c r="R59" i="46"/>
  <c r="J33" i="46"/>
  <c r="J57" i="46"/>
  <c r="J39" i="46"/>
  <c r="J17" i="47"/>
  <c r="R31" i="49"/>
  <c r="J72" i="48"/>
  <c r="J66" i="46"/>
  <c r="J55" i="48"/>
  <c r="R59" i="68"/>
  <c r="J32" i="72"/>
  <c r="J69" i="68"/>
  <c r="R62" i="67"/>
  <c r="R35" i="67"/>
  <c r="J15" i="70"/>
  <c r="J42" i="71"/>
  <c r="J30" i="70"/>
  <c r="R17" i="65"/>
  <c r="J58" i="67"/>
  <c r="R33" i="65"/>
  <c r="R36" i="65"/>
  <c r="R70" i="65"/>
  <c r="J49" i="49"/>
  <c r="R65" i="47"/>
  <c r="J67" i="49"/>
  <c r="R39" i="47"/>
  <c r="R51" i="47"/>
  <c r="R35" i="47"/>
  <c r="J65" i="48"/>
  <c r="J60" i="48"/>
  <c r="J43" i="68"/>
  <c r="R57" i="72"/>
  <c r="J45" i="73"/>
  <c r="R33" i="67"/>
  <c r="J71" i="68"/>
  <c r="J23" i="68"/>
  <c r="R45" i="67"/>
  <c r="R55" i="67"/>
  <c r="R70" i="67"/>
  <c r="R42" i="70"/>
  <c r="J22" i="71"/>
  <c r="R58" i="70"/>
  <c r="J26" i="70"/>
  <c r="J59" i="67"/>
  <c r="J63" i="70"/>
  <c r="J37" i="72"/>
  <c r="J55" i="66"/>
  <c r="R28" i="67"/>
  <c r="J16" i="66"/>
  <c r="J49" i="66"/>
  <c r="J71" i="65"/>
  <c r="J18" i="65"/>
  <c r="R25" i="65"/>
  <c r="R47" i="65"/>
  <c r="R64" i="47"/>
  <c r="J59" i="49"/>
  <c r="J54" i="49"/>
  <c r="J28" i="49"/>
  <c r="J71" i="49"/>
  <c r="J40" i="49"/>
  <c r="R61" i="47"/>
  <c r="R24" i="47"/>
  <c r="R31" i="47"/>
  <c r="R26" i="47"/>
  <c r="J56" i="48"/>
  <c r="R43" i="46"/>
  <c r="R55" i="48"/>
  <c r="R30" i="46"/>
  <c r="J57" i="47"/>
  <c r="R58" i="49"/>
  <c r="R66" i="46"/>
  <c r="J58" i="48"/>
  <c r="R72" i="48"/>
  <c r="J21" i="47"/>
  <c r="J35" i="46"/>
  <c r="J30" i="48"/>
  <c r="J32" i="48"/>
  <c r="J57" i="48"/>
  <c r="J42" i="47"/>
  <c r="J23" i="47"/>
  <c r="J23" i="46"/>
  <c r="J45" i="48"/>
  <c r="J33" i="47"/>
  <c r="J18" i="48"/>
  <c r="J20" i="46"/>
  <c r="J28" i="46"/>
  <c r="J60" i="46"/>
  <c r="R37" i="49"/>
  <c r="J29" i="46"/>
  <c r="R39" i="49"/>
  <c r="J44" i="48"/>
  <c r="J69" i="46"/>
  <c r="J66" i="47"/>
  <c r="J35" i="71"/>
  <c r="R26" i="67"/>
  <c r="J21" i="68"/>
  <c r="J21" i="66"/>
  <c r="R68" i="70"/>
  <c r="J43" i="67"/>
  <c r="R50" i="70"/>
  <c r="J27" i="66"/>
  <c r="R53" i="73"/>
  <c r="R63" i="65"/>
  <c r="J31" i="65"/>
  <c r="J35" i="49"/>
  <c r="J16" i="49"/>
  <c r="J25" i="49"/>
  <c r="R42" i="47"/>
  <c r="J58" i="46"/>
  <c r="R27" i="48"/>
  <c r="R52" i="71"/>
  <c r="R61" i="73"/>
  <c r="R65" i="69"/>
  <c r="J61" i="65"/>
  <c r="J39" i="49"/>
  <c r="R50" i="49"/>
  <c r="R63" i="49"/>
  <c r="R41" i="48"/>
  <c r="J27" i="48"/>
  <c r="J46" i="47"/>
  <c r="J34" i="47"/>
  <c r="R21" i="46"/>
  <c r="J31" i="71"/>
  <c r="R41" i="73"/>
  <c r="J61" i="66"/>
  <c r="J46" i="49"/>
  <c r="R20" i="48"/>
  <c r="J28" i="47"/>
  <c r="J48" i="48"/>
  <c r="R25" i="48"/>
  <c r="R21" i="49"/>
  <c r="J19" i="47"/>
  <c r="R17" i="48"/>
  <c r="J39" i="71"/>
  <c r="J62" i="73"/>
  <c r="R67" i="65"/>
  <c r="R41" i="47"/>
  <c r="J38" i="47"/>
  <c r="J43" i="47"/>
  <c r="R31" i="46"/>
  <c r="R61" i="48"/>
  <c r="J54" i="48"/>
  <c r="R61" i="49"/>
  <c r="R48" i="46"/>
  <c r="R55" i="69"/>
  <c r="J38" i="70"/>
  <c r="J67" i="73"/>
  <c r="J52" i="49"/>
  <c r="R33" i="46"/>
  <c r="J36" i="47"/>
  <c r="J65" i="47"/>
  <c r="J46" i="48"/>
  <c r="R40" i="46"/>
  <c r="J39" i="47"/>
  <c r="R26" i="49"/>
  <c r="J40" i="72"/>
  <c r="R63" i="69"/>
  <c r="J19" i="70"/>
  <c r="R37" i="73"/>
  <c r="J18" i="49"/>
  <c r="R22" i="47"/>
  <c r="J34" i="48"/>
  <c r="R19" i="46"/>
  <c r="J17" i="46"/>
  <c r="R40" i="48"/>
  <c r="J31" i="47"/>
  <c r="R29" i="49"/>
  <c r="R17" i="49"/>
  <c r="R55" i="68"/>
  <c r="R22" i="66"/>
  <c r="R42" i="72"/>
  <c r="J20" i="69"/>
  <c r="J56" i="49"/>
  <c r="R71" i="47"/>
  <c r="R44" i="48"/>
  <c r="R40" i="49"/>
  <c r="J44" i="46"/>
  <c r="R52" i="46"/>
  <c r="J49" i="46"/>
  <c r="J47" i="46"/>
  <c r="R28" i="48"/>
  <c r="R28" i="72"/>
  <c r="R29" i="71"/>
  <c r="J15" i="72"/>
  <c r="J62" i="67"/>
  <c r="J42" i="49"/>
  <c r="R62" i="47"/>
  <c r="J27" i="47"/>
  <c r="J40" i="48"/>
  <c r="R20" i="49"/>
  <c r="R55" i="46"/>
  <c r="J64" i="48"/>
  <c r="R33" i="49"/>
  <c r="J27" i="73"/>
  <c r="R31" i="48"/>
  <c r="J61" i="47"/>
  <c r="J52" i="48"/>
  <c r="R25" i="69"/>
  <c r="J47" i="48"/>
  <c r="J22" i="47"/>
  <c r="R57" i="48"/>
  <c r="R36" i="49"/>
  <c r="R21" i="72"/>
  <c r="J48" i="47"/>
  <c r="R44" i="72"/>
  <c r="J24" i="49"/>
  <c r="R67" i="46"/>
  <c r="J47" i="47"/>
  <c r="J68" i="65"/>
  <c r="R25" i="46"/>
  <c r="R56" i="46"/>
  <c r="J59" i="48"/>
  <c r="R38" i="73"/>
  <c r="J56" i="46"/>
  <c r="J34" i="68"/>
  <c r="J20" i="49"/>
  <c r="R37" i="46"/>
  <c r="J34" i="46"/>
  <c r="J71" i="46"/>
  <c r="J20" i="72"/>
  <c r="J70" i="69"/>
  <c r="J15" i="49"/>
  <c r="R57" i="46"/>
  <c r="J51" i="46"/>
  <c r="J64" i="68"/>
  <c r="R32" i="47"/>
  <c r="R43" i="48"/>
  <c r="R21" i="69"/>
  <c r="J30" i="47"/>
  <c r="R47" i="73"/>
  <c r="R68" i="49"/>
  <c r="J62" i="65"/>
  <c r="R46" i="47"/>
  <c r="J49" i="47"/>
  <c r="R48" i="47"/>
  <c r="R30" i="48"/>
  <c r="J55" i="49"/>
  <c r="J32" i="47"/>
  <c r="R43" i="47"/>
  <c r="J72" i="47"/>
  <c r="R68" i="48"/>
  <c r="J22" i="48"/>
  <c r="R52" i="73"/>
  <c r="R61" i="65"/>
  <c r="R47" i="47"/>
  <c r="J49" i="48"/>
  <c r="J59" i="46"/>
  <c r="R38" i="49"/>
  <c r="J68" i="46"/>
  <c r="J32" i="46"/>
  <c r="J33" i="65"/>
  <c r="R24" i="48"/>
  <c r="R18" i="73"/>
  <c r="J52" i="65"/>
  <c r="R38" i="47"/>
  <c r="R70" i="48"/>
  <c r="R63" i="48"/>
  <c r="R62" i="73"/>
  <c r="R66" i="73"/>
  <c r="I9" i="39"/>
  <c r="I11" i="39" s="1"/>
  <c r="K13" i="39" s="1"/>
  <c r="D45" i="52" s="1"/>
  <c r="F99" i="29"/>
  <c r="J96" i="29"/>
  <c r="D9" i="39"/>
  <c r="D35" i="52"/>
  <c r="K20" i="51"/>
  <c r="S21" i="51"/>
  <c r="K73" i="51"/>
  <c r="S133" i="51"/>
  <c r="S149" i="51"/>
  <c r="K33" i="51"/>
  <c r="K147" i="51"/>
  <c r="K93" i="51"/>
  <c r="K125" i="51"/>
  <c r="S23" i="51"/>
  <c r="S88" i="51"/>
  <c r="S34" i="51"/>
  <c r="S168" i="51"/>
  <c r="S39" i="51"/>
  <c r="S111" i="51"/>
  <c r="S177" i="51"/>
  <c r="S50" i="51"/>
  <c r="K114" i="51"/>
  <c r="K194" i="51"/>
  <c r="K135" i="51"/>
  <c r="K24" i="51"/>
  <c r="S44" i="51"/>
  <c r="K164" i="51"/>
  <c r="S172" i="51"/>
  <c r="S40" i="51"/>
  <c r="K129" i="51"/>
  <c r="S51" i="51"/>
  <c r="S74" i="51"/>
  <c r="S136" i="51"/>
  <c r="K101" i="51"/>
  <c r="S73" i="51"/>
  <c r="S142" i="51"/>
  <c r="K186" i="51"/>
  <c r="S30" i="51"/>
  <c r="S108" i="51"/>
  <c r="S167" i="51"/>
  <c r="K113" i="51"/>
  <c r="K47" i="51"/>
  <c r="K76" i="51"/>
  <c r="S127" i="51"/>
  <c r="S102" i="51"/>
  <c r="S26" i="51"/>
  <c r="K166" i="51"/>
  <c r="K187" i="51"/>
  <c r="K141" i="51"/>
  <c r="K159" i="51"/>
  <c r="S72" i="51"/>
  <c r="S29" i="51"/>
  <c r="K69" i="51"/>
  <c r="K110" i="51"/>
  <c r="S156" i="51"/>
  <c r="S47" i="51"/>
  <c r="K38" i="51"/>
  <c r="K167" i="51"/>
  <c r="S146" i="51"/>
  <c r="S62" i="51"/>
  <c r="K165" i="51"/>
  <c r="K83" i="51"/>
  <c r="S32" i="51"/>
  <c r="K67" i="51"/>
  <c r="S163" i="51"/>
  <c r="K54" i="51"/>
  <c r="S81" i="51"/>
  <c r="K178" i="51"/>
  <c r="K145" i="51"/>
  <c r="S178" i="51"/>
  <c r="S112" i="51"/>
  <c r="K163" i="51"/>
  <c r="S174" i="51"/>
  <c r="K37" i="51"/>
  <c r="S105" i="51"/>
  <c r="S93" i="51"/>
  <c r="S41" i="51"/>
  <c r="S80" i="51"/>
  <c r="S91" i="51"/>
  <c r="K155" i="51"/>
  <c r="S103" i="51"/>
  <c r="K30" i="51"/>
  <c r="S76" i="51"/>
  <c r="K104" i="51"/>
  <c r="S117" i="51"/>
  <c r="S59" i="51"/>
  <c r="K196" i="51"/>
  <c r="K78" i="51"/>
  <c r="K188" i="51"/>
  <c r="S49" i="51"/>
  <c r="S118" i="51"/>
  <c r="S35" i="51"/>
  <c r="S48" i="51"/>
  <c r="K55" i="51"/>
  <c r="K154" i="51"/>
  <c r="K189" i="51"/>
  <c r="S100" i="51"/>
  <c r="S191" i="51"/>
  <c r="S45" i="51"/>
  <c r="K137" i="51"/>
  <c r="K45" i="51"/>
  <c r="K140" i="51"/>
  <c r="S38" i="51"/>
  <c r="K49" i="51"/>
  <c r="S157" i="51"/>
  <c r="S124" i="51"/>
  <c r="S57" i="51"/>
  <c r="S126" i="51"/>
  <c r="K51" i="51"/>
  <c r="S182" i="51"/>
  <c r="S160" i="51"/>
  <c r="S164" i="51"/>
  <c r="S162" i="51"/>
  <c r="S196" i="51"/>
  <c r="K174" i="51"/>
  <c r="S75" i="51"/>
  <c r="S54" i="51"/>
  <c r="S70" i="51"/>
  <c r="K32" i="51"/>
  <c r="S128" i="51"/>
  <c r="K128" i="51"/>
  <c r="S153" i="51"/>
  <c r="S69" i="51"/>
  <c r="K172" i="51"/>
  <c r="S18" i="51"/>
  <c r="K71" i="51"/>
  <c r="K31" i="51"/>
  <c r="S190" i="51"/>
  <c r="K74" i="51"/>
  <c r="K70" i="51"/>
  <c r="K23" i="51"/>
  <c r="S96" i="51"/>
  <c r="K52" i="51"/>
  <c r="K94" i="51"/>
  <c r="S140" i="51"/>
  <c r="K156" i="51"/>
  <c r="S188" i="51"/>
  <c r="K80" i="51"/>
  <c r="K162" i="51"/>
  <c r="S66" i="51"/>
  <c r="S68" i="51"/>
  <c r="K27" i="51"/>
  <c r="S110" i="51"/>
  <c r="S82" i="51"/>
  <c r="K34" i="51"/>
  <c r="K116" i="51"/>
  <c r="K153" i="51"/>
  <c r="S170" i="51"/>
  <c r="K58" i="51"/>
  <c r="S84" i="51"/>
  <c r="S31" i="51"/>
  <c r="S120" i="51"/>
  <c r="S106" i="51"/>
  <c r="K152" i="51"/>
  <c r="K127" i="51"/>
  <c r="K179" i="51"/>
  <c r="K103" i="51"/>
  <c r="S165" i="51"/>
  <c r="K21" i="51"/>
  <c r="S46" i="51"/>
  <c r="S125" i="51"/>
  <c r="K46" i="51"/>
  <c r="S92" i="51"/>
  <c r="S176" i="51"/>
  <c r="K157" i="51"/>
  <c r="K42" i="51"/>
  <c r="K131" i="51"/>
  <c r="S25" i="51"/>
  <c r="K88" i="51"/>
  <c r="S129" i="51"/>
  <c r="K63" i="51"/>
  <c r="K17" i="51"/>
  <c r="K79" i="51"/>
  <c r="K193" i="51"/>
  <c r="S195" i="51"/>
  <c r="S33" i="51"/>
  <c r="S37" i="51"/>
  <c r="S28" i="51"/>
  <c r="K180" i="51"/>
  <c r="K29" i="51"/>
  <c r="S122" i="51"/>
  <c r="S166" i="51"/>
  <c r="K122" i="51"/>
  <c r="S171" i="51"/>
  <c r="S43" i="51"/>
  <c r="K106" i="51"/>
  <c r="K151" i="51"/>
  <c r="K98" i="51"/>
  <c r="K22" i="51"/>
  <c r="S186" i="51"/>
  <c r="K61" i="51"/>
  <c r="K84" i="51"/>
  <c r="S147" i="51"/>
  <c r="K121" i="51"/>
  <c r="K195" i="51"/>
  <c r="S85" i="51"/>
  <c r="S179" i="51"/>
  <c r="S55" i="51"/>
  <c r="S95" i="51"/>
  <c r="K138" i="51"/>
  <c r="S161" i="51"/>
  <c r="S98" i="51"/>
  <c r="K81" i="51"/>
  <c r="S90" i="51"/>
  <c r="S67" i="51"/>
  <c r="S187" i="51"/>
  <c r="K190" i="51"/>
  <c r="K168" i="51"/>
  <c r="K123" i="51"/>
  <c r="S134" i="51"/>
  <c r="S83" i="51"/>
  <c r="K43" i="51"/>
  <c r="S193" i="51"/>
  <c r="S141" i="51"/>
  <c r="S119" i="51"/>
  <c r="S65" i="51"/>
  <c r="K89" i="51"/>
  <c r="S121" i="51"/>
  <c r="S56" i="51"/>
  <c r="K177" i="51"/>
  <c r="S181" i="51"/>
  <c r="K39" i="51"/>
  <c r="S151" i="51"/>
  <c r="K82" i="51"/>
  <c r="K50" i="51"/>
  <c r="S99" i="51"/>
  <c r="S116" i="51"/>
  <c r="K158" i="51"/>
  <c r="K65" i="51"/>
  <c r="S159" i="51"/>
  <c r="K136" i="51"/>
  <c r="K173" i="51"/>
  <c r="K139" i="51"/>
  <c r="S79" i="51"/>
  <c r="S123" i="51"/>
  <c r="S185" i="51"/>
  <c r="K95" i="51"/>
  <c r="S143" i="51"/>
  <c r="S36" i="51"/>
  <c r="S77" i="51"/>
  <c r="S64" i="51"/>
  <c r="K87" i="51"/>
  <c r="K192" i="51"/>
  <c r="K119" i="51"/>
  <c r="S150" i="51"/>
  <c r="K72" i="51"/>
  <c r="K44" i="51"/>
  <c r="S145" i="51"/>
  <c r="K176" i="51"/>
  <c r="S17" i="51"/>
  <c r="K132" i="51"/>
  <c r="K100" i="51"/>
  <c r="K126" i="51"/>
  <c r="K124" i="51"/>
  <c r="K26" i="51"/>
  <c r="K191" i="51"/>
  <c r="S144" i="51"/>
  <c r="K120" i="51"/>
  <c r="S58" i="51"/>
  <c r="S89" i="51"/>
  <c r="K66" i="51"/>
  <c r="K25" i="51"/>
  <c r="K56" i="51"/>
  <c r="K169" i="51"/>
  <c r="S173" i="51"/>
  <c r="K171" i="51"/>
  <c r="K146" i="51"/>
  <c r="S107" i="51"/>
  <c r="K107" i="51"/>
  <c r="K75" i="51"/>
  <c r="S78" i="51"/>
  <c r="K28" i="51"/>
  <c r="K117" i="51"/>
  <c r="S52" i="51"/>
  <c r="S24" i="51"/>
  <c r="K160" i="51"/>
  <c r="K144" i="51"/>
  <c r="K60" i="51"/>
  <c r="S194" i="51"/>
  <c r="K133" i="51"/>
  <c r="S175" i="51"/>
  <c r="K18" i="51"/>
  <c r="S87" i="51"/>
  <c r="K184" i="51"/>
  <c r="S130" i="51"/>
  <c r="S20" i="51"/>
  <c r="K64" i="51"/>
  <c r="S19" i="51"/>
  <c r="K68" i="51"/>
  <c r="K36" i="51"/>
  <c r="K62" i="51"/>
  <c r="K109" i="51"/>
  <c r="K183" i="51"/>
  <c r="K115" i="51"/>
  <c r="K181" i="51"/>
  <c r="S113" i="51"/>
  <c r="S101" i="51"/>
  <c r="S152" i="51"/>
  <c r="K99" i="51"/>
  <c r="K108" i="51"/>
  <c r="K134" i="51"/>
  <c r="K86" i="51"/>
  <c r="S189" i="51"/>
  <c r="K90" i="51"/>
  <c r="S183" i="51"/>
  <c r="S169" i="51"/>
  <c r="K150" i="51"/>
  <c r="S61" i="51"/>
  <c r="S42" i="51"/>
  <c r="K97" i="51"/>
  <c r="S71" i="51"/>
  <c r="S148" i="51"/>
  <c r="S139" i="51"/>
  <c r="S138" i="51"/>
  <c r="K175" i="51"/>
  <c r="K77" i="51"/>
  <c r="S97" i="51"/>
  <c r="S192" i="51"/>
  <c r="S63" i="51"/>
  <c r="S155" i="51"/>
  <c r="K185" i="51"/>
  <c r="K96" i="51"/>
  <c r="K57" i="51"/>
  <c r="K130" i="51"/>
  <c r="S132" i="51"/>
  <c r="S114" i="51"/>
  <c r="S109" i="51"/>
  <c r="K118" i="51"/>
  <c r="K59" i="51"/>
  <c r="S184" i="51"/>
  <c r="K102" i="51"/>
  <c r="S158" i="51"/>
  <c r="S53" i="51"/>
  <c r="S115" i="51"/>
  <c r="K148" i="51"/>
  <c r="S135" i="51"/>
  <c r="K92" i="51"/>
  <c r="S60" i="51"/>
  <c r="K105" i="51"/>
  <c r="S86" i="51"/>
  <c r="K19" i="51"/>
  <c r="K35" i="51"/>
  <c r="K40" i="51"/>
  <c r="K161" i="51"/>
  <c r="K112" i="51"/>
  <c r="K53" i="51"/>
  <c r="K149" i="51"/>
  <c r="S131" i="51"/>
  <c r="S104" i="51"/>
  <c r="K41" i="51"/>
  <c r="S27" i="51"/>
  <c r="K143" i="51"/>
  <c r="K111" i="51"/>
  <c r="S137" i="51"/>
  <c r="K182" i="51"/>
  <c r="S180" i="51"/>
  <c r="K142" i="51"/>
  <c r="K48" i="51"/>
  <c r="S94" i="51"/>
  <c r="S22" i="51"/>
  <c r="S154" i="51"/>
  <c r="K91" i="51"/>
  <c r="K85" i="51"/>
  <c r="K170" i="51"/>
  <c r="J73" i="17"/>
  <c r="G14" i="19" s="1"/>
  <c r="F73" i="17"/>
  <c r="E14" i="19" s="1"/>
  <c r="L40" i="72" l="1"/>
  <c r="G41" i="81"/>
  <c r="H41" i="81" s="1"/>
  <c r="L21" i="68"/>
  <c r="G22" i="77"/>
  <c r="H22" i="77" s="1"/>
  <c r="L23" i="68"/>
  <c r="G24" i="77"/>
  <c r="H24" i="77" s="1"/>
  <c r="K49" i="81"/>
  <c r="L49" i="81" s="1"/>
  <c r="T48" i="72"/>
  <c r="K38" i="36"/>
  <c r="T37" i="48"/>
  <c r="K29" i="37"/>
  <c r="T28" i="49"/>
  <c r="K63" i="37"/>
  <c r="T62" i="49"/>
  <c r="G17" i="74"/>
  <c r="H17" i="74" s="1"/>
  <c r="L16" i="65"/>
  <c r="L37" i="48"/>
  <c r="G38" i="36"/>
  <c r="K63" i="36"/>
  <c r="T62" i="48"/>
  <c r="L52" i="46"/>
  <c r="G53" i="34"/>
  <c r="L47" i="66"/>
  <c r="G48" i="75"/>
  <c r="H48" i="75" s="1"/>
  <c r="L60" i="47"/>
  <c r="G61" i="35"/>
  <c r="T47" i="49"/>
  <c r="K48" i="37"/>
  <c r="L18" i="46"/>
  <c r="G19" i="34"/>
  <c r="G35" i="37"/>
  <c r="L34" i="49"/>
  <c r="K55" i="79"/>
  <c r="L55" i="79" s="1"/>
  <c r="T54" i="70"/>
  <c r="L67" i="72"/>
  <c r="G68" i="81"/>
  <c r="H68" i="81" s="1"/>
  <c r="G71" i="80"/>
  <c r="H71" i="80" s="1"/>
  <c r="L70" i="71"/>
  <c r="G60" i="81"/>
  <c r="H60" i="81" s="1"/>
  <c r="L59" i="72"/>
  <c r="G58" i="81"/>
  <c r="H58" i="81" s="1"/>
  <c r="L57" i="72"/>
  <c r="K54" i="80"/>
  <c r="L54" i="80" s="1"/>
  <c r="T53" i="71"/>
  <c r="G41" i="77"/>
  <c r="H41" i="77" s="1"/>
  <c r="L40" i="68"/>
  <c r="T60" i="72"/>
  <c r="K61" i="81"/>
  <c r="L61" i="81" s="1"/>
  <c r="T45" i="68"/>
  <c r="K46" i="77"/>
  <c r="L46" i="77" s="1"/>
  <c r="K53" i="79"/>
  <c r="L53" i="79" s="1"/>
  <c r="T52" i="70"/>
  <c r="G35" i="80"/>
  <c r="H35" i="80" s="1"/>
  <c r="L34" i="71"/>
  <c r="G69" i="80"/>
  <c r="H69" i="80" s="1"/>
  <c r="L68" i="71"/>
  <c r="K42" i="75"/>
  <c r="L42" i="75" s="1"/>
  <c r="T41" i="66"/>
  <c r="L51" i="69"/>
  <c r="G52" i="78"/>
  <c r="H52" i="78" s="1"/>
  <c r="K45" i="79"/>
  <c r="L45" i="79" s="1"/>
  <c r="T44" i="70"/>
  <c r="G29" i="74"/>
  <c r="H29" i="74" s="1"/>
  <c r="L28" i="65"/>
  <c r="T53" i="66"/>
  <c r="K54" i="75"/>
  <c r="L54" i="75" s="1"/>
  <c r="K35" i="79"/>
  <c r="L35" i="79" s="1"/>
  <c r="T34" i="70"/>
  <c r="G19" i="75"/>
  <c r="H19" i="75" s="1"/>
  <c r="L18" i="66"/>
  <c r="K43" i="76"/>
  <c r="L43" i="76" s="1"/>
  <c r="T42" i="67"/>
  <c r="G29" i="79"/>
  <c r="H29" i="79" s="1"/>
  <c r="L28" i="70"/>
  <c r="T26" i="69"/>
  <c r="K27" i="78"/>
  <c r="L27" i="78" s="1"/>
  <c r="L20" i="68"/>
  <c r="G21" i="77"/>
  <c r="H21" i="77" s="1"/>
  <c r="L58" i="71"/>
  <c r="G59" i="80"/>
  <c r="H59" i="80" s="1"/>
  <c r="L24" i="69"/>
  <c r="G25" i="78"/>
  <c r="H25" i="78" s="1"/>
  <c r="T19" i="71"/>
  <c r="K20" i="80"/>
  <c r="L20" i="80" s="1"/>
  <c r="T29" i="66"/>
  <c r="K30" i="75"/>
  <c r="L30" i="75" s="1"/>
  <c r="G19" i="78"/>
  <c r="H19" i="78" s="1"/>
  <c r="L18" i="69"/>
  <c r="T62" i="71"/>
  <c r="K63" i="80"/>
  <c r="L63" i="80" s="1"/>
  <c r="G48" i="79"/>
  <c r="H48" i="79" s="1"/>
  <c r="L47" i="70"/>
  <c r="T33" i="73"/>
  <c r="K34" i="82"/>
  <c r="L34" i="82" s="1"/>
  <c r="G47" i="82"/>
  <c r="H47" i="82" s="1"/>
  <c r="L46" i="73"/>
  <c r="K28" i="82"/>
  <c r="L28" i="82" s="1"/>
  <c r="T27" i="73"/>
  <c r="T59" i="70"/>
  <c r="K60" i="79"/>
  <c r="L60" i="79" s="1"/>
  <c r="T68" i="68"/>
  <c r="K69" i="77"/>
  <c r="L69" i="77" s="1"/>
  <c r="L47" i="65"/>
  <c r="G48" i="74"/>
  <c r="H48" i="74" s="1"/>
  <c r="L54" i="68"/>
  <c r="G55" i="77"/>
  <c r="H55" i="77" s="1"/>
  <c r="K19" i="80"/>
  <c r="L19" i="80" s="1"/>
  <c r="T18" i="71"/>
  <c r="L39" i="70"/>
  <c r="G40" i="79"/>
  <c r="H40" i="79" s="1"/>
  <c r="L55" i="71"/>
  <c r="G56" i="80"/>
  <c r="H56" i="80" s="1"/>
  <c r="K26" i="79"/>
  <c r="L26" i="79" s="1"/>
  <c r="T25" i="70"/>
  <c r="T39" i="72"/>
  <c r="K40" i="81"/>
  <c r="L40" i="81" s="1"/>
  <c r="G47" i="74"/>
  <c r="H47" i="74" s="1"/>
  <c r="L46" i="65"/>
  <c r="L45" i="65"/>
  <c r="G46" i="74"/>
  <c r="H46" i="74" s="1"/>
  <c r="G17" i="78"/>
  <c r="H17" i="78" s="1"/>
  <c r="L16" i="69"/>
  <c r="T26" i="68"/>
  <c r="K27" i="77"/>
  <c r="L27" i="77" s="1"/>
  <c r="T23" i="66"/>
  <c r="K24" i="75"/>
  <c r="L24" i="75" s="1"/>
  <c r="T39" i="67"/>
  <c r="K40" i="76"/>
  <c r="L40" i="76" s="1"/>
  <c r="G38" i="80"/>
  <c r="H38" i="80" s="1"/>
  <c r="L37" i="71"/>
  <c r="G38" i="74"/>
  <c r="H38" i="74" s="1"/>
  <c r="L37" i="65"/>
  <c r="L32" i="68"/>
  <c r="G33" i="77"/>
  <c r="H33" i="77" s="1"/>
  <c r="T70" i="66"/>
  <c r="K71" i="75"/>
  <c r="L71" i="75" s="1"/>
  <c r="T70" i="72"/>
  <c r="K71" i="81"/>
  <c r="L71" i="81" s="1"/>
  <c r="T50" i="67"/>
  <c r="K51" i="76"/>
  <c r="L51" i="76" s="1"/>
  <c r="K69" i="82"/>
  <c r="L69" i="82" s="1"/>
  <c r="T68" i="73"/>
  <c r="K25" i="79"/>
  <c r="L25" i="79" s="1"/>
  <c r="T24" i="70"/>
  <c r="L33" i="65"/>
  <c r="G34" i="74"/>
  <c r="H34" i="74" s="1"/>
  <c r="K44" i="36"/>
  <c r="T43" i="48"/>
  <c r="G35" i="77"/>
  <c r="H35" i="77" s="1"/>
  <c r="L34" i="68"/>
  <c r="T21" i="72"/>
  <c r="K22" i="81"/>
  <c r="L22" i="81" s="1"/>
  <c r="K56" i="34"/>
  <c r="T55" i="46"/>
  <c r="G50" i="34"/>
  <c r="L49" i="46"/>
  <c r="T29" i="49"/>
  <c r="K30" i="37"/>
  <c r="K27" i="37"/>
  <c r="T26" i="49"/>
  <c r="K62" i="37"/>
  <c r="T61" i="49"/>
  <c r="T21" i="49"/>
  <c r="K22" i="37"/>
  <c r="G28" i="36"/>
  <c r="L27" i="48"/>
  <c r="G26" i="37"/>
  <c r="L25" i="49"/>
  <c r="K27" i="76"/>
  <c r="L27" i="76" s="1"/>
  <c r="T26" i="67"/>
  <c r="G34" i="35"/>
  <c r="L33" i="47"/>
  <c r="K67" i="34"/>
  <c r="T66" i="46"/>
  <c r="G72" i="37"/>
  <c r="L71" i="49"/>
  <c r="G56" i="75"/>
  <c r="H56" i="75" s="1"/>
  <c r="L55" i="66"/>
  <c r="G72" i="77"/>
  <c r="H72" i="77" s="1"/>
  <c r="L71" i="68"/>
  <c r="G50" i="37"/>
  <c r="L49" i="49"/>
  <c r="L32" i="72"/>
  <c r="G33" i="81"/>
  <c r="H33" i="81" s="1"/>
  <c r="T26" i="46"/>
  <c r="K27" i="34"/>
  <c r="T15" i="46"/>
  <c r="R73" i="46"/>
  <c r="K16" i="34"/>
  <c r="G63" i="37"/>
  <c r="L62" i="49"/>
  <c r="L36" i="68"/>
  <c r="G37" i="77"/>
  <c r="H37" i="77" s="1"/>
  <c r="K60" i="82"/>
  <c r="L60" i="82" s="1"/>
  <c r="T59" i="73"/>
  <c r="T58" i="48"/>
  <c r="K59" i="36"/>
  <c r="T42" i="48"/>
  <c r="K43" i="36"/>
  <c r="K64" i="34"/>
  <c r="T63" i="46"/>
  <c r="L20" i="65"/>
  <c r="G21" i="74"/>
  <c r="H21" i="74" s="1"/>
  <c r="G44" i="75"/>
  <c r="H44" i="75" s="1"/>
  <c r="L43" i="66"/>
  <c r="G42" i="34"/>
  <c r="L41" i="46"/>
  <c r="G38" i="34"/>
  <c r="L37" i="46"/>
  <c r="T26" i="48"/>
  <c r="K27" i="36"/>
  <c r="L16" i="48"/>
  <c r="G17" i="36"/>
  <c r="G22" i="78"/>
  <c r="H22" i="78" s="1"/>
  <c r="L21" i="69"/>
  <c r="T44" i="49"/>
  <c r="K45" i="37"/>
  <c r="L61" i="72"/>
  <c r="G62" i="81"/>
  <c r="H62" i="81" s="1"/>
  <c r="K57" i="36"/>
  <c r="T56" i="48"/>
  <c r="T28" i="46"/>
  <c r="K29" i="34"/>
  <c r="K63" i="77"/>
  <c r="L63" i="77" s="1"/>
  <c r="T62" i="68"/>
  <c r="K57" i="81"/>
  <c r="L57" i="81" s="1"/>
  <c r="T56" i="72"/>
  <c r="G57" i="35"/>
  <c r="L56" i="47"/>
  <c r="K50" i="34"/>
  <c r="T49" i="46"/>
  <c r="K25" i="37"/>
  <c r="T24" i="49"/>
  <c r="G37" i="34"/>
  <c r="L36" i="46"/>
  <c r="L30" i="49"/>
  <c r="G31" i="37"/>
  <c r="L46" i="68"/>
  <c r="G47" i="77"/>
  <c r="H47" i="77" s="1"/>
  <c r="K69" i="78"/>
  <c r="L69" i="78" s="1"/>
  <c r="T68" i="69"/>
  <c r="G72" i="36"/>
  <c r="L71" i="48"/>
  <c r="L50" i="48"/>
  <c r="G51" i="36"/>
  <c r="G28" i="37"/>
  <c r="L27" i="49"/>
  <c r="L63" i="73"/>
  <c r="G64" i="82"/>
  <c r="H64" i="82" s="1"/>
  <c r="G27" i="78"/>
  <c r="H27" i="78" s="1"/>
  <c r="L26" i="69"/>
  <c r="T46" i="49"/>
  <c r="K47" i="37"/>
  <c r="G17" i="35"/>
  <c r="L16" i="47"/>
  <c r="T65" i="49"/>
  <c r="K66" i="37"/>
  <c r="G71" i="37"/>
  <c r="L70" i="49"/>
  <c r="L23" i="67"/>
  <c r="G24" i="76"/>
  <c r="H24" i="76" s="1"/>
  <c r="T39" i="71"/>
  <c r="K40" i="80"/>
  <c r="L40" i="80" s="1"/>
  <c r="L64" i="72"/>
  <c r="G65" i="81"/>
  <c r="H65" i="81" s="1"/>
  <c r="T17" i="70"/>
  <c r="K18" i="79"/>
  <c r="L18" i="79" s="1"/>
  <c r="G43" i="78"/>
  <c r="H43" i="78" s="1"/>
  <c r="L42" i="69"/>
  <c r="T70" i="69"/>
  <c r="K71" i="78"/>
  <c r="L71" i="78" s="1"/>
  <c r="T31" i="68"/>
  <c r="K32" i="77"/>
  <c r="L32" i="77" s="1"/>
  <c r="T58" i="66"/>
  <c r="K59" i="75"/>
  <c r="L59" i="75" s="1"/>
  <c r="K45" i="77"/>
  <c r="L45" i="77" s="1"/>
  <c r="T44" i="68"/>
  <c r="T69" i="69"/>
  <c r="K70" i="78"/>
  <c r="L70" i="78" s="1"/>
  <c r="L19" i="72"/>
  <c r="G20" i="81"/>
  <c r="H20" i="81" s="1"/>
  <c r="L29" i="73"/>
  <c r="G30" i="82"/>
  <c r="H30" i="82" s="1"/>
  <c r="K44" i="74"/>
  <c r="L44" i="74" s="1"/>
  <c r="T43" i="65"/>
  <c r="K22" i="80"/>
  <c r="L22" i="80" s="1"/>
  <c r="T21" i="71"/>
  <c r="T71" i="70"/>
  <c r="K72" i="79"/>
  <c r="L72" i="79" s="1"/>
  <c r="K17" i="82"/>
  <c r="L17" i="82" s="1"/>
  <c r="T16" i="73"/>
  <c r="L56" i="69"/>
  <c r="G57" i="78"/>
  <c r="H57" i="78" s="1"/>
  <c r="L37" i="70"/>
  <c r="G38" i="79"/>
  <c r="H38" i="79" s="1"/>
  <c r="L35" i="72"/>
  <c r="G36" i="81"/>
  <c r="H36" i="81" s="1"/>
  <c r="L21" i="65"/>
  <c r="G22" i="74"/>
  <c r="H22" i="74" s="1"/>
  <c r="K36" i="75"/>
  <c r="L36" i="75" s="1"/>
  <c r="T35" i="66"/>
  <c r="K67" i="75"/>
  <c r="L67" i="75" s="1"/>
  <c r="T66" i="66"/>
  <c r="K61" i="78"/>
  <c r="L61" i="78" s="1"/>
  <c r="T60" i="69"/>
  <c r="L16" i="71"/>
  <c r="G17" i="80"/>
  <c r="H17" i="80" s="1"/>
  <c r="L68" i="68"/>
  <c r="G69" i="77"/>
  <c r="H69" i="77" s="1"/>
  <c r="L53" i="69"/>
  <c r="G54" i="78"/>
  <c r="H54" i="78" s="1"/>
  <c r="G23" i="82"/>
  <c r="H23" i="82" s="1"/>
  <c r="L22" i="73"/>
  <c r="T40" i="73"/>
  <c r="K41" i="82"/>
  <c r="L41" i="82" s="1"/>
  <c r="L36" i="72"/>
  <c r="G37" i="81"/>
  <c r="H37" i="81" s="1"/>
  <c r="K45" i="80"/>
  <c r="L45" i="80" s="1"/>
  <c r="T44" i="71"/>
  <c r="K41" i="76"/>
  <c r="L41" i="76" s="1"/>
  <c r="T40" i="67"/>
  <c r="G65" i="75"/>
  <c r="H65" i="75" s="1"/>
  <c r="L64" i="66"/>
  <c r="T72" i="67"/>
  <c r="K73" i="76"/>
  <c r="L73" i="76" s="1"/>
  <c r="L72" i="71"/>
  <c r="G73" i="80"/>
  <c r="H73" i="80" s="1"/>
  <c r="G55" i="76"/>
  <c r="H55" i="76" s="1"/>
  <c r="L54" i="67"/>
  <c r="G18" i="77"/>
  <c r="H18" i="77" s="1"/>
  <c r="L17" i="68"/>
  <c r="T33" i="72"/>
  <c r="K34" i="81"/>
  <c r="L34" i="81" s="1"/>
  <c r="K37" i="76"/>
  <c r="L37" i="76" s="1"/>
  <c r="T36" i="67"/>
  <c r="K16" i="81"/>
  <c r="T15" i="72"/>
  <c r="R73" i="72"/>
  <c r="T25" i="66"/>
  <c r="K26" i="75"/>
  <c r="L26" i="75" s="1"/>
  <c r="K70" i="75"/>
  <c r="L70" i="75" s="1"/>
  <c r="T69" i="66"/>
  <c r="K21" i="79"/>
  <c r="L21" i="79" s="1"/>
  <c r="T20" i="70"/>
  <c r="L31" i="68"/>
  <c r="G32" i="77"/>
  <c r="H32" i="77" s="1"/>
  <c r="L69" i="71"/>
  <c r="G70" i="80"/>
  <c r="H70" i="80" s="1"/>
  <c r="G73" i="82"/>
  <c r="H73" i="82" s="1"/>
  <c r="L72" i="73"/>
  <c r="G35" i="79"/>
  <c r="H35" i="79" s="1"/>
  <c r="L34" i="70"/>
  <c r="G56" i="82"/>
  <c r="H56" i="82" s="1"/>
  <c r="L55" i="73"/>
  <c r="G32" i="82"/>
  <c r="H32" i="82" s="1"/>
  <c r="L31" i="73"/>
  <c r="K48" i="81"/>
  <c r="L48" i="81" s="1"/>
  <c r="T47" i="72"/>
  <c r="K52" i="75"/>
  <c r="L52" i="75" s="1"/>
  <c r="T51" i="66"/>
  <c r="L29" i="68"/>
  <c r="G30" i="77"/>
  <c r="H30" i="77" s="1"/>
  <c r="L70" i="65"/>
  <c r="G71" i="74"/>
  <c r="H71" i="74" s="1"/>
  <c r="L42" i="68"/>
  <c r="G43" i="77"/>
  <c r="H43" i="77" s="1"/>
  <c r="L44" i="71"/>
  <c r="G45" i="80"/>
  <c r="H45" i="80" s="1"/>
  <c r="G30" i="79"/>
  <c r="H30" i="79" s="1"/>
  <c r="L29" i="70"/>
  <c r="G37" i="75"/>
  <c r="H37" i="75" s="1"/>
  <c r="L36" i="66"/>
  <c r="L25" i="71"/>
  <c r="G26" i="80"/>
  <c r="H26" i="80" s="1"/>
  <c r="T20" i="72"/>
  <c r="K21" i="81"/>
  <c r="L21" i="81" s="1"/>
  <c r="K32" i="74"/>
  <c r="L32" i="74" s="1"/>
  <c r="T31" i="65"/>
  <c r="L66" i="69"/>
  <c r="G67" i="78"/>
  <c r="H67" i="78" s="1"/>
  <c r="K73" i="77"/>
  <c r="L73" i="77" s="1"/>
  <c r="T72" i="68"/>
  <c r="T35" i="72"/>
  <c r="K36" i="81"/>
  <c r="L36" i="81" s="1"/>
  <c r="T43" i="67"/>
  <c r="K44" i="76"/>
  <c r="L44" i="76" s="1"/>
  <c r="G46" i="80"/>
  <c r="H46" i="80" s="1"/>
  <c r="L45" i="71"/>
  <c r="L72" i="47"/>
  <c r="G73" i="35"/>
  <c r="G41" i="37"/>
  <c r="L40" i="49"/>
  <c r="T62" i="46"/>
  <c r="K63" i="34"/>
  <c r="G66" i="37"/>
  <c r="L65" i="49"/>
  <c r="L44" i="70"/>
  <c r="G45" i="79"/>
  <c r="H45" i="79" s="1"/>
  <c r="G33" i="34"/>
  <c r="L32" i="46"/>
  <c r="K37" i="37"/>
  <c r="T36" i="49"/>
  <c r="G55" i="36"/>
  <c r="L54" i="48"/>
  <c r="G29" i="37"/>
  <c r="L28" i="49"/>
  <c r="K71" i="74"/>
  <c r="L71" i="74" s="1"/>
  <c r="T70" i="65"/>
  <c r="G70" i="37"/>
  <c r="L69" i="49"/>
  <c r="G50" i="77"/>
  <c r="H50" i="77" s="1"/>
  <c r="L49" i="68"/>
  <c r="L33" i="48"/>
  <c r="G34" i="36"/>
  <c r="K65" i="75"/>
  <c r="L65" i="75" s="1"/>
  <c r="T64" i="66"/>
  <c r="G67" i="37"/>
  <c r="L66" i="49"/>
  <c r="T56" i="49"/>
  <c r="K57" i="37"/>
  <c r="L59" i="47"/>
  <c r="G60" i="35"/>
  <c r="L32" i="71"/>
  <c r="G33" i="80"/>
  <c r="H33" i="80" s="1"/>
  <c r="K19" i="74"/>
  <c r="L19" i="74" s="1"/>
  <c r="T18" i="65"/>
  <c r="G34" i="80"/>
  <c r="H34" i="80" s="1"/>
  <c r="L33" i="71"/>
  <c r="G45" i="34"/>
  <c r="L44" i="46"/>
  <c r="L54" i="49"/>
  <c r="G55" i="37"/>
  <c r="G23" i="34"/>
  <c r="L22" i="46"/>
  <c r="L26" i="49"/>
  <c r="G27" i="37"/>
  <c r="T67" i="68"/>
  <c r="K68" i="77"/>
  <c r="L68" i="77" s="1"/>
  <c r="K23" i="37"/>
  <c r="T22" i="49"/>
  <c r="G17" i="81"/>
  <c r="H17" i="81" s="1"/>
  <c r="L16" i="72"/>
  <c r="T51" i="49"/>
  <c r="K52" i="37"/>
  <c r="K67" i="37"/>
  <c r="T66" i="49"/>
  <c r="L15" i="47"/>
  <c r="G16" i="35"/>
  <c r="J73" i="47"/>
  <c r="G54" i="74"/>
  <c r="H54" i="74" s="1"/>
  <c r="L53" i="65"/>
  <c r="L45" i="66"/>
  <c r="G46" i="75"/>
  <c r="H46" i="75" s="1"/>
  <c r="K61" i="37"/>
  <c r="T60" i="49"/>
  <c r="G71" i="34"/>
  <c r="L70" i="46"/>
  <c r="L47" i="49"/>
  <c r="G48" i="37"/>
  <c r="K54" i="74"/>
  <c r="L54" i="74" s="1"/>
  <c r="T53" i="65"/>
  <c r="T35" i="69"/>
  <c r="K36" i="78"/>
  <c r="L36" i="78" s="1"/>
  <c r="G52" i="35"/>
  <c r="L51" i="47"/>
  <c r="K58" i="37"/>
  <c r="T57" i="49"/>
  <c r="G40" i="36"/>
  <c r="L39" i="48"/>
  <c r="G24" i="37"/>
  <c r="L23" i="49"/>
  <c r="T65" i="65"/>
  <c r="K66" i="74"/>
  <c r="L66" i="74" s="1"/>
  <c r="K20" i="82"/>
  <c r="L20" i="82" s="1"/>
  <c r="T19" i="73"/>
  <c r="T18" i="46"/>
  <c r="K19" i="34"/>
  <c r="K24" i="34"/>
  <c r="T23" i="46"/>
  <c r="G18" i="79"/>
  <c r="H18" i="79" s="1"/>
  <c r="L17" i="70"/>
  <c r="K34" i="75"/>
  <c r="L34" i="75" s="1"/>
  <c r="T33" i="66"/>
  <c r="T17" i="46"/>
  <c r="K18" i="34"/>
  <c r="G67" i="36"/>
  <c r="L66" i="48"/>
  <c r="L21" i="46"/>
  <c r="G22" i="34"/>
  <c r="L30" i="65"/>
  <c r="G31" i="74"/>
  <c r="H31" i="74" s="1"/>
  <c r="G44" i="79"/>
  <c r="H44" i="79" s="1"/>
  <c r="L43" i="70"/>
  <c r="L34" i="65"/>
  <c r="G35" i="74"/>
  <c r="H35" i="74" s="1"/>
  <c r="T58" i="71"/>
  <c r="K59" i="80"/>
  <c r="L59" i="80" s="1"/>
  <c r="T34" i="72"/>
  <c r="K35" i="81"/>
  <c r="L35" i="81" s="1"/>
  <c r="L25" i="66"/>
  <c r="G26" i="75"/>
  <c r="H26" i="75" s="1"/>
  <c r="G18" i="80"/>
  <c r="H18" i="80" s="1"/>
  <c r="L17" i="71"/>
  <c r="G32" i="75"/>
  <c r="H32" i="75" s="1"/>
  <c r="L31" i="66"/>
  <c r="T39" i="68"/>
  <c r="K40" i="77"/>
  <c r="L40" i="77" s="1"/>
  <c r="K31" i="75"/>
  <c r="L31" i="75" s="1"/>
  <c r="T30" i="66"/>
  <c r="K31" i="79"/>
  <c r="L31" i="79" s="1"/>
  <c r="T30" i="70"/>
  <c r="R73" i="67"/>
  <c r="T15" i="67"/>
  <c r="K16" i="76"/>
  <c r="K51" i="81"/>
  <c r="L51" i="81" s="1"/>
  <c r="T50" i="72"/>
  <c r="G23" i="81"/>
  <c r="H23" i="81" s="1"/>
  <c r="L22" i="72"/>
  <c r="G73" i="79"/>
  <c r="H73" i="79" s="1"/>
  <c r="L72" i="70"/>
  <c r="T47" i="71"/>
  <c r="K48" i="80"/>
  <c r="L48" i="80" s="1"/>
  <c r="T71" i="71"/>
  <c r="K72" i="80"/>
  <c r="L72" i="80" s="1"/>
  <c r="K53" i="76"/>
  <c r="L53" i="76" s="1"/>
  <c r="T52" i="67"/>
  <c r="G72" i="76"/>
  <c r="H72" i="76" s="1"/>
  <c r="L71" i="67"/>
  <c r="L17" i="69"/>
  <c r="G18" i="78"/>
  <c r="H18" i="78" s="1"/>
  <c r="T33" i="69"/>
  <c r="K34" i="78"/>
  <c r="L34" i="78" s="1"/>
  <c r="K21" i="75"/>
  <c r="L21" i="75" s="1"/>
  <c r="T20" i="66"/>
  <c r="T56" i="66"/>
  <c r="K57" i="75"/>
  <c r="L57" i="75" s="1"/>
  <c r="T21" i="67"/>
  <c r="K22" i="76"/>
  <c r="L22" i="76" s="1"/>
  <c r="G53" i="76"/>
  <c r="H53" i="76" s="1"/>
  <c r="L52" i="67"/>
  <c r="K27" i="82"/>
  <c r="L27" i="82" s="1"/>
  <c r="T26" i="73"/>
  <c r="G28" i="78"/>
  <c r="H28" i="78" s="1"/>
  <c r="L27" i="69"/>
  <c r="G61" i="75"/>
  <c r="H61" i="75" s="1"/>
  <c r="L60" i="66"/>
  <c r="K42" i="81"/>
  <c r="L42" i="81" s="1"/>
  <c r="T41" i="72"/>
  <c r="G68" i="80"/>
  <c r="H68" i="80" s="1"/>
  <c r="L67" i="71"/>
  <c r="K25" i="75"/>
  <c r="L25" i="75" s="1"/>
  <c r="T24" i="66"/>
  <c r="L18" i="73"/>
  <c r="G19" i="82"/>
  <c r="H19" i="82" s="1"/>
  <c r="G65" i="80"/>
  <c r="H65" i="80" s="1"/>
  <c r="L64" i="71"/>
  <c r="K46" i="82"/>
  <c r="L46" i="82" s="1"/>
  <c r="T45" i="73"/>
  <c r="G23" i="77"/>
  <c r="H23" i="77" s="1"/>
  <c r="L22" i="68"/>
  <c r="K39" i="76"/>
  <c r="L39" i="76" s="1"/>
  <c r="T38" i="67"/>
  <c r="T51" i="67"/>
  <c r="K52" i="76"/>
  <c r="L52" i="76" s="1"/>
  <c r="T57" i="71"/>
  <c r="K58" i="80"/>
  <c r="L58" i="80" s="1"/>
  <c r="L31" i="67"/>
  <c r="G32" i="76"/>
  <c r="H32" i="76" s="1"/>
  <c r="L48" i="67"/>
  <c r="G49" i="76"/>
  <c r="H49" i="76" s="1"/>
  <c r="L38" i="68"/>
  <c r="G39" i="77"/>
  <c r="H39" i="77" s="1"/>
  <c r="G16" i="80"/>
  <c r="L15" i="71"/>
  <c r="K28" i="76"/>
  <c r="L28" i="76" s="1"/>
  <c r="T27" i="67"/>
  <c r="G56" i="77"/>
  <c r="H56" i="77" s="1"/>
  <c r="L55" i="68"/>
  <c r="L60" i="72"/>
  <c r="G61" i="81"/>
  <c r="H61" i="81" s="1"/>
  <c r="T58" i="72"/>
  <c r="K59" i="81"/>
  <c r="L59" i="81" s="1"/>
  <c r="G50" i="79"/>
  <c r="H50" i="79" s="1"/>
  <c r="L49" i="70"/>
  <c r="T23" i="72"/>
  <c r="K24" i="81"/>
  <c r="L24" i="81" s="1"/>
  <c r="L52" i="69"/>
  <c r="G53" i="78"/>
  <c r="H53" i="78" s="1"/>
  <c r="K72" i="77"/>
  <c r="L72" i="77" s="1"/>
  <c r="T71" i="68"/>
  <c r="T62" i="66"/>
  <c r="K63" i="75"/>
  <c r="L63" i="75" s="1"/>
  <c r="K47" i="75"/>
  <c r="L47" i="75" s="1"/>
  <c r="T46" i="66"/>
  <c r="K61" i="76"/>
  <c r="L61" i="76" s="1"/>
  <c r="T60" i="67"/>
  <c r="G57" i="82"/>
  <c r="H57" i="82" s="1"/>
  <c r="L56" i="73"/>
  <c r="L72" i="67"/>
  <c r="G73" i="76"/>
  <c r="H73" i="76" s="1"/>
  <c r="L32" i="67"/>
  <c r="G33" i="76"/>
  <c r="H33" i="76" s="1"/>
  <c r="K24" i="76"/>
  <c r="L24" i="76" s="1"/>
  <c r="T23" i="67"/>
  <c r="L61" i="69"/>
  <c r="G62" i="78"/>
  <c r="H62" i="78" s="1"/>
  <c r="L63" i="72"/>
  <c r="G64" i="81"/>
  <c r="H64" i="81" s="1"/>
  <c r="K66" i="82"/>
  <c r="L66" i="82" s="1"/>
  <c r="T65" i="73"/>
  <c r="G23" i="79"/>
  <c r="H23" i="79" s="1"/>
  <c r="L22" i="70"/>
  <c r="G35" i="82"/>
  <c r="H35" i="82" s="1"/>
  <c r="L34" i="73"/>
  <c r="G64" i="78"/>
  <c r="H64" i="78" s="1"/>
  <c r="L63" i="69"/>
  <c r="K47" i="76"/>
  <c r="L47" i="76" s="1"/>
  <c r="T46" i="67"/>
  <c r="T16" i="66"/>
  <c r="K17" i="75"/>
  <c r="L17" i="75" s="1"/>
  <c r="T53" i="70"/>
  <c r="K54" i="79"/>
  <c r="L54" i="79" s="1"/>
  <c r="K49" i="34"/>
  <c r="T48" i="46"/>
  <c r="G46" i="79"/>
  <c r="H46" i="79" s="1"/>
  <c r="L45" i="70"/>
  <c r="T42" i="65"/>
  <c r="K43" i="74"/>
  <c r="L43" i="74" s="1"/>
  <c r="L45" i="48"/>
  <c r="G46" i="36"/>
  <c r="T71" i="49"/>
  <c r="K72" i="37"/>
  <c r="L25" i="46"/>
  <c r="G26" i="34"/>
  <c r="L38" i="48"/>
  <c r="G39" i="36"/>
  <c r="G20" i="80"/>
  <c r="H20" i="80" s="1"/>
  <c r="L19" i="71"/>
  <c r="K66" i="36"/>
  <c r="T65" i="48"/>
  <c r="L71" i="70"/>
  <c r="G72" i="79"/>
  <c r="H72" i="79" s="1"/>
  <c r="T15" i="48"/>
  <c r="R73" i="48"/>
  <c r="K16" i="36"/>
  <c r="T66" i="48"/>
  <c r="K67" i="36"/>
  <c r="G69" i="79"/>
  <c r="H69" i="79" s="1"/>
  <c r="L68" i="70"/>
  <c r="L33" i="67"/>
  <c r="G34" i="76"/>
  <c r="H34" i="76" s="1"/>
  <c r="T34" i="71"/>
  <c r="K35" i="80"/>
  <c r="L35" i="80" s="1"/>
  <c r="T65" i="71"/>
  <c r="K66" i="80"/>
  <c r="L66" i="80" s="1"/>
  <c r="G61" i="79"/>
  <c r="H61" i="79" s="1"/>
  <c r="L60" i="70"/>
  <c r="T46" i="69"/>
  <c r="K47" i="78"/>
  <c r="L47" i="78" s="1"/>
  <c r="L23" i="66"/>
  <c r="G24" i="75"/>
  <c r="H24" i="75" s="1"/>
  <c r="K50" i="75"/>
  <c r="L50" i="75" s="1"/>
  <c r="T49" i="66"/>
  <c r="L60" i="71"/>
  <c r="G61" i="80"/>
  <c r="H61" i="80" s="1"/>
  <c r="L48" i="73"/>
  <c r="G49" i="82"/>
  <c r="H49" i="82" s="1"/>
  <c r="L45" i="72"/>
  <c r="G46" i="81"/>
  <c r="H46" i="81" s="1"/>
  <c r="K52" i="80"/>
  <c r="L52" i="80" s="1"/>
  <c r="T51" i="71"/>
  <c r="T27" i="70"/>
  <c r="K28" i="79"/>
  <c r="L28" i="79" s="1"/>
  <c r="K51" i="78"/>
  <c r="L51" i="78" s="1"/>
  <c r="T50" i="69"/>
  <c r="K57" i="79"/>
  <c r="L57" i="79" s="1"/>
  <c r="T56" i="70"/>
  <c r="K23" i="81"/>
  <c r="L23" i="81" s="1"/>
  <c r="T22" i="72"/>
  <c r="K67" i="74"/>
  <c r="L67" i="74" s="1"/>
  <c r="T66" i="65"/>
  <c r="K67" i="76"/>
  <c r="L67" i="76" s="1"/>
  <c r="T66" i="67"/>
  <c r="K45" i="75"/>
  <c r="L45" i="75" s="1"/>
  <c r="T44" i="66"/>
  <c r="K32" i="79"/>
  <c r="L32" i="79" s="1"/>
  <c r="T31" i="70"/>
  <c r="G66" i="74"/>
  <c r="H66" i="74" s="1"/>
  <c r="L65" i="65"/>
  <c r="K67" i="78"/>
  <c r="L67" i="78" s="1"/>
  <c r="T66" i="69"/>
  <c r="G47" i="79"/>
  <c r="H47" i="79" s="1"/>
  <c r="L46" i="70"/>
  <c r="T21" i="73"/>
  <c r="K22" i="82"/>
  <c r="L22" i="82" s="1"/>
  <c r="T20" i="68"/>
  <c r="K21" i="77"/>
  <c r="L21" i="77" s="1"/>
  <c r="K49" i="80"/>
  <c r="L49" i="80" s="1"/>
  <c r="T48" i="71"/>
  <c r="T52" i="68"/>
  <c r="K53" i="77"/>
  <c r="L53" i="77" s="1"/>
  <c r="K49" i="79"/>
  <c r="L49" i="79" s="1"/>
  <c r="T48" i="70"/>
  <c r="G18" i="82"/>
  <c r="H18" i="82" s="1"/>
  <c r="L17" i="73"/>
  <c r="L55" i="72"/>
  <c r="G56" i="81"/>
  <c r="H56" i="81" s="1"/>
  <c r="K73" i="78"/>
  <c r="L73" i="78" s="1"/>
  <c r="T72" i="69"/>
  <c r="T16" i="70"/>
  <c r="K17" i="79"/>
  <c r="L17" i="79" s="1"/>
  <c r="T40" i="66"/>
  <c r="K41" i="75"/>
  <c r="L41" i="75" s="1"/>
  <c r="T40" i="70"/>
  <c r="K41" i="79"/>
  <c r="L41" i="79" s="1"/>
  <c r="K39" i="78"/>
  <c r="L39" i="78" s="1"/>
  <c r="T38" i="69"/>
  <c r="L42" i="72"/>
  <c r="G43" i="81"/>
  <c r="H43" i="81" s="1"/>
  <c r="G57" i="76"/>
  <c r="H57" i="76" s="1"/>
  <c r="L56" i="67"/>
  <c r="G29" i="76"/>
  <c r="H29" i="76" s="1"/>
  <c r="L28" i="67"/>
  <c r="K32" i="75"/>
  <c r="L32" i="75" s="1"/>
  <c r="T31" i="66"/>
  <c r="K49" i="78"/>
  <c r="L49" i="78" s="1"/>
  <c r="T48" i="69"/>
  <c r="K65" i="81"/>
  <c r="L65" i="81" s="1"/>
  <c r="T64" i="72"/>
  <c r="G25" i="82"/>
  <c r="H25" i="82" s="1"/>
  <c r="L24" i="73"/>
  <c r="G43" i="79"/>
  <c r="H43" i="79" s="1"/>
  <c r="L42" i="70"/>
  <c r="L30" i="73"/>
  <c r="G31" i="82"/>
  <c r="H31" i="82" s="1"/>
  <c r="L17" i="72"/>
  <c r="G18" i="81"/>
  <c r="H18" i="81" s="1"/>
  <c r="T47" i="70"/>
  <c r="K48" i="79"/>
  <c r="L48" i="79" s="1"/>
  <c r="K32" i="82"/>
  <c r="L32" i="82" s="1"/>
  <c r="T31" i="73"/>
  <c r="G69" i="34"/>
  <c r="L68" i="46"/>
  <c r="G56" i="37"/>
  <c r="L55" i="49"/>
  <c r="L64" i="68"/>
  <c r="G65" i="77"/>
  <c r="H65" i="77" s="1"/>
  <c r="T38" i="73"/>
  <c r="K39" i="82"/>
  <c r="L39" i="82" s="1"/>
  <c r="T57" i="48"/>
  <c r="K58" i="36"/>
  <c r="L40" i="48"/>
  <c r="G41" i="36"/>
  <c r="T40" i="48"/>
  <c r="K41" i="36"/>
  <c r="K41" i="34"/>
  <c r="T40" i="46"/>
  <c r="T61" i="48"/>
  <c r="K62" i="36"/>
  <c r="G49" i="36"/>
  <c r="L48" i="48"/>
  <c r="T63" i="49"/>
  <c r="K64" i="37"/>
  <c r="L35" i="49"/>
  <c r="G36" i="37"/>
  <c r="G67" i="35"/>
  <c r="L66" i="47"/>
  <c r="G24" i="34"/>
  <c r="L23" i="46"/>
  <c r="L57" i="47"/>
  <c r="G58" i="35"/>
  <c r="L63" i="70"/>
  <c r="G64" i="79"/>
  <c r="H64" i="79" s="1"/>
  <c r="L45" i="73"/>
  <c r="G46" i="82"/>
  <c r="H46" i="82" s="1"/>
  <c r="T36" i="65"/>
  <c r="K37" i="74"/>
  <c r="L37" i="74" s="1"/>
  <c r="L55" i="48"/>
  <c r="G56" i="36"/>
  <c r="K51" i="34"/>
  <c r="T50" i="46"/>
  <c r="G59" i="81"/>
  <c r="H59" i="81" s="1"/>
  <c r="L58" i="72"/>
  <c r="L68" i="47"/>
  <c r="G69" i="35"/>
  <c r="G52" i="77"/>
  <c r="H52" i="77" s="1"/>
  <c r="L51" i="68"/>
  <c r="L53" i="47"/>
  <c r="G54" i="35"/>
  <c r="T38" i="49"/>
  <c r="K39" i="37"/>
  <c r="K31" i="36"/>
  <c r="T30" i="48"/>
  <c r="G52" i="34"/>
  <c r="L51" i="46"/>
  <c r="G60" i="36"/>
  <c r="L59" i="48"/>
  <c r="L22" i="47"/>
  <c r="G23" i="35"/>
  <c r="L27" i="47"/>
  <c r="G28" i="35"/>
  <c r="K41" i="37"/>
  <c r="T40" i="49"/>
  <c r="G18" i="34"/>
  <c r="L17" i="46"/>
  <c r="G47" i="36"/>
  <c r="L46" i="48"/>
  <c r="K32" i="34"/>
  <c r="T31" i="46"/>
  <c r="L28" i="47"/>
  <c r="G29" i="35"/>
  <c r="T50" i="49"/>
  <c r="K51" i="37"/>
  <c r="G32" i="74"/>
  <c r="H32" i="74" s="1"/>
  <c r="L31" i="65"/>
  <c r="G70" i="34"/>
  <c r="L69" i="46"/>
  <c r="L23" i="47"/>
  <c r="G24" i="35"/>
  <c r="T30" i="46"/>
  <c r="K31" i="34"/>
  <c r="G60" i="37"/>
  <c r="L59" i="49"/>
  <c r="G60" i="76"/>
  <c r="H60" i="76" s="1"/>
  <c r="L59" i="67"/>
  <c r="K58" i="81"/>
  <c r="L58" i="81" s="1"/>
  <c r="T57" i="72"/>
  <c r="T33" i="65"/>
  <c r="K34" i="74"/>
  <c r="L34" i="74" s="1"/>
  <c r="G67" i="34"/>
  <c r="L66" i="46"/>
  <c r="K33" i="34"/>
  <c r="T32" i="46"/>
  <c r="G21" i="35"/>
  <c r="L20" i="47"/>
  <c r="G32" i="37"/>
  <c r="L31" i="49"/>
  <c r="T64" i="70"/>
  <c r="K65" i="79"/>
  <c r="L65" i="79" s="1"/>
  <c r="T36" i="71"/>
  <c r="K37" i="80"/>
  <c r="L37" i="80" s="1"/>
  <c r="L54" i="47"/>
  <c r="G55" i="35"/>
  <c r="T58" i="46"/>
  <c r="K59" i="34"/>
  <c r="L15" i="46"/>
  <c r="G16" i="34"/>
  <c r="H16" i="34" s="1"/>
  <c r="J73" i="46"/>
  <c r="L50" i="71"/>
  <c r="G51" i="80"/>
  <c r="H51" i="80" s="1"/>
  <c r="T63" i="67"/>
  <c r="K64" i="76"/>
  <c r="L64" i="76" s="1"/>
  <c r="T72" i="49"/>
  <c r="K73" i="37"/>
  <c r="T52" i="49"/>
  <c r="K53" i="37"/>
  <c r="T29" i="73"/>
  <c r="K30" i="82"/>
  <c r="L30" i="82" s="1"/>
  <c r="K24" i="78"/>
  <c r="L24" i="78" s="1"/>
  <c r="T23" i="69"/>
  <c r="L71" i="47"/>
  <c r="G72" i="35"/>
  <c r="L56" i="70"/>
  <c r="G57" i="79"/>
  <c r="H57" i="79" s="1"/>
  <c r="K20" i="37"/>
  <c r="T19" i="49"/>
  <c r="L67" i="48"/>
  <c r="G68" i="36"/>
  <c r="G38" i="37"/>
  <c r="L37" i="49"/>
  <c r="K59" i="82"/>
  <c r="L59" i="82" s="1"/>
  <c r="T58" i="73"/>
  <c r="G53" i="81"/>
  <c r="H53" i="81" s="1"/>
  <c r="L52" i="72"/>
  <c r="G46" i="37"/>
  <c r="L45" i="49"/>
  <c r="G42" i="35"/>
  <c r="L41" i="47"/>
  <c r="K17" i="36"/>
  <c r="T16" i="48"/>
  <c r="T34" i="49"/>
  <c r="K35" i="37"/>
  <c r="L51" i="65"/>
  <c r="G52" i="74"/>
  <c r="H52" i="74" s="1"/>
  <c r="L52" i="66"/>
  <c r="G53" i="75"/>
  <c r="H53" i="75" s="1"/>
  <c r="G17" i="34"/>
  <c r="L16" i="46"/>
  <c r="T69" i="46"/>
  <c r="K70" i="34"/>
  <c r="L69" i="48"/>
  <c r="G70" i="36"/>
  <c r="G44" i="37"/>
  <c r="L43" i="49"/>
  <c r="L57" i="67"/>
  <c r="G58" i="76"/>
  <c r="H58" i="76" s="1"/>
  <c r="K68" i="79"/>
  <c r="L68" i="79" s="1"/>
  <c r="T67" i="70"/>
  <c r="T30" i="72"/>
  <c r="K31" i="81"/>
  <c r="L31" i="81" s="1"/>
  <c r="G39" i="34"/>
  <c r="L38" i="46"/>
  <c r="L26" i="47"/>
  <c r="G27" i="35"/>
  <c r="L36" i="48"/>
  <c r="G37" i="36"/>
  <c r="G49" i="80"/>
  <c r="H49" i="80" s="1"/>
  <c r="L48" i="71"/>
  <c r="L57" i="65"/>
  <c r="G58" i="74"/>
  <c r="H58" i="74" s="1"/>
  <c r="T58" i="69"/>
  <c r="K59" i="78"/>
  <c r="L59" i="78" s="1"/>
  <c r="G54" i="75"/>
  <c r="H54" i="75" s="1"/>
  <c r="L53" i="66"/>
  <c r="L69" i="65"/>
  <c r="G70" i="74"/>
  <c r="H70" i="74" s="1"/>
  <c r="T67" i="71"/>
  <c r="K68" i="80"/>
  <c r="L68" i="80" s="1"/>
  <c r="K40" i="78"/>
  <c r="L40" i="78" s="1"/>
  <c r="T39" i="69"/>
  <c r="T63" i="72"/>
  <c r="K64" i="81"/>
  <c r="L64" i="81" s="1"/>
  <c r="L36" i="65"/>
  <c r="G37" i="74"/>
  <c r="H37" i="74" s="1"/>
  <c r="T27" i="72"/>
  <c r="K28" i="81"/>
  <c r="L28" i="81" s="1"/>
  <c r="G41" i="82"/>
  <c r="H41" i="82" s="1"/>
  <c r="L40" i="73"/>
  <c r="G30" i="80"/>
  <c r="H30" i="80" s="1"/>
  <c r="L29" i="71"/>
  <c r="G58" i="77"/>
  <c r="H58" i="77" s="1"/>
  <c r="L57" i="68"/>
  <c r="K44" i="75"/>
  <c r="L44" i="75" s="1"/>
  <c r="T43" i="66"/>
  <c r="K20" i="79"/>
  <c r="L20" i="79" s="1"/>
  <c r="T19" i="70"/>
  <c r="K33" i="82"/>
  <c r="L33" i="82" s="1"/>
  <c r="T32" i="73"/>
  <c r="L39" i="73"/>
  <c r="G40" i="82"/>
  <c r="H40" i="82" s="1"/>
  <c r="L70" i="67"/>
  <c r="G71" i="76"/>
  <c r="H71" i="76" s="1"/>
  <c r="G39" i="81"/>
  <c r="H39" i="81" s="1"/>
  <c r="L38" i="72"/>
  <c r="L31" i="72"/>
  <c r="G32" i="81"/>
  <c r="H32" i="81" s="1"/>
  <c r="K30" i="79"/>
  <c r="L30" i="79" s="1"/>
  <c r="T29" i="70"/>
  <c r="K64" i="80"/>
  <c r="L64" i="80" s="1"/>
  <c r="T63" i="71"/>
  <c r="L43" i="71"/>
  <c r="G44" i="80"/>
  <c r="H44" i="80" s="1"/>
  <c r="G25" i="74"/>
  <c r="H25" i="74" s="1"/>
  <c r="L24" i="65"/>
  <c r="K71" i="79"/>
  <c r="L71" i="79" s="1"/>
  <c r="T70" i="70"/>
  <c r="T26" i="70"/>
  <c r="K27" i="79"/>
  <c r="L27" i="79" s="1"/>
  <c r="K23" i="78"/>
  <c r="L23" i="78" s="1"/>
  <c r="T22" i="69"/>
  <c r="K27" i="75"/>
  <c r="L27" i="75" s="1"/>
  <c r="T26" i="66"/>
  <c r="K38" i="75"/>
  <c r="L38" i="75" s="1"/>
  <c r="T37" i="66"/>
  <c r="K70" i="76"/>
  <c r="L70" i="76" s="1"/>
  <c r="T69" i="67"/>
  <c r="K67" i="79"/>
  <c r="L67" i="79" s="1"/>
  <c r="T66" i="70"/>
  <c r="T34" i="73"/>
  <c r="K35" i="82"/>
  <c r="L35" i="82" s="1"/>
  <c r="G22" i="80"/>
  <c r="H22" i="80" s="1"/>
  <c r="L21" i="71"/>
  <c r="L68" i="67"/>
  <c r="G69" i="76"/>
  <c r="H69" i="76" s="1"/>
  <c r="T60" i="68"/>
  <c r="K61" i="77"/>
  <c r="L61" i="77" s="1"/>
  <c r="T24" i="68"/>
  <c r="K25" i="77"/>
  <c r="L25" i="77" s="1"/>
  <c r="K57" i="82"/>
  <c r="L57" i="82" s="1"/>
  <c r="T56" i="73"/>
  <c r="L60" i="67"/>
  <c r="G61" i="76"/>
  <c r="H61" i="76" s="1"/>
  <c r="T34" i="69"/>
  <c r="K35" i="78"/>
  <c r="L35" i="78" s="1"/>
  <c r="L21" i="70"/>
  <c r="G22" i="79"/>
  <c r="H22" i="79" s="1"/>
  <c r="L49" i="73"/>
  <c r="G50" i="82"/>
  <c r="H50" i="82" s="1"/>
  <c r="T39" i="66"/>
  <c r="K40" i="75"/>
  <c r="L40" i="75" s="1"/>
  <c r="G31" i="78"/>
  <c r="H31" i="78" s="1"/>
  <c r="L30" i="69"/>
  <c r="T32" i="68"/>
  <c r="K33" i="77"/>
  <c r="L33" i="77" s="1"/>
  <c r="T21" i="68"/>
  <c r="K22" i="77"/>
  <c r="L22" i="77" s="1"/>
  <c r="L63" i="67"/>
  <c r="G64" i="76"/>
  <c r="H64" i="76" s="1"/>
  <c r="L62" i="68"/>
  <c r="G63" i="77"/>
  <c r="H63" i="77" s="1"/>
  <c r="G51" i="81"/>
  <c r="H51" i="81" s="1"/>
  <c r="L50" i="72"/>
  <c r="L47" i="68"/>
  <c r="G48" i="77"/>
  <c r="H48" i="77" s="1"/>
  <c r="T69" i="70"/>
  <c r="K70" i="79"/>
  <c r="L70" i="79" s="1"/>
  <c r="L71" i="72"/>
  <c r="G72" i="81"/>
  <c r="H72" i="81" s="1"/>
  <c r="T19" i="72"/>
  <c r="K20" i="81"/>
  <c r="L20" i="81" s="1"/>
  <c r="K28" i="80"/>
  <c r="L28" i="80" s="1"/>
  <c r="T27" i="71"/>
  <c r="L43" i="73"/>
  <c r="G44" i="82"/>
  <c r="H44" i="82" s="1"/>
  <c r="G47" i="78"/>
  <c r="H47" i="78" s="1"/>
  <c r="L46" i="69"/>
  <c r="G72" i="75"/>
  <c r="H72" i="75" s="1"/>
  <c r="L71" i="66"/>
  <c r="T67" i="66"/>
  <c r="K68" i="75"/>
  <c r="L68" i="75" s="1"/>
  <c r="K24" i="82"/>
  <c r="L24" i="82" s="1"/>
  <c r="T23" i="73"/>
  <c r="G61" i="78"/>
  <c r="H61" i="78" s="1"/>
  <c r="L60" i="69"/>
  <c r="K47" i="82"/>
  <c r="L47" i="82" s="1"/>
  <c r="T46" i="73"/>
  <c r="K51" i="77"/>
  <c r="L51" i="77" s="1"/>
  <c r="T50" i="68"/>
  <c r="G37" i="76"/>
  <c r="H37" i="76" s="1"/>
  <c r="L36" i="67"/>
  <c r="K65" i="78"/>
  <c r="L65" i="78" s="1"/>
  <c r="T64" i="69"/>
  <c r="G21" i="79"/>
  <c r="H21" i="79" s="1"/>
  <c r="L20" i="70"/>
  <c r="T63" i="73"/>
  <c r="K64" i="82"/>
  <c r="L64" i="82" s="1"/>
  <c r="L64" i="48"/>
  <c r="G65" i="36"/>
  <c r="L69" i="68"/>
  <c r="G70" i="77"/>
  <c r="H70" i="77" s="1"/>
  <c r="G60" i="82"/>
  <c r="H60" i="82" s="1"/>
  <c r="L59" i="73"/>
  <c r="G23" i="75"/>
  <c r="H23" i="75" s="1"/>
  <c r="L22" i="66"/>
  <c r="K26" i="36"/>
  <c r="T25" i="48"/>
  <c r="K43" i="77"/>
  <c r="L43" i="77" s="1"/>
  <c r="T42" i="68"/>
  <c r="K31" i="76"/>
  <c r="L31" i="76" s="1"/>
  <c r="T30" i="67"/>
  <c r="L27" i="46"/>
  <c r="G28" i="34"/>
  <c r="L39" i="66"/>
  <c r="G40" i="75"/>
  <c r="H40" i="75" s="1"/>
  <c r="L15" i="69"/>
  <c r="G16" i="78"/>
  <c r="T66" i="73"/>
  <c r="K67" i="82"/>
  <c r="L67" i="82" s="1"/>
  <c r="G60" i="34"/>
  <c r="L59" i="46"/>
  <c r="K58" i="34"/>
  <c r="T57" i="46"/>
  <c r="K57" i="34"/>
  <c r="T56" i="46"/>
  <c r="G48" i="36"/>
  <c r="L47" i="48"/>
  <c r="T44" i="48"/>
  <c r="K45" i="36"/>
  <c r="K20" i="34"/>
  <c r="T19" i="46"/>
  <c r="G66" i="35"/>
  <c r="L65" i="47"/>
  <c r="G44" i="35"/>
  <c r="L43" i="47"/>
  <c r="K21" i="36"/>
  <c r="T20" i="48"/>
  <c r="G40" i="37"/>
  <c r="L39" i="49"/>
  <c r="T63" i="65"/>
  <c r="K64" i="74"/>
  <c r="L64" i="74" s="1"/>
  <c r="G45" i="36"/>
  <c r="L44" i="48"/>
  <c r="G43" i="35"/>
  <c r="L42" i="47"/>
  <c r="K56" i="36"/>
  <c r="T55" i="48"/>
  <c r="L26" i="70"/>
  <c r="G27" i="79"/>
  <c r="H27" i="79" s="1"/>
  <c r="L43" i="68"/>
  <c r="G44" i="77"/>
  <c r="H44" i="77" s="1"/>
  <c r="G59" i="76"/>
  <c r="H59" i="76" s="1"/>
  <c r="L58" i="67"/>
  <c r="L72" i="48"/>
  <c r="G73" i="36"/>
  <c r="L63" i="48"/>
  <c r="G64" i="36"/>
  <c r="L51" i="48"/>
  <c r="G52" i="36"/>
  <c r="G55" i="82"/>
  <c r="H55" i="82" s="1"/>
  <c r="L54" i="73"/>
  <c r="G66" i="81"/>
  <c r="H66" i="81" s="1"/>
  <c r="L65" i="72"/>
  <c r="G70" i="35"/>
  <c r="L69" i="47"/>
  <c r="T45" i="46"/>
  <c r="K46" i="34"/>
  <c r="G51" i="77"/>
  <c r="H51" i="77" s="1"/>
  <c r="L50" i="68"/>
  <c r="T61" i="67"/>
  <c r="K62" i="76"/>
  <c r="L62" i="76" s="1"/>
  <c r="G34" i="37"/>
  <c r="L33" i="49"/>
  <c r="T35" i="48"/>
  <c r="K36" i="36"/>
  <c r="K66" i="34"/>
  <c r="T65" i="46"/>
  <c r="T38" i="72"/>
  <c r="K39" i="81"/>
  <c r="L39" i="81" s="1"/>
  <c r="G39" i="76"/>
  <c r="H39" i="76" s="1"/>
  <c r="L38" i="67"/>
  <c r="T18" i="48"/>
  <c r="K19" i="36"/>
  <c r="T34" i="46"/>
  <c r="K35" i="34"/>
  <c r="K19" i="37"/>
  <c r="T18" i="49"/>
  <c r="G46" i="34"/>
  <c r="L45" i="46"/>
  <c r="G51" i="37"/>
  <c r="L50" i="49"/>
  <c r="T32" i="67"/>
  <c r="K33" i="76"/>
  <c r="L33" i="76" s="1"/>
  <c r="K24" i="77"/>
  <c r="L24" i="77" s="1"/>
  <c r="T23" i="68"/>
  <c r="G30" i="37"/>
  <c r="L29" i="49"/>
  <c r="L46" i="46"/>
  <c r="G47" i="34"/>
  <c r="T39" i="46"/>
  <c r="K40" i="34"/>
  <c r="K39" i="36"/>
  <c r="T38" i="48"/>
  <c r="G73" i="74"/>
  <c r="H73" i="74" s="1"/>
  <c r="L72" i="65"/>
  <c r="G71" i="77"/>
  <c r="H71" i="77" s="1"/>
  <c r="L70" i="68"/>
  <c r="G20" i="36"/>
  <c r="L19" i="48"/>
  <c r="G41" i="34"/>
  <c r="L40" i="46"/>
  <c r="L59" i="65"/>
  <c r="G60" i="74"/>
  <c r="H60" i="74" s="1"/>
  <c r="G19" i="76"/>
  <c r="H19" i="76" s="1"/>
  <c r="L18" i="67"/>
  <c r="L61" i="48"/>
  <c r="G62" i="36"/>
  <c r="G50" i="80"/>
  <c r="H50" i="80" s="1"/>
  <c r="L49" i="71"/>
  <c r="K35" i="36"/>
  <c r="T34" i="48"/>
  <c r="K37" i="34"/>
  <c r="T36" i="46"/>
  <c r="L32" i="65"/>
  <c r="G33" i="74"/>
  <c r="H33" i="74" s="1"/>
  <c r="G42" i="78"/>
  <c r="H42" i="78" s="1"/>
  <c r="L41" i="69"/>
  <c r="L43" i="65"/>
  <c r="G44" i="74"/>
  <c r="H44" i="74" s="1"/>
  <c r="T30" i="65"/>
  <c r="K31" i="74"/>
  <c r="L31" i="74" s="1"/>
  <c r="L72" i="69"/>
  <c r="G73" i="78"/>
  <c r="H73" i="78" s="1"/>
  <c r="G31" i="77"/>
  <c r="H31" i="77" s="1"/>
  <c r="L30" i="68"/>
  <c r="T34" i="66"/>
  <c r="K35" i="75"/>
  <c r="L35" i="75" s="1"/>
  <c r="T47" i="67"/>
  <c r="K48" i="76"/>
  <c r="L48" i="76" s="1"/>
  <c r="T61" i="72"/>
  <c r="K62" i="81"/>
  <c r="L62" i="81" s="1"/>
  <c r="T48" i="65"/>
  <c r="K49" i="74"/>
  <c r="L49" i="74" s="1"/>
  <c r="L48" i="69"/>
  <c r="G49" i="78"/>
  <c r="H49" i="78" s="1"/>
  <c r="K65" i="76"/>
  <c r="L65" i="76" s="1"/>
  <c r="T64" i="67"/>
  <c r="K57" i="74"/>
  <c r="L57" i="74" s="1"/>
  <c r="T56" i="65"/>
  <c r="T71" i="69"/>
  <c r="K72" i="78"/>
  <c r="L72" i="78" s="1"/>
  <c r="K22" i="75"/>
  <c r="L22" i="75" s="1"/>
  <c r="T21" i="66"/>
  <c r="K36" i="77"/>
  <c r="L36" i="77" s="1"/>
  <c r="T35" i="68"/>
  <c r="G51" i="82"/>
  <c r="H51" i="82" s="1"/>
  <c r="L50" i="73"/>
  <c r="L66" i="73"/>
  <c r="G67" i="82"/>
  <c r="H67" i="82" s="1"/>
  <c r="G34" i="77"/>
  <c r="H34" i="77" s="1"/>
  <c r="L33" i="68"/>
  <c r="T38" i="65"/>
  <c r="K39" i="74"/>
  <c r="L39" i="74" s="1"/>
  <c r="T49" i="67"/>
  <c r="K50" i="76"/>
  <c r="L50" i="76" s="1"/>
  <c r="T28" i="68"/>
  <c r="K29" i="77"/>
  <c r="L29" i="77" s="1"/>
  <c r="T20" i="69"/>
  <c r="K21" i="78"/>
  <c r="L21" i="78" s="1"/>
  <c r="T57" i="68"/>
  <c r="K58" i="77"/>
  <c r="L58" i="77" s="1"/>
  <c r="L72" i="68"/>
  <c r="G73" i="77"/>
  <c r="H73" i="77" s="1"/>
  <c r="T69" i="72"/>
  <c r="K70" i="81"/>
  <c r="L70" i="81" s="1"/>
  <c r="T50" i="73"/>
  <c r="K51" i="82"/>
  <c r="L51" i="82" s="1"/>
  <c r="K18" i="80"/>
  <c r="L18" i="80" s="1"/>
  <c r="T17" i="71"/>
  <c r="K24" i="80"/>
  <c r="L24" i="80" s="1"/>
  <c r="T23" i="71"/>
  <c r="L51" i="71"/>
  <c r="G52" i="80"/>
  <c r="H52" i="80" s="1"/>
  <c r="T23" i="65"/>
  <c r="K24" i="74"/>
  <c r="L24" i="74" s="1"/>
  <c r="T57" i="66"/>
  <c r="K58" i="75"/>
  <c r="L58" i="75" s="1"/>
  <c r="L33" i="70"/>
  <c r="G34" i="79"/>
  <c r="H34" i="79" s="1"/>
  <c r="L55" i="70"/>
  <c r="G56" i="79"/>
  <c r="H56" i="79" s="1"/>
  <c r="T53" i="67"/>
  <c r="K54" i="76"/>
  <c r="L54" i="76" s="1"/>
  <c r="T47" i="68"/>
  <c r="K48" i="77"/>
  <c r="L48" i="77" s="1"/>
  <c r="L39" i="69"/>
  <c r="G40" i="78"/>
  <c r="H40" i="78" s="1"/>
  <c r="T57" i="73"/>
  <c r="K58" i="82"/>
  <c r="L58" i="82" s="1"/>
  <c r="G27" i="80"/>
  <c r="H27" i="80" s="1"/>
  <c r="L26" i="71"/>
  <c r="G24" i="82"/>
  <c r="H24" i="82" s="1"/>
  <c r="L23" i="73"/>
  <c r="G55" i="81"/>
  <c r="H55" i="81" s="1"/>
  <c r="L54" i="72"/>
  <c r="T19" i="67"/>
  <c r="K20" i="76"/>
  <c r="L20" i="76" s="1"/>
  <c r="T65" i="67"/>
  <c r="K66" i="76"/>
  <c r="L66" i="76" s="1"/>
  <c r="T33" i="71"/>
  <c r="K34" i="80"/>
  <c r="L34" i="80" s="1"/>
  <c r="K46" i="74"/>
  <c r="L46" i="74" s="1"/>
  <c r="T45" i="65"/>
  <c r="K42" i="78"/>
  <c r="L42" i="78" s="1"/>
  <c r="T41" i="69"/>
  <c r="K31" i="80"/>
  <c r="L31" i="80" s="1"/>
  <c r="T30" i="71"/>
  <c r="G46" i="76"/>
  <c r="H46" i="76" s="1"/>
  <c r="L45" i="67"/>
  <c r="T33" i="70"/>
  <c r="K34" i="79"/>
  <c r="L34" i="79" s="1"/>
  <c r="T16" i="69"/>
  <c r="K17" i="78"/>
  <c r="L17" i="78" s="1"/>
  <c r="K20" i="77"/>
  <c r="L20" i="77" s="1"/>
  <c r="T19" i="68"/>
  <c r="K30" i="77"/>
  <c r="L30" i="77" s="1"/>
  <c r="T29" i="68"/>
  <c r="L66" i="67"/>
  <c r="G67" i="76"/>
  <c r="H67" i="76" s="1"/>
  <c r="L28" i="68"/>
  <c r="G29" i="77"/>
  <c r="H29" i="77" s="1"/>
  <c r="L46" i="72"/>
  <c r="G47" i="81"/>
  <c r="H47" i="81" s="1"/>
  <c r="T15" i="68"/>
  <c r="K16" i="77"/>
  <c r="R73" i="68"/>
  <c r="T39" i="70"/>
  <c r="K40" i="79"/>
  <c r="L40" i="79" s="1"/>
  <c r="K68" i="82"/>
  <c r="L68" i="82" s="1"/>
  <c r="T67" i="73"/>
  <c r="L58" i="73"/>
  <c r="G59" i="82"/>
  <c r="H59" i="82" s="1"/>
  <c r="G26" i="77"/>
  <c r="H26" i="77" s="1"/>
  <c r="L25" i="68"/>
  <c r="T49" i="73"/>
  <c r="K50" i="82"/>
  <c r="L50" i="82" s="1"/>
  <c r="G59" i="78"/>
  <c r="H59" i="78" s="1"/>
  <c r="L58" i="69"/>
  <c r="L32" i="66"/>
  <c r="G33" i="75"/>
  <c r="H33" i="75" s="1"/>
  <c r="G20" i="75"/>
  <c r="H20" i="75" s="1"/>
  <c r="L19" i="66"/>
  <c r="K17" i="77"/>
  <c r="L17" i="77" s="1"/>
  <c r="T16" i="68"/>
  <c r="T21" i="69"/>
  <c r="K22" i="78"/>
  <c r="L22" i="78" s="1"/>
  <c r="L17" i="49"/>
  <c r="G18" i="37"/>
  <c r="L67" i="47"/>
  <c r="G68" i="35"/>
  <c r="T71" i="72"/>
  <c r="K72" i="81"/>
  <c r="L72" i="81" s="1"/>
  <c r="T20" i="49"/>
  <c r="K21" i="37"/>
  <c r="T41" i="48"/>
  <c r="K42" i="36"/>
  <c r="T59" i="68"/>
  <c r="K60" i="77"/>
  <c r="L60" i="77" s="1"/>
  <c r="K25" i="34"/>
  <c r="T24" i="46"/>
  <c r="T60" i="46"/>
  <c r="K61" i="34"/>
  <c r="K43" i="37"/>
  <c r="T42" i="49"/>
  <c r="T45" i="66"/>
  <c r="K46" i="75"/>
  <c r="L46" i="75" s="1"/>
  <c r="T37" i="68"/>
  <c r="K38" i="77"/>
  <c r="L38" i="77" s="1"/>
  <c r="G61" i="37"/>
  <c r="L60" i="49"/>
  <c r="L72" i="66"/>
  <c r="G73" i="75"/>
  <c r="H73" i="75" s="1"/>
  <c r="L63" i="68"/>
  <c r="G64" i="77"/>
  <c r="H64" i="77" s="1"/>
  <c r="T49" i="69"/>
  <c r="K50" i="78"/>
  <c r="L50" i="78" s="1"/>
  <c r="T60" i="73"/>
  <c r="K61" i="82"/>
  <c r="L61" i="82" s="1"/>
  <c r="T59" i="66"/>
  <c r="K60" i="75"/>
  <c r="L60" i="75" s="1"/>
  <c r="T62" i="73"/>
  <c r="K63" i="82"/>
  <c r="L63" i="82" s="1"/>
  <c r="L49" i="48"/>
  <c r="G50" i="36"/>
  <c r="L49" i="47"/>
  <c r="G50" i="35"/>
  <c r="L15" i="49"/>
  <c r="G16" i="37"/>
  <c r="K26" i="34"/>
  <c r="T25" i="46"/>
  <c r="T25" i="69"/>
  <c r="K26" i="78"/>
  <c r="L26" i="78" s="1"/>
  <c r="L42" i="49"/>
  <c r="G43" i="37"/>
  <c r="G35" i="36"/>
  <c r="L34" i="48"/>
  <c r="G37" i="35"/>
  <c r="L36" i="47"/>
  <c r="L38" i="47"/>
  <c r="G39" i="35"/>
  <c r="G47" i="37"/>
  <c r="L46" i="49"/>
  <c r="L61" i="65"/>
  <c r="G62" i="74"/>
  <c r="H62" i="74" s="1"/>
  <c r="K54" i="82"/>
  <c r="L54" i="82" s="1"/>
  <c r="T53" i="73"/>
  <c r="K40" i="37"/>
  <c r="T39" i="49"/>
  <c r="L57" i="48"/>
  <c r="G58" i="36"/>
  <c r="K44" i="34"/>
  <c r="T43" i="46"/>
  <c r="K48" i="74"/>
  <c r="L48" i="74" s="1"/>
  <c r="T47" i="65"/>
  <c r="T58" i="70"/>
  <c r="K59" i="79"/>
  <c r="L59" i="79" s="1"/>
  <c r="L60" i="48"/>
  <c r="G61" i="36"/>
  <c r="T17" i="65"/>
  <c r="K18" i="74"/>
  <c r="L18" i="74" s="1"/>
  <c r="T31" i="49"/>
  <c r="K32" i="37"/>
  <c r="T52" i="48"/>
  <c r="K53" i="36"/>
  <c r="L24" i="47"/>
  <c r="G25" i="35"/>
  <c r="L58" i="65"/>
  <c r="G59" i="74"/>
  <c r="H59" i="74" s="1"/>
  <c r="L26" i="72"/>
  <c r="G27" i="81"/>
  <c r="H27" i="81" s="1"/>
  <c r="G45" i="77"/>
  <c r="H45" i="77" s="1"/>
  <c r="L44" i="68"/>
  <c r="T22" i="46"/>
  <c r="K23" i="34"/>
  <c r="K55" i="36"/>
  <c r="T54" i="48"/>
  <c r="L44" i="49"/>
  <c r="G45" i="37"/>
  <c r="G31" i="80"/>
  <c r="H31" i="80" s="1"/>
  <c r="L30" i="71"/>
  <c r="K30" i="76"/>
  <c r="L30" i="76" s="1"/>
  <c r="T29" i="67"/>
  <c r="T26" i="65"/>
  <c r="K27" i="74"/>
  <c r="L27" i="74" s="1"/>
  <c r="G63" i="36"/>
  <c r="L62" i="48"/>
  <c r="T51" i="48"/>
  <c r="K52" i="36"/>
  <c r="K55" i="82"/>
  <c r="L55" i="82" s="1"/>
  <c r="T54" i="73"/>
  <c r="T44" i="69"/>
  <c r="K45" i="78"/>
  <c r="L45" i="78" s="1"/>
  <c r="L25" i="48"/>
  <c r="G26" i="36"/>
  <c r="L37" i="47"/>
  <c r="G38" i="35"/>
  <c r="L25" i="47"/>
  <c r="G26" i="35"/>
  <c r="L62" i="47"/>
  <c r="G63" i="35"/>
  <c r="G73" i="37"/>
  <c r="L72" i="49"/>
  <c r="G41" i="79"/>
  <c r="H41" i="79" s="1"/>
  <c r="L40" i="70"/>
  <c r="K33" i="81"/>
  <c r="L33" i="81" s="1"/>
  <c r="T32" i="72"/>
  <c r="T29" i="48"/>
  <c r="K30" i="36"/>
  <c r="K47" i="34"/>
  <c r="T46" i="46"/>
  <c r="L40" i="65"/>
  <c r="G41" i="74"/>
  <c r="H41" i="74" s="1"/>
  <c r="L55" i="67"/>
  <c r="G56" i="76"/>
  <c r="H56" i="76" s="1"/>
  <c r="K72" i="76"/>
  <c r="L72" i="76" s="1"/>
  <c r="T71" i="67"/>
  <c r="T49" i="49"/>
  <c r="K50" i="37"/>
  <c r="T48" i="48"/>
  <c r="K49" i="36"/>
  <c r="L35" i="65"/>
  <c r="G36" i="74"/>
  <c r="H36" i="74" s="1"/>
  <c r="K34" i="77"/>
  <c r="L34" i="77" s="1"/>
  <c r="T33" i="68"/>
  <c r="T54" i="46"/>
  <c r="K55" i="34"/>
  <c r="T51" i="73"/>
  <c r="K52" i="82"/>
  <c r="L52" i="82" s="1"/>
  <c r="K49" i="37"/>
  <c r="T48" i="49"/>
  <c r="L53" i="46"/>
  <c r="G54" i="34"/>
  <c r="T72" i="65"/>
  <c r="K73" i="74"/>
  <c r="L73" i="74" s="1"/>
  <c r="L57" i="66"/>
  <c r="G58" i="75"/>
  <c r="H58" i="75" s="1"/>
  <c r="T19" i="65"/>
  <c r="K20" i="74"/>
  <c r="L20" i="74" s="1"/>
  <c r="T30" i="68"/>
  <c r="K31" i="77"/>
  <c r="L31" i="77" s="1"/>
  <c r="K51" i="80"/>
  <c r="L51" i="80" s="1"/>
  <c r="T50" i="71"/>
  <c r="K67" i="80"/>
  <c r="L67" i="80" s="1"/>
  <c r="T66" i="71"/>
  <c r="K58" i="79"/>
  <c r="L58" i="79" s="1"/>
  <c r="T57" i="70"/>
  <c r="L53" i="71"/>
  <c r="G54" i="80"/>
  <c r="H54" i="80" s="1"/>
  <c r="T19" i="69"/>
  <c r="K20" i="78"/>
  <c r="L20" i="78" s="1"/>
  <c r="T27" i="65"/>
  <c r="K28" i="74"/>
  <c r="L28" i="74" s="1"/>
  <c r="T62" i="65"/>
  <c r="K63" i="74"/>
  <c r="L63" i="74" s="1"/>
  <c r="G33" i="78"/>
  <c r="H33" i="78" s="1"/>
  <c r="L32" i="69"/>
  <c r="K63" i="78"/>
  <c r="L63" i="78" s="1"/>
  <c r="T62" i="69"/>
  <c r="K48" i="75"/>
  <c r="L48" i="75" s="1"/>
  <c r="T47" i="66"/>
  <c r="L46" i="67"/>
  <c r="G47" i="76"/>
  <c r="H47" i="76" s="1"/>
  <c r="K38" i="81"/>
  <c r="L38" i="81" s="1"/>
  <c r="T37" i="72"/>
  <c r="T71" i="65"/>
  <c r="K72" i="74"/>
  <c r="L72" i="74" s="1"/>
  <c r="K23" i="79"/>
  <c r="L23" i="79" s="1"/>
  <c r="T22" i="70"/>
  <c r="L40" i="67"/>
  <c r="G41" i="76"/>
  <c r="H41" i="76" s="1"/>
  <c r="T35" i="65"/>
  <c r="K36" i="74"/>
  <c r="L36" i="74" s="1"/>
  <c r="L38" i="66"/>
  <c r="G39" i="75"/>
  <c r="H39" i="75" s="1"/>
  <c r="K57" i="77"/>
  <c r="L57" i="77" s="1"/>
  <c r="T56" i="68"/>
  <c r="T27" i="66"/>
  <c r="K28" i="75"/>
  <c r="L28" i="75" s="1"/>
  <c r="G56" i="74"/>
  <c r="H56" i="74" s="1"/>
  <c r="L55" i="65"/>
  <c r="L41" i="70"/>
  <c r="G42" i="79"/>
  <c r="H42" i="79" s="1"/>
  <c r="G43" i="82"/>
  <c r="H43" i="82" s="1"/>
  <c r="L42" i="73"/>
  <c r="G58" i="80"/>
  <c r="H58" i="80" s="1"/>
  <c r="L57" i="71"/>
  <c r="G29" i="81"/>
  <c r="H29" i="81" s="1"/>
  <c r="L28" i="72"/>
  <c r="L42" i="67"/>
  <c r="G43" i="76"/>
  <c r="H43" i="76" s="1"/>
  <c r="K38" i="79"/>
  <c r="L38" i="79" s="1"/>
  <c r="T37" i="70"/>
  <c r="L38" i="69"/>
  <c r="G39" i="78"/>
  <c r="H39" i="78" s="1"/>
  <c r="G18" i="76"/>
  <c r="H18" i="76" s="1"/>
  <c r="L17" i="67"/>
  <c r="L51" i="70"/>
  <c r="G52" i="79"/>
  <c r="H52" i="79" s="1"/>
  <c r="L26" i="73"/>
  <c r="G27" i="82"/>
  <c r="H27" i="82" s="1"/>
  <c r="L32" i="73"/>
  <c r="G33" i="82"/>
  <c r="H33" i="82" s="1"/>
  <c r="K66" i="81"/>
  <c r="L66" i="81" s="1"/>
  <c r="T65" i="72"/>
  <c r="T36" i="72"/>
  <c r="K37" i="81"/>
  <c r="L37" i="81" s="1"/>
  <c r="T43" i="73"/>
  <c r="K44" i="82"/>
  <c r="L44" i="82" s="1"/>
  <c r="T18" i="72"/>
  <c r="K19" i="81"/>
  <c r="L19" i="81" s="1"/>
  <c r="G62" i="77"/>
  <c r="H62" i="77" s="1"/>
  <c r="L61" i="68"/>
  <c r="L48" i="66"/>
  <c r="G49" i="75"/>
  <c r="H49" i="75" s="1"/>
  <c r="K55" i="77"/>
  <c r="L55" i="77" s="1"/>
  <c r="T54" i="68"/>
  <c r="L34" i="69"/>
  <c r="G35" i="78"/>
  <c r="H35" i="78" s="1"/>
  <c r="T68" i="71"/>
  <c r="K69" i="80"/>
  <c r="L69" i="80" s="1"/>
  <c r="T24" i="69"/>
  <c r="K25" i="78"/>
  <c r="L25" i="78" s="1"/>
  <c r="L69" i="67"/>
  <c r="G70" i="76"/>
  <c r="H70" i="76" s="1"/>
  <c r="G40" i="81"/>
  <c r="H40" i="81" s="1"/>
  <c r="L39" i="72"/>
  <c r="T72" i="73"/>
  <c r="K73" i="82"/>
  <c r="L73" i="82" s="1"/>
  <c r="L66" i="65"/>
  <c r="G67" i="74"/>
  <c r="H67" i="74" s="1"/>
  <c r="L59" i="69"/>
  <c r="G60" i="78"/>
  <c r="H60" i="78" s="1"/>
  <c r="T37" i="67"/>
  <c r="K38" i="76"/>
  <c r="L38" i="76" s="1"/>
  <c r="T35" i="71"/>
  <c r="K36" i="80"/>
  <c r="L36" i="80" s="1"/>
  <c r="G64" i="75"/>
  <c r="H64" i="75" s="1"/>
  <c r="L63" i="66"/>
  <c r="G55" i="78"/>
  <c r="H55" i="78" s="1"/>
  <c r="L54" i="69"/>
  <c r="L24" i="71"/>
  <c r="G25" i="80"/>
  <c r="H25" i="80" s="1"/>
  <c r="G54" i="82"/>
  <c r="H54" i="82" s="1"/>
  <c r="L53" i="73"/>
  <c r="L68" i="66"/>
  <c r="G69" i="75"/>
  <c r="H69" i="75" s="1"/>
  <c r="L61" i="71"/>
  <c r="G62" i="80"/>
  <c r="H62" i="80" s="1"/>
  <c r="T49" i="70"/>
  <c r="K50" i="79"/>
  <c r="L50" i="79" s="1"/>
  <c r="T30" i="69"/>
  <c r="K31" i="78"/>
  <c r="L31" i="78" s="1"/>
  <c r="L51" i="67"/>
  <c r="G52" i="76"/>
  <c r="H52" i="76" s="1"/>
  <c r="L28" i="69"/>
  <c r="G29" i="78"/>
  <c r="H29" i="78" s="1"/>
  <c r="L23" i="72"/>
  <c r="G24" i="81"/>
  <c r="H24" i="81" s="1"/>
  <c r="K16" i="78"/>
  <c r="T15" i="69"/>
  <c r="R73" i="69"/>
  <c r="T69" i="71"/>
  <c r="K70" i="80"/>
  <c r="L70" i="80" s="1"/>
  <c r="G21" i="82"/>
  <c r="H21" i="82" s="1"/>
  <c r="L20" i="73"/>
  <c r="K25" i="36"/>
  <c r="T24" i="48"/>
  <c r="T28" i="67"/>
  <c r="K29" i="76"/>
  <c r="L29" i="76" s="1"/>
  <c r="T28" i="65"/>
  <c r="K29" i="74"/>
  <c r="L29" i="74" s="1"/>
  <c r="G31" i="34"/>
  <c r="L30" i="46"/>
  <c r="L40" i="69"/>
  <c r="G41" i="78"/>
  <c r="H41" i="78" s="1"/>
  <c r="L32" i="47"/>
  <c r="G33" i="35"/>
  <c r="T58" i="49"/>
  <c r="K59" i="37"/>
  <c r="L17" i="65"/>
  <c r="G18" i="74"/>
  <c r="H18" i="74" s="1"/>
  <c r="K68" i="37"/>
  <c r="T67" i="49"/>
  <c r="T15" i="71"/>
  <c r="K16" i="80"/>
  <c r="R73" i="71"/>
  <c r="G67" i="77"/>
  <c r="H67" i="77" s="1"/>
  <c r="L66" i="68"/>
  <c r="K64" i="36"/>
  <c r="T63" i="48"/>
  <c r="G71" i="78"/>
  <c r="H71" i="78" s="1"/>
  <c r="L70" i="69"/>
  <c r="L68" i="65"/>
  <c r="G69" i="74"/>
  <c r="H69" i="74" s="1"/>
  <c r="L52" i="48"/>
  <c r="G53" i="36"/>
  <c r="L62" i="67"/>
  <c r="G63" i="76"/>
  <c r="H63" i="76" s="1"/>
  <c r="G57" i="37"/>
  <c r="L56" i="49"/>
  <c r="K34" i="34"/>
  <c r="T33" i="46"/>
  <c r="L61" i="66"/>
  <c r="G62" i="75"/>
  <c r="H62" i="75" s="1"/>
  <c r="T65" i="69"/>
  <c r="K66" i="78"/>
  <c r="L66" i="78" s="1"/>
  <c r="L27" i="66"/>
  <c r="G28" i="75"/>
  <c r="H28" i="75" s="1"/>
  <c r="G30" i="34"/>
  <c r="L29" i="46"/>
  <c r="L32" i="48"/>
  <c r="G33" i="36"/>
  <c r="L56" i="48"/>
  <c r="G57" i="36"/>
  <c r="T25" i="65"/>
  <c r="K26" i="74"/>
  <c r="L26" i="74" s="1"/>
  <c r="G23" i="80"/>
  <c r="H23" i="80" s="1"/>
  <c r="L22" i="71"/>
  <c r="L65" i="48"/>
  <c r="G66" i="36"/>
  <c r="L30" i="70"/>
  <c r="G31" i="79"/>
  <c r="H31" i="79" s="1"/>
  <c r="L17" i="47"/>
  <c r="G18" i="35"/>
  <c r="T64" i="49"/>
  <c r="K65" i="37"/>
  <c r="T50" i="48"/>
  <c r="K51" i="36"/>
  <c r="L56" i="65"/>
  <c r="G57" i="74"/>
  <c r="H57" i="74" s="1"/>
  <c r="K43" i="82"/>
  <c r="L43" i="82" s="1"/>
  <c r="T42" i="73"/>
  <c r="G31" i="76"/>
  <c r="H31" i="76" s="1"/>
  <c r="L30" i="67"/>
  <c r="T59" i="48"/>
  <c r="K60" i="36"/>
  <c r="T16" i="49"/>
  <c r="K17" i="37"/>
  <c r="L58" i="70"/>
  <c r="G59" i="79"/>
  <c r="H59" i="79" s="1"/>
  <c r="T61" i="66"/>
  <c r="K62" i="75"/>
  <c r="L62" i="75" s="1"/>
  <c r="L55" i="69"/>
  <c r="G56" i="78"/>
  <c r="H56" i="78" s="1"/>
  <c r="T68" i="46"/>
  <c r="K69" i="34"/>
  <c r="T32" i="48"/>
  <c r="K33" i="36"/>
  <c r="G54" i="37"/>
  <c r="L53" i="49"/>
  <c r="T62" i="72"/>
  <c r="K63" i="81"/>
  <c r="L63" i="81" s="1"/>
  <c r="L20" i="67"/>
  <c r="G21" i="76"/>
  <c r="H21" i="76" s="1"/>
  <c r="G59" i="37"/>
  <c r="L58" i="49"/>
  <c r="K70" i="37"/>
  <c r="T69" i="49"/>
  <c r="G53" i="35"/>
  <c r="L52" i="47"/>
  <c r="L23" i="48"/>
  <c r="G24" i="36"/>
  <c r="G52" i="37"/>
  <c r="L51" i="49"/>
  <c r="G34" i="81"/>
  <c r="H34" i="81" s="1"/>
  <c r="L33" i="72"/>
  <c r="T36" i="70"/>
  <c r="K37" i="79"/>
  <c r="L37" i="79" s="1"/>
  <c r="T22" i="71"/>
  <c r="K23" i="80"/>
  <c r="L23" i="80" s="1"/>
  <c r="G25" i="34"/>
  <c r="L24" i="46"/>
  <c r="L63" i="46"/>
  <c r="G64" i="34"/>
  <c r="L63" i="65"/>
  <c r="G64" i="74"/>
  <c r="H64" i="74" s="1"/>
  <c r="T17" i="72"/>
  <c r="K18" i="81"/>
  <c r="L18" i="81" s="1"/>
  <c r="L19" i="46"/>
  <c r="G20" i="34"/>
  <c r="T53" i="46"/>
  <c r="K54" i="34"/>
  <c r="T16" i="65"/>
  <c r="K17" i="74"/>
  <c r="L17" i="74" s="1"/>
  <c r="T44" i="67"/>
  <c r="K45" i="76"/>
  <c r="L45" i="76" s="1"/>
  <c r="K26" i="37"/>
  <c r="T25" i="49"/>
  <c r="K31" i="37"/>
  <c r="T30" i="49"/>
  <c r="G44" i="36"/>
  <c r="L43" i="48"/>
  <c r="K54" i="37"/>
  <c r="T53" i="49"/>
  <c r="T72" i="66"/>
  <c r="K73" i="75"/>
  <c r="L73" i="75" s="1"/>
  <c r="L54" i="66"/>
  <c r="G55" i="75"/>
  <c r="H55" i="75" s="1"/>
  <c r="K21" i="76"/>
  <c r="L21" i="76" s="1"/>
  <c r="T20" i="67"/>
  <c r="L23" i="71"/>
  <c r="G24" i="80"/>
  <c r="H24" i="80" s="1"/>
  <c r="T24" i="73"/>
  <c r="K25" i="82"/>
  <c r="L25" i="82" s="1"/>
  <c r="G26" i="78"/>
  <c r="H26" i="78" s="1"/>
  <c r="L25" i="69"/>
  <c r="T32" i="66"/>
  <c r="K33" i="75"/>
  <c r="L33" i="75" s="1"/>
  <c r="T52" i="66"/>
  <c r="K53" i="75"/>
  <c r="L53" i="75" s="1"/>
  <c r="K60" i="78"/>
  <c r="L60" i="78" s="1"/>
  <c r="T59" i="69"/>
  <c r="T22" i="65"/>
  <c r="K23" i="74"/>
  <c r="L23" i="74" s="1"/>
  <c r="K19" i="77"/>
  <c r="L19" i="77" s="1"/>
  <c r="T18" i="68"/>
  <c r="T38" i="71"/>
  <c r="K39" i="80"/>
  <c r="L39" i="80" s="1"/>
  <c r="L28" i="71"/>
  <c r="G29" i="80"/>
  <c r="H29" i="80" s="1"/>
  <c r="T59" i="72"/>
  <c r="K60" i="81"/>
  <c r="L60" i="81" s="1"/>
  <c r="L27" i="71"/>
  <c r="G28" i="80"/>
  <c r="H28" i="80" s="1"/>
  <c r="K32" i="78"/>
  <c r="L32" i="78" s="1"/>
  <c r="T31" i="69"/>
  <c r="G39" i="74"/>
  <c r="H39" i="74" s="1"/>
  <c r="L38" i="65"/>
  <c r="L69" i="66"/>
  <c r="G70" i="75"/>
  <c r="H70" i="75" s="1"/>
  <c r="L49" i="69"/>
  <c r="G50" i="78"/>
  <c r="H50" i="78" s="1"/>
  <c r="L36" i="69"/>
  <c r="G37" i="78"/>
  <c r="H37" i="78" s="1"/>
  <c r="L24" i="68"/>
  <c r="G25" i="77"/>
  <c r="H25" i="77" s="1"/>
  <c r="T25" i="67"/>
  <c r="K26" i="76"/>
  <c r="L26" i="76" s="1"/>
  <c r="K69" i="81"/>
  <c r="L69" i="81" s="1"/>
  <c r="T68" i="72"/>
  <c r="L15" i="65"/>
  <c r="G16" i="74"/>
  <c r="T46" i="70"/>
  <c r="K47" i="79"/>
  <c r="L47" i="79" s="1"/>
  <c r="T24" i="67"/>
  <c r="K25" i="76"/>
  <c r="L25" i="76" s="1"/>
  <c r="T21" i="65"/>
  <c r="K22" i="74"/>
  <c r="L22" i="74" s="1"/>
  <c r="T59" i="67"/>
  <c r="K60" i="76"/>
  <c r="L60" i="76" s="1"/>
  <c r="L56" i="66"/>
  <c r="G57" i="75"/>
  <c r="H57" i="75" s="1"/>
  <c r="G30" i="76"/>
  <c r="H30" i="76" s="1"/>
  <c r="L29" i="67"/>
  <c r="T58" i="65"/>
  <c r="K59" i="74"/>
  <c r="L59" i="74" s="1"/>
  <c r="T43" i="70"/>
  <c r="K44" i="79"/>
  <c r="L44" i="79" s="1"/>
  <c r="T20" i="65"/>
  <c r="K21" i="74"/>
  <c r="L21" i="74" s="1"/>
  <c r="K55" i="74"/>
  <c r="L55" i="74" s="1"/>
  <c r="T54" i="65"/>
  <c r="G26" i="76"/>
  <c r="H26" i="76" s="1"/>
  <c r="L25" i="67"/>
  <c r="T45" i="71"/>
  <c r="K46" i="80"/>
  <c r="L46" i="80" s="1"/>
  <c r="K16" i="82"/>
  <c r="T15" i="73"/>
  <c r="R73" i="73"/>
  <c r="T67" i="72"/>
  <c r="K68" i="81"/>
  <c r="L68" i="81" s="1"/>
  <c r="G67" i="79"/>
  <c r="H67" i="79" s="1"/>
  <c r="L66" i="70"/>
  <c r="G62" i="82"/>
  <c r="H62" i="82" s="1"/>
  <c r="L61" i="73"/>
  <c r="L20" i="71"/>
  <c r="G21" i="80"/>
  <c r="H21" i="80" s="1"/>
  <c r="L59" i="70"/>
  <c r="G60" i="79"/>
  <c r="H60" i="79" s="1"/>
  <c r="T57" i="67"/>
  <c r="K58" i="76"/>
  <c r="L58" i="76" s="1"/>
  <c r="L39" i="68"/>
  <c r="G40" i="77"/>
  <c r="H40" i="77" s="1"/>
  <c r="T56" i="69"/>
  <c r="K57" i="78"/>
  <c r="L57" i="78" s="1"/>
  <c r="G71" i="81"/>
  <c r="H71" i="81" s="1"/>
  <c r="L70" i="72"/>
  <c r="L50" i="66"/>
  <c r="G51" i="75"/>
  <c r="H51" i="75" s="1"/>
  <c r="L26" i="68"/>
  <c r="G27" i="77"/>
  <c r="H27" i="77" s="1"/>
  <c r="K26" i="77"/>
  <c r="L26" i="77" s="1"/>
  <c r="T25" i="68"/>
  <c r="L22" i="69"/>
  <c r="G23" i="78"/>
  <c r="H23" i="78" s="1"/>
  <c r="K65" i="77"/>
  <c r="L65" i="77" s="1"/>
  <c r="T64" i="68"/>
  <c r="K52" i="77"/>
  <c r="L52" i="77" s="1"/>
  <c r="T51" i="68"/>
  <c r="T65" i="68"/>
  <c r="K66" i="77"/>
  <c r="L66" i="77" s="1"/>
  <c r="K67" i="81"/>
  <c r="L67" i="81" s="1"/>
  <c r="T66" i="72"/>
  <c r="L44" i="73"/>
  <c r="G45" i="82"/>
  <c r="H45" i="82" s="1"/>
  <c r="L54" i="65"/>
  <c r="G55" i="74"/>
  <c r="H55" i="74" s="1"/>
  <c r="G54" i="79"/>
  <c r="H54" i="79" s="1"/>
  <c r="L53" i="70"/>
  <c r="L59" i="68"/>
  <c r="G60" i="77"/>
  <c r="H60" i="77" s="1"/>
  <c r="L47" i="71"/>
  <c r="G48" i="80"/>
  <c r="H48" i="80" s="1"/>
  <c r="G23" i="76"/>
  <c r="H23" i="76" s="1"/>
  <c r="L22" i="67"/>
  <c r="G63" i="78"/>
  <c r="H63" i="78" s="1"/>
  <c r="L62" i="69"/>
  <c r="K47" i="80"/>
  <c r="L47" i="80" s="1"/>
  <c r="T46" i="71"/>
  <c r="G38" i="76"/>
  <c r="H38" i="76" s="1"/>
  <c r="L37" i="67"/>
  <c r="L29" i="66"/>
  <c r="G30" i="75"/>
  <c r="H30" i="75" s="1"/>
  <c r="T45" i="70"/>
  <c r="K46" i="79"/>
  <c r="L46" i="79" s="1"/>
  <c r="T63" i="68"/>
  <c r="K64" i="77"/>
  <c r="L64" i="77" s="1"/>
  <c r="G21" i="37"/>
  <c r="L20" i="49"/>
  <c r="G48" i="34"/>
  <c r="L47" i="46"/>
  <c r="G20" i="35"/>
  <c r="L19" i="47"/>
  <c r="L58" i="48"/>
  <c r="G59" i="36"/>
  <c r="T53" i="48"/>
  <c r="K54" i="36"/>
  <c r="K28" i="34"/>
  <c r="T27" i="46"/>
  <c r="K72" i="34"/>
  <c r="T71" i="46"/>
  <c r="T48" i="68"/>
  <c r="K49" i="77"/>
  <c r="L49" i="77" s="1"/>
  <c r="G64" i="80"/>
  <c r="H64" i="80" s="1"/>
  <c r="L63" i="71"/>
  <c r="L44" i="47"/>
  <c r="G45" i="35"/>
  <c r="T46" i="68"/>
  <c r="K47" i="77"/>
  <c r="L47" i="77" s="1"/>
  <c r="G32" i="35"/>
  <c r="L31" i="47"/>
  <c r="L64" i="47"/>
  <c r="G65" i="35"/>
  <c r="T28" i="71"/>
  <c r="K29" i="80"/>
  <c r="L29" i="80" s="1"/>
  <c r="K71" i="36"/>
  <c r="T70" i="48"/>
  <c r="K62" i="74"/>
  <c r="L62" i="74" s="1"/>
  <c r="T61" i="65"/>
  <c r="L62" i="65"/>
  <c r="G63" i="74"/>
  <c r="H63" i="74" s="1"/>
  <c r="L20" i="72"/>
  <c r="G21" i="81"/>
  <c r="H21" i="81" s="1"/>
  <c r="L47" i="47"/>
  <c r="G48" i="35"/>
  <c r="L61" i="47"/>
  <c r="G62" i="35"/>
  <c r="L15" i="72"/>
  <c r="G16" i="81"/>
  <c r="L20" i="69"/>
  <c r="G21" i="78"/>
  <c r="H21" i="78" s="1"/>
  <c r="L18" i="49"/>
  <c r="G19" i="37"/>
  <c r="G53" i="37"/>
  <c r="L52" i="49"/>
  <c r="T67" i="65"/>
  <c r="K68" i="74"/>
  <c r="L68" i="74" s="1"/>
  <c r="T41" i="73"/>
  <c r="K42" i="82"/>
  <c r="L42" i="82" s="1"/>
  <c r="T61" i="73"/>
  <c r="K62" i="82"/>
  <c r="L62" i="82" s="1"/>
  <c r="T50" i="70"/>
  <c r="K51" i="79"/>
  <c r="L51" i="79" s="1"/>
  <c r="K38" i="37"/>
  <c r="T37" i="49"/>
  <c r="G31" i="36"/>
  <c r="L30" i="48"/>
  <c r="G19" i="74"/>
  <c r="H19" i="74" s="1"/>
  <c r="L18" i="65"/>
  <c r="K43" i="79"/>
  <c r="L43" i="79" s="1"/>
  <c r="T42" i="70"/>
  <c r="G43" i="80"/>
  <c r="H43" i="80" s="1"/>
  <c r="L42" i="71"/>
  <c r="G40" i="34"/>
  <c r="L39" i="46"/>
  <c r="T71" i="48"/>
  <c r="K72" i="36"/>
  <c r="T37" i="65"/>
  <c r="K38" i="74"/>
  <c r="L38" i="74" s="1"/>
  <c r="G71" i="82"/>
  <c r="H71" i="82" s="1"/>
  <c r="L70" i="73"/>
  <c r="K36" i="82"/>
  <c r="L36" i="82" s="1"/>
  <c r="T35" i="73"/>
  <c r="T39" i="48"/>
  <c r="K40" i="36"/>
  <c r="T19" i="48"/>
  <c r="K20" i="36"/>
  <c r="L22" i="49"/>
  <c r="G23" i="37"/>
  <c r="L53" i="67"/>
  <c r="G54" i="76"/>
  <c r="H54" i="76" s="1"/>
  <c r="L72" i="72"/>
  <c r="G73" i="81"/>
  <c r="H73" i="81" s="1"/>
  <c r="L41" i="65"/>
  <c r="G42" i="74"/>
  <c r="H42" i="74" s="1"/>
  <c r="T59" i="49"/>
  <c r="K60" i="37"/>
  <c r="G66" i="34"/>
  <c r="L65" i="46"/>
  <c r="L19" i="49"/>
  <c r="G20" i="37"/>
  <c r="L40" i="71"/>
  <c r="G41" i="80"/>
  <c r="H41" i="80" s="1"/>
  <c r="L16" i="67"/>
  <c r="G17" i="76"/>
  <c r="H17" i="76" s="1"/>
  <c r="G50" i="74"/>
  <c r="H50" i="74" s="1"/>
  <c r="L49" i="65"/>
  <c r="L42" i="46"/>
  <c r="G43" i="34"/>
  <c r="L28" i="48"/>
  <c r="G29" i="36"/>
  <c r="T23" i="49"/>
  <c r="K24" i="37"/>
  <c r="G67" i="75"/>
  <c r="H67" i="75" s="1"/>
  <c r="L66" i="66"/>
  <c r="G49" i="34"/>
  <c r="L48" i="46"/>
  <c r="L62" i="71"/>
  <c r="G63" i="80"/>
  <c r="H63" i="80" s="1"/>
  <c r="G71" i="36"/>
  <c r="L70" i="48"/>
  <c r="K73" i="34"/>
  <c r="T72" i="46"/>
  <c r="L64" i="67"/>
  <c r="G65" i="76"/>
  <c r="H65" i="76" s="1"/>
  <c r="L50" i="67"/>
  <c r="G51" i="76"/>
  <c r="H51" i="76" s="1"/>
  <c r="T29" i="46"/>
  <c r="K30" i="34"/>
  <c r="G63" i="34"/>
  <c r="L62" i="46"/>
  <c r="T24" i="65"/>
  <c r="K25" i="74"/>
  <c r="L25" i="74" s="1"/>
  <c r="G29" i="75"/>
  <c r="H29" i="75" s="1"/>
  <c r="L28" i="66"/>
  <c r="K48" i="36"/>
  <c r="T47" i="48"/>
  <c r="L58" i="47"/>
  <c r="G59" i="35"/>
  <c r="T41" i="49"/>
  <c r="K42" i="37"/>
  <c r="G32" i="36"/>
  <c r="L31" i="48"/>
  <c r="G48" i="76"/>
  <c r="H48" i="76" s="1"/>
  <c r="L47" i="67"/>
  <c r="K69" i="75"/>
  <c r="L69" i="75" s="1"/>
  <c r="T68" i="66"/>
  <c r="G34" i="82"/>
  <c r="H34" i="82" s="1"/>
  <c r="L33" i="73"/>
  <c r="L68" i="73"/>
  <c r="G69" i="82"/>
  <c r="H69" i="82" s="1"/>
  <c r="T49" i="68"/>
  <c r="K50" i="77"/>
  <c r="L50" i="77" s="1"/>
  <c r="T48" i="67"/>
  <c r="K49" i="76"/>
  <c r="L49" i="76" s="1"/>
  <c r="T59" i="71"/>
  <c r="K60" i="80"/>
  <c r="L60" i="80" s="1"/>
  <c r="T41" i="71"/>
  <c r="K42" i="80"/>
  <c r="L42" i="80" s="1"/>
  <c r="T39" i="73"/>
  <c r="K40" i="82"/>
  <c r="L40" i="82" s="1"/>
  <c r="G24" i="79"/>
  <c r="H24" i="79" s="1"/>
  <c r="L23" i="70"/>
  <c r="L66" i="71"/>
  <c r="G67" i="80"/>
  <c r="H67" i="80" s="1"/>
  <c r="L53" i="72"/>
  <c r="G54" i="81"/>
  <c r="H54" i="81" s="1"/>
  <c r="L29" i="72"/>
  <c r="G30" i="81"/>
  <c r="H30" i="81" s="1"/>
  <c r="L43" i="69"/>
  <c r="G44" i="78"/>
  <c r="H44" i="78" s="1"/>
  <c r="G35" i="75"/>
  <c r="H35" i="75" s="1"/>
  <c r="L34" i="66"/>
  <c r="K16" i="79"/>
  <c r="T15" i="70"/>
  <c r="R73" i="70"/>
  <c r="L48" i="65"/>
  <c r="G49" i="74"/>
  <c r="H49" i="74" s="1"/>
  <c r="T53" i="69"/>
  <c r="K54" i="78"/>
  <c r="L54" i="78" s="1"/>
  <c r="T54" i="72"/>
  <c r="K55" i="81"/>
  <c r="L55" i="81" s="1"/>
  <c r="G52" i="81"/>
  <c r="H52" i="81" s="1"/>
  <c r="L51" i="72"/>
  <c r="K44" i="78"/>
  <c r="L44" i="78" s="1"/>
  <c r="T43" i="69"/>
  <c r="K30" i="81"/>
  <c r="L30" i="81" s="1"/>
  <c r="T29" i="72"/>
  <c r="K49" i="82"/>
  <c r="L49" i="82" s="1"/>
  <c r="T48" i="73"/>
  <c r="K52" i="74"/>
  <c r="L52" i="74" s="1"/>
  <c r="T51" i="65"/>
  <c r="G59" i="75"/>
  <c r="H59" i="75" s="1"/>
  <c r="L58" i="66"/>
  <c r="T62" i="70"/>
  <c r="K63" i="79"/>
  <c r="L63" i="79" s="1"/>
  <c r="K30" i="78"/>
  <c r="L30" i="78" s="1"/>
  <c r="T29" i="69"/>
  <c r="K52" i="79"/>
  <c r="L52" i="79" s="1"/>
  <c r="T51" i="70"/>
  <c r="K35" i="76"/>
  <c r="L35" i="76" s="1"/>
  <c r="T34" i="67"/>
  <c r="G69" i="81"/>
  <c r="H69" i="81" s="1"/>
  <c r="L68" i="72"/>
  <c r="T39" i="65"/>
  <c r="K40" i="74"/>
  <c r="L40" i="74" s="1"/>
  <c r="T22" i="73"/>
  <c r="K23" i="82"/>
  <c r="L23" i="82" s="1"/>
  <c r="T70" i="68"/>
  <c r="K71" i="77"/>
  <c r="L71" i="77" s="1"/>
  <c r="L27" i="67"/>
  <c r="G28" i="76"/>
  <c r="H28" i="76" s="1"/>
  <c r="L35" i="66"/>
  <c r="G36" i="75"/>
  <c r="H36" i="75" s="1"/>
  <c r="G31" i="75"/>
  <c r="H31" i="75" s="1"/>
  <c r="L30" i="66"/>
  <c r="K66" i="79"/>
  <c r="L66" i="79" s="1"/>
  <c r="T65" i="70"/>
  <c r="K47" i="74"/>
  <c r="L47" i="74" s="1"/>
  <c r="T46" i="65"/>
  <c r="K23" i="77"/>
  <c r="L23" i="77" s="1"/>
  <c r="T22" i="68"/>
  <c r="L35" i="70"/>
  <c r="G36" i="79"/>
  <c r="H36" i="79" s="1"/>
  <c r="T17" i="73"/>
  <c r="K18" i="82"/>
  <c r="L18" i="82" s="1"/>
  <c r="K70" i="82"/>
  <c r="L70" i="82" s="1"/>
  <c r="T69" i="73"/>
  <c r="K53" i="81"/>
  <c r="L53" i="81" s="1"/>
  <c r="T52" i="72"/>
  <c r="K65" i="82"/>
  <c r="L65" i="82" s="1"/>
  <c r="T64" i="73"/>
  <c r="T51" i="69"/>
  <c r="K52" i="78"/>
  <c r="L52" i="78" s="1"/>
  <c r="L38" i="71"/>
  <c r="G39" i="80"/>
  <c r="H39" i="80" s="1"/>
  <c r="G21" i="75"/>
  <c r="H21" i="75" s="1"/>
  <c r="L20" i="66"/>
  <c r="G19" i="80"/>
  <c r="H19" i="80" s="1"/>
  <c r="L18" i="71"/>
  <c r="T60" i="70"/>
  <c r="K61" i="79"/>
  <c r="L61" i="79" s="1"/>
  <c r="K23" i="76"/>
  <c r="L23" i="76" s="1"/>
  <c r="T22" i="67"/>
  <c r="G72" i="78"/>
  <c r="H72" i="78" s="1"/>
  <c r="L71" i="69"/>
  <c r="K41" i="78"/>
  <c r="L41" i="78" s="1"/>
  <c r="T40" i="69"/>
  <c r="L38" i="73"/>
  <c r="G39" i="82"/>
  <c r="H39" i="82" s="1"/>
  <c r="T41" i="65"/>
  <c r="K42" i="74"/>
  <c r="L42" i="74" s="1"/>
  <c r="T53" i="68"/>
  <c r="K54" i="77"/>
  <c r="L54" i="77" s="1"/>
  <c r="T17" i="69"/>
  <c r="K18" i="78"/>
  <c r="L18" i="78" s="1"/>
  <c r="T63" i="66"/>
  <c r="K64" i="75"/>
  <c r="L64" i="75" s="1"/>
  <c r="L41" i="66"/>
  <c r="G42" i="75"/>
  <c r="H42" i="75" s="1"/>
  <c r="G66" i="76"/>
  <c r="H66" i="76" s="1"/>
  <c r="L65" i="67"/>
  <c r="L56" i="72"/>
  <c r="G57" i="81"/>
  <c r="H57" i="81" s="1"/>
  <c r="K27" i="81"/>
  <c r="L27" i="81" s="1"/>
  <c r="T26" i="72"/>
  <c r="L25" i="73"/>
  <c r="G26" i="82"/>
  <c r="H26" i="82" s="1"/>
  <c r="T44" i="65"/>
  <c r="K45" i="74"/>
  <c r="L45" i="74" s="1"/>
  <c r="L57" i="70"/>
  <c r="G58" i="79"/>
  <c r="H58" i="79" s="1"/>
  <c r="T43" i="68"/>
  <c r="K44" i="77"/>
  <c r="L44" i="77" s="1"/>
  <c r="K65" i="80"/>
  <c r="L65" i="80" s="1"/>
  <c r="T64" i="71"/>
  <c r="L46" i="47"/>
  <c r="G47" i="35"/>
  <c r="K23" i="36"/>
  <c r="T22" i="48"/>
  <c r="T50" i="65"/>
  <c r="K51" i="74"/>
  <c r="L51" i="74" s="1"/>
  <c r="T36" i="73"/>
  <c r="K37" i="82"/>
  <c r="L37" i="82" s="1"/>
  <c r="G20" i="74"/>
  <c r="H20" i="74" s="1"/>
  <c r="L19" i="65"/>
  <c r="J102" i="29"/>
  <c r="K102" i="29" s="1"/>
  <c r="D12" i="52"/>
  <c r="G57" i="34"/>
  <c r="L56" i="46"/>
  <c r="L39" i="47"/>
  <c r="G40" i="35"/>
  <c r="G17" i="37"/>
  <c r="L16" i="49"/>
  <c r="L37" i="72"/>
  <c r="G38" i="81"/>
  <c r="H38" i="81" s="1"/>
  <c r="T36" i="48"/>
  <c r="K37" i="36"/>
  <c r="K50" i="81"/>
  <c r="L50" i="81" s="1"/>
  <c r="T49" i="72"/>
  <c r="L35" i="47"/>
  <c r="G36" i="35"/>
  <c r="L52" i="68"/>
  <c r="G53" i="77"/>
  <c r="H53" i="77" s="1"/>
  <c r="G56" i="34"/>
  <c r="L55" i="46"/>
  <c r="K37" i="78"/>
  <c r="L37" i="78" s="1"/>
  <c r="T36" i="69"/>
  <c r="G42" i="81"/>
  <c r="H42" i="81" s="1"/>
  <c r="L41" i="72"/>
  <c r="L64" i="65"/>
  <c r="G65" i="74"/>
  <c r="H65" i="74" s="1"/>
  <c r="K53" i="82"/>
  <c r="L53" i="82" s="1"/>
  <c r="T52" i="73"/>
  <c r="T68" i="49"/>
  <c r="K69" i="37"/>
  <c r="G72" i="34"/>
  <c r="L71" i="46"/>
  <c r="K68" i="34"/>
  <c r="T67" i="46"/>
  <c r="T31" i="48"/>
  <c r="K32" i="36"/>
  <c r="T29" i="71"/>
  <c r="K30" i="80"/>
  <c r="L30" i="80" s="1"/>
  <c r="T42" i="72"/>
  <c r="K43" i="81"/>
  <c r="L43" i="81" s="1"/>
  <c r="T37" i="73"/>
  <c r="K38" i="82"/>
  <c r="L38" i="82" s="1"/>
  <c r="L67" i="73"/>
  <c r="G68" i="82"/>
  <c r="H68" i="82" s="1"/>
  <c r="G63" i="82"/>
  <c r="H63" i="82" s="1"/>
  <c r="L62" i="73"/>
  <c r="G32" i="80"/>
  <c r="H32" i="80" s="1"/>
  <c r="L31" i="71"/>
  <c r="K53" i="80"/>
  <c r="L53" i="80" s="1"/>
  <c r="T52" i="71"/>
  <c r="L43" i="67"/>
  <c r="G44" i="76"/>
  <c r="H44" i="76" s="1"/>
  <c r="G61" i="34"/>
  <c r="L60" i="46"/>
  <c r="L35" i="46"/>
  <c r="G36" i="34"/>
  <c r="L71" i="65"/>
  <c r="G72" i="74"/>
  <c r="H72" i="74" s="1"/>
  <c r="T70" i="67"/>
  <c r="K71" i="76"/>
  <c r="L71" i="76" s="1"/>
  <c r="L15" i="70"/>
  <c r="G16" i="79"/>
  <c r="L57" i="46"/>
  <c r="G58" i="34"/>
  <c r="G27" i="34"/>
  <c r="L26" i="46"/>
  <c r="G25" i="75"/>
  <c r="H25" i="75" s="1"/>
  <c r="L24" i="66"/>
  <c r="T28" i="69"/>
  <c r="K29" i="78"/>
  <c r="L29" i="78" s="1"/>
  <c r="K52" i="34"/>
  <c r="T51" i="46"/>
  <c r="T69" i="48"/>
  <c r="K70" i="36"/>
  <c r="G65" i="34"/>
  <c r="L64" i="46"/>
  <c r="L53" i="68"/>
  <c r="G54" i="77"/>
  <c r="H54" i="77" s="1"/>
  <c r="T37" i="71"/>
  <c r="K38" i="80"/>
  <c r="L38" i="80" s="1"/>
  <c r="K64" i="79"/>
  <c r="L64" i="79" s="1"/>
  <c r="T63" i="70"/>
  <c r="T70" i="46"/>
  <c r="K71" i="34"/>
  <c r="G22" i="36"/>
  <c r="L21" i="48"/>
  <c r="G58" i="37"/>
  <c r="L57" i="49"/>
  <c r="G23" i="74"/>
  <c r="H23" i="74" s="1"/>
  <c r="L22" i="65"/>
  <c r="K56" i="82"/>
  <c r="L56" i="82" s="1"/>
  <c r="T55" i="73"/>
  <c r="L43" i="72"/>
  <c r="G44" i="81"/>
  <c r="H44" i="81" s="1"/>
  <c r="K68" i="36"/>
  <c r="T67" i="48"/>
  <c r="K17" i="34"/>
  <c r="T16" i="46"/>
  <c r="G51" i="35"/>
  <c r="L50" i="47"/>
  <c r="K60" i="74"/>
  <c r="L60" i="74" s="1"/>
  <c r="T59" i="65"/>
  <c r="K59" i="77"/>
  <c r="L59" i="77" s="1"/>
  <c r="T58" i="68"/>
  <c r="T47" i="46"/>
  <c r="K48" i="34"/>
  <c r="T31" i="72"/>
  <c r="K32" i="81"/>
  <c r="L32" i="81" s="1"/>
  <c r="K34" i="36"/>
  <c r="T33" i="48"/>
  <c r="L18" i="47"/>
  <c r="G19" i="35"/>
  <c r="T54" i="69"/>
  <c r="K55" i="78"/>
  <c r="L55" i="78" s="1"/>
  <c r="L21" i="72"/>
  <c r="G22" i="81"/>
  <c r="H22" i="81" s="1"/>
  <c r="K56" i="37"/>
  <c r="T55" i="49"/>
  <c r="G71" i="35"/>
  <c r="L70" i="47"/>
  <c r="L16" i="68"/>
  <c r="G17" i="77"/>
  <c r="H17" i="77" s="1"/>
  <c r="L65" i="70"/>
  <c r="G66" i="79"/>
  <c r="H66" i="79" s="1"/>
  <c r="T32" i="49"/>
  <c r="K33" i="37"/>
  <c r="L40" i="47"/>
  <c r="G41" i="35"/>
  <c r="G36" i="36"/>
  <c r="L35" i="48"/>
  <c r="L20" i="48"/>
  <c r="G21" i="36"/>
  <c r="G49" i="37"/>
  <c r="L48" i="49"/>
  <c r="L44" i="67"/>
  <c r="G45" i="76"/>
  <c r="H45" i="76" s="1"/>
  <c r="G35" i="76"/>
  <c r="H35" i="76" s="1"/>
  <c r="L34" i="67"/>
  <c r="L29" i="69"/>
  <c r="G30" i="78"/>
  <c r="H30" i="78" s="1"/>
  <c r="L41" i="71"/>
  <c r="G42" i="80"/>
  <c r="H42" i="80" s="1"/>
  <c r="L42" i="65"/>
  <c r="G43" i="74"/>
  <c r="H43" i="74" s="1"/>
  <c r="L37" i="69"/>
  <c r="G38" i="78"/>
  <c r="H38" i="78" s="1"/>
  <c r="T65" i="66"/>
  <c r="K66" i="75"/>
  <c r="L66" i="75" s="1"/>
  <c r="T54" i="67"/>
  <c r="K55" i="76"/>
  <c r="L55" i="76" s="1"/>
  <c r="T48" i="66"/>
  <c r="K49" i="75"/>
  <c r="L49" i="75" s="1"/>
  <c r="L70" i="66"/>
  <c r="G71" i="75"/>
  <c r="H71" i="75" s="1"/>
  <c r="L36" i="73"/>
  <c r="G37" i="82"/>
  <c r="H37" i="82" s="1"/>
  <c r="L50" i="69"/>
  <c r="G51" i="78"/>
  <c r="H51" i="78" s="1"/>
  <c r="G40" i="76"/>
  <c r="H40" i="76" s="1"/>
  <c r="L39" i="67"/>
  <c r="L57" i="73"/>
  <c r="G58" i="82"/>
  <c r="H58" i="82" s="1"/>
  <c r="T71" i="73"/>
  <c r="K72" i="82"/>
  <c r="L72" i="82" s="1"/>
  <c r="K61" i="80"/>
  <c r="L61" i="80" s="1"/>
  <c r="T60" i="71"/>
  <c r="L50" i="70"/>
  <c r="G51" i="79"/>
  <c r="H51" i="79" s="1"/>
  <c r="L46" i="71"/>
  <c r="G47" i="80"/>
  <c r="H47" i="80" s="1"/>
  <c r="G62" i="79"/>
  <c r="H62" i="79" s="1"/>
  <c r="L61" i="70"/>
  <c r="G50" i="76"/>
  <c r="H50" i="76" s="1"/>
  <c r="L49" i="67"/>
  <c r="T45" i="72"/>
  <c r="K46" i="81"/>
  <c r="L46" i="81" s="1"/>
  <c r="T38" i="66"/>
  <c r="K39" i="75"/>
  <c r="L39" i="75" s="1"/>
  <c r="L32" i="70"/>
  <c r="G33" i="79"/>
  <c r="H33" i="79" s="1"/>
  <c r="G27" i="74"/>
  <c r="H27" i="74" s="1"/>
  <c r="L26" i="65"/>
  <c r="K38" i="78"/>
  <c r="L38" i="78" s="1"/>
  <c r="T37" i="69"/>
  <c r="L30" i="72"/>
  <c r="G31" i="81"/>
  <c r="H31" i="81" s="1"/>
  <c r="G63" i="81"/>
  <c r="H63" i="81" s="1"/>
  <c r="L62" i="72"/>
  <c r="K19" i="75"/>
  <c r="L19" i="75" s="1"/>
  <c r="T18" i="66"/>
  <c r="G26" i="81"/>
  <c r="H26" i="81" s="1"/>
  <c r="L25" i="72"/>
  <c r="K43" i="75"/>
  <c r="L43" i="75" s="1"/>
  <c r="T42" i="66"/>
  <c r="G40" i="74"/>
  <c r="H40" i="74" s="1"/>
  <c r="L39" i="65"/>
  <c r="L41" i="67"/>
  <c r="G42" i="76"/>
  <c r="H42" i="76" s="1"/>
  <c r="L27" i="70"/>
  <c r="G28" i="79"/>
  <c r="H28" i="79" s="1"/>
  <c r="L70" i="70"/>
  <c r="G71" i="79"/>
  <c r="H71" i="79" s="1"/>
  <c r="K42" i="76"/>
  <c r="L42" i="76" s="1"/>
  <c r="T41" i="67"/>
  <c r="G66" i="78"/>
  <c r="H66" i="78" s="1"/>
  <c r="L65" i="69"/>
  <c r="L69" i="73"/>
  <c r="G70" i="82"/>
  <c r="H70" i="82" s="1"/>
  <c r="T40" i="65"/>
  <c r="K41" i="74"/>
  <c r="L41" i="74" s="1"/>
  <c r="T55" i="65"/>
  <c r="K56" i="74"/>
  <c r="L56" i="74" s="1"/>
  <c r="L24" i="67"/>
  <c r="G25" i="76"/>
  <c r="H25" i="76" s="1"/>
  <c r="L41" i="68"/>
  <c r="G42" i="77"/>
  <c r="H42" i="77" s="1"/>
  <c r="G25" i="81"/>
  <c r="H25" i="81" s="1"/>
  <c r="L24" i="72"/>
  <c r="T47" i="69"/>
  <c r="K48" i="78"/>
  <c r="L48" i="78" s="1"/>
  <c r="T34" i="65"/>
  <c r="K35" i="74"/>
  <c r="L35" i="74" s="1"/>
  <c r="L57" i="69"/>
  <c r="G58" i="78"/>
  <c r="H58" i="78" s="1"/>
  <c r="L56" i="71"/>
  <c r="G57" i="80"/>
  <c r="H57" i="80" s="1"/>
  <c r="L61" i="67"/>
  <c r="G62" i="76"/>
  <c r="H62" i="76" s="1"/>
  <c r="L21" i="73"/>
  <c r="G22" i="82"/>
  <c r="H22" i="82" s="1"/>
  <c r="L59" i="66"/>
  <c r="G60" i="75"/>
  <c r="H60" i="75" s="1"/>
  <c r="K28" i="78"/>
  <c r="L28" i="78" s="1"/>
  <c r="T27" i="69"/>
  <c r="K29" i="79"/>
  <c r="L29" i="79" s="1"/>
  <c r="T28" i="70"/>
  <c r="G48" i="81"/>
  <c r="H48" i="81" s="1"/>
  <c r="L47" i="72"/>
  <c r="L44" i="72"/>
  <c r="G45" i="81"/>
  <c r="H45" i="81" s="1"/>
  <c r="K43" i="80"/>
  <c r="L43" i="80" s="1"/>
  <c r="T42" i="71"/>
  <c r="G68" i="79"/>
  <c r="H68" i="79" s="1"/>
  <c r="L67" i="70"/>
  <c r="G20" i="76"/>
  <c r="H20" i="76" s="1"/>
  <c r="L19" i="67"/>
  <c r="L35" i="69"/>
  <c r="G36" i="78"/>
  <c r="H36" i="78" s="1"/>
  <c r="T49" i="71"/>
  <c r="K50" i="80"/>
  <c r="L50" i="80" s="1"/>
  <c r="L37" i="68"/>
  <c r="G38" i="77"/>
  <c r="H38" i="77" s="1"/>
  <c r="L37" i="73"/>
  <c r="G38" i="82"/>
  <c r="H38" i="82" s="1"/>
  <c r="K46" i="78"/>
  <c r="L46" i="78" s="1"/>
  <c r="T45" i="69"/>
  <c r="K62" i="78"/>
  <c r="L62" i="78" s="1"/>
  <c r="T61" i="69"/>
  <c r="K22" i="79"/>
  <c r="L22" i="79" s="1"/>
  <c r="T21" i="70"/>
  <c r="T17" i="66"/>
  <c r="K18" i="75"/>
  <c r="L18" i="75" s="1"/>
  <c r="R73" i="66"/>
  <c r="K16" i="75"/>
  <c r="T15" i="66"/>
  <c r="L48" i="47"/>
  <c r="G49" i="35"/>
  <c r="L15" i="48"/>
  <c r="J73" i="48"/>
  <c r="G16" i="36"/>
  <c r="L23" i="65"/>
  <c r="G24" i="74"/>
  <c r="H24" i="74" s="1"/>
  <c r="G64" i="35"/>
  <c r="L63" i="47"/>
  <c r="L48" i="72"/>
  <c r="G49" i="81"/>
  <c r="H49" i="81" s="1"/>
  <c r="L60" i="73"/>
  <c r="G61" i="82"/>
  <c r="H61" i="82" s="1"/>
  <c r="L35" i="71"/>
  <c r="G36" i="80"/>
  <c r="H36" i="80" s="1"/>
  <c r="T45" i="48"/>
  <c r="K46" i="36"/>
  <c r="K65" i="36"/>
  <c r="T64" i="48"/>
  <c r="L52" i="71"/>
  <c r="G53" i="80"/>
  <c r="H53" i="80" s="1"/>
  <c r="L52" i="65"/>
  <c r="G53" i="74"/>
  <c r="H53" i="74" s="1"/>
  <c r="L22" i="48"/>
  <c r="G23" i="36"/>
  <c r="T47" i="73"/>
  <c r="K48" i="82"/>
  <c r="L48" i="82" s="1"/>
  <c r="G35" i="34"/>
  <c r="L34" i="46"/>
  <c r="L24" i="49"/>
  <c r="G25" i="37"/>
  <c r="L27" i="73"/>
  <c r="G28" i="82"/>
  <c r="H28" i="82" s="1"/>
  <c r="T28" i="72"/>
  <c r="K29" i="81"/>
  <c r="L29" i="81" s="1"/>
  <c r="T22" i="66"/>
  <c r="K23" i="75"/>
  <c r="L23" i="75" s="1"/>
  <c r="L19" i="70"/>
  <c r="G20" i="79"/>
  <c r="H20" i="79" s="1"/>
  <c r="L38" i="70"/>
  <c r="G39" i="79"/>
  <c r="H39" i="79" s="1"/>
  <c r="L39" i="71"/>
  <c r="G40" i="80"/>
  <c r="H40" i="80" s="1"/>
  <c r="T21" i="46"/>
  <c r="K22" i="34"/>
  <c r="T27" i="48"/>
  <c r="K28" i="36"/>
  <c r="K69" i="79"/>
  <c r="L69" i="79" s="1"/>
  <c r="T68" i="70"/>
  <c r="G29" i="34"/>
  <c r="L28" i="46"/>
  <c r="G22" i="35"/>
  <c r="L21" i="47"/>
  <c r="G50" i="75"/>
  <c r="H50" i="75" s="1"/>
  <c r="L49" i="66"/>
  <c r="K56" i="76"/>
  <c r="L56" i="76" s="1"/>
  <c r="T55" i="67"/>
  <c r="T35" i="67"/>
  <c r="K36" i="76"/>
  <c r="L36" i="76" s="1"/>
  <c r="G34" i="34"/>
  <c r="L33" i="46"/>
  <c r="T38" i="46"/>
  <c r="K39" i="34"/>
  <c r="G67" i="81"/>
  <c r="H67" i="81" s="1"/>
  <c r="L66" i="72"/>
  <c r="T32" i="70"/>
  <c r="K33" i="79"/>
  <c r="L33" i="79" s="1"/>
  <c r="L17" i="48"/>
  <c r="G18" i="36"/>
  <c r="G51" i="34"/>
  <c r="L50" i="46"/>
  <c r="G56" i="35"/>
  <c r="L55" i="47"/>
  <c r="G22" i="37"/>
  <c r="L21" i="49"/>
  <c r="T46" i="72"/>
  <c r="K47" i="81"/>
  <c r="L47" i="81" s="1"/>
  <c r="L52" i="70"/>
  <c r="G53" i="79"/>
  <c r="H53" i="79" s="1"/>
  <c r="T70" i="49"/>
  <c r="K71" i="37"/>
  <c r="K36" i="37"/>
  <c r="T35" i="49"/>
  <c r="L54" i="46"/>
  <c r="G55" i="34"/>
  <c r="L61" i="49"/>
  <c r="G62" i="37"/>
  <c r="K70" i="74"/>
  <c r="L70" i="74" s="1"/>
  <c r="T69" i="65"/>
  <c r="K32" i="80"/>
  <c r="L32" i="80" s="1"/>
  <c r="T31" i="71"/>
  <c r="K73" i="81"/>
  <c r="L73" i="81" s="1"/>
  <c r="T72" i="72"/>
  <c r="K44" i="37"/>
  <c r="T43" i="49"/>
  <c r="L29" i="47"/>
  <c r="G30" i="35"/>
  <c r="L50" i="65"/>
  <c r="G51" i="74"/>
  <c r="H51" i="74" s="1"/>
  <c r="G36" i="76"/>
  <c r="H36" i="76" s="1"/>
  <c r="L35" i="67"/>
  <c r="K62" i="34"/>
  <c r="T61" i="46"/>
  <c r="T68" i="67"/>
  <c r="K69" i="76"/>
  <c r="L69" i="76" s="1"/>
  <c r="T46" i="48"/>
  <c r="K47" i="36"/>
  <c r="K22" i="36"/>
  <c r="T21" i="48"/>
  <c r="L54" i="71"/>
  <c r="G55" i="80"/>
  <c r="H55" i="80" s="1"/>
  <c r="T28" i="66"/>
  <c r="K29" i="75"/>
  <c r="L29" i="75" s="1"/>
  <c r="T54" i="49"/>
  <c r="K55" i="37"/>
  <c r="T15" i="49"/>
  <c r="K16" i="37"/>
  <c r="R73" i="49"/>
  <c r="T35" i="70"/>
  <c r="K36" i="79"/>
  <c r="L36" i="79" s="1"/>
  <c r="T51" i="72"/>
  <c r="K52" i="81"/>
  <c r="L52" i="81" s="1"/>
  <c r="G43" i="36"/>
  <c r="L42" i="48"/>
  <c r="L53" i="48"/>
  <c r="G54" i="36"/>
  <c r="G68" i="34"/>
  <c r="L67" i="46"/>
  <c r="G44" i="34"/>
  <c r="L43" i="46"/>
  <c r="G39" i="37"/>
  <c r="L38" i="49"/>
  <c r="T57" i="65"/>
  <c r="K58" i="74"/>
  <c r="L58" i="74" s="1"/>
  <c r="G27" i="76"/>
  <c r="H27" i="76" s="1"/>
  <c r="L26" i="67"/>
  <c r="L68" i="69"/>
  <c r="G69" i="78"/>
  <c r="H69" i="78" s="1"/>
  <c r="T18" i="67"/>
  <c r="K19" i="76"/>
  <c r="L19" i="76" s="1"/>
  <c r="T18" i="69"/>
  <c r="K19" i="78"/>
  <c r="L19" i="78" s="1"/>
  <c r="G19" i="81"/>
  <c r="H19" i="81" s="1"/>
  <c r="L18" i="72"/>
  <c r="G70" i="79"/>
  <c r="H70" i="79" s="1"/>
  <c r="L69" i="70"/>
  <c r="T53" i="72"/>
  <c r="K54" i="81"/>
  <c r="L54" i="81" s="1"/>
  <c r="K21" i="80"/>
  <c r="L21" i="80" s="1"/>
  <c r="T20" i="71"/>
  <c r="G46" i="77"/>
  <c r="H46" i="77" s="1"/>
  <c r="L45" i="68"/>
  <c r="G66" i="80"/>
  <c r="H66" i="80" s="1"/>
  <c r="L65" i="71"/>
  <c r="T68" i="65"/>
  <c r="K69" i="74"/>
  <c r="L69" i="74" s="1"/>
  <c r="L18" i="70"/>
  <c r="G19" i="79"/>
  <c r="H19" i="79" s="1"/>
  <c r="L51" i="66"/>
  <c r="G52" i="75"/>
  <c r="H52" i="75" s="1"/>
  <c r="T67" i="67"/>
  <c r="K68" i="76"/>
  <c r="L68" i="76" s="1"/>
  <c r="K33" i="78"/>
  <c r="L33" i="78" s="1"/>
  <c r="T32" i="69"/>
  <c r="L67" i="67"/>
  <c r="G68" i="76"/>
  <c r="H68" i="76" s="1"/>
  <c r="L19" i="73"/>
  <c r="G20" i="82"/>
  <c r="H20" i="82" s="1"/>
  <c r="L64" i="69"/>
  <c r="G65" i="78"/>
  <c r="H65" i="78" s="1"/>
  <c r="K62" i="77"/>
  <c r="L62" i="77" s="1"/>
  <c r="T61" i="68"/>
  <c r="K29" i="82"/>
  <c r="L29" i="82" s="1"/>
  <c r="T28" i="73"/>
  <c r="K41" i="80"/>
  <c r="L41" i="80" s="1"/>
  <c r="T40" i="71"/>
  <c r="T40" i="72"/>
  <c r="K41" i="81"/>
  <c r="L41" i="81" s="1"/>
  <c r="K73" i="80"/>
  <c r="L73" i="80" s="1"/>
  <c r="T72" i="71"/>
  <c r="K27" i="80"/>
  <c r="L27" i="80" s="1"/>
  <c r="T26" i="71"/>
  <c r="G20" i="78"/>
  <c r="H20" i="78" s="1"/>
  <c r="L19" i="69"/>
  <c r="G30" i="74"/>
  <c r="H30" i="74" s="1"/>
  <c r="L29" i="65"/>
  <c r="G38" i="75"/>
  <c r="H38" i="75" s="1"/>
  <c r="L37" i="66"/>
  <c r="K51" i="75"/>
  <c r="L51" i="75" s="1"/>
  <c r="T50" i="66"/>
  <c r="K62" i="80"/>
  <c r="L62" i="80" s="1"/>
  <c r="T61" i="71"/>
  <c r="T72" i="70"/>
  <c r="K73" i="79"/>
  <c r="L73" i="79" s="1"/>
  <c r="L69" i="69"/>
  <c r="G70" i="78"/>
  <c r="H70" i="78" s="1"/>
  <c r="L35" i="73"/>
  <c r="G36" i="82"/>
  <c r="H36" i="82" s="1"/>
  <c r="T30" i="73"/>
  <c r="K31" i="82"/>
  <c r="L31" i="82" s="1"/>
  <c r="L35" i="68"/>
  <c r="G36" i="77"/>
  <c r="H36" i="77" s="1"/>
  <c r="K53" i="78"/>
  <c r="L53" i="78" s="1"/>
  <c r="T52" i="69"/>
  <c r="K28" i="77"/>
  <c r="L28" i="77" s="1"/>
  <c r="T27" i="68"/>
  <c r="L25" i="65"/>
  <c r="G26" i="74"/>
  <c r="H26" i="74" s="1"/>
  <c r="G72" i="82"/>
  <c r="H72" i="82" s="1"/>
  <c r="L71" i="73"/>
  <c r="L15" i="68"/>
  <c r="G16" i="77"/>
  <c r="L21" i="67"/>
  <c r="G22" i="76"/>
  <c r="H22" i="76" s="1"/>
  <c r="G66" i="77"/>
  <c r="H66" i="77" s="1"/>
  <c r="L65" i="68"/>
  <c r="T55" i="66"/>
  <c r="K56" i="75"/>
  <c r="L56" i="75" s="1"/>
  <c r="T55" i="70"/>
  <c r="K56" i="79"/>
  <c r="L56" i="79" s="1"/>
  <c r="L27" i="65"/>
  <c r="G28" i="74"/>
  <c r="H28" i="74" s="1"/>
  <c r="T56" i="67"/>
  <c r="K57" i="76"/>
  <c r="L57" i="76" s="1"/>
  <c r="T64" i="65"/>
  <c r="K65" i="74"/>
  <c r="L65" i="74" s="1"/>
  <c r="T16" i="67"/>
  <c r="K17" i="76"/>
  <c r="L17" i="76" s="1"/>
  <c r="K68" i="78"/>
  <c r="L68" i="78" s="1"/>
  <c r="T67" i="69"/>
  <c r="T43" i="72"/>
  <c r="K44" i="81"/>
  <c r="L44" i="81" s="1"/>
  <c r="K42" i="79"/>
  <c r="L42" i="79" s="1"/>
  <c r="T41" i="70"/>
  <c r="T60" i="65"/>
  <c r="K61" i="74"/>
  <c r="L61" i="74" s="1"/>
  <c r="G32" i="79"/>
  <c r="H32" i="79" s="1"/>
  <c r="L31" i="70"/>
  <c r="T54" i="71"/>
  <c r="K55" i="80"/>
  <c r="L55" i="80" s="1"/>
  <c r="L45" i="69"/>
  <c r="G46" i="78"/>
  <c r="H46" i="78" s="1"/>
  <c r="G24" i="78"/>
  <c r="H24" i="78" s="1"/>
  <c r="L23" i="69"/>
  <c r="L17" i="66"/>
  <c r="G18" i="75"/>
  <c r="H18" i="75" s="1"/>
  <c r="K17" i="80"/>
  <c r="L17" i="80" s="1"/>
  <c r="T16" i="71"/>
  <c r="T32" i="71"/>
  <c r="K33" i="80"/>
  <c r="L33" i="80" s="1"/>
  <c r="T70" i="73"/>
  <c r="K71" i="82"/>
  <c r="L71" i="82" s="1"/>
  <c r="G41" i="75"/>
  <c r="H41" i="75" s="1"/>
  <c r="L40" i="66"/>
  <c r="G37" i="80"/>
  <c r="H37" i="80" s="1"/>
  <c r="L36" i="71"/>
  <c r="L54" i="70"/>
  <c r="G55" i="79"/>
  <c r="H55" i="79" s="1"/>
  <c r="L67" i="68"/>
  <c r="G68" i="77"/>
  <c r="H68" i="77" s="1"/>
  <c r="L47" i="69"/>
  <c r="G48" i="78"/>
  <c r="H48" i="78" s="1"/>
  <c r="T25" i="71"/>
  <c r="K26" i="80"/>
  <c r="L26" i="80" s="1"/>
  <c r="K18" i="37"/>
  <c r="T17" i="49"/>
  <c r="L18" i="48"/>
  <c r="G19" i="36"/>
  <c r="K43" i="78"/>
  <c r="L43" i="78" s="1"/>
  <c r="T42" i="69"/>
  <c r="T45" i="49"/>
  <c r="K46" i="37"/>
  <c r="G66" i="75"/>
  <c r="H66" i="75" s="1"/>
  <c r="L65" i="66"/>
  <c r="L64" i="49"/>
  <c r="G65" i="37"/>
  <c r="G50" i="81"/>
  <c r="H50" i="81" s="1"/>
  <c r="L49" i="72"/>
  <c r="T52" i="46"/>
  <c r="K53" i="34"/>
  <c r="T33" i="67"/>
  <c r="K34" i="76"/>
  <c r="L34" i="76" s="1"/>
  <c r="T44" i="46"/>
  <c r="K45" i="34"/>
  <c r="K32" i="76"/>
  <c r="L32" i="76" s="1"/>
  <c r="T31" i="67"/>
  <c r="L71" i="71"/>
  <c r="G72" i="80"/>
  <c r="H72" i="80" s="1"/>
  <c r="K19" i="82"/>
  <c r="L19" i="82" s="1"/>
  <c r="T18" i="73"/>
  <c r="T68" i="48"/>
  <c r="K69" i="36"/>
  <c r="L30" i="47"/>
  <c r="G31" i="35"/>
  <c r="K38" i="34"/>
  <c r="T37" i="46"/>
  <c r="T44" i="72"/>
  <c r="K45" i="81"/>
  <c r="L45" i="81" s="1"/>
  <c r="T33" i="49"/>
  <c r="K34" i="37"/>
  <c r="T28" i="48"/>
  <c r="K29" i="36"/>
  <c r="T55" i="68"/>
  <c r="K56" i="77"/>
  <c r="L56" i="77" s="1"/>
  <c r="K64" i="78"/>
  <c r="L64" i="78" s="1"/>
  <c r="T63" i="69"/>
  <c r="K56" i="78"/>
  <c r="L56" i="78" s="1"/>
  <c r="T55" i="69"/>
  <c r="K18" i="36"/>
  <c r="T17" i="48"/>
  <c r="L34" i="47"/>
  <c r="G35" i="35"/>
  <c r="L58" i="46"/>
  <c r="G59" i="34"/>
  <c r="L21" i="66"/>
  <c r="G22" i="75"/>
  <c r="H22" i="75" s="1"/>
  <c r="L20" i="46"/>
  <c r="G21" i="34"/>
  <c r="T72" i="48"/>
  <c r="K73" i="36"/>
  <c r="L16" i="66"/>
  <c r="G17" i="75"/>
  <c r="H17" i="75" s="1"/>
  <c r="T45" i="67"/>
  <c r="K46" i="76"/>
  <c r="L46" i="76" s="1"/>
  <c r="G68" i="37"/>
  <c r="L67" i="49"/>
  <c r="K63" i="76"/>
  <c r="L63" i="76" s="1"/>
  <c r="T62" i="67"/>
  <c r="T59" i="46"/>
  <c r="K60" i="34"/>
  <c r="L68" i="48"/>
  <c r="G69" i="36"/>
  <c r="G48" i="82"/>
  <c r="H48" i="82" s="1"/>
  <c r="L47" i="73"/>
  <c r="K56" i="80"/>
  <c r="L56" i="80" s="1"/>
  <c r="T55" i="71"/>
  <c r="K42" i="34"/>
  <c r="T41" i="46"/>
  <c r="L45" i="47"/>
  <c r="G46" i="35"/>
  <c r="T20" i="46"/>
  <c r="K21" i="34"/>
  <c r="L68" i="49"/>
  <c r="G69" i="37"/>
  <c r="K33" i="74"/>
  <c r="L33" i="74" s="1"/>
  <c r="T32" i="65"/>
  <c r="K37" i="77"/>
  <c r="L37" i="77" s="1"/>
  <c r="T36" i="68"/>
  <c r="K43" i="34"/>
  <c r="T42" i="46"/>
  <c r="T35" i="46"/>
  <c r="K36" i="34"/>
  <c r="T64" i="46"/>
  <c r="K65" i="34"/>
  <c r="G42" i="37"/>
  <c r="L41" i="49"/>
  <c r="L51" i="73"/>
  <c r="G52" i="82"/>
  <c r="H52" i="82" s="1"/>
  <c r="L24" i="70"/>
  <c r="G25" i="79"/>
  <c r="H25" i="79" s="1"/>
  <c r="T25" i="73"/>
  <c r="K26" i="82"/>
  <c r="L26" i="82" s="1"/>
  <c r="T27" i="49"/>
  <c r="K28" i="37"/>
  <c r="L72" i="46"/>
  <c r="G73" i="34"/>
  <c r="G45" i="74"/>
  <c r="H45" i="74" s="1"/>
  <c r="L44" i="65"/>
  <c r="K24" i="79"/>
  <c r="L24" i="79" s="1"/>
  <c r="T23" i="70"/>
  <c r="T60" i="48"/>
  <c r="K61" i="36"/>
  <c r="L56" i="68"/>
  <c r="G57" i="77"/>
  <c r="H57" i="77" s="1"/>
  <c r="G32" i="34"/>
  <c r="L31" i="46"/>
  <c r="G62" i="34"/>
  <c r="L61" i="46"/>
  <c r="G33" i="37"/>
  <c r="L32" i="49"/>
  <c r="G42" i="82"/>
  <c r="H42" i="82" s="1"/>
  <c r="L41" i="73"/>
  <c r="K41" i="77"/>
  <c r="L41" i="77" s="1"/>
  <c r="T40" i="68"/>
  <c r="G27" i="36"/>
  <c r="L26" i="48"/>
  <c r="L24" i="48"/>
  <c r="G25" i="36"/>
  <c r="G64" i="37"/>
  <c r="L63" i="49"/>
  <c r="G53" i="82"/>
  <c r="H53" i="82" s="1"/>
  <c r="L52" i="73"/>
  <c r="L33" i="66"/>
  <c r="G34" i="75"/>
  <c r="H34" i="75" s="1"/>
  <c r="K24" i="36"/>
  <c r="T23" i="48"/>
  <c r="L29" i="48"/>
  <c r="G30" i="36"/>
  <c r="K50" i="36"/>
  <c r="T49" i="48"/>
  <c r="L41" i="48"/>
  <c r="G42" i="36"/>
  <c r="G37" i="37"/>
  <c r="L36" i="49"/>
  <c r="G29" i="82"/>
  <c r="H29" i="82" s="1"/>
  <c r="L28" i="73"/>
  <c r="G16" i="76"/>
  <c r="L15" i="67"/>
  <c r="T41" i="68"/>
  <c r="K42" i="77"/>
  <c r="L42" i="77" s="1"/>
  <c r="T38" i="70"/>
  <c r="K39" i="79"/>
  <c r="L39" i="79" s="1"/>
  <c r="T70" i="71"/>
  <c r="K71" i="80"/>
  <c r="L71" i="80" s="1"/>
  <c r="T29" i="65"/>
  <c r="K30" i="74"/>
  <c r="L30" i="74" s="1"/>
  <c r="T71" i="66"/>
  <c r="K72" i="75"/>
  <c r="L72" i="75" s="1"/>
  <c r="L44" i="66"/>
  <c r="G45" i="75"/>
  <c r="H45" i="75" s="1"/>
  <c r="L27" i="68"/>
  <c r="G28" i="77"/>
  <c r="H28" i="77" s="1"/>
  <c r="L62" i="70"/>
  <c r="G63" i="79"/>
  <c r="H63" i="79" s="1"/>
  <c r="K18" i="77"/>
  <c r="L18" i="77" s="1"/>
  <c r="T17" i="68"/>
  <c r="K58" i="78"/>
  <c r="L58" i="78" s="1"/>
  <c r="T57" i="69"/>
  <c r="L64" i="73"/>
  <c r="G65" i="82"/>
  <c r="H65" i="82" s="1"/>
  <c r="K44" i="80"/>
  <c r="L44" i="80" s="1"/>
  <c r="T43" i="71"/>
  <c r="K26" i="81"/>
  <c r="L26" i="81" s="1"/>
  <c r="T25" i="72"/>
  <c r="K21" i="82"/>
  <c r="L21" i="82" s="1"/>
  <c r="T20" i="73"/>
  <c r="L62" i="66"/>
  <c r="G63" i="75"/>
  <c r="H63" i="75" s="1"/>
  <c r="L26" i="66"/>
  <c r="G27" i="75"/>
  <c r="H27" i="75" s="1"/>
  <c r="T52" i="65"/>
  <c r="K53" i="74"/>
  <c r="L53" i="74" s="1"/>
  <c r="L48" i="70"/>
  <c r="G49" i="79"/>
  <c r="H49" i="79" s="1"/>
  <c r="T19" i="66"/>
  <c r="K20" i="75"/>
  <c r="L20" i="75" s="1"/>
  <c r="T17" i="67"/>
  <c r="K18" i="76"/>
  <c r="L18" i="76" s="1"/>
  <c r="K62" i="79"/>
  <c r="L62" i="79" s="1"/>
  <c r="T61" i="70"/>
  <c r="L18" i="68"/>
  <c r="G19" i="77"/>
  <c r="H19" i="77" s="1"/>
  <c r="T24" i="72"/>
  <c r="K25" i="81"/>
  <c r="L25" i="81" s="1"/>
  <c r="L44" i="69"/>
  <c r="G45" i="78"/>
  <c r="H45" i="78" s="1"/>
  <c r="T34" i="68"/>
  <c r="K35" i="77"/>
  <c r="L35" i="77" s="1"/>
  <c r="T44" i="73"/>
  <c r="K45" i="82"/>
  <c r="L45" i="82" s="1"/>
  <c r="K57" i="80"/>
  <c r="L57" i="80" s="1"/>
  <c r="T56" i="71"/>
  <c r="T16" i="72"/>
  <c r="K17" i="81"/>
  <c r="L17" i="81" s="1"/>
  <c r="L15" i="73"/>
  <c r="G16" i="82"/>
  <c r="L27" i="72"/>
  <c r="G28" i="81"/>
  <c r="H28" i="81" s="1"/>
  <c r="L67" i="66"/>
  <c r="G68" i="75"/>
  <c r="H68" i="75" s="1"/>
  <c r="L33" i="69"/>
  <c r="G34" i="78"/>
  <c r="H34" i="78" s="1"/>
  <c r="L19" i="68"/>
  <c r="G20" i="77"/>
  <c r="H20" i="77" s="1"/>
  <c r="G61" i="77"/>
  <c r="H61" i="77" s="1"/>
  <c r="L60" i="68"/>
  <c r="L59" i="71"/>
  <c r="G60" i="80"/>
  <c r="H60" i="80" s="1"/>
  <c r="T15" i="65"/>
  <c r="R73" i="65"/>
  <c r="K16" i="74"/>
  <c r="T69" i="68"/>
  <c r="K70" i="77"/>
  <c r="L70" i="77" s="1"/>
  <c r="G26" i="79"/>
  <c r="H26" i="79" s="1"/>
  <c r="L25" i="70"/>
  <c r="T18" i="70"/>
  <c r="K19" i="79"/>
  <c r="L19" i="79" s="1"/>
  <c r="L31" i="69"/>
  <c r="G32" i="78"/>
  <c r="H32" i="78" s="1"/>
  <c r="L64" i="70"/>
  <c r="G65" i="79"/>
  <c r="H65" i="79" s="1"/>
  <c r="L16" i="73"/>
  <c r="G17" i="82"/>
  <c r="H17" i="82" s="1"/>
  <c r="G61" i="74"/>
  <c r="H61" i="74" s="1"/>
  <c r="L60" i="65"/>
  <c r="G66" i="82"/>
  <c r="H66" i="82" s="1"/>
  <c r="L65" i="73"/>
  <c r="T66" i="68"/>
  <c r="K67" i="77"/>
  <c r="L67" i="77" s="1"/>
  <c r="T38" i="68"/>
  <c r="K39" i="77"/>
  <c r="L39" i="77" s="1"/>
  <c r="K61" i="75"/>
  <c r="L61" i="75" s="1"/>
  <c r="T60" i="66"/>
  <c r="K59" i="76"/>
  <c r="L59" i="76" s="1"/>
  <c r="T58" i="67"/>
  <c r="G17" i="79"/>
  <c r="H17" i="79" s="1"/>
  <c r="L16" i="70"/>
  <c r="G68" i="74"/>
  <c r="H68" i="74" s="1"/>
  <c r="L67" i="65"/>
  <c r="L48" i="68"/>
  <c r="G49" i="77"/>
  <c r="H49" i="77" s="1"/>
  <c r="L42" i="66"/>
  <c r="G43" i="75"/>
  <c r="H43" i="75" s="1"/>
  <c r="G59" i="77"/>
  <c r="H59" i="77" s="1"/>
  <c r="L58" i="68"/>
  <c r="L15" i="66"/>
  <c r="G16" i="75"/>
  <c r="T55" i="72"/>
  <c r="K56" i="81"/>
  <c r="L56" i="81" s="1"/>
  <c r="T36" i="66"/>
  <c r="K37" i="75"/>
  <c r="L37" i="75" s="1"/>
  <c r="T49" i="65"/>
  <c r="K50" i="74"/>
  <c r="L50" i="74" s="1"/>
  <c r="L36" i="70"/>
  <c r="G37" i="79"/>
  <c r="H37" i="79" s="1"/>
  <c r="L34" i="72"/>
  <c r="G35" i="81"/>
  <c r="H35" i="81" s="1"/>
  <c r="L67" i="69"/>
  <c r="G68" i="78"/>
  <c r="H68" i="78" s="1"/>
  <c r="L69" i="72"/>
  <c r="G70" i="81"/>
  <c r="H70" i="81" s="1"/>
  <c r="G47" i="75"/>
  <c r="H47" i="75" s="1"/>
  <c r="L46" i="66"/>
  <c r="K25" i="80"/>
  <c r="L25" i="80" s="1"/>
  <c r="T24" i="71"/>
  <c r="K55" i="75"/>
  <c r="L55" i="75" s="1"/>
  <c r="T54" i="66"/>
  <c r="J28" i="2"/>
  <c r="L73" i="46" l="1"/>
  <c r="H16" i="77"/>
  <c r="H74" i="77" s="1"/>
  <c r="G74" i="77"/>
  <c r="F23" i="33" s="1"/>
  <c r="T73" i="70"/>
  <c r="L16" i="82"/>
  <c r="L74" i="82" s="1"/>
  <c r="K74" i="82"/>
  <c r="H28" i="33" s="1"/>
  <c r="H16" i="78"/>
  <c r="H74" i="78" s="1"/>
  <c r="G74" i="78"/>
  <c r="F24" i="33" s="1"/>
  <c r="L16" i="81"/>
  <c r="L74" i="81" s="1"/>
  <c r="K74" i="81"/>
  <c r="H27" i="33" s="1"/>
  <c r="L73" i="68"/>
  <c r="L16" i="79"/>
  <c r="L74" i="79" s="1"/>
  <c r="K74" i="79"/>
  <c r="H25" i="33" s="1"/>
  <c r="H16" i="74"/>
  <c r="H74" i="74" s="1"/>
  <c r="G74" i="74"/>
  <c r="F20" i="33" s="1"/>
  <c r="L73" i="69"/>
  <c r="L73" i="65"/>
  <c r="L16" i="80"/>
  <c r="L74" i="80" s="1"/>
  <c r="K74" i="80"/>
  <c r="H26" i="33" s="1"/>
  <c r="K74" i="76"/>
  <c r="H22" i="33" s="1"/>
  <c r="L16" i="76"/>
  <c r="L74" i="76" s="1"/>
  <c r="T73" i="71"/>
  <c r="T73" i="69"/>
  <c r="G74" i="80"/>
  <c r="F26" i="33" s="1"/>
  <c r="H16" i="80"/>
  <c r="H74" i="80" s="1"/>
  <c r="T73" i="67"/>
  <c r="L73" i="71"/>
  <c r="L16" i="78"/>
  <c r="L74" i="78" s="1"/>
  <c r="K74" i="78"/>
  <c r="H24" i="33" s="1"/>
  <c r="L73" i="48"/>
  <c r="T73" i="48"/>
  <c r="T73" i="46"/>
  <c r="H16" i="75"/>
  <c r="H74" i="75" s="1"/>
  <c r="G74" i="75"/>
  <c r="F21" i="33" s="1"/>
  <c r="L16" i="74"/>
  <c r="L74" i="74" s="1"/>
  <c r="K74" i="74"/>
  <c r="H20" i="33" s="1"/>
  <c r="H16" i="79"/>
  <c r="H74" i="79" s="1"/>
  <c r="G74" i="79"/>
  <c r="F25" i="33" s="1"/>
  <c r="L73" i="72"/>
  <c r="L73" i="66"/>
  <c r="L73" i="67"/>
  <c r="T73" i="66"/>
  <c r="L73" i="70"/>
  <c r="H16" i="81"/>
  <c r="H74" i="81" s="1"/>
  <c r="G74" i="81"/>
  <c r="F27" i="33" s="1"/>
  <c r="T73" i="65"/>
  <c r="H16" i="76"/>
  <c r="H74" i="76" s="1"/>
  <c r="G74" i="76"/>
  <c r="F22" i="33" s="1"/>
  <c r="L16" i="75"/>
  <c r="L74" i="75" s="1"/>
  <c r="K74" i="75"/>
  <c r="H21" i="33" s="1"/>
  <c r="H16" i="82"/>
  <c r="H74" i="82" s="1"/>
  <c r="G74" i="82"/>
  <c r="F28" i="33" s="1"/>
  <c r="L16" i="77"/>
  <c r="L74" i="77" s="1"/>
  <c r="K74" i="77"/>
  <c r="H23" i="33" s="1"/>
  <c r="L73" i="73"/>
  <c r="T73" i="73"/>
  <c r="T73" i="68"/>
  <c r="T73" i="72"/>
  <c r="O167" i="12"/>
  <c r="M167" i="12"/>
  <c r="E34" i="19" s="1"/>
  <c r="F167" i="12"/>
  <c r="Q162" i="12"/>
  <c r="E314" i="52" s="1"/>
  <c r="F314" i="52" s="1"/>
  <c r="K162" i="12"/>
  <c r="E311" i="52" s="1"/>
  <c r="F311" i="52" s="1"/>
  <c r="Q157" i="12"/>
  <c r="E305" i="52" s="1"/>
  <c r="F305" i="52" s="1"/>
  <c r="K157" i="12"/>
  <c r="Q152" i="12"/>
  <c r="E296" i="52" s="1"/>
  <c r="F296" i="52" s="1"/>
  <c r="K152" i="12"/>
  <c r="Q147" i="12"/>
  <c r="E287" i="52" s="1"/>
  <c r="F287" i="52" s="1"/>
  <c r="K147" i="12"/>
  <c r="E284" i="52" s="1"/>
  <c r="F284" i="52" s="1"/>
  <c r="Q142" i="12"/>
  <c r="E278" i="52" s="1"/>
  <c r="F278" i="52" s="1"/>
  <c r="K142" i="12"/>
  <c r="E275" i="52" s="1"/>
  <c r="F275" i="52" s="1"/>
  <c r="Q137" i="12"/>
  <c r="E269" i="52" s="1"/>
  <c r="F269" i="52" s="1"/>
  <c r="K137" i="12"/>
  <c r="E266" i="52" s="1"/>
  <c r="F266" i="52" s="1"/>
  <c r="Q132" i="12"/>
  <c r="E260" i="52" s="1"/>
  <c r="F260" i="52" s="1"/>
  <c r="K132" i="12"/>
  <c r="E257" i="52" s="1"/>
  <c r="F257" i="52" s="1"/>
  <c r="Q127" i="12"/>
  <c r="E251" i="52" s="1"/>
  <c r="F251" i="52" s="1"/>
  <c r="K127" i="12"/>
  <c r="E248" i="52" s="1"/>
  <c r="F248" i="52" s="1"/>
  <c r="E242" i="52"/>
  <c r="F242" i="52" s="1"/>
  <c r="E233" i="52"/>
  <c r="F233" i="52" s="1"/>
  <c r="E230" i="52"/>
  <c r="F230" i="52" s="1"/>
  <c r="E224" i="52"/>
  <c r="F224" i="52" s="1"/>
  <c r="E221" i="52"/>
  <c r="F221" i="52" s="1"/>
  <c r="E215" i="52"/>
  <c r="F215" i="52" s="1"/>
  <c r="E212" i="52"/>
  <c r="F212" i="52" s="1"/>
  <c r="E206" i="52"/>
  <c r="F206" i="52" s="1"/>
  <c r="E197" i="52"/>
  <c r="F197" i="52" s="1"/>
  <c r="E194" i="52"/>
  <c r="F194" i="52" s="1"/>
  <c r="E188" i="52"/>
  <c r="F188" i="52" s="1"/>
  <c r="E185" i="52"/>
  <c r="F185" i="52" s="1"/>
  <c r="E179" i="52"/>
  <c r="F179" i="52" s="1"/>
  <c r="E176" i="52"/>
  <c r="F176" i="52" s="1"/>
  <c r="E170" i="52"/>
  <c r="F170" i="52" s="1"/>
  <c r="E161" i="52"/>
  <c r="F161" i="52" s="1"/>
  <c r="E158" i="52"/>
  <c r="F158" i="52" s="1"/>
  <c r="E152" i="52"/>
  <c r="F152" i="52" s="1"/>
  <c r="E149" i="52"/>
  <c r="F149" i="52" s="1"/>
  <c r="E143" i="52"/>
  <c r="F143" i="52" s="1"/>
  <c r="E140" i="52"/>
  <c r="F140" i="52" s="1"/>
  <c r="E134" i="52"/>
  <c r="F134" i="52" s="1"/>
  <c r="E125" i="52"/>
  <c r="F125" i="52" s="1"/>
  <c r="E116" i="52"/>
  <c r="F116" i="52" s="1"/>
  <c r="E113" i="52"/>
  <c r="F113" i="52" s="1"/>
  <c r="E107" i="52"/>
  <c r="F107" i="52" s="1"/>
  <c r="E104" i="52"/>
  <c r="F104" i="52" s="1"/>
  <c r="E98" i="52"/>
  <c r="F98" i="52" s="1"/>
  <c r="E89" i="52"/>
  <c r="F89" i="52" s="1"/>
  <c r="E80" i="52"/>
  <c r="F80" i="52" s="1"/>
  <c r="E77" i="52"/>
  <c r="F77" i="52" s="1"/>
  <c r="K177" i="12"/>
  <c r="K178" i="12"/>
  <c r="K179" i="12"/>
  <c r="K180" i="12"/>
  <c r="K181" i="12"/>
  <c r="K182" i="12"/>
  <c r="K183" i="12"/>
  <c r="L183" i="12"/>
  <c r="L178" i="12"/>
  <c r="L179" i="12"/>
  <c r="L177" i="12"/>
  <c r="L176" i="12"/>
  <c r="L175" i="12"/>
  <c r="E71" i="52"/>
  <c r="F71" i="52" s="1"/>
  <c r="E68" i="52"/>
  <c r="F68" i="52" s="1"/>
  <c r="E62" i="52"/>
  <c r="F62" i="52" s="1"/>
  <c r="E59" i="52"/>
  <c r="F59" i="52" s="1"/>
  <c r="I24" i="33" l="1"/>
  <c r="F76" i="81"/>
  <c r="D26" i="52" s="1"/>
  <c r="H75" i="73"/>
  <c r="F76" i="74"/>
  <c r="D19" i="52" s="1"/>
  <c r="F76" i="75"/>
  <c r="D20" i="52" s="1"/>
  <c r="H75" i="67"/>
  <c r="F76" i="82"/>
  <c r="D27" i="52" s="1"/>
  <c r="F27" i="52" s="1"/>
  <c r="H75" i="71"/>
  <c r="I23" i="33"/>
  <c r="F76" i="76"/>
  <c r="D21" i="52" s="1"/>
  <c r="H75" i="66"/>
  <c r="H75" i="72"/>
  <c r="H75" i="48"/>
  <c r="I25" i="33"/>
  <c r="H75" i="65"/>
  <c r="F76" i="78"/>
  <c r="D23" i="52" s="1"/>
  <c r="H75" i="69"/>
  <c r="F76" i="79"/>
  <c r="D24" i="52" s="1"/>
  <c r="I22" i="33"/>
  <c r="I20" i="33"/>
  <c r="F76" i="80"/>
  <c r="D25" i="52" s="1"/>
  <c r="I27" i="33"/>
  <c r="I21" i="33"/>
  <c r="I26" i="33"/>
  <c r="H75" i="68"/>
  <c r="F76" i="77"/>
  <c r="D22" i="52" s="1"/>
  <c r="I28" i="33"/>
  <c r="H75" i="70"/>
  <c r="E29" i="52"/>
  <c r="E122" i="52"/>
  <c r="F122" i="52" s="1"/>
  <c r="L157" i="12"/>
  <c r="E302" i="52"/>
  <c r="F302" i="52" s="1"/>
  <c r="E95" i="52"/>
  <c r="F95" i="52" s="1"/>
  <c r="E131" i="52"/>
  <c r="F131" i="52" s="1"/>
  <c r="E167" i="52"/>
  <c r="F167" i="52" s="1"/>
  <c r="E203" i="52"/>
  <c r="F203" i="52" s="1"/>
  <c r="E239" i="52"/>
  <c r="F239" i="52" s="1"/>
  <c r="L152" i="12"/>
  <c r="E293" i="52"/>
  <c r="F293" i="52" s="1"/>
  <c r="E50" i="52"/>
  <c r="F50" i="52" s="1"/>
  <c r="E55" i="52"/>
  <c r="F55" i="52" s="1"/>
  <c r="E163" i="52"/>
  <c r="F163" i="52" s="1"/>
  <c r="E199" i="52"/>
  <c r="F199" i="52" s="1"/>
  <c r="E235" i="52"/>
  <c r="F235" i="52" s="1"/>
  <c r="P137" i="12"/>
  <c r="E271" i="52" s="1"/>
  <c r="F271" i="52" s="1"/>
  <c r="L137" i="12"/>
  <c r="P142" i="12"/>
  <c r="E280" i="52" s="1"/>
  <c r="F280" i="52" s="1"/>
  <c r="L142" i="12"/>
  <c r="P162" i="12"/>
  <c r="E316" i="52" s="1"/>
  <c r="F316" i="52" s="1"/>
  <c r="L162" i="12"/>
  <c r="E73" i="52"/>
  <c r="F73" i="52" s="1"/>
  <c r="E108" i="52"/>
  <c r="F108" i="52" s="1"/>
  <c r="E145" i="52"/>
  <c r="F145" i="52" s="1"/>
  <c r="E181" i="52"/>
  <c r="F181" i="52" s="1"/>
  <c r="E216" i="52"/>
  <c r="F216" i="52" s="1"/>
  <c r="N127" i="12"/>
  <c r="E252" i="52" s="1"/>
  <c r="F252" i="52" s="1"/>
  <c r="L127" i="12"/>
  <c r="P147" i="12"/>
  <c r="E289" i="52" s="1"/>
  <c r="F289" i="52" s="1"/>
  <c r="L147" i="12"/>
  <c r="E64" i="52"/>
  <c r="F64" i="52" s="1"/>
  <c r="E82" i="52"/>
  <c r="F82" i="52" s="1"/>
  <c r="E118" i="52"/>
  <c r="F118" i="52" s="1"/>
  <c r="E154" i="52"/>
  <c r="F154" i="52" s="1"/>
  <c r="E189" i="52"/>
  <c r="F189" i="52" s="1"/>
  <c r="E225" i="52"/>
  <c r="F225" i="52" s="1"/>
  <c r="N132" i="12"/>
  <c r="E261" i="52" s="1"/>
  <c r="F261" i="52" s="1"/>
  <c r="L132" i="12"/>
  <c r="M175" i="12"/>
  <c r="N175" i="12" s="1"/>
  <c r="E217" i="52"/>
  <c r="F217" i="52" s="1"/>
  <c r="E110" i="52"/>
  <c r="F110" i="52" s="1"/>
  <c r="R137" i="12"/>
  <c r="E272" i="52" s="1"/>
  <c r="F272" i="52" s="1"/>
  <c r="P157" i="12"/>
  <c r="E307" i="52" s="1"/>
  <c r="F307" i="52" s="1"/>
  <c r="E173" i="52"/>
  <c r="F173" i="52" s="1"/>
  <c r="E245" i="52"/>
  <c r="F245" i="52" s="1"/>
  <c r="R132" i="12"/>
  <c r="E263" i="52" s="1"/>
  <c r="F263" i="52" s="1"/>
  <c r="N157" i="12"/>
  <c r="E306" i="52" s="1"/>
  <c r="F306" i="52" s="1"/>
  <c r="P132" i="12"/>
  <c r="E262" i="52" s="1"/>
  <c r="F262" i="52" s="1"/>
  <c r="E218" i="52"/>
  <c r="F218" i="52" s="1"/>
  <c r="E200" i="52"/>
  <c r="F200" i="52" s="1"/>
  <c r="E190" i="52"/>
  <c r="F190" i="52" s="1"/>
  <c r="E191" i="52"/>
  <c r="F191" i="52" s="1"/>
  <c r="E172" i="52"/>
  <c r="F172" i="52" s="1"/>
  <c r="E92" i="52"/>
  <c r="F92" i="52" s="1"/>
  <c r="E180" i="52"/>
  <c r="F180" i="52" s="1"/>
  <c r="E227" i="52"/>
  <c r="F227" i="52" s="1"/>
  <c r="P127" i="12"/>
  <c r="E253" i="52" s="1"/>
  <c r="F253" i="52" s="1"/>
  <c r="R142" i="12"/>
  <c r="E281" i="52" s="1"/>
  <c r="F281" i="52" s="1"/>
  <c r="E182" i="52"/>
  <c r="F182" i="52" s="1"/>
  <c r="E137" i="52"/>
  <c r="F137" i="52" s="1"/>
  <c r="E164" i="52"/>
  <c r="F164" i="52" s="1"/>
  <c r="E209" i="52"/>
  <c r="F209" i="52" s="1"/>
  <c r="E226" i="52"/>
  <c r="F226" i="52" s="1"/>
  <c r="E236" i="52"/>
  <c r="F236" i="52" s="1"/>
  <c r="R127" i="12"/>
  <c r="E254" i="52" s="1"/>
  <c r="F254" i="52" s="1"/>
  <c r="E109" i="52"/>
  <c r="F109" i="52" s="1"/>
  <c r="E99" i="52"/>
  <c r="F99" i="52" s="1"/>
  <c r="E144" i="52"/>
  <c r="F144" i="52" s="1"/>
  <c r="R157" i="12"/>
  <c r="E308" i="52" s="1"/>
  <c r="F308" i="52" s="1"/>
  <c r="E100" i="52"/>
  <c r="F100" i="52" s="1"/>
  <c r="E119" i="52"/>
  <c r="F119" i="52" s="1"/>
  <c r="E208" i="52"/>
  <c r="F208" i="52" s="1"/>
  <c r="E244" i="52"/>
  <c r="F244" i="52" s="1"/>
  <c r="R147" i="12"/>
  <c r="E290" i="52" s="1"/>
  <c r="F290" i="52" s="1"/>
  <c r="E101" i="52"/>
  <c r="F101" i="52" s="1"/>
  <c r="E128" i="52"/>
  <c r="F128" i="52" s="1"/>
  <c r="E146" i="52"/>
  <c r="F146" i="52" s="1"/>
  <c r="N152" i="12"/>
  <c r="E297" i="52" s="1"/>
  <c r="F297" i="52" s="1"/>
  <c r="E83" i="52"/>
  <c r="F83" i="52" s="1"/>
  <c r="E155" i="52"/>
  <c r="F155" i="52" s="1"/>
  <c r="R152" i="12"/>
  <c r="E299" i="52" s="1"/>
  <c r="F299" i="52" s="1"/>
  <c r="K167" i="12"/>
  <c r="E28" i="52" s="1"/>
  <c r="F28" i="52" s="1"/>
  <c r="R162" i="12"/>
  <c r="E317" i="52" s="1"/>
  <c r="F317" i="52" s="1"/>
  <c r="P152" i="12"/>
  <c r="E298" i="52" s="1"/>
  <c r="F298" i="52" s="1"/>
  <c r="N147" i="12"/>
  <c r="E288" i="52" s="1"/>
  <c r="F288" i="52" s="1"/>
  <c r="N142" i="12"/>
  <c r="E279" i="52" s="1"/>
  <c r="F279" i="52" s="1"/>
  <c r="N162" i="12"/>
  <c r="E315" i="52" s="1"/>
  <c r="F315" i="52" s="1"/>
  <c r="M177" i="12"/>
  <c r="N177" i="12" s="1"/>
  <c r="N137" i="12"/>
  <c r="E270" i="52" s="1"/>
  <c r="F270" i="52" s="1"/>
  <c r="E171" i="52"/>
  <c r="F171" i="52" s="1"/>
  <c r="E207" i="52"/>
  <c r="F207" i="52" s="1"/>
  <c r="E243" i="52"/>
  <c r="F243" i="52" s="1"/>
  <c r="E162" i="52"/>
  <c r="F162" i="52" s="1"/>
  <c r="E198" i="52"/>
  <c r="F198" i="52" s="1"/>
  <c r="E234" i="52"/>
  <c r="F234" i="52" s="1"/>
  <c r="E135" i="52"/>
  <c r="F135" i="52" s="1"/>
  <c r="E136" i="52"/>
  <c r="F136" i="52" s="1"/>
  <c r="M176" i="12"/>
  <c r="N176" i="12" s="1"/>
  <c r="E127" i="52"/>
  <c r="F127" i="52" s="1"/>
  <c r="E126" i="52"/>
  <c r="F126" i="52" s="1"/>
  <c r="E117" i="52"/>
  <c r="F117" i="52" s="1"/>
  <c r="E153" i="52"/>
  <c r="F153" i="52" s="1"/>
  <c r="E91" i="52"/>
  <c r="F91" i="52" s="1"/>
  <c r="E81" i="52"/>
  <c r="F81" i="52" s="1"/>
  <c r="M179" i="12"/>
  <c r="N179" i="12" s="1"/>
  <c r="M178" i="12"/>
  <c r="N178" i="12" s="1"/>
  <c r="E90" i="52"/>
  <c r="F90" i="52" s="1"/>
  <c r="M183" i="12"/>
  <c r="N183" i="12" s="1"/>
  <c r="E65" i="52"/>
  <c r="F65" i="52" s="1"/>
  <c r="E74" i="52"/>
  <c r="F74" i="52" s="1"/>
  <c r="E63" i="52"/>
  <c r="F63" i="52" s="1"/>
  <c r="E72" i="52"/>
  <c r="F72" i="52" s="1"/>
  <c r="E54" i="52"/>
  <c r="F54" i="52" s="1"/>
  <c r="J63" i="2"/>
  <c r="J64" i="2"/>
  <c r="J65" i="2"/>
  <c r="J76" i="2"/>
  <c r="J47" i="2"/>
  <c r="F78" i="2" l="1"/>
  <c r="G78" i="2"/>
  <c r="H78" i="2"/>
  <c r="I78" i="2"/>
  <c r="E78" i="2"/>
  <c r="J83" i="2"/>
  <c r="J84" i="2"/>
  <c r="J62" i="2"/>
  <c r="J77" i="2" l="1"/>
  <c r="J82" i="2"/>
  <c r="J73" i="2"/>
  <c r="J54" i="2"/>
  <c r="D15" i="2"/>
  <c r="A29" i="28" l="1"/>
  <c r="A30" i="28" s="1"/>
  <c r="A30" i="20"/>
  <c r="J36" i="2" l="1"/>
  <c r="J35" i="2"/>
  <c r="J27" i="2"/>
  <c r="I30" i="2"/>
  <c r="H30" i="2"/>
  <c r="G30" i="2"/>
  <c r="F30" i="2"/>
  <c r="E30" i="2"/>
  <c r="J19" i="2"/>
  <c r="J18" i="2"/>
  <c r="F16" i="28"/>
  <c r="F17" i="28"/>
  <c r="F18" i="28"/>
  <c r="F19" i="28"/>
  <c r="F20" i="28"/>
  <c r="F21" i="28"/>
  <c r="F29" i="28" s="1"/>
  <c r="F22" i="28"/>
  <c r="F23" i="28"/>
  <c r="F24" i="28"/>
  <c r="F30" i="28" s="1"/>
  <c r="F15" i="28"/>
  <c r="A21" i="20"/>
  <c r="A22" i="20" s="1"/>
  <c r="A23" i="20" s="1"/>
  <c r="A24" i="20" s="1"/>
  <c r="A25" i="20" s="1"/>
  <c r="J73" i="16"/>
  <c r="G17" i="19" s="1"/>
  <c r="F73" i="16"/>
  <c r="E17" i="19" s="1"/>
  <c r="J73" i="23"/>
  <c r="G16" i="19" s="1"/>
  <c r="F73" i="23"/>
  <c r="J73" i="18"/>
  <c r="G15" i="19" s="1"/>
  <c r="F73" i="18"/>
  <c r="E15" i="19" s="1"/>
  <c r="F28" i="28" l="1"/>
  <c r="F88" i="2" s="1"/>
  <c r="F89" i="2" s="1"/>
  <c r="G28" i="19"/>
  <c r="H88" i="2"/>
  <c r="H89" i="2" s="1"/>
  <c r="P89" i="40"/>
  <c r="P90" i="40" s="1"/>
  <c r="G88" i="2"/>
  <c r="G89" i="2" s="1"/>
  <c r="M89" i="40"/>
  <c r="M90" i="40" s="1"/>
  <c r="E16" i="19"/>
  <c r="E28" i="19" s="1"/>
  <c r="F25" i="28"/>
  <c r="E14" i="52" s="1"/>
  <c r="F14" i="52" s="1"/>
  <c r="J38" i="2"/>
  <c r="J30" i="2"/>
  <c r="F27" i="28"/>
  <c r="J89" i="40" l="1"/>
  <c r="J90" i="40" s="1"/>
  <c r="G89" i="40"/>
  <c r="E88" i="2"/>
  <c r="F31" i="28"/>
  <c r="A16" i="28"/>
  <c r="A17" i="28" s="1"/>
  <c r="A18" i="28" s="1"/>
  <c r="A19" i="28" s="1"/>
  <c r="A20" i="28" s="1"/>
  <c r="A21" i="28" s="1"/>
  <c r="A22" i="28" s="1"/>
  <c r="A23" i="28" s="1"/>
  <c r="A24" i="28" s="1"/>
  <c r="A25" i="28" s="1"/>
  <c r="I88" i="2" l="1"/>
  <c r="J88" i="2" s="1"/>
  <c r="G90" i="40"/>
  <c r="S89" i="40"/>
  <c r="S90" i="40" s="1"/>
  <c r="E89" i="2"/>
  <c r="J72" i="2"/>
  <c r="J71" i="2"/>
  <c r="J70" i="2"/>
  <c r="F67" i="2"/>
  <c r="G67" i="2"/>
  <c r="H67" i="2"/>
  <c r="I67" i="2"/>
  <c r="E67" i="2"/>
  <c r="J66" i="2"/>
  <c r="J75" i="2"/>
  <c r="J61" i="2"/>
  <c r="J60" i="2"/>
  <c r="J55" i="2"/>
  <c r="I57" i="2"/>
  <c r="H57" i="2"/>
  <c r="G57" i="2"/>
  <c r="F57" i="2"/>
  <c r="E57" i="2"/>
  <c r="J56" i="2"/>
  <c r="J53" i="2"/>
  <c r="J44" i="2"/>
  <c r="J45" i="2"/>
  <c r="J46" i="2"/>
  <c r="J49" i="2"/>
  <c r="J43" i="2"/>
  <c r="F50" i="2"/>
  <c r="G50" i="2"/>
  <c r="H50" i="2"/>
  <c r="I50" i="2"/>
  <c r="E50" i="2"/>
  <c r="I20" i="2"/>
  <c r="H20" i="2"/>
  <c r="G20" i="2"/>
  <c r="F20" i="2"/>
  <c r="E20" i="2"/>
  <c r="H15" i="2"/>
  <c r="G15" i="2"/>
  <c r="F15" i="2"/>
  <c r="E15" i="2"/>
  <c r="I15" i="2"/>
  <c r="J29" i="2"/>
  <c r="D20" i="2"/>
  <c r="V89" i="40" l="1"/>
  <c r="V90" i="40"/>
  <c r="J15" i="2"/>
  <c r="J20" i="2"/>
  <c r="I89" i="2"/>
  <c r="J89" i="2" s="1"/>
  <c r="J50" i="2"/>
  <c r="J78" i="2"/>
  <c r="J67" i="2"/>
  <c r="J57" i="2"/>
  <c r="H197" i="22" l="1"/>
  <c r="E31" i="52" s="1"/>
  <c r="F31" i="52" s="1"/>
  <c r="D197" i="22"/>
  <c r="E30" i="52" s="1"/>
  <c r="F30" i="52" s="1"/>
  <c r="J196" i="22"/>
  <c r="F196" i="22"/>
  <c r="J195" i="22"/>
  <c r="F195" i="22"/>
  <c r="J194" i="22"/>
  <c r="F194" i="22"/>
  <c r="J193" i="22"/>
  <c r="F193" i="22"/>
  <c r="J192" i="22"/>
  <c r="F192" i="22"/>
  <c r="J191" i="22"/>
  <c r="F191" i="22"/>
  <c r="J190" i="22"/>
  <c r="F190" i="22"/>
  <c r="J189" i="22"/>
  <c r="F189" i="22"/>
  <c r="J188" i="22"/>
  <c r="F188" i="22"/>
  <c r="J187" i="22"/>
  <c r="F187" i="22"/>
  <c r="J186" i="22"/>
  <c r="F186" i="22"/>
  <c r="J185" i="22"/>
  <c r="F185" i="22"/>
  <c r="J184" i="22"/>
  <c r="F184" i="22"/>
  <c r="J183" i="22"/>
  <c r="F183" i="22"/>
  <c r="J182" i="22"/>
  <c r="F182" i="22"/>
  <c r="J181" i="22"/>
  <c r="F181" i="22"/>
  <c r="J180" i="22"/>
  <c r="F180" i="22"/>
  <c r="J179" i="22"/>
  <c r="F179" i="22"/>
  <c r="J178" i="22"/>
  <c r="F178" i="22"/>
  <c r="J177" i="22"/>
  <c r="F177" i="22"/>
  <c r="J176" i="22"/>
  <c r="F176" i="22"/>
  <c r="J175" i="22"/>
  <c r="F175" i="22"/>
  <c r="J174" i="22"/>
  <c r="F174" i="22"/>
  <c r="J173" i="22"/>
  <c r="F173" i="22"/>
  <c r="J172" i="22"/>
  <c r="F172" i="22"/>
  <c r="J171" i="22"/>
  <c r="F171" i="22"/>
  <c r="J170" i="22"/>
  <c r="F170" i="22"/>
  <c r="J169" i="22"/>
  <c r="F169" i="22"/>
  <c r="J168" i="22"/>
  <c r="F168" i="22"/>
  <c r="J167" i="22"/>
  <c r="F167" i="22"/>
  <c r="J166" i="22"/>
  <c r="F166" i="22"/>
  <c r="J165" i="22"/>
  <c r="F165" i="22"/>
  <c r="J164" i="22"/>
  <c r="F164" i="22"/>
  <c r="J163" i="22"/>
  <c r="F163" i="22"/>
  <c r="J162" i="22"/>
  <c r="F162" i="22"/>
  <c r="J161" i="22"/>
  <c r="F161" i="22"/>
  <c r="J160" i="22"/>
  <c r="F160" i="22"/>
  <c r="J159" i="22"/>
  <c r="F159" i="22"/>
  <c r="J158" i="22"/>
  <c r="F158" i="22"/>
  <c r="J157" i="22"/>
  <c r="F157" i="22"/>
  <c r="J156" i="22"/>
  <c r="F156" i="22"/>
  <c r="J155" i="22"/>
  <c r="F155" i="22"/>
  <c r="J154" i="22"/>
  <c r="F154" i="22"/>
  <c r="J153" i="22"/>
  <c r="F153" i="22"/>
  <c r="J152" i="22"/>
  <c r="F152" i="22"/>
  <c r="J150" i="22"/>
  <c r="F150" i="22"/>
  <c r="J149" i="22"/>
  <c r="F149" i="22"/>
  <c r="J148" i="22"/>
  <c r="F148" i="22"/>
  <c r="J147" i="22"/>
  <c r="F147" i="22"/>
  <c r="J146" i="22"/>
  <c r="F146" i="22"/>
  <c r="J145" i="22"/>
  <c r="F145" i="22"/>
  <c r="J144" i="22"/>
  <c r="F144" i="22"/>
  <c r="J143" i="22"/>
  <c r="F143" i="22"/>
  <c r="J142" i="22"/>
  <c r="F142" i="22"/>
  <c r="J141" i="22"/>
  <c r="F141" i="22"/>
  <c r="J140" i="22"/>
  <c r="F140" i="22"/>
  <c r="J139" i="22"/>
  <c r="F139" i="22"/>
  <c r="J138" i="22"/>
  <c r="F138" i="22"/>
  <c r="J137" i="22"/>
  <c r="F137" i="22"/>
  <c r="J136" i="22"/>
  <c r="F136" i="22"/>
  <c r="J135" i="22"/>
  <c r="F135" i="22"/>
  <c r="J134" i="22"/>
  <c r="F134" i="22"/>
  <c r="J133" i="22"/>
  <c r="F133" i="22"/>
  <c r="J132" i="22"/>
  <c r="F132" i="22"/>
  <c r="J131" i="22"/>
  <c r="F131" i="22"/>
  <c r="J130" i="22"/>
  <c r="F130" i="22"/>
  <c r="J129" i="22"/>
  <c r="F129" i="22"/>
  <c r="J128" i="22"/>
  <c r="F128" i="22"/>
  <c r="J127" i="22"/>
  <c r="F127" i="22"/>
  <c r="J126" i="22"/>
  <c r="F126" i="22"/>
  <c r="J125" i="22"/>
  <c r="F125" i="22"/>
  <c r="J124" i="22"/>
  <c r="F124" i="22"/>
  <c r="J123" i="22"/>
  <c r="F123" i="22"/>
  <c r="J122" i="22"/>
  <c r="F122" i="22"/>
  <c r="J121" i="22"/>
  <c r="F121" i="22"/>
  <c r="J120" i="22"/>
  <c r="F120" i="22"/>
  <c r="J119" i="22"/>
  <c r="F119" i="22"/>
  <c r="J118" i="22"/>
  <c r="F118" i="22"/>
  <c r="J117" i="22"/>
  <c r="F117" i="22"/>
  <c r="J116" i="22"/>
  <c r="F116" i="22"/>
  <c r="J115" i="22"/>
  <c r="F115" i="22"/>
  <c r="J114" i="22"/>
  <c r="F114" i="22"/>
  <c r="J113" i="22"/>
  <c r="F113" i="22"/>
  <c r="J112" i="22"/>
  <c r="F112" i="22"/>
  <c r="J111" i="22"/>
  <c r="F111" i="22"/>
  <c r="J110" i="22"/>
  <c r="F110" i="22"/>
  <c r="J109" i="22"/>
  <c r="F109" i="22"/>
  <c r="J108" i="22"/>
  <c r="F108" i="22"/>
  <c r="J107" i="22"/>
  <c r="F107" i="22"/>
  <c r="J106" i="22"/>
  <c r="F106" i="22"/>
  <c r="J105" i="22"/>
  <c r="F105" i="22"/>
  <c r="J104" i="22"/>
  <c r="F104" i="22"/>
  <c r="J103" i="22"/>
  <c r="F103" i="22"/>
  <c r="J102" i="22"/>
  <c r="F102" i="22"/>
  <c r="J101" i="22"/>
  <c r="F101" i="22"/>
  <c r="J100" i="22"/>
  <c r="F100" i="22"/>
  <c r="J99" i="22"/>
  <c r="F99" i="22"/>
  <c r="J98" i="22"/>
  <c r="F98" i="22"/>
  <c r="J97" i="22"/>
  <c r="F97" i="22"/>
  <c r="J96" i="22"/>
  <c r="F96" i="22"/>
  <c r="J95" i="22"/>
  <c r="F95" i="22"/>
  <c r="J94" i="22"/>
  <c r="F94" i="22"/>
  <c r="J93" i="22"/>
  <c r="F93" i="22"/>
  <c r="J92" i="22"/>
  <c r="F92" i="22"/>
  <c r="J91" i="22"/>
  <c r="F91" i="22"/>
  <c r="J90" i="22"/>
  <c r="F90" i="22"/>
  <c r="J89" i="22"/>
  <c r="F89" i="22"/>
  <c r="J88" i="22"/>
  <c r="F88" i="22"/>
  <c r="J87" i="22"/>
  <c r="F87" i="22"/>
  <c r="J86" i="22"/>
  <c r="F86" i="22"/>
  <c r="J85" i="22"/>
  <c r="F85" i="22"/>
  <c r="J84" i="22"/>
  <c r="F84" i="22"/>
  <c r="J83" i="22"/>
  <c r="F83" i="22"/>
  <c r="J82" i="22"/>
  <c r="F82" i="22"/>
  <c r="J81" i="22"/>
  <c r="F81" i="22"/>
  <c r="J80" i="22"/>
  <c r="F80" i="22"/>
  <c r="J79" i="22"/>
  <c r="F79" i="22"/>
  <c r="J78" i="22"/>
  <c r="F78" i="22"/>
  <c r="J77" i="22"/>
  <c r="F77" i="22"/>
  <c r="J76" i="22"/>
  <c r="F76" i="22"/>
  <c r="J75" i="22"/>
  <c r="F75" i="22"/>
  <c r="J74" i="22"/>
  <c r="F74" i="22"/>
  <c r="J73" i="22"/>
  <c r="F73" i="22"/>
  <c r="J72" i="22"/>
  <c r="F72" i="22"/>
  <c r="J71" i="22"/>
  <c r="F71" i="22"/>
  <c r="J70" i="22"/>
  <c r="F70" i="22"/>
  <c r="J69" i="22"/>
  <c r="F69" i="22"/>
  <c r="J68" i="22"/>
  <c r="F68" i="22"/>
  <c r="J67" i="22"/>
  <c r="F67" i="22"/>
  <c r="J66" i="22"/>
  <c r="F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F20" i="22"/>
  <c r="J19" i="22"/>
  <c r="J18" i="22"/>
  <c r="F18" i="22"/>
  <c r="F197" i="22" l="1"/>
  <c r="F8" i="22" s="1"/>
  <c r="E37" i="52" s="1"/>
  <c r="F37" i="52" s="1"/>
  <c r="J197" i="22"/>
  <c r="F9" i="22" s="1"/>
  <c r="E38" i="52" s="1"/>
  <c r="F38" i="52" s="1"/>
  <c r="F10" i="22" l="1"/>
  <c r="M170" i="12" l="1"/>
  <c r="H30" i="20"/>
  <c r="H29" i="20"/>
  <c r="H21" i="20"/>
  <c r="H27" i="20" s="1"/>
  <c r="H22" i="20"/>
  <c r="H28" i="20" s="1"/>
  <c r="H23" i="20"/>
  <c r="H24" i="20"/>
  <c r="F23" i="2" l="1"/>
  <c r="F24" i="2" s="1"/>
  <c r="J24" i="40"/>
  <c r="J25" i="40" s="1"/>
  <c r="J33" i="40" s="1"/>
  <c r="J41" i="40" s="1"/>
  <c r="G23" i="2"/>
  <c r="G24" i="2" s="1"/>
  <c r="M24" i="40"/>
  <c r="M25" i="40" s="1"/>
  <c r="M33" i="40" s="1"/>
  <c r="M41" i="40" s="1"/>
  <c r="M92" i="40" s="1"/>
  <c r="M96" i="40" s="1"/>
  <c r="E23" i="2"/>
  <c r="E24" i="2" s="1"/>
  <c r="E32" i="2" s="1"/>
  <c r="G24" i="40"/>
  <c r="H23" i="2"/>
  <c r="H24" i="2" s="1"/>
  <c r="P24" i="40"/>
  <c r="P25" i="40" s="1"/>
  <c r="P33" i="40" s="1"/>
  <c r="P41" i="40" s="1"/>
  <c r="P92" i="40" s="1"/>
  <c r="P96" i="40" s="1"/>
  <c r="H25" i="20"/>
  <c r="J92" i="40" l="1"/>
  <c r="J96" i="40" s="1"/>
  <c r="J99" i="40" s="1"/>
  <c r="S24" i="40"/>
  <c r="S25" i="40" s="1"/>
  <c r="S33" i="40" s="1"/>
  <c r="S41" i="40" s="1"/>
  <c r="S92" i="40" s="1"/>
  <c r="S96" i="40" s="1"/>
  <c r="H31" i="20"/>
  <c r="E13" i="52"/>
  <c r="F13" i="52" s="1"/>
  <c r="I23" i="2"/>
  <c r="I24" i="2" s="1"/>
  <c r="I32" i="2" s="1"/>
  <c r="I40" i="2" s="1"/>
  <c r="G25" i="40"/>
  <c r="G33" i="40" s="1"/>
  <c r="H32" i="2"/>
  <c r="H40" i="2" s="1"/>
  <c r="G32" i="2"/>
  <c r="G40" i="2" s="1"/>
  <c r="F32" i="2"/>
  <c r="F40" i="2" s="1"/>
  <c r="J24" i="2" l="1"/>
  <c r="J23" i="2"/>
  <c r="E56" i="52"/>
  <c r="F56" i="52" s="1"/>
  <c r="E53" i="52"/>
  <c r="F53" i="52" s="1"/>
  <c r="V24" i="40"/>
  <c r="V25" i="40"/>
  <c r="I91" i="2"/>
  <c r="R171" i="38" s="1"/>
  <c r="R172" i="38" s="1"/>
  <c r="R173" i="38" s="1"/>
  <c r="F91" i="2"/>
  <c r="G91" i="2"/>
  <c r="H91" i="2"/>
  <c r="E40" i="2"/>
  <c r="E91" i="2" s="1"/>
  <c r="J32" i="2"/>
  <c r="F95" i="2" l="1"/>
  <c r="E29" i="19"/>
  <c r="E30" i="19" s="1"/>
  <c r="H95" i="2"/>
  <c r="G29" i="19"/>
  <c r="G30" i="19" s="1"/>
  <c r="D11" i="39"/>
  <c r="F13" i="39" s="1"/>
  <c r="K152" i="39" s="1"/>
  <c r="G95" i="2"/>
  <c r="E35" i="19" s="1"/>
  <c r="P169" i="38"/>
  <c r="P171" i="38" s="1"/>
  <c r="P172" i="38" s="1"/>
  <c r="P173" i="38" s="1"/>
  <c r="M172" i="50"/>
  <c r="G41" i="40"/>
  <c r="V33" i="40"/>
  <c r="E103" i="2"/>
  <c r="J91" i="2"/>
  <c r="I95" i="2"/>
  <c r="J40" i="2"/>
  <c r="P167" i="12"/>
  <c r="L167" i="12"/>
  <c r="G15" i="16" l="1"/>
  <c r="H15" i="16" s="1"/>
  <c r="G16" i="16"/>
  <c r="H16" i="16" s="1"/>
  <c r="G17" i="16"/>
  <c r="H17" i="16" s="1"/>
  <c r="G18" i="16"/>
  <c r="H18" i="16" s="1"/>
  <c r="D8" i="51"/>
  <c r="D10" i="51" s="1"/>
  <c r="H12" i="51" s="1"/>
  <c r="J117" i="51" s="1"/>
  <c r="E42" i="52"/>
  <c r="F42" i="52" s="1"/>
  <c r="D8" i="22"/>
  <c r="E35" i="52"/>
  <c r="F35" i="52" s="1"/>
  <c r="F98" i="2"/>
  <c r="M8" i="51"/>
  <c r="M10" i="51" s="1"/>
  <c r="Q12" i="51" s="1"/>
  <c r="I8" i="22"/>
  <c r="I10" i="22" s="1"/>
  <c r="K12" i="22" s="1"/>
  <c r="E45" i="52" s="1"/>
  <c r="F45" i="52" s="1"/>
  <c r="I15" i="46"/>
  <c r="K15" i="46" s="1"/>
  <c r="Q68" i="73"/>
  <c r="S68" i="73" s="1"/>
  <c r="Q44" i="73"/>
  <c r="S44" i="73" s="1"/>
  <c r="I35" i="73"/>
  <c r="K35" i="73" s="1"/>
  <c r="I19" i="73"/>
  <c r="K19" i="73" s="1"/>
  <c r="Q72" i="72"/>
  <c r="S72" i="72" s="1"/>
  <c r="Q60" i="72"/>
  <c r="S60" i="72" s="1"/>
  <c r="I47" i="72"/>
  <c r="K47" i="72" s="1"/>
  <c r="I36" i="72"/>
  <c r="K36" i="72" s="1"/>
  <c r="Q28" i="72"/>
  <c r="S28" i="72" s="1"/>
  <c r="Q20" i="72"/>
  <c r="S20" i="72" s="1"/>
  <c r="I67" i="71"/>
  <c r="K67" i="71" s="1"/>
  <c r="Q56" i="71"/>
  <c r="S56" i="71" s="1"/>
  <c r="I47" i="71"/>
  <c r="K47" i="71" s="1"/>
  <c r="I35" i="71"/>
  <c r="K35" i="71" s="1"/>
  <c r="I27" i="71"/>
  <c r="K27" i="71" s="1"/>
  <c r="Q16" i="71"/>
  <c r="S16" i="71" s="1"/>
  <c r="Q69" i="70"/>
  <c r="S69" i="70" s="1"/>
  <c r="Q47" i="70"/>
  <c r="S47" i="70" s="1"/>
  <c r="Q35" i="70"/>
  <c r="S35" i="70" s="1"/>
  <c r="Q25" i="70"/>
  <c r="S25" i="70" s="1"/>
  <c r="I16" i="70"/>
  <c r="K16" i="70" s="1"/>
  <c r="Q71" i="69"/>
  <c r="S71" i="69" s="1"/>
  <c r="I63" i="69"/>
  <c r="K63" i="69" s="1"/>
  <c r="I54" i="69"/>
  <c r="K54" i="69" s="1"/>
  <c r="I38" i="69"/>
  <c r="K38" i="69" s="1"/>
  <c r="Q27" i="69"/>
  <c r="S27" i="69" s="1"/>
  <c r="Q16" i="69"/>
  <c r="S16" i="69" s="1"/>
  <c r="Q71" i="68"/>
  <c r="S71" i="68" s="1"/>
  <c r="Q60" i="68"/>
  <c r="S60" i="68" s="1"/>
  <c r="I51" i="68"/>
  <c r="K51" i="68" s="1"/>
  <c r="I39" i="68"/>
  <c r="K39" i="68" s="1"/>
  <c r="Q28" i="68"/>
  <c r="S28" i="68" s="1"/>
  <c r="Q16" i="68"/>
  <c r="S16" i="68" s="1"/>
  <c r="Q72" i="67"/>
  <c r="S72" i="67" s="1"/>
  <c r="I66" i="67"/>
  <c r="K66" i="67" s="1"/>
  <c r="Q59" i="67"/>
  <c r="S59" i="67" s="1"/>
  <c r="Q52" i="67"/>
  <c r="S52" i="67" s="1"/>
  <c r="Q45" i="67"/>
  <c r="S45" i="67" s="1"/>
  <c r="Q39" i="67"/>
  <c r="S39" i="67" s="1"/>
  <c r="Q33" i="67"/>
  <c r="S33" i="67" s="1"/>
  <c r="Q26" i="67"/>
  <c r="S26" i="67" s="1"/>
  <c r="I18" i="67"/>
  <c r="K18" i="67" s="1"/>
  <c r="Q63" i="66"/>
  <c r="S63" i="66" s="1"/>
  <c r="Q54" i="66"/>
  <c r="S54" i="66" s="1"/>
  <c r="Q44" i="66"/>
  <c r="S44" i="66" s="1"/>
  <c r="Q26" i="66"/>
  <c r="S26" i="66" s="1"/>
  <c r="Q16" i="66"/>
  <c r="S16" i="66" s="1"/>
  <c r="Q71" i="71"/>
  <c r="S71" i="71" s="1"/>
  <c r="Q60" i="73"/>
  <c r="S60" i="73" s="1"/>
  <c r="Q52" i="73"/>
  <c r="S52" i="73" s="1"/>
  <c r="Q43" i="73"/>
  <c r="S43" i="73" s="1"/>
  <c r="Q31" i="73"/>
  <c r="S31" i="73" s="1"/>
  <c r="I72" i="72"/>
  <c r="K72" i="72" s="1"/>
  <c r="Q59" i="72"/>
  <c r="S59" i="72" s="1"/>
  <c r="Q35" i="72"/>
  <c r="S35" i="72" s="1"/>
  <c r="I28" i="72"/>
  <c r="K28" i="72" s="1"/>
  <c r="I20" i="72"/>
  <c r="K20" i="72" s="1"/>
  <c r="Q65" i="71"/>
  <c r="S65" i="71" s="1"/>
  <c r="Q55" i="71"/>
  <c r="S55" i="71" s="1"/>
  <c r="Q45" i="71"/>
  <c r="S45" i="71" s="1"/>
  <c r="I34" i="71"/>
  <c r="K34" i="71" s="1"/>
  <c r="I26" i="71"/>
  <c r="K26" i="71" s="1"/>
  <c r="I15" i="71"/>
  <c r="I69" i="70"/>
  <c r="K69" i="70" s="1"/>
  <c r="Q45" i="70"/>
  <c r="S45" i="70" s="1"/>
  <c r="Q33" i="70"/>
  <c r="S33" i="70" s="1"/>
  <c r="Q24" i="70"/>
  <c r="S24" i="70" s="1"/>
  <c r="Q15" i="70"/>
  <c r="I71" i="69"/>
  <c r="K71" i="69" s="1"/>
  <c r="Q62" i="69"/>
  <c r="S62" i="69" s="1"/>
  <c r="I46" i="69"/>
  <c r="K46" i="69" s="1"/>
  <c r="I26" i="69"/>
  <c r="K26" i="69" s="1"/>
  <c r="Q15" i="69"/>
  <c r="S15" i="69" s="1"/>
  <c r="I71" i="68"/>
  <c r="K71" i="68" s="1"/>
  <c r="Q59" i="68"/>
  <c r="S59" i="68" s="1"/>
  <c r="Q27" i="68"/>
  <c r="S27" i="68" s="1"/>
  <c r="Q15" i="68"/>
  <c r="I72" i="67"/>
  <c r="K72" i="67" s="1"/>
  <c r="Q65" i="67"/>
  <c r="S65" i="67" s="1"/>
  <c r="Q58" i="67"/>
  <c r="S58" i="67" s="1"/>
  <c r="I52" i="67"/>
  <c r="K52" i="67" s="1"/>
  <c r="Q44" i="67"/>
  <c r="S44" i="67" s="1"/>
  <c r="Q38" i="67"/>
  <c r="S38" i="67" s="1"/>
  <c r="I26" i="67"/>
  <c r="K26" i="67" s="1"/>
  <c r="Q17" i="67"/>
  <c r="S17" i="67" s="1"/>
  <c r="Q72" i="66"/>
  <c r="S72" i="66" s="1"/>
  <c r="Q62" i="66"/>
  <c r="S62" i="66" s="1"/>
  <c r="Q52" i="66"/>
  <c r="S52" i="66" s="1"/>
  <c r="Q43" i="66"/>
  <c r="S43" i="66" s="1"/>
  <c r="I35" i="66"/>
  <c r="K35" i="66" s="1"/>
  <c r="Q15" i="66"/>
  <c r="Q72" i="73"/>
  <c r="S72" i="73" s="1"/>
  <c r="Q67" i="73"/>
  <c r="S67" i="73" s="1"/>
  <c r="I43" i="73"/>
  <c r="K43" i="73" s="1"/>
  <c r="I31" i="73"/>
  <c r="K31" i="73" s="1"/>
  <c r="Q15" i="73"/>
  <c r="I59" i="72"/>
  <c r="K59" i="72" s="1"/>
  <c r="Q44" i="72"/>
  <c r="S44" i="72" s="1"/>
  <c r="I35" i="72"/>
  <c r="K35" i="72" s="1"/>
  <c r="I19" i="72"/>
  <c r="K19" i="72" s="1"/>
  <c r="Q64" i="71"/>
  <c r="S64" i="71" s="1"/>
  <c r="I55" i="71"/>
  <c r="K55" i="71" s="1"/>
  <c r="Q44" i="71"/>
  <c r="S44" i="71" s="1"/>
  <c r="Q33" i="71"/>
  <c r="S33" i="71" s="1"/>
  <c r="Q25" i="71"/>
  <c r="S25" i="71" s="1"/>
  <c r="Q67" i="70"/>
  <c r="S67" i="70" s="1"/>
  <c r="I45" i="70"/>
  <c r="K45" i="70" s="1"/>
  <c r="I24" i="70"/>
  <c r="K24" i="70" s="1"/>
  <c r="I62" i="69"/>
  <c r="K62" i="69" s="1"/>
  <c r="Q52" i="69"/>
  <c r="S52" i="69" s="1"/>
  <c r="Q36" i="69"/>
  <c r="S36" i="69" s="1"/>
  <c r="Q24" i="69"/>
  <c r="S24" i="69" s="1"/>
  <c r="I59" i="68"/>
  <c r="K59" i="68" s="1"/>
  <c r="Q48" i="68"/>
  <c r="S48" i="68" s="1"/>
  <c r="Q36" i="68"/>
  <c r="S36" i="68" s="1"/>
  <c r="I27" i="68"/>
  <c r="K27" i="68" s="1"/>
  <c r="I15" i="68"/>
  <c r="Q71" i="67"/>
  <c r="S71" i="67" s="1"/>
  <c r="Q64" i="67"/>
  <c r="S64" i="67" s="1"/>
  <c r="I58" i="67"/>
  <c r="K58" i="67" s="1"/>
  <c r="Q51" i="67"/>
  <c r="S51" i="67" s="1"/>
  <c r="I44" i="67"/>
  <c r="K44" i="67" s="1"/>
  <c r="Q32" i="67"/>
  <c r="S32" i="67" s="1"/>
  <c r="Q25" i="67"/>
  <c r="S25" i="67" s="1"/>
  <c r="I16" i="67"/>
  <c r="K16" i="67" s="1"/>
  <c r="Q71" i="66"/>
  <c r="S71" i="66" s="1"/>
  <c r="Q51" i="66"/>
  <c r="S51" i="66" s="1"/>
  <c r="I43" i="66"/>
  <c r="K43" i="66" s="1"/>
  <c r="Q34" i="66"/>
  <c r="S34" i="66" s="1"/>
  <c r="Q24" i="66"/>
  <c r="S24" i="66" s="1"/>
  <c r="Q64" i="73"/>
  <c r="S64" i="73" s="1"/>
  <c r="I31" i="71"/>
  <c r="K31" i="71" s="1"/>
  <c r="Q20" i="70"/>
  <c r="S20" i="70" s="1"/>
  <c r="I67" i="73"/>
  <c r="K67" i="73" s="1"/>
  <c r="Q59" i="73"/>
  <c r="S59" i="73" s="1"/>
  <c r="Q51" i="73"/>
  <c r="S51" i="73" s="1"/>
  <c r="Q28" i="73"/>
  <c r="S28" i="73" s="1"/>
  <c r="I15" i="73"/>
  <c r="Q71" i="72"/>
  <c r="S71" i="72" s="1"/>
  <c r="Q55" i="72"/>
  <c r="S55" i="72" s="1"/>
  <c r="Q43" i="72"/>
  <c r="S43" i="72" s="1"/>
  <c r="Q27" i="72"/>
  <c r="S27" i="72" s="1"/>
  <c r="Q63" i="71"/>
  <c r="S63" i="71" s="1"/>
  <c r="Q53" i="71"/>
  <c r="S53" i="71" s="1"/>
  <c r="Q43" i="71"/>
  <c r="S43" i="71" s="1"/>
  <c r="Q24" i="71"/>
  <c r="S24" i="71" s="1"/>
  <c r="Q65" i="70"/>
  <c r="S65" i="70" s="1"/>
  <c r="Q43" i="70"/>
  <c r="S43" i="70" s="1"/>
  <c r="Q32" i="70"/>
  <c r="S32" i="70" s="1"/>
  <c r="Q70" i="69"/>
  <c r="S70" i="69" s="1"/>
  <c r="Q60" i="69"/>
  <c r="S60" i="69" s="1"/>
  <c r="Q51" i="69"/>
  <c r="S51" i="69" s="1"/>
  <c r="Q44" i="69"/>
  <c r="S44" i="69" s="1"/>
  <c r="Q35" i="69"/>
  <c r="S35" i="69" s="1"/>
  <c r="Q23" i="69"/>
  <c r="S23" i="69" s="1"/>
  <c r="I69" i="68"/>
  <c r="K69" i="68" s="1"/>
  <c r="I48" i="68"/>
  <c r="K48" i="68" s="1"/>
  <c r="I36" i="68"/>
  <c r="K36" i="68" s="1"/>
  <c r="Q70" i="67"/>
  <c r="S70" i="67" s="1"/>
  <c r="I64" i="67"/>
  <c r="K64" i="67" s="1"/>
  <c r="Q57" i="67"/>
  <c r="S57" i="67" s="1"/>
  <c r="Q50" i="67"/>
  <c r="S50" i="67" s="1"/>
  <c r="I38" i="67"/>
  <c r="K38" i="67" s="1"/>
  <c r="I32" i="67"/>
  <c r="K32" i="67" s="1"/>
  <c r="Q24" i="67"/>
  <c r="S24" i="67" s="1"/>
  <c r="I71" i="66"/>
  <c r="K71" i="66" s="1"/>
  <c r="Q60" i="66"/>
  <c r="S60" i="66" s="1"/>
  <c r="Q50" i="66"/>
  <c r="S50" i="66" s="1"/>
  <c r="Q42" i="66"/>
  <c r="S42" i="66" s="1"/>
  <c r="Q33" i="66"/>
  <c r="S33" i="66" s="1"/>
  <c r="Q23" i="66"/>
  <c r="S23" i="66" s="1"/>
  <c r="Q67" i="72"/>
  <c r="S67" i="72" s="1"/>
  <c r="Q40" i="72"/>
  <c r="S40" i="72" s="1"/>
  <c r="Q15" i="72"/>
  <c r="Q40" i="71"/>
  <c r="S40" i="71" s="1"/>
  <c r="Q59" i="70"/>
  <c r="S59" i="70" s="1"/>
  <c r="I59" i="73"/>
  <c r="K59" i="73" s="1"/>
  <c r="I51" i="73"/>
  <c r="K51" i="73" s="1"/>
  <c r="Q27" i="73"/>
  <c r="S27" i="73" s="1"/>
  <c r="I71" i="72"/>
  <c r="K71" i="72" s="1"/>
  <c r="I55" i="72"/>
  <c r="K55" i="72" s="1"/>
  <c r="I43" i="72"/>
  <c r="K43" i="72" s="1"/>
  <c r="Q32" i="72"/>
  <c r="S32" i="72" s="1"/>
  <c r="I27" i="72"/>
  <c r="K27" i="72" s="1"/>
  <c r="Q16" i="72"/>
  <c r="S16" i="72" s="1"/>
  <c r="Q72" i="71"/>
  <c r="S72" i="71" s="1"/>
  <c r="I63" i="71"/>
  <c r="K63" i="71" s="1"/>
  <c r="I53" i="71"/>
  <c r="K53" i="71" s="1"/>
  <c r="I43" i="71"/>
  <c r="K43" i="71" s="1"/>
  <c r="Q32" i="71"/>
  <c r="S32" i="71" s="1"/>
  <c r="Q63" i="70"/>
  <c r="S63" i="70" s="1"/>
  <c r="Q41" i="70"/>
  <c r="S41" i="70" s="1"/>
  <c r="I32" i="70"/>
  <c r="K32" i="70" s="1"/>
  <c r="Q23" i="70"/>
  <c r="S23" i="70" s="1"/>
  <c r="I70" i="69"/>
  <c r="K70" i="69" s="1"/>
  <c r="Q59" i="69"/>
  <c r="S59" i="69" s="1"/>
  <c r="Q50" i="69"/>
  <c r="S50" i="69" s="1"/>
  <c r="Q43" i="69"/>
  <c r="S43" i="69" s="1"/>
  <c r="Q22" i="69"/>
  <c r="S22" i="69" s="1"/>
  <c r="Q68" i="68"/>
  <c r="S68" i="68" s="1"/>
  <c r="Q56" i="68"/>
  <c r="S56" i="68" s="1"/>
  <c r="Q47" i="68"/>
  <c r="S47" i="68" s="1"/>
  <c r="Q35" i="68"/>
  <c r="S35" i="68" s="1"/>
  <c r="Q24" i="68"/>
  <c r="S24" i="68" s="1"/>
  <c r="I70" i="67"/>
  <c r="K70" i="67" s="1"/>
  <c r="Q56" i="67"/>
  <c r="S56" i="67" s="1"/>
  <c r="I50" i="67"/>
  <c r="K50" i="67" s="1"/>
  <c r="Q43" i="67"/>
  <c r="S43" i="67" s="1"/>
  <c r="Q37" i="67"/>
  <c r="S37" i="67" s="1"/>
  <c r="I24" i="67"/>
  <c r="K24" i="67" s="1"/>
  <c r="Q70" i="66"/>
  <c r="S70" i="66" s="1"/>
  <c r="Q59" i="66"/>
  <c r="S59" i="66" s="1"/>
  <c r="Q41" i="66"/>
  <c r="S41" i="66" s="1"/>
  <c r="Q32" i="66"/>
  <c r="S32" i="66" s="1"/>
  <c r="I23" i="66"/>
  <c r="K23" i="66" s="1"/>
  <c r="Q71" i="73"/>
  <c r="S71" i="73" s="1"/>
  <c r="Q40" i="73"/>
  <c r="S40" i="73" s="1"/>
  <c r="I27" i="73"/>
  <c r="K27" i="73" s="1"/>
  <c r="Q68" i="72"/>
  <c r="S68" i="72" s="1"/>
  <c r="I32" i="72"/>
  <c r="K32" i="72" s="1"/>
  <c r="Q61" i="71"/>
  <c r="S61" i="71" s="1"/>
  <c r="Q52" i="71"/>
  <c r="S52" i="71" s="1"/>
  <c r="Q41" i="71"/>
  <c r="S41" i="71" s="1"/>
  <c r="Q31" i="71"/>
  <c r="S31" i="71" s="1"/>
  <c r="I23" i="71"/>
  <c r="K23" i="71" s="1"/>
  <c r="Q61" i="70"/>
  <c r="S61" i="70" s="1"/>
  <c r="I41" i="70"/>
  <c r="K41" i="70" s="1"/>
  <c r="Q31" i="70"/>
  <c r="S31" i="70" s="1"/>
  <c r="Q22" i="70"/>
  <c r="S22" i="70" s="1"/>
  <c r="Q68" i="69"/>
  <c r="S68" i="69" s="1"/>
  <c r="Q58" i="69"/>
  <c r="S58" i="69" s="1"/>
  <c r="I43" i="69"/>
  <c r="K43" i="69" s="1"/>
  <c r="I34" i="69"/>
  <c r="K34" i="69" s="1"/>
  <c r="I22" i="69"/>
  <c r="K22" i="69" s="1"/>
  <c r="Q67" i="68"/>
  <c r="S67" i="68" s="1"/>
  <c r="I56" i="68"/>
  <c r="K56" i="68" s="1"/>
  <c r="I47" i="68"/>
  <c r="K47" i="68" s="1"/>
  <c r="I35" i="68"/>
  <c r="K35" i="68" s="1"/>
  <c r="Q23" i="68"/>
  <c r="S23" i="68" s="1"/>
  <c r="Q69" i="67"/>
  <c r="S69" i="67" s="1"/>
  <c r="Q63" i="67"/>
  <c r="S63" i="67" s="1"/>
  <c r="I56" i="67"/>
  <c r="K56" i="67" s="1"/>
  <c r="Q49" i="67"/>
  <c r="S49" i="67" s="1"/>
  <c r="Q42" i="67"/>
  <c r="S42" i="67" s="1"/>
  <c r="Q36" i="67"/>
  <c r="S36" i="67" s="1"/>
  <c r="Q31" i="67"/>
  <c r="S31" i="67" s="1"/>
  <c r="Q23" i="67"/>
  <c r="S23" i="67" s="1"/>
  <c r="Q49" i="66"/>
  <c r="S49" i="66" s="1"/>
  <c r="I41" i="66"/>
  <c r="K41" i="66" s="1"/>
  <c r="I32" i="66"/>
  <c r="K32" i="66" s="1"/>
  <c r="Q22" i="66"/>
  <c r="S22" i="66" s="1"/>
  <c r="I71" i="73"/>
  <c r="K71" i="73" s="1"/>
  <c r="Q39" i="73"/>
  <c r="S39" i="73" s="1"/>
  <c r="Q52" i="72"/>
  <c r="S52" i="72" s="1"/>
  <c r="Q25" i="72"/>
  <c r="S25" i="72" s="1"/>
  <c r="Q51" i="71"/>
  <c r="S51" i="71" s="1"/>
  <c r="Q21" i="71"/>
  <c r="S21" i="71" s="1"/>
  <c r="Q40" i="70"/>
  <c r="S40" i="70" s="1"/>
  <c r="Q30" i="70"/>
  <c r="S30" i="70" s="1"/>
  <c r="I63" i="73"/>
  <c r="K63" i="73" s="1"/>
  <c r="Q47" i="73"/>
  <c r="S47" i="73" s="1"/>
  <c r="Q23" i="73"/>
  <c r="S23" i="73" s="1"/>
  <c r="Q64" i="72"/>
  <c r="S64" i="72" s="1"/>
  <c r="I39" i="72"/>
  <c r="K39" i="72" s="1"/>
  <c r="I31" i="72"/>
  <c r="K31" i="72" s="1"/>
  <c r="I23" i="72"/>
  <c r="K23" i="72" s="1"/>
  <c r="Q68" i="71"/>
  <c r="S68" i="71" s="1"/>
  <c r="Q59" i="71"/>
  <c r="S59" i="71" s="1"/>
  <c r="Q48" i="71"/>
  <c r="S48" i="71" s="1"/>
  <c r="Q37" i="71"/>
  <c r="S37" i="71" s="1"/>
  <c r="I29" i="71"/>
  <c r="K29" i="71" s="1"/>
  <c r="I19" i="71"/>
  <c r="K19" i="71" s="1"/>
  <c r="Q53" i="70"/>
  <c r="S53" i="70" s="1"/>
  <c r="Q39" i="70"/>
  <c r="S39" i="70" s="1"/>
  <c r="Q28" i="70"/>
  <c r="S28" i="70" s="1"/>
  <c r="Q19" i="70"/>
  <c r="S19" i="70" s="1"/>
  <c r="I66" i="69"/>
  <c r="K66" i="69" s="1"/>
  <c r="Q55" i="69"/>
  <c r="S55" i="69" s="1"/>
  <c r="I47" i="69"/>
  <c r="K47" i="69" s="1"/>
  <c r="Q40" i="69"/>
  <c r="S40" i="69" s="1"/>
  <c r="I30" i="69"/>
  <c r="K30" i="69" s="1"/>
  <c r="Q63" i="68"/>
  <c r="S63" i="68" s="1"/>
  <c r="Q52" i="68"/>
  <c r="S52" i="68" s="1"/>
  <c r="Q32" i="68"/>
  <c r="S32" i="68" s="1"/>
  <c r="Q19" i="68"/>
  <c r="S19" i="68" s="1"/>
  <c r="I61" i="67"/>
  <c r="K61" i="67" s="1"/>
  <c r="Q47" i="67"/>
  <c r="S47" i="67" s="1"/>
  <c r="Q40" i="67"/>
  <c r="S40" i="67" s="1"/>
  <c r="Q34" i="67"/>
  <c r="S34" i="67" s="1"/>
  <c r="Q29" i="67"/>
  <c r="S29" i="67" s="1"/>
  <c r="Q19" i="67"/>
  <c r="S19" i="67" s="1"/>
  <c r="Q67" i="66"/>
  <c r="S67" i="66" s="1"/>
  <c r="I47" i="66"/>
  <c r="K47" i="66" s="1"/>
  <c r="Q37" i="66"/>
  <c r="S37" i="66" s="1"/>
  <c r="Q29" i="66"/>
  <c r="S29" i="66" s="1"/>
  <c r="Q19" i="66"/>
  <c r="S19" i="66" s="1"/>
  <c r="Q55" i="73"/>
  <c r="S55" i="73" s="1"/>
  <c r="I47" i="73"/>
  <c r="K47" i="73" s="1"/>
  <c r="Q36" i="73"/>
  <c r="S36" i="73" s="1"/>
  <c r="I23" i="73"/>
  <c r="K23" i="73" s="1"/>
  <c r="Q63" i="72"/>
  <c r="S63" i="72" s="1"/>
  <c r="Q48" i="72"/>
  <c r="S48" i="72" s="1"/>
  <c r="I59" i="71"/>
  <c r="K59" i="71" s="1"/>
  <c r="Q36" i="71"/>
  <c r="S36" i="71" s="1"/>
  <c r="Q17" i="71"/>
  <c r="S17" i="71" s="1"/>
  <c r="Q72" i="70"/>
  <c r="S72" i="70" s="1"/>
  <c r="Q51" i="70"/>
  <c r="S51" i="70" s="1"/>
  <c r="Q37" i="70"/>
  <c r="S37" i="70" s="1"/>
  <c r="I28" i="70"/>
  <c r="K28" i="70" s="1"/>
  <c r="Q17" i="70"/>
  <c r="S17" i="70" s="1"/>
  <c r="Q19" i="73"/>
  <c r="S19" i="73" s="1"/>
  <c r="Q51" i="72"/>
  <c r="S51" i="72" s="1"/>
  <c r="Q69" i="71"/>
  <c r="S69" i="71" s="1"/>
  <c r="Q35" i="71"/>
  <c r="S35" i="71" s="1"/>
  <c r="Q29" i="70"/>
  <c r="S29" i="70" s="1"/>
  <c r="Q54" i="69"/>
  <c r="S54" i="69" s="1"/>
  <c r="I33" i="68"/>
  <c r="K33" i="68" s="1"/>
  <c r="I62" i="67"/>
  <c r="K62" i="67" s="1"/>
  <c r="Q46" i="67"/>
  <c r="S46" i="67" s="1"/>
  <c r="Q30" i="67"/>
  <c r="S30" i="67" s="1"/>
  <c r="I65" i="66"/>
  <c r="K65" i="66" s="1"/>
  <c r="Q39" i="66"/>
  <c r="S39" i="66" s="1"/>
  <c r="I19" i="66"/>
  <c r="K19" i="66" s="1"/>
  <c r="Q38" i="66"/>
  <c r="S38" i="66" s="1"/>
  <c r="Q72" i="68"/>
  <c r="S72" i="68" s="1"/>
  <c r="Q63" i="73"/>
  <c r="S63" i="73" s="1"/>
  <c r="I51" i="72"/>
  <c r="K51" i="72" s="1"/>
  <c r="I15" i="72"/>
  <c r="I29" i="70"/>
  <c r="K29" i="70" s="1"/>
  <c r="Q32" i="69"/>
  <c r="S32" i="69" s="1"/>
  <c r="Q55" i="68"/>
  <c r="S55" i="68" s="1"/>
  <c r="Q61" i="67"/>
  <c r="S61" i="67" s="1"/>
  <c r="I46" i="67"/>
  <c r="K46" i="67" s="1"/>
  <c r="I59" i="66"/>
  <c r="K59" i="66" s="1"/>
  <c r="I17" i="66"/>
  <c r="K17" i="66" s="1"/>
  <c r="Q19" i="71"/>
  <c r="S19" i="71" s="1"/>
  <c r="Q47" i="72"/>
  <c r="S47" i="72" s="1"/>
  <c r="Q67" i="71"/>
  <c r="S67" i="71" s="1"/>
  <c r="I30" i="71"/>
  <c r="K30" i="71" s="1"/>
  <c r="Q27" i="70"/>
  <c r="S27" i="70" s="1"/>
  <c r="I50" i="69"/>
  <c r="K50" i="69" s="1"/>
  <c r="Q31" i="69"/>
  <c r="S31" i="69" s="1"/>
  <c r="I55" i="68"/>
  <c r="K55" i="68" s="1"/>
  <c r="Q31" i="68"/>
  <c r="S31" i="68" s="1"/>
  <c r="Q60" i="67"/>
  <c r="S60" i="67" s="1"/>
  <c r="I30" i="67"/>
  <c r="K30" i="67" s="1"/>
  <c r="Q58" i="66"/>
  <c r="S58" i="66" s="1"/>
  <c r="Q36" i="66"/>
  <c r="S36" i="66" s="1"/>
  <c r="Q48" i="69"/>
  <c r="S48" i="69" s="1"/>
  <c r="I60" i="67"/>
  <c r="K60" i="67" s="1"/>
  <c r="I42" i="67"/>
  <c r="K42" i="67" s="1"/>
  <c r="Q56" i="66"/>
  <c r="S56" i="66" s="1"/>
  <c r="I54" i="67"/>
  <c r="K54" i="67" s="1"/>
  <c r="Q48" i="73"/>
  <c r="S48" i="73" s="1"/>
  <c r="I40" i="72"/>
  <c r="K40" i="72" s="1"/>
  <c r="Q60" i="71"/>
  <c r="S60" i="71" s="1"/>
  <c r="Q29" i="71"/>
  <c r="S29" i="71" s="1"/>
  <c r="Q72" i="69"/>
  <c r="S72" i="69" s="1"/>
  <c r="I31" i="68"/>
  <c r="K31" i="68" s="1"/>
  <c r="Q28" i="67"/>
  <c r="S28" i="67" s="1"/>
  <c r="Q35" i="66"/>
  <c r="S35" i="66" s="1"/>
  <c r="Q39" i="72"/>
  <c r="S39" i="72" s="1"/>
  <c r="Q28" i="71"/>
  <c r="S28" i="71" s="1"/>
  <c r="I20" i="70"/>
  <c r="K20" i="70" s="1"/>
  <c r="Q67" i="69"/>
  <c r="S67" i="69" s="1"/>
  <c r="Q47" i="69"/>
  <c r="S47" i="69" s="1"/>
  <c r="Q28" i="69"/>
  <c r="S28" i="69" s="1"/>
  <c r="I52" i="68"/>
  <c r="K52" i="68" s="1"/>
  <c r="I23" i="68"/>
  <c r="K23" i="68" s="1"/>
  <c r="Q41" i="67"/>
  <c r="S41" i="67" s="1"/>
  <c r="Q27" i="67"/>
  <c r="S27" i="67" s="1"/>
  <c r="Q55" i="66"/>
  <c r="S55" i="66" s="1"/>
  <c r="Q31" i="66"/>
  <c r="S31" i="66" s="1"/>
  <c r="Q57" i="70"/>
  <c r="S57" i="70" s="1"/>
  <c r="Q46" i="69"/>
  <c r="S46" i="69" s="1"/>
  <c r="Q20" i="68"/>
  <c r="S20" i="68" s="1"/>
  <c r="Q54" i="67"/>
  <c r="S54" i="67" s="1"/>
  <c r="I22" i="67"/>
  <c r="K22" i="67" s="1"/>
  <c r="I49" i="66"/>
  <c r="K49" i="66" s="1"/>
  <c r="Q64" i="69"/>
  <c r="S64" i="69" s="1"/>
  <c r="Q42" i="69"/>
  <c r="S42" i="69" s="1"/>
  <c r="Q18" i="69"/>
  <c r="S18" i="69" s="1"/>
  <c r="Q43" i="68"/>
  <c r="S43" i="68" s="1"/>
  <c r="I19" i="68"/>
  <c r="K19" i="68" s="1"/>
  <c r="I68" i="67"/>
  <c r="K68" i="67" s="1"/>
  <c r="I36" i="67"/>
  <c r="K36" i="67" s="1"/>
  <c r="Q21" i="67"/>
  <c r="S21" i="67" s="1"/>
  <c r="Q47" i="66"/>
  <c r="S47" i="66" s="1"/>
  <c r="Q28" i="66"/>
  <c r="S28" i="66" s="1"/>
  <c r="Q36" i="72"/>
  <c r="S36" i="72" s="1"/>
  <c r="Q57" i="71"/>
  <c r="S57" i="71" s="1"/>
  <c r="Q71" i="70"/>
  <c r="S71" i="70" s="1"/>
  <c r="Q16" i="70"/>
  <c r="S16" i="70" s="1"/>
  <c r="Q66" i="69"/>
  <c r="S66" i="69" s="1"/>
  <c r="Q20" i="69"/>
  <c r="S20" i="69" s="1"/>
  <c r="Q51" i="68"/>
  <c r="S51" i="68" s="1"/>
  <c r="Q55" i="67"/>
  <c r="S55" i="67" s="1"/>
  <c r="I40" i="67"/>
  <c r="K40" i="67" s="1"/>
  <c r="Q22" i="67"/>
  <c r="S22" i="67" s="1"/>
  <c r="I55" i="66"/>
  <c r="K55" i="66" s="1"/>
  <c r="I31" i="66"/>
  <c r="K31" i="66" s="1"/>
  <c r="I39" i="73"/>
  <c r="K39" i="73" s="1"/>
  <c r="Q31" i="72"/>
  <c r="S31" i="72" s="1"/>
  <c r="I51" i="71"/>
  <c r="K51" i="71" s="1"/>
  <c r="Q20" i="71"/>
  <c r="S20" i="71" s="1"/>
  <c r="Q19" i="69"/>
  <c r="S19" i="69" s="1"/>
  <c r="Q44" i="68"/>
  <c r="S44" i="68" s="1"/>
  <c r="Q68" i="67"/>
  <c r="S68" i="67" s="1"/>
  <c r="Q30" i="66"/>
  <c r="S30" i="66" s="1"/>
  <c r="Q49" i="71"/>
  <c r="S49" i="71" s="1"/>
  <c r="Q55" i="70"/>
  <c r="S55" i="70" s="1"/>
  <c r="I39" i="71"/>
  <c r="K39" i="71" s="1"/>
  <c r="Q56" i="73"/>
  <c r="S56" i="73" s="1"/>
  <c r="Q29" i="72"/>
  <c r="S29" i="72" s="1"/>
  <c r="Q49" i="70"/>
  <c r="S49" i="70" s="1"/>
  <c r="Q63" i="69"/>
  <c r="S63" i="69" s="1"/>
  <c r="I42" i="69"/>
  <c r="K42" i="69" s="1"/>
  <c r="I18" i="69"/>
  <c r="K18" i="69" s="1"/>
  <c r="I67" i="68"/>
  <c r="K67" i="68" s="1"/>
  <c r="I43" i="68"/>
  <c r="K43" i="68" s="1"/>
  <c r="Q53" i="67"/>
  <c r="S53" i="67" s="1"/>
  <c r="Q69" i="66"/>
  <c r="S69" i="66" s="1"/>
  <c r="Q27" i="66"/>
  <c r="S27" i="66" s="1"/>
  <c r="Q35" i="73"/>
  <c r="S35" i="73" s="1"/>
  <c r="I67" i="72"/>
  <c r="K67" i="72" s="1"/>
  <c r="Q23" i="72"/>
  <c r="S23" i="72" s="1"/>
  <c r="Q47" i="71"/>
  <c r="S47" i="71" s="1"/>
  <c r="I58" i="69"/>
  <c r="K58" i="69" s="1"/>
  <c r="Q40" i="68"/>
  <c r="S40" i="68" s="1"/>
  <c r="Q67" i="67"/>
  <c r="S67" i="67" s="1"/>
  <c r="Q48" i="67"/>
  <c r="S48" i="67" s="1"/>
  <c r="Q35" i="67"/>
  <c r="S35" i="67" s="1"/>
  <c r="Q18" i="67"/>
  <c r="S18" i="67" s="1"/>
  <c r="Q68" i="66"/>
  <c r="S68" i="66" s="1"/>
  <c r="Q46" i="66"/>
  <c r="S46" i="66" s="1"/>
  <c r="I22" i="66"/>
  <c r="K22" i="66" s="1"/>
  <c r="I55" i="73"/>
  <c r="K55" i="73" s="1"/>
  <c r="I65" i="72"/>
  <c r="K65" i="72" s="1"/>
  <c r="Q39" i="71"/>
  <c r="S39" i="71" s="1"/>
  <c r="I40" i="70"/>
  <c r="K40" i="70" s="1"/>
  <c r="I57" i="69"/>
  <c r="K57" i="69" s="1"/>
  <c r="Q39" i="69"/>
  <c r="S39" i="69" s="1"/>
  <c r="Q64" i="68"/>
  <c r="S64" i="68" s="1"/>
  <c r="Q39" i="68"/>
  <c r="S39" i="68" s="1"/>
  <c r="Q66" i="67"/>
  <c r="S66" i="67" s="1"/>
  <c r="I48" i="67"/>
  <c r="K48" i="67" s="1"/>
  <c r="Q20" i="66"/>
  <c r="S20" i="66" s="1"/>
  <c r="Q24" i="73"/>
  <c r="S24" i="73" s="1"/>
  <c r="I63" i="72"/>
  <c r="K63" i="72" s="1"/>
  <c r="Q21" i="72"/>
  <c r="S21" i="72" s="1"/>
  <c r="I71" i="71"/>
  <c r="K71" i="71" s="1"/>
  <c r="I36" i="70"/>
  <c r="K36" i="70" s="1"/>
  <c r="Q56" i="69"/>
  <c r="S56" i="69" s="1"/>
  <c r="I63" i="68"/>
  <c r="K63" i="68" s="1"/>
  <c r="Q62" i="67"/>
  <c r="S62" i="67" s="1"/>
  <c r="I34" i="67"/>
  <c r="K34" i="67" s="1"/>
  <c r="I67" i="66"/>
  <c r="K67" i="66" s="1"/>
  <c r="I40" i="66"/>
  <c r="K40" i="66" s="1"/>
  <c r="Q24" i="72"/>
  <c r="S24" i="72" s="1"/>
  <c r="I40" i="68"/>
  <c r="K40" i="68" s="1"/>
  <c r="I37" i="71"/>
  <c r="K37" i="71" s="1"/>
  <c r="I27" i="69"/>
  <c r="K27" i="69" s="1"/>
  <c r="I33" i="73"/>
  <c r="K33" i="73" s="1"/>
  <c r="I17" i="67"/>
  <c r="K17" i="67" s="1"/>
  <c r="Q34" i="68"/>
  <c r="S34" i="68" s="1"/>
  <c r="I65" i="68"/>
  <c r="K65" i="68" s="1"/>
  <c r="I69" i="69"/>
  <c r="K69" i="69" s="1"/>
  <c r="I44" i="66"/>
  <c r="K44" i="66" s="1"/>
  <c r="I64" i="72"/>
  <c r="K64" i="72" s="1"/>
  <c r="I69" i="73"/>
  <c r="K69" i="73" s="1"/>
  <c r="I52" i="73"/>
  <c r="K52" i="73" s="1"/>
  <c r="I20" i="73"/>
  <c r="K20" i="73" s="1"/>
  <c r="Q21" i="73"/>
  <c r="S21" i="73" s="1"/>
  <c r="Q69" i="73"/>
  <c r="S69" i="73" s="1"/>
  <c r="I50" i="73"/>
  <c r="K50" i="73" s="1"/>
  <c r="Q58" i="72"/>
  <c r="S58" i="72" s="1"/>
  <c r="Q65" i="72"/>
  <c r="S65" i="72" s="1"/>
  <c r="I46" i="72"/>
  <c r="K46" i="72" s="1"/>
  <c r="I44" i="71"/>
  <c r="K44" i="71" s="1"/>
  <c r="I40" i="71"/>
  <c r="K40" i="71" s="1"/>
  <c r="Q30" i="71"/>
  <c r="S30" i="71" s="1"/>
  <c r="I54" i="71"/>
  <c r="K54" i="71" s="1"/>
  <c r="I56" i="70"/>
  <c r="K56" i="70" s="1"/>
  <c r="I60" i="70"/>
  <c r="K60" i="70" s="1"/>
  <c r="I59" i="70"/>
  <c r="K59" i="70" s="1"/>
  <c r="Q26" i="69"/>
  <c r="S26" i="69" s="1"/>
  <c r="Q17" i="69"/>
  <c r="Q53" i="69"/>
  <c r="S53" i="69" s="1"/>
  <c r="Q38" i="69"/>
  <c r="S38" i="69" s="1"/>
  <c r="Q21" i="68"/>
  <c r="S21" i="68" s="1"/>
  <c r="Q29" i="68"/>
  <c r="S29" i="68" s="1"/>
  <c r="Q61" i="68"/>
  <c r="S61" i="68" s="1"/>
  <c r="Q58" i="68"/>
  <c r="S58" i="68" s="1"/>
  <c r="I54" i="68"/>
  <c r="K54" i="68" s="1"/>
  <c r="I29" i="67"/>
  <c r="K29" i="67" s="1"/>
  <c r="I23" i="67"/>
  <c r="K23" i="67" s="1"/>
  <c r="I28" i="67"/>
  <c r="K28" i="67" s="1"/>
  <c r="I63" i="67"/>
  <c r="K63" i="67" s="1"/>
  <c r="I16" i="66"/>
  <c r="K16" i="66" s="1"/>
  <c r="I39" i="66"/>
  <c r="K39" i="66" s="1"/>
  <c r="Q70" i="65"/>
  <c r="S70" i="65" s="1"/>
  <c r="Q56" i="65"/>
  <c r="S56" i="65" s="1"/>
  <c r="Q53" i="65"/>
  <c r="S53" i="65" s="1"/>
  <c r="Q50" i="65"/>
  <c r="S50" i="65" s="1"/>
  <c r="Q31" i="65"/>
  <c r="S31" i="65" s="1"/>
  <c r="Q28" i="65"/>
  <c r="S28" i="65" s="1"/>
  <c r="Q20" i="65"/>
  <c r="S20" i="65" s="1"/>
  <c r="Q17" i="65"/>
  <c r="S17" i="65" s="1"/>
  <c r="I41" i="65"/>
  <c r="K41" i="65" s="1"/>
  <c r="Q58" i="71"/>
  <c r="S58" i="71" s="1"/>
  <c r="I58" i="71"/>
  <c r="K58" i="71" s="1"/>
  <c r="I64" i="70"/>
  <c r="K64" i="70" s="1"/>
  <c r="Q64" i="70"/>
  <c r="S64" i="70" s="1"/>
  <c r="I68" i="70"/>
  <c r="K68" i="70" s="1"/>
  <c r="I48" i="70"/>
  <c r="K48" i="70" s="1"/>
  <c r="I60" i="69"/>
  <c r="K60" i="69" s="1"/>
  <c r="I64" i="69"/>
  <c r="K64" i="69" s="1"/>
  <c r="I52" i="69"/>
  <c r="K52" i="69" s="1"/>
  <c r="I58" i="68"/>
  <c r="K58" i="68" s="1"/>
  <c r="I39" i="67"/>
  <c r="K39" i="67" s="1"/>
  <c r="I67" i="67"/>
  <c r="K67" i="67" s="1"/>
  <c r="I37" i="66"/>
  <c r="K37" i="66" s="1"/>
  <c r="Q34" i="65"/>
  <c r="S34" i="65" s="1"/>
  <c r="Q56" i="72"/>
  <c r="S56" i="72" s="1"/>
  <c r="I44" i="68"/>
  <c r="K44" i="68" s="1"/>
  <c r="I41" i="71"/>
  <c r="K41" i="71" s="1"/>
  <c r="I31" i="69"/>
  <c r="K31" i="69" s="1"/>
  <c r="I37" i="73"/>
  <c r="K37" i="73" s="1"/>
  <c r="I21" i="67"/>
  <c r="K21" i="67" s="1"/>
  <c r="Q38" i="68"/>
  <c r="S38" i="68" s="1"/>
  <c r="Q45" i="66"/>
  <c r="S45" i="66" s="1"/>
  <c r="I17" i="69"/>
  <c r="K17" i="69" s="1"/>
  <c r="I52" i="66"/>
  <c r="K52" i="66" s="1"/>
  <c r="I68" i="72"/>
  <c r="K68" i="72" s="1"/>
  <c r="Q30" i="73"/>
  <c r="S30" i="73" s="1"/>
  <c r="I24" i="73"/>
  <c r="K24" i="73" s="1"/>
  <c r="Q58" i="73"/>
  <c r="S58" i="73" s="1"/>
  <c r="I56" i="73"/>
  <c r="K56" i="73" s="1"/>
  <c r="Q25" i="73"/>
  <c r="S25" i="73" s="1"/>
  <c r="I54" i="73"/>
  <c r="K54" i="73" s="1"/>
  <c r="Q62" i="72"/>
  <c r="S62" i="72" s="1"/>
  <c r="Q69" i="72"/>
  <c r="S69" i="72" s="1"/>
  <c r="I50" i="72"/>
  <c r="K50" i="72" s="1"/>
  <c r="I56" i="71"/>
  <c r="K56" i="71" s="1"/>
  <c r="Q54" i="71"/>
  <c r="S54" i="71" s="1"/>
  <c r="I63" i="70"/>
  <c r="K63" i="70" s="1"/>
  <c r="I64" i="68"/>
  <c r="K64" i="68" s="1"/>
  <c r="I65" i="67"/>
  <c r="K65" i="67" s="1"/>
  <c r="I26" i="66"/>
  <c r="K26" i="66" s="1"/>
  <c r="I42" i="66"/>
  <c r="K42" i="66" s="1"/>
  <c r="Q40" i="66"/>
  <c r="S40" i="66" s="1"/>
  <c r="I45" i="71"/>
  <c r="K45" i="71" s="1"/>
  <c r="I35" i="69"/>
  <c r="K35" i="69" s="1"/>
  <c r="I41" i="73"/>
  <c r="K41" i="73" s="1"/>
  <c r="I33" i="67"/>
  <c r="K33" i="67" s="1"/>
  <c r="Q42" i="68"/>
  <c r="S42" i="68" s="1"/>
  <c r="Q57" i="66"/>
  <c r="S57" i="66" s="1"/>
  <c r="I21" i="69"/>
  <c r="K21" i="69" s="1"/>
  <c r="I33" i="70"/>
  <c r="K33" i="70" s="1"/>
  <c r="I56" i="66"/>
  <c r="K56" i="66" s="1"/>
  <c r="Q21" i="70"/>
  <c r="S21" i="70" s="1"/>
  <c r="I25" i="73"/>
  <c r="K25" i="73" s="1"/>
  <c r="Q66" i="73"/>
  <c r="S66" i="73" s="1"/>
  <c r="Q29" i="73"/>
  <c r="S29" i="73" s="1"/>
  <c r="I58" i="73"/>
  <c r="K58" i="73" s="1"/>
  <c r="I49" i="72"/>
  <c r="K49" i="72" s="1"/>
  <c r="Q18" i="72"/>
  <c r="S18" i="72" s="1"/>
  <c r="Q66" i="72"/>
  <c r="S66" i="72" s="1"/>
  <c r="I54" i="72"/>
  <c r="K54" i="72" s="1"/>
  <c r="Q46" i="71"/>
  <c r="S46" i="71" s="1"/>
  <c r="I16" i="71"/>
  <c r="K16" i="71" s="1"/>
  <c r="I62" i="71"/>
  <c r="K62" i="71" s="1"/>
  <c r="I25" i="70"/>
  <c r="K25" i="70" s="1"/>
  <c r="I18" i="70"/>
  <c r="K18" i="70" s="1"/>
  <c r="Q46" i="70"/>
  <c r="S46" i="70" s="1"/>
  <c r="I67" i="70"/>
  <c r="K67" i="70" s="1"/>
  <c r="I34" i="70"/>
  <c r="K34" i="70" s="1"/>
  <c r="I59" i="69"/>
  <c r="K59" i="69" s="1"/>
  <c r="Q45" i="69"/>
  <c r="S45" i="69" s="1"/>
  <c r="I44" i="69"/>
  <c r="K44" i="69" s="1"/>
  <c r="I20" i="68"/>
  <c r="K20" i="68" s="1"/>
  <c r="Q33" i="68"/>
  <c r="S33" i="68" s="1"/>
  <c r="Q65" i="68"/>
  <c r="S65" i="68" s="1"/>
  <c r="Q53" i="68"/>
  <c r="S53" i="68" s="1"/>
  <c r="Q69" i="68"/>
  <c r="S69" i="68" s="1"/>
  <c r="I62" i="68"/>
  <c r="K62" i="68" s="1"/>
  <c r="I51" i="67"/>
  <c r="K51" i="67" s="1"/>
  <c r="I71" i="67"/>
  <c r="K71" i="67" s="1"/>
  <c r="I29" i="66"/>
  <c r="K29" i="66" s="1"/>
  <c r="I45" i="66"/>
  <c r="K45" i="66" s="1"/>
  <c r="I48" i="65"/>
  <c r="K48" i="65" s="1"/>
  <c r="I24" i="65"/>
  <c r="K24" i="65" s="1"/>
  <c r="Q66" i="65"/>
  <c r="S66" i="65" s="1"/>
  <c r="Q41" i="65"/>
  <c r="S41" i="65" s="1"/>
  <c r="Q38" i="65"/>
  <c r="S38" i="65" s="1"/>
  <c r="I57" i="65"/>
  <c r="K57" i="65" s="1"/>
  <c r="I23" i="65"/>
  <c r="K23" i="65" s="1"/>
  <c r="Q48" i="66"/>
  <c r="S48" i="66" s="1"/>
  <c r="I15" i="70"/>
  <c r="I49" i="71"/>
  <c r="K49" i="71" s="1"/>
  <c r="I39" i="69"/>
  <c r="K39" i="69" s="1"/>
  <c r="I45" i="73"/>
  <c r="K45" i="73" s="1"/>
  <c r="I37" i="67"/>
  <c r="K37" i="67" s="1"/>
  <c r="Q46" i="68"/>
  <c r="S46" i="68" s="1"/>
  <c r="Q61" i="66"/>
  <c r="S61" i="66" s="1"/>
  <c r="I25" i="69"/>
  <c r="K25" i="69" s="1"/>
  <c r="I37" i="70"/>
  <c r="K37" i="70" s="1"/>
  <c r="I64" i="66"/>
  <c r="K64" i="66" s="1"/>
  <c r="Q15" i="71"/>
  <c r="Q34" i="73"/>
  <c r="S34" i="73" s="1"/>
  <c r="Q22" i="73"/>
  <c r="S22" i="73" s="1"/>
  <c r="I32" i="73"/>
  <c r="K32" i="73" s="1"/>
  <c r="Q33" i="73"/>
  <c r="S33" i="73" s="1"/>
  <c r="I62" i="73"/>
  <c r="K62" i="73" s="1"/>
  <c r="I41" i="72"/>
  <c r="K41" i="72" s="1"/>
  <c r="Q17" i="72"/>
  <c r="S17" i="72" s="1"/>
  <c r="Q22" i="72"/>
  <c r="S22" i="72" s="1"/>
  <c r="Q70" i="72"/>
  <c r="S70" i="72" s="1"/>
  <c r="I58" i="72"/>
  <c r="K58" i="72" s="1"/>
  <c r="I72" i="71"/>
  <c r="K72" i="71" s="1"/>
  <c r="I66" i="71"/>
  <c r="K66" i="71" s="1"/>
  <c r="Q62" i="70"/>
  <c r="S62" i="70" s="1"/>
  <c r="I35" i="70"/>
  <c r="K35" i="70" s="1"/>
  <c r="I19" i="70"/>
  <c r="K19" i="70" s="1"/>
  <c r="Q52" i="70"/>
  <c r="S52" i="70" s="1"/>
  <c r="I71" i="70"/>
  <c r="K71" i="70" s="1"/>
  <c r="I38" i="70"/>
  <c r="K38" i="70" s="1"/>
  <c r="Q69" i="69"/>
  <c r="S69" i="69" s="1"/>
  <c r="I68" i="69"/>
  <c r="K68" i="69" s="1"/>
  <c r="I25" i="68"/>
  <c r="K25" i="68" s="1"/>
  <c r="I24" i="68"/>
  <c r="K24" i="68" s="1"/>
  <c r="I66" i="68"/>
  <c r="K66" i="68" s="1"/>
  <c r="Q16" i="67"/>
  <c r="S16" i="67" s="1"/>
  <c r="Q53" i="66"/>
  <c r="S53" i="66" s="1"/>
  <c r="I48" i="66"/>
  <c r="K48" i="66" s="1"/>
  <c r="Q69" i="65"/>
  <c r="S69" i="65" s="1"/>
  <c r="Q63" i="65"/>
  <c r="S63" i="65" s="1"/>
  <c r="Q44" i="65"/>
  <c r="S44" i="65" s="1"/>
  <c r="Q64" i="66"/>
  <c r="S64" i="66" s="1"/>
  <c r="I34" i="66"/>
  <c r="K34" i="66" s="1"/>
  <c r="I57" i="71"/>
  <c r="K57" i="71" s="1"/>
  <c r="I49" i="73"/>
  <c r="K49" i="73" s="1"/>
  <c r="I41" i="67"/>
  <c r="K41" i="67" s="1"/>
  <c r="Q50" i="68"/>
  <c r="S50" i="68" s="1"/>
  <c r="Q65" i="66"/>
  <c r="S65" i="66" s="1"/>
  <c r="I29" i="69"/>
  <c r="K29" i="69" s="1"/>
  <c r="I68" i="66"/>
  <c r="K68" i="66" s="1"/>
  <c r="Q23" i="71"/>
  <c r="S23" i="71" s="1"/>
  <c r="I48" i="73"/>
  <c r="K48" i="73" s="1"/>
  <c r="Q46" i="73"/>
  <c r="S46" i="73" s="1"/>
  <c r="Q37" i="73"/>
  <c r="S37" i="73" s="1"/>
  <c r="I18" i="73"/>
  <c r="K18" i="73" s="1"/>
  <c r="I66" i="73"/>
  <c r="K66" i="73" s="1"/>
  <c r="Q26" i="72"/>
  <c r="S26" i="72" s="1"/>
  <c r="I62" i="72"/>
  <c r="K62" i="72" s="1"/>
  <c r="Q18" i="71"/>
  <c r="S18" i="71" s="1"/>
  <c r="I32" i="71"/>
  <c r="K32" i="71" s="1"/>
  <c r="I68" i="71"/>
  <c r="K68" i="71" s="1"/>
  <c r="Q42" i="71"/>
  <c r="S42" i="71" s="1"/>
  <c r="I20" i="71"/>
  <c r="K20" i="71" s="1"/>
  <c r="I70" i="71"/>
  <c r="K70" i="71" s="1"/>
  <c r="Q70" i="70"/>
  <c r="S70" i="70" s="1"/>
  <c r="I22" i="70"/>
  <c r="K22" i="70" s="1"/>
  <c r="I42" i="70"/>
  <c r="K42" i="70" s="1"/>
  <c r="I65" i="69"/>
  <c r="K65" i="69" s="1"/>
  <c r="Q65" i="69"/>
  <c r="S65" i="69" s="1"/>
  <c r="Q57" i="69"/>
  <c r="S57" i="69" s="1"/>
  <c r="I56" i="69"/>
  <c r="K56" i="69" s="1"/>
  <c r="I32" i="69"/>
  <c r="K32" i="69" s="1"/>
  <c r="I72" i="69"/>
  <c r="K72" i="69" s="1"/>
  <c r="I68" i="68"/>
  <c r="K68" i="68" s="1"/>
  <c r="Q45" i="68"/>
  <c r="S45" i="68" s="1"/>
  <c r="I70" i="68"/>
  <c r="K70" i="68" s="1"/>
  <c r="I20" i="67"/>
  <c r="K20" i="67" s="1"/>
  <c r="I31" i="67"/>
  <c r="K31" i="67" s="1"/>
  <c r="Q15" i="67"/>
  <c r="I53" i="66"/>
  <c r="K53" i="66" s="1"/>
  <c r="I62" i="66"/>
  <c r="K62" i="66" s="1"/>
  <c r="I15" i="66"/>
  <c r="I51" i="66"/>
  <c r="K51" i="66" s="1"/>
  <c r="Q58" i="65"/>
  <c r="S58" i="65" s="1"/>
  <c r="Q55" i="65"/>
  <c r="S55" i="65" s="1"/>
  <c r="Q52" i="65"/>
  <c r="S52" i="65" s="1"/>
  <c r="Q33" i="65"/>
  <c r="S33" i="65" s="1"/>
  <c r="Q30" i="65"/>
  <c r="S30" i="65" s="1"/>
  <c r="Q27" i="65"/>
  <c r="S27" i="65" s="1"/>
  <c r="Q19" i="65"/>
  <c r="S19" i="65" s="1"/>
  <c r="Q16" i="65"/>
  <c r="S16" i="65" s="1"/>
  <c r="I67" i="65"/>
  <c r="K67" i="65" s="1"/>
  <c r="I19" i="65"/>
  <c r="K19" i="65" s="1"/>
  <c r="I38" i="66"/>
  <c r="K38" i="66" s="1"/>
  <c r="I61" i="71"/>
  <c r="K61" i="71" s="1"/>
  <c r="I51" i="69"/>
  <c r="K51" i="69" s="1"/>
  <c r="I61" i="73"/>
  <c r="K61" i="73" s="1"/>
  <c r="I45" i="67"/>
  <c r="K45" i="67" s="1"/>
  <c r="Q54" i="68"/>
  <c r="S54" i="68" s="1"/>
  <c r="I17" i="68"/>
  <c r="K17" i="68" s="1"/>
  <c r="I33" i="69"/>
  <c r="K33" i="69" s="1"/>
  <c r="I24" i="72"/>
  <c r="K24" i="72" s="1"/>
  <c r="Q27" i="71"/>
  <c r="S27" i="71" s="1"/>
  <c r="I29" i="73"/>
  <c r="K29" i="73" s="1"/>
  <c r="Q26" i="73"/>
  <c r="S26" i="73" s="1"/>
  <c r="Q62" i="73"/>
  <c r="S62" i="73" s="1"/>
  <c r="I70" i="66"/>
  <c r="K70" i="66" s="1"/>
  <c r="I67" i="69"/>
  <c r="K67" i="69" s="1"/>
  <c r="I17" i="72"/>
  <c r="K17" i="72" s="1"/>
  <c r="Q70" i="68"/>
  <c r="S70" i="68" s="1"/>
  <c r="I41" i="68"/>
  <c r="K41" i="68" s="1"/>
  <c r="I45" i="69"/>
  <c r="K45" i="69" s="1"/>
  <c r="I48" i="72"/>
  <c r="K48" i="72" s="1"/>
  <c r="Q32" i="73"/>
  <c r="S32" i="73" s="1"/>
  <c r="I53" i="73"/>
  <c r="K53" i="73" s="1"/>
  <c r="Q42" i="73"/>
  <c r="S42" i="73" s="1"/>
  <c r="I64" i="73"/>
  <c r="K64" i="73" s="1"/>
  <c r="Q18" i="73"/>
  <c r="S18" i="73" s="1"/>
  <c r="I40" i="73"/>
  <c r="K40" i="73" s="1"/>
  <c r="Q53" i="73"/>
  <c r="S53" i="73" s="1"/>
  <c r="I34" i="73"/>
  <c r="K34" i="73" s="1"/>
  <c r="I61" i="72"/>
  <c r="K61" i="72" s="1"/>
  <c r="I45" i="72"/>
  <c r="K45" i="72" s="1"/>
  <c r="I37" i="72"/>
  <c r="K37" i="72" s="1"/>
  <c r="Q42" i="72"/>
  <c r="S42" i="72" s="1"/>
  <c r="Q49" i="72"/>
  <c r="S49" i="72" s="1"/>
  <c r="I30" i="72"/>
  <c r="K30" i="72" s="1"/>
  <c r="Q62" i="71"/>
  <c r="S62" i="71" s="1"/>
  <c r="Q34" i="71"/>
  <c r="S34" i="71" s="1"/>
  <c r="I38" i="71"/>
  <c r="K38" i="71" s="1"/>
  <c r="I30" i="70"/>
  <c r="K30" i="70" s="1"/>
  <c r="Q66" i="70"/>
  <c r="S66" i="70" s="1"/>
  <c r="Q68" i="70"/>
  <c r="S68" i="70" s="1"/>
  <c r="I43" i="70"/>
  <c r="K43" i="70" s="1"/>
  <c r="I58" i="70"/>
  <c r="K58" i="70" s="1"/>
  <c r="Q49" i="69"/>
  <c r="S49" i="69" s="1"/>
  <c r="Q37" i="69"/>
  <c r="S37" i="69" s="1"/>
  <c r="Q25" i="69"/>
  <c r="S25" i="69" s="1"/>
  <c r="Q41" i="68"/>
  <c r="S41" i="68" s="1"/>
  <c r="Q22" i="68"/>
  <c r="S22" i="68" s="1"/>
  <c r="I42" i="68"/>
  <c r="K42" i="68" s="1"/>
  <c r="I25" i="67"/>
  <c r="K25" i="67" s="1"/>
  <c r="I35" i="67"/>
  <c r="K35" i="67" s="1"/>
  <c r="Q20" i="67"/>
  <c r="S20" i="67" s="1"/>
  <c r="I27" i="66"/>
  <c r="K27" i="66" s="1"/>
  <c r="I63" i="66"/>
  <c r="K63" i="66" s="1"/>
  <c r="Q54" i="65"/>
  <c r="S54" i="65" s="1"/>
  <c r="Q51" i="65"/>
  <c r="S51" i="65" s="1"/>
  <c r="Q32" i="65"/>
  <c r="S32" i="65" s="1"/>
  <c r="Q29" i="65"/>
  <c r="S29" i="65" s="1"/>
  <c r="Q21" i="65"/>
  <c r="S21" i="65" s="1"/>
  <c r="Q18" i="65"/>
  <c r="S18" i="65" s="1"/>
  <c r="I15" i="69"/>
  <c r="I69" i="72"/>
  <c r="K69" i="72" s="1"/>
  <c r="I37" i="68"/>
  <c r="K37" i="68" s="1"/>
  <c r="I20" i="66"/>
  <c r="K20" i="66" s="1"/>
  <c r="Q61" i="73"/>
  <c r="S61" i="73" s="1"/>
  <c r="Q41" i="72"/>
  <c r="S41" i="72" s="1"/>
  <c r="I42" i="72"/>
  <c r="K42" i="72" s="1"/>
  <c r="I52" i="71"/>
  <c r="K52" i="71" s="1"/>
  <c r="Q22" i="71"/>
  <c r="S22" i="71" s="1"/>
  <c r="Q66" i="71"/>
  <c r="S66" i="71" s="1"/>
  <c r="I50" i="71"/>
  <c r="K50" i="71" s="1"/>
  <c r="I61" i="70"/>
  <c r="K61" i="70" s="1"/>
  <c r="Q48" i="70"/>
  <c r="S48" i="70" s="1"/>
  <c r="I52" i="70"/>
  <c r="K52" i="70" s="1"/>
  <c r="I47" i="70"/>
  <c r="K47" i="70" s="1"/>
  <c r="Q41" i="69"/>
  <c r="S41" i="69" s="1"/>
  <c r="Q25" i="68"/>
  <c r="S25" i="68" s="1"/>
  <c r="I38" i="68"/>
  <c r="K38" i="68" s="1"/>
  <c r="I55" i="67"/>
  <c r="K55" i="67" s="1"/>
  <c r="I46" i="66"/>
  <c r="K46" i="66" s="1"/>
  <c r="I60" i="66"/>
  <c r="K60" i="66" s="1"/>
  <c r="Q42" i="65"/>
  <c r="S42" i="65" s="1"/>
  <c r="I72" i="65"/>
  <c r="K72" i="65" s="1"/>
  <c r="I60" i="65"/>
  <c r="K60" i="65" s="1"/>
  <c r="I58" i="66"/>
  <c r="K58" i="66" s="1"/>
  <c r="I40" i="69"/>
  <c r="K40" i="69" s="1"/>
  <c r="I24" i="66"/>
  <c r="K24" i="66" s="1"/>
  <c r="I29" i="65"/>
  <c r="K29" i="65" s="1"/>
  <c r="Q66" i="68"/>
  <c r="S66" i="68" s="1"/>
  <c r="I65" i="73"/>
  <c r="K65" i="73" s="1"/>
  <c r="I21" i="72"/>
  <c r="K21" i="72" s="1"/>
  <c r="I18" i="72"/>
  <c r="K18" i="72" s="1"/>
  <c r="I23" i="70"/>
  <c r="K23" i="70" s="1"/>
  <c r="I48" i="69"/>
  <c r="K48" i="69" s="1"/>
  <c r="Q19" i="72"/>
  <c r="S19" i="72" s="1"/>
  <c r="I19" i="69"/>
  <c r="K19" i="69" s="1"/>
  <c r="I49" i="67"/>
  <c r="K49" i="67" s="1"/>
  <c r="I45" i="68"/>
  <c r="K45" i="68" s="1"/>
  <c r="I28" i="66"/>
  <c r="K28" i="66" s="1"/>
  <c r="Q65" i="73"/>
  <c r="S65" i="73" s="1"/>
  <c r="I16" i="72"/>
  <c r="K16" i="72" s="1"/>
  <c r="Q45" i="72"/>
  <c r="S45" i="72" s="1"/>
  <c r="I66" i="72"/>
  <c r="K66" i="72" s="1"/>
  <c r="Q70" i="71"/>
  <c r="S70" i="71" s="1"/>
  <c r="I21" i="70"/>
  <c r="K21" i="70" s="1"/>
  <c r="Q60" i="70"/>
  <c r="S60" i="70" s="1"/>
  <c r="I51" i="70"/>
  <c r="K51" i="70" s="1"/>
  <c r="I46" i="70"/>
  <c r="K46" i="70" s="1"/>
  <c r="I60" i="68"/>
  <c r="K60" i="68" s="1"/>
  <c r="I15" i="67"/>
  <c r="I59" i="67"/>
  <c r="K59" i="67" s="1"/>
  <c r="Q17" i="66"/>
  <c r="S17" i="66" s="1"/>
  <c r="I66" i="66"/>
  <c r="K66" i="66" s="1"/>
  <c r="Q45" i="65"/>
  <c r="S45" i="65" s="1"/>
  <c r="Q62" i="68"/>
  <c r="S62" i="68" s="1"/>
  <c r="I30" i="73"/>
  <c r="K30" i="73" s="1"/>
  <c r="I16" i="68"/>
  <c r="K16" i="68" s="1"/>
  <c r="I23" i="69"/>
  <c r="K23" i="69" s="1"/>
  <c r="I57" i="67"/>
  <c r="K57" i="67" s="1"/>
  <c r="I57" i="68"/>
  <c r="K57" i="68" s="1"/>
  <c r="Q38" i="73"/>
  <c r="S38" i="73" s="1"/>
  <c r="Q53" i="72"/>
  <c r="S53" i="72" s="1"/>
  <c r="I70" i="72"/>
  <c r="K70" i="72" s="1"/>
  <c r="Q34" i="70"/>
  <c r="S34" i="70" s="1"/>
  <c r="I55" i="70"/>
  <c r="K55" i="70" s="1"/>
  <c r="I50" i="70"/>
  <c r="K50" i="70" s="1"/>
  <c r="Q30" i="69"/>
  <c r="S30" i="69" s="1"/>
  <c r="I27" i="67"/>
  <c r="K27" i="67" s="1"/>
  <c r="Q21" i="66"/>
  <c r="S21" i="66" s="1"/>
  <c r="I69" i="66"/>
  <c r="K69" i="66" s="1"/>
  <c r="Q15" i="65"/>
  <c r="I69" i="65"/>
  <c r="K69" i="65" s="1"/>
  <c r="I60" i="72"/>
  <c r="K60" i="72" s="1"/>
  <c r="I21" i="71"/>
  <c r="K21" i="71" s="1"/>
  <c r="Q17" i="73"/>
  <c r="S17" i="73" s="1"/>
  <c r="Q46" i="72"/>
  <c r="S46" i="72" s="1"/>
  <c r="I28" i="68"/>
  <c r="K28" i="68" s="1"/>
  <c r="I55" i="69"/>
  <c r="K55" i="69" s="1"/>
  <c r="I69" i="67"/>
  <c r="K69" i="67" s="1"/>
  <c r="I61" i="68"/>
  <c r="K61" i="68" s="1"/>
  <c r="I44" i="72"/>
  <c r="K44" i="72" s="1"/>
  <c r="I57" i="72"/>
  <c r="K57" i="72" s="1"/>
  <c r="Q57" i="72"/>
  <c r="S57" i="72" s="1"/>
  <c r="Q50" i="71"/>
  <c r="S50" i="71" s="1"/>
  <c r="Q38" i="71"/>
  <c r="S38" i="71" s="1"/>
  <c r="I17" i="70"/>
  <c r="K17" i="70" s="1"/>
  <c r="Q54" i="70"/>
  <c r="S54" i="70" s="1"/>
  <c r="I72" i="70"/>
  <c r="K72" i="70" s="1"/>
  <c r="I54" i="70"/>
  <c r="K54" i="70" s="1"/>
  <c r="I20" i="69"/>
  <c r="K20" i="69" s="1"/>
  <c r="I36" i="69"/>
  <c r="K36" i="69" s="1"/>
  <c r="Q34" i="69"/>
  <c r="S34" i="69" s="1"/>
  <c r="Q37" i="68"/>
  <c r="S37" i="68" s="1"/>
  <c r="I72" i="66"/>
  <c r="K72" i="66" s="1"/>
  <c r="Q66" i="66"/>
  <c r="S66" i="66" s="1"/>
  <c r="I53" i="69"/>
  <c r="K53" i="69" s="1"/>
  <c r="I32" i="68"/>
  <c r="K32" i="68" s="1"/>
  <c r="Q18" i="68"/>
  <c r="S18" i="68" s="1"/>
  <c r="I37" i="69"/>
  <c r="K37" i="69" s="1"/>
  <c r="I52" i="72"/>
  <c r="K52" i="72" s="1"/>
  <c r="I44" i="73"/>
  <c r="K44" i="73" s="1"/>
  <c r="I22" i="73"/>
  <c r="K22" i="73" s="1"/>
  <c r="I33" i="72"/>
  <c r="K33" i="72" s="1"/>
  <c r="Q30" i="72"/>
  <c r="S30" i="72" s="1"/>
  <c r="Q61" i="72"/>
  <c r="S61" i="72" s="1"/>
  <c r="Q36" i="70"/>
  <c r="S36" i="70" s="1"/>
  <c r="Q58" i="70"/>
  <c r="S58" i="70" s="1"/>
  <c r="I62" i="70"/>
  <c r="K62" i="70" s="1"/>
  <c r="I21" i="68"/>
  <c r="K21" i="68" s="1"/>
  <c r="I30" i="68"/>
  <c r="K30" i="68" s="1"/>
  <c r="I18" i="66"/>
  <c r="K18" i="66" s="1"/>
  <c r="Q62" i="65"/>
  <c r="S62" i="65" s="1"/>
  <c r="Q57" i="65"/>
  <c r="S57" i="65" s="1"/>
  <c r="I65" i="65"/>
  <c r="K65" i="65" s="1"/>
  <c r="I45" i="65"/>
  <c r="K45" i="65" s="1"/>
  <c r="I49" i="69"/>
  <c r="K49" i="69" s="1"/>
  <c r="Q50" i="73"/>
  <c r="S50" i="73" s="1"/>
  <c r="Q38" i="72"/>
  <c r="S38" i="72" s="1"/>
  <c r="I24" i="71"/>
  <c r="K24" i="71" s="1"/>
  <c r="I70" i="70"/>
  <c r="K70" i="70" s="1"/>
  <c r="Q65" i="65"/>
  <c r="S65" i="65" s="1"/>
  <c r="I21" i="73"/>
  <c r="K21" i="73" s="1"/>
  <c r="Q16" i="73"/>
  <c r="S16" i="73" s="1"/>
  <c r="I72" i="73"/>
  <c r="K72" i="73" s="1"/>
  <c r="I38" i="73"/>
  <c r="K38" i="73" s="1"/>
  <c r="I28" i="71"/>
  <c r="K28" i="71" s="1"/>
  <c r="I48" i="71"/>
  <c r="K48" i="71" s="1"/>
  <c r="I50" i="66"/>
  <c r="K50" i="66" s="1"/>
  <c r="Q18" i="66"/>
  <c r="S18" i="66" s="1"/>
  <c r="Q30" i="68"/>
  <c r="S30" i="68" s="1"/>
  <c r="I41" i="69"/>
  <c r="K41" i="69" s="1"/>
  <c r="I56" i="72"/>
  <c r="K56" i="72" s="1"/>
  <c r="I68" i="73"/>
  <c r="K68" i="73" s="1"/>
  <c r="I36" i="73"/>
  <c r="K36" i="73" s="1"/>
  <c r="I26" i="73"/>
  <c r="K26" i="73" s="1"/>
  <c r="Q34" i="72"/>
  <c r="S34" i="72" s="1"/>
  <c r="I17" i="71"/>
  <c r="K17" i="71" s="1"/>
  <c r="I65" i="70"/>
  <c r="K65" i="70" s="1"/>
  <c r="I66" i="70"/>
  <c r="K66" i="70" s="1"/>
  <c r="I24" i="69"/>
  <c r="K24" i="69" s="1"/>
  <c r="I28" i="69"/>
  <c r="K28" i="69" s="1"/>
  <c r="I46" i="68"/>
  <c r="K46" i="68" s="1"/>
  <c r="I21" i="66"/>
  <c r="K21" i="66" s="1"/>
  <c r="I57" i="70"/>
  <c r="K57" i="70" s="1"/>
  <c r="I50" i="68"/>
  <c r="K50" i="68" s="1"/>
  <c r="I25" i="71"/>
  <c r="K25" i="71" s="1"/>
  <c r="Q18" i="70"/>
  <c r="S18" i="70" s="1"/>
  <c r="Q20" i="73"/>
  <c r="S20" i="73" s="1"/>
  <c r="I17" i="73"/>
  <c r="K17" i="73" s="1"/>
  <c r="Q70" i="73"/>
  <c r="S70" i="73" s="1"/>
  <c r="Q41" i="73"/>
  <c r="S41" i="73" s="1"/>
  <c r="I42" i="73"/>
  <c r="K42" i="73" s="1"/>
  <c r="Q50" i="72"/>
  <c r="S50" i="72" s="1"/>
  <c r="I22" i="72"/>
  <c r="K22" i="72" s="1"/>
  <c r="Q26" i="71"/>
  <c r="S26" i="71" s="1"/>
  <c r="I60" i="71"/>
  <c r="K60" i="71" s="1"/>
  <c r="I18" i="71"/>
  <c r="K18" i="71" s="1"/>
  <c r="I26" i="70"/>
  <c r="K26" i="70" s="1"/>
  <c r="I27" i="70"/>
  <c r="K27" i="70" s="1"/>
  <c r="Q38" i="70"/>
  <c r="S38" i="70" s="1"/>
  <c r="Q61" i="69"/>
  <c r="S61" i="69" s="1"/>
  <c r="I53" i="68"/>
  <c r="K53" i="68" s="1"/>
  <c r="I22" i="68"/>
  <c r="K22" i="68" s="1"/>
  <c r="I43" i="67"/>
  <c r="K43" i="67" s="1"/>
  <c r="I33" i="66"/>
  <c r="K33" i="66" s="1"/>
  <c r="Q43" i="65"/>
  <c r="S43" i="65" s="1"/>
  <c r="Q22" i="65"/>
  <c r="S22" i="65" s="1"/>
  <c r="I33" i="71"/>
  <c r="K33" i="71" s="1"/>
  <c r="I61" i="66"/>
  <c r="K61" i="66" s="1"/>
  <c r="Q26" i="70"/>
  <c r="S26" i="70" s="1"/>
  <c r="I49" i="70"/>
  <c r="K49" i="70" s="1"/>
  <c r="I57" i="73"/>
  <c r="K57" i="73" s="1"/>
  <c r="I60" i="73"/>
  <c r="K60" i="73" s="1"/>
  <c r="I28" i="73"/>
  <c r="K28" i="73" s="1"/>
  <c r="Q45" i="73"/>
  <c r="S45" i="73" s="1"/>
  <c r="I46" i="73"/>
  <c r="K46" i="73" s="1"/>
  <c r="I25" i="72"/>
  <c r="K25" i="72" s="1"/>
  <c r="Q54" i="72"/>
  <c r="S54" i="72" s="1"/>
  <c r="I26" i="72"/>
  <c r="K26" i="72" s="1"/>
  <c r="I64" i="71"/>
  <c r="K64" i="71" s="1"/>
  <c r="I22" i="71"/>
  <c r="K22" i="71" s="1"/>
  <c r="Q50" i="70"/>
  <c r="S50" i="70" s="1"/>
  <c r="Q33" i="69"/>
  <c r="S33" i="69" s="1"/>
  <c r="Q29" i="69"/>
  <c r="S29" i="69" s="1"/>
  <c r="I26" i="68"/>
  <c r="K26" i="68" s="1"/>
  <c r="I25" i="66"/>
  <c r="K25" i="66" s="1"/>
  <c r="I36" i="66"/>
  <c r="K36" i="66" s="1"/>
  <c r="I72" i="68"/>
  <c r="K72" i="68" s="1"/>
  <c r="I18" i="68"/>
  <c r="K18" i="68" s="1"/>
  <c r="I47" i="67"/>
  <c r="K47" i="67" s="1"/>
  <c r="I19" i="67"/>
  <c r="K19" i="67" s="1"/>
  <c r="I54" i="66"/>
  <c r="K54" i="66" s="1"/>
  <c r="Q64" i="65"/>
  <c r="S64" i="65" s="1"/>
  <c r="Q26" i="65"/>
  <c r="S26" i="65" s="1"/>
  <c r="I33" i="65"/>
  <c r="K33" i="65" s="1"/>
  <c r="I69" i="71"/>
  <c r="K69" i="71" s="1"/>
  <c r="I29" i="68"/>
  <c r="K29" i="68" s="1"/>
  <c r="Q33" i="72"/>
  <c r="S33" i="72" s="1"/>
  <c r="I16" i="73"/>
  <c r="K16" i="73" s="1"/>
  <c r="Q54" i="73"/>
  <c r="S54" i="73" s="1"/>
  <c r="Q57" i="73"/>
  <c r="S57" i="73" s="1"/>
  <c r="Q37" i="72"/>
  <c r="S37" i="72" s="1"/>
  <c r="I38" i="72"/>
  <c r="K38" i="72" s="1"/>
  <c r="I36" i="71"/>
  <c r="K36" i="71" s="1"/>
  <c r="I46" i="71"/>
  <c r="K46" i="71" s="1"/>
  <c r="I44" i="70"/>
  <c r="K44" i="70" s="1"/>
  <c r="I31" i="70"/>
  <c r="K31" i="70" s="1"/>
  <c r="I65" i="71"/>
  <c r="K65" i="71" s="1"/>
  <c r="I53" i="72"/>
  <c r="K53" i="72" s="1"/>
  <c r="Q25" i="66"/>
  <c r="S25" i="66" s="1"/>
  <c r="I53" i="70"/>
  <c r="K53" i="70" s="1"/>
  <c r="Q49" i="73"/>
  <c r="S49" i="73" s="1"/>
  <c r="I70" i="73"/>
  <c r="K70" i="73" s="1"/>
  <c r="I29" i="72"/>
  <c r="K29" i="72" s="1"/>
  <c r="I34" i="72"/>
  <c r="K34" i="72" s="1"/>
  <c r="I42" i="71"/>
  <c r="K42" i="71" s="1"/>
  <c r="Q56" i="70"/>
  <c r="S56" i="70" s="1"/>
  <c r="I61" i="69"/>
  <c r="K61" i="69" s="1"/>
  <c r="Q44" i="70"/>
  <c r="S44" i="70" s="1"/>
  <c r="Q17" i="68"/>
  <c r="S17" i="68" s="1"/>
  <c r="I34" i="68"/>
  <c r="K34" i="68" s="1"/>
  <c r="Q42" i="70"/>
  <c r="S42" i="70" s="1"/>
  <c r="Q39" i="65"/>
  <c r="S39" i="65" s="1"/>
  <c r="I57" i="66"/>
  <c r="K57" i="66" s="1"/>
  <c r="Q68" i="65"/>
  <c r="S68" i="65" s="1"/>
  <c r="Q40" i="65"/>
  <c r="S40" i="65" s="1"/>
  <c r="I70" i="65"/>
  <c r="K70" i="65" s="1"/>
  <c r="Q26" i="68"/>
  <c r="S26" i="68" s="1"/>
  <c r="I30" i="66"/>
  <c r="K30" i="66" s="1"/>
  <c r="Q21" i="69"/>
  <c r="S21" i="69" s="1"/>
  <c r="I49" i="68"/>
  <c r="K49" i="68" s="1"/>
  <c r="Q57" i="68"/>
  <c r="S57" i="68" s="1"/>
  <c r="I53" i="67"/>
  <c r="K53" i="67" s="1"/>
  <c r="I39" i="70"/>
  <c r="K39" i="70" s="1"/>
  <c r="Q67" i="65"/>
  <c r="S67" i="65" s="1"/>
  <c r="I16" i="69"/>
  <c r="K16" i="69" s="1"/>
  <c r="Q49" i="68"/>
  <c r="S49" i="68" s="1"/>
  <c r="I34" i="65"/>
  <c r="K34" i="65" s="1"/>
  <c r="I55" i="65"/>
  <c r="K55" i="65" s="1"/>
  <c r="Q71" i="65"/>
  <c r="S71" i="65" s="1"/>
  <c r="I46" i="65"/>
  <c r="K46" i="65" s="1"/>
  <c r="I43" i="65"/>
  <c r="K43" i="65" s="1"/>
  <c r="I26" i="65"/>
  <c r="K26" i="65" s="1"/>
  <c r="I40" i="65"/>
  <c r="K40" i="65" s="1"/>
  <c r="I25" i="65"/>
  <c r="K25" i="65" s="1"/>
  <c r="I68" i="65"/>
  <c r="K68" i="65" s="1"/>
  <c r="K25" i="64"/>
  <c r="L25" i="64" s="1"/>
  <c r="K37" i="64"/>
  <c r="L37" i="64" s="1"/>
  <c r="K49" i="64"/>
  <c r="L49" i="64" s="1"/>
  <c r="K61" i="64"/>
  <c r="L61" i="64" s="1"/>
  <c r="G16" i="64"/>
  <c r="H16" i="64" s="1"/>
  <c r="G28" i="64"/>
  <c r="H28" i="64" s="1"/>
  <c r="G40" i="64"/>
  <c r="H40" i="64" s="1"/>
  <c r="G52" i="64"/>
  <c r="H52" i="64" s="1"/>
  <c r="G64" i="64"/>
  <c r="H64" i="64" s="1"/>
  <c r="K20" i="63"/>
  <c r="L20" i="63" s="1"/>
  <c r="K32" i="63"/>
  <c r="L32" i="63" s="1"/>
  <c r="K44" i="63"/>
  <c r="L44" i="63" s="1"/>
  <c r="K56" i="63"/>
  <c r="L56" i="63" s="1"/>
  <c r="K68" i="63"/>
  <c r="L68" i="63" s="1"/>
  <c r="G22" i="63"/>
  <c r="H22" i="63" s="1"/>
  <c r="G34" i="63"/>
  <c r="H34" i="63" s="1"/>
  <c r="G46" i="63"/>
  <c r="H46" i="63" s="1"/>
  <c r="G58" i="63"/>
  <c r="H58" i="63" s="1"/>
  <c r="G70" i="63"/>
  <c r="H70" i="63" s="1"/>
  <c r="K24" i="62"/>
  <c r="L24" i="62" s="1"/>
  <c r="K36" i="62"/>
  <c r="L36" i="62" s="1"/>
  <c r="K48" i="62"/>
  <c r="L48" i="62" s="1"/>
  <c r="K60" i="62"/>
  <c r="L60" i="62" s="1"/>
  <c r="K72" i="62"/>
  <c r="L72" i="62" s="1"/>
  <c r="G26" i="62"/>
  <c r="H26" i="62" s="1"/>
  <c r="G38" i="62"/>
  <c r="H38" i="62" s="1"/>
  <c r="G50" i="62"/>
  <c r="H50" i="62" s="1"/>
  <c r="G62" i="62"/>
  <c r="H62" i="62" s="1"/>
  <c r="K21" i="61"/>
  <c r="L21" i="61" s="1"/>
  <c r="K33" i="61"/>
  <c r="L33" i="61" s="1"/>
  <c r="K45" i="61"/>
  <c r="L45" i="61" s="1"/>
  <c r="K57" i="61"/>
  <c r="L57" i="61" s="1"/>
  <c r="K69" i="61"/>
  <c r="L69" i="61" s="1"/>
  <c r="G24" i="61"/>
  <c r="H24" i="61" s="1"/>
  <c r="G36" i="61"/>
  <c r="H36" i="61" s="1"/>
  <c r="G48" i="61"/>
  <c r="H48" i="61" s="1"/>
  <c r="G60" i="61"/>
  <c r="H60" i="61" s="1"/>
  <c r="G72" i="61"/>
  <c r="H72" i="61" s="1"/>
  <c r="K16" i="60"/>
  <c r="L16" i="60" s="1"/>
  <c r="K28" i="60"/>
  <c r="L28" i="60" s="1"/>
  <c r="K40" i="60"/>
  <c r="L40" i="60" s="1"/>
  <c r="K52" i="60"/>
  <c r="L52" i="60" s="1"/>
  <c r="K64" i="60"/>
  <c r="L64" i="60" s="1"/>
  <c r="G18" i="60"/>
  <c r="H18" i="60" s="1"/>
  <c r="G30" i="60"/>
  <c r="H30" i="60" s="1"/>
  <c r="G42" i="60"/>
  <c r="H42" i="60" s="1"/>
  <c r="G54" i="60"/>
  <c r="H54" i="60" s="1"/>
  <c r="G66" i="60"/>
  <c r="H66" i="60" s="1"/>
  <c r="I58" i="65"/>
  <c r="K58" i="65" s="1"/>
  <c r="I31" i="65"/>
  <c r="K31" i="65" s="1"/>
  <c r="Q46" i="65"/>
  <c r="S46" i="65" s="1"/>
  <c r="I18" i="65"/>
  <c r="K18" i="65" s="1"/>
  <c r="I42" i="65"/>
  <c r="K42" i="65" s="1"/>
  <c r="K26" i="64"/>
  <c r="L26" i="64" s="1"/>
  <c r="K38" i="64"/>
  <c r="L38" i="64" s="1"/>
  <c r="K50" i="64"/>
  <c r="L50" i="64" s="1"/>
  <c r="K62" i="64"/>
  <c r="L62" i="64" s="1"/>
  <c r="G17" i="64"/>
  <c r="H17" i="64" s="1"/>
  <c r="G29" i="64"/>
  <c r="H29" i="64" s="1"/>
  <c r="G41" i="64"/>
  <c r="H41" i="64" s="1"/>
  <c r="G53" i="64"/>
  <c r="H53" i="64" s="1"/>
  <c r="G65" i="64"/>
  <c r="H65" i="64" s="1"/>
  <c r="K21" i="63"/>
  <c r="L21" i="63" s="1"/>
  <c r="K33" i="63"/>
  <c r="L33" i="63" s="1"/>
  <c r="K45" i="63"/>
  <c r="L45" i="63" s="1"/>
  <c r="K57" i="63"/>
  <c r="L57" i="63" s="1"/>
  <c r="K69" i="63"/>
  <c r="L69" i="63" s="1"/>
  <c r="G23" i="63"/>
  <c r="H23" i="63" s="1"/>
  <c r="G35" i="63"/>
  <c r="H35" i="63" s="1"/>
  <c r="G47" i="63"/>
  <c r="H47" i="63" s="1"/>
  <c r="G59" i="63"/>
  <c r="H59" i="63" s="1"/>
  <c r="G71" i="63"/>
  <c r="H71" i="63" s="1"/>
  <c r="K25" i="62"/>
  <c r="L25" i="62" s="1"/>
  <c r="K37" i="62"/>
  <c r="L37" i="62" s="1"/>
  <c r="K49" i="62"/>
  <c r="L49" i="62" s="1"/>
  <c r="K61" i="62"/>
  <c r="L61" i="62" s="1"/>
  <c r="K15" i="62"/>
  <c r="G27" i="62"/>
  <c r="H27" i="62" s="1"/>
  <c r="G39" i="62"/>
  <c r="H39" i="62" s="1"/>
  <c r="G51" i="62"/>
  <c r="H51" i="62" s="1"/>
  <c r="G63" i="62"/>
  <c r="H63" i="62" s="1"/>
  <c r="K22" i="61"/>
  <c r="L22" i="61" s="1"/>
  <c r="K34" i="61"/>
  <c r="L34" i="61" s="1"/>
  <c r="K46" i="61"/>
  <c r="L46" i="61" s="1"/>
  <c r="K58" i="61"/>
  <c r="L58" i="61" s="1"/>
  <c r="K70" i="61"/>
  <c r="L70" i="61" s="1"/>
  <c r="G25" i="61"/>
  <c r="H25" i="61" s="1"/>
  <c r="G37" i="61"/>
  <c r="H37" i="61" s="1"/>
  <c r="G49" i="61"/>
  <c r="H49" i="61" s="1"/>
  <c r="G61" i="61"/>
  <c r="H61" i="61" s="1"/>
  <c r="K15" i="61"/>
  <c r="K17" i="60"/>
  <c r="L17" i="60" s="1"/>
  <c r="K29" i="60"/>
  <c r="L29" i="60" s="1"/>
  <c r="K41" i="60"/>
  <c r="L41" i="60" s="1"/>
  <c r="K53" i="60"/>
  <c r="L53" i="60" s="1"/>
  <c r="K65" i="60"/>
  <c r="L65" i="60" s="1"/>
  <c r="G19" i="60"/>
  <c r="H19" i="60" s="1"/>
  <c r="G31" i="60"/>
  <c r="H31" i="60" s="1"/>
  <c r="G43" i="60"/>
  <c r="H43" i="60" s="1"/>
  <c r="G55" i="60"/>
  <c r="H55" i="60" s="1"/>
  <c r="G67" i="60"/>
  <c r="H67" i="60" s="1"/>
  <c r="I71" i="65"/>
  <c r="K71" i="65" s="1"/>
  <c r="Q72" i="65"/>
  <c r="S72" i="65" s="1"/>
  <c r="I52" i="65"/>
  <c r="K52" i="65" s="1"/>
  <c r="I37" i="65"/>
  <c r="K37" i="65" s="1"/>
  <c r="I30" i="65"/>
  <c r="K30" i="65" s="1"/>
  <c r="I15" i="65"/>
  <c r="K27" i="64"/>
  <c r="L27" i="64" s="1"/>
  <c r="K39" i="64"/>
  <c r="L39" i="64" s="1"/>
  <c r="K51" i="64"/>
  <c r="L51" i="64" s="1"/>
  <c r="K63" i="64"/>
  <c r="L63" i="64" s="1"/>
  <c r="G18" i="64"/>
  <c r="H18" i="64" s="1"/>
  <c r="G30" i="64"/>
  <c r="H30" i="64" s="1"/>
  <c r="G42" i="64"/>
  <c r="H42" i="64" s="1"/>
  <c r="G54" i="64"/>
  <c r="H54" i="64" s="1"/>
  <c r="G66" i="64"/>
  <c r="H66" i="64" s="1"/>
  <c r="K22" i="63"/>
  <c r="L22" i="63" s="1"/>
  <c r="K34" i="63"/>
  <c r="L34" i="63" s="1"/>
  <c r="K46" i="63"/>
  <c r="L46" i="63" s="1"/>
  <c r="K58" i="63"/>
  <c r="L58" i="63" s="1"/>
  <c r="K70" i="63"/>
  <c r="L70" i="63" s="1"/>
  <c r="G24" i="63"/>
  <c r="H24" i="63" s="1"/>
  <c r="G36" i="63"/>
  <c r="H36" i="63" s="1"/>
  <c r="G48" i="63"/>
  <c r="H48" i="63" s="1"/>
  <c r="G60" i="63"/>
  <c r="H60" i="63" s="1"/>
  <c r="G72" i="63"/>
  <c r="H72" i="63" s="1"/>
  <c r="K26" i="62"/>
  <c r="L26" i="62" s="1"/>
  <c r="K38" i="62"/>
  <c r="L38" i="62" s="1"/>
  <c r="K50" i="62"/>
  <c r="L50" i="62" s="1"/>
  <c r="K62" i="62"/>
  <c r="L62" i="62" s="1"/>
  <c r="G16" i="62"/>
  <c r="H16" i="62" s="1"/>
  <c r="G28" i="62"/>
  <c r="H28" i="62" s="1"/>
  <c r="G40" i="62"/>
  <c r="H40" i="62" s="1"/>
  <c r="G52" i="62"/>
  <c r="H52" i="62" s="1"/>
  <c r="G64" i="62"/>
  <c r="H64" i="62" s="1"/>
  <c r="K23" i="61"/>
  <c r="L23" i="61" s="1"/>
  <c r="K35" i="61"/>
  <c r="L35" i="61" s="1"/>
  <c r="K47" i="61"/>
  <c r="L47" i="61" s="1"/>
  <c r="K59" i="61"/>
  <c r="L59" i="61" s="1"/>
  <c r="K71" i="61"/>
  <c r="L71" i="61" s="1"/>
  <c r="G26" i="61"/>
  <c r="H26" i="61" s="1"/>
  <c r="G38" i="61"/>
  <c r="H38" i="61" s="1"/>
  <c r="G50" i="61"/>
  <c r="H50" i="61" s="1"/>
  <c r="G62" i="61"/>
  <c r="H62" i="61" s="1"/>
  <c r="G15" i="61"/>
  <c r="K18" i="60"/>
  <c r="L18" i="60" s="1"/>
  <c r="K30" i="60"/>
  <c r="L30" i="60" s="1"/>
  <c r="K42" i="60"/>
  <c r="L42" i="60" s="1"/>
  <c r="K54" i="60"/>
  <c r="L54" i="60" s="1"/>
  <c r="K66" i="60"/>
  <c r="L66" i="60" s="1"/>
  <c r="G20" i="60"/>
  <c r="H20" i="60" s="1"/>
  <c r="G32" i="60"/>
  <c r="H32" i="60" s="1"/>
  <c r="G44" i="60"/>
  <c r="H44" i="60" s="1"/>
  <c r="G56" i="60"/>
  <c r="H56" i="60" s="1"/>
  <c r="I59" i="65"/>
  <c r="K59" i="65" s="1"/>
  <c r="I27" i="65"/>
  <c r="K27" i="65" s="1"/>
  <c r="K16" i="64"/>
  <c r="L16" i="64" s="1"/>
  <c r="K28" i="64"/>
  <c r="L28" i="64" s="1"/>
  <c r="K40" i="64"/>
  <c r="L40" i="64" s="1"/>
  <c r="K52" i="64"/>
  <c r="L52" i="64" s="1"/>
  <c r="K64" i="64"/>
  <c r="L64" i="64" s="1"/>
  <c r="G19" i="64"/>
  <c r="H19" i="64" s="1"/>
  <c r="G31" i="64"/>
  <c r="H31" i="64" s="1"/>
  <c r="G43" i="64"/>
  <c r="H43" i="64" s="1"/>
  <c r="G55" i="64"/>
  <c r="H55" i="64" s="1"/>
  <c r="G67" i="64"/>
  <c r="H67" i="64" s="1"/>
  <c r="K23" i="63"/>
  <c r="L23" i="63" s="1"/>
  <c r="K35" i="63"/>
  <c r="L35" i="63" s="1"/>
  <c r="K47" i="63"/>
  <c r="L47" i="63" s="1"/>
  <c r="K59" i="63"/>
  <c r="L59" i="63" s="1"/>
  <c r="K71" i="63"/>
  <c r="L71" i="63" s="1"/>
  <c r="G25" i="63"/>
  <c r="H25" i="63" s="1"/>
  <c r="G37" i="63"/>
  <c r="H37" i="63" s="1"/>
  <c r="G49" i="63"/>
  <c r="H49" i="63" s="1"/>
  <c r="G61" i="63"/>
  <c r="H61" i="63" s="1"/>
  <c r="G15" i="63"/>
  <c r="K27" i="62"/>
  <c r="L27" i="62" s="1"/>
  <c r="K39" i="62"/>
  <c r="L39" i="62" s="1"/>
  <c r="K51" i="62"/>
  <c r="L51" i="62" s="1"/>
  <c r="K63" i="62"/>
  <c r="L63" i="62" s="1"/>
  <c r="G17" i="62"/>
  <c r="H17" i="62" s="1"/>
  <c r="G29" i="62"/>
  <c r="H29" i="62" s="1"/>
  <c r="G41" i="62"/>
  <c r="H41" i="62" s="1"/>
  <c r="G53" i="62"/>
  <c r="H53" i="62" s="1"/>
  <c r="G65" i="62"/>
  <c r="H65" i="62" s="1"/>
  <c r="K24" i="61"/>
  <c r="L24" i="61" s="1"/>
  <c r="K36" i="61"/>
  <c r="L36" i="61" s="1"/>
  <c r="K48" i="61"/>
  <c r="L48" i="61" s="1"/>
  <c r="K60" i="61"/>
  <c r="L60" i="61" s="1"/>
  <c r="K72" i="61"/>
  <c r="L72" i="61" s="1"/>
  <c r="G27" i="61"/>
  <c r="H27" i="61" s="1"/>
  <c r="G39" i="61"/>
  <c r="H39" i="61" s="1"/>
  <c r="G51" i="61"/>
  <c r="H51" i="61" s="1"/>
  <c r="G63" i="61"/>
  <c r="H63" i="61" s="1"/>
  <c r="K19" i="60"/>
  <c r="L19" i="60" s="1"/>
  <c r="K31" i="60"/>
  <c r="L31" i="60" s="1"/>
  <c r="K43" i="60"/>
  <c r="L43" i="60" s="1"/>
  <c r="K55" i="60"/>
  <c r="L55" i="60" s="1"/>
  <c r="K67" i="60"/>
  <c r="L67" i="60" s="1"/>
  <c r="G21" i="60"/>
  <c r="H21" i="60" s="1"/>
  <c r="G33" i="60"/>
  <c r="H33" i="60" s="1"/>
  <c r="G45" i="60"/>
  <c r="H45" i="60" s="1"/>
  <c r="G57" i="60"/>
  <c r="H57" i="60" s="1"/>
  <c r="G69" i="60"/>
  <c r="H69" i="60" s="1"/>
  <c r="I17" i="65"/>
  <c r="K17" i="65" s="1"/>
  <c r="Q36" i="65"/>
  <c r="S36" i="65" s="1"/>
  <c r="Q61" i="65"/>
  <c r="S61" i="65" s="1"/>
  <c r="I32" i="65"/>
  <c r="K32" i="65" s="1"/>
  <c r="I63" i="65"/>
  <c r="K63" i="65" s="1"/>
  <c r="K19" i="64"/>
  <c r="L19" i="64" s="1"/>
  <c r="K31" i="64"/>
  <c r="L31" i="64" s="1"/>
  <c r="K43" i="64"/>
  <c r="L43" i="64" s="1"/>
  <c r="K55" i="64"/>
  <c r="L55" i="64" s="1"/>
  <c r="K67" i="64"/>
  <c r="L67" i="64" s="1"/>
  <c r="G22" i="64"/>
  <c r="H22" i="64" s="1"/>
  <c r="G34" i="64"/>
  <c r="H34" i="64" s="1"/>
  <c r="G46" i="64"/>
  <c r="H46" i="64" s="1"/>
  <c r="G58" i="64"/>
  <c r="H58" i="64" s="1"/>
  <c r="G70" i="64"/>
  <c r="H70" i="64" s="1"/>
  <c r="K26" i="63"/>
  <c r="L26" i="63" s="1"/>
  <c r="K38" i="63"/>
  <c r="L38" i="63" s="1"/>
  <c r="K50" i="63"/>
  <c r="L50" i="63" s="1"/>
  <c r="K62" i="63"/>
  <c r="L62" i="63" s="1"/>
  <c r="G19" i="63"/>
  <c r="H19" i="63" s="1"/>
  <c r="G28" i="63"/>
  <c r="H28" i="63" s="1"/>
  <c r="G40" i="63"/>
  <c r="H40" i="63" s="1"/>
  <c r="G52" i="63"/>
  <c r="H52" i="63" s="1"/>
  <c r="G64" i="63"/>
  <c r="H64" i="63" s="1"/>
  <c r="K18" i="62"/>
  <c r="L18" i="62" s="1"/>
  <c r="K30" i="62"/>
  <c r="L30" i="62" s="1"/>
  <c r="K42" i="62"/>
  <c r="L42" i="62" s="1"/>
  <c r="K54" i="62"/>
  <c r="L54" i="62" s="1"/>
  <c r="K66" i="62"/>
  <c r="L66" i="62" s="1"/>
  <c r="G20" i="62"/>
  <c r="H20" i="62" s="1"/>
  <c r="G32" i="62"/>
  <c r="H32" i="62" s="1"/>
  <c r="G44" i="62"/>
  <c r="H44" i="62" s="1"/>
  <c r="G56" i="62"/>
  <c r="H56" i="62" s="1"/>
  <c r="G68" i="62"/>
  <c r="H68" i="62" s="1"/>
  <c r="K27" i="61"/>
  <c r="L27" i="61" s="1"/>
  <c r="K39" i="61"/>
  <c r="L39" i="61" s="1"/>
  <c r="K51" i="61"/>
  <c r="L51" i="61" s="1"/>
  <c r="K63" i="61"/>
  <c r="L63" i="61" s="1"/>
  <c r="G18" i="61"/>
  <c r="H18" i="61" s="1"/>
  <c r="G30" i="61"/>
  <c r="H30" i="61" s="1"/>
  <c r="G42" i="61"/>
  <c r="H42" i="61" s="1"/>
  <c r="G54" i="61"/>
  <c r="H54" i="61" s="1"/>
  <c r="G66" i="61"/>
  <c r="H66" i="61" s="1"/>
  <c r="K22" i="60"/>
  <c r="L22" i="60" s="1"/>
  <c r="K34" i="60"/>
  <c r="L34" i="60" s="1"/>
  <c r="K46" i="60"/>
  <c r="L46" i="60" s="1"/>
  <c r="K58" i="60"/>
  <c r="L58" i="60" s="1"/>
  <c r="K70" i="60"/>
  <c r="L70" i="60" s="1"/>
  <c r="G24" i="60"/>
  <c r="H24" i="60" s="1"/>
  <c r="G36" i="60"/>
  <c r="H36" i="60" s="1"/>
  <c r="G48" i="60"/>
  <c r="H48" i="60" s="1"/>
  <c r="G60" i="60"/>
  <c r="H60" i="60" s="1"/>
  <c r="G72" i="60"/>
  <c r="H72" i="60" s="1"/>
  <c r="I50" i="65"/>
  <c r="K50" i="65" s="1"/>
  <c r="I22" i="65"/>
  <c r="K22" i="65" s="1"/>
  <c r="Q59" i="65"/>
  <c r="S59" i="65" s="1"/>
  <c r="I66" i="65"/>
  <c r="K66" i="65" s="1"/>
  <c r="K22" i="64"/>
  <c r="L22" i="64" s="1"/>
  <c r="K34" i="64"/>
  <c r="L34" i="64" s="1"/>
  <c r="K46" i="64"/>
  <c r="L46" i="64" s="1"/>
  <c r="K58" i="64"/>
  <c r="L58" i="64" s="1"/>
  <c r="K70" i="64"/>
  <c r="L70" i="64" s="1"/>
  <c r="G25" i="64"/>
  <c r="H25" i="64" s="1"/>
  <c r="G37" i="64"/>
  <c r="H37" i="64" s="1"/>
  <c r="G49" i="64"/>
  <c r="H49" i="64" s="1"/>
  <c r="G61" i="64"/>
  <c r="H61" i="64" s="1"/>
  <c r="K15" i="64"/>
  <c r="K17" i="63"/>
  <c r="L17" i="63" s="1"/>
  <c r="K29" i="63"/>
  <c r="L29" i="63" s="1"/>
  <c r="K41" i="63"/>
  <c r="L41" i="63" s="1"/>
  <c r="K53" i="63"/>
  <c r="L53" i="63" s="1"/>
  <c r="K65" i="63"/>
  <c r="L65" i="63" s="1"/>
  <c r="G18" i="63"/>
  <c r="H18" i="63" s="1"/>
  <c r="G31" i="63"/>
  <c r="H31" i="63" s="1"/>
  <c r="G43" i="63"/>
  <c r="H43" i="63" s="1"/>
  <c r="G55" i="63"/>
  <c r="H55" i="63" s="1"/>
  <c r="G67" i="63"/>
  <c r="H67" i="63" s="1"/>
  <c r="K21" i="62"/>
  <c r="L21" i="62" s="1"/>
  <c r="K33" i="62"/>
  <c r="L33" i="62" s="1"/>
  <c r="K45" i="62"/>
  <c r="L45" i="62" s="1"/>
  <c r="K57" i="62"/>
  <c r="L57" i="62" s="1"/>
  <c r="K69" i="62"/>
  <c r="L69" i="62" s="1"/>
  <c r="G23" i="62"/>
  <c r="H23" i="62" s="1"/>
  <c r="G35" i="62"/>
  <c r="H35" i="62" s="1"/>
  <c r="G47" i="62"/>
  <c r="H47" i="62" s="1"/>
  <c r="G59" i="62"/>
  <c r="H59" i="62" s="1"/>
  <c r="G71" i="62"/>
  <c r="H71" i="62" s="1"/>
  <c r="K18" i="61"/>
  <c r="L18" i="61" s="1"/>
  <c r="K30" i="61"/>
  <c r="L30" i="61" s="1"/>
  <c r="K42" i="61"/>
  <c r="L42" i="61" s="1"/>
  <c r="K54" i="61"/>
  <c r="L54" i="61" s="1"/>
  <c r="K66" i="61"/>
  <c r="L66" i="61" s="1"/>
  <c r="G21" i="61"/>
  <c r="H21" i="61" s="1"/>
  <c r="G33" i="61"/>
  <c r="H33" i="61" s="1"/>
  <c r="G45" i="61"/>
  <c r="H45" i="61" s="1"/>
  <c r="G57" i="61"/>
  <c r="H57" i="61" s="1"/>
  <c r="G69" i="61"/>
  <c r="H69" i="61" s="1"/>
  <c r="K25" i="60"/>
  <c r="L25" i="60" s="1"/>
  <c r="K37" i="60"/>
  <c r="L37" i="60" s="1"/>
  <c r="K49" i="60"/>
  <c r="L49" i="60" s="1"/>
  <c r="K61" i="60"/>
  <c r="L61" i="60" s="1"/>
  <c r="K15" i="60"/>
  <c r="G27" i="60"/>
  <c r="H27" i="60" s="1"/>
  <c r="G39" i="60"/>
  <c r="H39" i="60" s="1"/>
  <c r="G51" i="60"/>
  <c r="H51" i="60" s="1"/>
  <c r="G63" i="60"/>
  <c r="H63" i="60" s="1"/>
  <c r="I38" i="65"/>
  <c r="K38" i="65" s="1"/>
  <c r="I53" i="65"/>
  <c r="K53" i="65" s="1"/>
  <c r="I28" i="65"/>
  <c r="K28" i="65" s="1"/>
  <c r="K29" i="64"/>
  <c r="L29" i="64" s="1"/>
  <c r="K53" i="64"/>
  <c r="L53" i="64" s="1"/>
  <c r="G20" i="64"/>
  <c r="H20" i="64" s="1"/>
  <c r="G44" i="64"/>
  <c r="H44" i="64" s="1"/>
  <c r="G68" i="64"/>
  <c r="H68" i="64" s="1"/>
  <c r="K16" i="63"/>
  <c r="L16" i="63" s="1"/>
  <c r="K40" i="63"/>
  <c r="L40" i="63" s="1"/>
  <c r="K64" i="63"/>
  <c r="L64" i="63" s="1"/>
  <c r="G30" i="63"/>
  <c r="H30" i="63" s="1"/>
  <c r="G54" i="63"/>
  <c r="H54" i="63" s="1"/>
  <c r="K19" i="62"/>
  <c r="L19" i="62" s="1"/>
  <c r="K43" i="62"/>
  <c r="L43" i="62" s="1"/>
  <c r="K67" i="62"/>
  <c r="L67" i="62" s="1"/>
  <c r="G33" i="62"/>
  <c r="H33" i="62" s="1"/>
  <c r="G57" i="62"/>
  <c r="H57" i="62" s="1"/>
  <c r="K31" i="61"/>
  <c r="L31" i="61" s="1"/>
  <c r="K55" i="61"/>
  <c r="L55" i="61" s="1"/>
  <c r="G22" i="61"/>
  <c r="H22" i="61" s="1"/>
  <c r="G46" i="61"/>
  <c r="H46" i="61" s="1"/>
  <c r="G70" i="61"/>
  <c r="H70" i="61" s="1"/>
  <c r="K23" i="60"/>
  <c r="L23" i="60" s="1"/>
  <c r="K47" i="60"/>
  <c r="L47" i="60" s="1"/>
  <c r="K71" i="60"/>
  <c r="L71" i="60" s="1"/>
  <c r="G37" i="60"/>
  <c r="H37" i="60" s="1"/>
  <c r="G61" i="60"/>
  <c r="H61" i="60" s="1"/>
  <c r="K21" i="59"/>
  <c r="L21" i="59" s="1"/>
  <c r="K33" i="59"/>
  <c r="L33" i="59" s="1"/>
  <c r="K45" i="59"/>
  <c r="L45" i="59" s="1"/>
  <c r="K57" i="59"/>
  <c r="L57" i="59" s="1"/>
  <c r="K69" i="59"/>
  <c r="L69" i="59" s="1"/>
  <c r="G23" i="59"/>
  <c r="H23" i="59" s="1"/>
  <c r="G35" i="59"/>
  <c r="H35" i="59" s="1"/>
  <c r="G47" i="59"/>
  <c r="H47" i="59" s="1"/>
  <c r="G59" i="59"/>
  <c r="H59" i="59" s="1"/>
  <c r="G71" i="59"/>
  <c r="H71" i="59" s="1"/>
  <c r="K20" i="58"/>
  <c r="L20" i="58" s="1"/>
  <c r="K32" i="58"/>
  <c r="L32" i="58" s="1"/>
  <c r="K44" i="58"/>
  <c r="L44" i="58" s="1"/>
  <c r="K56" i="58"/>
  <c r="L56" i="58" s="1"/>
  <c r="K68" i="58"/>
  <c r="L68" i="58" s="1"/>
  <c r="G22" i="58"/>
  <c r="H22" i="58" s="1"/>
  <c r="G34" i="58"/>
  <c r="H34" i="58" s="1"/>
  <c r="G46" i="58"/>
  <c r="H46" i="58" s="1"/>
  <c r="G58" i="58"/>
  <c r="H58" i="58" s="1"/>
  <c r="G70" i="58"/>
  <c r="H70" i="58" s="1"/>
  <c r="K21" i="57"/>
  <c r="L21" i="57" s="1"/>
  <c r="K42" i="57"/>
  <c r="L42" i="57" s="1"/>
  <c r="K52" i="57"/>
  <c r="L52" i="57" s="1"/>
  <c r="K62" i="57"/>
  <c r="L62" i="57" s="1"/>
  <c r="G24" i="57"/>
  <c r="H24" i="57" s="1"/>
  <c r="G40" i="57"/>
  <c r="H40" i="57" s="1"/>
  <c r="G49" i="57"/>
  <c r="H49" i="57" s="1"/>
  <c r="I21" i="65"/>
  <c r="K21" i="65" s="1"/>
  <c r="I62" i="65"/>
  <c r="K62" i="65" s="1"/>
  <c r="K33" i="64"/>
  <c r="L33" i="64" s="1"/>
  <c r="K57" i="64"/>
  <c r="L57" i="64" s="1"/>
  <c r="G24" i="64"/>
  <c r="H24" i="64" s="1"/>
  <c r="G48" i="64"/>
  <c r="H48" i="64" s="1"/>
  <c r="G72" i="64"/>
  <c r="H72" i="64" s="1"/>
  <c r="K24" i="63"/>
  <c r="L24" i="63" s="1"/>
  <c r="K48" i="63"/>
  <c r="L48" i="63" s="1"/>
  <c r="K72" i="63"/>
  <c r="L72" i="63" s="1"/>
  <c r="G38" i="63"/>
  <c r="H38" i="63" s="1"/>
  <c r="G62" i="63"/>
  <c r="H62" i="63" s="1"/>
  <c r="K23" i="62"/>
  <c r="L23" i="62" s="1"/>
  <c r="K47" i="62"/>
  <c r="L47" i="62" s="1"/>
  <c r="K71" i="62"/>
  <c r="L71" i="62" s="1"/>
  <c r="G37" i="62"/>
  <c r="H37" i="62" s="1"/>
  <c r="G61" i="62"/>
  <c r="H61" i="62" s="1"/>
  <c r="K38" i="61"/>
  <c r="L38" i="61" s="1"/>
  <c r="K62" i="61"/>
  <c r="L62" i="61" s="1"/>
  <c r="G29" i="61"/>
  <c r="H29" i="61" s="1"/>
  <c r="G53" i="61"/>
  <c r="H53" i="61" s="1"/>
  <c r="K27" i="60"/>
  <c r="L27" i="60" s="1"/>
  <c r="K51" i="60"/>
  <c r="L51" i="60" s="1"/>
  <c r="G17" i="60"/>
  <c r="H17" i="60" s="1"/>
  <c r="G41" i="60"/>
  <c r="H41" i="60" s="1"/>
  <c r="G65" i="60"/>
  <c r="H65" i="60" s="1"/>
  <c r="K24" i="59"/>
  <c r="L24" i="59" s="1"/>
  <c r="K36" i="59"/>
  <c r="L36" i="59" s="1"/>
  <c r="K48" i="59"/>
  <c r="L48" i="59" s="1"/>
  <c r="K60" i="59"/>
  <c r="L60" i="59" s="1"/>
  <c r="K72" i="59"/>
  <c r="L72" i="59" s="1"/>
  <c r="G26" i="59"/>
  <c r="H26" i="59" s="1"/>
  <c r="G38" i="59"/>
  <c r="H38" i="59" s="1"/>
  <c r="G50" i="59"/>
  <c r="H50" i="59" s="1"/>
  <c r="G62" i="59"/>
  <c r="H62" i="59" s="1"/>
  <c r="G15" i="59"/>
  <c r="K23" i="58"/>
  <c r="L23" i="58" s="1"/>
  <c r="K35" i="58"/>
  <c r="L35" i="58" s="1"/>
  <c r="K47" i="58"/>
  <c r="L47" i="58" s="1"/>
  <c r="K59" i="58"/>
  <c r="L59" i="58" s="1"/>
  <c r="K71" i="58"/>
  <c r="L71" i="58" s="1"/>
  <c r="G25" i="58"/>
  <c r="H25" i="58" s="1"/>
  <c r="G37" i="58"/>
  <c r="H37" i="58" s="1"/>
  <c r="G49" i="58"/>
  <c r="H49" i="58" s="1"/>
  <c r="G61" i="58"/>
  <c r="H61" i="58" s="1"/>
  <c r="K24" i="57"/>
  <c r="L24" i="57" s="1"/>
  <c r="K34" i="57"/>
  <c r="L34" i="57" s="1"/>
  <c r="K44" i="57"/>
  <c r="L44" i="57" s="1"/>
  <c r="I61" i="65"/>
  <c r="K61" i="65" s="1"/>
  <c r="K36" i="64"/>
  <c r="L36" i="64" s="1"/>
  <c r="K60" i="64"/>
  <c r="L60" i="64" s="1"/>
  <c r="G27" i="64"/>
  <c r="H27" i="64" s="1"/>
  <c r="G51" i="64"/>
  <c r="H51" i="64" s="1"/>
  <c r="K27" i="63"/>
  <c r="L27" i="63" s="1"/>
  <c r="K51" i="63"/>
  <c r="L51" i="63" s="1"/>
  <c r="G16" i="63"/>
  <c r="H16" i="63" s="1"/>
  <c r="G41" i="63"/>
  <c r="H41" i="63" s="1"/>
  <c r="G65" i="63"/>
  <c r="H65" i="63" s="1"/>
  <c r="K29" i="62"/>
  <c r="L29" i="62" s="1"/>
  <c r="K53" i="62"/>
  <c r="L53" i="62" s="1"/>
  <c r="G19" i="62"/>
  <c r="H19" i="62" s="1"/>
  <c r="G43" i="62"/>
  <c r="H43" i="62" s="1"/>
  <c r="G67" i="62"/>
  <c r="H67" i="62" s="1"/>
  <c r="K17" i="61"/>
  <c r="L17" i="61" s="1"/>
  <c r="K41" i="61"/>
  <c r="L41" i="61" s="1"/>
  <c r="K65" i="61"/>
  <c r="L65" i="61" s="1"/>
  <c r="G32" i="61"/>
  <c r="H32" i="61" s="1"/>
  <c r="G56" i="61"/>
  <c r="H56" i="61" s="1"/>
  <c r="K33" i="60"/>
  <c r="L33" i="60" s="1"/>
  <c r="K57" i="60"/>
  <c r="L57" i="60" s="1"/>
  <c r="G23" i="60"/>
  <c r="H23" i="60" s="1"/>
  <c r="G47" i="60"/>
  <c r="H47" i="60" s="1"/>
  <c r="G70" i="60"/>
  <c r="H70" i="60" s="1"/>
  <c r="K26" i="59"/>
  <c r="L26" i="59" s="1"/>
  <c r="K38" i="59"/>
  <c r="L38" i="59" s="1"/>
  <c r="K50" i="59"/>
  <c r="L50" i="59" s="1"/>
  <c r="K62" i="59"/>
  <c r="L62" i="59" s="1"/>
  <c r="G16" i="59"/>
  <c r="H16" i="59" s="1"/>
  <c r="G28" i="59"/>
  <c r="H28" i="59" s="1"/>
  <c r="G40" i="59"/>
  <c r="H40" i="59" s="1"/>
  <c r="G52" i="59"/>
  <c r="H52" i="59" s="1"/>
  <c r="G64" i="59"/>
  <c r="H64" i="59" s="1"/>
  <c r="K25" i="58"/>
  <c r="L25" i="58" s="1"/>
  <c r="K37" i="58"/>
  <c r="L37" i="58" s="1"/>
  <c r="K49" i="58"/>
  <c r="L49" i="58" s="1"/>
  <c r="K61" i="58"/>
  <c r="L61" i="58" s="1"/>
  <c r="K15" i="58"/>
  <c r="G27" i="58"/>
  <c r="H27" i="58" s="1"/>
  <c r="G39" i="58"/>
  <c r="H39" i="58" s="1"/>
  <c r="G51" i="58"/>
  <c r="H51" i="58" s="1"/>
  <c r="G63" i="58"/>
  <c r="H63" i="58" s="1"/>
  <c r="K71" i="57"/>
  <c r="L71" i="57" s="1"/>
  <c r="K36" i="57"/>
  <c r="L36" i="57" s="1"/>
  <c r="K46" i="57"/>
  <c r="L46" i="57" s="1"/>
  <c r="K56" i="57"/>
  <c r="L56" i="57" s="1"/>
  <c r="K67" i="57"/>
  <c r="L67" i="57" s="1"/>
  <c r="G36" i="57"/>
  <c r="H36" i="57" s="1"/>
  <c r="G44" i="57"/>
  <c r="H44" i="57" s="1"/>
  <c r="Q47" i="65"/>
  <c r="S47" i="65" s="1"/>
  <c r="I54" i="65"/>
  <c r="K54" i="65" s="1"/>
  <c r="K20" i="64"/>
  <c r="L20" i="64" s="1"/>
  <c r="K44" i="64"/>
  <c r="L44" i="64" s="1"/>
  <c r="K68" i="64"/>
  <c r="L68" i="64" s="1"/>
  <c r="G35" i="64"/>
  <c r="H35" i="64" s="1"/>
  <c r="G59" i="64"/>
  <c r="H59" i="64" s="1"/>
  <c r="K31" i="63"/>
  <c r="L31" i="63" s="1"/>
  <c r="K55" i="63"/>
  <c r="L55" i="63" s="1"/>
  <c r="G21" i="63"/>
  <c r="H21" i="63" s="1"/>
  <c r="G45" i="63"/>
  <c r="H45" i="63" s="1"/>
  <c r="G69" i="63"/>
  <c r="H69" i="63" s="1"/>
  <c r="K34" i="62"/>
  <c r="L34" i="62" s="1"/>
  <c r="K58" i="62"/>
  <c r="L58" i="62" s="1"/>
  <c r="G24" i="62"/>
  <c r="H24" i="62" s="1"/>
  <c r="G48" i="62"/>
  <c r="H48" i="62" s="1"/>
  <c r="G72" i="62"/>
  <c r="H72" i="62" s="1"/>
  <c r="K25" i="61"/>
  <c r="L25" i="61" s="1"/>
  <c r="K49" i="61"/>
  <c r="L49" i="61" s="1"/>
  <c r="G16" i="61"/>
  <c r="H16" i="61" s="1"/>
  <c r="G40" i="61"/>
  <c r="H40" i="61" s="1"/>
  <c r="G64" i="61"/>
  <c r="H64" i="61" s="1"/>
  <c r="K38" i="60"/>
  <c r="L38" i="60" s="1"/>
  <c r="K62" i="60"/>
  <c r="L62" i="60" s="1"/>
  <c r="G28" i="60"/>
  <c r="H28" i="60" s="1"/>
  <c r="G52" i="60"/>
  <c r="H52" i="60" s="1"/>
  <c r="K17" i="59"/>
  <c r="K29" i="59"/>
  <c r="L29" i="59" s="1"/>
  <c r="K41" i="59"/>
  <c r="L41" i="59" s="1"/>
  <c r="K53" i="59"/>
  <c r="L53" i="59" s="1"/>
  <c r="K65" i="59"/>
  <c r="L65" i="59" s="1"/>
  <c r="G19" i="59"/>
  <c r="H19" i="59" s="1"/>
  <c r="G31" i="59"/>
  <c r="H31" i="59" s="1"/>
  <c r="G43" i="59"/>
  <c r="H43" i="59" s="1"/>
  <c r="G55" i="59"/>
  <c r="H55" i="59" s="1"/>
  <c r="G67" i="59"/>
  <c r="H67" i="59" s="1"/>
  <c r="K16" i="58"/>
  <c r="L16" i="58" s="1"/>
  <c r="K28" i="58"/>
  <c r="L28" i="58" s="1"/>
  <c r="K40" i="58"/>
  <c r="L40" i="58" s="1"/>
  <c r="K52" i="58"/>
  <c r="L52" i="58" s="1"/>
  <c r="K64" i="58"/>
  <c r="L64" i="58" s="1"/>
  <c r="G18" i="58"/>
  <c r="H18" i="58" s="1"/>
  <c r="G30" i="58"/>
  <c r="H30" i="58" s="1"/>
  <c r="G42" i="58"/>
  <c r="H42" i="58" s="1"/>
  <c r="G54" i="58"/>
  <c r="H54" i="58" s="1"/>
  <c r="G66" i="58"/>
  <c r="H66" i="58" s="1"/>
  <c r="K18" i="57"/>
  <c r="L18" i="57" s="1"/>
  <c r="K28" i="57"/>
  <c r="L28" i="57" s="1"/>
  <c r="K38" i="57"/>
  <c r="L38" i="57" s="1"/>
  <c r="K49" i="57"/>
  <c r="L49" i="57" s="1"/>
  <c r="K59" i="57"/>
  <c r="L59" i="57" s="1"/>
  <c r="K69" i="57"/>
  <c r="L69" i="57" s="1"/>
  <c r="G21" i="57"/>
  <c r="H21" i="57" s="1"/>
  <c r="G30" i="57"/>
  <c r="H30" i="57" s="1"/>
  <c r="G38" i="57"/>
  <c r="H38" i="57" s="1"/>
  <c r="G54" i="57"/>
  <c r="H54" i="57" s="1"/>
  <c r="Q37" i="65"/>
  <c r="S37" i="65" s="1"/>
  <c r="I16" i="65"/>
  <c r="K16" i="65" s="1"/>
  <c r="K23" i="64"/>
  <c r="L23" i="64" s="1"/>
  <c r="K47" i="64"/>
  <c r="L47" i="64" s="1"/>
  <c r="K71" i="64"/>
  <c r="L71" i="64" s="1"/>
  <c r="G38" i="64"/>
  <c r="H38" i="64" s="1"/>
  <c r="G62" i="64"/>
  <c r="H62" i="64" s="1"/>
  <c r="K37" i="63"/>
  <c r="L37" i="63" s="1"/>
  <c r="K61" i="63"/>
  <c r="L61" i="63" s="1"/>
  <c r="G27" i="63"/>
  <c r="H27" i="63" s="1"/>
  <c r="G51" i="63"/>
  <c r="H51" i="63" s="1"/>
  <c r="K16" i="62"/>
  <c r="L16" i="62" s="1"/>
  <c r="K40" i="62"/>
  <c r="L40" i="62" s="1"/>
  <c r="K64" i="62"/>
  <c r="L64" i="62" s="1"/>
  <c r="G30" i="62"/>
  <c r="H30" i="62" s="1"/>
  <c r="G54" i="62"/>
  <c r="H54" i="62" s="1"/>
  <c r="K28" i="61"/>
  <c r="L28" i="61" s="1"/>
  <c r="K52" i="61"/>
  <c r="L52" i="61" s="1"/>
  <c r="G19" i="61"/>
  <c r="H19" i="61" s="1"/>
  <c r="G43" i="61"/>
  <c r="H43" i="61" s="1"/>
  <c r="G67" i="61"/>
  <c r="H67" i="61" s="1"/>
  <c r="K20" i="60"/>
  <c r="L20" i="60" s="1"/>
  <c r="K44" i="60"/>
  <c r="L44" i="60" s="1"/>
  <c r="K68" i="60"/>
  <c r="L68" i="60" s="1"/>
  <c r="G34" i="60"/>
  <c r="H34" i="60" s="1"/>
  <c r="G58" i="60"/>
  <c r="H58" i="60" s="1"/>
  <c r="K19" i="59"/>
  <c r="L19" i="59" s="1"/>
  <c r="K31" i="59"/>
  <c r="L31" i="59" s="1"/>
  <c r="K43" i="59"/>
  <c r="L43" i="59" s="1"/>
  <c r="K55" i="59"/>
  <c r="L55" i="59" s="1"/>
  <c r="K67" i="59"/>
  <c r="L67" i="59" s="1"/>
  <c r="G21" i="59"/>
  <c r="H21" i="59" s="1"/>
  <c r="G33" i="59"/>
  <c r="H33" i="59" s="1"/>
  <c r="G45" i="59"/>
  <c r="H45" i="59" s="1"/>
  <c r="G57" i="59"/>
  <c r="H57" i="59" s="1"/>
  <c r="G69" i="59"/>
  <c r="H69" i="59" s="1"/>
  <c r="K18" i="58"/>
  <c r="L18" i="58" s="1"/>
  <c r="K30" i="58"/>
  <c r="L30" i="58" s="1"/>
  <c r="K42" i="58"/>
  <c r="L42" i="58" s="1"/>
  <c r="K54" i="58"/>
  <c r="L54" i="58" s="1"/>
  <c r="K66" i="58"/>
  <c r="L66" i="58" s="1"/>
  <c r="G20" i="58"/>
  <c r="H20" i="58" s="1"/>
  <c r="G32" i="58"/>
  <c r="H32" i="58" s="1"/>
  <c r="G44" i="58"/>
  <c r="H44" i="58" s="1"/>
  <c r="G56" i="58"/>
  <c r="H56" i="58" s="1"/>
  <c r="G68" i="58"/>
  <c r="H68" i="58" s="1"/>
  <c r="K30" i="57"/>
  <c r="L30" i="57" s="1"/>
  <c r="K40" i="57"/>
  <c r="L40" i="57" s="1"/>
  <c r="K50" i="57"/>
  <c r="L50" i="57" s="1"/>
  <c r="K61" i="57"/>
  <c r="L61" i="57" s="1"/>
  <c r="G22" i="57"/>
  <c r="H22" i="57" s="1"/>
  <c r="G39" i="57"/>
  <c r="H39" i="57" s="1"/>
  <c r="G47" i="57"/>
  <c r="H47" i="57" s="1"/>
  <c r="Q49" i="65"/>
  <c r="S49" i="65" s="1"/>
  <c r="I20" i="65"/>
  <c r="K20" i="65" s="1"/>
  <c r="K24" i="64"/>
  <c r="L24" i="64" s="1"/>
  <c r="K48" i="64"/>
  <c r="L48" i="64" s="1"/>
  <c r="K72" i="64"/>
  <c r="L72" i="64" s="1"/>
  <c r="G39" i="64"/>
  <c r="H39" i="64" s="1"/>
  <c r="G63" i="64"/>
  <c r="H63" i="64" s="1"/>
  <c r="K39" i="63"/>
  <c r="L39" i="63" s="1"/>
  <c r="K63" i="63"/>
  <c r="L63" i="63" s="1"/>
  <c r="G29" i="63"/>
  <c r="H29" i="63" s="1"/>
  <c r="G53" i="63"/>
  <c r="H53" i="63" s="1"/>
  <c r="K17" i="62"/>
  <c r="L17" i="62" s="1"/>
  <c r="K41" i="62"/>
  <c r="L41" i="62" s="1"/>
  <c r="K65" i="62"/>
  <c r="L65" i="62" s="1"/>
  <c r="G31" i="62"/>
  <c r="H31" i="62" s="1"/>
  <c r="G55" i="62"/>
  <c r="H55" i="62" s="1"/>
  <c r="K29" i="61"/>
  <c r="L29" i="61" s="1"/>
  <c r="K53" i="61"/>
  <c r="L53" i="61" s="1"/>
  <c r="G20" i="61"/>
  <c r="H20" i="61" s="1"/>
  <c r="G44" i="61"/>
  <c r="H44" i="61" s="1"/>
  <c r="G68" i="61"/>
  <c r="H68" i="61" s="1"/>
  <c r="K21" i="60"/>
  <c r="L21" i="60" s="1"/>
  <c r="K45" i="60"/>
  <c r="L45" i="60" s="1"/>
  <c r="K69" i="60"/>
  <c r="L69" i="60" s="1"/>
  <c r="G35" i="60"/>
  <c r="H35" i="60" s="1"/>
  <c r="G59" i="60"/>
  <c r="H59" i="60" s="1"/>
  <c r="K20" i="59"/>
  <c r="L20" i="59" s="1"/>
  <c r="K32" i="59"/>
  <c r="L32" i="59" s="1"/>
  <c r="K44" i="59"/>
  <c r="L44" i="59" s="1"/>
  <c r="K56" i="59"/>
  <c r="L56" i="59" s="1"/>
  <c r="K68" i="59"/>
  <c r="L68" i="59" s="1"/>
  <c r="G22" i="59"/>
  <c r="H22" i="59" s="1"/>
  <c r="G34" i="59"/>
  <c r="H34" i="59" s="1"/>
  <c r="G46" i="59"/>
  <c r="H46" i="59" s="1"/>
  <c r="G58" i="59"/>
  <c r="H58" i="59" s="1"/>
  <c r="G70" i="59"/>
  <c r="H70" i="59" s="1"/>
  <c r="K19" i="58"/>
  <c r="L19" i="58" s="1"/>
  <c r="K31" i="58"/>
  <c r="L31" i="58" s="1"/>
  <c r="K43" i="58"/>
  <c r="L43" i="58" s="1"/>
  <c r="K55" i="58"/>
  <c r="L55" i="58" s="1"/>
  <c r="K67" i="58"/>
  <c r="L67" i="58" s="1"/>
  <c r="I47" i="65"/>
  <c r="K47" i="65" s="1"/>
  <c r="K32" i="64"/>
  <c r="L32" i="64" s="1"/>
  <c r="G23" i="64"/>
  <c r="G71" i="64"/>
  <c r="H71" i="64" s="1"/>
  <c r="K60" i="63"/>
  <c r="L60" i="63" s="1"/>
  <c r="G50" i="63"/>
  <c r="H50" i="63" s="1"/>
  <c r="K52" i="62"/>
  <c r="L52" i="62" s="1"/>
  <c r="G42" i="62"/>
  <c r="H42" i="62" s="1"/>
  <c r="K26" i="61"/>
  <c r="L26" i="61" s="1"/>
  <c r="G17" i="61"/>
  <c r="H17" i="61" s="1"/>
  <c r="G65" i="61"/>
  <c r="H65" i="61" s="1"/>
  <c r="K59" i="60"/>
  <c r="L59" i="60" s="1"/>
  <c r="G49" i="60"/>
  <c r="H49" i="60" s="1"/>
  <c r="K22" i="59"/>
  <c r="L22" i="59" s="1"/>
  <c r="K46" i="59"/>
  <c r="L46" i="59" s="1"/>
  <c r="K70" i="59"/>
  <c r="L70" i="59" s="1"/>
  <c r="G36" i="59"/>
  <c r="H36" i="59" s="1"/>
  <c r="G60" i="59"/>
  <c r="H60" i="59" s="1"/>
  <c r="K17" i="58"/>
  <c r="L17" i="58" s="1"/>
  <c r="K41" i="58"/>
  <c r="L41" i="58" s="1"/>
  <c r="K65" i="58"/>
  <c r="L65" i="58" s="1"/>
  <c r="G29" i="58"/>
  <c r="H29" i="58" s="1"/>
  <c r="G50" i="58"/>
  <c r="H50" i="58" s="1"/>
  <c r="G71" i="58"/>
  <c r="H71" i="58" s="1"/>
  <c r="K17" i="57"/>
  <c r="L17" i="57" s="1"/>
  <c r="K35" i="57"/>
  <c r="L35" i="57" s="1"/>
  <c r="K53" i="57"/>
  <c r="L53" i="57" s="1"/>
  <c r="G25" i="57"/>
  <c r="H25" i="57" s="1"/>
  <c r="G37" i="57"/>
  <c r="H37" i="57" s="1"/>
  <c r="G58" i="57"/>
  <c r="H58" i="57" s="1"/>
  <c r="G67" i="57"/>
  <c r="H67" i="57" s="1"/>
  <c r="G17" i="56"/>
  <c r="H17" i="56" s="1"/>
  <c r="K21" i="56"/>
  <c r="L21" i="56" s="1"/>
  <c r="G29" i="56"/>
  <c r="H29" i="56" s="1"/>
  <c r="K33" i="56"/>
  <c r="L33" i="56" s="1"/>
  <c r="G41" i="56"/>
  <c r="H41" i="56" s="1"/>
  <c r="K45" i="56"/>
  <c r="L45" i="56" s="1"/>
  <c r="G53" i="56"/>
  <c r="H53" i="56" s="1"/>
  <c r="K57" i="56"/>
  <c r="L57" i="56" s="1"/>
  <c r="G65" i="56"/>
  <c r="H65" i="56" s="1"/>
  <c r="K69" i="56"/>
  <c r="L69" i="56" s="1"/>
  <c r="K70" i="58"/>
  <c r="L70" i="58" s="1"/>
  <c r="G60" i="57"/>
  <c r="H60" i="57" s="1"/>
  <c r="G34" i="56"/>
  <c r="H34" i="56" s="1"/>
  <c r="G17" i="63"/>
  <c r="H17" i="63" s="1"/>
  <c r="K26" i="58"/>
  <c r="L26" i="58" s="1"/>
  <c r="I39" i="65"/>
  <c r="K39" i="65" s="1"/>
  <c r="K35" i="64"/>
  <c r="L35" i="64" s="1"/>
  <c r="G26" i="64"/>
  <c r="H26" i="64" s="1"/>
  <c r="G15" i="64"/>
  <c r="H15" i="64" s="1"/>
  <c r="K18" i="63"/>
  <c r="L18" i="63" s="1"/>
  <c r="K66" i="63"/>
  <c r="L66" i="63" s="1"/>
  <c r="G56" i="63"/>
  <c r="H56" i="63" s="1"/>
  <c r="K55" i="62"/>
  <c r="L55" i="62" s="1"/>
  <c r="G45" i="62"/>
  <c r="H45" i="62" s="1"/>
  <c r="K32" i="61"/>
  <c r="L32" i="61" s="1"/>
  <c r="G23" i="61"/>
  <c r="H23" i="61" s="1"/>
  <c r="G71" i="61"/>
  <c r="H71" i="61" s="1"/>
  <c r="K60" i="60"/>
  <c r="L60" i="60" s="1"/>
  <c r="G50" i="60"/>
  <c r="H50" i="60" s="1"/>
  <c r="K23" i="59"/>
  <c r="L23" i="59" s="1"/>
  <c r="K47" i="59"/>
  <c r="L47" i="59" s="1"/>
  <c r="K71" i="59"/>
  <c r="L71" i="59" s="1"/>
  <c r="G37" i="59"/>
  <c r="H37" i="59" s="1"/>
  <c r="G61" i="59"/>
  <c r="H61" i="59" s="1"/>
  <c r="K21" i="58"/>
  <c r="L21" i="58" s="1"/>
  <c r="K45" i="58"/>
  <c r="L45" i="58" s="1"/>
  <c r="K69" i="58"/>
  <c r="L69" i="58" s="1"/>
  <c r="G31" i="58"/>
  <c r="H31" i="58" s="1"/>
  <c r="G52" i="58"/>
  <c r="H52" i="58" s="1"/>
  <c r="G72" i="58"/>
  <c r="H72" i="58" s="1"/>
  <c r="K19" i="57"/>
  <c r="L19" i="57" s="1"/>
  <c r="K37" i="57"/>
  <c r="L37" i="57" s="1"/>
  <c r="K54" i="57"/>
  <c r="L54" i="57" s="1"/>
  <c r="K68" i="57"/>
  <c r="L68" i="57" s="1"/>
  <c r="G26" i="57"/>
  <c r="H26" i="57" s="1"/>
  <c r="G50" i="57"/>
  <c r="H50" i="57" s="1"/>
  <c r="G59" i="57"/>
  <c r="H59" i="57" s="1"/>
  <c r="K17" i="56"/>
  <c r="L17" i="56" s="1"/>
  <c r="K25" i="56"/>
  <c r="L25" i="56" s="1"/>
  <c r="K29" i="56"/>
  <c r="L29" i="56" s="1"/>
  <c r="K37" i="56"/>
  <c r="L37" i="56" s="1"/>
  <c r="K41" i="56"/>
  <c r="L41" i="56" s="1"/>
  <c r="K49" i="56"/>
  <c r="L49" i="56" s="1"/>
  <c r="K53" i="56"/>
  <c r="L53" i="56" s="1"/>
  <c r="K61" i="56"/>
  <c r="L61" i="56" s="1"/>
  <c r="K65" i="56"/>
  <c r="L65" i="56" s="1"/>
  <c r="G53" i="58"/>
  <c r="H53" i="58" s="1"/>
  <c r="K70" i="57"/>
  <c r="L70" i="57" s="1"/>
  <c r="G18" i="56"/>
  <c r="H18" i="56" s="1"/>
  <c r="G22" i="56"/>
  <c r="H22" i="56" s="1"/>
  <c r="G30" i="56"/>
  <c r="H30" i="56" s="1"/>
  <c r="G42" i="56"/>
  <c r="H42" i="56" s="1"/>
  <c r="G54" i="56"/>
  <c r="H54" i="56" s="1"/>
  <c r="G58" i="56"/>
  <c r="H58" i="56" s="1"/>
  <c r="G66" i="56"/>
  <c r="H66" i="56" s="1"/>
  <c r="G66" i="63"/>
  <c r="H66" i="63" s="1"/>
  <c r="Q23" i="65"/>
  <c r="S23" i="65" s="1"/>
  <c r="I51" i="65"/>
  <c r="K51" i="65" s="1"/>
  <c r="K41" i="64"/>
  <c r="L41" i="64" s="1"/>
  <c r="G32" i="64"/>
  <c r="H32" i="64" s="1"/>
  <c r="K19" i="63"/>
  <c r="L19" i="63" s="1"/>
  <c r="K67" i="63"/>
  <c r="L67" i="63" s="1"/>
  <c r="G57" i="63"/>
  <c r="H57" i="63" s="1"/>
  <c r="K56" i="62"/>
  <c r="L56" i="62" s="1"/>
  <c r="G46" i="62"/>
  <c r="H46" i="62" s="1"/>
  <c r="K37" i="61"/>
  <c r="L37" i="61" s="1"/>
  <c r="G28" i="61"/>
  <c r="H28" i="61" s="1"/>
  <c r="K72" i="60"/>
  <c r="L72" i="60" s="1"/>
  <c r="K63" i="60"/>
  <c r="L63" i="60" s="1"/>
  <c r="G53" i="60"/>
  <c r="H53" i="60" s="1"/>
  <c r="K25" i="59"/>
  <c r="L25" i="59" s="1"/>
  <c r="K49" i="59"/>
  <c r="L49" i="59" s="1"/>
  <c r="K15" i="59"/>
  <c r="L15" i="59" s="1"/>
  <c r="G39" i="59"/>
  <c r="H39" i="59" s="1"/>
  <c r="G63" i="59"/>
  <c r="H63" i="59" s="1"/>
  <c r="K22" i="58"/>
  <c r="L22" i="58" s="1"/>
  <c r="K46" i="58"/>
  <c r="L46" i="58" s="1"/>
  <c r="G33" i="58"/>
  <c r="H33" i="58" s="1"/>
  <c r="K20" i="57"/>
  <c r="L20" i="57" s="1"/>
  <c r="K55" i="57"/>
  <c r="L55" i="57" s="1"/>
  <c r="G68" i="57"/>
  <c r="H68" i="57" s="1"/>
  <c r="G46" i="56"/>
  <c r="H46" i="56" s="1"/>
  <c r="G70" i="56"/>
  <c r="H70" i="56" s="1"/>
  <c r="K20" i="62"/>
  <c r="L20" i="62" s="1"/>
  <c r="I64" i="65"/>
  <c r="K64" i="65" s="1"/>
  <c r="K42" i="64"/>
  <c r="L42" i="64" s="1"/>
  <c r="G33" i="64"/>
  <c r="H33" i="64" s="1"/>
  <c r="K25" i="63"/>
  <c r="L25" i="63" s="1"/>
  <c r="K15" i="63"/>
  <c r="G63" i="63"/>
  <c r="H63" i="63" s="1"/>
  <c r="K59" i="62"/>
  <c r="L59" i="62" s="1"/>
  <c r="G49" i="62"/>
  <c r="H49" i="62" s="1"/>
  <c r="K40" i="61"/>
  <c r="L40" i="61" s="1"/>
  <c r="G31" i="61"/>
  <c r="H31" i="61" s="1"/>
  <c r="K24" i="60"/>
  <c r="L24" i="60" s="1"/>
  <c r="G62" i="60"/>
  <c r="H62" i="60" s="1"/>
  <c r="K27" i="59"/>
  <c r="L27" i="59" s="1"/>
  <c r="K51" i="59"/>
  <c r="L51" i="59" s="1"/>
  <c r="G17" i="59"/>
  <c r="H17" i="59" s="1"/>
  <c r="G41" i="59"/>
  <c r="H41" i="59" s="1"/>
  <c r="G65" i="59"/>
  <c r="H65" i="59" s="1"/>
  <c r="K24" i="58"/>
  <c r="L24" i="58" s="1"/>
  <c r="K48" i="58"/>
  <c r="L48" i="58" s="1"/>
  <c r="K72" i="58"/>
  <c r="L72" i="58" s="1"/>
  <c r="G35" i="58"/>
  <c r="H35" i="58" s="1"/>
  <c r="G55" i="58"/>
  <c r="H55" i="58" s="1"/>
  <c r="K22" i="57"/>
  <c r="L22" i="57" s="1"/>
  <c r="K39" i="57"/>
  <c r="L39" i="57" s="1"/>
  <c r="K72" i="57"/>
  <c r="L72" i="57" s="1"/>
  <c r="G27" i="57"/>
  <c r="H27" i="57" s="1"/>
  <c r="G51" i="57"/>
  <c r="H51" i="57" s="1"/>
  <c r="G61" i="57"/>
  <c r="H61" i="57" s="1"/>
  <c r="K18" i="56"/>
  <c r="L18" i="56" s="1"/>
  <c r="G26" i="56"/>
  <c r="H26" i="56" s="1"/>
  <c r="K30" i="56"/>
  <c r="L30" i="56" s="1"/>
  <c r="G38" i="56"/>
  <c r="H38" i="56" s="1"/>
  <c r="K42" i="56"/>
  <c r="L42" i="56" s="1"/>
  <c r="G50" i="56"/>
  <c r="H50" i="56" s="1"/>
  <c r="K54" i="56"/>
  <c r="L54" i="56" s="1"/>
  <c r="G62" i="56"/>
  <c r="H62" i="56" s="1"/>
  <c r="K66" i="56"/>
  <c r="L66" i="56" s="1"/>
  <c r="K68" i="62"/>
  <c r="L68" i="62" s="1"/>
  <c r="K43" i="61"/>
  <c r="L43" i="61" s="1"/>
  <c r="G34" i="61"/>
  <c r="H34" i="61" s="1"/>
  <c r="K26" i="60"/>
  <c r="L26" i="60" s="1"/>
  <c r="G16" i="60"/>
  <c r="H16" i="60" s="1"/>
  <c r="G64" i="60"/>
  <c r="H64" i="60" s="1"/>
  <c r="K52" i="59"/>
  <c r="L52" i="59" s="1"/>
  <c r="G18" i="59"/>
  <c r="H18" i="59" s="1"/>
  <c r="G42" i="59"/>
  <c r="H42" i="59" s="1"/>
  <c r="G66" i="59"/>
  <c r="H66" i="59" s="1"/>
  <c r="K50" i="58"/>
  <c r="L50" i="58" s="1"/>
  <c r="G16" i="58"/>
  <c r="H16" i="58" s="1"/>
  <c r="G57" i="58"/>
  <c r="H57" i="58" s="1"/>
  <c r="Q24" i="65"/>
  <c r="S24" i="65" s="1"/>
  <c r="K45" i="64"/>
  <c r="L45" i="64" s="1"/>
  <c r="G36" i="64"/>
  <c r="H36" i="64" s="1"/>
  <c r="K28" i="63"/>
  <c r="L28" i="63" s="1"/>
  <c r="G58" i="62"/>
  <c r="H58" i="62" s="1"/>
  <c r="K28" i="59"/>
  <c r="L28" i="59" s="1"/>
  <c r="Q25" i="65"/>
  <c r="S25" i="65" s="1"/>
  <c r="K54" i="64"/>
  <c r="L54" i="64" s="1"/>
  <c r="G45" i="64"/>
  <c r="H45" i="64" s="1"/>
  <c r="K30" i="63"/>
  <c r="L30" i="63" s="1"/>
  <c r="G20" i="63"/>
  <c r="H20" i="63" s="1"/>
  <c r="G68" i="63"/>
  <c r="H68" i="63" s="1"/>
  <c r="K22" i="62"/>
  <c r="L22" i="62" s="1"/>
  <c r="K70" i="62"/>
  <c r="L70" i="62" s="1"/>
  <c r="G60" i="62"/>
  <c r="H60" i="62" s="1"/>
  <c r="K44" i="61"/>
  <c r="L44" i="61" s="1"/>
  <c r="G35" i="61"/>
  <c r="H35" i="61" s="1"/>
  <c r="K32" i="60"/>
  <c r="L32" i="60" s="1"/>
  <c r="G22" i="60"/>
  <c r="H22" i="60" s="1"/>
  <c r="G68" i="60"/>
  <c r="H68" i="60" s="1"/>
  <c r="K30" i="59"/>
  <c r="L30" i="59" s="1"/>
  <c r="K54" i="59"/>
  <c r="L54" i="59" s="1"/>
  <c r="G20" i="59"/>
  <c r="H20" i="59" s="1"/>
  <c r="G44" i="59"/>
  <c r="H44" i="59" s="1"/>
  <c r="G68" i="59"/>
  <c r="H68" i="59" s="1"/>
  <c r="K27" i="58"/>
  <c r="L27" i="58" s="1"/>
  <c r="K51" i="58"/>
  <c r="L51" i="58" s="1"/>
  <c r="G17" i="58"/>
  <c r="H17" i="58" s="1"/>
  <c r="G38" i="58"/>
  <c r="H38" i="58" s="1"/>
  <c r="G59" i="58"/>
  <c r="H59" i="58" s="1"/>
  <c r="K25" i="57"/>
  <c r="L25" i="57" s="1"/>
  <c r="K43" i="57"/>
  <c r="L43" i="57" s="1"/>
  <c r="K58" i="57"/>
  <c r="L58" i="57" s="1"/>
  <c r="G17" i="57"/>
  <c r="H17" i="57" s="1"/>
  <c r="G29" i="57"/>
  <c r="H29" i="57" s="1"/>
  <c r="G42" i="57"/>
  <c r="H42" i="57" s="1"/>
  <c r="G52" i="57"/>
  <c r="H52" i="57" s="1"/>
  <c r="G62" i="57"/>
  <c r="H62" i="57" s="1"/>
  <c r="G19" i="56"/>
  <c r="H19" i="56" s="1"/>
  <c r="G27" i="56"/>
  <c r="H27" i="56" s="1"/>
  <c r="G31" i="56"/>
  <c r="H31" i="56" s="1"/>
  <c r="G39" i="56"/>
  <c r="H39" i="56" s="1"/>
  <c r="G43" i="56"/>
  <c r="H43" i="56" s="1"/>
  <c r="G51" i="56"/>
  <c r="H51" i="56" s="1"/>
  <c r="G55" i="56"/>
  <c r="H55" i="56" s="1"/>
  <c r="G63" i="56"/>
  <c r="H63" i="56" s="1"/>
  <c r="G67" i="56"/>
  <c r="H67" i="56" s="1"/>
  <c r="G71" i="56"/>
  <c r="H71" i="56" s="1"/>
  <c r="I35" i="65"/>
  <c r="K35" i="65" s="1"/>
  <c r="K56" i="64"/>
  <c r="L56" i="64" s="1"/>
  <c r="G47" i="64"/>
  <c r="H47" i="64" s="1"/>
  <c r="K36" i="63"/>
  <c r="L36" i="63" s="1"/>
  <c r="G26" i="63"/>
  <c r="H26" i="63" s="1"/>
  <c r="K28" i="62"/>
  <c r="L28" i="62" s="1"/>
  <c r="G18" i="62"/>
  <c r="H18" i="62" s="1"/>
  <c r="G66" i="62"/>
  <c r="H66" i="62" s="1"/>
  <c r="K50" i="61"/>
  <c r="L50" i="61" s="1"/>
  <c r="G41" i="61"/>
  <c r="H41" i="61" s="1"/>
  <c r="K35" i="60"/>
  <c r="L35" i="60" s="1"/>
  <c r="G25" i="60"/>
  <c r="H25" i="60" s="1"/>
  <c r="G71" i="60"/>
  <c r="H71" i="60" s="1"/>
  <c r="K34" i="59"/>
  <c r="L34" i="59" s="1"/>
  <c r="K58" i="59"/>
  <c r="L58" i="59" s="1"/>
  <c r="G24" i="59"/>
  <c r="H24" i="59" s="1"/>
  <c r="G48" i="59"/>
  <c r="H48" i="59" s="1"/>
  <c r="G72" i="59"/>
  <c r="H72" i="59" s="1"/>
  <c r="K29" i="58"/>
  <c r="L29" i="58" s="1"/>
  <c r="K53" i="58"/>
  <c r="L53" i="58" s="1"/>
  <c r="G19" i="58"/>
  <c r="H19" i="58" s="1"/>
  <c r="G40" i="58"/>
  <c r="H40" i="58" s="1"/>
  <c r="G60" i="58"/>
  <c r="H60" i="58" s="1"/>
  <c r="K26" i="57"/>
  <c r="L26" i="57" s="1"/>
  <c r="K60" i="57"/>
  <c r="L60" i="57" s="1"/>
  <c r="G18" i="57"/>
  <c r="H18" i="57" s="1"/>
  <c r="G31" i="57"/>
  <c r="H31" i="57" s="1"/>
  <c r="G43" i="57"/>
  <c r="H43" i="57" s="1"/>
  <c r="G53" i="57"/>
  <c r="H53" i="57" s="1"/>
  <c r="G70" i="57"/>
  <c r="H70" i="57" s="1"/>
  <c r="G23" i="56"/>
  <c r="H23" i="56" s="1"/>
  <c r="K27" i="56"/>
  <c r="L27" i="56" s="1"/>
  <c r="G35" i="56"/>
  <c r="H35" i="56" s="1"/>
  <c r="K39" i="56"/>
  <c r="L39" i="56" s="1"/>
  <c r="G47" i="56"/>
  <c r="H47" i="56" s="1"/>
  <c r="K51" i="56"/>
  <c r="L51" i="56" s="1"/>
  <c r="G59" i="56"/>
  <c r="H59" i="56" s="1"/>
  <c r="K63" i="56"/>
  <c r="L63" i="56" s="1"/>
  <c r="Q48" i="65"/>
  <c r="S48" i="65" s="1"/>
  <c r="K59" i="64"/>
  <c r="L59" i="64" s="1"/>
  <c r="G50" i="64"/>
  <c r="H50" i="64" s="1"/>
  <c r="K42" i="63"/>
  <c r="L42" i="63" s="1"/>
  <c r="G32" i="63"/>
  <c r="H32" i="63" s="1"/>
  <c r="K31" i="62"/>
  <c r="L31" i="62" s="1"/>
  <c r="G21" i="62"/>
  <c r="H21" i="62" s="1"/>
  <c r="G69" i="62"/>
  <c r="H69" i="62" s="1"/>
  <c r="K56" i="61"/>
  <c r="L56" i="61" s="1"/>
  <c r="G47" i="61"/>
  <c r="H47" i="61" s="1"/>
  <c r="K36" i="60"/>
  <c r="L36" i="60" s="1"/>
  <c r="G26" i="60"/>
  <c r="H26" i="60" s="1"/>
  <c r="G15" i="60"/>
  <c r="K35" i="59"/>
  <c r="L35" i="59" s="1"/>
  <c r="K59" i="59"/>
  <c r="L59" i="59" s="1"/>
  <c r="G25" i="59"/>
  <c r="H25" i="59" s="1"/>
  <c r="G49" i="59"/>
  <c r="H49" i="59" s="1"/>
  <c r="K33" i="58"/>
  <c r="L33" i="58" s="1"/>
  <c r="K57" i="58"/>
  <c r="L57" i="58" s="1"/>
  <c r="G21" i="58"/>
  <c r="H21" i="58" s="1"/>
  <c r="G41" i="58"/>
  <c r="H41" i="58" s="1"/>
  <c r="G62" i="58"/>
  <c r="H62" i="58" s="1"/>
  <c r="K27" i="57"/>
  <c r="L27" i="57" s="1"/>
  <c r="K45" i="57"/>
  <c r="L45" i="57" s="1"/>
  <c r="G19" i="57"/>
  <c r="H19" i="57" s="1"/>
  <c r="G32" i="57"/>
  <c r="H32" i="57" s="1"/>
  <c r="G55" i="57"/>
  <c r="H55" i="57" s="1"/>
  <c r="G63" i="57"/>
  <c r="H63" i="57" s="1"/>
  <c r="G71" i="57"/>
  <c r="H71" i="57" s="1"/>
  <c r="G15" i="56"/>
  <c r="K19" i="56"/>
  <c r="L19" i="56" s="1"/>
  <c r="K23" i="56"/>
  <c r="L23" i="56" s="1"/>
  <c r="K31" i="56"/>
  <c r="L31" i="56" s="1"/>
  <c r="K35" i="56"/>
  <c r="L35" i="56" s="1"/>
  <c r="K43" i="56"/>
  <c r="L43" i="56" s="1"/>
  <c r="K47" i="56"/>
  <c r="L47" i="56" s="1"/>
  <c r="K55" i="56"/>
  <c r="L55" i="56" s="1"/>
  <c r="K59" i="56"/>
  <c r="L59" i="56" s="1"/>
  <c r="K67" i="56"/>
  <c r="L67" i="56" s="1"/>
  <c r="K71" i="56"/>
  <c r="L71" i="56" s="1"/>
  <c r="K21" i="64"/>
  <c r="L21" i="64" s="1"/>
  <c r="K52" i="63"/>
  <c r="L52" i="63" s="1"/>
  <c r="G70" i="62"/>
  <c r="H70" i="62" s="1"/>
  <c r="K19" i="61"/>
  <c r="L19" i="61" s="1"/>
  <c r="K50" i="60"/>
  <c r="L50" i="60" s="1"/>
  <c r="K40" i="59"/>
  <c r="L40" i="59" s="1"/>
  <c r="G54" i="59"/>
  <c r="H54" i="59" s="1"/>
  <c r="K62" i="58"/>
  <c r="L62" i="58" s="1"/>
  <c r="G65" i="58"/>
  <c r="H65" i="58" s="1"/>
  <c r="K51" i="57"/>
  <c r="L51" i="57" s="1"/>
  <c r="G33" i="57"/>
  <c r="H33" i="57" s="1"/>
  <c r="G57" i="57"/>
  <c r="H57" i="57" s="1"/>
  <c r="K20" i="56"/>
  <c r="L20" i="56" s="1"/>
  <c r="G49" i="56"/>
  <c r="H49" i="56" s="1"/>
  <c r="G60" i="56"/>
  <c r="H60" i="56" s="1"/>
  <c r="K68" i="56"/>
  <c r="L68" i="56" s="1"/>
  <c r="K63" i="58"/>
  <c r="L63" i="58" s="1"/>
  <c r="G67" i="58"/>
  <c r="H67" i="58" s="1"/>
  <c r="K57" i="57"/>
  <c r="L57" i="57" s="1"/>
  <c r="G21" i="56"/>
  <c r="H21" i="56" s="1"/>
  <c r="K40" i="56"/>
  <c r="L40" i="56" s="1"/>
  <c r="K50" i="56"/>
  <c r="L50" i="56" s="1"/>
  <c r="K60" i="56"/>
  <c r="L60" i="56" s="1"/>
  <c r="G69" i="56"/>
  <c r="H69" i="56" s="1"/>
  <c r="G34" i="57"/>
  <c r="H34" i="57" s="1"/>
  <c r="K22" i="56"/>
  <c r="L22" i="56" s="1"/>
  <c r="G32" i="56"/>
  <c r="H32" i="56" s="1"/>
  <c r="G52" i="56"/>
  <c r="H52" i="56" s="1"/>
  <c r="K70" i="56"/>
  <c r="L70" i="56" s="1"/>
  <c r="G24" i="58"/>
  <c r="H24" i="58" s="1"/>
  <c r="K64" i="57"/>
  <c r="L64" i="57" s="1"/>
  <c r="K32" i="56"/>
  <c r="L32" i="56" s="1"/>
  <c r="G61" i="56"/>
  <c r="H61" i="56" s="1"/>
  <c r="K29" i="57"/>
  <c r="L29" i="57" s="1"/>
  <c r="K24" i="56"/>
  <c r="L24" i="56" s="1"/>
  <c r="K62" i="56"/>
  <c r="L62" i="56" s="1"/>
  <c r="G44" i="63"/>
  <c r="H44" i="63" s="1"/>
  <c r="G28" i="58"/>
  <c r="H28" i="58" s="1"/>
  <c r="K66" i="57"/>
  <c r="L66" i="57" s="1"/>
  <c r="K15" i="56"/>
  <c r="L15" i="56" s="1"/>
  <c r="K44" i="62"/>
  <c r="L44" i="62" s="1"/>
  <c r="G16" i="57"/>
  <c r="H16" i="57" s="1"/>
  <c r="G66" i="57"/>
  <c r="H66" i="57" s="1"/>
  <c r="G36" i="56"/>
  <c r="H36" i="56" s="1"/>
  <c r="G69" i="64"/>
  <c r="H69" i="64" s="1"/>
  <c r="G32" i="59"/>
  <c r="H32" i="59" s="1"/>
  <c r="G34" i="62"/>
  <c r="H34" i="62" s="1"/>
  <c r="K39" i="60"/>
  <c r="L39" i="60" s="1"/>
  <c r="K38" i="56"/>
  <c r="L38" i="56" s="1"/>
  <c r="K49" i="63"/>
  <c r="L49" i="63" s="1"/>
  <c r="G53" i="59"/>
  <c r="H53" i="59" s="1"/>
  <c r="Q35" i="65"/>
  <c r="S35" i="65" s="1"/>
  <c r="I44" i="65"/>
  <c r="K44" i="65" s="1"/>
  <c r="K30" i="64"/>
  <c r="L30" i="64" s="1"/>
  <c r="K54" i="63"/>
  <c r="L54" i="63" s="1"/>
  <c r="G15" i="62"/>
  <c r="K20" i="61"/>
  <c r="L20" i="61" s="1"/>
  <c r="K56" i="60"/>
  <c r="L56" i="60" s="1"/>
  <c r="K42" i="59"/>
  <c r="L42" i="59" s="1"/>
  <c r="G56" i="59"/>
  <c r="H56" i="59" s="1"/>
  <c r="G41" i="57"/>
  <c r="H41" i="57" s="1"/>
  <c r="G64" i="57"/>
  <c r="H64" i="57" s="1"/>
  <c r="K52" i="56"/>
  <c r="L52" i="56" s="1"/>
  <c r="G21" i="64"/>
  <c r="H21" i="64" s="1"/>
  <c r="K68" i="61"/>
  <c r="L68" i="61" s="1"/>
  <c r="K66" i="59"/>
  <c r="L66" i="59" s="1"/>
  <c r="G44" i="56"/>
  <c r="H44" i="56" s="1"/>
  <c r="G23" i="57"/>
  <c r="H23" i="57" s="1"/>
  <c r="K48" i="56"/>
  <c r="L48" i="56" s="1"/>
  <c r="K18" i="64"/>
  <c r="L18" i="64" s="1"/>
  <c r="K16" i="61"/>
  <c r="L16" i="61" s="1"/>
  <c r="G40" i="56"/>
  <c r="H40" i="56" s="1"/>
  <c r="K65" i="64"/>
  <c r="L65" i="64" s="1"/>
  <c r="G33" i="63"/>
  <c r="H33" i="63" s="1"/>
  <c r="K61" i="61"/>
  <c r="L61" i="61" s="1"/>
  <c r="G29" i="60"/>
  <c r="H29" i="60" s="1"/>
  <c r="K61" i="59"/>
  <c r="L61" i="59" s="1"/>
  <c r="G23" i="58"/>
  <c r="H23" i="58" s="1"/>
  <c r="G69" i="58"/>
  <c r="H69" i="58" s="1"/>
  <c r="K16" i="57"/>
  <c r="L16" i="57" s="1"/>
  <c r="K63" i="57"/>
  <c r="L63" i="57" s="1"/>
  <c r="G35" i="57"/>
  <c r="H35" i="57" s="1"/>
  <c r="G24" i="56"/>
  <c r="H24" i="56" s="1"/>
  <c r="K65" i="57"/>
  <c r="L65" i="57" s="1"/>
  <c r="I49" i="65"/>
  <c r="K49" i="65" s="1"/>
  <c r="K35" i="62"/>
  <c r="L35" i="62" s="1"/>
  <c r="G46" i="60"/>
  <c r="H46" i="60" s="1"/>
  <c r="G65" i="57"/>
  <c r="H65" i="57" s="1"/>
  <c r="K34" i="56"/>
  <c r="L34" i="56" s="1"/>
  <c r="G56" i="64"/>
  <c r="H56" i="64" s="1"/>
  <c r="K34" i="58"/>
  <c r="L34" i="58" s="1"/>
  <c r="K32" i="57"/>
  <c r="L32" i="57" s="1"/>
  <c r="G16" i="56"/>
  <c r="H16" i="56" s="1"/>
  <c r="G48" i="56"/>
  <c r="H48" i="56" s="1"/>
  <c r="K43" i="63"/>
  <c r="L43" i="63" s="1"/>
  <c r="G51" i="59"/>
  <c r="H51" i="59" s="1"/>
  <c r="K48" i="57"/>
  <c r="L48" i="57" s="1"/>
  <c r="K28" i="56"/>
  <c r="L28" i="56" s="1"/>
  <c r="K60" i="58"/>
  <c r="L60" i="58" s="1"/>
  <c r="G28" i="57"/>
  <c r="H28" i="57" s="1"/>
  <c r="G20" i="56"/>
  <c r="H20" i="56" s="1"/>
  <c r="G68" i="56"/>
  <c r="H68" i="56" s="1"/>
  <c r="I56" i="65"/>
  <c r="K56" i="65" s="1"/>
  <c r="K66" i="64"/>
  <c r="L66" i="64" s="1"/>
  <c r="G39" i="63"/>
  <c r="H39" i="63" s="1"/>
  <c r="K64" i="61"/>
  <c r="L64" i="61" s="1"/>
  <c r="G38" i="60"/>
  <c r="H38" i="60" s="1"/>
  <c r="K63" i="59"/>
  <c r="L63" i="59" s="1"/>
  <c r="K23" i="57"/>
  <c r="L23" i="57" s="1"/>
  <c r="G72" i="56"/>
  <c r="H72" i="56" s="1"/>
  <c r="K72" i="56"/>
  <c r="L72" i="56" s="1"/>
  <c r="K31" i="57"/>
  <c r="L31" i="57" s="1"/>
  <c r="G64" i="56"/>
  <c r="H64" i="56" s="1"/>
  <c r="G52" i="61"/>
  <c r="H52" i="61" s="1"/>
  <c r="G27" i="59"/>
  <c r="H27" i="59" s="1"/>
  <c r="G25" i="56"/>
  <c r="H25" i="56" s="1"/>
  <c r="G25" i="62"/>
  <c r="H25" i="62" s="1"/>
  <c r="G47" i="58"/>
  <c r="H47" i="58" s="1"/>
  <c r="K17" i="64"/>
  <c r="L17" i="64" s="1"/>
  <c r="G15" i="57"/>
  <c r="K48" i="60"/>
  <c r="L48" i="60" s="1"/>
  <c r="K58" i="56"/>
  <c r="L58" i="56" s="1"/>
  <c r="K69" i="64"/>
  <c r="L69" i="64" s="1"/>
  <c r="G42" i="63"/>
  <c r="H42" i="63" s="1"/>
  <c r="K32" i="62"/>
  <c r="L32" i="62" s="1"/>
  <c r="K67" i="61"/>
  <c r="L67" i="61" s="1"/>
  <c r="G40" i="60"/>
  <c r="H40" i="60" s="1"/>
  <c r="K64" i="59"/>
  <c r="L64" i="59" s="1"/>
  <c r="G26" i="58"/>
  <c r="H26" i="58" s="1"/>
  <c r="G33" i="56"/>
  <c r="H33" i="56" s="1"/>
  <c r="G36" i="58"/>
  <c r="H36" i="58" s="1"/>
  <c r="G45" i="57"/>
  <c r="H45" i="57" s="1"/>
  <c r="K44" i="56"/>
  <c r="L44" i="56" s="1"/>
  <c r="G59" i="61"/>
  <c r="H59" i="61" s="1"/>
  <c r="K15" i="57"/>
  <c r="K56" i="56"/>
  <c r="L56" i="56" s="1"/>
  <c r="Q60" i="65"/>
  <c r="S60" i="65" s="1"/>
  <c r="K37" i="59"/>
  <c r="L37" i="59" s="1"/>
  <c r="G48" i="58"/>
  <c r="H48" i="58" s="1"/>
  <c r="G57" i="56"/>
  <c r="H57" i="56" s="1"/>
  <c r="G36" i="62"/>
  <c r="H36" i="62" s="1"/>
  <c r="K39" i="59"/>
  <c r="L39" i="59" s="1"/>
  <c r="G64" i="58"/>
  <c r="H64" i="58" s="1"/>
  <c r="G56" i="57"/>
  <c r="H56" i="57" s="1"/>
  <c r="I36" i="65"/>
  <c r="K36" i="65" s="1"/>
  <c r="G57" i="64"/>
  <c r="H57" i="64" s="1"/>
  <c r="K46" i="62"/>
  <c r="L46" i="62" s="1"/>
  <c r="G55" i="61"/>
  <c r="H55" i="61" s="1"/>
  <c r="G29" i="59"/>
  <c r="H29" i="59" s="1"/>
  <c r="K36" i="58"/>
  <c r="L36" i="58" s="1"/>
  <c r="G43" i="58"/>
  <c r="H43" i="58" s="1"/>
  <c r="G15" i="58"/>
  <c r="K33" i="57"/>
  <c r="L33" i="57" s="1"/>
  <c r="G20" i="57"/>
  <c r="H20" i="57" s="1"/>
  <c r="G46" i="57"/>
  <c r="H46" i="57" s="1"/>
  <c r="G69" i="57"/>
  <c r="H69" i="57" s="1"/>
  <c r="K26" i="56"/>
  <c r="L26" i="56" s="1"/>
  <c r="K36" i="56"/>
  <c r="L36" i="56" s="1"/>
  <c r="G45" i="56"/>
  <c r="H45" i="56" s="1"/>
  <c r="K64" i="56"/>
  <c r="L64" i="56" s="1"/>
  <c r="G60" i="64"/>
  <c r="H60" i="64" s="1"/>
  <c r="G22" i="62"/>
  <c r="H22" i="62" s="1"/>
  <c r="G58" i="61"/>
  <c r="H58" i="61" s="1"/>
  <c r="K16" i="59"/>
  <c r="L16" i="59" s="1"/>
  <c r="G30" i="59"/>
  <c r="H30" i="59" s="1"/>
  <c r="K38" i="58"/>
  <c r="L38" i="58" s="1"/>
  <c r="G45" i="58"/>
  <c r="H45" i="58" s="1"/>
  <c r="K41" i="57"/>
  <c r="L41" i="57" s="1"/>
  <c r="G48" i="57"/>
  <c r="H48" i="57" s="1"/>
  <c r="G72" i="57"/>
  <c r="H72" i="57" s="1"/>
  <c r="K16" i="56"/>
  <c r="G28" i="56"/>
  <c r="H28" i="56" s="1"/>
  <c r="K46" i="56"/>
  <c r="L46" i="56" s="1"/>
  <c r="G56" i="56"/>
  <c r="H56" i="56" s="1"/>
  <c r="K18" i="59"/>
  <c r="L18" i="59" s="1"/>
  <c r="K39" i="58"/>
  <c r="L39" i="58" s="1"/>
  <c r="K47" i="57"/>
  <c r="L47" i="57" s="1"/>
  <c r="G37" i="56"/>
  <c r="H37" i="56" s="1"/>
  <c r="K58" i="58"/>
  <c r="L58" i="58" s="1"/>
  <c r="K18" i="39"/>
  <c r="G152" i="39"/>
  <c r="G18" i="39"/>
  <c r="Q15" i="48"/>
  <c r="S15" i="48" s="1"/>
  <c r="I15" i="48"/>
  <c r="K15" i="48" s="1"/>
  <c r="I15" i="49"/>
  <c r="K15" i="49" s="1"/>
  <c r="I15" i="47"/>
  <c r="K15" i="47" s="1"/>
  <c r="Q15" i="47"/>
  <c r="S15" i="47" s="1"/>
  <c r="M173" i="50"/>
  <c r="M174" i="50" s="1"/>
  <c r="F29" i="52"/>
  <c r="D39" i="52"/>
  <c r="G92" i="40"/>
  <c r="V41" i="40"/>
  <c r="E37" i="33"/>
  <c r="K192" i="39"/>
  <c r="K156" i="39"/>
  <c r="K119" i="39"/>
  <c r="K83" i="39"/>
  <c r="K47" i="39"/>
  <c r="K154" i="39"/>
  <c r="G183" i="39"/>
  <c r="G146" i="39"/>
  <c r="G110" i="39"/>
  <c r="G74" i="39"/>
  <c r="G38" i="39"/>
  <c r="K96" i="39"/>
  <c r="K173" i="39"/>
  <c r="K136" i="39"/>
  <c r="K100" i="39"/>
  <c r="K64" i="39"/>
  <c r="K28" i="39"/>
  <c r="K181" i="39"/>
  <c r="G173" i="39"/>
  <c r="G136" i="39"/>
  <c r="G100" i="39"/>
  <c r="G64" i="39"/>
  <c r="G28" i="39"/>
  <c r="K105" i="39"/>
  <c r="K126" i="39"/>
  <c r="G184" i="39"/>
  <c r="G147" i="39"/>
  <c r="G111" i="39"/>
  <c r="G75" i="39"/>
  <c r="G39" i="39"/>
  <c r="K189" i="39"/>
  <c r="K153" i="39"/>
  <c r="K116" i="39"/>
  <c r="K80" i="39"/>
  <c r="K44" i="39"/>
  <c r="K117" i="39"/>
  <c r="G180" i="39"/>
  <c r="G143" i="39"/>
  <c r="G107" i="39"/>
  <c r="G71" i="39"/>
  <c r="G35" i="39"/>
  <c r="K72" i="39"/>
  <c r="K170" i="39"/>
  <c r="K133" i="39"/>
  <c r="K97" i="39"/>
  <c r="K61" i="39"/>
  <c r="K25" i="39"/>
  <c r="K132" i="39"/>
  <c r="G170" i="39"/>
  <c r="G133" i="39"/>
  <c r="G97" i="39"/>
  <c r="G61" i="39"/>
  <c r="G25" i="39"/>
  <c r="K99" i="39"/>
  <c r="K108" i="39"/>
  <c r="G181" i="39"/>
  <c r="G144" i="39"/>
  <c r="G108" i="39"/>
  <c r="G72" i="39"/>
  <c r="G36" i="39"/>
  <c r="K22" i="39"/>
  <c r="G167" i="39"/>
  <c r="G130" i="39"/>
  <c r="G94" i="39"/>
  <c r="G22" i="39"/>
  <c r="K90" i="39"/>
  <c r="K102" i="39"/>
  <c r="G178" i="39"/>
  <c r="G105" i="39"/>
  <c r="G69" i="39"/>
  <c r="G33" i="39"/>
  <c r="K110" i="39"/>
  <c r="K74" i="39"/>
  <c r="K63" i="39"/>
  <c r="G137" i="39"/>
  <c r="G101" i="39"/>
  <c r="G65" i="39"/>
  <c r="G29" i="39"/>
  <c r="K27" i="39"/>
  <c r="K127" i="39"/>
  <c r="K91" i="39"/>
  <c r="K55" i="39"/>
  <c r="K33" i="39"/>
  <c r="K186" i="39"/>
  <c r="K149" i="39"/>
  <c r="K113" i="39"/>
  <c r="K77" i="39"/>
  <c r="K41" i="39"/>
  <c r="K81" i="39"/>
  <c r="G177" i="39"/>
  <c r="G140" i="39"/>
  <c r="G104" i="39"/>
  <c r="G68" i="39"/>
  <c r="G32" i="39"/>
  <c r="K51" i="39"/>
  <c r="K167" i="39"/>
  <c r="K130" i="39"/>
  <c r="K94" i="39"/>
  <c r="K58" i="39"/>
  <c r="K84" i="39"/>
  <c r="G58" i="39"/>
  <c r="G141" i="39"/>
  <c r="G174" i="39"/>
  <c r="K19" i="39"/>
  <c r="K183" i="39"/>
  <c r="K146" i="39"/>
  <c r="K38" i="39"/>
  <c r="K180" i="39"/>
  <c r="K143" i="39"/>
  <c r="K107" i="39"/>
  <c r="K71" i="39"/>
  <c r="K35" i="39"/>
  <c r="K45" i="39"/>
  <c r="G171" i="39"/>
  <c r="G134" i="39"/>
  <c r="G98" i="39"/>
  <c r="G62" i="39"/>
  <c r="G26" i="39"/>
  <c r="K197" i="39"/>
  <c r="K161" i="39"/>
  <c r="K165" i="39"/>
  <c r="K128" i="39"/>
  <c r="K162" i="39"/>
  <c r="K92" i="39"/>
  <c r="K26" i="39"/>
  <c r="G168" i="39"/>
  <c r="G116" i="39"/>
  <c r="G50" i="39"/>
  <c r="K191" i="39"/>
  <c r="K142" i="39"/>
  <c r="K82" i="39"/>
  <c r="K34" i="39"/>
  <c r="G191" i="39"/>
  <c r="G145" i="39"/>
  <c r="G91" i="39"/>
  <c r="G46" i="39"/>
  <c r="K129" i="39"/>
  <c r="K87" i="39"/>
  <c r="G166" i="39"/>
  <c r="G120" i="39"/>
  <c r="G66" i="39"/>
  <c r="G21" i="39"/>
  <c r="K23" i="39"/>
  <c r="G113" i="39"/>
  <c r="G47" i="39"/>
  <c r="K139" i="39"/>
  <c r="K79" i="39"/>
  <c r="K31" i="39"/>
  <c r="G142" i="39"/>
  <c r="G88" i="39"/>
  <c r="K123" i="39"/>
  <c r="K69" i="39"/>
  <c r="G163" i="39"/>
  <c r="G63" i="39"/>
  <c r="G114" i="39"/>
  <c r="G41" i="39"/>
  <c r="K73" i="39"/>
  <c r="G127" i="39"/>
  <c r="K78" i="39"/>
  <c r="G102" i="39"/>
  <c r="K65" i="39"/>
  <c r="G23" i="39"/>
  <c r="K150" i="39"/>
  <c r="G79" i="39"/>
  <c r="K21" i="39"/>
  <c r="G150" i="39"/>
  <c r="G149" i="39"/>
  <c r="K52" i="39"/>
  <c r="G118" i="39"/>
  <c r="K39" i="39"/>
  <c r="G93" i="39"/>
  <c r="K56" i="39"/>
  <c r="K158" i="39"/>
  <c r="G115" i="39"/>
  <c r="K24" i="39"/>
  <c r="K53" i="39"/>
  <c r="K155" i="39"/>
  <c r="G67" i="39"/>
  <c r="G132" i="39"/>
  <c r="G52" i="39"/>
  <c r="G81" i="39"/>
  <c r="K168" i="39"/>
  <c r="K85" i="39"/>
  <c r="G49" i="39"/>
  <c r="G24" i="39"/>
  <c r="K159" i="39"/>
  <c r="K89" i="39"/>
  <c r="G165" i="39"/>
  <c r="K188" i="39"/>
  <c r="G188" i="39"/>
  <c r="G43" i="39"/>
  <c r="G117" i="39"/>
  <c r="K111" i="39"/>
  <c r="G160" i="39"/>
  <c r="G60" i="39"/>
  <c r="K182" i="39"/>
  <c r="K166" i="39"/>
  <c r="G182" i="39"/>
  <c r="G37" i="39"/>
  <c r="G157" i="39"/>
  <c r="G156" i="39"/>
  <c r="K118" i="39"/>
  <c r="G124" i="39"/>
  <c r="G99" i="39"/>
  <c r="K62" i="39"/>
  <c r="K30" i="39"/>
  <c r="G86" i="39"/>
  <c r="K176" i="39"/>
  <c r="K67" i="39"/>
  <c r="G76" i="39"/>
  <c r="G196" i="39"/>
  <c r="G161" i="39"/>
  <c r="G190" i="39"/>
  <c r="G45" i="39"/>
  <c r="K104" i="39"/>
  <c r="K157" i="39"/>
  <c r="K48" i="39"/>
  <c r="K175" i="39"/>
  <c r="G87" i="39"/>
  <c r="G172" i="39"/>
  <c r="K95" i="39"/>
  <c r="K145" i="39"/>
  <c r="G103" i="39"/>
  <c r="G78" i="39"/>
  <c r="K140" i="39"/>
  <c r="K86" i="39"/>
  <c r="K20" i="39"/>
  <c r="G162" i="39"/>
  <c r="G95" i="39"/>
  <c r="G44" i="39"/>
  <c r="K185" i="39"/>
  <c r="K124" i="39"/>
  <c r="K76" i="39"/>
  <c r="K196" i="39"/>
  <c r="G185" i="39"/>
  <c r="G139" i="39"/>
  <c r="G85" i="39"/>
  <c r="G40" i="39"/>
  <c r="K57" i="39"/>
  <c r="K42" i="39"/>
  <c r="G57" i="39"/>
  <c r="K169" i="39"/>
  <c r="K179" i="39"/>
  <c r="G179" i="39"/>
  <c r="K66" i="39"/>
  <c r="G54" i="39"/>
  <c r="K131" i="39"/>
  <c r="G153" i="39"/>
  <c r="G20" i="39"/>
  <c r="K115" i="39"/>
  <c r="K114" i="39"/>
  <c r="G121" i="39"/>
  <c r="G31" i="39"/>
  <c r="G51" i="39"/>
  <c r="K125" i="39"/>
  <c r="G83" i="39"/>
  <c r="K164" i="39"/>
  <c r="K75" i="39"/>
  <c r="G19" i="39"/>
  <c r="G138" i="39"/>
  <c r="K93" i="39"/>
  <c r="K184" i="39"/>
  <c r="K49" i="39"/>
  <c r="K178" i="39"/>
  <c r="G90" i="39"/>
  <c r="G128" i="39"/>
  <c r="K106" i="39"/>
  <c r="G158" i="39"/>
  <c r="G187" i="39"/>
  <c r="G42" i="39"/>
  <c r="K144" i="39"/>
  <c r="G27" i="39"/>
  <c r="G186" i="39"/>
  <c r="K37" i="39"/>
  <c r="K138" i="39"/>
  <c r="K137" i="39"/>
  <c r="K68" i="39"/>
  <c r="K187" i="39"/>
  <c r="G159" i="39"/>
  <c r="G92" i="39"/>
  <c r="K121" i="39"/>
  <c r="G82" i="39"/>
  <c r="K70" i="39"/>
  <c r="G34" i="39"/>
  <c r="G176" i="39"/>
  <c r="G96" i="39"/>
  <c r="K59" i="39"/>
  <c r="K112" i="39"/>
  <c r="G73" i="39"/>
  <c r="G193" i="39"/>
  <c r="G48" i="39"/>
  <c r="K195" i="39"/>
  <c r="G131" i="39"/>
  <c r="G80" i="39"/>
  <c r="K109" i="39"/>
  <c r="G70" i="39"/>
  <c r="G135" i="39"/>
  <c r="K177" i="39"/>
  <c r="G77" i="39"/>
  <c r="K46" i="39"/>
  <c r="K172" i="39"/>
  <c r="K147" i="39"/>
  <c r="G119" i="39"/>
  <c r="K194" i="39"/>
  <c r="G148" i="39"/>
  <c r="G169" i="39"/>
  <c r="K134" i="39"/>
  <c r="G89" i="39"/>
  <c r="G154" i="39"/>
  <c r="K54" i="39"/>
  <c r="K193" i="39"/>
  <c r="K190" i="39"/>
  <c r="G164" i="39"/>
  <c r="K122" i="39"/>
  <c r="K60" i="39"/>
  <c r="G195" i="39"/>
  <c r="G112" i="39"/>
  <c r="G53" i="39"/>
  <c r="G123" i="39"/>
  <c r="K174" i="39"/>
  <c r="K101" i="39"/>
  <c r="K50" i="39"/>
  <c r="G192" i="39"/>
  <c r="G125" i="39"/>
  <c r="G59" i="39"/>
  <c r="K141" i="39"/>
  <c r="K151" i="39"/>
  <c r="K103" i="39"/>
  <c r="K43" i="39"/>
  <c r="K36" i="39"/>
  <c r="G155" i="39"/>
  <c r="G109" i="39"/>
  <c r="G55" i="39"/>
  <c r="K160" i="39"/>
  <c r="K163" i="39"/>
  <c r="G175" i="39"/>
  <c r="G129" i="39"/>
  <c r="G84" i="39"/>
  <c r="G30" i="39"/>
  <c r="K171" i="39"/>
  <c r="K98" i="39"/>
  <c r="K32" i="39"/>
  <c r="G189" i="39"/>
  <c r="G122" i="39"/>
  <c r="G56" i="39"/>
  <c r="K120" i="39"/>
  <c r="K148" i="39"/>
  <c r="K88" i="39"/>
  <c r="K40" i="39"/>
  <c r="G197" i="39"/>
  <c r="G151" i="39"/>
  <c r="G106" i="39"/>
  <c r="G126" i="39"/>
  <c r="K29" i="39"/>
  <c r="G194" i="39"/>
  <c r="K135" i="39"/>
  <c r="Q71" i="49"/>
  <c r="S71" i="49" s="1"/>
  <c r="I60" i="49"/>
  <c r="K60" i="49" s="1"/>
  <c r="I54" i="49"/>
  <c r="K54" i="49" s="1"/>
  <c r="Q48" i="49"/>
  <c r="S48" i="49" s="1"/>
  <c r="I43" i="49"/>
  <c r="K43" i="49" s="1"/>
  <c r="Q37" i="49"/>
  <c r="S37" i="49" s="1"/>
  <c r="Q31" i="49"/>
  <c r="S31" i="49" s="1"/>
  <c r="Q25" i="49"/>
  <c r="S25" i="49" s="1"/>
  <c r="Q19" i="49"/>
  <c r="S19" i="49" s="1"/>
  <c r="I64" i="48"/>
  <c r="K64" i="48" s="1"/>
  <c r="Q59" i="48"/>
  <c r="S59" i="48" s="1"/>
  <c r="Q54" i="48"/>
  <c r="S54" i="48" s="1"/>
  <c r="I45" i="48"/>
  <c r="K45" i="48" s="1"/>
  <c r="I41" i="48"/>
  <c r="K41" i="48" s="1"/>
  <c r="Q31" i="48"/>
  <c r="S31" i="48" s="1"/>
  <c r="Q26" i="48"/>
  <c r="S26" i="48" s="1"/>
  <c r="I22" i="48"/>
  <c r="K22" i="48" s="1"/>
  <c r="I66" i="47"/>
  <c r="K66" i="47" s="1"/>
  <c r="I60" i="47"/>
  <c r="K60" i="47" s="1"/>
  <c r="Q54" i="47"/>
  <c r="S54" i="47" s="1"/>
  <c r="Q49" i="47"/>
  <c r="S49" i="47" s="1"/>
  <c r="I44" i="47"/>
  <c r="K44" i="47" s="1"/>
  <c r="Q38" i="47"/>
  <c r="S38" i="47" s="1"/>
  <c r="I33" i="47"/>
  <c r="K33" i="47" s="1"/>
  <c r="I27" i="47"/>
  <c r="K27" i="47" s="1"/>
  <c r="Q21" i="47"/>
  <c r="S21" i="47" s="1"/>
  <c r="I16" i="47"/>
  <c r="K16" i="47" s="1"/>
  <c r="I71" i="46"/>
  <c r="K71" i="46" s="1"/>
  <c r="I66" i="46"/>
  <c r="K66" i="46" s="1"/>
  <c r="Q55" i="46"/>
  <c r="S55" i="46" s="1"/>
  <c r="I50" i="46"/>
  <c r="K50" i="46" s="1"/>
  <c r="I45" i="46"/>
  <c r="K45" i="46" s="1"/>
  <c r="I40" i="46"/>
  <c r="K40" i="46" s="1"/>
  <c r="I35" i="46"/>
  <c r="K35" i="46" s="1"/>
  <c r="I30" i="46"/>
  <c r="K30" i="46" s="1"/>
  <c r="I24" i="46"/>
  <c r="K24" i="46" s="1"/>
  <c r="I19" i="46"/>
  <c r="K19" i="46" s="1"/>
  <c r="L69" i="37"/>
  <c r="L63" i="37"/>
  <c r="L57" i="37"/>
  <c r="L51" i="37"/>
  <c r="L45" i="37"/>
  <c r="L39" i="37"/>
  <c r="L33" i="37"/>
  <c r="L27" i="37"/>
  <c r="L21" i="37"/>
  <c r="H70" i="36"/>
  <c r="H65" i="36"/>
  <c r="L59" i="36"/>
  <c r="H54" i="36"/>
  <c r="L48" i="36"/>
  <c r="L42" i="36"/>
  <c r="H37" i="36"/>
  <c r="L31" i="36"/>
  <c r="L26" i="36"/>
  <c r="H21" i="36"/>
  <c r="H69" i="35"/>
  <c r="H58" i="35"/>
  <c r="H52" i="35"/>
  <c r="H47" i="35"/>
  <c r="H41" i="35"/>
  <c r="H35" i="35"/>
  <c r="H24" i="35"/>
  <c r="L72" i="34"/>
  <c r="H67" i="34"/>
  <c r="L61" i="34"/>
  <c r="H56" i="34"/>
  <c r="H51" i="34"/>
  <c r="H45" i="34"/>
  <c r="H39" i="34"/>
  <c r="H33" i="34"/>
  <c r="H27" i="34"/>
  <c r="H21" i="34"/>
  <c r="I71" i="49"/>
  <c r="K71" i="49" s="1"/>
  <c r="Q65" i="49"/>
  <c r="S65" i="49" s="1"/>
  <c r="Q59" i="49"/>
  <c r="S59" i="49" s="1"/>
  <c r="I48" i="49"/>
  <c r="K48" i="49" s="1"/>
  <c r="Q42" i="49"/>
  <c r="S42" i="49" s="1"/>
  <c r="I37" i="49"/>
  <c r="K37" i="49" s="1"/>
  <c r="I31" i="49"/>
  <c r="K31" i="49" s="1"/>
  <c r="I25" i="49"/>
  <c r="K25" i="49" s="1"/>
  <c r="I19" i="49"/>
  <c r="K19" i="49" s="1"/>
  <c r="Q68" i="48"/>
  <c r="S68" i="48" s="1"/>
  <c r="Q63" i="48"/>
  <c r="S63" i="48" s="1"/>
  <c r="I54" i="48"/>
  <c r="K54" i="48" s="1"/>
  <c r="I50" i="48"/>
  <c r="K50" i="48" s="1"/>
  <c r="Q40" i="48"/>
  <c r="S40" i="48" s="1"/>
  <c r="Q35" i="48"/>
  <c r="S35" i="48" s="1"/>
  <c r="I31" i="48"/>
  <c r="K31" i="48" s="1"/>
  <c r="Q21" i="48"/>
  <c r="S21" i="48" s="1"/>
  <c r="I17" i="48"/>
  <c r="K17" i="48" s="1"/>
  <c r="Q71" i="47"/>
  <c r="S71" i="47" s="1"/>
  <c r="Q65" i="47"/>
  <c r="S65" i="47" s="1"/>
  <c r="I54" i="47"/>
  <c r="K54" i="47" s="1"/>
  <c r="I49" i="47"/>
  <c r="K49" i="47" s="1"/>
  <c r="Q43" i="47"/>
  <c r="S43" i="47" s="1"/>
  <c r="I38" i="47"/>
  <c r="K38" i="47" s="1"/>
  <c r="Q32" i="47"/>
  <c r="S32" i="47" s="1"/>
  <c r="Q26" i="47"/>
  <c r="S26" i="47" s="1"/>
  <c r="I21" i="47"/>
  <c r="K21" i="47" s="1"/>
  <c r="Q70" i="46"/>
  <c r="S70" i="46" s="1"/>
  <c r="Q65" i="46"/>
  <c r="S65" i="46" s="1"/>
  <c r="I60" i="46"/>
  <c r="K60" i="46" s="1"/>
  <c r="I55" i="46"/>
  <c r="K55" i="46" s="1"/>
  <c r="Q49" i="46"/>
  <c r="S49" i="46" s="1"/>
  <c r="Q44" i="46"/>
  <c r="S44" i="46" s="1"/>
  <c r="Q39" i="46"/>
  <c r="S39" i="46" s="1"/>
  <c r="Q34" i="46"/>
  <c r="S34" i="46" s="1"/>
  <c r="Q29" i="46"/>
  <c r="S29" i="46" s="1"/>
  <c r="Q18" i="46"/>
  <c r="S18" i="46" s="1"/>
  <c r="H69" i="37"/>
  <c r="H63" i="37"/>
  <c r="H57" i="37"/>
  <c r="H51" i="37"/>
  <c r="H45" i="37"/>
  <c r="H39" i="37"/>
  <c r="H33" i="37"/>
  <c r="H27" i="37"/>
  <c r="H21" i="37"/>
  <c r="L64" i="36"/>
  <c r="H59" i="36"/>
  <c r="L53" i="36"/>
  <c r="H48" i="36"/>
  <c r="H42" i="36"/>
  <c r="H31" i="36"/>
  <c r="H26" i="36"/>
  <c r="L20" i="36"/>
  <c r="H63" i="35"/>
  <c r="H29" i="35"/>
  <c r="H18" i="35"/>
  <c r="H72" i="34"/>
  <c r="L66" i="34"/>
  <c r="H61" i="34"/>
  <c r="L55" i="34"/>
  <c r="L50" i="34"/>
  <c r="L44" i="34"/>
  <c r="L38" i="34"/>
  <c r="L32" i="34"/>
  <c r="L26" i="34"/>
  <c r="L20" i="34"/>
  <c r="Q70" i="49"/>
  <c r="S70" i="49" s="1"/>
  <c r="I65" i="49"/>
  <c r="K65" i="49" s="1"/>
  <c r="I59" i="49"/>
  <c r="K59" i="49" s="1"/>
  <c r="Q53" i="49"/>
  <c r="S53" i="49" s="1"/>
  <c r="I42" i="49"/>
  <c r="K42" i="49" s="1"/>
  <c r="Q36" i="49"/>
  <c r="S36" i="49" s="1"/>
  <c r="Q30" i="49"/>
  <c r="S30" i="49" s="1"/>
  <c r="Q24" i="49"/>
  <c r="S24" i="49" s="1"/>
  <c r="Q18" i="49"/>
  <c r="S18" i="49" s="1"/>
  <c r="Q72" i="48"/>
  <c r="S72" i="48" s="1"/>
  <c r="I63" i="48"/>
  <c r="K63" i="48" s="1"/>
  <c r="I59" i="48"/>
  <c r="K59" i="48" s="1"/>
  <c r="Q49" i="48"/>
  <c r="S49" i="48" s="1"/>
  <c r="Q44" i="48"/>
  <c r="S44" i="48" s="1"/>
  <c r="I40" i="48"/>
  <c r="K40" i="48" s="1"/>
  <c r="Q30" i="48"/>
  <c r="S30" i="48" s="1"/>
  <c r="I26" i="48"/>
  <c r="K26" i="48" s="1"/>
  <c r="I21" i="48"/>
  <c r="K21" i="48" s="1"/>
  <c r="Q16" i="48"/>
  <c r="S16" i="48" s="1"/>
  <c r="I71" i="47"/>
  <c r="K71" i="47" s="1"/>
  <c r="I65" i="47"/>
  <c r="K65" i="47" s="1"/>
  <c r="Q59" i="47"/>
  <c r="S59" i="47" s="1"/>
  <c r="Q48" i="47"/>
  <c r="S48" i="47" s="1"/>
  <c r="I43" i="47"/>
  <c r="K43" i="47" s="1"/>
  <c r="Q37" i="47"/>
  <c r="S37" i="47" s="1"/>
  <c r="I32" i="47"/>
  <c r="K32" i="47" s="1"/>
  <c r="I26" i="47"/>
  <c r="K26" i="47" s="1"/>
  <c r="Q20" i="47"/>
  <c r="S20" i="47" s="1"/>
  <c r="I70" i="46"/>
  <c r="K70" i="46" s="1"/>
  <c r="I65" i="46"/>
  <c r="K65" i="46" s="1"/>
  <c r="Q54" i="46"/>
  <c r="S54" i="46" s="1"/>
  <c r="I49" i="46"/>
  <c r="K49" i="46" s="1"/>
  <c r="I44" i="46"/>
  <c r="K44" i="46" s="1"/>
  <c r="I39" i="46"/>
  <c r="K39" i="46" s="1"/>
  <c r="I34" i="46"/>
  <c r="K34" i="46" s="1"/>
  <c r="I29" i="46"/>
  <c r="K29" i="46" s="1"/>
  <c r="Q23" i="46"/>
  <c r="S23" i="46" s="1"/>
  <c r="L68" i="37"/>
  <c r="L62" i="37"/>
  <c r="L56" i="37"/>
  <c r="L50" i="37"/>
  <c r="L44" i="37"/>
  <c r="L38" i="37"/>
  <c r="L32" i="37"/>
  <c r="L26" i="37"/>
  <c r="L20" i="37"/>
  <c r="L69" i="36"/>
  <c r="H64" i="36"/>
  <c r="L58" i="36"/>
  <c r="H53" i="36"/>
  <c r="L47" i="36"/>
  <c r="L41" i="36"/>
  <c r="L36" i="36"/>
  <c r="L25" i="36"/>
  <c r="H20" i="36"/>
  <c r="H68" i="35"/>
  <c r="H57" i="35"/>
  <c r="H46" i="35"/>
  <c r="H40" i="35"/>
  <c r="H34" i="35"/>
  <c r="H23" i="35"/>
  <c r="L71" i="34"/>
  <c r="H66" i="34"/>
  <c r="L60" i="34"/>
  <c r="H55" i="34"/>
  <c r="H50" i="34"/>
  <c r="H44" i="34"/>
  <c r="H38" i="34"/>
  <c r="H32" i="34"/>
  <c r="H26" i="34"/>
  <c r="I70" i="49"/>
  <c r="K70" i="49" s="1"/>
  <c r="Q64" i="49"/>
  <c r="S64" i="49" s="1"/>
  <c r="Q58" i="49"/>
  <c r="S58" i="49" s="1"/>
  <c r="I53" i="49"/>
  <c r="K53" i="49" s="1"/>
  <c r="Q47" i="49"/>
  <c r="S47" i="49" s="1"/>
  <c r="I36" i="49"/>
  <c r="K36" i="49" s="1"/>
  <c r="I30" i="49"/>
  <c r="K30" i="49" s="1"/>
  <c r="I24" i="49"/>
  <c r="K24" i="49" s="1"/>
  <c r="I18" i="49"/>
  <c r="K18" i="49" s="1"/>
  <c r="I72" i="48"/>
  <c r="K72" i="48" s="1"/>
  <c r="I68" i="48"/>
  <c r="K68" i="48" s="1"/>
  <c r="Q58" i="48"/>
  <c r="S58" i="48" s="1"/>
  <c r="Q53" i="48"/>
  <c r="S53" i="48" s="1"/>
  <c r="I49" i="48"/>
  <c r="K49" i="48" s="1"/>
  <c r="Q39" i="48"/>
  <c r="S39" i="48" s="1"/>
  <c r="I35" i="48"/>
  <c r="K35" i="48" s="1"/>
  <c r="I30" i="48"/>
  <c r="K30" i="48" s="1"/>
  <c r="Q25" i="48"/>
  <c r="S25" i="48" s="1"/>
  <c r="Q20" i="48"/>
  <c r="S20" i="48" s="1"/>
  <c r="I16" i="48"/>
  <c r="K16" i="48" s="1"/>
  <c r="Q70" i="47"/>
  <c r="S70" i="47" s="1"/>
  <c r="Q64" i="47"/>
  <c r="S64" i="47" s="1"/>
  <c r="I59" i="47"/>
  <c r="K59" i="47" s="1"/>
  <c r="Q53" i="47"/>
  <c r="S53" i="47" s="1"/>
  <c r="I48" i="47"/>
  <c r="K48" i="47" s="1"/>
  <c r="Q42" i="47"/>
  <c r="S42" i="47" s="1"/>
  <c r="I37" i="47"/>
  <c r="K37" i="47" s="1"/>
  <c r="Q31" i="47"/>
  <c r="S31" i="47" s="1"/>
  <c r="Q25" i="47"/>
  <c r="S25" i="47" s="1"/>
  <c r="I20" i="47"/>
  <c r="K20" i="47" s="1"/>
  <c r="Q69" i="46"/>
  <c r="S69" i="46" s="1"/>
  <c r="Q64" i="46"/>
  <c r="S64" i="46" s="1"/>
  <c r="Q59" i="46"/>
  <c r="S59" i="46" s="1"/>
  <c r="Q48" i="46"/>
  <c r="S48" i="46" s="1"/>
  <c r="Q38" i="46"/>
  <c r="S38" i="46" s="1"/>
  <c r="Q33" i="46"/>
  <c r="S33" i="46" s="1"/>
  <c r="Q28" i="46"/>
  <c r="S28" i="46" s="1"/>
  <c r="I23" i="46"/>
  <c r="K23" i="46" s="1"/>
  <c r="I18" i="46"/>
  <c r="K18" i="46" s="1"/>
  <c r="H68" i="37"/>
  <c r="H62" i="37"/>
  <c r="H56" i="37"/>
  <c r="H50" i="37"/>
  <c r="H44" i="37"/>
  <c r="H38" i="37"/>
  <c r="H32" i="37"/>
  <c r="H26" i="37"/>
  <c r="H20" i="37"/>
  <c r="H69" i="36"/>
  <c r="H58" i="36"/>
  <c r="L52" i="36"/>
  <c r="H47" i="36"/>
  <c r="H41" i="36"/>
  <c r="H36" i="36"/>
  <c r="L30" i="36"/>
  <c r="H25" i="36"/>
  <c r="L19" i="36"/>
  <c r="H62" i="35"/>
  <c r="H51" i="35"/>
  <c r="H28" i="35"/>
  <c r="H17" i="35"/>
  <c r="H71" i="34"/>
  <c r="L65" i="34"/>
  <c r="H60" i="34"/>
  <c r="L49" i="34"/>
  <c r="L43" i="34"/>
  <c r="L37" i="34"/>
  <c r="L31" i="34"/>
  <c r="L25" i="34"/>
  <c r="L19" i="34"/>
  <c r="Q69" i="49"/>
  <c r="S69" i="49" s="1"/>
  <c r="I64" i="49"/>
  <c r="K64" i="49" s="1"/>
  <c r="I58" i="49"/>
  <c r="K58" i="49" s="1"/>
  <c r="Q52" i="49"/>
  <c r="S52" i="49" s="1"/>
  <c r="I47" i="49"/>
  <c r="K47" i="49" s="1"/>
  <c r="Q41" i="49"/>
  <c r="S41" i="49" s="1"/>
  <c r="Q35" i="49"/>
  <c r="S35" i="49" s="1"/>
  <c r="Q29" i="49"/>
  <c r="S29" i="49" s="1"/>
  <c r="Q23" i="49"/>
  <c r="S23" i="49" s="1"/>
  <c r="Q17" i="49"/>
  <c r="S17" i="49" s="1"/>
  <c r="Q67" i="48"/>
  <c r="S67" i="48" s="1"/>
  <c r="Q62" i="48"/>
  <c r="S62" i="48" s="1"/>
  <c r="I58" i="48"/>
  <c r="K58" i="48" s="1"/>
  <c r="Q48" i="48"/>
  <c r="S48" i="48" s="1"/>
  <c r="I44" i="48"/>
  <c r="K44" i="48" s="1"/>
  <c r="I39" i="48"/>
  <c r="K39" i="48" s="1"/>
  <c r="Q34" i="48"/>
  <c r="S34" i="48" s="1"/>
  <c r="Q29" i="48"/>
  <c r="S29" i="48" s="1"/>
  <c r="I25" i="48"/>
  <c r="K25" i="48" s="1"/>
  <c r="I70" i="47"/>
  <c r="K70" i="47" s="1"/>
  <c r="I64" i="47"/>
  <c r="K64" i="47" s="1"/>
  <c r="Q58" i="47"/>
  <c r="S58" i="47" s="1"/>
  <c r="I53" i="47"/>
  <c r="K53" i="47" s="1"/>
  <c r="I42" i="47"/>
  <c r="K42" i="47" s="1"/>
  <c r="Q36" i="47"/>
  <c r="S36" i="47" s="1"/>
  <c r="I31" i="47"/>
  <c r="K31" i="47" s="1"/>
  <c r="I25" i="47"/>
  <c r="K25" i="47" s="1"/>
  <c r="Q19" i="47"/>
  <c r="S19" i="47" s="1"/>
  <c r="I69" i="46"/>
  <c r="K69" i="46" s="1"/>
  <c r="I64" i="46"/>
  <c r="K64" i="46" s="1"/>
  <c r="I59" i="46"/>
  <c r="K59" i="46" s="1"/>
  <c r="I54" i="46"/>
  <c r="K54" i="46" s="1"/>
  <c r="Q43" i="46"/>
  <c r="S43" i="46" s="1"/>
  <c r="I38" i="46"/>
  <c r="K38" i="46" s="1"/>
  <c r="I33" i="46"/>
  <c r="K33" i="46" s="1"/>
  <c r="I28" i="46"/>
  <c r="K28" i="46" s="1"/>
  <c r="Q22" i="46"/>
  <c r="S22" i="46" s="1"/>
  <c r="Q17" i="46"/>
  <c r="S17" i="46" s="1"/>
  <c r="L73" i="37"/>
  <c r="L67" i="37"/>
  <c r="L61" i="37"/>
  <c r="L55" i="37"/>
  <c r="L49" i="37"/>
  <c r="L43" i="37"/>
  <c r="L37" i="37"/>
  <c r="L31" i="37"/>
  <c r="L25" i="37"/>
  <c r="L19" i="37"/>
  <c r="L73" i="36"/>
  <c r="L68" i="36"/>
  <c r="L63" i="36"/>
  <c r="H52" i="36"/>
  <c r="L46" i="36"/>
  <c r="L40" i="36"/>
  <c r="L35" i="36"/>
  <c r="H30" i="36"/>
  <c r="L24" i="36"/>
  <c r="H19" i="36"/>
  <c r="H73" i="35"/>
  <c r="H67" i="35"/>
  <c r="H56" i="35"/>
  <c r="H45" i="35"/>
  <c r="H39" i="35"/>
  <c r="H33" i="35"/>
  <c r="H22" i="35"/>
  <c r="L70" i="34"/>
  <c r="H65" i="34"/>
  <c r="L59" i="34"/>
  <c r="L54" i="34"/>
  <c r="H49" i="34"/>
  <c r="H43" i="34"/>
  <c r="H37" i="34"/>
  <c r="H31" i="34"/>
  <c r="H25" i="34"/>
  <c r="Q68" i="49"/>
  <c r="S68" i="49" s="1"/>
  <c r="I63" i="49"/>
  <c r="K63" i="49" s="1"/>
  <c r="I57" i="49"/>
  <c r="K57" i="49" s="1"/>
  <c r="Q51" i="49"/>
  <c r="S51" i="49" s="1"/>
  <c r="I46" i="49"/>
  <c r="K46" i="49" s="1"/>
  <c r="Q40" i="49"/>
  <c r="S40" i="49" s="1"/>
  <c r="Q34" i="49"/>
  <c r="S34" i="49" s="1"/>
  <c r="Q28" i="49"/>
  <c r="S28" i="49" s="1"/>
  <c r="Q22" i="49"/>
  <c r="S22" i="49" s="1"/>
  <c r="Q16" i="49"/>
  <c r="S16" i="49" s="1"/>
  <c r="Q66" i="48"/>
  <c r="S66" i="48" s="1"/>
  <c r="I62" i="48"/>
  <c r="K62" i="48" s="1"/>
  <c r="I57" i="48"/>
  <c r="K57" i="48" s="1"/>
  <c r="Q52" i="48"/>
  <c r="S52" i="48" s="1"/>
  <c r="Q47" i="48"/>
  <c r="S47" i="48" s="1"/>
  <c r="I43" i="48"/>
  <c r="K43" i="48" s="1"/>
  <c r="Q33" i="48"/>
  <c r="S33" i="48" s="1"/>
  <c r="I29" i="48"/>
  <c r="K29" i="48" s="1"/>
  <c r="I24" i="48"/>
  <c r="K24" i="48" s="1"/>
  <c r="Q19" i="48"/>
  <c r="S19" i="48" s="1"/>
  <c r="I69" i="47"/>
  <c r="K69" i="47" s="1"/>
  <c r="I63" i="47"/>
  <c r="K63" i="47" s="1"/>
  <c r="Q57" i="47"/>
  <c r="S57" i="47" s="1"/>
  <c r="I52" i="47"/>
  <c r="K52" i="47" s="1"/>
  <c r="I47" i="47"/>
  <c r="K47" i="47" s="1"/>
  <c r="Q41" i="47"/>
  <c r="S41" i="47" s="1"/>
  <c r="I30" i="47"/>
  <c r="K30" i="47" s="1"/>
  <c r="I24" i="47"/>
  <c r="K24" i="47" s="1"/>
  <c r="Q18" i="47"/>
  <c r="S18" i="47" s="1"/>
  <c r="I68" i="46"/>
  <c r="K68" i="46" s="1"/>
  <c r="I63" i="46"/>
  <c r="K63" i="46" s="1"/>
  <c r="I58" i="46"/>
  <c r="K58" i="46" s="1"/>
  <c r="I53" i="46"/>
  <c r="K53" i="46" s="1"/>
  <c r="Q42" i="46"/>
  <c r="S42" i="46" s="1"/>
  <c r="I37" i="46"/>
  <c r="K37" i="46" s="1"/>
  <c r="I32" i="46"/>
  <c r="K32" i="46" s="1"/>
  <c r="I27" i="46"/>
  <c r="K27" i="46" s="1"/>
  <c r="Q21" i="46"/>
  <c r="S21" i="46" s="1"/>
  <c r="Q16" i="46"/>
  <c r="S16" i="46" s="1"/>
  <c r="L72" i="37"/>
  <c r="L66" i="37"/>
  <c r="L60" i="37"/>
  <c r="L54" i="37"/>
  <c r="L48" i="37"/>
  <c r="L42" i="37"/>
  <c r="L36" i="37"/>
  <c r="L30" i="37"/>
  <c r="L24" i="37"/>
  <c r="L18" i="37"/>
  <c r="L67" i="36"/>
  <c r="L62" i="36"/>
  <c r="H57" i="36"/>
  <c r="H51" i="36"/>
  <c r="L45" i="36"/>
  <c r="L34" i="36"/>
  <c r="H29" i="36"/>
  <c r="L23" i="36"/>
  <c r="H18" i="36"/>
  <c r="H72" i="35"/>
  <c r="H55" i="35"/>
  <c r="H44" i="35"/>
  <c r="H38" i="35"/>
  <c r="H32" i="35"/>
  <c r="H21" i="35"/>
  <c r="H64" i="34"/>
  <c r="L58" i="34"/>
  <c r="L53" i="34"/>
  <c r="H48" i="34"/>
  <c r="H42" i="34"/>
  <c r="H36" i="34"/>
  <c r="H30" i="34"/>
  <c r="H24" i="34"/>
  <c r="Q67" i="49"/>
  <c r="S67" i="49" s="1"/>
  <c r="I62" i="49"/>
  <c r="K62" i="49" s="1"/>
  <c r="I56" i="49"/>
  <c r="K56" i="49" s="1"/>
  <c r="Q50" i="49"/>
  <c r="S50" i="49" s="1"/>
  <c r="I45" i="49"/>
  <c r="K45" i="49" s="1"/>
  <c r="Q39" i="49"/>
  <c r="S39" i="49" s="1"/>
  <c r="Q33" i="49"/>
  <c r="S33" i="49" s="1"/>
  <c r="Q27" i="49"/>
  <c r="S27" i="49" s="1"/>
  <c r="Q21" i="49"/>
  <c r="S21" i="49" s="1"/>
  <c r="Q15" i="49"/>
  <c r="S15" i="49" s="1"/>
  <c r="Q70" i="48"/>
  <c r="S70" i="48" s="1"/>
  <c r="Q65" i="48"/>
  <c r="S65" i="48" s="1"/>
  <c r="I61" i="48"/>
  <c r="K61" i="48" s="1"/>
  <c r="Q51" i="48"/>
  <c r="S51" i="48" s="1"/>
  <c r="I47" i="48"/>
  <c r="K47" i="48" s="1"/>
  <c r="I42" i="48"/>
  <c r="K42" i="48" s="1"/>
  <c r="Q37" i="48"/>
  <c r="S37" i="48" s="1"/>
  <c r="I28" i="48"/>
  <c r="K28" i="48" s="1"/>
  <c r="Q23" i="48"/>
  <c r="S23" i="48" s="1"/>
  <c r="Q18" i="48"/>
  <c r="S18" i="48" s="1"/>
  <c r="I68" i="47"/>
  <c r="K68" i="47" s="1"/>
  <c r="I62" i="47"/>
  <c r="K62" i="47" s="1"/>
  <c r="Q56" i="47"/>
  <c r="S56" i="47" s="1"/>
  <c r="I51" i="47"/>
  <c r="K51" i="47" s="1"/>
  <c r="I46" i="47"/>
  <c r="K46" i="47" s="1"/>
  <c r="Q40" i="47"/>
  <c r="S40" i="47" s="1"/>
  <c r="I35" i="47"/>
  <c r="K35" i="47" s="1"/>
  <c r="I29" i="47"/>
  <c r="K29" i="47" s="1"/>
  <c r="Q23" i="47"/>
  <c r="S23" i="47" s="1"/>
  <c r="Q67" i="46"/>
  <c r="S67" i="46" s="1"/>
  <c r="I62" i="46"/>
  <c r="K62" i="46" s="1"/>
  <c r="I57" i="46"/>
  <c r="K57" i="46" s="1"/>
  <c r="I52" i="46"/>
  <c r="K52" i="46" s="1"/>
  <c r="I47" i="46"/>
  <c r="K47" i="46" s="1"/>
  <c r="I42" i="46"/>
  <c r="K42" i="46" s="1"/>
  <c r="Q31" i="46"/>
  <c r="S31" i="46" s="1"/>
  <c r="I26" i="46"/>
  <c r="K26" i="46" s="1"/>
  <c r="Q20" i="46"/>
  <c r="S20" i="46" s="1"/>
  <c r="Q15" i="46"/>
  <c r="S15" i="46" s="1"/>
  <c r="L71" i="37"/>
  <c r="L65" i="37"/>
  <c r="L59" i="37"/>
  <c r="L53" i="37"/>
  <c r="L47" i="37"/>
  <c r="L41" i="37"/>
  <c r="L35" i="37"/>
  <c r="L29" i="37"/>
  <c r="L23" i="37"/>
  <c r="L17" i="37"/>
  <c r="H72" i="36"/>
  <c r="L61" i="36"/>
  <c r="H56" i="36"/>
  <c r="H50" i="36"/>
  <c r="L44" i="36"/>
  <c r="H39" i="36"/>
  <c r="L33" i="36"/>
  <c r="H28" i="36"/>
  <c r="L22" i="36"/>
  <c r="H17" i="36"/>
  <c r="H71" i="35"/>
  <c r="H60" i="35"/>
  <c r="H54" i="35"/>
  <c r="H43" i="35"/>
  <c r="H37" i="35"/>
  <c r="H31" i="35"/>
  <c r="H20" i="35"/>
  <c r="H69" i="34"/>
  <c r="L63" i="34"/>
  <c r="L52" i="34"/>
  <c r="H47" i="34"/>
  <c r="H41" i="34"/>
  <c r="H35" i="34"/>
  <c r="H29" i="34"/>
  <c r="H23" i="34"/>
  <c r="I67" i="49"/>
  <c r="K67" i="49" s="1"/>
  <c r="Q61" i="49"/>
  <c r="S61" i="49" s="1"/>
  <c r="Q55" i="49"/>
  <c r="S55" i="49" s="1"/>
  <c r="I50" i="49"/>
  <c r="K50" i="49" s="1"/>
  <c r="Q44" i="49"/>
  <c r="S44" i="49" s="1"/>
  <c r="I39" i="49"/>
  <c r="K39" i="49" s="1"/>
  <c r="I33" i="49"/>
  <c r="K33" i="49" s="1"/>
  <c r="I27" i="49"/>
  <c r="K27" i="49" s="1"/>
  <c r="I21" i="49"/>
  <c r="K21" i="49" s="1"/>
  <c r="I70" i="48"/>
  <c r="K70" i="48" s="1"/>
  <c r="Q60" i="48"/>
  <c r="S60" i="48" s="1"/>
  <c r="I56" i="48"/>
  <c r="K56" i="48" s="1"/>
  <c r="I51" i="48"/>
  <c r="K51" i="48" s="1"/>
  <c r="Q46" i="48"/>
  <c r="S46" i="48" s="1"/>
  <c r="I37" i="48"/>
  <c r="K37" i="48" s="1"/>
  <c r="Q32" i="48"/>
  <c r="S32" i="48" s="1"/>
  <c r="Q27" i="48"/>
  <c r="S27" i="48" s="1"/>
  <c r="I18" i="48"/>
  <c r="K18" i="48" s="1"/>
  <c r="Q67" i="47"/>
  <c r="S67" i="47" s="1"/>
  <c r="Q61" i="47"/>
  <c r="S61" i="47" s="1"/>
  <c r="I56" i="47"/>
  <c r="K56" i="47" s="1"/>
  <c r="Q45" i="47"/>
  <c r="S45" i="47" s="1"/>
  <c r="I40" i="47"/>
  <c r="K40" i="47" s="1"/>
  <c r="Q34" i="47"/>
  <c r="S34" i="47" s="1"/>
  <c r="Q28" i="47"/>
  <c r="S28" i="47" s="1"/>
  <c r="I23" i="47"/>
  <c r="K23" i="47" s="1"/>
  <c r="Q17" i="47"/>
  <c r="S17" i="47" s="1"/>
  <c r="I72" i="46"/>
  <c r="K72" i="46" s="1"/>
  <c r="I67" i="46"/>
  <c r="K67" i="46" s="1"/>
  <c r="Q61" i="46"/>
  <c r="S61" i="46" s="1"/>
  <c r="Q56" i="46"/>
  <c r="S56" i="46" s="1"/>
  <c r="Q51" i="46"/>
  <c r="S51" i="46" s="1"/>
  <c r="Q46" i="46"/>
  <c r="S46" i="46" s="1"/>
  <c r="Q41" i="46"/>
  <c r="S41" i="46" s="1"/>
  <c r="I36" i="46"/>
  <c r="K36" i="46" s="1"/>
  <c r="I31" i="46"/>
  <c r="K31" i="46" s="1"/>
  <c r="Q25" i="46"/>
  <c r="S25" i="46" s="1"/>
  <c r="I20" i="46"/>
  <c r="K20" i="46" s="1"/>
  <c r="H71" i="37"/>
  <c r="H65" i="37"/>
  <c r="H59" i="37"/>
  <c r="H53" i="37"/>
  <c r="H47" i="37"/>
  <c r="H41" i="37"/>
  <c r="H35" i="37"/>
  <c r="H29" i="37"/>
  <c r="H23" i="37"/>
  <c r="H17" i="37"/>
  <c r="L71" i="36"/>
  <c r="L66" i="36"/>
  <c r="H61" i="36"/>
  <c r="L55" i="36"/>
  <c r="L49" i="36"/>
  <c r="H44" i="36"/>
  <c r="L38" i="36"/>
  <c r="H33" i="36"/>
  <c r="H22" i="36"/>
  <c r="H65" i="35"/>
  <c r="H25" i="35"/>
  <c r="L68" i="34"/>
  <c r="H63" i="34"/>
  <c r="L57" i="34"/>
  <c r="H52" i="34"/>
  <c r="L46" i="34"/>
  <c r="L40" i="34"/>
  <c r="L34" i="34"/>
  <c r="L28" i="34"/>
  <c r="L22" i="34"/>
  <c r="I72" i="49"/>
  <c r="K72" i="49" s="1"/>
  <c r="I66" i="49"/>
  <c r="K66" i="49" s="1"/>
  <c r="Q60" i="49"/>
  <c r="S60" i="49" s="1"/>
  <c r="Q54" i="49"/>
  <c r="S54" i="49" s="1"/>
  <c r="I49" i="49"/>
  <c r="K49" i="49" s="1"/>
  <c r="Q43" i="49"/>
  <c r="S43" i="49" s="1"/>
  <c r="I38" i="49"/>
  <c r="K38" i="49" s="1"/>
  <c r="I32" i="49"/>
  <c r="K32" i="49" s="1"/>
  <c r="I26" i="49"/>
  <c r="K26" i="49" s="1"/>
  <c r="I20" i="49"/>
  <c r="K20" i="49" s="1"/>
  <c r="I69" i="48"/>
  <c r="K69" i="48" s="1"/>
  <c r="Q64" i="48"/>
  <c r="S64" i="48" s="1"/>
  <c r="I55" i="48"/>
  <c r="K55" i="48" s="1"/>
  <c r="Q50" i="48"/>
  <c r="S50" i="48" s="1"/>
  <c r="Q45" i="48"/>
  <c r="S45" i="48" s="1"/>
  <c r="I36" i="48"/>
  <c r="K36" i="48" s="1"/>
  <c r="I32" i="48"/>
  <c r="K32" i="48" s="1"/>
  <c r="Q22" i="48"/>
  <c r="S22" i="48" s="1"/>
  <c r="Q17" i="48"/>
  <c r="S17" i="48" s="1"/>
  <c r="I72" i="47"/>
  <c r="K72" i="47" s="1"/>
  <c r="Q66" i="47"/>
  <c r="S66" i="47" s="1"/>
  <c r="Q60" i="47"/>
  <c r="S60" i="47" s="1"/>
  <c r="I55" i="47"/>
  <c r="K55" i="47" s="1"/>
  <c r="I50" i="47"/>
  <c r="K50" i="47" s="1"/>
  <c r="Q44" i="47"/>
  <c r="S44" i="47" s="1"/>
  <c r="I39" i="47"/>
  <c r="K39" i="47" s="1"/>
  <c r="Q33" i="47"/>
  <c r="S33" i="47" s="1"/>
  <c r="Q27" i="47"/>
  <c r="S27" i="47" s="1"/>
  <c r="I22" i="47"/>
  <c r="K22" i="47" s="1"/>
  <c r="Q16" i="47"/>
  <c r="S16" i="47" s="1"/>
  <c r="Q71" i="46"/>
  <c r="S71" i="46" s="1"/>
  <c r="Q60" i="46"/>
  <c r="S60" i="46" s="1"/>
  <c r="Q50" i="46"/>
  <c r="S50" i="46" s="1"/>
  <c r="Q45" i="46"/>
  <c r="S45" i="46" s="1"/>
  <c r="Q40" i="46"/>
  <c r="S40" i="46" s="1"/>
  <c r="Q35" i="46"/>
  <c r="S35" i="46" s="1"/>
  <c r="Q24" i="46"/>
  <c r="S24" i="46" s="1"/>
  <c r="Q19" i="46"/>
  <c r="S19" i="46" s="1"/>
  <c r="H70" i="37"/>
  <c r="H64" i="37"/>
  <c r="H58" i="37"/>
  <c r="H52" i="37"/>
  <c r="H46" i="37"/>
  <c r="H40" i="37"/>
  <c r="H34" i="37"/>
  <c r="H28" i="37"/>
  <c r="H22" i="37"/>
  <c r="L70" i="36"/>
  <c r="L65" i="36"/>
  <c r="H60" i="36"/>
  <c r="L54" i="36"/>
  <c r="H43" i="36"/>
  <c r="L37" i="36"/>
  <c r="H32" i="36"/>
  <c r="H27" i="36"/>
  <c r="L21" i="36"/>
  <c r="H64" i="35"/>
  <c r="H30" i="35"/>
  <c r="H73" i="34"/>
  <c r="L67" i="34"/>
  <c r="H62" i="34"/>
  <c r="L56" i="34"/>
  <c r="L51" i="34"/>
  <c r="L45" i="34"/>
  <c r="L39" i="34"/>
  <c r="L33" i="34"/>
  <c r="L27" i="34"/>
  <c r="L21" i="34"/>
  <c r="Q66" i="49"/>
  <c r="S66" i="49" s="1"/>
  <c r="I44" i="49"/>
  <c r="K44" i="49" s="1"/>
  <c r="Q20" i="49"/>
  <c r="S20" i="49" s="1"/>
  <c r="I65" i="48"/>
  <c r="K65" i="48" s="1"/>
  <c r="I46" i="48"/>
  <c r="K46" i="48" s="1"/>
  <c r="I27" i="48"/>
  <c r="K27" i="48" s="1"/>
  <c r="Q72" i="47"/>
  <c r="S72" i="47" s="1"/>
  <c r="Q50" i="47"/>
  <c r="S50" i="47" s="1"/>
  <c r="I28" i="47"/>
  <c r="K28" i="47" s="1"/>
  <c r="I51" i="46"/>
  <c r="K51" i="46" s="1"/>
  <c r="Q30" i="46"/>
  <c r="S30" i="46" s="1"/>
  <c r="H55" i="37"/>
  <c r="H31" i="37"/>
  <c r="H55" i="36"/>
  <c r="L32" i="36"/>
  <c r="H53" i="34"/>
  <c r="L29" i="34"/>
  <c r="L72" i="36"/>
  <c r="H70" i="34"/>
  <c r="L24" i="34"/>
  <c r="Q38" i="48"/>
  <c r="S38" i="48" s="1"/>
  <c r="H48" i="37"/>
  <c r="Q63" i="49"/>
  <c r="S63" i="49" s="1"/>
  <c r="I41" i="49"/>
  <c r="K41" i="49" s="1"/>
  <c r="I17" i="49"/>
  <c r="K17" i="49" s="1"/>
  <c r="Q43" i="48"/>
  <c r="S43" i="48" s="1"/>
  <c r="Q24" i="48"/>
  <c r="S24" i="48" s="1"/>
  <c r="Q69" i="47"/>
  <c r="S69" i="47" s="1"/>
  <c r="Q47" i="47"/>
  <c r="S47" i="47" s="1"/>
  <c r="Q24" i="47"/>
  <c r="S24" i="47" s="1"/>
  <c r="Q68" i="46"/>
  <c r="S68" i="46" s="1"/>
  <c r="I48" i="46"/>
  <c r="K48" i="46" s="1"/>
  <c r="Q27" i="46"/>
  <c r="S27" i="46" s="1"/>
  <c r="H54" i="37"/>
  <c r="H30" i="37"/>
  <c r="H73" i="36"/>
  <c r="L51" i="36"/>
  <c r="L29" i="36"/>
  <c r="H53" i="35"/>
  <c r="L73" i="34"/>
  <c r="H28" i="34"/>
  <c r="L28" i="37"/>
  <c r="L28" i="36"/>
  <c r="H50" i="35"/>
  <c r="L48" i="34"/>
  <c r="I35" i="49"/>
  <c r="K35" i="49" s="1"/>
  <c r="H68" i="34"/>
  <c r="I34" i="49"/>
  <c r="K34" i="49" s="1"/>
  <c r="H45" i="36"/>
  <c r="H20" i="34"/>
  <c r="Q39" i="47"/>
  <c r="S39" i="47" s="1"/>
  <c r="H43" i="37"/>
  <c r="Q71" i="48"/>
  <c r="S71" i="48" s="1"/>
  <c r="Q37" i="46"/>
  <c r="S37" i="46" s="1"/>
  <c r="H63" i="36"/>
  <c r="H19" i="35"/>
  <c r="Q62" i="49"/>
  <c r="S62" i="49" s="1"/>
  <c r="I40" i="49"/>
  <c r="K40" i="49" s="1"/>
  <c r="I16" i="49"/>
  <c r="K16" i="49" s="1"/>
  <c r="Q61" i="48"/>
  <c r="S61" i="48" s="1"/>
  <c r="Q42" i="48"/>
  <c r="S42" i="48" s="1"/>
  <c r="Q68" i="47"/>
  <c r="S68" i="47" s="1"/>
  <c r="Q46" i="47"/>
  <c r="S46" i="47" s="1"/>
  <c r="Q47" i="46"/>
  <c r="S47" i="46" s="1"/>
  <c r="Q26" i="46"/>
  <c r="S26" i="46" s="1"/>
  <c r="L52" i="37"/>
  <c r="L50" i="36"/>
  <c r="H27" i="35"/>
  <c r="I43" i="46"/>
  <c r="K43" i="46" s="1"/>
  <c r="H48" i="35"/>
  <c r="I21" i="46"/>
  <c r="K21" i="46" s="1"/>
  <c r="L22" i="37"/>
  <c r="L42" i="34"/>
  <c r="Q32" i="49"/>
  <c r="S32" i="49" s="1"/>
  <c r="H19" i="37"/>
  <c r="I29" i="49"/>
  <c r="K29" i="49" s="1"/>
  <c r="I36" i="47"/>
  <c r="K36" i="47" s="1"/>
  <c r="H42" i="37"/>
  <c r="H42" i="35"/>
  <c r="H40" i="34"/>
  <c r="I61" i="49"/>
  <c r="K61" i="49" s="1"/>
  <c r="Q38" i="49"/>
  <c r="S38" i="49" s="1"/>
  <c r="I60" i="48"/>
  <c r="K60" i="48" s="1"/>
  <c r="Q41" i="48"/>
  <c r="S41" i="48" s="1"/>
  <c r="I23" i="48"/>
  <c r="K23" i="48" s="1"/>
  <c r="I67" i="47"/>
  <c r="K67" i="47" s="1"/>
  <c r="I45" i="47"/>
  <c r="K45" i="47" s="1"/>
  <c r="Q22" i="47"/>
  <c r="S22" i="47" s="1"/>
  <c r="Q66" i="46"/>
  <c r="S66" i="46" s="1"/>
  <c r="I46" i="46"/>
  <c r="K46" i="46" s="1"/>
  <c r="I25" i="46"/>
  <c r="K25" i="46" s="1"/>
  <c r="H73" i="37"/>
  <c r="H49" i="37"/>
  <c r="H25" i="37"/>
  <c r="H71" i="36"/>
  <c r="H49" i="36"/>
  <c r="L27" i="36"/>
  <c r="H49" i="35"/>
  <c r="H26" i="35"/>
  <c r="L69" i="34"/>
  <c r="L47" i="34"/>
  <c r="L23" i="34"/>
  <c r="Q57" i="49"/>
  <c r="S57" i="49" s="1"/>
  <c r="Q57" i="48"/>
  <c r="S57" i="48" s="1"/>
  <c r="I20" i="48"/>
  <c r="K20" i="48" s="1"/>
  <c r="Q63" i="47"/>
  <c r="S63" i="47" s="1"/>
  <c r="I19" i="47"/>
  <c r="K19" i="47" s="1"/>
  <c r="Q63" i="46"/>
  <c r="S63" i="46" s="1"/>
  <c r="I22" i="46"/>
  <c r="K22" i="46" s="1"/>
  <c r="H72" i="37"/>
  <c r="H24" i="37"/>
  <c r="H68" i="36"/>
  <c r="H46" i="36"/>
  <c r="H24" i="36"/>
  <c r="H70" i="35"/>
  <c r="H46" i="34"/>
  <c r="H22" i="34"/>
  <c r="Q56" i="49"/>
  <c r="S56" i="49" s="1"/>
  <c r="Q56" i="48"/>
  <c r="S56" i="48" s="1"/>
  <c r="I38" i="48"/>
  <c r="K38" i="48" s="1"/>
  <c r="I19" i="48"/>
  <c r="K19" i="48" s="1"/>
  <c r="Q62" i="47"/>
  <c r="S62" i="47" s="1"/>
  <c r="I41" i="47"/>
  <c r="K41" i="47" s="1"/>
  <c r="I18" i="47"/>
  <c r="K18" i="47" s="1"/>
  <c r="Q62" i="46"/>
  <c r="S62" i="46" s="1"/>
  <c r="L70" i="37"/>
  <c r="L46" i="37"/>
  <c r="H67" i="36"/>
  <c r="H23" i="36"/>
  <c r="L64" i="34"/>
  <c r="I55" i="49"/>
  <c r="K55" i="49" s="1"/>
  <c r="Q55" i="48"/>
  <c r="S55" i="48" s="1"/>
  <c r="Q36" i="48"/>
  <c r="S36" i="48" s="1"/>
  <c r="I61" i="47"/>
  <c r="K61" i="47" s="1"/>
  <c r="I17" i="47"/>
  <c r="K17" i="47" s="1"/>
  <c r="I61" i="46"/>
  <c r="K61" i="46" s="1"/>
  <c r="H67" i="37"/>
  <c r="H66" i="36"/>
  <c r="L43" i="36"/>
  <c r="H66" i="35"/>
  <c r="H19" i="34"/>
  <c r="I52" i="49"/>
  <c r="K52" i="49" s="1"/>
  <c r="I53" i="48"/>
  <c r="K53" i="48" s="1"/>
  <c r="I34" i="48"/>
  <c r="K34" i="48" s="1"/>
  <c r="Q58" i="46"/>
  <c r="S58" i="46" s="1"/>
  <c r="I17" i="46"/>
  <c r="K17" i="46" s="1"/>
  <c r="H66" i="37"/>
  <c r="H18" i="37"/>
  <c r="L18" i="36"/>
  <c r="L62" i="34"/>
  <c r="L18" i="34"/>
  <c r="I51" i="49"/>
  <c r="K51" i="49" s="1"/>
  <c r="I28" i="49"/>
  <c r="K28" i="49" s="1"/>
  <c r="I71" i="48"/>
  <c r="K71" i="48" s="1"/>
  <c r="I52" i="48"/>
  <c r="K52" i="48" s="1"/>
  <c r="I33" i="48"/>
  <c r="K33" i="48" s="1"/>
  <c r="I57" i="47"/>
  <c r="K57" i="47" s="1"/>
  <c r="Q35" i="47"/>
  <c r="S35" i="47" s="1"/>
  <c r="Q57" i="46"/>
  <c r="S57" i="46" s="1"/>
  <c r="Q36" i="46"/>
  <c r="S36" i="46" s="1"/>
  <c r="I16" i="46"/>
  <c r="K16" i="46" s="1"/>
  <c r="L64" i="37"/>
  <c r="L40" i="37"/>
  <c r="H62" i="36"/>
  <c r="L39" i="36"/>
  <c r="L17" i="36"/>
  <c r="H61" i="35"/>
  <c r="H59" i="34"/>
  <c r="L36" i="34"/>
  <c r="H18" i="34"/>
  <c r="Q72" i="46"/>
  <c r="S72" i="46" s="1"/>
  <c r="Q72" i="49"/>
  <c r="S72" i="49" s="1"/>
  <c r="Q49" i="49"/>
  <c r="S49" i="49" s="1"/>
  <c r="Q26" i="49"/>
  <c r="S26" i="49" s="1"/>
  <c r="Q69" i="48"/>
  <c r="S69" i="48" s="1"/>
  <c r="Q55" i="47"/>
  <c r="S55" i="47" s="1"/>
  <c r="I34" i="47"/>
  <c r="K34" i="47" s="1"/>
  <c r="I56" i="46"/>
  <c r="K56" i="46" s="1"/>
  <c r="H61" i="37"/>
  <c r="H37" i="37"/>
  <c r="L60" i="36"/>
  <c r="H38" i="36"/>
  <c r="H58" i="34"/>
  <c r="L35" i="34"/>
  <c r="L17" i="34"/>
  <c r="I68" i="49"/>
  <c r="K68" i="49" s="1"/>
  <c r="I22" i="49"/>
  <c r="K22" i="49" s="1"/>
  <c r="I66" i="48"/>
  <c r="K66" i="48" s="1"/>
  <c r="Q28" i="48"/>
  <c r="S28" i="48" s="1"/>
  <c r="Q29" i="47"/>
  <c r="S29" i="47" s="1"/>
  <c r="Q52" i="46"/>
  <c r="S52" i="46" s="1"/>
  <c r="L58" i="37"/>
  <c r="L56" i="36"/>
  <c r="H54" i="34"/>
  <c r="I69" i="49"/>
  <c r="K69" i="49" s="1"/>
  <c r="Q46" i="49"/>
  <c r="S46" i="49" s="1"/>
  <c r="I23" i="49"/>
  <c r="K23" i="49" s="1"/>
  <c r="I67" i="48"/>
  <c r="K67" i="48" s="1"/>
  <c r="I48" i="48"/>
  <c r="K48" i="48" s="1"/>
  <c r="Q52" i="47"/>
  <c r="S52" i="47" s="1"/>
  <c r="Q30" i="47"/>
  <c r="S30" i="47" s="1"/>
  <c r="Q53" i="46"/>
  <c r="S53" i="46" s="1"/>
  <c r="Q32" i="46"/>
  <c r="S32" i="46" s="1"/>
  <c r="H60" i="37"/>
  <c r="H36" i="37"/>
  <c r="L57" i="36"/>
  <c r="H35" i="36"/>
  <c r="H59" i="35"/>
  <c r="H36" i="35"/>
  <c r="H57" i="34"/>
  <c r="H34" i="34"/>
  <c r="H17" i="34"/>
  <c r="Q45" i="49"/>
  <c r="S45" i="49" s="1"/>
  <c r="Q51" i="47"/>
  <c r="S51" i="47" s="1"/>
  <c r="L34" i="37"/>
  <c r="H34" i="36"/>
  <c r="L30" i="34"/>
  <c r="I41" i="46"/>
  <c r="K41" i="46" s="1"/>
  <c r="L41" i="34"/>
  <c r="I58" i="47"/>
  <c r="K58" i="47" s="1"/>
  <c r="H40" i="36"/>
  <c r="M169" i="12"/>
  <c r="M171" i="12" s="1"/>
  <c r="E93" i="2"/>
  <c r="J93" i="2" s="1"/>
  <c r="R48" i="51" l="1"/>
  <c r="R168" i="51"/>
  <c r="J98" i="51"/>
  <c r="J146" i="51"/>
  <c r="J60" i="51"/>
  <c r="R22" i="51"/>
  <c r="R106" i="51"/>
  <c r="J77" i="51"/>
  <c r="R82" i="51"/>
  <c r="J42" i="51"/>
  <c r="J66" i="51"/>
  <c r="R153" i="51"/>
  <c r="J177" i="51"/>
  <c r="J194" i="51"/>
  <c r="R50" i="51"/>
  <c r="J181" i="51"/>
  <c r="R117" i="51"/>
  <c r="R123" i="51"/>
  <c r="R76" i="51"/>
  <c r="R61" i="51"/>
  <c r="J90" i="51"/>
  <c r="R183" i="51"/>
  <c r="J24" i="51"/>
  <c r="R32" i="51"/>
  <c r="R194" i="51"/>
  <c r="J35" i="51"/>
  <c r="J106" i="51"/>
  <c r="J28" i="51"/>
  <c r="R17" i="51"/>
  <c r="J44" i="51"/>
  <c r="R35" i="51"/>
  <c r="J120" i="51"/>
  <c r="R43" i="51"/>
  <c r="J102" i="51"/>
  <c r="J130" i="51"/>
  <c r="J165" i="51"/>
  <c r="R132" i="51"/>
  <c r="R44" i="51"/>
  <c r="J157" i="51"/>
  <c r="R115" i="51"/>
  <c r="J176" i="51"/>
  <c r="R97" i="51"/>
  <c r="J32" i="51"/>
  <c r="J133" i="51"/>
  <c r="R80" i="51"/>
  <c r="J23" i="51"/>
  <c r="R52" i="51"/>
  <c r="R86" i="51"/>
  <c r="J126" i="51"/>
  <c r="R67" i="51"/>
  <c r="R36" i="51"/>
  <c r="J111" i="51"/>
  <c r="R154" i="51"/>
  <c r="R60" i="51"/>
  <c r="R124" i="51"/>
  <c r="R159" i="51"/>
  <c r="R54" i="51"/>
  <c r="J30" i="51"/>
  <c r="R108" i="51"/>
  <c r="R184" i="51"/>
  <c r="J46" i="51"/>
  <c r="R151" i="51"/>
  <c r="R102" i="51"/>
  <c r="R24" i="51"/>
  <c r="R160" i="51"/>
  <c r="R58" i="51"/>
  <c r="R104" i="51"/>
  <c r="R112" i="51"/>
  <c r="J78" i="51"/>
  <c r="J17" i="51"/>
  <c r="J168" i="51"/>
  <c r="R64" i="51"/>
  <c r="J52" i="51"/>
  <c r="R130" i="51"/>
  <c r="R177" i="51"/>
  <c r="R185" i="51"/>
  <c r="J187" i="51"/>
  <c r="J171" i="51"/>
  <c r="R66" i="51"/>
  <c r="J21" i="51"/>
  <c r="J175" i="51"/>
  <c r="R178" i="51"/>
  <c r="J20" i="51"/>
  <c r="J152" i="51"/>
  <c r="R41" i="51"/>
  <c r="R34" i="51"/>
  <c r="J153" i="51"/>
  <c r="R138" i="51"/>
  <c r="J34" i="51"/>
  <c r="R175" i="51"/>
  <c r="J188" i="51"/>
  <c r="R167" i="51"/>
  <c r="J149" i="51"/>
  <c r="J93" i="51"/>
  <c r="R53" i="51"/>
  <c r="J178" i="51"/>
  <c r="J195" i="51"/>
  <c r="R150" i="51"/>
  <c r="R92" i="51"/>
  <c r="R99" i="51"/>
  <c r="R147" i="51"/>
  <c r="R156" i="51"/>
  <c r="J49" i="51"/>
  <c r="R129" i="51"/>
  <c r="J173" i="51"/>
  <c r="R75" i="51"/>
  <c r="J140" i="51"/>
  <c r="J160" i="51"/>
  <c r="R55" i="51"/>
  <c r="R27" i="51"/>
  <c r="R89" i="51"/>
  <c r="J55" i="51"/>
  <c r="J132" i="51"/>
  <c r="R37" i="51"/>
  <c r="J29" i="51"/>
  <c r="R33" i="51"/>
  <c r="J36" i="51"/>
  <c r="J109" i="51"/>
  <c r="J63" i="51"/>
  <c r="R170" i="51"/>
  <c r="R174" i="51"/>
  <c r="J119" i="51"/>
  <c r="R187" i="51"/>
  <c r="J131" i="51"/>
  <c r="J154" i="51"/>
  <c r="R49" i="51"/>
  <c r="J184" i="51"/>
  <c r="R119" i="51"/>
  <c r="R172" i="51"/>
  <c r="J74" i="51"/>
  <c r="R19" i="51"/>
  <c r="J19" i="51"/>
  <c r="R136" i="51"/>
  <c r="J73" i="51"/>
  <c r="J128" i="51"/>
  <c r="R20" i="51"/>
  <c r="J193" i="51"/>
  <c r="J96" i="51"/>
  <c r="J27" i="51"/>
  <c r="R193" i="51"/>
  <c r="J147" i="51"/>
  <c r="R98" i="51"/>
  <c r="J92" i="51"/>
  <c r="J141" i="51"/>
  <c r="R142" i="51"/>
  <c r="R109" i="51"/>
  <c r="R180" i="51"/>
  <c r="J167" i="51"/>
  <c r="J38" i="51"/>
  <c r="J62" i="51"/>
  <c r="J191" i="51"/>
  <c r="J41" i="51"/>
  <c r="R31" i="51"/>
  <c r="R192" i="51"/>
  <c r="J94" i="51"/>
  <c r="J180" i="51"/>
  <c r="R91" i="51"/>
  <c r="J91" i="51"/>
  <c r="R62" i="51"/>
  <c r="R69" i="51"/>
  <c r="J72" i="51"/>
  <c r="J67" i="51"/>
  <c r="R93" i="51"/>
  <c r="J104" i="51"/>
  <c r="J185" i="51"/>
  <c r="J48" i="51"/>
  <c r="J121" i="51"/>
  <c r="R133" i="51"/>
  <c r="J95" i="51"/>
  <c r="J40" i="51"/>
  <c r="J65" i="51"/>
  <c r="R51" i="51"/>
  <c r="R127" i="51"/>
  <c r="R103" i="51"/>
  <c r="R162" i="51"/>
  <c r="J127" i="51"/>
  <c r="J159" i="51"/>
  <c r="J57" i="51"/>
  <c r="J99" i="51"/>
  <c r="J26" i="51"/>
  <c r="R105" i="51"/>
  <c r="J47" i="51"/>
  <c r="J108" i="51"/>
  <c r="J182" i="51"/>
  <c r="J136" i="51"/>
  <c r="R131" i="51"/>
  <c r="J53" i="51"/>
  <c r="R149" i="51"/>
  <c r="J79" i="51"/>
  <c r="J50" i="51"/>
  <c r="R45" i="51"/>
  <c r="R121" i="51"/>
  <c r="R145" i="51"/>
  <c r="J166" i="51"/>
  <c r="J76" i="51"/>
  <c r="J85" i="51"/>
  <c r="R139" i="51"/>
  <c r="R111" i="51"/>
  <c r="J190" i="51"/>
  <c r="J100" i="51"/>
  <c r="R125" i="51"/>
  <c r="J89" i="51"/>
  <c r="J110" i="51"/>
  <c r="R182" i="51"/>
  <c r="J145" i="51"/>
  <c r="R135" i="51"/>
  <c r="J83" i="51"/>
  <c r="R77" i="51"/>
  <c r="J43" i="51"/>
  <c r="J174" i="51"/>
  <c r="R85" i="51"/>
  <c r="J58" i="51"/>
  <c r="R101" i="51"/>
  <c r="R152" i="51"/>
  <c r="J84" i="51"/>
  <c r="J158" i="51"/>
  <c r="R23" i="51"/>
  <c r="J138" i="51"/>
  <c r="J148" i="51"/>
  <c r="J143" i="51"/>
  <c r="R87" i="51"/>
  <c r="R164" i="51"/>
  <c r="R29" i="51"/>
  <c r="J54" i="51"/>
  <c r="J164" i="51"/>
  <c r="R137" i="51"/>
  <c r="R57" i="51"/>
  <c r="R63" i="51"/>
  <c r="J101" i="51"/>
  <c r="R141" i="51"/>
  <c r="J116" i="51"/>
  <c r="J144" i="51"/>
  <c r="R40" i="51"/>
  <c r="R176" i="51"/>
  <c r="J169" i="51"/>
  <c r="J113" i="51"/>
  <c r="R186" i="51"/>
  <c r="J115" i="51"/>
  <c r="J125" i="51"/>
  <c r="R81" i="51"/>
  <c r="R158" i="51"/>
  <c r="R95" i="51"/>
  <c r="R70" i="51"/>
  <c r="J68" i="51"/>
  <c r="J196" i="51"/>
  <c r="R88" i="51"/>
  <c r="J25" i="51"/>
  <c r="J122" i="51"/>
  <c r="J56" i="51"/>
  <c r="R122" i="51"/>
  <c r="R196" i="51"/>
  <c r="R59" i="51"/>
  <c r="J80" i="51"/>
  <c r="J163" i="51"/>
  <c r="R94" i="51"/>
  <c r="J103" i="51"/>
  <c r="J189" i="51"/>
  <c r="R65" i="51"/>
  <c r="R140" i="51"/>
  <c r="J70" i="51"/>
  <c r="J107" i="51"/>
  <c r="R72" i="51"/>
  <c r="R148" i="51"/>
  <c r="J150" i="51"/>
  <c r="R100" i="51"/>
  <c r="R39" i="51"/>
  <c r="J114" i="51"/>
  <c r="R46" i="51"/>
  <c r="R116" i="51"/>
  <c r="R190" i="51"/>
  <c r="J151" i="51"/>
  <c r="R74" i="51"/>
  <c r="R84" i="51"/>
  <c r="R161" i="51"/>
  <c r="R113" i="51"/>
  <c r="J88" i="51"/>
  <c r="R90" i="51"/>
  <c r="R30" i="51"/>
  <c r="J142" i="51"/>
  <c r="R144" i="51"/>
  <c r="R128" i="51"/>
  <c r="J112" i="51"/>
  <c r="J82" i="51"/>
  <c r="J170" i="51"/>
  <c r="J179" i="51"/>
  <c r="J172" i="51"/>
  <c r="R155" i="51"/>
  <c r="J118" i="51"/>
  <c r="J61" i="51"/>
  <c r="J134" i="51"/>
  <c r="R26" i="51"/>
  <c r="R195" i="51"/>
  <c r="R169" i="51"/>
  <c r="J183" i="51"/>
  <c r="R179" i="51"/>
  <c r="J33" i="51"/>
  <c r="R71" i="51"/>
  <c r="J186" i="51"/>
  <c r="R134" i="51"/>
  <c r="R42" i="51"/>
  <c r="R189" i="51"/>
  <c r="J18" i="51"/>
  <c r="R28" i="51"/>
  <c r="R146" i="51"/>
  <c r="R47" i="51"/>
  <c r="R120" i="51"/>
  <c r="J86" i="51"/>
  <c r="R171" i="51"/>
  <c r="R110" i="51"/>
  <c r="J137" i="51"/>
  <c r="J51" i="51"/>
  <c r="J124" i="51"/>
  <c r="J71" i="51"/>
  <c r="R126" i="51"/>
  <c r="J129" i="51"/>
  <c r="J162" i="51"/>
  <c r="R96" i="51"/>
  <c r="J31" i="51"/>
  <c r="J69" i="51"/>
  <c r="R107" i="51"/>
  <c r="R181" i="51"/>
  <c r="R165" i="51"/>
  <c r="R21" i="51"/>
  <c r="R79" i="51"/>
  <c r="R78" i="51"/>
  <c r="J45" i="51"/>
  <c r="J156" i="51"/>
  <c r="J75" i="51"/>
  <c r="R83" i="51"/>
  <c r="R157" i="51"/>
  <c r="R56" i="51"/>
  <c r="J135" i="51"/>
  <c r="J39" i="51"/>
  <c r="J59" i="51"/>
  <c r="J87" i="51"/>
  <c r="J161" i="51"/>
  <c r="R173" i="51"/>
  <c r="J192" i="51"/>
  <c r="R163" i="51"/>
  <c r="R25" i="51"/>
  <c r="R68" i="51"/>
  <c r="J97" i="51"/>
  <c r="J139" i="51"/>
  <c r="J105" i="51"/>
  <c r="R73" i="51"/>
  <c r="R143" i="51"/>
  <c r="J37" i="51"/>
  <c r="J22" i="51"/>
  <c r="R166" i="51"/>
  <c r="J64" i="51"/>
  <c r="R188" i="51"/>
  <c r="R114" i="51"/>
  <c r="R191" i="51"/>
  <c r="J81" i="51"/>
  <c r="J155" i="51"/>
  <c r="R18" i="51"/>
  <c r="R38" i="51"/>
  <c r="R118" i="51"/>
  <c r="J123" i="51"/>
  <c r="K15" i="70"/>
  <c r="K73" i="70" s="1"/>
  <c r="I73" i="70"/>
  <c r="G73" i="60"/>
  <c r="F23" i="19" s="1"/>
  <c r="H15" i="60"/>
  <c r="H73" i="60" s="1"/>
  <c r="K73" i="63"/>
  <c r="H26" i="19" s="1"/>
  <c r="L15" i="63"/>
  <c r="L73" i="63" s="1"/>
  <c r="I73" i="65"/>
  <c r="K15" i="65"/>
  <c r="K73" i="65" s="1"/>
  <c r="K73" i="64"/>
  <c r="H27" i="19" s="1"/>
  <c r="L15" i="64"/>
  <c r="L73" i="64" s="1"/>
  <c r="H15" i="58"/>
  <c r="H73" i="58" s="1"/>
  <c r="G73" i="58"/>
  <c r="F21" i="19" s="1"/>
  <c r="H15" i="62"/>
  <c r="H73" i="62" s="1"/>
  <c r="G73" i="62"/>
  <c r="F25" i="19" s="1"/>
  <c r="K73" i="59"/>
  <c r="H22" i="19" s="1"/>
  <c r="L17" i="59"/>
  <c r="L73" i="59" s="1"/>
  <c r="S15" i="71"/>
  <c r="S73" i="71" s="1"/>
  <c r="Q73" i="71"/>
  <c r="K15" i="68"/>
  <c r="K73" i="68" s="1"/>
  <c r="I73" i="68"/>
  <c r="S15" i="70"/>
  <c r="S73" i="70" s="1"/>
  <c r="Q73" i="70"/>
  <c r="L15" i="58"/>
  <c r="L73" i="58" s="1"/>
  <c r="K73" i="58"/>
  <c r="H21" i="19" s="1"/>
  <c r="G73" i="63"/>
  <c r="F26" i="19" s="1"/>
  <c r="H15" i="63"/>
  <c r="H73" i="63" s="1"/>
  <c r="I73" i="67"/>
  <c r="K15" i="67"/>
  <c r="K73" i="67" s="1"/>
  <c r="K15" i="66"/>
  <c r="K73" i="66" s="1"/>
  <c r="I73" i="66"/>
  <c r="Q73" i="69"/>
  <c r="S17" i="69"/>
  <c r="S73" i="69" s="1"/>
  <c r="S15" i="66"/>
  <c r="S73" i="66" s="1"/>
  <c r="Q73" i="66"/>
  <c r="L15" i="61"/>
  <c r="L73" i="61" s="1"/>
  <c r="K73" i="61"/>
  <c r="H24" i="19" s="1"/>
  <c r="S15" i="72"/>
  <c r="S73" i="72" s="1"/>
  <c r="Q73" i="72"/>
  <c r="K15" i="73"/>
  <c r="K73" i="73" s="1"/>
  <c r="I73" i="73"/>
  <c r="K73" i="60"/>
  <c r="H23" i="19" s="1"/>
  <c r="L15" i="60"/>
  <c r="L73" i="60" s="1"/>
  <c r="S15" i="68"/>
  <c r="S73" i="68" s="1"/>
  <c r="Q73" i="68"/>
  <c r="K73" i="56"/>
  <c r="H19" i="19" s="1"/>
  <c r="L16" i="56"/>
  <c r="L73" i="56" s="1"/>
  <c r="L15" i="57"/>
  <c r="L73" i="57" s="1"/>
  <c r="K73" i="57"/>
  <c r="H20" i="19" s="1"/>
  <c r="H15" i="59"/>
  <c r="H73" i="59" s="1"/>
  <c r="G73" i="59"/>
  <c r="F22" i="19" s="1"/>
  <c r="L15" i="62"/>
  <c r="L73" i="62" s="1"/>
  <c r="K73" i="62"/>
  <c r="H25" i="19" s="1"/>
  <c r="S15" i="65"/>
  <c r="S73" i="65" s="1"/>
  <c r="Q73" i="65"/>
  <c r="Q73" i="67"/>
  <c r="S15" i="67"/>
  <c r="S73" i="67" s="1"/>
  <c r="K15" i="72"/>
  <c r="K73" i="72" s="1"/>
  <c r="I73" i="72"/>
  <c r="K15" i="69"/>
  <c r="K73" i="69" s="1"/>
  <c r="I73" i="69"/>
  <c r="H15" i="56"/>
  <c r="H73" i="56" s="1"/>
  <c r="G73" i="56"/>
  <c r="F19" i="19" s="1"/>
  <c r="G73" i="64"/>
  <c r="F27" i="19" s="1"/>
  <c r="H23" i="64"/>
  <c r="H73" i="64" s="1"/>
  <c r="K15" i="71"/>
  <c r="K73" i="71" s="1"/>
  <c r="I73" i="71"/>
  <c r="H15" i="57"/>
  <c r="H73" i="57" s="1"/>
  <c r="G73" i="57"/>
  <c r="F20" i="19" s="1"/>
  <c r="H15" i="61"/>
  <c r="H73" i="61" s="1"/>
  <c r="G73" i="61"/>
  <c r="F24" i="19" s="1"/>
  <c r="S15" i="73"/>
  <c r="S73" i="73" s="1"/>
  <c r="Q73" i="73"/>
  <c r="K27" i="35"/>
  <c r="L27" i="35" s="1"/>
  <c r="T26" i="47"/>
  <c r="K60" i="35"/>
  <c r="L60" i="35" s="1"/>
  <c r="T59" i="47"/>
  <c r="K25" i="35"/>
  <c r="L25" i="35" s="1"/>
  <c r="T24" i="47"/>
  <c r="K46" i="35"/>
  <c r="L46" i="35" s="1"/>
  <c r="T45" i="47"/>
  <c r="K64" i="35"/>
  <c r="L64" i="35" s="1"/>
  <c r="T63" i="47"/>
  <c r="K55" i="35"/>
  <c r="L55" i="35" s="1"/>
  <c r="T54" i="47"/>
  <c r="K33" i="35"/>
  <c r="L33" i="35" s="1"/>
  <c r="T32" i="47"/>
  <c r="K34" i="35"/>
  <c r="L34" i="35" s="1"/>
  <c r="T33" i="47"/>
  <c r="K20" i="35"/>
  <c r="L20" i="35" s="1"/>
  <c r="T19" i="47"/>
  <c r="K68" i="35"/>
  <c r="L68" i="35" s="1"/>
  <c r="T67" i="47"/>
  <c r="K37" i="35"/>
  <c r="L37" i="35" s="1"/>
  <c r="T36" i="47"/>
  <c r="K39" i="35"/>
  <c r="L39" i="35" s="1"/>
  <c r="T38" i="47"/>
  <c r="K35" i="35"/>
  <c r="L35" i="35" s="1"/>
  <c r="T34" i="47"/>
  <c r="K19" i="35"/>
  <c r="L19" i="35" s="1"/>
  <c r="T18" i="47"/>
  <c r="K26" i="35"/>
  <c r="L26" i="35" s="1"/>
  <c r="T25" i="47"/>
  <c r="K59" i="35"/>
  <c r="L59" i="35" s="1"/>
  <c r="T58" i="47"/>
  <c r="K66" i="35"/>
  <c r="L66" i="35" s="1"/>
  <c r="T65" i="47"/>
  <c r="K44" i="35"/>
  <c r="L44" i="35" s="1"/>
  <c r="T43" i="47"/>
  <c r="K73" i="46"/>
  <c r="I73" i="46"/>
  <c r="K40" i="35"/>
  <c r="L40" i="35" s="1"/>
  <c r="T39" i="47"/>
  <c r="K61" i="35"/>
  <c r="L61" i="35" s="1"/>
  <c r="T60" i="47"/>
  <c r="K69" i="35"/>
  <c r="L69" i="35" s="1"/>
  <c r="T68" i="47"/>
  <c r="K43" i="35"/>
  <c r="L43" i="35" s="1"/>
  <c r="T42" i="47"/>
  <c r="K58" i="35"/>
  <c r="L58" i="35" s="1"/>
  <c r="T57" i="47"/>
  <c r="K71" i="35"/>
  <c r="L71" i="35" s="1"/>
  <c r="T70" i="47"/>
  <c r="K21" i="35"/>
  <c r="L21" i="35" s="1"/>
  <c r="K32" i="35"/>
  <c r="L32" i="35" s="1"/>
  <c r="T31" i="47"/>
  <c r="K56" i="35"/>
  <c r="L56" i="35" s="1"/>
  <c r="T55" i="47"/>
  <c r="K49" i="35"/>
  <c r="L49" i="35" s="1"/>
  <c r="T48" i="47"/>
  <c r="K31" i="35"/>
  <c r="L31" i="35" s="1"/>
  <c r="T30" i="47"/>
  <c r="K29" i="35"/>
  <c r="L29" i="35" s="1"/>
  <c r="T28" i="47"/>
  <c r="K45" i="35"/>
  <c r="L45" i="35" s="1"/>
  <c r="T44" i="47"/>
  <c r="K52" i="35"/>
  <c r="L52" i="35" s="1"/>
  <c r="T51" i="47"/>
  <c r="K54" i="35"/>
  <c r="L54" i="35" s="1"/>
  <c r="T53" i="47"/>
  <c r="K36" i="35"/>
  <c r="L36" i="35" s="1"/>
  <c r="T35" i="47"/>
  <c r="K22" i="35"/>
  <c r="L22" i="35" s="1"/>
  <c r="T21" i="47"/>
  <c r="K63" i="35"/>
  <c r="L63" i="35" s="1"/>
  <c r="T62" i="47"/>
  <c r="K18" i="35"/>
  <c r="L18" i="35" s="1"/>
  <c r="T17" i="47"/>
  <c r="K47" i="35"/>
  <c r="L47" i="35" s="1"/>
  <c r="T46" i="47"/>
  <c r="K62" i="35"/>
  <c r="L62" i="35" s="1"/>
  <c r="T61" i="47"/>
  <c r="K23" i="35"/>
  <c r="L23" i="35" s="1"/>
  <c r="T22" i="47"/>
  <c r="K24" i="35"/>
  <c r="L24" i="35" s="1"/>
  <c r="T23" i="47"/>
  <c r="K28" i="35"/>
  <c r="L28" i="35" s="1"/>
  <c r="T27" i="47"/>
  <c r="K51" i="35"/>
  <c r="L51" i="35" s="1"/>
  <c r="T50" i="47"/>
  <c r="S73" i="46"/>
  <c r="K73" i="35"/>
  <c r="L73" i="35" s="1"/>
  <c r="T72" i="47"/>
  <c r="K50" i="35"/>
  <c r="L50" i="35" s="1"/>
  <c r="T49" i="47"/>
  <c r="K70" i="35"/>
  <c r="L70" i="35" s="1"/>
  <c r="T69" i="47"/>
  <c r="K30" i="35"/>
  <c r="L30" i="35" s="1"/>
  <c r="T29" i="47"/>
  <c r="K41" i="35"/>
  <c r="L41" i="35" s="1"/>
  <c r="T40" i="47"/>
  <c r="K57" i="35"/>
  <c r="L57" i="35" s="1"/>
  <c r="T56" i="47"/>
  <c r="K42" i="35"/>
  <c r="L42" i="35" s="1"/>
  <c r="T41" i="47"/>
  <c r="I73" i="48"/>
  <c r="K73" i="48"/>
  <c r="K48" i="35"/>
  <c r="L48" i="35" s="1"/>
  <c r="T47" i="47"/>
  <c r="K16" i="35"/>
  <c r="L16" i="35" s="1"/>
  <c r="K38" i="35"/>
  <c r="L38" i="35" s="1"/>
  <c r="T37" i="47"/>
  <c r="K17" i="35"/>
  <c r="L17" i="35" s="1"/>
  <c r="T16" i="47"/>
  <c r="K72" i="35"/>
  <c r="L72" i="35" s="1"/>
  <c r="T71" i="47"/>
  <c r="K67" i="35"/>
  <c r="L67" i="35" s="1"/>
  <c r="T66" i="47"/>
  <c r="K53" i="35"/>
  <c r="L53" i="35" s="1"/>
  <c r="T52" i="47"/>
  <c r="K65" i="35"/>
  <c r="L65" i="35" s="1"/>
  <c r="T64" i="47"/>
  <c r="Q73" i="48"/>
  <c r="S73" i="48"/>
  <c r="H74" i="34"/>
  <c r="G94" i="40"/>
  <c r="V94" i="40" s="1"/>
  <c r="G104" i="40"/>
  <c r="V92" i="40"/>
  <c r="L16" i="34"/>
  <c r="L74" i="34" s="1"/>
  <c r="K74" i="34"/>
  <c r="H15" i="33" s="1"/>
  <c r="I73" i="47"/>
  <c r="L16" i="37"/>
  <c r="L74" i="37" s="1"/>
  <c r="K74" i="37"/>
  <c r="H18" i="33" s="1"/>
  <c r="Q73" i="49"/>
  <c r="G74" i="36"/>
  <c r="F17" i="33" s="1"/>
  <c r="H16" i="36"/>
  <c r="H74" i="36" s="1"/>
  <c r="Q73" i="47"/>
  <c r="G74" i="34"/>
  <c r="F15" i="33" s="1"/>
  <c r="H16" i="37"/>
  <c r="H74" i="37" s="1"/>
  <c r="G74" i="37"/>
  <c r="F18" i="33" s="1"/>
  <c r="H16" i="35"/>
  <c r="H74" i="35" s="1"/>
  <c r="G74" i="35"/>
  <c r="F16" i="33" s="1"/>
  <c r="K74" i="36"/>
  <c r="H17" i="33" s="1"/>
  <c r="L16" i="36"/>
  <c r="L74" i="36" s="1"/>
  <c r="Q73" i="46"/>
  <c r="I73" i="49"/>
  <c r="K20" i="16"/>
  <c r="L20" i="16" s="1"/>
  <c r="K28" i="16"/>
  <c r="L28" i="16" s="1"/>
  <c r="K36" i="16"/>
  <c r="L36" i="16" s="1"/>
  <c r="K44" i="16"/>
  <c r="L44" i="16" s="1"/>
  <c r="K52" i="16"/>
  <c r="L52" i="16" s="1"/>
  <c r="K60" i="16"/>
  <c r="L60" i="16" s="1"/>
  <c r="K68" i="16"/>
  <c r="L68" i="16" s="1"/>
  <c r="G34" i="16"/>
  <c r="H34" i="16" s="1"/>
  <c r="G50" i="16"/>
  <c r="H50" i="16" s="1"/>
  <c r="G58" i="16"/>
  <c r="H58" i="16" s="1"/>
  <c r="G66" i="16"/>
  <c r="H66" i="16" s="1"/>
  <c r="K52" i="23"/>
  <c r="L52" i="23" s="1"/>
  <c r="G42" i="23"/>
  <c r="H42" i="23" s="1"/>
  <c r="K20" i="18"/>
  <c r="L20" i="18" s="1"/>
  <c r="K52" i="18"/>
  <c r="L52" i="18" s="1"/>
  <c r="G18" i="18"/>
  <c r="H18" i="18" s="1"/>
  <c r="G50" i="18"/>
  <c r="H50" i="18" s="1"/>
  <c r="G28" i="17"/>
  <c r="H28" i="17" s="1"/>
  <c r="G68" i="17"/>
  <c r="H68" i="17" s="1"/>
  <c r="G67" i="18"/>
  <c r="H67" i="18" s="1"/>
  <c r="K21" i="16"/>
  <c r="L21" i="16" s="1"/>
  <c r="K29" i="16"/>
  <c r="L29" i="16" s="1"/>
  <c r="K37" i="16"/>
  <c r="L37" i="16" s="1"/>
  <c r="K45" i="16"/>
  <c r="L45" i="16" s="1"/>
  <c r="K53" i="16"/>
  <c r="L53" i="16" s="1"/>
  <c r="K61" i="16"/>
  <c r="L61" i="16" s="1"/>
  <c r="K69" i="16"/>
  <c r="L69" i="16" s="1"/>
  <c r="G19" i="16"/>
  <c r="H19" i="16" s="1"/>
  <c r="G27" i="16"/>
  <c r="H27" i="16" s="1"/>
  <c r="G35" i="16"/>
  <c r="H35" i="16" s="1"/>
  <c r="G43" i="16"/>
  <c r="H43" i="16" s="1"/>
  <c r="G51" i="16"/>
  <c r="H51" i="16" s="1"/>
  <c r="G59" i="16"/>
  <c r="H59" i="16" s="1"/>
  <c r="G67" i="16"/>
  <c r="H67" i="16" s="1"/>
  <c r="K21" i="23"/>
  <c r="L21" i="23" s="1"/>
  <c r="K29" i="23"/>
  <c r="L29" i="23" s="1"/>
  <c r="K37" i="23"/>
  <c r="L37" i="23" s="1"/>
  <c r="K45" i="23"/>
  <c r="L45" i="23" s="1"/>
  <c r="K53" i="23"/>
  <c r="L53" i="23" s="1"/>
  <c r="K61" i="23"/>
  <c r="L61" i="23" s="1"/>
  <c r="K69" i="23"/>
  <c r="L69" i="23" s="1"/>
  <c r="G19" i="23"/>
  <c r="H19" i="23" s="1"/>
  <c r="G27" i="23"/>
  <c r="H27" i="23" s="1"/>
  <c r="G35" i="23"/>
  <c r="H35" i="23" s="1"/>
  <c r="G43" i="23"/>
  <c r="H43" i="23" s="1"/>
  <c r="G51" i="23"/>
  <c r="H51" i="23" s="1"/>
  <c r="G59" i="23"/>
  <c r="H59" i="23" s="1"/>
  <c r="G67" i="23"/>
  <c r="H67" i="23" s="1"/>
  <c r="K21" i="18"/>
  <c r="L21" i="18" s="1"/>
  <c r="K29" i="18"/>
  <c r="L29" i="18" s="1"/>
  <c r="K37" i="18"/>
  <c r="L37" i="18" s="1"/>
  <c r="K45" i="18"/>
  <c r="L45" i="18" s="1"/>
  <c r="K53" i="18"/>
  <c r="L53" i="18" s="1"/>
  <c r="K61" i="18"/>
  <c r="L61" i="18" s="1"/>
  <c r="K69" i="18"/>
  <c r="L69" i="18" s="1"/>
  <c r="G19" i="18"/>
  <c r="H19" i="18" s="1"/>
  <c r="G27" i="18"/>
  <c r="H27" i="18" s="1"/>
  <c r="G35" i="18"/>
  <c r="H35" i="18" s="1"/>
  <c r="G59" i="18"/>
  <c r="H59" i="18" s="1"/>
  <c r="K22" i="16"/>
  <c r="L22" i="16" s="1"/>
  <c r="K30" i="16"/>
  <c r="L30" i="16" s="1"/>
  <c r="K38" i="16"/>
  <c r="L38" i="16" s="1"/>
  <c r="K46" i="16"/>
  <c r="L46" i="16" s="1"/>
  <c r="K54" i="16"/>
  <c r="L54" i="16" s="1"/>
  <c r="K62" i="16"/>
  <c r="L62" i="16" s="1"/>
  <c r="K70" i="16"/>
  <c r="L70" i="16" s="1"/>
  <c r="G20" i="16"/>
  <c r="H20" i="16" s="1"/>
  <c r="G28" i="16"/>
  <c r="H28" i="16" s="1"/>
  <c r="G36" i="16"/>
  <c r="H36" i="16" s="1"/>
  <c r="G44" i="16"/>
  <c r="H44" i="16" s="1"/>
  <c r="G52" i="16"/>
  <c r="H52" i="16" s="1"/>
  <c r="G60" i="16"/>
  <c r="H60" i="16" s="1"/>
  <c r="G68" i="16"/>
  <c r="H68" i="16" s="1"/>
  <c r="K22" i="23"/>
  <c r="L22" i="23" s="1"/>
  <c r="K30" i="23"/>
  <c r="L30" i="23" s="1"/>
  <c r="K38" i="23"/>
  <c r="L38" i="23" s="1"/>
  <c r="K46" i="23"/>
  <c r="L46" i="23" s="1"/>
  <c r="K54" i="23"/>
  <c r="L54" i="23" s="1"/>
  <c r="K62" i="23"/>
  <c r="L62" i="23" s="1"/>
  <c r="K70" i="23"/>
  <c r="L70" i="23" s="1"/>
  <c r="G20" i="23"/>
  <c r="H20" i="23" s="1"/>
  <c r="G28" i="23"/>
  <c r="H28" i="23" s="1"/>
  <c r="G36" i="23"/>
  <c r="H36" i="23" s="1"/>
  <c r="G44" i="23"/>
  <c r="H44" i="23" s="1"/>
  <c r="G52" i="23"/>
  <c r="H52" i="23" s="1"/>
  <c r="G60" i="23"/>
  <c r="H60" i="23" s="1"/>
  <c r="G68" i="23"/>
  <c r="H68" i="23" s="1"/>
  <c r="K22" i="18"/>
  <c r="L22" i="18" s="1"/>
  <c r="K30" i="18"/>
  <c r="L30" i="18" s="1"/>
  <c r="K38" i="18"/>
  <c r="L38" i="18" s="1"/>
  <c r="K46" i="18"/>
  <c r="L46" i="18" s="1"/>
  <c r="K54" i="18"/>
  <c r="L54" i="18" s="1"/>
  <c r="K62" i="18"/>
  <c r="L62" i="18" s="1"/>
  <c r="K70" i="18"/>
  <c r="L70" i="18" s="1"/>
  <c r="G20" i="18"/>
  <c r="H20" i="18" s="1"/>
  <c r="G28" i="18"/>
  <c r="H28" i="18" s="1"/>
  <c r="G36" i="18"/>
  <c r="H36" i="18" s="1"/>
  <c r="G44" i="18"/>
  <c r="H44" i="18" s="1"/>
  <c r="G52" i="18"/>
  <c r="H52" i="18" s="1"/>
  <c r="G60" i="18"/>
  <c r="H60" i="18" s="1"/>
  <c r="G68" i="18"/>
  <c r="H68" i="18" s="1"/>
  <c r="K16" i="17"/>
  <c r="K24" i="17"/>
  <c r="L24" i="17" s="1"/>
  <c r="K32" i="17"/>
  <c r="L32" i="17" s="1"/>
  <c r="K40" i="17"/>
  <c r="L40" i="17" s="1"/>
  <c r="K48" i="17"/>
  <c r="L48" i="17" s="1"/>
  <c r="K56" i="17"/>
  <c r="L56" i="17" s="1"/>
  <c r="K64" i="17"/>
  <c r="L64" i="17" s="1"/>
  <c r="K72" i="17"/>
  <c r="L72" i="17" s="1"/>
  <c r="G22" i="17"/>
  <c r="H22" i="17" s="1"/>
  <c r="G30" i="17"/>
  <c r="H30" i="17" s="1"/>
  <c r="G38" i="17"/>
  <c r="H38" i="17" s="1"/>
  <c r="G46" i="17"/>
  <c r="H46" i="17" s="1"/>
  <c r="G54" i="17"/>
  <c r="H54" i="17" s="1"/>
  <c r="G62" i="17"/>
  <c r="H62" i="17" s="1"/>
  <c r="G70" i="17"/>
  <c r="H70" i="17" s="1"/>
  <c r="K71" i="23"/>
  <c r="L71" i="23" s="1"/>
  <c r="G61" i="23"/>
  <c r="H61" i="23" s="1"/>
  <c r="K31" i="18"/>
  <c r="L31" i="18" s="1"/>
  <c r="K47" i="18"/>
  <c r="L47" i="18" s="1"/>
  <c r="K63" i="18"/>
  <c r="L63" i="18" s="1"/>
  <c r="K71" i="18"/>
  <c r="L71" i="18" s="1"/>
  <c r="G29" i="18"/>
  <c r="H29" i="18" s="1"/>
  <c r="G37" i="18"/>
  <c r="H37" i="18" s="1"/>
  <c r="G53" i="18"/>
  <c r="H53" i="18" s="1"/>
  <c r="G61" i="18"/>
  <c r="H61" i="18" s="1"/>
  <c r="K17" i="17"/>
  <c r="L17" i="17" s="1"/>
  <c r="K23" i="16"/>
  <c r="L23" i="16" s="1"/>
  <c r="K31" i="16"/>
  <c r="L31" i="16" s="1"/>
  <c r="K39" i="16"/>
  <c r="L39" i="16" s="1"/>
  <c r="K47" i="16"/>
  <c r="L47" i="16" s="1"/>
  <c r="K55" i="16"/>
  <c r="L55" i="16" s="1"/>
  <c r="K63" i="16"/>
  <c r="L63" i="16" s="1"/>
  <c r="K71" i="16"/>
  <c r="L71" i="16" s="1"/>
  <c r="G21" i="16"/>
  <c r="H21" i="16" s="1"/>
  <c r="G29" i="16"/>
  <c r="H29" i="16" s="1"/>
  <c r="G37" i="16"/>
  <c r="H37" i="16" s="1"/>
  <c r="G45" i="16"/>
  <c r="H45" i="16" s="1"/>
  <c r="G53" i="16"/>
  <c r="H53" i="16" s="1"/>
  <c r="G61" i="16"/>
  <c r="H61" i="16" s="1"/>
  <c r="G69" i="16"/>
  <c r="H69" i="16" s="1"/>
  <c r="K23" i="23"/>
  <c r="L23" i="23" s="1"/>
  <c r="K31" i="23"/>
  <c r="L31" i="23" s="1"/>
  <c r="K39" i="23"/>
  <c r="L39" i="23" s="1"/>
  <c r="K47" i="23"/>
  <c r="L47" i="23" s="1"/>
  <c r="K55" i="23"/>
  <c r="L55" i="23" s="1"/>
  <c r="K63" i="23"/>
  <c r="L63" i="23" s="1"/>
  <c r="G21" i="23"/>
  <c r="H21" i="23" s="1"/>
  <c r="G29" i="23"/>
  <c r="H29" i="23" s="1"/>
  <c r="G37" i="23"/>
  <c r="H37" i="23" s="1"/>
  <c r="G45" i="23"/>
  <c r="H45" i="23" s="1"/>
  <c r="G53" i="23"/>
  <c r="H53" i="23" s="1"/>
  <c r="G69" i="23"/>
  <c r="H69" i="23" s="1"/>
  <c r="K23" i="18"/>
  <c r="L23" i="18" s="1"/>
  <c r="K39" i="18"/>
  <c r="L39" i="18" s="1"/>
  <c r="K55" i="18"/>
  <c r="L55" i="18" s="1"/>
  <c r="G21" i="18"/>
  <c r="H21" i="18" s="1"/>
  <c r="G45" i="18"/>
  <c r="H45" i="18" s="1"/>
  <c r="G69" i="18"/>
  <c r="H69" i="18" s="1"/>
  <c r="K16" i="16"/>
  <c r="L16" i="16" s="1"/>
  <c r="K24" i="16"/>
  <c r="L24" i="16" s="1"/>
  <c r="K32" i="16"/>
  <c r="L32" i="16" s="1"/>
  <c r="K40" i="16"/>
  <c r="L40" i="16" s="1"/>
  <c r="K48" i="16"/>
  <c r="L48" i="16" s="1"/>
  <c r="K56" i="16"/>
  <c r="L56" i="16" s="1"/>
  <c r="K64" i="16"/>
  <c r="L64" i="16" s="1"/>
  <c r="K72" i="16"/>
  <c r="L72" i="16" s="1"/>
  <c r="G22" i="16"/>
  <c r="H22" i="16" s="1"/>
  <c r="G30" i="16"/>
  <c r="H30" i="16" s="1"/>
  <c r="G38" i="16"/>
  <c r="H38" i="16" s="1"/>
  <c r="G46" i="16"/>
  <c r="H46" i="16" s="1"/>
  <c r="G54" i="16"/>
  <c r="H54" i="16" s="1"/>
  <c r="G62" i="16"/>
  <c r="H62" i="16" s="1"/>
  <c r="G70" i="16"/>
  <c r="H70" i="16" s="1"/>
  <c r="K16" i="23"/>
  <c r="L16" i="23" s="1"/>
  <c r="K24" i="23"/>
  <c r="L24" i="23" s="1"/>
  <c r="K32" i="23"/>
  <c r="L32" i="23" s="1"/>
  <c r="K40" i="23"/>
  <c r="L40" i="23" s="1"/>
  <c r="K48" i="23"/>
  <c r="L48" i="23" s="1"/>
  <c r="K56" i="23"/>
  <c r="L56" i="23" s="1"/>
  <c r="K64" i="23"/>
  <c r="L64" i="23" s="1"/>
  <c r="K72" i="23"/>
  <c r="L72" i="23" s="1"/>
  <c r="G22" i="23"/>
  <c r="H22" i="23" s="1"/>
  <c r="G30" i="23"/>
  <c r="H30" i="23" s="1"/>
  <c r="G38" i="23"/>
  <c r="H38" i="23" s="1"/>
  <c r="G46" i="23"/>
  <c r="H46" i="23" s="1"/>
  <c r="G54" i="23"/>
  <c r="H54" i="23" s="1"/>
  <c r="G62" i="23"/>
  <c r="H62" i="23" s="1"/>
  <c r="G70" i="23"/>
  <c r="H70" i="23" s="1"/>
  <c r="K16" i="18"/>
  <c r="L16" i="18" s="1"/>
  <c r="K24" i="18"/>
  <c r="L24" i="18" s="1"/>
  <c r="K32" i="18"/>
  <c r="L32" i="18" s="1"/>
  <c r="K40" i="18"/>
  <c r="L40" i="18" s="1"/>
  <c r="K48" i="18"/>
  <c r="L48" i="18" s="1"/>
  <c r="K56" i="18"/>
  <c r="L56" i="18" s="1"/>
  <c r="K64" i="18"/>
  <c r="L64" i="18" s="1"/>
  <c r="K72" i="18"/>
  <c r="L72" i="18" s="1"/>
  <c r="G22" i="18"/>
  <c r="H22" i="18" s="1"/>
  <c r="G30" i="18"/>
  <c r="H30" i="18" s="1"/>
  <c r="G38" i="18"/>
  <c r="H38" i="18" s="1"/>
  <c r="G46" i="18"/>
  <c r="H46" i="18" s="1"/>
  <c r="G54" i="18"/>
  <c r="H54" i="18" s="1"/>
  <c r="G62" i="18"/>
  <c r="H62" i="18" s="1"/>
  <c r="G70" i="18"/>
  <c r="H70" i="18" s="1"/>
  <c r="K18" i="17"/>
  <c r="L18" i="17" s="1"/>
  <c r="K17" i="16"/>
  <c r="L17" i="16" s="1"/>
  <c r="K18" i="16"/>
  <c r="L18" i="16" s="1"/>
  <c r="K26" i="16"/>
  <c r="L26" i="16" s="1"/>
  <c r="K34" i="16"/>
  <c r="L34" i="16" s="1"/>
  <c r="K42" i="16"/>
  <c r="L42" i="16" s="1"/>
  <c r="K50" i="16"/>
  <c r="L50" i="16" s="1"/>
  <c r="K58" i="16"/>
  <c r="L58" i="16" s="1"/>
  <c r="K66" i="16"/>
  <c r="L66" i="16" s="1"/>
  <c r="G24" i="16"/>
  <c r="H24" i="16" s="1"/>
  <c r="G32" i="16"/>
  <c r="H32" i="16" s="1"/>
  <c r="G40" i="16"/>
  <c r="H40" i="16" s="1"/>
  <c r="G48" i="16"/>
  <c r="H48" i="16" s="1"/>
  <c r="G56" i="16"/>
  <c r="H56" i="16" s="1"/>
  <c r="G64" i="16"/>
  <c r="H64" i="16" s="1"/>
  <c r="G72" i="16"/>
  <c r="H72" i="16" s="1"/>
  <c r="K18" i="23"/>
  <c r="L18" i="23" s="1"/>
  <c r="K26" i="23"/>
  <c r="L26" i="23" s="1"/>
  <c r="K34" i="23"/>
  <c r="L34" i="23" s="1"/>
  <c r="K42" i="23"/>
  <c r="L42" i="23" s="1"/>
  <c r="K50" i="23"/>
  <c r="L50" i="23" s="1"/>
  <c r="K58" i="23"/>
  <c r="L58" i="23" s="1"/>
  <c r="K66" i="23"/>
  <c r="L66" i="23" s="1"/>
  <c r="G16" i="23"/>
  <c r="H16" i="23" s="1"/>
  <c r="G24" i="23"/>
  <c r="H24" i="23" s="1"/>
  <c r="G32" i="23"/>
  <c r="H32" i="23" s="1"/>
  <c r="G40" i="23"/>
  <c r="H40" i="23" s="1"/>
  <c r="G48" i="23"/>
  <c r="H48" i="23" s="1"/>
  <c r="G56" i="23"/>
  <c r="H56" i="23" s="1"/>
  <c r="G64" i="23"/>
  <c r="H64" i="23" s="1"/>
  <c r="G72" i="23"/>
  <c r="H72" i="23" s="1"/>
  <c r="K18" i="18"/>
  <c r="L18" i="18" s="1"/>
  <c r="K26" i="18"/>
  <c r="L26" i="18" s="1"/>
  <c r="K34" i="18"/>
  <c r="L34" i="18" s="1"/>
  <c r="K42" i="18"/>
  <c r="L42" i="18" s="1"/>
  <c r="K50" i="18"/>
  <c r="L50" i="18" s="1"/>
  <c r="K58" i="18"/>
  <c r="L58" i="18" s="1"/>
  <c r="K66" i="18"/>
  <c r="L66" i="18" s="1"/>
  <c r="G16" i="18"/>
  <c r="H16" i="18" s="1"/>
  <c r="G24" i="18"/>
  <c r="H24" i="18" s="1"/>
  <c r="G32" i="18"/>
  <c r="H32" i="18" s="1"/>
  <c r="G40" i="18"/>
  <c r="H40" i="18" s="1"/>
  <c r="G48" i="18"/>
  <c r="H48" i="18" s="1"/>
  <c r="G56" i="18"/>
  <c r="H56" i="18" s="1"/>
  <c r="G64" i="18"/>
  <c r="H64" i="18" s="1"/>
  <c r="G72" i="18"/>
  <c r="H72" i="18" s="1"/>
  <c r="K20" i="17"/>
  <c r="L20" i="17" s="1"/>
  <c r="K28" i="17"/>
  <c r="L28" i="17" s="1"/>
  <c r="K36" i="17"/>
  <c r="L36" i="17" s="1"/>
  <c r="K44" i="17"/>
  <c r="L44" i="17" s="1"/>
  <c r="K52" i="17"/>
  <c r="L52" i="17" s="1"/>
  <c r="K60" i="17"/>
  <c r="L60" i="17" s="1"/>
  <c r="K68" i="17"/>
  <c r="L68" i="17" s="1"/>
  <c r="G18" i="17"/>
  <c r="H18" i="17" s="1"/>
  <c r="G26" i="17"/>
  <c r="H26" i="17" s="1"/>
  <c r="G34" i="17"/>
  <c r="H34" i="17" s="1"/>
  <c r="G42" i="17"/>
  <c r="H42" i="17" s="1"/>
  <c r="G50" i="17"/>
  <c r="H50" i="17" s="1"/>
  <c r="G58" i="17"/>
  <c r="H58" i="17" s="1"/>
  <c r="G66" i="17"/>
  <c r="H66" i="17" s="1"/>
  <c r="G26" i="16"/>
  <c r="H26" i="16" s="1"/>
  <c r="K20" i="23"/>
  <c r="L20" i="23" s="1"/>
  <c r="K28" i="23"/>
  <c r="L28" i="23" s="1"/>
  <c r="K36" i="23"/>
  <c r="L36" i="23" s="1"/>
  <c r="K44" i="23"/>
  <c r="L44" i="23" s="1"/>
  <c r="K60" i="23"/>
  <c r="L60" i="23" s="1"/>
  <c r="G18" i="23"/>
  <c r="H18" i="23" s="1"/>
  <c r="G26" i="23"/>
  <c r="H26" i="23" s="1"/>
  <c r="G50" i="23"/>
  <c r="H50" i="23" s="1"/>
  <c r="G66" i="23"/>
  <c r="H66" i="23" s="1"/>
  <c r="K28" i="18"/>
  <c r="L28" i="18" s="1"/>
  <c r="K36" i="18"/>
  <c r="L36" i="18" s="1"/>
  <c r="K44" i="18"/>
  <c r="L44" i="18" s="1"/>
  <c r="K60" i="18"/>
  <c r="L60" i="18" s="1"/>
  <c r="K68" i="18"/>
  <c r="L68" i="18" s="1"/>
  <c r="G34" i="18"/>
  <c r="H34" i="18" s="1"/>
  <c r="G42" i="18"/>
  <c r="H42" i="18" s="1"/>
  <c r="G58" i="18"/>
  <c r="H58" i="18" s="1"/>
  <c r="K22" i="17"/>
  <c r="L22" i="17" s="1"/>
  <c r="K38" i="17"/>
  <c r="L38" i="17" s="1"/>
  <c r="K46" i="17"/>
  <c r="L46" i="17" s="1"/>
  <c r="K62" i="17"/>
  <c r="L62" i="17" s="1"/>
  <c r="G20" i="17"/>
  <c r="H20" i="17" s="1"/>
  <c r="G44" i="17"/>
  <c r="H44" i="17" s="1"/>
  <c r="G60" i="17"/>
  <c r="H60" i="17" s="1"/>
  <c r="G43" i="18"/>
  <c r="H43" i="18" s="1"/>
  <c r="K19" i="16"/>
  <c r="L19" i="16" s="1"/>
  <c r="K27" i="16"/>
  <c r="L27" i="16" s="1"/>
  <c r="K35" i="16"/>
  <c r="L35" i="16" s="1"/>
  <c r="K43" i="16"/>
  <c r="L43" i="16" s="1"/>
  <c r="K51" i="16"/>
  <c r="L51" i="16" s="1"/>
  <c r="K59" i="16"/>
  <c r="L59" i="16" s="1"/>
  <c r="K67" i="16"/>
  <c r="L67" i="16" s="1"/>
  <c r="G25" i="16"/>
  <c r="H25" i="16" s="1"/>
  <c r="G33" i="16"/>
  <c r="H33" i="16" s="1"/>
  <c r="G41" i="16"/>
  <c r="H41" i="16" s="1"/>
  <c r="G49" i="16"/>
  <c r="H49" i="16" s="1"/>
  <c r="G57" i="16"/>
  <c r="H57" i="16" s="1"/>
  <c r="G65" i="16"/>
  <c r="H65" i="16" s="1"/>
  <c r="K19" i="23"/>
  <c r="L19" i="23" s="1"/>
  <c r="K27" i="23"/>
  <c r="L27" i="23" s="1"/>
  <c r="K35" i="23"/>
  <c r="L35" i="23" s="1"/>
  <c r="K43" i="23"/>
  <c r="L43" i="23" s="1"/>
  <c r="K51" i="23"/>
  <c r="L51" i="23" s="1"/>
  <c r="K59" i="23"/>
  <c r="L59" i="23" s="1"/>
  <c r="K67" i="23"/>
  <c r="L67" i="23" s="1"/>
  <c r="G17" i="23"/>
  <c r="H17" i="23" s="1"/>
  <c r="G25" i="23"/>
  <c r="H25" i="23" s="1"/>
  <c r="G33" i="23"/>
  <c r="H33" i="23" s="1"/>
  <c r="G41" i="23"/>
  <c r="H41" i="23" s="1"/>
  <c r="G49" i="23"/>
  <c r="H49" i="23" s="1"/>
  <c r="G57" i="23"/>
  <c r="H57" i="23" s="1"/>
  <c r="G65" i="23"/>
  <c r="H65" i="23" s="1"/>
  <c r="G15" i="23"/>
  <c r="K19" i="18"/>
  <c r="L19" i="18" s="1"/>
  <c r="K27" i="18"/>
  <c r="L27" i="18" s="1"/>
  <c r="K35" i="18"/>
  <c r="L35" i="18" s="1"/>
  <c r="K43" i="18"/>
  <c r="L43" i="18" s="1"/>
  <c r="K51" i="18"/>
  <c r="L51" i="18" s="1"/>
  <c r="K59" i="18"/>
  <c r="L59" i="18" s="1"/>
  <c r="K67" i="18"/>
  <c r="L67" i="18" s="1"/>
  <c r="G17" i="18"/>
  <c r="H17" i="18" s="1"/>
  <c r="G25" i="18"/>
  <c r="H25" i="18" s="1"/>
  <c r="G33" i="18"/>
  <c r="H33" i="18" s="1"/>
  <c r="G41" i="18"/>
  <c r="H41" i="18" s="1"/>
  <c r="G49" i="18"/>
  <c r="H49" i="18" s="1"/>
  <c r="G57" i="18"/>
  <c r="H57" i="18" s="1"/>
  <c r="G65" i="18"/>
  <c r="H65" i="18" s="1"/>
  <c r="G15" i="18"/>
  <c r="K21" i="17"/>
  <c r="L21" i="17" s="1"/>
  <c r="K29" i="17"/>
  <c r="L29" i="17" s="1"/>
  <c r="K37" i="17"/>
  <c r="L37" i="17" s="1"/>
  <c r="K45" i="17"/>
  <c r="L45" i="17" s="1"/>
  <c r="K53" i="17"/>
  <c r="L53" i="17" s="1"/>
  <c r="K61" i="17"/>
  <c r="L61" i="17" s="1"/>
  <c r="K69" i="17"/>
  <c r="L69" i="17" s="1"/>
  <c r="G19" i="17"/>
  <c r="H19" i="17" s="1"/>
  <c r="G27" i="17"/>
  <c r="H27" i="17" s="1"/>
  <c r="G35" i="17"/>
  <c r="H35" i="17" s="1"/>
  <c r="G43" i="17"/>
  <c r="H43" i="17" s="1"/>
  <c r="G51" i="17"/>
  <c r="H51" i="17" s="1"/>
  <c r="G59" i="17"/>
  <c r="H59" i="17" s="1"/>
  <c r="G67" i="17"/>
  <c r="H67" i="17" s="1"/>
  <c r="G42" i="16"/>
  <c r="H42" i="16" s="1"/>
  <c r="K68" i="23"/>
  <c r="L68" i="23" s="1"/>
  <c r="G34" i="23"/>
  <c r="H34" i="23" s="1"/>
  <c r="G58" i="23"/>
  <c r="H58" i="23" s="1"/>
  <c r="G26" i="18"/>
  <c r="H26" i="18" s="1"/>
  <c r="G66" i="18"/>
  <c r="H66" i="18" s="1"/>
  <c r="K30" i="17"/>
  <c r="L30" i="17" s="1"/>
  <c r="K54" i="17"/>
  <c r="L54" i="17" s="1"/>
  <c r="K70" i="17"/>
  <c r="L70" i="17" s="1"/>
  <c r="G36" i="17"/>
  <c r="H36" i="17" s="1"/>
  <c r="G52" i="17"/>
  <c r="H52" i="17" s="1"/>
  <c r="G51" i="18"/>
  <c r="H51" i="18" s="1"/>
  <c r="K23" i="17"/>
  <c r="L23" i="17" s="1"/>
  <c r="K49" i="16"/>
  <c r="L49" i="16" s="1"/>
  <c r="G55" i="16"/>
  <c r="H55" i="16" s="1"/>
  <c r="K57" i="23"/>
  <c r="L57" i="23" s="1"/>
  <c r="G63" i="23"/>
  <c r="H63" i="23" s="1"/>
  <c r="K65" i="18"/>
  <c r="L65" i="18" s="1"/>
  <c r="G71" i="18"/>
  <c r="H71" i="18" s="1"/>
  <c r="K35" i="17"/>
  <c r="L35" i="17" s="1"/>
  <c r="K51" i="17"/>
  <c r="L51" i="17" s="1"/>
  <c r="K67" i="17"/>
  <c r="L67" i="17" s="1"/>
  <c r="G25" i="17"/>
  <c r="H25" i="17" s="1"/>
  <c r="G41" i="17"/>
  <c r="H41" i="17" s="1"/>
  <c r="G57" i="17"/>
  <c r="H57" i="17" s="1"/>
  <c r="G15" i="17"/>
  <c r="K57" i="16"/>
  <c r="L57" i="16" s="1"/>
  <c r="G63" i="16"/>
  <c r="H63" i="16" s="1"/>
  <c r="K65" i="23"/>
  <c r="L65" i="23" s="1"/>
  <c r="G71" i="23"/>
  <c r="H71" i="23" s="1"/>
  <c r="K15" i="18"/>
  <c r="K19" i="17"/>
  <c r="L19" i="17" s="1"/>
  <c r="K39" i="17"/>
  <c r="L39" i="17" s="1"/>
  <c r="K55" i="17"/>
  <c r="L55" i="17" s="1"/>
  <c r="K71" i="17"/>
  <c r="L71" i="17" s="1"/>
  <c r="G29" i="17"/>
  <c r="H29" i="17" s="1"/>
  <c r="G45" i="17"/>
  <c r="H45" i="17" s="1"/>
  <c r="G61" i="17"/>
  <c r="H61" i="17" s="1"/>
  <c r="K65" i="16"/>
  <c r="L65" i="16" s="1"/>
  <c r="G71" i="16"/>
  <c r="H71" i="16" s="1"/>
  <c r="K15" i="23"/>
  <c r="K17" i="18"/>
  <c r="L17" i="18" s="1"/>
  <c r="G23" i="18"/>
  <c r="H23" i="18" s="1"/>
  <c r="K25" i="17"/>
  <c r="L25" i="17" s="1"/>
  <c r="K41" i="17"/>
  <c r="L41" i="17" s="1"/>
  <c r="K57" i="17"/>
  <c r="L57" i="17" s="1"/>
  <c r="K15" i="17"/>
  <c r="L15" i="17" s="1"/>
  <c r="G31" i="17"/>
  <c r="H31" i="17" s="1"/>
  <c r="G47" i="17"/>
  <c r="H47" i="17" s="1"/>
  <c r="G63" i="17"/>
  <c r="H63" i="17" s="1"/>
  <c r="K41" i="23"/>
  <c r="L41" i="23" s="1"/>
  <c r="G55" i="18"/>
  <c r="H55" i="18" s="1"/>
  <c r="K49" i="17"/>
  <c r="L49" i="17" s="1"/>
  <c r="G23" i="17"/>
  <c r="H23" i="17" s="1"/>
  <c r="G55" i="17"/>
  <c r="H55" i="17" s="1"/>
  <c r="G47" i="16"/>
  <c r="H47" i="16" s="1"/>
  <c r="K49" i="23"/>
  <c r="L49" i="23" s="1"/>
  <c r="K57" i="18"/>
  <c r="L57" i="18" s="1"/>
  <c r="K34" i="17"/>
  <c r="L34" i="17" s="1"/>
  <c r="K66" i="17"/>
  <c r="L66" i="17" s="1"/>
  <c r="G40" i="17"/>
  <c r="H40" i="17" s="1"/>
  <c r="G72" i="17"/>
  <c r="H72" i="17" s="1"/>
  <c r="K15" i="16"/>
  <c r="K17" i="23"/>
  <c r="L17" i="23" s="1"/>
  <c r="G23" i="23"/>
  <c r="H23" i="23" s="1"/>
  <c r="K25" i="18"/>
  <c r="L25" i="18" s="1"/>
  <c r="G31" i="18"/>
  <c r="H31" i="18" s="1"/>
  <c r="K26" i="17"/>
  <c r="L26" i="17" s="1"/>
  <c r="K42" i="17"/>
  <c r="L42" i="17" s="1"/>
  <c r="K58" i="17"/>
  <c r="L58" i="17" s="1"/>
  <c r="G16" i="17"/>
  <c r="H16" i="17" s="1"/>
  <c r="G32" i="17"/>
  <c r="H32" i="17" s="1"/>
  <c r="G48" i="17"/>
  <c r="H48" i="17" s="1"/>
  <c r="G64" i="17"/>
  <c r="H64" i="17" s="1"/>
  <c r="G23" i="16"/>
  <c r="H23" i="16" s="1"/>
  <c r="K25" i="23"/>
  <c r="L25" i="23" s="1"/>
  <c r="G31" i="23"/>
  <c r="H31" i="23" s="1"/>
  <c r="K33" i="18"/>
  <c r="L33" i="18" s="1"/>
  <c r="G39" i="18"/>
  <c r="H39" i="18" s="1"/>
  <c r="K27" i="17"/>
  <c r="L27" i="17" s="1"/>
  <c r="K43" i="17"/>
  <c r="L43" i="17" s="1"/>
  <c r="K59" i="17"/>
  <c r="L59" i="17" s="1"/>
  <c r="G17" i="17"/>
  <c r="H17" i="17" s="1"/>
  <c r="G33" i="17"/>
  <c r="H33" i="17" s="1"/>
  <c r="G49" i="17"/>
  <c r="H49" i="17" s="1"/>
  <c r="G65" i="17"/>
  <c r="H65" i="17" s="1"/>
  <c r="K25" i="16"/>
  <c r="L25" i="16" s="1"/>
  <c r="G31" i="16"/>
  <c r="H31" i="16" s="1"/>
  <c r="K33" i="23"/>
  <c r="L33" i="23" s="1"/>
  <c r="G39" i="23"/>
  <c r="H39" i="23" s="1"/>
  <c r="K41" i="18"/>
  <c r="L41" i="18" s="1"/>
  <c r="G47" i="18"/>
  <c r="H47" i="18" s="1"/>
  <c r="K31" i="17"/>
  <c r="L31" i="17" s="1"/>
  <c r="K47" i="17"/>
  <c r="L47" i="17" s="1"/>
  <c r="K63" i="17"/>
  <c r="L63" i="17" s="1"/>
  <c r="G21" i="17"/>
  <c r="H21" i="17" s="1"/>
  <c r="G37" i="17"/>
  <c r="H37" i="17" s="1"/>
  <c r="G53" i="17"/>
  <c r="H53" i="17" s="1"/>
  <c r="G69" i="17"/>
  <c r="H69" i="17" s="1"/>
  <c r="K33" i="16"/>
  <c r="L33" i="16" s="1"/>
  <c r="G39" i="16"/>
  <c r="H39" i="16" s="1"/>
  <c r="G47" i="23"/>
  <c r="H47" i="23" s="1"/>
  <c r="K49" i="18"/>
  <c r="L49" i="18" s="1"/>
  <c r="K33" i="17"/>
  <c r="L33" i="17" s="1"/>
  <c r="K65" i="17"/>
  <c r="L65" i="17" s="1"/>
  <c r="G39" i="17"/>
  <c r="H39" i="17" s="1"/>
  <c r="G71" i="17"/>
  <c r="H71" i="17" s="1"/>
  <c r="K41" i="16"/>
  <c r="L41" i="16" s="1"/>
  <c r="G55" i="23"/>
  <c r="H55" i="23" s="1"/>
  <c r="G63" i="18"/>
  <c r="H63" i="18" s="1"/>
  <c r="K50" i="17"/>
  <c r="L50" i="17" s="1"/>
  <c r="G24" i="17"/>
  <c r="H24" i="17" s="1"/>
  <c r="G56" i="17"/>
  <c r="H56" i="17" s="1"/>
  <c r="K93" i="2"/>
  <c r="E95" i="2"/>
  <c r="J95" i="2" s="1"/>
  <c r="M172" i="12"/>
  <c r="M173" i="12" s="1"/>
  <c r="N167" i="12"/>
  <c r="Q167" i="12"/>
  <c r="R167" i="12" s="1"/>
  <c r="F75" i="71" l="1"/>
  <c r="I24" i="19"/>
  <c r="I22" i="19"/>
  <c r="F75" i="73"/>
  <c r="F75" i="61"/>
  <c r="E24" i="52" s="1"/>
  <c r="F24" i="52" s="1"/>
  <c r="L75" i="64"/>
  <c r="I19" i="19"/>
  <c r="I27" i="19"/>
  <c r="F75" i="68"/>
  <c r="F75" i="65"/>
  <c r="F75" i="67"/>
  <c r="F75" i="56"/>
  <c r="E19" i="52" s="1"/>
  <c r="F19" i="52" s="1"/>
  <c r="F75" i="59"/>
  <c r="E22" i="52" s="1"/>
  <c r="F22" i="52" s="1"/>
  <c r="F75" i="63"/>
  <c r="E26" i="52" s="1"/>
  <c r="F26" i="52" s="1"/>
  <c r="I25" i="19"/>
  <c r="F75" i="60"/>
  <c r="E23" i="52" s="1"/>
  <c r="F23" i="52" s="1"/>
  <c r="F75" i="69"/>
  <c r="I26" i="19"/>
  <c r="F75" i="62"/>
  <c r="E25" i="52" s="1"/>
  <c r="F25" i="52" s="1"/>
  <c r="I23" i="19"/>
  <c r="I20" i="19"/>
  <c r="I21" i="19"/>
  <c r="F75" i="66"/>
  <c r="F75" i="57"/>
  <c r="E20" i="52" s="1"/>
  <c r="F20" i="52" s="1"/>
  <c r="F75" i="72"/>
  <c r="F75" i="58"/>
  <c r="E21" i="52" s="1"/>
  <c r="F21" i="52" s="1"/>
  <c r="F75" i="70"/>
  <c r="F29" i="33"/>
  <c r="K74" i="35"/>
  <c r="H16" i="33" s="1"/>
  <c r="H29" i="33" s="1"/>
  <c r="F75" i="48"/>
  <c r="L74" i="35"/>
  <c r="F76" i="35" s="1"/>
  <c r="D16" i="52" s="1"/>
  <c r="T73" i="47"/>
  <c r="J101" i="2"/>
  <c r="E12" i="52"/>
  <c r="F12" i="52" s="1"/>
  <c r="F76" i="37"/>
  <c r="D18" i="52" s="1"/>
  <c r="F76" i="36"/>
  <c r="D17" i="52" s="1"/>
  <c r="F76" i="34"/>
  <c r="D15" i="52" s="1"/>
  <c r="T73" i="49"/>
  <c r="S73" i="49"/>
  <c r="L73" i="49"/>
  <c r="K73" i="49"/>
  <c r="S73" i="47"/>
  <c r="L73" i="47"/>
  <c r="K73" i="47"/>
  <c r="G96" i="40"/>
  <c r="V96" i="40" s="1"/>
  <c r="V102" i="40" s="1"/>
  <c r="K73" i="16"/>
  <c r="K73" i="17"/>
  <c r="K73" i="18"/>
  <c r="K73" i="23"/>
  <c r="G73" i="16"/>
  <c r="G73" i="23"/>
  <c r="G73" i="17"/>
  <c r="G73" i="18"/>
  <c r="H15" i="17"/>
  <c r="H73" i="17" s="1"/>
  <c r="H15" i="18"/>
  <c r="H73" i="18" s="1"/>
  <c r="L15" i="23"/>
  <c r="L73" i="23" s="1"/>
  <c r="H15" i="23"/>
  <c r="H73" i="23" s="1"/>
  <c r="L15" i="18"/>
  <c r="L73" i="18" s="1"/>
  <c r="H73" i="16"/>
  <c r="L16" i="17"/>
  <c r="L73" i="17" s="1"/>
  <c r="L15" i="16"/>
  <c r="L73" i="16" s="1"/>
  <c r="E36" i="19"/>
  <c r="D10" i="22"/>
  <c r="F12" i="22" s="1"/>
  <c r="K151" i="22" s="1"/>
  <c r="H75" i="49" l="1"/>
  <c r="E39" i="52"/>
  <c r="F39" i="52" s="1"/>
  <c r="G151" i="22"/>
  <c r="G17" i="22"/>
  <c r="K17" i="22"/>
  <c r="H75" i="47"/>
  <c r="F75" i="49"/>
  <c r="F75" i="47"/>
  <c r="H75" i="46"/>
  <c r="F75" i="46"/>
  <c r="K101" i="2"/>
  <c r="F14" i="19"/>
  <c r="F16" i="19"/>
  <c r="H15" i="19"/>
  <c r="H16" i="19"/>
  <c r="F15" i="19"/>
  <c r="H14" i="19"/>
  <c r="H17" i="19"/>
  <c r="F17" i="19"/>
  <c r="G117" i="22"/>
  <c r="G183" i="22"/>
  <c r="G67" i="22"/>
  <c r="K132" i="22"/>
  <c r="K50" i="22"/>
  <c r="G35" i="22"/>
  <c r="G124" i="22"/>
  <c r="K98" i="22"/>
  <c r="K117" i="22"/>
  <c r="G55" i="22"/>
  <c r="G69" i="22"/>
  <c r="K102" i="22"/>
  <c r="G178" i="22"/>
  <c r="K95" i="22"/>
  <c r="K137" i="22"/>
  <c r="K81" i="22"/>
  <c r="G120" i="22"/>
  <c r="K110" i="22"/>
  <c r="K181" i="22"/>
  <c r="K123" i="22"/>
  <c r="K118" i="22"/>
  <c r="G114" i="22"/>
  <c r="G192" i="22"/>
  <c r="G76" i="22"/>
  <c r="G180" i="22"/>
  <c r="K125" i="22"/>
  <c r="K194" i="22"/>
  <c r="K91" i="22"/>
  <c r="K54" i="22"/>
  <c r="K175" i="22"/>
  <c r="G44" i="22"/>
  <c r="K25" i="22"/>
  <c r="G153" i="22"/>
  <c r="G65" i="22"/>
  <c r="G107" i="22"/>
  <c r="G122" i="22"/>
  <c r="G89" i="22"/>
  <c r="G140" i="22"/>
  <c r="K186" i="22"/>
  <c r="K108" i="22"/>
  <c r="K72" i="22"/>
  <c r="K167" i="22"/>
  <c r="K121" i="22"/>
  <c r="K45" i="22"/>
  <c r="K69" i="22"/>
  <c r="G73" i="22"/>
  <c r="K59" i="22"/>
  <c r="K122" i="22"/>
  <c r="K140" i="22"/>
  <c r="K58" i="22"/>
  <c r="G121" i="22"/>
  <c r="G84" i="22"/>
  <c r="G56" i="22"/>
  <c r="G28" i="22"/>
  <c r="G30" i="22"/>
  <c r="K131" i="22"/>
  <c r="G64" i="22"/>
  <c r="K158" i="22"/>
  <c r="K136" i="22"/>
  <c r="G66" i="22"/>
  <c r="G97" i="22"/>
  <c r="K93" i="22"/>
  <c r="K153" i="22"/>
  <c r="K127" i="22"/>
  <c r="K115" i="22"/>
  <c r="G144" i="22"/>
  <c r="G133" i="22"/>
  <c r="G58" i="22"/>
  <c r="K76" i="22"/>
  <c r="G88" i="22"/>
  <c r="G46" i="22"/>
  <c r="G18" i="22"/>
  <c r="G49" i="22"/>
  <c r="K162" i="22"/>
  <c r="G159" i="22"/>
  <c r="G191" i="22"/>
  <c r="K87" i="22"/>
  <c r="K30" i="22"/>
  <c r="K78" i="22"/>
  <c r="K73" i="22"/>
  <c r="G157" i="22"/>
  <c r="G104" i="22"/>
  <c r="G27" i="22"/>
  <c r="K74" i="22"/>
  <c r="G123" i="22"/>
  <c r="K23" i="22"/>
  <c r="K57" i="22"/>
  <c r="G24" i="22"/>
  <c r="G182" i="22"/>
  <c r="K168" i="22"/>
  <c r="K20" i="22"/>
  <c r="G169" i="22"/>
  <c r="G33" i="22"/>
  <c r="G161" i="22"/>
  <c r="G42" i="22"/>
  <c r="G152" i="22"/>
  <c r="K66" i="22"/>
  <c r="G59" i="22"/>
  <c r="G160" i="22"/>
  <c r="G81" i="22"/>
  <c r="K42" i="22"/>
  <c r="K90" i="22"/>
  <c r="G131" i="22"/>
  <c r="K99" i="22"/>
  <c r="K22" i="22"/>
  <c r="K52" i="22"/>
  <c r="K191" i="22"/>
  <c r="G128" i="22"/>
  <c r="G181" i="22"/>
  <c r="K79" i="22"/>
  <c r="K174" i="22"/>
  <c r="K116" i="22"/>
  <c r="K80" i="22"/>
  <c r="K41" i="22"/>
  <c r="K166" i="22"/>
  <c r="G148" i="22"/>
  <c r="G71" i="22"/>
  <c r="K83" i="22"/>
  <c r="G93" i="22"/>
  <c r="K89" i="22"/>
  <c r="K65" i="22"/>
  <c r="K19" i="22"/>
  <c r="K31" i="22"/>
  <c r="K111" i="22"/>
  <c r="K103" i="22"/>
  <c r="K27" i="22"/>
  <c r="G29" i="22"/>
  <c r="G135" i="22"/>
  <c r="G77" i="22"/>
  <c r="G72" i="22"/>
  <c r="K62" i="22"/>
  <c r="G92" i="22"/>
  <c r="G188" i="22"/>
  <c r="K170" i="22"/>
  <c r="K144" i="22"/>
  <c r="G127" i="22"/>
  <c r="G90" i="22"/>
  <c r="G167" i="22"/>
  <c r="K147" i="22"/>
  <c r="G196" i="22"/>
  <c r="K179" i="22"/>
  <c r="K94" i="22"/>
  <c r="K49" i="22"/>
  <c r="K113" i="22"/>
  <c r="K171" i="22"/>
  <c r="K164" i="22"/>
  <c r="G40" i="22"/>
  <c r="K21" i="22"/>
  <c r="G39" i="22"/>
  <c r="G187" i="22"/>
  <c r="K48" i="22"/>
  <c r="K51" i="22"/>
  <c r="K63" i="22"/>
  <c r="G193" i="22"/>
  <c r="K109" i="22"/>
  <c r="K187" i="22"/>
  <c r="K75" i="22"/>
  <c r="G52" i="22"/>
  <c r="G194" i="22"/>
  <c r="K120" i="22"/>
  <c r="G57" i="22"/>
  <c r="G111" i="22"/>
  <c r="K196" i="22"/>
  <c r="G86" i="22"/>
  <c r="G48" i="22"/>
  <c r="G61" i="22"/>
  <c r="K40" i="22"/>
  <c r="G164" i="22"/>
  <c r="K152" i="22"/>
  <c r="G62" i="22"/>
  <c r="K35" i="22"/>
  <c r="G136" i="22"/>
  <c r="K18" i="22"/>
  <c r="G70" i="22"/>
  <c r="G125" i="22"/>
  <c r="K26" i="22"/>
  <c r="G149" i="22"/>
  <c r="G37" i="22"/>
  <c r="G75" i="22"/>
  <c r="K130" i="22"/>
  <c r="K128" i="22"/>
  <c r="G112" i="22"/>
  <c r="K37" i="22"/>
  <c r="K60" i="22"/>
  <c r="K82" i="22"/>
  <c r="G175" i="22"/>
  <c r="G85" i="22"/>
  <c r="G172" i="22"/>
  <c r="K133" i="22"/>
  <c r="K39" i="22"/>
  <c r="K126" i="22"/>
  <c r="K43" i="22"/>
  <c r="K163" i="22"/>
  <c r="K195" i="22"/>
  <c r="G78" i="22"/>
  <c r="G115" i="22"/>
  <c r="G103" i="22"/>
  <c r="G137" i="22"/>
  <c r="G53" i="22"/>
  <c r="G100" i="22"/>
  <c r="K34" i="22"/>
  <c r="G156" i="22"/>
  <c r="G82" i="22"/>
  <c r="G105" i="22"/>
  <c r="G138" i="22"/>
  <c r="K70" i="22"/>
  <c r="K33" i="22"/>
  <c r="G179" i="22"/>
  <c r="K189" i="22"/>
  <c r="K119" i="22"/>
  <c r="G25" i="22"/>
  <c r="K148" i="22"/>
  <c r="G116" i="22"/>
  <c r="G150" i="22"/>
  <c r="G146" i="22"/>
  <c r="K135" i="22"/>
  <c r="K71" i="22"/>
  <c r="G45" i="22"/>
  <c r="G34" i="22"/>
  <c r="K184" i="22"/>
  <c r="K112" i="22"/>
  <c r="G163" i="22"/>
  <c r="G87" i="22"/>
  <c r="G26" i="22"/>
  <c r="G143" i="22"/>
  <c r="G170" i="22"/>
  <c r="G158" i="22"/>
  <c r="G184" i="22"/>
  <c r="G60" i="22"/>
  <c r="K88" i="22"/>
  <c r="K177" i="22"/>
  <c r="K142" i="22"/>
  <c r="G166" i="22"/>
  <c r="G134" i="22"/>
  <c r="G165" i="22"/>
  <c r="K68" i="22"/>
  <c r="G99" i="22"/>
  <c r="G102" i="22"/>
  <c r="K143" i="22"/>
  <c r="G54" i="22"/>
  <c r="K169" i="22"/>
  <c r="K145" i="22"/>
  <c r="K28" i="22"/>
  <c r="K67" i="22"/>
  <c r="G189" i="22"/>
  <c r="G155" i="22"/>
  <c r="K149" i="22"/>
  <c r="G79" i="22"/>
  <c r="G41" i="22"/>
  <c r="K146" i="22"/>
  <c r="K24" i="22"/>
  <c r="G168" i="22"/>
  <c r="K193" i="22"/>
  <c r="K160" i="22"/>
  <c r="K92" i="22"/>
  <c r="G98" i="22"/>
  <c r="K114" i="22"/>
  <c r="G190" i="22"/>
  <c r="G63" i="22"/>
  <c r="K190" i="22"/>
  <c r="G162" i="22"/>
  <c r="G141" i="22"/>
  <c r="G50" i="22"/>
  <c r="K38" i="22"/>
  <c r="G147" i="22"/>
  <c r="G132" i="22"/>
  <c r="G36" i="22"/>
  <c r="G21" i="22"/>
  <c r="G106" i="22"/>
  <c r="G173" i="22"/>
  <c r="K178" i="22"/>
  <c r="G186" i="22"/>
  <c r="G20" i="22"/>
  <c r="K150" i="22"/>
  <c r="G110" i="22"/>
  <c r="K183" i="22"/>
  <c r="K36" i="22"/>
  <c r="K47" i="22"/>
  <c r="K105" i="22"/>
  <c r="G101" i="22"/>
  <c r="G80" i="22"/>
  <c r="G108" i="22"/>
  <c r="K185" i="22"/>
  <c r="G119" i="22"/>
  <c r="K104" i="22"/>
  <c r="K77" i="22"/>
  <c r="G142" i="22"/>
  <c r="G129" i="22"/>
  <c r="K165" i="22"/>
  <c r="G38" i="22"/>
  <c r="G154" i="22"/>
  <c r="G171" i="22"/>
  <c r="K64" i="22"/>
  <c r="G177" i="22"/>
  <c r="G43" i="22"/>
  <c r="K84" i="22"/>
  <c r="K182" i="22"/>
  <c r="K188" i="22"/>
  <c r="K159" i="22"/>
  <c r="G83" i="22"/>
  <c r="K96" i="22"/>
  <c r="K107" i="22"/>
  <c r="K56" i="22"/>
  <c r="G22" i="22"/>
  <c r="K180" i="22"/>
  <c r="K53" i="22"/>
  <c r="G31" i="22"/>
  <c r="K97" i="22"/>
  <c r="K29" i="22"/>
  <c r="G176" i="22"/>
  <c r="G74" i="22"/>
  <c r="G94" i="22"/>
  <c r="K176" i="22"/>
  <c r="G47" i="22"/>
  <c r="K192" i="22"/>
  <c r="G145" i="22"/>
  <c r="G23" i="22"/>
  <c r="K157" i="22"/>
  <c r="K172" i="22"/>
  <c r="G51" i="22"/>
  <c r="G130" i="22"/>
  <c r="K173" i="22"/>
  <c r="K141" i="22"/>
  <c r="K106" i="22"/>
  <c r="K129" i="22"/>
  <c r="K85" i="22"/>
  <c r="G91" i="22"/>
  <c r="K86" i="22"/>
  <c r="G195" i="22"/>
  <c r="G174" i="22"/>
  <c r="K44" i="22"/>
  <c r="G126" i="22"/>
  <c r="G109" i="22"/>
  <c r="K61" i="22"/>
  <c r="K154" i="22"/>
  <c r="G185" i="22"/>
  <c r="K155" i="22"/>
  <c r="K55" i="22"/>
  <c r="K161" i="22"/>
  <c r="G118" i="22"/>
  <c r="G19" i="22"/>
  <c r="K124" i="22"/>
  <c r="G96" i="22"/>
  <c r="G95" i="22"/>
  <c r="K139" i="22"/>
  <c r="K101" i="22"/>
  <c r="K32" i="22"/>
  <c r="G68" i="22"/>
  <c r="K156" i="22"/>
  <c r="K100" i="22"/>
  <c r="K46" i="22"/>
  <c r="G113" i="22"/>
  <c r="G32" i="22"/>
  <c r="G139" i="22"/>
  <c r="K134" i="22"/>
  <c r="K138" i="22"/>
  <c r="H28" i="19" l="1"/>
  <c r="F28" i="19"/>
  <c r="I14" i="19"/>
  <c r="I18" i="33"/>
  <c r="I15" i="33"/>
  <c r="I17" i="33"/>
  <c r="I16" i="33"/>
  <c r="F75" i="17"/>
  <c r="E15" i="52" s="1"/>
  <c r="F15" i="52" s="1"/>
  <c r="I17" i="19"/>
  <c r="I15" i="19"/>
  <c r="I16" i="19"/>
  <c r="F75" i="16"/>
  <c r="E18" i="52" s="1"/>
  <c r="F18" i="52" s="1"/>
  <c r="F75" i="23"/>
  <c r="E17" i="52" s="1"/>
  <c r="F17" i="52" s="1"/>
  <c r="F75" i="18"/>
  <c r="E16" i="52" s="1"/>
  <c r="F16" i="52" s="1"/>
  <c r="I35" i="33" l="1"/>
  <c r="I34" i="19"/>
</calcChain>
</file>

<file path=xl/sharedStrings.xml><?xml version="1.0" encoding="utf-8"?>
<sst xmlns="http://schemas.openxmlformats.org/spreadsheetml/2006/main" count="4214" uniqueCount="1049">
  <si>
    <t>Fiscal Year End:</t>
  </si>
  <si>
    <t>COST CATEGORY</t>
  </si>
  <si>
    <t>Indirect Cost Allocation</t>
  </si>
  <si>
    <t>Total Cost</t>
  </si>
  <si>
    <t>Unduplicated Client Count</t>
  </si>
  <si>
    <t>Cost per Unduplicated Client</t>
  </si>
  <si>
    <t>INDIRECT 
(not traceable to direct cost center)</t>
  </si>
  <si>
    <t>FULL-TIME EQV 
(FTEs)</t>
  </si>
  <si>
    <t>TOTAL</t>
  </si>
  <si>
    <t>UNALLOWABLE</t>
  </si>
  <si>
    <t>Variance</t>
  </si>
  <si>
    <t>Description</t>
  </si>
  <si>
    <t>Schedule 2A</t>
  </si>
  <si>
    <t>Schedule 2B</t>
  </si>
  <si>
    <t>Schedule 2C</t>
  </si>
  <si>
    <t>H0027</t>
  </si>
  <si>
    <t>H0028</t>
  </si>
  <si>
    <t>H0029</t>
  </si>
  <si>
    <t>Alcohol and/or drug prevention environmental service (broad range of external activities geared toward modifying systems in order to mainstream prevention through policy and law)</t>
  </si>
  <si>
    <t>H0003</t>
  </si>
  <si>
    <t>H0048</t>
  </si>
  <si>
    <t>H0007</t>
  </si>
  <si>
    <t>H0022</t>
  </si>
  <si>
    <t>H0030</t>
  </si>
  <si>
    <t>Alcohol and/or drug services; crisis intervention (outpatient)</t>
  </si>
  <si>
    <t>Alcohol and/or drug intervention service (planned facilitation)</t>
  </si>
  <si>
    <t>H1003</t>
  </si>
  <si>
    <t>T1009</t>
  </si>
  <si>
    <t>T1013</t>
  </si>
  <si>
    <t>T2001</t>
  </si>
  <si>
    <t>Child sitting services for the children of the individual receiving alcohol and/or substance abuse services</t>
  </si>
  <si>
    <t>Sign language or oral interpreter for alcohol and/or substance abuse services</t>
  </si>
  <si>
    <t>Non-emergency transportation</t>
  </si>
  <si>
    <t>H0011</t>
  </si>
  <si>
    <t>ROOM AND BOARD</t>
  </si>
  <si>
    <t>H2034</t>
  </si>
  <si>
    <t>S9976</t>
  </si>
  <si>
    <t>Halfway House</t>
  </si>
  <si>
    <t>Lodging</t>
  </si>
  <si>
    <t>Alcohol and/or drug screening; laboratory analysis of specimens for presence of alcohol and/or drugs</t>
  </si>
  <si>
    <t>Procedure 
Code</t>
  </si>
  <si>
    <t>Drug screen, presumptive, read by instrument</t>
  </si>
  <si>
    <t>G0176</t>
  </si>
  <si>
    <t>G0177</t>
  </si>
  <si>
    <t>H0001</t>
  </si>
  <si>
    <t>H0002</t>
  </si>
  <si>
    <t>H0004</t>
  </si>
  <si>
    <t>H0005</t>
  </si>
  <si>
    <t>H0006</t>
  </si>
  <si>
    <t>H0010</t>
  </si>
  <si>
    <t>H0015</t>
  </si>
  <si>
    <t>H0017</t>
  </si>
  <si>
    <t>H0018</t>
  </si>
  <si>
    <t>H0019</t>
  </si>
  <si>
    <t>H0020</t>
  </si>
  <si>
    <t>H0023 - HQ</t>
  </si>
  <si>
    <t>H0023 - HT</t>
  </si>
  <si>
    <t>H0024</t>
  </si>
  <si>
    <t>H0025</t>
  </si>
  <si>
    <t>H0031</t>
  </si>
  <si>
    <t>H0032</t>
  </si>
  <si>
    <t>H0033</t>
  </si>
  <si>
    <t>H0034</t>
  </si>
  <si>
    <t>H0035</t>
  </si>
  <si>
    <t>H0036</t>
  </si>
  <si>
    <t>H0037</t>
  </si>
  <si>
    <t>H0038</t>
  </si>
  <si>
    <t>H0039</t>
  </si>
  <si>
    <t>H0040</t>
  </si>
  <si>
    <t>H0043</t>
  </si>
  <si>
    <t>H0044</t>
  </si>
  <si>
    <t>H0045</t>
  </si>
  <si>
    <t>H0047</t>
  </si>
  <si>
    <t>H1000</t>
  </si>
  <si>
    <t>H1002</t>
  </si>
  <si>
    <t>H1004</t>
  </si>
  <si>
    <t>H1011</t>
  </si>
  <si>
    <t>H2000</t>
  </si>
  <si>
    <t>H2001</t>
  </si>
  <si>
    <t>H2011</t>
  </si>
  <si>
    <t>H2012</t>
  </si>
  <si>
    <t>H2014</t>
  </si>
  <si>
    <t>H2015</t>
  </si>
  <si>
    <t>H2016</t>
  </si>
  <si>
    <t>H2017</t>
  </si>
  <si>
    <t>H2018</t>
  </si>
  <si>
    <t>H2021</t>
  </si>
  <si>
    <t>H2022</t>
  </si>
  <si>
    <t>H2023</t>
  </si>
  <si>
    <t>H2024</t>
  </si>
  <si>
    <t>H2025</t>
  </si>
  <si>
    <t>H2026</t>
  </si>
  <si>
    <t>H2027</t>
  </si>
  <si>
    <t>H2030</t>
  </si>
  <si>
    <t>H2031</t>
  </si>
  <si>
    <t>H2032</t>
  </si>
  <si>
    <t>H2033</t>
  </si>
  <si>
    <t>H2036</t>
  </si>
  <si>
    <t>S5150</t>
  </si>
  <si>
    <t>S5151</t>
  </si>
  <si>
    <t>S9445</t>
  </si>
  <si>
    <t>S9453</t>
  </si>
  <si>
    <t>S9454</t>
  </si>
  <si>
    <t>S9480</t>
  </si>
  <si>
    <t>S9485</t>
  </si>
  <si>
    <t>T1005</t>
  </si>
  <si>
    <t>T1006</t>
  </si>
  <si>
    <t>T1012</t>
  </si>
  <si>
    <t>T1016</t>
  </si>
  <si>
    <t>T1017</t>
  </si>
  <si>
    <t>Schedule 3</t>
  </si>
  <si>
    <t xml:space="preserve">Drug screen, presumptive, optical observation                            </t>
  </si>
  <si>
    <t>Alcohol (ethanol); breathalyzer</t>
  </si>
  <si>
    <t>Family Psychotherapy (w/o Patient Present)</t>
  </si>
  <si>
    <t>Family Psychotherapy (Conjoint Psychotherapy) (w/Patient Present)</t>
  </si>
  <si>
    <t>Multiple-Family Group Psychotherapy</t>
  </si>
  <si>
    <t>Group Psychotherapy (Other Than, Multiple-Family Group)</t>
  </si>
  <si>
    <t>Electroconvulsive therapy</t>
  </si>
  <si>
    <t>Injection, subcutaneous or intramuscular</t>
  </si>
  <si>
    <t>Self Care Management Training</t>
  </si>
  <si>
    <t>Community/Work Reintegration</t>
  </si>
  <si>
    <t>Initial Hospital Care Low Complexity</t>
  </si>
  <si>
    <t>Initial Hospital Care Moderate Complexity</t>
  </si>
  <si>
    <t>Initial Hospital Care High Complexity</t>
  </si>
  <si>
    <t>Subsequent Hospital Care Low Complexity</t>
  </si>
  <si>
    <t>Subsequent Hospital Care Moderate Complexity</t>
  </si>
  <si>
    <t>Subsequent Hospital Care High Complexity</t>
  </si>
  <si>
    <t>Hospital discharge day</t>
  </si>
  <si>
    <t>Nursing facility discharge day management; more than 30 minutes</t>
  </si>
  <si>
    <t>Alcohol and/or drug assessment</t>
  </si>
  <si>
    <t>Behavioral health counseling and therapy</t>
  </si>
  <si>
    <t>Alcohol and/or drug services; group counseling by a clinician</t>
  </si>
  <si>
    <t>Alcohol and/or drug services; case management</t>
  </si>
  <si>
    <t>Residential, Hospital or ATU</t>
  </si>
  <si>
    <t>Residential, Short-Term, Non-Hospital</t>
  </si>
  <si>
    <t>Residential, Long-Term, Non-Medical</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</si>
  <si>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</si>
  <si>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t>
  </si>
  <si>
    <t>Alcohol and/or drug prevention problem identification and referral service ( e.g. student assistance and employee assistance programs)</t>
  </si>
  <si>
    <t>Alcohol and/or drug prevention alternatives service (services for populations that exclude alcohol and other drug use e.g. alcohol free social events)</t>
  </si>
  <si>
    <t>Hotline Services</t>
  </si>
  <si>
    <t>Oral medication administration</t>
  </si>
  <si>
    <t>Self Help / Peer</t>
  </si>
  <si>
    <t>Prenatal Care</t>
  </si>
  <si>
    <t>Care Coordination Prenatal/Case Management</t>
  </si>
  <si>
    <t>Prenatal follow up home visit</t>
  </si>
  <si>
    <t>Family Assessment</t>
  </si>
  <si>
    <t>Drug screening and monitoring</t>
  </si>
  <si>
    <t>Smoking Cessation Class</t>
  </si>
  <si>
    <t>Alcohol and/or Substance Abuse Services</t>
  </si>
  <si>
    <t>Alcohol and/or substance abuse services</t>
  </si>
  <si>
    <t>Targeted Case Management</t>
  </si>
  <si>
    <t>Individual Psychophysiological Therapy w/Biofeedback Training; Approx 20-30 Min</t>
  </si>
  <si>
    <t>Individual Psychophysiological Therapy w/Biofeedback Training; Approx 45-50 Min</t>
  </si>
  <si>
    <t>Office or other outpatient visit for the evaluation and management of new patient</t>
  </si>
  <si>
    <t>Office or other outpatient visit for the eval and mgmt of an established patient</t>
  </si>
  <si>
    <t>Cost per Non-Facility Unit of Service</t>
  </si>
  <si>
    <t>Cost per Facility Unit of Service</t>
  </si>
  <si>
    <t>Name of Facility</t>
  </si>
  <si>
    <t>ALR</t>
  </si>
  <si>
    <t>Census Days</t>
  </si>
  <si>
    <t>Utilization Rate</t>
  </si>
  <si>
    <t>Total Expense</t>
  </si>
  <si>
    <t>Total Cost Per Day</t>
  </si>
  <si>
    <t>Room and Board Expense</t>
  </si>
  <si>
    <t>Room and Board Cost Per Day</t>
  </si>
  <si>
    <t>Services Expense (Total less Room and Board)</t>
  </si>
  <si>
    <t>Services Cost Per Day</t>
  </si>
  <si>
    <t>TOTAL EXPENSE</t>
  </si>
  <si>
    <t>SERVICES</t>
  </si>
  <si>
    <t>Residential</t>
  </si>
  <si>
    <t>RCCF</t>
  </si>
  <si>
    <t>PRTF</t>
  </si>
  <si>
    <t>Total All Facilities</t>
  </si>
  <si>
    <t>SUD</t>
  </si>
  <si>
    <t>CSU</t>
  </si>
  <si>
    <t>ATU</t>
  </si>
  <si>
    <t>Yes/No</t>
  </si>
  <si>
    <t>Service</t>
  </si>
  <si>
    <t>Schedule 2D</t>
  </si>
  <si>
    <t>Supplemental Schedule</t>
  </si>
  <si>
    <t>Job Title</t>
  </si>
  <si>
    <t>Total excess expense reported in Column 3 on Schedule 1</t>
  </si>
  <si>
    <t>Total excess expense reported in Column 4 on Schedule 1</t>
  </si>
  <si>
    <t>Total excess expense reported in Column 2 on Schedule 1</t>
  </si>
  <si>
    <t>Total excess expense reported in Column 5 on Schedule 1</t>
  </si>
  <si>
    <t>Indirect cost allocation to Column 4 on Schedule 1</t>
  </si>
  <si>
    <t>Non-Facility Units</t>
  </si>
  <si>
    <t>Facility Units</t>
  </si>
  <si>
    <t>Non-Facility RVUs</t>
  </si>
  <si>
    <t>Facility RVUs</t>
  </si>
  <si>
    <t>NON-FACILITY</t>
  </si>
  <si>
    <t>FACILITY</t>
  </si>
  <si>
    <t xml:space="preserve">Total costs from Column 3 on Schedule 1  </t>
  </si>
  <si>
    <t xml:space="preserve">Total allowable costs for encounter-based services  </t>
  </si>
  <si>
    <t xml:space="preserve">Total RVUs  </t>
  </si>
  <si>
    <t xml:space="preserve">BASE UNIT COST  </t>
  </si>
  <si>
    <t xml:space="preserve">Non-facility RVUs  </t>
  </si>
  <si>
    <t xml:space="preserve">Facility RVUs  </t>
  </si>
  <si>
    <t>Direct inpatient and residential services in Column 4 on Schedule 1</t>
  </si>
  <si>
    <t>Total inpatient and residential services expense</t>
  </si>
  <si>
    <t>Outpatient services</t>
  </si>
  <si>
    <t>Indirect cost rate</t>
  </si>
  <si>
    <t>Are partial hospitalization services provided?</t>
  </si>
  <si>
    <t>Are outpatient services provided?</t>
  </si>
  <si>
    <t>Is the above methodology the same as that used in the prior cost report period?</t>
  </si>
  <si>
    <t>If no, explain the reason for the change in methods between years.</t>
  </si>
  <si>
    <t>Encounterable Costs</t>
  </si>
  <si>
    <t>Direct</t>
  </si>
  <si>
    <t>Indirect</t>
  </si>
  <si>
    <t>Non-Encounterable Costs</t>
  </si>
  <si>
    <t>Emergency services</t>
  </si>
  <si>
    <t>Partial hospitalization</t>
  </si>
  <si>
    <t>Consultative and educational services</t>
  </si>
  <si>
    <t>Direct 
Cost</t>
  </si>
  <si>
    <t xml:space="preserve">Total Cost </t>
  </si>
  <si>
    <t>Schedule 1 costs (col 3 / col 5)</t>
  </si>
  <si>
    <t>Schedule 1 costs (col 4)</t>
  </si>
  <si>
    <t>Subtotal Cost</t>
  </si>
  <si>
    <t>Inpatient and residential services</t>
  </si>
  <si>
    <t>Operations Personnel Total</t>
  </si>
  <si>
    <t>Executive Leadership</t>
  </si>
  <si>
    <t>Total Excess Salary Above Limit</t>
  </si>
  <si>
    <t>Benefits and Payroll Taxes</t>
  </si>
  <si>
    <t>Employee Recruitment</t>
  </si>
  <si>
    <t>Other Employee-Related Total</t>
  </si>
  <si>
    <t>Contracted Personnel Total</t>
  </si>
  <si>
    <t>Other Contracted Personnel</t>
  </si>
  <si>
    <t>TOTAL EMPLOYEE COSTS</t>
  </si>
  <si>
    <t>TOTAL PERSONNEL COSTS</t>
  </si>
  <si>
    <t>Client Transportation</t>
  </si>
  <si>
    <t>Information Technology Total</t>
  </si>
  <si>
    <t>OCCUPANCY COSTS</t>
  </si>
  <si>
    <t>INFORMATION TECHNOLOGY COSTS</t>
  </si>
  <si>
    <t>CONTRACTED PERSONNEL COSTS</t>
  </si>
  <si>
    <t>OTHER EMPLOYEE-RELATED COSTS</t>
  </si>
  <si>
    <t>OPERATING COSTS</t>
  </si>
  <si>
    <t>Occupancy Total</t>
  </si>
  <si>
    <t>Client Total</t>
  </si>
  <si>
    <t>Meetings and Events</t>
  </si>
  <si>
    <t>Legal Fees</t>
  </si>
  <si>
    <t>TOTAL DIRECT COSTS</t>
  </si>
  <si>
    <t>TOTAL COST</t>
  </si>
  <si>
    <t>Account Number(s) 
and/or Program(s)</t>
  </si>
  <si>
    <t>Step 1:</t>
  </si>
  <si>
    <t>Step 2:</t>
  </si>
  <si>
    <t>Step 3:</t>
  </si>
  <si>
    <t>Step 4:</t>
  </si>
  <si>
    <t>Step 5:</t>
  </si>
  <si>
    <t>Describe the steps and methods used to allocate indirect cost on Schedule 1.</t>
  </si>
  <si>
    <t>FTEs</t>
  </si>
  <si>
    <t>Non-RVU integration services revenue</t>
  </si>
  <si>
    <t>Are emergency services provided?</t>
  </si>
  <si>
    <t>Section I:</t>
  </si>
  <si>
    <t xml:space="preserve">Section II: </t>
  </si>
  <si>
    <t>Program/Grant/Team</t>
  </si>
  <si>
    <t>Schedule of expense by program, grant, or team.</t>
  </si>
  <si>
    <t>A</t>
  </si>
  <si>
    <t>B</t>
  </si>
  <si>
    <t>If yes, complete Section II.</t>
  </si>
  <si>
    <t>Are consultative and educational services provided?</t>
  </si>
  <si>
    <t>Encounterable Expense (Schedule 1 Column 3)</t>
  </si>
  <si>
    <t>Non-Encounterable Expense (Schedule 1 Column 5)</t>
  </si>
  <si>
    <t>Related Party:
Actual Cost Incurred</t>
  </si>
  <si>
    <t>Non-clinical direct salary limitation for cost report period</t>
  </si>
  <si>
    <t>Number of employees to which limitation applies</t>
  </si>
  <si>
    <t>five highest-paid</t>
  </si>
  <si>
    <t>Employees Above Limit</t>
  </si>
  <si>
    <t>Schedule 1 
Column</t>
  </si>
  <si>
    <t>Excess salary above the limit is automatically reclassified to unallowable on Schedule 1.</t>
  </si>
  <si>
    <t>Total Excess Expense Above Actual Cost</t>
  </si>
  <si>
    <t>Excess expense above actual cost is automatically reclassified to unallowable on Schedule 1.</t>
  </si>
  <si>
    <t>Related Party Transactions</t>
  </si>
  <si>
    <t>EXCESS RELATED PARTY EXPENSE (Schedule 1C)</t>
  </si>
  <si>
    <t>Excess Related Party Expense Above Actual Cost</t>
  </si>
  <si>
    <t>DIRECT SALARY LIMITATIONS (Schedule 1A)</t>
  </si>
  <si>
    <t>Excess Salary Above Limit</t>
  </si>
  <si>
    <t>Nature of 
Related Party Expense</t>
  </si>
  <si>
    <t>Related Vendor, 
Individual, or Organization</t>
  </si>
  <si>
    <t>Operating Total</t>
  </si>
  <si>
    <t>DIRECT CLIENT SERVICE PERSONNEL COSTS (Salary, Bonus, Commission)</t>
  </si>
  <si>
    <t xml:space="preserve">OPERATIONS PERSONNEL COSTS (Salary, Bonus, Commission) </t>
  </si>
  <si>
    <t>Electronic Health Records Maintenance, Support, Equipment</t>
  </si>
  <si>
    <t>Technology Software, Licensing, and Equipment for Use by Clients</t>
  </si>
  <si>
    <t>Client Education Materials</t>
  </si>
  <si>
    <t>Other Operating</t>
  </si>
  <si>
    <t>Marketing, Public Relations, and Other Communications</t>
  </si>
  <si>
    <t>Other Purchased Services and Professional Fees</t>
  </si>
  <si>
    <t>Client Food and Drink</t>
  </si>
  <si>
    <t>Business Travel, Entertainment, Meals</t>
  </si>
  <si>
    <t>Direct Client Service Personnel Total</t>
  </si>
  <si>
    <t>Clinical, Licensed Non-Physicians</t>
  </si>
  <si>
    <t>Clinicians or Clinical Services Contracted Personnel</t>
  </si>
  <si>
    <t>Other Operations Personnel</t>
  </si>
  <si>
    <t>Electronic Health Records Software Upgrades and Improvements</t>
  </si>
  <si>
    <t>Telecommunications (Phone, Internet, Pagers, Data, etc.)</t>
  </si>
  <si>
    <t>Other Information Technology</t>
  </si>
  <si>
    <t>Rent and Lease</t>
  </si>
  <si>
    <t>Depreciation and Amortization</t>
  </si>
  <si>
    <t>Other Occupancy</t>
  </si>
  <si>
    <t xml:space="preserve">Other Employee-Related  </t>
  </si>
  <si>
    <t>Other Clinical or Direct Client Service (BS, Peers, Case Mgmt, etc.)</t>
  </si>
  <si>
    <t>Interest - Building</t>
  </si>
  <si>
    <t>OTHER UNALLOWABLE EXPENSE</t>
  </si>
  <si>
    <t>Interest</t>
  </si>
  <si>
    <t>Other Unallowable</t>
  </si>
  <si>
    <t>Other Unallowable Total</t>
  </si>
  <si>
    <t>Total Expense per Audited Financial Statements</t>
  </si>
  <si>
    <t>Lobbying, Professional Membership Dues</t>
  </si>
  <si>
    <t>Donated Supplies, Services, Space - Given to Others</t>
  </si>
  <si>
    <t>In-Kind Services and Donations Received</t>
  </si>
  <si>
    <t>Summary Expense by Service Group</t>
  </si>
  <si>
    <t>Number of Clients Served*</t>
  </si>
  <si>
    <t>* Client count can be duplicated across programs for purposes of completing this column.</t>
  </si>
  <si>
    <t>Client Medications</t>
  </si>
  <si>
    <t>Utilities</t>
  </si>
  <si>
    <t>Facility and Grounds Maintenance</t>
  </si>
  <si>
    <t>Property Insurance</t>
  </si>
  <si>
    <t>Other Insurance</t>
  </si>
  <si>
    <t>Psychotherapy complex interactive</t>
  </si>
  <si>
    <t>Psychiatric diagnostic evaluation</t>
  </si>
  <si>
    <t>Psychiatric diagnostic evaluation w/ medical services</t>
  </si>
  <si>
    <t>Psychotherapy patient &amp; fam w/ evaluation and management 30 min</t>
  </si>
  <si>
    <t>Psychotherapy patient &amp; family 45 minutes</t>
  </si>
  <si>
    <t>Psychotherapy patient &amp; family 60 minutes</t>
  </si>
  <si>
    <t>Psychotherapy patient &amp; amp;/family 30 minutes</t>
  </si>
  <si>
    <t>Psychotherapy patient &amp; fam w/ evaluation and management 45 min</t>
  </si>
  <si>
    <t>Psychotherapy patient &amp; fam w/ evaluation and management 60 min</t>
  </si>
  <si>
    <t>Psychotherapy crisis - each additional 30 min</t>
  </si>
  <si>
    <t>Psychotherapy crisis - initial 60 min</t>
  </si>
  <si>
    <t>Interpretation/Explanation Results, Psychiatric/Medical Exam/Proc w/Family</t>
  </si>
  <si>
    <t>Psychological/neuropsychological test auto result</t>
  </si>
  <si>
    <t xml:space="preserve">Neuropsychological testing evaluation phys/qhp - 1st </t>
  </si>
  <si>
    <t xml:space="preserve">Neuropsychological testing evaluation phys/qhp - each additional </t>
  </si>
  <si>
    <t xml:space="preserve">Psychological/neuropsychological test phy/qhp - 1st </t>
  </si>
  <si>
    <t xml:space="preserve">Psychological/neuropsychological test phy/qhp - each additional </t>
  </si>
  <si>
    <t xml:space="preserve">Psychological/neuropsychological test technician - 1st </t>
  </si>
  <si>
    <t xml:space="preserve">Psychological/neuropsychological test technician - each additional </t>
  </si>
  <si>
    <t>Psychological testing evaluation phys/qhp - 1st</t>
  </si>
  <si>
    <t>Psychological testing evaluation phys/qhp - each additional</t>
  </si>
  <si>
    <t>Neurobehavioral status exam phy/qhp - each additional</t>
  </si>
  <si>
    <t xml:space="preserve">Neurobehavioral status exam </t>
  </si>
  <si>
    <t>Non-physician health care professional phone call 5-10 min</t>
  </si>
  <si>
    <t>Non-physician health care professional phone call 11-20 min</t>
  </si>
  <si>
    <t>Non-physician health care professional phone call 21-30 min</t>
  </si>
  <si>
    <t>Office or other outpatient visit for the evaluation and management of an established patient that may not require the presence of a physician or other qualified health care professional</t>
  </si>
  <si>
    <t>Hospital Discharge Day Management - 30 Minutes</t>
  </si>
  <si>
    <t>Office consultation - 30 minutes</t>
  </si>
  <si>
    <t>Office consultation - 40 minutes</t>
  </si>
  <si>
    <t>Office consultation - 60 minutes</t>
  </si>
  <si>
    <t>Office consultation - 80 minutes</t>
  </si>
  <si>
    <t>Initial Inpatient Consultation - 40 Minutes</t>
  </si>
  <si>
    <t>Initial Inpatient Consultation - 55 Minutes</t>
  </si>
  <si>
    <t>Initial Inpatient Consultation - 80 Minutes</t>
  </si>
  <si>
    <t>Initial inpatient consultation - 110 minutes.</t>
  </si>
  <si>
    <t>Emergency Dept: req. history, exam, med decision making</t>
  </si>
  <si>
    <t>Emergency Dept: req. exp. history, exp. exam, low complexity</t>
  </si>
  <si>
    <t>Emergency Dept: req. exp. history, exp. exam, moderate complexity</t>
  </si>
  <si>
    <t>Emergency Dept: req. detailed history, exam, moderate complexity</t>
  </si>
  <si>
    <t>Emergency Dept.: req. comp. history, exam, high complexity</t>
  </si>
  <si>
    <t>Observation or inpatient hospital care, patient admitted and discharged on same date of service - 40 minutes</t>
  </si>
  <si>
    <t>Observation or inpatient hospital care, patient admitted and discharged on same date of service - 50 minutes</t>
  </si>
  <si>
    <t>Observation or inpatient hospital care, patient admitted and discharged on same date of service - 55 minutes</t>
  </si>
  <si>
    <t>Initial nursing facility care/per day - 25 min at bedside or on patient floor/unit</t>
  </si>
  <si>
    <t>Initial nursing facility care/per day - 35 min at bedside or on patient floor/unit</t>
  </si>
  <si>
    <t>Initial nursing facility care/per day - 45 min at bedside or on patient floor/unit</t>
  </si>
  <si>
    <t>Subsequent nursing facility care/per day - 10 min at bedside or on patient floor/unit</t>
  </si>
  <si>
    <t>Subsequent nursing facility care/per day - 15 min at bedside or on patient floor/unit</t>
  </si>
  <si>
    <t>Subsequent nursing facility care/per day - 25 min at bedside or on patient floor/unit</t>
  </si>
  <si>
    <t>Subsequent nursing facility care/per day - 35 min at bedside or on patient floor/unit</t>
  </si>
  <si>
    <t>Nursing facility discharge day management - 30 minutes or less</t>
  </si>
  <si>
    <t>Home visit, new patient - 20 minutes</t>
  </si>
  <si>
    <t>Home visit, new patient - 30 minutes</t>
  </si>
  <si>
    <t>Home visit, new patient - 60 minutes</t>
  </si>
  <si>
    <t>Home visit, new patient - 75 minutes</t>
  </si>
  <si>
    <t>Home visit, established patient - 15 minutes</t>
  </si>
  <si>
    <t>Home visit, established patient - 25 minutes</t>
  </si>
  <si>
    <t>Home visit, established patient - 40 minutes</t>
  </si>
  <si>
    <t>Home visit, established patient - 60 minutes</t>
  </si>
  <si>
    <t xml:space="preserve">Team conference w/ patient by non-physician health care professional </t>
  </si>
  <si>
    <t>Team conference w/out patient by physician</t>
  </si>
  <si>
    <t xml:space="preserve">Team conference w/out patient by non-physician health care professional </t>
  </si>
  <si>
    <t>Phone evaluation and management by physician - 5-10 min</t>
  </si>
  <si>
    <t>Phone evaluation and management by physician - 11-20 min</t>
  </si>
  <si>
    <t>Phone evaluation and management by physician - 21-30 min</t>
  </si>
  <si>
    <t>Activity therapy, such as music, dance, art or play therapies not for recreation, related to the care; treatment of patients disabling MH problems, per session - 45 min or more</t>
  </si>
  <si>
    <t>Training and educational services related to the care and treatment of patient disabling mental health problems per session - 45 minutes or more</t>
  </si>
  <si>
    <t>Behavioral health screening to determine eligibility for admit to treatment program</t>
  </si>
  <si>
    <t>ASAM 3.2 withdrawal management - alcohol and/or drug services, acute detox (residential addiction program inpatient)</t>
  </si>
  <si>
    <t>AMAM 3.7 withdrawal management - alcohol and/or drug services; acute detoxification (residential addiction program inpatient)</t>
  </si>
  <si>
    <t>Substance use intensive outpatient program</t>
  </si>
  <si>
    <t>Alcohol and/or drug services; methadone administration and/or service (provisions of the drug by a licensed program)</t>
  </si>
  <si>
    <t>Alcohol and/or drug outreach - Drop In Center</t>
  </si>
  <si>
    <t>Alcohol and/or drug outreach - Outreach Only</t>
  </si>
  <si>
    <t>Behavioral health treatment service plan development, by non-physician</t>
  </si>
  <si>
    <t>Mental health assessment, by non-physician</t>
  </si>
  <si>
    <t>Medication training and support - per 15 min</t>
  </si>
  <si>
    <t>Mental health partial hospitalization, treatment - less than 24 hours</t>
  </si>
  <si>
    <t>Community Psychiatric Supportive Treatment Program - Per Diem</t>
  </si>
  <si>
    <t>Community Psychiatric Supportive Treatment, Face-Face - Per 15min</t>
  </si>
  <si>
    <t>Assertive Community Treatment, Face-Face - 15min</t>
  </si>
  <si>
    <t>Assertive Community Treatment Program - Per Diem</t>
  </si>
  <si>
    <t>Supported Housing - Per Diem</t>
  </si>
  <si>
    <t>Supported Housing - Per Month</t>
  </si>
  <si>
    <t>Respite Not-In-Home - Per Diem</t>
  </si>
  <si>
    <t>Alcohol and/or other drug abuse services - not otherwise specified</t>
  </si>
  <si>
    <t>Alcohol and/or other drug testing - collection and handling only</t>
  </si>
  <si>
    <t>Comprehensive Multidisciplinary Evaluation</t>
  </si>
  <si>
    <t>Rehabilitation Program - per 1/2 day</t>
  </si>
  <si>
    <t xml:space="preserve">Crisis Intervention Service - 15 min </t>
  </si>
  <si>
    <t xml:space="preserve">Behavioral Health Day Treatment - Per Hour </t>
  </si>
  <si>
    <t>Skills training and development - 15 Min</t>
  </si>
  <si>
    <t>Comprehensive community support services - 15 Min</t>
  </si>
  <si>
    <t>Community-based wrap-around services - per diem</t>
  </si>
  <si>
    <t>Community-based wrap-around services - 15 min</t>
  </si>
  <si>
    <t>Psychosocial rehabilitation services - 15 Min</t>
  </si>
  <si>
    <t>Psychosocial rehabilitation services - per diem</t>
  </si>
  <si>
    <t>Comprehensive community support services - per diem</t>
  </si>
  <si>
    <t>Supported Employment - Per 15 Min</t>
  </si>
  <si>
    <t>Supported Employment - Per Diem</t>
  </si>
  <si>
    <t>Support to Maintain Employment - 15 Min</t>
  </si>
  <si>
    <t>Support to Maintain Employment - Per Diem</t>
  </si>
  <si>
    <t>Psychoeducational services - 15 Min</t>
  </si>
  <si>
    <t>Mental health clubhouse services - 15 Min</t>
  </si>
  <si>
    <t>Mental health clubhouse services - Per Diem</t>
  </si>
  <si>
    <t>Activity Therapy - Per 15 Min</t>
  </si>
  <si>
    <t>Multisystemic therapy for juveniles - 15 min</t>
  </si>
  <si>
    <t>Alcohol and/or drug treatment program - Per Diem</t>
  </si>
  <si>
    <t xml:space="preserve">Unskilled Respite Care - 15m </t>
  </si>
  <si>
    <t>Unskilled Respite Care - Per Diem</t>
  </si>
  <si>
    <t>Stress Management Class</t>
  </si>
  <si>
    <t>Intensive outpatient psychiatric services - per diem</t>
  </si>
  <si>
    <t>Crisis intervention mental health services - Per Diem</t>
  </si>
  <si>
    <t>Respite Care Service - 15 Min</t>
  </si>
  <si>
    <t xml:space="preserve">Case Management - Each 15 Minutes </t>
  </si>
  <si>
    <t>Inpatient Hospital</t>
  </si>
  <si>
    <t xml:space="preserve">TRCCF </t>
  </si>
  <si>
    <t>License Type</t>
  </si>
  <si>
    <t>H2036 3.7</t>
  </si>
  <si>
    <t>H2036 3.5</t>
  </si>
  <si>
    <t>H2036 3.1</t>
  </si>
  <si>
    <t xml:space="preserve">
Bed Capacity</t>
  </si>
  <si>
    <t>H0010 3.2</t>
  </si>
  <si>
    <t>H0011 3.7</t>
  </si>
  <si>
    <t>H2036 3.3</t>
  </si>
  <si>
    <t>Schedule 4 Total Units</t>
  </si>
  <si>
    <t>Total 
Census Days</t>
  </si>
  <si>
    <t>a</t>
  </si>
  <si>
    <t>b</t>
  </si>
  <si>
    <t>c</t>
  </si>
  <si>
    <t>H0010 3.2 WM</t>
  </si>
  <si>
    <t>H0011 3.7 WM</t>
  </si>
  <si>
    <t>Other Client</t>
  </si>
  <si>
    <t>Non-Clinical 
Role FTE</t>
  </si>
  <si>
    <t>Days Open During Period</t>
  </si>
  <si>
    <t>N/A - Apartments</t>
  </si>
  <si>
    <t>Apartments</t>
  </si>
  <si>
    <t>Number of Months in Role During Reporting Period</t>
  </si>
  <si>
    <t xml:space="preserve">Clinical, Licensed Physicians  </t>
  </si>
  <si>
    <t>Partner Organizations</t>
  </si>
  <si>
    <t>Total consultative and educational svcs expense (A + B)</t>
  </si>
  <si>
    <t>Total outpatient services expense (A + B)</t>
  </si>
  <si>
    <t>Total partial hospitalization services expense (A + B)</t>
  </si>
  <si>
    <t>Total emergency services expense (A + B)</t>
  </si>
  <si>
    <t>Type of Facility, Endorsement, or Service</t>
  </si>
  <si>
    <t>RSSO</t>
  </si>
  <si>
    <t>CSL</t>
  </si>
  <si>
    <t>BHE</t>
  </si>
  <si>
    <t>ALR - Assisted Living Residence</t>
  </si>
  <si>
    <t>BHE - Behavioral Health Entity</t>
  </si>
  <si>
    <t>CSL - Controlled Substance License</t>
  </si>
  <si>
    <t>SUD - Substance Use Disorder</t>
  </si>
  <si>
    <t>PRTF - Psychiatric Residential Treatment Facility</t>
  </si>
  <si>
    <t>RSSO - Recovery Support Services Organization</t>
  </si>
  <si>
    <t>RCCF - Residential Child Care Facility</t>
  </si>
  <si>
    <t>TRCCF - Therapeutic Residential Child Care Facility</t>
  </si>
  <si>
    <t>Acronyms Used Above</t>
  </si>
  <si>
    <t>ATU - Acute Treatment Unit</t>
  </si>
  <si>
    <t>CSU - Crisis Stabilization Unit</t>
  </si>
  <si>
    <t>Inpatient and Residential Services</t>
  </si>
  <si>
    <t>Identify all facilities at which inpatient and residential programs are provided. Facilities that serve multiple types of programs, services, or endorsements should be separated by such into individual lines below. For example, if Facility A houses the ATU and CSU programs, then Facility A should be reported twice below, and the census days and costs for each program should be discreetly identified and separated between lines accordingly.</t>
  </si>
  <si>
    <t>T2031</t>
  </si>
  <si>
    <t>Withdrawal Mgmt</t>
  </si>
  <si>
    <t>Rebalanced Non-Facility RVU Weight</t>
  </si>
  <si>
    <t>Rebalanced Facility RVU Weight</t>
  </si>
  <si>
    <r>
      <t xml:space="preserve">ENCOUNTER-BASED SERVICES </t>
    </r>
    <r>
      <rPr>
        <b/>
        <i/>
        <sz val="11"/>
        <rFont val="Calibri"/>
        <family val="2"/>
        <scheme val="minor"/>
      </rPr>
      <t>with</t>
    </r>
    <r>
      <rPr>
        <b/>
        <sz val="11"/>
        <rFont val="Calibri"/>
        <family val="2"/>
        <scheme val="minor"/>
      </rPr>
      <t xml:space="preserve"> RVU WEIGHTS and ALL INTEGRATION SERVICES
(Schedule 2)</t>
    </r>
  </si>
  <si>
    <r>
      <t xml:space="preserve">OTHER ENCOUNTER-BASED SERVICES </t>
    </r>
    <r>
      <rPr>
        <b/>
        <i/>
        <sz val="11"/>
        <rFont val="Calibri"/>
        <family val="2"/>
        <scheme val="minor"/>
      </rPr>
      <t>without</t>
    </r>
    <r>
      <rPr>
        <b/>
        <sz val="11"/>
        <rFont val="Calibri"/>
        <family val="2"/>
        <scheme val="minor"/>
      </rPr>
      <t xml:space="preserve"> RVU WEIGHTS and OTHER NON-ENCOUNTER-BASED SERVICES
(Schedule 2)</t>
    </r>
  </si>
  <si>
    <t>CLIENT COSTS</t>
  </si>
  <si>
    <t>Identify employees with the five largest non-clinical direct salary amounts (wages and bonus) exceeding the limit during the cost report period. If an employee serves a dual role providing clinical and non-clinical functions, the limitation is only applicable to the non-clinical portion of the employee's direct salary. For example, a CEO with a $500,000 direct salary who spends 40% of their time serving in a non-clinical role would have the limit applied to $200,000 of their direct salary; the non-clinical percent is identified as full time equivalent (FTE) below for informational purposes.</t>
  </si>
  <si>
    <t>Non-Clinical 
Salary and Bonus 
During Period</t>
  </si>
  <si>
    <t>Unallowable Excess Non-Clinical Salary Above Limit</t>
  </si>
  <si>
    <r>
      <t xml:space="preserve">Indirect Cost 
</t>
    </r>
    <r>
      <rPr>
        <sz val="8"/>
        <rFont val="Calibri"/>
        <family val="2"/>
        <scheme val="minor"/>
      </rPr>
      <t>(Direct Cost x Sch 1 Indirect Cost Rate</t>
    </r>
    <r>
      <rPr>
        <b/>
        <sz val="8"/>
        <rFont val="Calibri"/>
        <family val="2"/>
        <scheme val="minor"/>
      </rPr>
      <t>)</t>
    </r>
  </si>
  <si>
    <r>
      <t xml:space="preserve">Facility 
Open Date 
</t>
    </r>
    <r>
      <rPr>
        <b/>
        <sz val="8"/>
        <rFont val="Calibri"/>
        <family val="2"/>
        <scheme val="minor"/>
      </rPr>
      <t>(leave blank if opened prior to reporting period)</t>
    </r>
  </si>
  <si>
    <r>
      <t xml:space="preserve">Facility 
Close Date 
</t>
    </r>
    <r>
      <rPr>
        <b/>
        <sz val="8"/>
        <rFont val="Calibri"/>
        <family val="2"/>
        <scheme val="minor"/>
      </rPr>
      <t>(leave blank if still open at end of period)</t>
    </r>
  </si>
  <si>
    <r>
      <t xml:space="preserve">Procedure Code </t>
    </r>
    <r>
      <rPr>
        <b/>
        <sz val="9"/>
        <rFont val="Calibri"/>
        <family val="2"/>
        <scheme val="minor"/>
      </rPr>
      <t>(and ASAM if applicable)</t>
    </r>
  </si>
  <si>
    <t>Summary of Results</t>
  </si>
  <si>
    <t>Proposed Adjustments</t>
  </si>
  <si>
    <t>Final Adjustments</t>
  </si>
  <si>
    <t xml:space="preserve"> </t>
  </si>
  <si>
    <t>Final Adjusted</t>
  </si>
  <si>
    <t>As-Filed</t>
  </si>
  <si>
    <t>Change</t>
  </si>
  <si>
    <t>Expense and Statistics Totals</t>
  </si>
  <si>
    <t>Schedule 1 - Total Expenses</t>
  </si>
  <si>
    <t>Schedule 1A - Total Unallowable Excess Direct Salary Expense</t>
  </si>
  <si>
    <t>Schedule 1C - Total Unallowable Excess Related Party Expense</t>
  </si>
  <si>
    <t>Schedule 2A - Total Emergency Services Expense</t>
  </si>
  <si>
    <t>Schedule 2B - Total Consultative and Educational Services Expense</t>
  </si>
  <si>
    <t>Schedule 2C - Total Outpatient Services Expense</t>
  </si>
  <si>
    <t>Schedule 2D - Total Partial Hospitalization Services Expense</t>
  </si>
  <si>
    <t>Schedule 3 - Total Census Days</t>
  </si>
  <si>
    <t>Schedule 3 - Total Inpatient and Residential Facilities Expenses</t>
  </si>
  <si>
    <t>Schedule 4 - Total Non-Facility Units</t>
  </si>
  <si>
    <t>Schedule 4 - Total Facility Units</t>
  </si>
  <si>
    <t>Base Unit Cost Calculation</t>
  </si>
  <si>
    <r>
      <rPr>
        <b/>
        <sz val="11"/>
        <color theme="1"/>
        <rFont val="Calibri"/>
        <family val="2"/>
        <scheme val="minor"/>
      </rPr>
      <t>A:</t>
    </r>
    <r>
      <rPr>
        <sz val="11"/>
        <color theme="1"/>
        <rFont val="Calibri"/>
        <family val="2"/>
        <scheme val="minor"/>
      </rPr>
      <t xml:space="preserve"> Schedule 1 - Encounter-Based Services with RVU Weights and All Integration Services Expense</t>
    </r>
  </si>
  <si>
    <r>
      <rPr>
        <b/>
        <sz val="11"/>
        <rFont val="Calibri"/>
        <family val="2"/>
        <scheme val="minor"/>
      </rPr>
      <t xml:space="preserve">B: </t>
    </r>
    <r>
      <rPr>
        <sz val="11"/>
        <rFont val="Calibri"/>
        <family val="2"/>
        <scheme val="minor"/>
      </rPr>
      <t>Schedule 4 - Non-RVU Integration Services Revenue</t>
    </r>
  </si>
  <si>
    <r>
      <rPr>
        <b/>
        <sz val="11"/>
        <color theme="1"/>
        <rFont val="Calibri"/>
        <family val="2"/>
        <scheme val="minor"/>
      </rPr>
      <t xml:space="preserve">C: </t>
    </r>
    <r>
      <rPr>
        <sz val="11"/>
        <color theme="1"/>
        <rFont val="Calibri"/>
        <family val="2"/>
        <scheme val="minor"/>
      </rPr>
      <t>Schedule 4 - Non-Facility RVUs</t>
    </r>
  </si>
  <si>
    <r>
      <rPr>
        <b/>
        <sz val="11"/>
        <color theme="1"/>
        <rFont val="Calibri"/>
        <family val="2"/>
        <scheme val="minor"/>
      </rPr>
      <t>D:</t>
    </r>
    <r>
      <rPr>
        <sz val="11"/>
        <color theme="1"/>
        <rFont val="Calibri"/>
        <family val="2"/>
        <scheme val="minor"/>
      </rPr>
      <t xml:space="preserve"> Schedule 4 - Facility RVUs</t>
    </r>
  </si>
  <si>
    <t>Schedule 4 - Base Unit Cost Calculation (A-B)/(C+D)</t>
  </si>
  <si>
    <t>Per Diem Calculations</t>
  </si>
  <si>
    <t>Facility 1</t>
  </si>
  <si>
    <t>Facility 2</t>
  </si>
  <si>
    <t>Facility 3</t>
  </si>
  <si>
    <t>Facility 4</t>
  </si>
  <si>
    <t>Facility 5</t>
  </si>
  <si>
    <t>Facility 6</t>
  </si>
  <si>
    <t>Facility 7</t>
  </si>
  <si>
    <t>Facility 8</t>
  </si>
  <si>
    <t>Facility 9</t>
  </si>
  <si>
    <t>Facility 10</t>
  </si>
  <si>
    <t>Facility 11</t>
  </si>
  <si>
    <t>Facility 12</t>
  </si>
  <si>
    <t>Facility 13</t>
  </si>
  <si>
    <t>Facility 14</t>
  </si>
  <si>
    <t>Facility 15</t>
  </si>
  <si>
    <t>Facility 16</t>
  </si>
  <si>
    <t>Facility 17</t>
  </si>
  <si>
    <t>Facility 18</t>
  </si>
  <si>
    <t>Facility 19</t>
  </si>
  <si>
    <t>Facility 20</t>
  </si>
  <si>
    <t>Facility 21</t>
  </si>
  <si>
    <t>Facility 22</t>
  </si>
  <si>
    <t>Facility 23</t>
  </si>
  <si>
    <t>Facility 24</t>
  </si>
  <si>
    <t>Facility 25</t>
  </si>
  <si>
    <t>Facility 26</t>
  </si>
  <si>
    <t>Facility 27</t>
  </si>
  <si>
    <t>Facility 28</t>
  </si>
  <si>
    <t>Facility 29</t>
  </si>
  <si>
    <t>Facility 30</t>
  </si>
  <si>
    <r>
      <t>Adjustments to</t>
    </r>
    <r>
      <rPr>
        <b/>
        <sz val="16"/>
        <rFont val="Calibri"/>
        <family val="2"/>
        <scheme val="minor"/>
      </rPr>
      <t xml:space="preserve"> Schedule 1: Expenses</t>
    </r>
  </si>
  <si>
    <t>1 - Adjustments</t>
  </si>
  <si>
    <t>1 - Adjusted</t>
  </si>
  <si>
    <t>Adjustments 
FULL-TIME EQV 
(FTEs)</t>
  </si>
  <si>
    <t>Adjusted 
FULL-TIME EQV 
(FTEs)</t>
  </si>
  <si>
    <t>2 - Adjustments</t>
  </si>
  <si>
    <t>2 - Adjusted</t>
  </si>
  <si>
    <t>Adjustments
INDIRECT 
(not traceable to direct cost center)</t>
  </si>
  <si>
    <t>Adjusted 
INDIRECT 
(not traceable to direct cost center)</t>
  </si>
  <si>
    <t>3 - Adjustments</t>
  </si>
  <si>
    <t>3 - Adjusted</t>
  </si>
  <si>
    <r>
      <t xml:space="preserve">Adjustments
ENCOUNTER-BASED SERVICES </t>
    </r>
    <r>
      <rPr>
        <b/>
        <i/>
        <sz val="11"/>
        <color rgb="FF0000FF"/>
        <rFont val="Calibri"/>
        <family val="2"/>
        <scheme val="minor"/>
      </rPr>
      <t>with</t>
    </r>
    <r>
      <rPr>
        <b/>
        <sz val="11"/>
        <color rgb="FF0000FF"/>
        <rFont val="Calibri"/>
        <family val="2"/>
        <scheme val="minor"/>
      </rPr>
      <t xml:space="preserve"> RVU WEIGHTS and ALL INTEGRATION SERVICES
(Schedule 2)</t>
    </r>
  </si>
  <si>
    <r>
      <t xml:space="preserve">Adjusted 
ENCOUNTER-BASED SERVICES </t>
    </r>
    <r>
      <rPr>
        <b/>
        <i/>
        <sz val="11"/>
        <color rgb="FFFF0000"/>
        <rFont val="Calibri"/>
        <family val="2"/>
        <scheme val="minor"/>
      </rPr>
      <t>with</t>
    </r>
    <r>
      <rPr>
        <b/>
        <sz val="11"/>
        <color rgb="FFFF0000"/>
        <rFont val="Calibri"/>
        <family val="2"/>
        <scheme val="minor"/>
      </rPr>
      <t xml:space="preserve"> RVU WEIGHTS and ALL INTEGRATION SERVICES
(Schedule 2)</t>
    </r>
  </si>
  <si>
    <t>4 - Adjustments</t>
  </si>
  <si>
    <t>4 - Adjusted</t>
  </si>
  <si>
    <t>5 - Adjustments</t>
  </si>
  <si>
    <t>5 - Adjusted</t>
  </si>
  <si>
    <r>
      <t xml:space="preserve">Adjustments 
OTHER ENCOUNTER-BASED SERVICES </t>
    </r>
    <r>
      <rPr>
        <b/>
        <i/>
        <sz val="11"/>
        <color rgb="FF0000FF"/>
        <rFont val="Calibri"/>
        <family val="2"/>
        <scheme val="minor"/>
      </rPr>
      <t>without</t>
    </r>
    <r>
      <rPr>
        <b/>
        <sz val="11"/>
        <color rgb="FF0000FF"/>
        <rFont val="Calibri"/>
        <family val="2"/>
        <scheme val="minor"/>
      </rPr>
      <t xml:space="preserve"> RVU WEIGHTS and OTHER NON-ENCOUNTER-BASED SERVICES
(Schedule 2)</t>
    </r>
  </si>
  <si>
    <r>
      <t xml:space="preserve">Adjusted 
OTHER ENCOUNTER-BASED SERVICES </t>
    </r>
    <r>
      <rPr>
        <b/>
        <i/>
        <sz val="11"/>
        <color rgb="FFFF0000"/>
        <rFont val="Calibri"/>
        <family val="2"/>
        <scheme val="minor"/>
      </rPr>
      <t>without</t>
    </r>
    <r>
      <rPr>
        <b/>
        <sz val="11"/>
        <color rgb="FFFF0000"/>
        <rFont val="Calibri"/>
        <family val="2"/>
        <scheme val="minor"/>
      </rPr>
      <t xml:space="preserve"> RVU WEIGHTS and OTHER NON-ENCOUNTER-BASED SERVICES
(Schedule 2)</t>
    </r>
  </si>
  <si>
    <t>6 - Adjustments</t>
  </si>
  <si>
    <t>6 - Adjusted</t>
  </si>
  <si>
    <t>Adjustments 
UNALLOWABLE</t>
  </si>
  <si>
    <t>Adjusted 
UNALLOWABLE</t>
  </si>
  <si>
    <t>7 - Adjustments</t>
  </si>
  <si>
    <t>7 - Adjusted</t>
  </si>
  <si>
    <t>Adjustments 
TOTAL</t>
  </si>
  <si>
    <t>Adjusted 
TOTAL</t>
  </si>
  <si>
    <t>SCHEDULE 1</t>
  </si>
  <si>
    <t>Adjustment</t>
  </si>
  <si>
    <t>Number</t>
  </si>
  <si>
    <t>Amount</t>
  </si>
  <si>
    <t>Schedule</t>
  </si>
  <si>
    <t>Column</t>
  </si>
  <si>
    <t>Line</t>
  </si>
  <si>
    <t>Reference</t>
  </si>
  <si>
    <t>SCHEDULE 1A</t>
  </si>
  <si>
    <t>SCHEDULE 1C</t>
  </si>
  <si>
    <t>SCHEDULE 2 SERIES (ALL SCHEDULES)</t>
  </si>
  <si>
    <t xml:space="preserve">SCHEDULE 3 </t>
  </si>
  <si>
    <t xml:space="preserve">SCHEDULE 4 </t>
  </si>
  <si>
    <r>
      <t>Nature of 
Related Party Expense</t>
    </r>
    <r>
      <rPr>
        <b/>
        <sz val="11"/>
        <color rgb="FFFF0000"/>
        <rFont val="Calibri"/>
        <family val="2"/>
        <scheme val="minor"/>
      </rPr>
      <t>*</t>
    </r>
  </si>
  <si>
    <t>Adjusted
Related Party:
Actual Cost Incurred</t>
  </si>
  <si>
    <t>Actual Limit</t>
  </si>
  <si>
    <t>As-Filed Limit</t>
  </si>
  <si>
    <t>Adjusted
Unallowable Excess Non-Clinical Salary Above Limit</t>
  </si>
  <si>
    <t>Adjusted</t>
  </si>
  <si>
    <r>
      <t xml:space="preserve">Adjustments to </t>
    </r>
    <r>
      <rPr>
        <b/>
        <sz val="16"/>
        <rFont val="Calibri"/>
        <family val="2"/>
        <scheme val="minor"/>
      </rPr>
      <t>Schedule 1A: Non-Clinical Direct Salary Limit</t>
    </r>
  </si>
  <si>
    <t>* red values are revised from as-filed</t>
  </si>
  <si>
    <r>
      <t xml:space="preserve">Job Title </t>
    </r>
    <r>
      <rPr>
        <b/>
        <sz val="11"/>
        <color rgb="FFFF0000"/>
        <rFont val="Calibri"/>
        <family val="2"/>
        <scheme val="minor"/>
      </rPr>
      <t>*</t>
    </r>
  </si>
  <si>
    <r>
      <t xml:space="preserve">Schedule 1 
Column </t>
    </r>
    <r>
      <rPr>
        <b/>
        <sz val="11"/>
        <color rgb="FFFF0000"/>
        <rFont val="Calibri"/>
        <family val="2"/>
        <scheme val="minor"/>
      </rPr>
      <t>*</t>
    </r>
  </si>
  <si>
    <t>Adjustments
Non-Clinical 
Salary and Bonus 
During Period</t>
  </si>
  <si>
    <t>Adjusted
Non-Clinical 
Salary and Bonus 
During Period</t>
  </si>
  <si>
    <r>
      <t xml:space="preserve">Number of Months in Role During Reporting Period </t>
    </r>
    <r>
      <rPr>
        <b/>
        <sz val="11"/>
        <color rgb="FFFF0000"/>
        <rFont val="Calibri"/>
        <family val="2"/>
        <scheme val="minor"/>
      </rPr>
      <t>*</t>
    </r>
  </si>
  <si>
    <r>
      <t xml:space="preserve">Non-Clinical 
Role FTE </t>
    </r>
    <r>
      <rPr>
        <b/>
        <sz val="11"/>
        <color rgb="FFFF0000"/>
        <rFont val="Calibri"/>
        <family val="2"/>
        <scheme val="minor"/>
      </rPr>
      <t>*</t>
    </r>
  </si>
  <si>
    <t>Adjustments
Related Party:
Actual Cost Incurred</t>
  </si>
  <si>
    <r>
      <t xml:space="preserve">Nature of 
Related Party Expense </t>
    </r>
    <r>
      <rPr>
        <b/>
        <sz val="11"/>
        <color rgb="FFFF0000"/>
        <rFont val="Calibri"/>
        <family val="2"/>
        <scheme val="minor"/>
      </rPr>
      <t>*</t>
    </r>
  </si>
  <si>
    <r>
      <t xml:space="preserve">Account Number(s) 
and/or Program(s) </t>
    </r>
    <r>
      <rPr>
        <b/>
        <sz val="11"/>
        <color rgb="FFFF0000"/>
        <rFont val="Calibri"/>
        <family val="2"/>
        <scheme val="minor"/>
      </rPr>
      <t>*</t>
    </r>
  </si>
  <si>
    <r>
      <t xml:space="preserve">Related Vendor, 
Individual, or Organization </t>
    </r>
    <r>
      <rPr>
        <b/>
        <sz val="11"/>
        <color rgb="FFFF0000"/>
        <rFont val="Calibri"/>
        <family val="2"/>
        <scheme val="minor"/>
      </rPr>
      <t>*</t>
    </r>
  </si>
  <si>
    <t>Adjustments
Direct 
Cost</t>
  </si>
  <si>
    <t>Adjusted
Direct 
Cost</t>
  </si>
  <si>
    <r>
      <t xml:space="preserve">Are emergency services provided? </t>
    </r>
    <r>
      <rPr>
        <b/>
        <sz val="11"/>
        <color rgb="FFFF0000"/>
        <rFont val="Calibri"/>
        <family val="2"/>
        <scheme val="minor"/>
      </rPr>
      <t>*</t>
    </r>
  </si>
  <si>
    <r>
      <t xml:space="preserve">Program/Grant/Team </t>
    </r>
    <r>
      <rPr>
        <b/>
        <sz val="11"/>
        <color rgb="FFFF0000"/>
        <rFont val="Calibri"/>
        <family val="2"/>
        <scheme val="minor"/>
      </rPr>
      <t>*</t>
    </r>
  </si>
  <si>
    <r>
      <t xml:space="preserve">Adjusted
Indirect Cost 
</t>
    </r>
    <r>
      <rPr>
        <sz val="8"/>
        <color rgb="FFFF0000"/>
        <rFont val="Calibri"/>
        <family val="2"/>
        <scheme val="minor"/>
      </rPr>
      <t>(Direct Cost x Sch 1 Indirect Cost Rate</t>
    </r>
    <r>
      <rPr>
        <b/>
        <sz val="8"/>
        <color rgb="FFFF0000"/>
        <rFont val="Calibri"/>
        <family val="2"/>
        <scheme val="minor"/>
      </rPr>
      <t>)</t>
    </r>
  </si>
  <si>
    <t xml:space="preserve">4 - Adjusted </t>
  </si>
  <si>
    <t xml:space="preserve">Adjusted
Total Cost </t>
  </si>
  <si>
    <t>8 - Adjustments</t>
  </si>
  <si>
    <t>8 - Adjusted</t>
  </si>
  <si>
    <t>9 - Adjustments</t>
  </si>
  <si>
    <t>9 - Adjusted</t>
  </si>
  <si>
    <t>Adjustments
FTEs</t>
  </si>
  <si>
    <t>Adjusted
FTEs</t>
  </si>
  <si>
    <t>Adjustments
Number of Clients Served</t>
  </si>
  <si>
    <t>Adjusted
Number of Clients Served</t>
  </si>
  <si>
    <r>
      <t xml:space="preserve">Are consultative and educational services provided? </t>
    </r>
    <r>
      <rPr>
        <b/>
        <sz val="11"/>
        <color rgb="FFFF0000"/>
        <rFont val="Calibri"/>
        <family val="2"/>
        <scheme val="minor"/>
      </rPr>
      <t>*</t>
    </r>
  </si>
  <si>
    <t>Number of Clients Served</t>
  </si>
  <si>
    <t xml:space="preserve">2 - Adjusted </t>
  </si>
  <si>
    <r>
      <t xml:space="preserve">Are outpatient services provided? </t>
    </r>
    <r>
      <rPr>
        <b/>
        <sz val="11"/>
        <color rgb="FFFF0000"/>
        <rFont val="Calibri"/>
        <family val="2"/>
        <scheme val="minor"/>
      </rPr>
      <t>*</t>
    </r>
  </si>
  <si>
    <r>
      <t xml:space="preserve">Are partial hospitalization services provided? </t>
    </r>
    <r>
      <rPr>
        <b/>
        <sz val="11"/>
        <color rgb="FFFF0000"/>
        <rFont val="Calibri"/>
        <family val="2"/>
        <scheme val="minor"/>
      </rPr>
      <t>*</t>
    </r>
  </si>
  <si>
    <t xml:space="preserve">8 - Adjusted </t>
  </si>
  <si>
    <t>Adjustments
Number of Clients Served*</t>
  </si>
  <si>
    <t>Adjusted
Number of Clients Served*</t>
  </si>
  <si>
    <r>
      <t xml:space="preserve">Name of Facility </t>
    </r>
    <r>
      <rPr>
        <b/>
        <sz val="11"/>
        <color rgb="FFFF0000"/>
        <rFont val="Calibri"/>
        <family val="2"/>
        <scheme val="minor"/>
      </rPr>
      <t>*</t>
    </r>
  </si>
  <si>
    <r>
      <t xml:space="preserve">Type of Facility, Endorsement, or Service </t>
    </r>
    <r>
      <rPr>
        <b/>
        <sz val="11"/>
        <color rgb="FFFF0000"/>
        <rFont val="Calibri"/>
        <family val="2"/>
        <scheme val="minor"/>
      </rPr>
      <t>*</t>
    </r>
  </si>
  <si>
    <r>
      <t xml:space="preserve">License Type </t>
    </r>
    <r>
      <rPr>
        <b/>
        <sz val="11"/>
        <color rgb="FFFF0000"/>
        <rFont val="Calibri"/>
        <family val="2"/>
        <scheme val="minor"/>
      </rPr>
      <t>*</t>
    </r>
  </si>
  <si>
    <r>
      <t xml:space="preserve">
Bed Capacity </t>
    </r>
    <r>
      <rPr>
        <b/>
        <sz val="11"/>
        <color rgb="FFFF0000"/>
        <rFont val="Calibri"/>
        <family val="2"/>
        <scheme val="minor"/>
      </rPr>
      <t>*</t>
    </r>
  </si>
  <si>
    <r>
      <t xml:space="preserve">Facility 
Open Date </t>
    </r>
    <r>
      <rPr>
        <b/>
        <sz val="11"/>
        <color rgb="FFFF0000"/>
        <rFont val="Calibri"/>
        <family val="2"/>
        <scheme val="minor"/>
      </rPr>
      <t>*</t>
    </r>
    <r>
      <rPr>
        <b/>
        <sz val="11"/>
        <rFont val="Calibri"/>
        <family val="2"/>
        <scheme val="minor"/>
      </rPr>
      <t xml:space="preserve"> 
</t>
    </r>
    <r>
      <rPr>
        <b/>
        <sz val="8"/>
        <rFont val="Calibri"/>
        <family val="2"/>
        <scheme val="minor"/>
      </rPr>
      <t xml:space="preserve">(leave blank if opened prior to reporting period) </t>
    </r>
  </si>
  <si>
    <r>
      <t xml:space="preserve">Facility 
Close Date </t>
    </r>
    <r>
      <rPr>
        <b/>
        <sz val="11"/>
        <color rgb="FFFF0000"/>
        <rFont val="Calibri"/>
        <family val="2"/>
        <scheme val="minor"/>
      </rPr>
      <t>*</t>
    </r>
    <r>
      <rPr>
        <b/>
        <sz val="11"/>
        <rFont val="Calibri"/>
        <family val="2"/>
        <scheme val="minor"/>
      </rPr>
      <t xml:space="preserve"> 
</t>
    </r>
    <r>
      <rPr>
        <b/>
        <sz val="8"/>
        <rFont val="Calibri"/>
        <family val="2"/>
        <scheme val="minor"/>
      </rPr>
      <t>(leave blank if still open at end of period)</t>
    </r>
  </si>
  <si>
    <r>
      <t xml:space="preserve">Procedure Code </t>
    </r>
    <r>
      <rPr>
        <b/>
        <sz val="9"/>
        <rFont val="Calibri"/>
        <family val="2"/>
        <scheme val="minor"/>
      </rPr>
      <t xml:space="preserve">(and ASAM if applicable) </t>
    </r>
    <r>
      <rPr>
        <b/>
        <sz val="9"/>
        <color rgb="FFFF0000"/>
        <rFont val="Calibri"/>
        <family val="2"/>
        <scheme val="minor"/>
      </rPr>
      <t>*</t>
    </r>
  </si>
  <si>
    <t>Adjustments
Census Days</t>
  </si>
  <si>
    <t>Adjusted
Census Days</t>
  </si>
  <si>
    <t>Adjusted
Utilization Rate</t>
  </si>
  <si>
    <t>11 - Adjustments</t>
  </si>
  <si>
    <t>Adjustments
Total Expense</t>
  </si>
  <si>
    <t>Adjusted
Total Expense</t>
  </si>
  <si>
    <t>11 - Adjusted</t>
  </si>
  <si>
    <t>12 - Adjusted</t>
  </si>
  <si>
    <t>Adjusted
Total Cost Per Day</t>
  </si>
  <si>
    <t>13 - Adjustments</t>
  </si>
  <si>
    <t>13 - Adjusted</t>
  </si>
  <si>
    <t>Adjustments
Room and Board Expense</t>
  </si>
  <si>
    <t>Adjusted
Room and Board Expense</t>
  </si>
  <si>
    <t>Adjusted
Room and Board Cost Per Day</t>
  </si>
  <si>
    <t>14 - Adjusted</t>
  </si>
  <si>
    <t>15 - Adjusted</t>
  </si>
  <si>
    <t>16 - Adjusted</t>
  </si>
  <si>
    <t>Adjusted
Services Expense (Total less Room and Board)</t>
  </si>
  <si>
    <t>Adjusted
Services Cost Per Day</t>
  </si>
  <si>
    <t>Adjusted
Total 
Census Days</t>
  </si>
  <si>
    <t>Adjusted
Schedule 4 Total Units</t>
  </si>
  <si>
    <t>Adjusted
Variance</t>
  </si>
  <si>
    <t>Adjustments
Non-Facility Units</t>
  </si>
  <si>
    <t>Adjusted
Non-Facility Units</t>
  </si>
  <si>
    <t>Adjusted
Non-Facility RVUs</t>
  </si>
  <si>
    <t>Adjusted
Cost per Non-Facility Unit of Service</t>
  </si>
  <si>
    <t>Adjustments
Facility Units</t>
  </si>
  <si>
    <t>Adjusted
Facility Units</t>
  </si>
  <si>
    <t>Adjusted
Facility RVUs</t>
  </si>
  <si>
    <t>Adjusted
Cost per Facility Unit of Service</t>
  </si>
  <si>
    <r>
      <rPr>
        <b/>
        <sz val="16"/>
        <color rgb="FFFF0000"/>
        <rFont val="Calibri"/>
        <family val="2"/>
        <scheme val="minor"/>
      </rPr>
      <t>Adjusted</t>
    </r>
    <r>
      <rPr>
        <b/>
        <sz val="16"/>
        <color rgb="FF0033CC"/>
        <rFont val="Calibri"/>
        <family val="2"/>
        <scheme val="minor"/>
      </rPr>
      <t xml:space="preserve"> </t>
    </r>
    <r>
      <rPr>
        <b/>
        <sz val="16"/>
        <rFont val="Calibri"/>
        <family val="2"/>
        <scheme val="minor"/>
      </rPr>
      <t>Schedule 1: Expenses</t>
    </r>
  </si>
  <si>
    <r>
      <rPr>
        <b/>
        <sz val="11"/>
        <color rgb="FFFF0000"/>
        <rFont val="Calibri"/>
        <family val="2"/>
        <scheme val="minor"/>
      </rPr>
      <t>Adjusted</t>
    </r>
    <r>
      <rPr>
        <b/>
        <sz val="11"/>
        <rFont val="Calibri"/>
        <family val="2"/>
        <scheme val="minor"/>
      </rPr>
      <t xml:space="preserve">
FULL-TIME EQV 
(FTEs)</t>
    </r>
  </si>
  <si>
    <r>
      <rPr>
        <b/>
        <sz val="11"/>
        <color rgb="FFFF0000"/>
        <rFont val="Calibri"/>
        <family val="2"/>
        <scheme val="minor"/>
      </rPr>
      <t>Adjusted</t>
    </r>
    <r>
      <rPr>
        <b/>
        <sz val="11"/>
        <rFont val="Calibri"/>
        <family val="2"/>
        <scheme val="minor"/>
      </rPr>
      <t xml:space="preserve">
INDIRECT 
(not traceable to direct cost center)</t>
    </r>
  </si>
  <si>
    <r>
      <rPr>
        <b/>
        <sz val="11"/>
        <color rgb="FFFF0000"/>
        <rFont val="Calibri"/>
        <family val="2"/>
        <scheme val="minor"/>
      </rPr>
      <t>Adjusted</t>
    </r>
    <r>
      <rPr>
        <b/>
        <sz val="11"/>
        <rFont val="Calibri"/>
        <family val="2"/>
        <scheme val="minor"/>
      </rPr>
      <t xml:space="preserve">
ENCOUNTER-BASED SERVICES </t>
    </r>
    <r>
      <rPr>
        <b/>
        <i/>
        <sz val="11"/>
        <rFont val="Calibri"/>
        <family val="2"/>
        <scheme val="minor"/>
      </rPr>
      <t>with</t>
    </r>
    <r>
      <rPr>
        <b/>
        <sz val="11"/>
        <rFont val="Calibri"/>
        <family val="2"/>
        <scheme val="minor"/>
      </rPr>
      <t xml:space="preserve"> RVU WEIGHTS and ALL INTEGRATION SERVICES
(Schedule 2)</t>
    </r>
  </si>
  <si>
    <r>
      <rPr>
        <b/>
        <sz val="11"/>
        <color rgb="FFFF0000"/>
        <rFont val="Calibri"/>
        <family val="2"/>
        <scheme val="minor"/>
      </rPr>
      <t>Adjusted</t>
    </r>
    <r>
      <rPr>
        <b/>
        <sz val="11"/>
        <rFont val="Calibri"/>
        <family val="2"/>
        <scheme val="minor"/>
      </rPr>
      <t xml:space="preserve">
OTHER ENCOUNTER-BASED SERVICES </t>
    </r>
    <r>
      <rPr>
        <b/>
        <i/>
        <sz val="11"/>
        <rFont val="Calibri"/>
        <family val="2"/>
        <scheme val="minor"/>
      </rPr>
      <t>without</t>
    </r>
    <r>
      <rPr>
        <b/>
        <sz val="11"/>
        <rFont val="Calibri"/>
        <family val="2"/>
        <scheme val="minor"/>
      </rPr>
      <t xml:space="preserve"> RVU WEIGHTS and OTHER NON-ENCOUNTER-BASED SERVICES
(Schedule 2)</t>
    </r>
  </si>
  <si>
    <r>
      <rPr>
        <b/>
        <sz val="11"/>
        <color rgb="FFFF0000"/>
        <rFont val="Calibri"/>
        <family val="2"/>
        <scheme val="minor"/>
      </rPr>
      <t>Adjusted</t>
    </r>
    <r>
      <rPr>
        <b/>
        <sz val="11"/>
        <rFont val="Calibri"/>
        <family val="2"/>
        <scheme val="minor"/>
      </rPr>
      <t xml:space="preserve">
UNALLOWABLE</t>
    </r>
  </si>
  <si>
    <r>
      <rPr>
        <b/>
        <sz val="11"/>
        <color rgb="FFFF0000"/>
        <rFont val="Calibri"/>
        <family val="2"/>
        <scheme val="minor"/>
      </rPr>
      <t>Adjusted</t>
    </r>
    <r>
      <rPr>
        <b/>
        <sz val="11"/>
        <rFont val="Calibri"/>
        <family val="2"/>
        <scheme val="minor"/>
      </rPr>
      <t xml:space="preserve">
TOTAL</t>
    </r>
  </si>
  <si>
    <r>
      <rPr>
        <b/>
        <sz val="16"/>
        <color rgb="FFFF0000"/>
        <rFont val="Calibri"/>
        <family val="2"/>
        <scheme val="minor"/>
      </rPr>
      <t xml:space="preserve">Adjusted </t>
    </r>
    <r>
      <rPr>
        <b/>
        <sz val="16"/>
        <rFont val="Calibri"/>
        <family val="2"/>
        <scheme val="minor"/>
      </rPr>
      <t>Schedule 1A: Non-Clinical Direct Salary Limit</t>
    </r>
  </si>
  <si>
    <r>
      <rPr>
        <b/>
        <sz val="11"/>
        <color rgb="FFFF0000"/>
        <rFont val="Calibri"/>
        <family val="2"/>
        <scheme val="minor"/>
      </rPr>
      <t>Adjusted</t>
    </r>
    <r>
      <rPr>
        <b/>
        <sz val="11"/>
        <rFont val="Calibri"/>
        <family val="2"/>
        <scheme val="minor"/>
      </rPr>
      <t xml:space="preserve">
Non-Clinical 
Salary and Bonus 
During Period</t>
    </r>
  </si>
  <si>
    <r>
      <rPr>
        <b/>
        <sz val="11"/>
        <color rgb="FFFF0000"/>
        <rFont val="Calibri"/>
        <family val="2"/>
        <scheme val="minor"/>
      </rPr>
      <t>Adjusted</t>
    </r>
    <r>
      <rPr>
        <b/>
        <sz val="11"/>
        <rFont val="Calibri"/>
        <family val="2"/>
        <scheme val="minor"/>
      </rPr>
      <t xml:space="preserve">
Unallowable Excess Non-Clinical Salary Above Limit</t>
    </r>
  </si>
  <si>
    <r>
      <rPr>
        <b/>
        <sz val="16"/>
        <color rgb="FFFF0000"/>
        <rFont val="Calibri"/>
        <family val="2"/>
        <scheme val="minor"/>
      </rPr>
      <t>Adjusted</t>
    </r>
    <r>
      <rPr>
        <b/>
        <sz val="16"/>
        <color theme="1"/>
        <rFont val="Calibri"/>
        <family val="2"/>
        <scheme val="minor"/>
      </rPr>
      <t xml:space="preserve"> Schedule 1B: Indirect Cost Allocation Methodology</t>
    </r>
  </si>
  <si>
    <r>
      <rPr>
        <b/>
        <sz val="16"/>
        <color rgb="FFFF0000"/>
        <rFont val="Calibri"/>
        <family val="2"/>
        <scheme val="minor"/>
      </rPr>
      <t>Adjusted</t>
    </r>
    <r>
      <rPr>
        <b/>
        <sz val="16"/>
        <rFont val="Calibri"/>
        <family val="2"/>
        <scheme val="minor"/>
      </rPr>
      <t xml:space="preserve"> Schedule 1C: Less-Than-Arm's-Length (Related Party) Transactions</t>
    </r>
  </si>
  <si>
    <r>
      <rPr>
        <b/>
        <sz val="16"/>
        <color rgb="FFFF0000"/>
        <rFont val="Calibri"/>
        <family val="2"/>
        <scheme val="minor"/>
      </rPr>
      <t>Adjusted</t>
    </r>
    <r>
      <rPr>
        <b/>
        <sz val="16"/>
        <rFont val="Calibri"/>
        <family val="2"/>
        <scheme val="minor"/>
      </rPr>
      <t xml:space="preserve"> Schedule 2: Service Groups</t>
    </r>
  </si>
  <si>
    <r>
      <rPr>
        <b/>
        <sz val="16"/>
        <color rgb="FFFF0000"/>
        <rFont val="Calibri"/>
        <family val="2"/>
        <scheme val="minor"/>
      </rPr>
      <t xml:space="preserve">Adjusted </t>
    </r>
    <r>
      <rPr>
        <b/>
        <sz val="16"/>
        <rFont val="Calibri"/>
        <family val="2"/>
        <scheme val="minor"/>
      </rPr>
      <t>Schedule 2A: Emergency Services</t>
    </r>
  </si>
  <si>
    <r>
      <rPr>
        <b/>
        <sz val="11"/>
        <color rgb="FFFF0000"/>
        <rFont val="Calibri"/>
        <family val="2"/>
        <scheme val="minor"/>
      </rPr>
      <t>Adjusted</t>
    </r>
    <r>
      <rPr>
        <b/>
        <sz val="11"/>
        <rFont val="Calibri"/>
        <family val="2"/>
        <scheme val="minor"/>
      </rPr>
      <t xml:space="preserve">
Related Party:
Actual Cost Incurred</t>
    </r>
  </si>
  <si>
    <r>
      <rPr>
        <b/>
        <sz val="11"/>
        <color rgb="FFFF0000"/>
        <rFont val="Calibri"/>
        <family val="2"/>
        <scheme val="minor"/>
      </rPr>
      <t>Adjusted</t>
    </r>
    <r>
      <rPr>
        <b/>
        <sz val="11"/>
        <rFont val="Calibri"/>
        <family val="2"/>
        <scheme val="minor"/>
      </rPr>
      <t xml:space="preserve">
Schedule 1 
Column</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</si>
  <si>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Account Number(s) 
and/or Program(s)</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</si>
  <si>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Related Vendor, 
Individual, or Organization</t>
    </r>
    <r>
      <rPr>
        <b/>
        <sz val="11"/>
        <color rgb="FFFF0000"/>
        <rFont val="Calibri"/>
        <family val="2"/>
        <scheme val="minor"/>
      </rPr>
      <t>*</t>
    </r>
  </si>
  <si>
    <r>
      <rPr>
        <b/>
        <sz val="11"/>
        <color rgb="FFFF0000"/>
        <rFont val="Calibri"/>
        <family val="2"/>
        <scheme val="minor"/>
      </rPr>
      <t>Adjusted</t>
    </r>
    <r>
      <rPr>
        <b/>
        <sz val="11"/>
        <color theme="1"/>
        <rFont val="Calibri"/>
        <family val="2"/>
        <scheme val="minor"/>
      </rPr>
      <t xml:space="preserve">
Direct</t>
    </r>
  </si>
  <si>
    <r>
      <rPr>
        <b/>
        <sz val="11"/>
        <color rgb="FFFF0000"/>
        <rFont val="Calibri"/>
        <family val="2"/>
        <scheme val="minor"/>
      </rPr>
      <t>Adjusted</t>
    </r>
    <r>
      <rPr>
        <b/>
        <sz val="11"/>
        <color theme="1"/>
        <rFont val="Calibri"/>
        <family val="2"/>
        <scheme val="minor"/>
      </rPr>
      <t xml:space="preserve">
Indirect</t>
    </r>
  </si>
  <si>
    <r>
      <rPr>
        <b/>
        <sz val="11"/>
        <color rgb="FFFF0000"/>
        <rFont val="Calibri"/>
        <family val="2"/>
        <scheme val="minor"/>
      </rPr>
      <t>Adjusted</t>
    </r>
    <r>
      <rPr>
        <b/>
        <sz val="11"/>
        <color theme="1"/>
        <rFont val="Calibri"/>
        <family val="2"/>
        <scheme val="minor"/>
      </rPr>
      <t xml:space="preserve">
Direct 
Cost</t>
    </r>
  </si>
  <si>
    <r>
      <rPr>
        <b/>
        <sz val="11"/>
        <color rgb="FFFF0000"/>
        <rFont val="Calibri"/>
        <family val="2"/>
        <scheme val="minor"/>
      </rPr>
      <t>Adjusted</t>
    </r>
    <r>
      <rPr>
        <b/>
        <sz val="11"/>
        <rFont val="Calibri"/>
        <family val="2"/>
        <scheme val="minor"/>
      </rPr>
      <t xml:space="preserve">
Indirect Cost 
</t>
    </r>
    <r>
      <rPr>
        <sz val="8"/>
        <rFont val="Calibri"/>
        <family val="2"/>
        <scheme val="minor"/>
      </rPr>
      <t>(Direct Cost x Sch 1 Indirect Cost Rate</t>
    </r>
    <r>
      <rPr>
        <b/>
        <sz val="8"/>
        <rFont val="Calibri"/>
        <family val="2"/>
        <scheme val="minor"/>
      </rPr>
      <t>)</t>
    </r>
  </si>
  <si>
    <r>
      <rPr>
        <b/>
        <sz val="11"/>
        <color rgb="FFFF0000"/>
        <rFont val="Calibri"/>
        <family val="2"/>
        <scheme val="minor"/>
      </rPr>
      <t>Adjusted</t>
    </r>
    <r>
      <rPr>
        <b/>
        <sz val="11"/>
        <rFont val="Calibri"/>
        <family val="2"/>
        <scheme val="minor"/>
      </rPr>
      <t xml:space="preserve">
Total Cost </t>
    </r>
  </si>
  <si>
    <r>
      <rPr>
        <b/>
        <sz val="11"/>
        <color rgb="FFFF0000"/>
        <rFont val="Calibri"/>
        <family val="2"/>
        <scheme val="minor"/>
      </rPr>
      <t>Adjusted</t>
    </r>
    <r>
      <rPr>
        <b/>
        <sz val="11"/>
        <color theme="1"/>
        <rFont val="Calibri"/>
        <family val="2"/>
        <scheme val="minor"/>
      </rPr>
      <t xml:space="preserve">
FTEs</t>
    </r>
  </si>
  <si>
    <r>
      <rPr>
        <b/>
        <sz val="11"/>
        <color rgb="FFFF0000"/>
        <rFont val="Calibri"/>
        <family val="2"/>
        <scheme val="minor"/>
      </rPr>
      <t>Adjusted</t>
    </r>
    <r>
      <rPr>
        <b/>
        <sz val="11"/>
        <color theme="1"/>
        <rFont val="Calibri"/>
        <family val="2"/>
        <scheme val="minor"/>
      </rPr>
      <t xml:space="preserve">
Number of Clients Served*</t>
    </r>
  </si>
  <si>
    <r>
      <rPr>
        <b/>
        <sz val="16"/>
        <color rgb="FFFF0000"/>
        <rFont val="Calibri"/>
        <family val="2"/>
        <scheme val="minor"/>
      </rPr>
      <t xml:space="preserve">Adjusted </t>
    </r>
    <r>
      <rPr>
        <b/>
        <sz val="16"/>
        <rFont val="Calibri"/>
        <family val="2"/>
        <scheme val="minor"/>
      </rPr>
      <t>Schedule 2B: Consultative and Educational Services</t>
    </r>
  </si>
  <si>
    <r>
      <rPr>
        <b/>
        <sz val="16"/>
        <color rgb="FFFF0000"/>
        <rFont val="Calibri"/>
        <family val="2"/>
        <scheme val="minor"/>
      </rPr>
      <t xml:space="preserve">Adjusted </t>
    </r>
    <r>
      <rPr>
        <b/>
        <sz val="16"/>
        <rFont val="Calibri"/>
        <family val="2"/>
        <scheme val="minor"/>
      </rPr>
      <t>Schedule 2C: Outpatient Services</t>
    </r>
  </si>
  <si>
    <r>
      <rPr>
        <b/>
        <sz val="16"/>
        <color rgb="FFFF0000"/>
        <rFont val="Calibri"/>
        <family val="2"/>
        <scheme val="minor"/>
      </rPr>
      <t>Adjusted</t>
    </r>
    <r>
      <rPr>
        <b/>
        <sz val="16"/>
        <rFont val="Calibri"/>
        <family val="2"/>
        <scheme val="minor"/>
      </rPr>
      <t xml:space="preserve"> Schedule 2D: Partial Hospitalization</t>
    </r>
  </si>
  <si>
    <r>
      <rPr>
        <b/>
        <sz val="11"/>
        <color rgb="FFFF0000"/>
        <rFont val="Calibri"/>
        <family val="2"/>
        <scheme val="minor"/>
      </rPr>
      <t>Adjusted</t>
    </r>
    <r>
      <rPr>
        <b/>
        <sz val="11"/>
        <rFont val="Calibri"/>
        <family val="2"/>
        <scheme val="minor"/>
      </rPr>
      <t xml:space="preserve">
Census Days</t>
    </r>
  </si>
  <si>
    <r>
      <rPr>
        <b/>
        <sz val="11"/>
        <color rgb="FFFF0000"/>
        <rFont val="Calibri"/>
        <family val="2"/>
        <scheme val="minor"/>
      </rPr>
      <t>Adjusted</t>
    </r>
    <r>
      <rPr>
        <b/>
        <sz val="11"/>
        <rFont val="Calibri"/>
        <family val="2"/>
        <scheme val="minor"/>
      </rPr>
      <t xml:space="preserve">
Utilization Rate</t>
    </r>
  </si>
  <si>
    <r>
      <rPr>
        <b/>
        <sz val="11"/>
        <color rgb="FFFF0000"/>
        <rFont val="Calibri"/>
        <family val="2"/>
        <scheme val="minor"/>
      </rPr>
      <t>Adjusted</t>
    </r>
    <r>
      <rPr>
        <b/>
        <sz val="11"/>
        <color theme="1"/>
        <rFont val="Calibri"/>
        <family val="2"/>
        <scheme val="minor"/>
      </rPr>
      <t xml:space="preserve">
Total Expense</t>
    </r>
  </si>
  <si>
    <r>
      <rPr>
        <b/>
        <sz val="11"/>
        <color rgb="FFFF0000"/>
        <rFont val="Calibri"/>
        <family val="2"/>
        <scheme val="minor"/>
      </rPr>
      <t>Adjusted</t>
    </r>
    <r>
      <rPr>
        <b/>
        <sz val="11"/>
        <color theme="1"/>
        <rFont val="Calibri"/>
        <family val="2"/>
        <scheme val="minor"/>
      </rPr>
      <t xml:space="preserve">
Total Cost Per Day</t>
    </r>
  </si>
  <si>
    <r>
      <rPr>
        <b/>
        <sz val="11"/>
        <color rgb="FFFF0000"/>
        <rFont val="Calibri"/>
        <family val="2"/>
        <scheme val="minor"/>
      </rPr>
      <t>Adjusted</t>
    </r>
    <r>
      <rPr>
        <b/>
        <sz val="11"/>
        <color theme="1"/>
        <rFont val="Calibri"/>
        <family val="2"/>
        <scheme val="minor"/>
      </rPr>
      <t xml:space="preserve">
Room and Board Expense</t>
    </r>
  </si>
  <si>
    <r>
      <rPr>
        <b/>
        <sz val="11"/>
        <color rgb="FFFF0000"/>
        <rFont val="Calibri"/>
        <family val="2"/>
        <scheme val="minor"/>
      </rPr>
      <t>Adjusted</t>
    </r>
    <r>
      <rPr>
        <b/>
        <sz val="11"/>
        <color theme="1"/>
        <rFont val="Calibri"/>
        <family val="2"/>
        <scheme val="minor"/>
      </rPr>
      <t xml:space="preserve">
Room and Board Cost Per Day</t>
    </r>
  </si>
  <si>
    <r>
      <rPr>
        <b/>
        <sz val="11"/>
        <color rgb="FFFF0000"/>
        <rFont val="Calibri"/>
        <family val="2"/>
        <scheme val="minor"/>
      </rPr>
      <t>Adjusted</t>
    </r>
    <r>
      <rPr>
        <b/>
        <sz val="11"/>
        <color theme="1"/>
        <rFont val="Calibri"/>
        <family val="2"/>
        <scheme val="minor"/>
      </rPr>
      <t xml:space="preserve">
Services Expense (Total less Room and Board)</t>
    </r>
  </si>
  <si>
    <r>
      <rPr>
        <b/>
        <sz val="11"/>
        <color rgb="FFFF0000"/>
        <rFont val="Calibri"/>
        <family val="2"/>
        <scheme val="minor"/>
      </rPr>
      <t>Adjusted</t>
    </r>
    <r>
      <rPr>
        <b/>
        <sz val="11"/>
        <color theme="1"/>
        <rFont val="Calibri"/>
        <family val="2"/>
        <scheme val="minor"/>
      </rPr>
      <t xml:space="preserve">
Services Cost Per Day</t>
    </r>
  </si>
  <si>
    <r>
      <rPr>
        <sz val="11"/>
        <color rgb="FFFF0000"/>
        <rFont val="Calibri"/>
        <family val="2"/>
        <scheme val="minor"/>
      </rPr>
      <t>Adjusted</t>
    </r>
    <r>
      <rPr>
        <sz val="11"/>
        <color theme="1"/>
        <rFont val="Calibri"/>
        <family val="2"/>
        <scheme val="minor"/>
      </rPr>
      <t xml:space="preserve"> Total costs from Column 3 on Schedule 1  </t>
    </r>
  </si>
  <si>
    <r>
      <rPr>
        <sz val="11"/>
        <color rgb="FFFF0000"/>
        <rFont val="Calibri"/>
        <family val="2"/>
        <scheme val="minor"/>
      </rPr>
      <t>Adjusted</t>
    </r>
    <r>
      <rPr>
        <sz val="11"/>
        <color theme="1"/>
        <rFont val="Calibri"/>
        <family val="2"/>
        <scheme val="minor"/>
      </rPr>
      <t xml:space="preserve"> Non-RVU integration services revenue</t>
    </r>
  </si>
  <si>
    <r>
      <rPr>
        <b/>
        <sz val="11"/>
        <color rgb="FFFF0000"/>
        <rFont val="Calibri"/>
        <family val="2"/>
        <scheme val="minor"/>
      </rPr>
      <t>Adjusted</t>
    </r>
    <r>
      <rPr>
        <b/>
        <sz val="11"/>
        <color theme="1"/>
        <rFont val="Calibri"/>
        <family val="2"/>
        <scheme val="minor"/>
      </rPr>
      <t xml:space="preserve"> Total allowable costs for encounter-based services  </t>
    </r>
  </si>
  <si>
    <r>
      <rPr>
        <sz val="11"/>
        <color rgb="FFFF0000"/>
        <rFont val="Calibri"/>
        <family val="2"/>
        <scheme val="minor"/>
      </rPr>
      <t>Adjusted</t>
    </r>
    <r>
      <rPr>
        <sz val="11"/>
        <color theme="1"/>
        <rFont val="Calibri"/>
        <family val="2"/>
        <scheme val="minor"/>
      </rPr>
      <t xml:space="preserve"> Non-facility RVUs  </t>
    </r>
  </si>
  <si>
    <r>
      <rPr>
        <sz val="11"/>
        <color rgb="FFFF0000"/>
        <rFont val="Calibri"/>
        <family val="2"/>
        <scheme val="minor"/>
      </rPr>
      <t>Adjusted</t>
    </r>
    <r>
      <rPr>
        <sz val="11"/>
        <color theme="1"/>
        <rFont val="Calibri"/>
        <family val="2"/>
        <scheme val="minor"/>
      </rPr>
      <t xml:space="preserve"> Facility RVUs  </t>
    </r>
  </si>
  <si>
    <r>
      <rPr>
        <b/>
        <sz val="11"/>
        <color rgb="FFFF0000"/>
        <rFont val="Calibri"/>
        <family val="2"/>
        <scheme val="minor"/>
      </rPr>
      <t>Adjusted</t>
    </r>
    <r>
      <rPr>
        <b/>
        <sz val="11"/>
        <color theme="1"/>
        <rFont val="Calibri"/>
        <family val="2"/>
        <scheme val="minor"/>
      </rPr>
      <t xml:space="preserve"> Total RVUs  </t>
    </r>
  </si>
  <si>
    <r>
      <rPr>
        <b/>
        <sz val="14"/>
        <color rgb="FFFF0000"/>
        <rFont val="Calibri"/>
        <family val="2"/>
        <scheme val="minor"/>
      </rPr>
      <t>ADJUSTED</t>
    </r>
    <r>
      <rPr>
        <b/>
        <sz val="14"/>
        <color theme="1"/>
        <rFont val="Calibri"/>
        <family val="2"/>
        <scheme val="minor"/>
      </rPr>
      <t xml:space="preserve"> BASE UNIT COST  </t>
    </r>
  </si>
  <si>
    <t xml:space="preserve">
Rebalanced Non-Facility RVU Weight</t>
  </si>
  <si>
    <r>
      <rPr>
        <b/>
        <sz val="11"/>
        <color rgb="FFFF0000"/>
        <rFont val="Calibri"/>
        <family val="2"/>
        <scheme val="minor"/>
      </rPr>
      <t>Adjusted</t>
    </r>
    <r>
      <rPr>
        <b/>
        <sz val="11"/>
        <rFont val="Calibri"/>
        <family val="2"/>
        <scheme val="minor"/>
      </rPr>
      <t xml:space="preserve">
Non-Facility Units</t>
    </r>
  </si>
  <si>
    <r>
      <rPr>
        <b/>
        <sz val="11"/>
        <color rgb="FFFF0000"/>
        <rFont val="Calibri"/>
        <family val="2"/>
        <scheme val="minor"/>
      </rPr>
      <t>Adjusted</t>
    </r>
    <r>
      <rPr>
        <b/>
        <sz val="11"/>
        <rFont val="Calibri"/>
        <family val="2"/>
        <scheme val="minor"/>
      </rPr>
      <t xml:space="preserve">
Cost per Non-Facility Unit of Service</t>
    </r>
  </si>
  <si>
    <r>
      <t xml:space="preserve">Adjusted
</t>
    </r>
    <r>
      <rPr>
        <b/>
        <sz val="11"/>
        <rFont val="Calibri"/>
        <family val="2"/>
        <scheme val="minor"/>
      </rPr>
      <t>Non-Facility RVUs</t>
    </r>
  </si>
  <si>
    <r>
      <rPr>
        <b/>
        <sz val="11"/>
        <color rgb="FFFF0000"/>
        <rFont val="Calibri"/>
        <family val="2"/>
        <scheme val="minor"/>
      </rPr>
      <t>Adjusted</t>
    </r>
    <r>
      <rPr>
        <b/>
        <sz val="11"/>
        <rFont val="Calibri"/>
        <family val="2"/>
        <scheme val="minor"/>
      </rPr>
      <t xml:space="preserve">
Facility Units</t>
    </r>
  </si>
  <si>
    <r>
      <rPr>
        <b/>
        <sz val="11"/>
        <color rgb="FFFF0000"/>
        <rFont val="Calibri"/>
        <family val="2"/>
        <scheme val="minor"/>
      </rPr>
      <t>Adjusted</t>
    </r>
    <r>
      <rPr>
        <b/>
        <sz val="11"/>
        <color theme="1"/>
        <rFont val="Calibri"/>
        <family val="2"/>
        <scheme val="minor"/>
      </rPr>
      <t xml:space="preserve">
Facility RVUs</t>
    </r>
  </si>
  <si>
    <r>
      <rPr>
        <b/>
        <sz val="11"/>
        <color rgb="FFFF0000"/>
        <rFont val="Calibri"/>
        <family val="2"/>
        <scheme val="minor"/>
      </rPr>
      <t>Adjusted</t>
    </r>
    <r>
      <rPr>
        <b/>
        <sz val="11"/>
        <color theme="1"/>
        <rFont val="Calibri"/>
        <family val="2"/>
        <scheme val="minor"/>
      </rPr>
      <t xml:space="preserve">
Cost per Facility Unit of Service</t>
    </r>
  </si>
  <si>
    <r>
      <rPr>
        <b/>
        <sz val="11"/>
        <color rgb="FFFF0000"/>
        <rFont val="Calibri"/>
        <family val="2"/>
        <scheme val="minor"/>
      </rPr>
      <t>Adjusted</t>
    </r>
    <r>
      <rPr>
        <b/>
        <sz val="11"/>
        <rFont val="Calibri"/>
        <family val="2"/>
        <scheme val="minor"/>
      </rPr>
      <t xml:space="preserve">
Schedule 1 
Column </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</si>
  <si>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Number of Months in Role During Reporting Period </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</si>
  <si>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Non-Clinical 
Role FTE </t>
    </r>
    <r>
      <rPr>
        <b/>
        <sz val="11"/>
        <color rgb="FFFF0000"/>
        <rFont val="Calibri"/>
        <family val="2"/>
        <scheme val="minor"/>
      </rPr>
      <t>*</t>
    </r>
  </si>
  <si>
    <t>Instructions for the Adjusted Cost Report Template</t>
  </si>
  <si>
    <r>
      <t xml:space="preserve">Start at the </t>
    </r>
    <r>
      <rPr>
        <b/>
        <sz val="11"/>
        <color theme="1"/>
        <rFont val="Calibri"/>
        <family val="2"/>
        <scheme val="minor"/>
      </rPr>
      <t>Results</t>
    </r>
    <r>
      <rPr>
        <sz val="11"/>
        <color theme="1"/>
        <rFont val="Calibri"/>
        <family val="2"/>
        <scheme val="minor"/>
      </rPr>
      <t xml:space="preserve"> tab, by doing the following:</t>
    </r>
  </si>
  <si>
    <t>Select either "Proposed Adjustments" or "Final Adjustments" from the drop down in cell A4.</t>
  </si>
  <si>
    <t>Enter the provider's name in cell C6.</t>
  </si>
  <si>
    <r>
      <t xml:space="preserve">Copy and paste the adjustments from 400.1 (proposed adjustments) or 400.3 (final adjustments) into the </t>
    </r>
    <r>
      <rPr>
        <b/>
        <sz val="11"/>
        <color rgb="FF7AC142"/>
        <rFont val="Calibri"/>
        <family val="2"/>
        <scheme val="minor"/>
      </rPr>
      <t>Adjustments</t>
    </r>
    <r>
      <rPr>
        <sz val="11"/>
        <color theme="1"/>
        <rFont val="Calibri"/>
        <family val="2"/>
        <scheme val="minor"/>
      </rPr>
      <t xml:space="preserve"> tab. </t>
    </r>
    <r>
      <rPr>
        <b/>
        <sz val="11"/>
        <color theme="1"/>
        <rFont val="Calibri"/>
        <family val="2"/>
        <scheme val="minor"/>
      </rPr>
      <t>Do not alter the columns on this tab.</t>
    </r>
  </si>
  <si>
    <r>
      <t xml:space="preserve">Copy and </t>
    </r>
    <r>
      <rPr>
        <b/>
        <sz val="11"/>
        <color theme="1"/>
        <rFont val="Calibri"/>
        <family val="2"/>
        <scheme val="minor"/>
      </rPr>
      <t>paste</t>
    </r>
    <r>
      <rPr>
        <sz val="11"/>
        <color theme="1"/>
        <rFont val="Calibri"/>
        <family val="2"/>
        <scheme val="minor"/>
      </rPr>
      <t xml:space="preserve"> </t>
    </r>
    <r>
      <rPr>
        <b/>
        <sz val="11"/>
        <color theme="1"/>
        <rFont val="Calibri"/>
        <family val="2"/>
        <scheme val="minor"/>
      </rPr>
      <t>values</t>
    </r>
    <r>
      <rPr>
        <sz val="11"/>
        <color theme="1"/>
        <rFont val="Calibri"/>
        <family val="2"/>
        <scheme val="minor"/>
      </rPr>
      <t xml:space="preserve"> from the as-filed cost report into the </t>
    </r>
    <r>
      <rPr>
        <b/>
        <sz val="11"/>
        <color rgb="FF38939B"/>
        <rFont val="Calibri"/>
        <family val="2"/>
        <scheme val="minor"/>
      </rPr>
      <t>As Filed</t>
    </r>
    <r>
      <rPr>
        <sz val="11"/>
        <color theme="1"/>
        <rFont val="Calibri"/>
        <family val="2"/>
        <scheme val="minor"/>
      </rPr>
      <t xml:space="preserve"> tabs. Please note:</t>
    </r>
  </si>
  <si>
    <r>
      <t xml:space="preserve">Copy the values from/to the </t>
    </r>
    <r>
      <rPr>
        <b/>
        <sz val="11"/>
        <color theme="7" tint="0.39997558519241921"/>
        <rFont val="Calibri"/>
        <family val="2"/>
        <scheme val="minor"/>
      </rPr>
      <t>yellow</t>
    </r>
    <r>
      <rPr>
        <sz val="11"/>
        <color theme="1"/>
        <rFont val="Calibri"/>
        <family val="2"/>
        <scheme val="minor"/>
      </rPr>
      <t xml:space="preserve"> cells, only. </t>
    </r>
  </si>
  <si>
    <r>
      <t xml:space="preserve">Tie out the totals in the </t>
    </r>
    <r>
      <rPr>
        <b/>
        <sz val="11"/>
        <color theme="0" tint="-0.499984740745262"/>
        <rFont val="Calibri"/>
        <family val="2"/>
        <scheme val="minor"/>
      </rPr>
      <t>gray</t>
    </r>
    <r>
      <rPr>
        <sz val="11"/>
        <color theme="1"/>
        <rFont val="Calibri"/>
        <family val="2"/>
        <scheme val="minor"/>
      </rPr>
      <t xml:space="preserve"> cells to the cost report. If there are variances, resolve them before moving on.</t>
    </r>
  </si>
  <si>
    <r>
      <t xml:space="preserve">No entry is needed on the </t>
    </r>
    <r>
      <rPr>
        <b/>
        <sz val="11"/>
        <color rgb="FF38939B"/>
        <rFont val="Calibri"/>
        <family val="2"/>
        <scheme val="minor"/>
      </rPr>
      <t>As-Filed Schedule 2</t>
    </r>
    <r>
      <rPr>
        <sz val="11"/>
        <color theme="1"/>
        <rFont val="Calibri"/>
        <family val="2"/>
        <scheme val="minor"/>
      </rPr>
      <t>, since this tab automatically pulls from the subsequent tabs.</t>
    </r>
  </si>
  <si>
    <t>d</t>
  </si>
  <si>
    <r>
      <t xml:space="preserve">No entry is needed on the </t>
    </r>
    <r>
      <rPr>
        <b/>
        <sz val="11"/>
        <color rgb="FFF8971D"/>
        <rFont val="Calibri"/>
        <family val="2"/>
        <scheme val="minor"/>
      </rPr>
      <t>Adjusted</t>
    </r>
    <r>
      <rPr>
        <sz val="11"/>
        <color theme="1"/>
        <rFont val="Calibri"/>
        <family val="2"/>
        <scheme val="minor"/>
      </rPr>
      <t xml:space="preserve"> tabs, with the exception of notes 3b and 4b below, as these will automatically pull from subsequent tabs.</t>
    </r>
  </si>
  <si>
    <t>Regarding Schedule 1A:</t>
  </si>
  <si>
    <t>Regarding Schedule 1B:</t>
  </si>
  <si>
    <t>There is not an adjustments tab for this schedule, as we will not make "adjustments" to the narratives.</t>
  </si>
  <si>
    <r>
      <t xml:space="preserve">If the narratives included in the as-filed cost report are not correct, or do not reflect the adjusted allocation methodology, we must manually revise the narratives on the </t>
    </r>
    <r>
      <rPr>
        <b/>
        <sz val="11"/>
        <color rgb="FFF8971D"/>
        <rFont val="Calibri"/>
        <family val="2"/>
        <scheme val="minor"/>
      </rPr>
      <t xml:space="preserve">Adjusted Schedule 1B </t>
    </r>
    <r>
      <rPr>
        <sz val="11"/>
        <color theme="1"/>
        <rFont val="Calibri"/>
        <family val="2"/>
        <scheme val="minor"/>
      </rPr>
      <t>tab. The revised narratives should be in un-bolded, black text.</t>
    </r>
  </si>
  <si>
    <t>Regarding Schedule 1C:</t>
  </si>
  <si>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1C Adjustments</t>
    </r>
    <r>
      <rPr>
        <sz val="11"/>
        <color theme="1"/>
        <rFont val="Calibri"/>
        <family val="2"/>
        <scheme val="minor"/>
      </rPr>
      <t xml:space="preserve"> tab: type of expense in column 1, Schedule 1 Column in column 5, account number(s) in column 6, or related entity in column 7. Make the corrected value </t>
    </r>
    <r>
      <rPr>
        <b/>
        <sz val="11"/>
        <color rgb="FFFF0000"/>
        <rFont val="Calibri"/>
        <family val="2"/>
        <scheme val="minor"/>
      </rPr>
      <t>bold red</t>
    </r>
    <r>
      <rPr>
        <sz val="11"/>
        <color theme="1"/>
        <rFont val="Calibri"/>
        <family val="2"/>
        <scheme val="minor"/>
      </rPr>
      <t xml:space="preserve"> on that tab, so it's evident we revised the value.</t>
    </r>
  </si>
  <si>
    <t>Regarding Schedule 2:</t>
  </si>
  <si>
    <t>There is not an adjustments tab for this schedule, as all adjusted amounts will flow through the subsequent tabs.</t>
  </si>
  <si>
    <t>Regarding the subsequent Schedule 2 series tabs:</t>
  </si>
  <si>
    <t>For reclassifications of programs between schedules, make sure to reclass to an available line on the destination schedule (this will not necessarily be the same line from which we are reclassifying from).</t>
  </si>
  <si>
    <t>Regarding Schedule 3:</t>
  </si>
  <si>
    <r>
      <t xml:space="preserve">If we make an adjustment to census days, the line we reference in the </t>
    </r>
    <r>
      <rPr>
        <b/>
        <sz val="11"/>
        <color rgb="FF7AC142"/>
        <rFont val="Calibri"/>
        <family val="2"/>
        <scheme val="minor"/>
      </rPr>
      <t>Adjustments</t>
    </r>
    <r>
      <rPr>
        <sz val="11"/>
        <color theme="1"/>
        <rFont val="Calibri"/>
        <family val="2"/>
        <scheme val="minor"/>
      </rPr>
      <t xml:space="preserve"> tab must include the numeric and alphabetic value associated with the specific location of the days to be adjusted. For example, if we are adjusting days associated with the facility reported on Schedule 3 line 1, and the procedure code reported in line a, then the line value that must be included in the </t>
    </r>
    <r>
      <rPr>
        <b/>
        <sz val="11"/>
        <color rgb="FF7AC142"/>
        <rFont val="Calibri"/>
        <family val="2"/>
        <scheme val="minor"/>
      </rPr>
      <t>Adjustments</t>
    </r>
    <r>
      <rPr>
        <sz val="11"/>
        <color theme="1"/>
        <rFont val="Calibri"/>
        <family val="2"/>
        <scheme val="minor"/>
      </rPr>
      <t xml:space="preserve"> tab is 1a.</t>
    </r>
  </si>
  <si>
    <r>
      <t xml:space="preserve">Ensure the </t>
    </r>
    <r>
      <rPr>
        <b/>
        <sz val="11"/>
        <color rgb="FFF8971D"/>
        <rFont val="Calibri"/>
        <family val="2"/>
        <scheme val="minor"/>
      </rPr>
      <t>Adjusted</t>
    </r>
    <r>
      <rPr>
        <sz val="11"/>
        <color theme="1"/>
        <rFont val="Calibri"/>
        <family val="2"/>
        <scheme val="minor"/>
      </rPr>
      <t xml:space="preserve"> tabs are free of </t>
    </r>
    <r>
      <rPr>
        <b/>
        <i/>
        <sz val="11"/>
        <color rgb="FFFF0000"/>
        <rFont val="Calibri"/>
        <family val="2"/>
        <scheme val="minor"/>
      </rPr>
      <t>error</t>
    </r>
    <r>
      <rPr>
        <sz val="11"/>
        <color theme="1"/>
        <rFont val="Calibri"/>
        <family val="2"/>
        <scheme val="minor"/>
      </rPr>
      <t xml:space="preserve"> warnings. All errors should be resolved prior to finalization.</t>
    </r>
  </si>
  <si>
    <r>
      <t xml:space="preserve">On the </t>
    </r>
    <r>
      <rPr>
        <b/>
        <sz val="11"/>
        <color theme="1"/>
        <rFont val="Calibri"/>
        <family val="2"/>
        <scheme val="minor"/>
      </rPr>
      <t>Results</t>
    </r>
    <r>
      <rPr>
        <sz val="11"/>
        <color theme="1"/>
        <rFont val="Calibri"/>
        <family val="2"/>
        <scheme val="minor"/>
      </rPr>
      <t xml:space="preserve"> tab, the "Per Diem Calculation" section is set up to show 30 facilities. However, very few providers have this many residential/inpatient facilities. Hide all sections for which a facility does not exist and the data is blank. If there are no residential or inpatient facilities, and thus Schedule 3 is blank, hide the entirety of the "Per Diem Calculation" section. </t>
    </r>
  </si>
  <si>
    <r>
      <t xml:space="preserve">Print to PDF the </t>
    </r>
    <r>
      <rPr>
        <b/>
        <sz val="11"/>
        <color theme="1"/>
        <rFont val="Calibri"/>
        <family val="2"/>
        <scheme val="minor"/>
      </rPr>
      <t>Results</t>
    </r>
    <r>
      <rPr>
        <sz val="11"/>
        <color theme="1"/>
        <rFont val="Calibri"/>
        <family val="2"/>
        <scheme val="minor"/>
      </rPr>
      <t xml:space="preserve"> tab to be included in the Proposed/Final Adjustments packet.</t>
    </r>
  </si>
  <si>
    <r>
      <t xml:space="preserve">This Excel workbook will be sent to the provider with the Proposed and Final Adjustments packets. Prior to sending this workbook to the provider, click the "Send to Provider" button on the </t>
    </r>
    <r>
      <rPr>
        <b/>
        <sz val="11"/>
        <color theme="1"/>
        <rFont val="Calibri"/>
        <family val="2"/>
        <scheme val="minor"/>
      </rPr>
      <t>Results</t>
    </r>
    <r>
      <rPr>
        <sz val="11"/>
        <color theme="1"/>
        <rFont val="Calibri"/>
        <family val="2"/>
        <scheme val="minor"/>
      </rPr>
      <t xml:space="preserve"> tab to automatically protect all sheets in this workbook and to hide this </t>
    </r>
    <r>
      <rPr>
        <b/>
        <sz val="11"/>
        <color theme="1"/>
        <rFont val="Calibri"/>
        <family val="2"/>
        <scheme val="minor"/>
      </rPr>
      <t>Instructions</t>
    </r>
    <r>
      <rPr>
        <sz val="11"/>
        <color theme="1"/>
        <rFont val="Calibri"/>
        <family val="2"/>
        <scheme val="minor"/>
      </rPr>
      <t xml:space="preserve"> tab. (Note: This tab can be unhidden at any time thereafter, if needed.)</t>
    </r>
  </si>
  <si>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3 Adjustments</t>
    </r>
    <r>
      <rPr>
        <sz val="11"/>
        <color theme="1"/>
        <rFont val="Calibri"/>
        <family val="2"/>
        <scheme val="minor"/>
      </rPr>
      <t xml:space="preserve"> tab: Name of Facility, Type of Facility, License Type, Bed Capacity, Facility Open/Close Date, or Procedure Code. Make the revised value </t>
    </r>
    <r>
      <rPr>
        <b/>
        <sz val="11"/>
        <color rgb="FFFF0000"/>
        <rFont val="Calibri"/>
        <family val="2"/>
        <scheme val="minor"/>
      </rPr>
      <t>bold red</t>
    </r>
    <r>
      <rPr>
        <sz val="11"/>
        <color theme="1"/>
        <rFont val="Calibri"/>
        <family val="2"/>
        <scheme val="minor"/>
      </rPr>
      <t xml:space="preserve"> on that tab, so that it's evident we revised the value.</t>
    </r>
  </si>
  <si>
    <r>
      <t>Are emergency services provided?</t>
    </r>
    <r>
      <rPr>
        <b/>
        <sz val="11"/>
        <color rgb="FFFF0000"/>
        <rFont val="Calibri"/>
        <family val="2"/>
        <scheme val="minor"/>
      </rPr>
      <t>*</t>
    </r>
  </si>
  <si>
    <r>
      <t>Are consultative and educational services provided?</t>
    </r>
    <r>
      <rPr>
        <b/>
        <sz val="11"/>
        <color rgb="FFFF0000"/>
        <rFont val="Calibri"/>
        <family val="2"/>
        <scheme val="minor"/>
      </rPr>
      <t>*</t>
    </r>
  </si>
  <si>
    <r>
      <t>Are outpatient services provided?</t>
    </r>
    <r>
      <rPr>
        <b/>
        <sz val="11"/>
        <color rgb="FFFF0000"/>
        <rFont val="Calibri"/>
        <family val="2"/>
        <scheme val="minor"/>
      </rPr>
      <t>*</t>
    </r>
  </si>
  <si>
    <r>
      <t>Adjustments to</t>
    </r>
    <r>
      <rPr>
        <b/>
        <sz val="16"/>
        <rFont val="Calibri"/>
        <family val="2"/>
        <scheme val="minor"/>
      </rPr>
      <t xml:space="preserve"> Schedule 2D: Partial Hospitalization</t>
    </r>
  </si>
  <si>
    <r>
      <t>Adjustments to</t>
    </r>
    <r>
      <rPr>
        <b/>
        <sz val="16"/>
        <rFont val="Calibri"/>
        <family val="2"/>
        <scheme val="minor"/>
      </rPr>
      <t xml:space="preserve"> Schedule 2C: Outpatient Services</t>
    </r>
  </si>
  <si>
    <r>
      <t xml:space="preserve">Adjustments to </t>
    </r>
    <r>
      <rPr>
        <b/>
        <sz val="16"/>
        <rFont val="Calibri"/>
        <family val="2"/>
        <scheme val="minor"/>
      </rPr>
      <t>Schedule 2B: Consultative and Educational Services</t>
    </r>
  </si>
  <si>
    <r>
      <t>Adjustments to</t>
    </r>
    <r>
      <rPr>
        <b/>
        <sz val="16"/>
        <rFont val="Calibri"/>
        <family val="2"/>
        <scheme val="minor"/>
      </rPr>
      <t xml:space="preserve"> Schedule 2A: Emergency Services</t>
    </r>
  </si>
  <si>
    <r>
      <t xml:space="preserve">Adjustments to </t>
    </r>
    <r>
      <rPr>
        <b/>
        <sz val="16"/>
        <rFont val="Calibri"/>
        <family val="2"/>
        <scheme val="minor"/>
      </rPr>
      <t>Schedule 1C: Less-Than-Arm's-Length (Related Party) Transactions</t>
    </r>
  </si>
  <si>
    <r>
      <t xml:space="preserve">Facility 
Open Date </t>
    </r>
    <r>
      <rPr>
        <b/>
        <sz val="11"/>
        <color rgb="FFFF0000"/>
        <rFont val="Calibri"/>
        <family val="2"/>
        <scheme val="minor"/>
      </rPr>
      <t>*</t>
    </r>
    <r>
      <rPr>
        <b/>
        <sz val="11"/>
        <rFont val="Calibri"/>
        <family val="2"/>
        <scheme val="minor"/>
      </rPr>
      <t xml:space="preserve">
</t>
    </r>
    <r>
      <rPr>
        <b/>
        <sz val="8"/>
        <rFont val="Calibri"/>
        <family val="2"/>
        <scheme val="minor"/>
      </rPr>
      <t>(leave blank if opened prior to reporting period)</t>
    </r>
  </si>
  <si>
    <r>
      <t xml:space="preserve">Facility 
Close Date </t>
    </r>
    <r>
      <rPr>
        <b/>
        <sz val="11"/>
        <color rgb="FFFF0000"/>
        <rFont val="Calibri"/>
        <family val="2"/>
        <scheme val="minor"/>
      </rPr>
      <t>*</t>
    </r>
    <r>
      <rPr>
        <b/>
        <sz val="11"/>
        <rFont val="Calibri"/>
        <family val="2"/>
        <scheme val="minor"/>
      </rPr>
      <t xml:space="preserve">
</t>
    </r>
    <r>
      <rPr>
        <b/>
        <sz val="8"/>
        <rFont val="Calibri"/>
        <family val="2"/>
        <scheme val="minor"/>
      </rPr>
      <t>(leave blank if still open at end of period)</t>
    </r>
  </si>
  <si>
    <t xml:space="preserve">                                                                                         </t>
  </si>
  <si>
    <t>N/A</t>
  </si>
  <si>
    <r>
      <t xml:space="preserve">As-Filed </t>
    </r>
    <r>
      <rPr>
        <b/>
        <sz val="16"/>
        <color theme="1"/>
        <rFont val="Calibri"/>
        <family val="2"/>
        <scheme val="minor"/>
      </rPr>
      <t>Schedule 1: Expenses</t>
    </r>
  </si>
  <si>
    <r>
      <t xml:space="preserve">As-Filed </t>
    </r>
    <r>
      <rPr>
        <b/>
        <sz val="16"/>
        <color theme="1"/>
        <rFont val="Calibri"/>
        <family val="2"/>
        <scheme val="minor"/>
      </rPr>
      <t>Schedule 1A: Non-Clinical Direct Salary Limit</t>
    </r>
  </si>
  <si>
    <r>
      <t xml:space="preserve">As-Filed </t>
    </r>
    <r>
      <rPr>
        <b/>
        <sz val="16"/>
        <color theme="1"/>
        <rFont val="Calibri"/>
        <family val="2"/>
        <scheme val="minor"/>
      </rPr>
      <t>Schedule 1B: Indirect Cost Allocation Methodology</t>
    </r>
  </si>
  <si>
    <r>
      <t>As-Filed</t>
    </r>
    <r>
      <rPr>
        <b/>
        <sz val="16"/>
        <color theme="1"/>
        <rFont val="Calibri"/>
        <family val="2"/>
        <scheme val="minor"/>
      </rPr>
      <t xml:space="preserve"> Schedule 1C: Less-Than-Arm's-Length (Related Party) Transactions</t>
    </r>
  </si>
  <si>
    <r>
      <t xml:space="preserve">As-Filed </t>
    </r>
    <r>
      <rPr>
        <b/>
        <sz val="16"/>
        <color theme="1"/>
        <rFont val="Calibri"/>
        <family val="2"/>
        <scheme val="minor"/>
      </rPr>
      <t>Schedule 2: Service Groups</t>
    </r>
  </si>
  <si>
    <r>
      <t>As-Filed</t>
    </r>
    <r>
      <rPr>
        <b/>
        <sz val="16"/>
        <color theme="1"/>
        <rFont val="Calibri"/>
        <family val="2"/>
        <scheme val="minor"/>
      </rPr>
      <t xml:space="preserve"> Schedule 2A: Emergency Services</t>
    </r>
  </si>
  <si>
    <r>
      <t xml:space="preserve">As-Filed </t>
    </r>
    <r>
      <rPr>
        <b/>
        <sz val="16"/>
        <color theme="1"/>
        <rFont val="Calibri"/>
        <family val="2"/>
        <scheme val="minor"/>
      </rPr>
      <t>Schedule 2B: Consultative and Educational Services</t>
    </r>
  </si>
  <si>
    <r>
      <t xml:space="preserve">As-Filed </t>
    </r>
    <r>
      <rPr>
        <b/>
        <sz val="16"/>
        <color theme="1"/>
        <rFont val="Calibri"/>
        <family val="2"/>
        <scheme val="minor"/>
      </rPr>
      <t>Schedule 2C: Outpatient Services</t>
    </r>
  </si>
  <si>
    <r>
      <t xml:space="preserve">As-Filed </t>
    </r>
    <r>
      <rPr>
        <b/>
        <sz val="16"/>
        <color theme="1"/>
        <rFont val="Calibri"/>
        <family val="2"/>
        <scheme val="minor"/>
      </rPr>
      <t>Schedule 2D: Partial Hospitalization</t>
    </r>
  </si>
  <si>
    <t>Adjusted Colorado Comprehensive Provider Cost Report</t>
  </si>
  <si>
    <t>Comprehensive Safety Net Providers</t>
  </si>
  <si>
    <t>Provider Name:</t>
  </si>
  <si>
    <t>Colorado Comprehensive Provider Cost Report</t>
  </si>
  <si>
    <t>Client Salaries</t>
  </si>
  <si>
    <r>
      <t xml:space="preserve">PER DIEM INPATIENT SERVICES and RESIDENTIAL SERVICES </t>
    </r>
    <r>
      <rPr>
        <b/>
        <i/>
        <sz val="11"/>
        <rFont val="Calibri"/>
        <family val="2"/>
        <scheme val="minor"/>
      </rPr>
      <t>without</t>
    </r>
    <r>
      <rPr>
        <b/>
        <sz val="11"/>
        <rFont val="Calibri"/>
        <family val="2"/>
        <scheme val="minor"/>
      </rPr>
      <t xml:space="preserve"> RVU WEIGHTS 
(Schedule 3)</t>
    </r>
  </si>
  <si>
    <t>Adjustments
PER DIEM INPATIENT SERVICES and RESIDENTIAL SERVICES without RVU WEIGHTS 
(Schedule 3)</t>
  </si>
  <si>
    <t>Adjusted
PER DIEM INPATIENT SERVICES and RESIDENTIAL SERVICES without RVU WEIGHTS 
(Schedule 3)</t>
  </si>
  <si>
    <r>
      <rPr>
        <b/>
        <sz val="11"/>
        <color rgb="FFFF0000"/>
        <rFont val="Calibri"/>
        <family val="2"/>
        <scheme val="minor"/>
      </rPr>
      <t>Adjusted</t>
    </r>
    <r>
      <rPr>
        <b/>
        <sz val="11"/>
        <rFont val="Calibri"/>
        <family val="2"/>
        <scheme val="minor"/>
      </rPr>
      <t xml:space="preserve">
PER DIEM INPATIENT SERVICES and RESIDENTIAL SERVICES without RVU WEIGHTS 
(Schedule 3)</t>
    </r>
  </si>
  <si>
    <r>
      <rPr>
        <b/>
        <sz val="11"/>
        <color rgb="FFFF0000"/>
        <rFont val="Calibri"/>
        <family val="2"/>
        <scheme val="minor"/>
      </rPr>
      <t>Adjusted</t>
    </r>
    <r>
      <rPr>
        <b/>
        <sz val="11"/>
        <rFont val="Calibri"/>
        <family val="2"/>
        <scheme val="minor"/>
      </rPr>
      <t xml:space="preserve"> 
Provider: 
Related Party 
Expense Recorded</t>
    </r>
  </si>
  <si>
    <t>Provider: 
Related Party 
Expense Recorded</t>
  </si>
  <si>
    <t>Adjustments
Provider: 
Related Party 
Expense Recorded</t>
  </si>
  <si>
    <t>Adjusted
Provider: 
Related Party 
Expense Recorded</t>
  </si>
  <si>
    <r>
      <rPr>
        <b/>
        <sz val="11"/>
        <color rgb="FFFF0000"/>
        <rFont val="Calibri"/>
        <family val="2"/>
        <scheme val="minor"/>
      </rPr>
      <t>Adjusted</t>
    </r>
    <r>
      <rPr>
        <b/>
        <sz val="11"/>
        <rFont val="Calibri"/>
        <family val="2"/>
        <scheme val="minor"/>
      </rPr>
      <t xml:space="preserve">
Unallowable Excess 
Provider Expense Above Related Party 
Actual Cost</t>
    </r>
  </si>
  <si>
    <t>Unallowable Excess 
Provider Expense Above Related Party 
Actual Cost</t>
  </si>
  <si>
    <t>Adjusted
Unallowable Excess 
Provider Expense Above Related Party 
Actual Cost</t>
  </si>
  <si>
    <t>00104</t>
  </si>
  <si>
    <t>Anesthesia for Electroconvulsive Therapy</t>
  </si>
  <si>
    <t>H0046</t>
  </si>
  <si>
    <t xml:space="preserve">Drop-In Center </t>
  </si>
  <si>
    <t>New Comprehensive Safety Net Provider Service Groups</t>
  </si>
  <si>
    <t>Emergency and Crisis Behavioral Health Services</t>
  </si>
  <si>
    <t>Schedule 2E</t>
  </si>
  <si>
    <t>Mental Health and Substance Use Outpatient Services</t>
  </si>
  <si>
    <t>Schedule 2F</t>
  </si>
  <si>
    <t>Behavioral Health High-Intensity Outpatient Services</t>
  </si>
  <si>
    <t>Schedule 2G</t>
  </si>
  <si>
    <t>Care Management</t>
  </si>
  <si>
    <t>Schedule 2H</t>
  </si>
  <si>
    <t>Outreach, Education, and Engagement Services</t>
  </si>
  <si>
    <t>Schedule 2I</t>
  </si>
  <si>
    <t>Mental Health and Substance Use Recovery Supports</t>
  </si>
  <si>
    <t>Schedule 2J</t>
  </si>
  <si>
    <t>Care Coordination</t>
  </si>
  <si>
    <t>Schedule 2K</t>
  </si>
  <si>
    <t>Outpatient Competency Restoration</t>
  </si>
  <si>
    <t>Schedule 2L</t>
  </si>
  <si>
    <t>Screening, Assessment, and Diagnosis, Including Risk Assessment, Crisis Planning, and Monitoring to Key Health Indicator</t>
  </si>
  <si>
    <t>Schedule 2M</t>
  </si>
  <si>
    <t>Are emergency and crisis behavioral health services provided?</t>
  </si>
  <si>
    <t>Total emergency and crisis behavioral health services expense (A + B)</t>
  </si>
  <si>
    <r>
      <t xml:space="preserve">As-Filed </t>
    </r>
    <r>
      <rPr>
        <b/>
        <sz val="16"/>
        <color theme="1"/>
        <rFont val="Calibri"/>
        <family val="2"/>
        <scheme val="minor"/>
      </rPr>
      <t>Schedule 2E: Emergency and Crisis Behavioral Health Services (ONLY for New Comprehensive Safety Net Providers)</t>
    </r>
  </si>
  <si>
    <t>Are mental health and substance use outpatient services provided?</t>
  </si>
  <si>
    <t>Total mental health and substance use outpatient services expense (A + B)</t>
  </si>
  <si>
    <r>
      <t xml:space="preserve">As-Filed </t>
    </r>
    <r>
      <rPr>
        <b/>
        <sz val="16"/>
        <rFont val="Calibri"/>
        <family val="2"/>
        <scheme val="minor"/>
      </rPr>
      <t>Schedule 2F: Mental Health and Substance Use Outpatient Services (ONLY for New Comprehensive Safety Net Providers)</t>
    </r>
  </si>
  <si>
    <t>Are behavioral health high-intensity outpatient services provided?</t>
  </si>
  <si>
    <t>Total behavioral health high-intensity outpatient services expense (A + B)</t>
  </si>
  <si>
    <r>
      <t xml:space="preserve">As-Filed </t>
    </r>
    <r>
      <rPr>
        <b/>
        <sz val="16"/>
        <rFont val="Calibri"/>
        <family val="2"/>
        <scheme val="minor"/>
      </rPr>
      <t>Schedule 2G: Behavioral Health High-Intensity Outpatient Services (ONLY for New Comprehensive Safety Net Providers)</t>
    </r>
  </si>
  <si>
    <t>Are care management services provided?</t>
  </si>
  <si>
    <t>Total care management expense (A + B)</t>
  </si>
  <si>
    <r>
      <t xml:space="preserve">As-Filed </t>
    </r>
    <r>
      <rPr>
        <b/>
        <sz val="16"/>
        <rFont val="Calibri"/>
        <family val="2"/>
        <scheme val="minor"/>
      </rPr>
      <t>Schedule 2H: Care Management (ONLY for New Comprehensive Safety Net Providers)</t>
    </r>
  </si>
  <si>
    <t>Are outreach, education, and engagement services provided?</t>
  </si>
  <si>
    <t>Total outreach, education, and engagement services expense (A + B)</t>
  </si>
  <si>
    <r>
      <t xml:space="preserve">As-Filed </t>
    </r>
    <r>
      <rPr>
        <b/>
        <sz val="16"/>
        <rFont val="Calibri"/>
        <family val="2"/>
        <scheme val="minor"/>
      </rPr>
      <t>Schedule 2I: Outreach, Education, and Engagement Services (ONLY for New Comprehensive Safety Net Providers)</t>
    </r>
  </si>
  <si>
    <t>Are mental health and substance use recovery supports services provided?</t>
  </si>
  <si>
    <t>Total mental health and substance use recovery supports expense (A + B)</t>
  </si>
  <si>
    <r>
      <t xml:space="preserve">As-Filed </t>
    </r>
    <r>
      <rPr>
        <b/>
        <sz val="16"/>
        <rFont val="Calibri"/>
        <family val="2"/>
        <scheme val="minor"/>
      </rPr>
      <t>Schedule 2J: Mental Health and Substance Use Recovery Supports (ONLY for New Comprehensive Safety Net Providers)</t>
    </r>
  </si>
  <si>
    <t>Are care coordination services provided?</t>
  </si>
  <si>
    <t>Total care coordination expense (A + B)</t>
  </si>
  <si>
    <r>
      <t xml:space="preserve">As-Filed </t>
    </r>
    <r>
      <rPr>
        <b/>
        <sz val="16"/>
        <rFont val="Calibri"/>
        <family val="2"/>
        <scheme val="minor"/>
      </rPr>
      <t>Schedule 2K: Care Coordination (ONLY for New Comprehensive Safety Net Providers)</t>
    </r>
  </si>
  <si>
    <t>Are outpatient competency restoration services provided?</t>
  </si>
  <si>
    <t>Total outpatient competency restoration expense (A + B)</t>
  </si>
  <si>
    <r>
      <t xml:space="preserve">As-Filed </t>
    </r>
    <r>
      <rPr>
        <b/>
        <sz val="16"/>
        <rFont val="Calibri"/>
        <family val="2"/>
        <scheme val="minor"/>
      </rPr>
      <t>Schedule 2L: Outpatient Competency Restoration (ONLY for New Comprehensive Safety Net Providers)</t>
    </r>
  </si>
  <si>
    <t>and Monitoring to Key Health Indicator (ONLY for New Comprehensive Safety Net Providers)</t>
  </si>
  <si>
    <t>Are screening, assessment, and diagnosis, including risk assessment, crisis planning, and monitoring to key health indicator services provided?</t>
  </si>
  <si>
    <t>Total screening, assessment, and diagnosis, including risk assessment, crisis planning, and monitoring to key health indicator expense (A + B)</t>
  </si>
  <si>
    <r>
      <t xml:space="preserve">As-Filed </t>
    </r>
    <r>
      <rPr>
        <b/>
        <sz val="16"/>
        <rFont val="Calibri"/>
        <family val="2"/>
        <scheme val="minor"/>
      </rPr>
      <t xml:space="preserve">Schedule 2M: Screening, Assessment, and Diagnosis, Including Risk Assessment, Crisis Planning, </t>
    </r>
  </si>
  <si>
    <t>Previously Established Community Mental Health Center (CMHC) Service Groups</t>
  </si>
  <si>
    <r>
      <t>Adjustments to</t>
    </r>
    <r>
      <rPr>
        <b/>
        <sz val="16"/>
        <rFont val="Calibri"/>
        <family val="2"/>
        <scheme val="minor"/>
      </rPr>
      <t xml:space="preserve"> Schedule 2E: Emergency and Crisis Behavioral Health Services (ONLY for New Comprehensive Safety Net Providers)</t>
    </r>
  </si>
  <si>
    <r>
      <t>Adjustments to</t>
    </r>
    <r>
      <rPr>
        <b/>
        <sz val="16"/>
        <rFont val="Calibri"/>
        <family val="2"/>
        <scheme val="minor"/>
      </rPr>
      <t xml:space="preserve"> Schedule 2F: Mental Health and Substance Use Outpatient Services (ONLY for New Comprehensive Safety Net Providers)</t>
    </r>
  </si>
  <si>
    <r>
      <t>Adjustments to</t>
    </r>
    <r>
      <rPr>
        <b/>
        <sz val="16"/>
        <rFont val="Calibri"/>
        <family val="2"/>
        <scheme val="minor"/>
      </rPr>
      <t xml:space="preserve"> Schedule 2G: Behavioral Health High-Intensity Outpatient Services (ONLY for New Comprehensive Safety Net Providers)</t>
    </r>
  </si>
  <si>
    <r>
      <t>Adjustments to</t>
    </r>
    <r>
      <rPr>
        <b/>
        <sz val="16"/>
        <rFont val="Calibri"/>
        <family val="2"/>
        <scheme val="minor"/>
      </rPr>
      <t xml:space="preserve"> Schedule 2H: Care Management (ONLY for New Comprehensive Safety Net Providers)</t>
    </r>
  </si>
  <si>
    <r>
      <t>Adjustments to</t>
    </r>
    <r>
      <rPr>
        <b/>
        <sz val="16"/>
        <rFont val="Calibri"/>
        <family val="2"/>
        <scheme val="minor"/>
      </rPr>
      <t xml:space="preserve"> Schedule 2I: Outreach, Education, and Engagement Services (ONLY for New Comprehensive Safety Net Providers)</t>
    </r>
  </si>
  <si>
    <r>
      <t>Adjustments to</t>
    </r>
    <r>
      <rPr>
        <b/>
        <sz val="16"/>
        <rFont val="Calibri"/>
        <family val="2"/>
        <scheme val="minor"/>
      </rPr>
      <t xml:space="preserve"> Schedule 2J: Mental Health and Substance Use Recovery Supports (ONLY for New Comprehensive Safety Net Providers)</t>
    </r>
  </si>
  <si>
    <r>
      <t>Adjustments to</t>
    </r>
    <r>
      <rPr>
        <b/>
        <sz val="16"/>
        <rFont val="Calibri"/>
        <family val="2"/>
        <scheme val="minor"/>
      </rPr>
      <t xml:space="preserve"> Schedule 2K: Care Coordination (ONLY for New Comprehensive Safety Net Providers)</t>
    </r>
  </si>
  <si>
    <r>
      <t>Adjustments to</t>
    </r>
    <r>
      <rPr>
        <b/>
        <sz val="16"/>
        <rFont val="Calibri"/>
        <family val="2"/>
        <scheme val="minor"/>
      </rPr>
      <t xml:space="preserve"> Schedule 2L: Outpatient Competency Restoration (ONLY for New Comprehensive Safety Net Providers)</t>
    </r>
  </si>
  <si>
    <r>
      <t>Adjustments to</t>
    </r>
    <r>
      <rPr>
        <b/>
        <sz val="16"/>
        <rFont val="Calibri"/>
        <family val="2"/>
        <scheme val="minor"/>
      </rPr>
      <t xml:space="preserve"> Schedule 2M: Screening, Assessment, and Diagnosis, Including Risk Assessment, Crisis Planning, </t>
    </r>
  </si>
  <si>
    <r>
      <rPr>
        <b/>
        <sz val="16"/>
        <color rgb="FFFF0000"/>
        <rFont val="Calibri"/>
        <family val="2"/>
        <scheme val="minor"/>
      </rPr>
      <t>Adjusted</t>
    </r>
    <r>
      <rPr>
        <b/>
        <sz val="16"/>
        <rFont val="Calibri"/>
        <family val="2"/>
        <scheme val="minor"/>
      </rPr>
      <t xml:space="preserve"> Schedule 2E: Emergency and Crisis Behavioral Health Services (ONLY for New Comprehensive Safety Net Providers)</t>
    </r>
  </si>
  <si>
    <r>
      <rPr>
        <b/>
        <sz val="16"/>
        <color rgb="FFFF0000"/>
        <rFont val="Calibri"/>
        <family val="2"/>
        <scheme val="minor"/>
      </rPr>
      <t>Adjusted</t>
    </r>
    <r>
      <rPr>
        <b/>
        <sz val="16"/>
        <rFont val="Calibri"/>
        <family val="2"/>
        <scheme val="minor"/>
      </rPr>
      <t xml:space="preserve"> Schedule 2F: Mental Health and Substance Use Outpatient Services (ONLY for New Comprehensive Safety Net Providers)</t>
    </r>
  </si>
  <si>
    <r>
      <rPr>
        <b/>
        <sz val="16"/>
        <color rgb="FFFF0000"/>
        <rFont val="Calibri"/>
        <family val="2"/>
        <scheme val="minor"/>
      </rPr>
      <t>Adjusted</t>
    </r>
    <r>
      <rPr>
        <b/>
        <sz val="16"/>
        <rFont val="Calibri"/>
        <family val="2"/>
        <scheme val="minor"/>
      </rPr>
      <t xml:space="preserve"> Schedule 2G: Behavioral Health High-Intensity Outpatient Services (ONLY for New Comprehensive Safety Net Providers)</t>
    </r>
  </si>
  <si>
    <r>
      <rPr>
        <b/>
        <sz val="16"/>
        <color rgb="FFFF0000"/>
        <rFont val="Calibri"/>
        <family val="2"/>
        <scheme val="minor"/>
      </rPr>
      <t>Adjusted</t>
    </r>
    <r>
      <rPr>
        <b/>
        <sz val="16"/>
        <rFont val="Calibri"/>
        <family val="2"/>
        <scheme val="minor"/>
      </rPr>
      <t xml:space="preserve"> Schedule 2H: Care Management (ONLY for New Comprehensive Safety Net Providers)</t>
    </r>
  </si>
  <si>
    <r>
      <rPr>
        <b/>
        <sz val="16"/>
        <color rgb="FFFF0000"/>
        <rFont val="Calibri"/>
        <family val="2"/>
        <scheme val="minor"/>
      </rPr>
      <t>Adjusted</t>
    </r>
    <r>
      <rPr>
        <b/>
        <sz val="16"/>
        <rFont val="Calibri"/>
        <family val="2"/>
        <scheme val="minor"/>
      </rPr>
      <t xml:space="preserve"> Schedule 2I: Outreach, Education, and Engagement Services (ONLY for New Comprehensive Safety Net Providers)</t>
    </r>
  </si>
  <si>
    <r>
      <rPr>
        <b/>
        <sz val="16"/>
        <color rgb="FFFF0000"/>
        <rFont val="Calibri"/>
        <family val="2"/>
        <scheme val="minor"/>
      </rPr>
      <t>Adjusted</t>
    </r>
    <r>
      <rPr>
        <b/>
        <sz val="16"/>
        <rFont val="Calibri"/>
        <family val="2"/>
        <scheme val="minor"/>
      </rPr>
      <t xml:space="preserve"> Schedule 2J: Mental Health and Substance Use Recovery Supports (ONLY for New Comprehensive Safety Net Providers)</t>
    </r>
  </si>
  <si>
    <r>
      <rPr>
        <b/>
        <sz val="16"/>
        <color rgb="FFFF0000"/>
        <rFont val="Calibri"/>
        <family val="2"/>
        <scheme val="minor"/>
      </rPr>
      <t>Adjusted</t>
    </r>
    <r>
      <rPr>
        <b/>
        <sz val="16"/>
        <rFont val="Calibri"/>
        <family val="2"/>
        <scheme val="minor"/>
      </rPr>
      <t xml:space="preserve"> Schedule 2K: Care Coordination (ONLY for New Comprehensive Safety Net Providers)</t>
    </r>
  </si>
  <si>
    <r>
      <rPr>
        <b/>
        <sz val="16"/>
        <color rgb="FFFF0000"/>
        <rFont val="Calibri"/>
        <family val="2"/>
        <scheme val="minor"/>
      </rPr>
      <t>Adjusted</t>
    </r>
    <r>
      <rPr>
        <b/>
        <sz val="16"/>
        <rFont val="Calibri"/>
        <family val="2"/>
        <scheme val="minor"/>
      </rPr>
      <t xml:space="preserve"> Schedule 2L: Outpatient Competency Restoration (ONLY for New Comprehensive Safety Net Providers)</t>
    </r>
  </si>
  <si>
    <r>
      <rPr>
        <b/>
        <sz val="16"/>
        <color rgb="FFFF0000"/>
        <rFont val="Calibri"/>
        <family val="2"/>
        <scheme val="minor"/>
      </rPr>
      <t>Adjusted</t>
    </r>
    <r>
      <rPr>
        <b/>
        <sz val="16"/>
        <rFont val="Calibri"/>
        <family val="2"/>
        <scheme val="minor"/>
      </rPr>
      <t xml:space="preserve"> Schedule 2M: Screening, Assessment, and Diagnosis, Including Risk Assessment, Crisis Planning, </t>
    </r>
  </si>
  <si>
    <t xml:space="preserve">Total costs from Column 3 on Schedule 1 </t>
  </si>
  <si>
    <t xml:space="preserve">Total encounters </t>
  </si>
  <si>
    <t>Less: Encounter-based Essential services expense</t>
  </si>
  <si>
    <t xml:space="preserve">Total allowable costs for PPS rate </t>
  </si>
  <si>
    <t xml:space="preserve">PPS RATE </t>
  </si>
  <si>
    <r>
      <rPr>
        <sz val="11"/>
        <color rgb="FFFF0000"/>
        <rFont val="Calibri"/>
        <family val="2"/>
        <scheme val="minor"/>
      </rPr>
      <t xml:space="preserve">Adjusted </t>
    </r>
    <r>
      <rPr>
        <sz val="11"/>
        <rFont val="Calibri"/>
        <family val="2"/>
        <scheme val="minor"/>
      </rPr>
      <t xml:space="preserve">Total costs from Column 3 on Schedule 1 </t>
    </r>
  </si>
  <si>
    <r>
      <rPr>
        <sz val="11"/>
        <color rgb="FFFF0000"/>
        <rFont val="Calibri"/>
        <family val="2"/>
        <scheme val="minor"/>
      </rPr>
      <t>Adjusted</t>
    </r>
    <r>
      <rPr>
        <sz val="11"/>
        <rFont val="Calibri"/>
        <family val="2"/>
        <scheme val="minor"/>
      </rPr>
      <t xml:space="preserve"> Less: Encounter-based Essential services expense</t>
    </r>
  </si>
  <si>
    <r>
      <rPr>
        <b/>
        <sz val="11"/>
        <color rgb="FFFF0000"/>
        <rFont val="Calibri"/>
        <family val="2"/>
        <scheme val="minor"/>
      </rPr>
      <t xml:space="preserve">Adjusted </t>
    </r>
    <r>
      <rPr>
        <b/>
        <sz val="11"/>
        <rFont val="Calibri"/>
        <family val="2"/>
        <scheme val="minor"/>
      </rPr>
      <t xml:space="preserve">Total allowable costs for PPS rate </t>
    </r>
  </si>
  <si>
    <r>
      <rPr>
        <sz val="11"/>
        <color rgb="FFFF0000"/>
        <rFont val="Calibri"/>
        <family val="2"/>
        <scheme val="minor"/>
      </rPr>
      <t>Adjusted</t>
    </r>
    <r>
      <rPr>
        <sz val="11"/>
        <rFont val="Calibri"/>
        <family val="2"/>
        <scheme val="minor"/>
      </rPr>
      <t xml:space="preserve"> Total encounters </t>
    </r>
  </si>
  <si>
    <r>
      <rPr>
        <b/>
        <sz val="14"/>
        <color rgb="FFFF0000"/>
        <rFont val="Calibri"/>
        <family val="2"/>
        <scheme val="minor"/>
      </rPr>
      <t>Adjusted</t>
    </r>
    <r>
      <rPr>
        <b/>
        <sz val="14"/>
        <rFont val="Calibri"/>
        <family val="2"/>
        <scheme val="minor"/>
      </rPr>
      <t xml:space="preserve"> PPS RATE </t>
    </r>
  </si>
  <si>
    <t>Schedule 5: Revenues</t>
  </si>
  <si>
    <t>REVENUES</t>
  </si>
  <si>
    <t>AMOUNT</t>
  </si>
  <si>
    <t>CLIENT SERVICE</t>
  </si>
  <si>
    <t>Medicaid - Regional Accountable Entities</t>
  </si>
  <si>
    <t>Medicaid Fee for Service</t>
  </si>
  <si>
    <t>Medicare</t>
  </si>
  <si>
    <t>Commercial Insurance</t>
  </si>
  <si>
    <t>Client Fees</t>
  </si>
  <si>
    <t>Non-Governmental Grants and Contracts</t>
  </si>
  <si>
    <t>Other Contracts</t>
  </si>
  <si>
    <t>Client Service Total</t>
  </si>
  <si>
    <t>GOVERNMENT</t>
  </si>
  <si>
    <t>Federal Grants and Contracts</t>
  </si>
  <si>
    <t>Behavioral Health Administration - Direct</t>
  </si>
  <si>
    <t>Behavioral Health Administration - Indirect</t>
  </si>
  <si>
    <t>Local Grants and Contracts</t>
  </si>
  <si>
    <t>Other Government Grants and Contracts</t>
  </si>
  <si>
    <t>Government Total</t>
  </si>
  <si>
    <t>PUBLIC SUPPORT</t>
  </si>
  <si>
    <t>Donated Services</t>
  </si>
  <si>
    <t>Donated Hospital</t>
  </si>
  <si>
    <t>Donated Medications</t>
  </si>
  <si>
    <t>Donated Building Space</t>
  </si>
  <si>
    <t>Other Donations Received</t>
  </si>
  <si>
    <t>Public Support Total</t>
  </si>
  <si>
    <t>OTHER INCOME</t>
  </si>
  <si>
    <t>Management Fees</t>
  </si>
  <si>
    <t>Other</t>
  </si>
  <si>
    <t>Other Income Total</t>
  </si>
  <si>
    <t>TOTAL REVENUE</t>
  </si>
  <si>
    <t>Total Revenue per Audited Financial Statements</t>
  </si>
  <si>
    <r>
      <rPr>
        <b/>
        <sz val="16"/>
        <color rgb="FF0000FF"/>
        <rFont val="Calibri"/>
        <family val="2"/>
        <scheme val="minor"/>
      </rPr>
      <t xml:space="preserve">As-Filed </t>
    </r>
    <r>
      <rPr>
        <b/>
        <sz val="16"/>
        <rFont val="Calibri"/>
        <family val="2"/>
        <scheme val="minor"/>
      </rPr>
      <t>Schedule 5: Revenues</t>
    </r>
  </si>
  <si>
    <t>Adjustments - AMOUNT</t>
  </si>
  <si>
    <t>Adjusted - AMOUNT</t>
  </si>
  <si>
    <r>
      <rPr>
        <b/>
        <sz val="16"/>
        <color rgb="FFFF0000"/>
        <rFont val="Calibri"/>
        <family val="2"/>
        <scheme val="minor"/>
      </rPr>
      <t>Adjusted</t>
    </r>
    <r>
      <rPr>
        <b/>
        <sz val="16"/>
        <rFont val="Calibri"/>
        <family val="2"/>
        <scheme val="minor"/>
      </rPr>
      <t xml:space="preserve"> Schedule 5: Revenues</t>
    </r>
  </si>
  <si>
    <r>
      <t xml:space="preserve">Adjusted - </t>
    </r>
    <r>
      <rPr>
        <b/>
        <sz val="11"/>
        <rFont val="Calibri"/>
        <family val="2"/>
        <scheme val="minor"/>
      </rPr>
      <t>AMOUNT</t>
    </r>
  </si>
  <si>
    <r>
      <t xml:space="preserve">The current year direct salary limit must be input into cell E8 on the </t>
    </r>
    <r>
      <rPr>
        <b/>
        <sz val="11"/>
        <rFont val="Calibri"/>
        <family val="2"/>
        <scheme val="minor"/>
      </rPr>
      <t>Schedule 1A Adjustments</t>
    </r>
    <r>
      <rPr>
        <sz val="11"/>
        <color theme="1"/>
        <rFont val="Calibri"/>
        <family val="2"/>
        <scheme val="minor"/>
      </rPr>
      <t xml:space="preserve"> tab. The limit for the </t>
    </r>
    <r>
      <rPr>
        <sz val="11"/>
        <color rgb="FFFF0000"/>
        <rFont val="Calibri"/>
        <family val="2"/>
        <scheme val="minor"/>
      </rPr>
      <t>2024</t>
    </r>
    <r>
      <rPr>
        <sz val="11"/>
        <color theme="1"/>
        <rFont val="Calibri"/>
        <family val="2"/>
        <scheme val="minor"/>
      </rPr>
      <t xml:space="preserve"> cost report period is </t>
    </r>
    <r>
      <rPr>
        <sz val="11"/>
        <color rgb="FFFF0000"/>
        <rFont val="Calibri"/>
        <family val="2"/>
        <scheme val="minor"/>
      </rPr>
      <t>$332,850.</t>
    </r>
  </si>
  <si>
    <t xml:space="preserve">Schedule 2M - Total Screening, Assessment, and Diagnosis, Including Risk Assessment, Crisis Planning, and Monitoring to Key Health Indicator Expense </t>
  </si>
  <si>
    <t>Schedule 2L - Total Outpatient Competency Restoration Expense</t>
  </si>
  <si>
    <t>Schedule 2K - Total Care Coordination Expense</t>
  </si>
  <si>
    <t>Schedule 2J - Total Mental Health and Substance Use Recovery Supports Expense</t>
  </si>
  <si>
    <t>Schedule 2I - Total Outreach, Education, and Engagement Services Expense</t>
  </si>
  <si>
    <t>Schedule 2H - Total Care Management Expense</t>
  </si>
  <si>
    <t>Schedule 2G - Total Behavioral Health High-Intensity Outpatient Services Expense</t>
  </si>
  <si>
    <t>Schedule 2F - Total Mental Health and Substance Use Outpatient Services Expense</t>
  </si>
  <si>
    <t>Schedule 2E - Total Emergency and Crisis Behavioral Health Services Expense</t>
  </si>
  <si>
    <r>
      <t xml:space="preserve">If the response to the Section 1 question at the top of these tabs was answered incorrectly by the provider, it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2A/B/C/D/E/F/G/H/I/J/K/L/M Adjustments</t>
    </r>
    <r>
      <rPr>
        <sz val="11"/>
        <color theme="1"/>
        <rFont val="Calibri"/>
        <family val="2"/>
        <scheme val="minor"/>
      </rPr>
      <t xml:space="preserve"> tabs. Make the corrected value </t>
    </r>
    <r>
      <rPr>
        <b/>
        <sz val="11"/>
        <color rgb="FFFF0000"/>
        <rFont val="Calibri"/>
        <family val="2"/>
        <scheme val="minor"/>
      </rPr>
      <t xml:space="preserve">bold red </t>
    </r>
    <r>
      <rPr>
        <sz val="11"/>
        <color theme="1"/>
        <rFont val="Calibri"/>
        <family val="2"/>
        <scheme val="minor"/>
      </rPr>
      <t>on that tab, so that it's evident we revised the answer.</t>
    </r>
  </si>
  <si>
    <r>
      <t xml:space="preserve">If the programs listed on these tabs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2A/B/C/D/E/F/G/H/I/J/K/L/M Adjustments</t>
    </r>
    <r>
      <rPr>
        <sz val="11"/>
        <color theme="1"/>
        <rFont val="Calibri"/>
        <family val="2"/>
        <scheme val="minor"/>
      </rPr>
      <t xml:space="preserve"> tabs. Make the corrected value </t>
    </r>
    <r>
      <rPr>
        <b/>
        <sz val="11"/>
        <color rgb="FFFF0000"/>
        <rFont val="Calibri"/>
        <family val="2"/>
        <scheme val="minor"/>
      </rPr>
      <t xml:space="preserve">bold red </t>
    </r>
    <r>
      <rPr>
        <sz val="11"/>
        <color theme="1"/>
        <rFont val="Calibri"/>
        <family val="2"/>
        <scheme val="minor"/>
      </rPr>
      <t>on that tab, so that it's evident we revised the description.</t>
    </r>
  </si>
  <si>
    <r>
      <t>The "Show all Tabs" button may be used by MSLC or the provider to unhide all sheets in this workbook and hide this</t>
    </r>
    <r>
      <rPr>
        <b/>
        <sz val="11"/>
        <color theme="1"/>
        <rFont val="Calibri"/>
        <family val="2"/>
        <scheme val="minor"/>
      </rPr>
      <t xml:space="preserve"> Instructions</t>
    </r>
    <r>
      <rPr>
        <sz val="11"/>
        <color theme="1"/>
        <rFont val="Calibri"/>
        <family val="2"/>
        <scheme val="minor"/>
      </rPr>
      <t xml:space="preserve"> tab. (Note: This tab can be unhidden at any time thereafter, if needed.)</t>
    </r>
  </si>
  <si>
    <r>
      <t xml:space="preserve">The "Hide Schedules 2E/F/G/H/I/J/K/L/M" button may be used by MSLC or the provider to hide all sheets in this workpaper associated with </t>
    </r>
    <r>
      <rPr>
        <b/>
        <sz val="11"/>
        <color theme="1"/>
        <rFont val="Calibri"/>
        <family val="2"/>
        <scheme val="minor"/>
      </rPr>
      <t xml:space="preserve">Schedules 2E/F/G/H/I/J/K/L/M </t>
    </r>
    <r>
      <rPr>
        <sz val="11"/>
        <color theme="1"/>
        <rFont val="Calibri"/>
        <family val="2"/>
        <scheme val="minor"/>
      </rPr>
      <t xml:space="preserve">and hides this </t>
    </r>
    <r>
      <rPr>
        <b/>
        <sz val="11"/>
        <color theme="1"/>
        <rFont val="Calibri"/>
        <family val="2"/>
        <scheme val="minor"/>
      </rPr>
      <t>Instructions</t>
    </r>
    <r>
      <rPr>
        <sz val="11"/>
        <color theme="1"/>
        <rFont val="Calibri"/>
        <family val="2"/>
        <scheme val="minor"/>
      </rPr>
      <t xml:space="preserve"> tab. (Note: These tabs can be unhidden at any time thereafter, if needed.)
</t>
    </r>
  </si>
  <si>
    <t>PPS Rate Calculation</t>
  </si>
  <si>
    <r>
      <rPr>
        <b/>
        <sz val="11"/>
        <rFont val="Calibri"/>
        <family val="2"/>
        <scheme val="minor"/>
      </rPr>
      <t xml:space="preserve">B: </t>
    </r>
    <r>
      <rPr>
        <sz val="11"/>
        <rFont val="Calibri"/>
        <family val="2"/>
        <scheme val="minor"/>
      </rPr>
      <t>Schedule 4 - Encounter-based Essential services expense</t>
    </r>
  </si>
  <si>
    <r>
      <rPr>
        <b/>
        <sz val="11"/>
        <color theme="1"/>
        <rFont val="Calibri"/>
        <family val="2"/>
        <scheme val="minor"/>
      </rPr>
      <t xml:space="preserve">C: </t>
    </r>
    <r>
      <rPr>
        <sz val="11"/>
        <color theme="1"/>
        <rFont val="Calibri"/>
        <family val="2"/>
        <scheme val="minor"/>
      </rPr>
      <t>Schedule 4 - Total Encounters</t>
    </r>
  </si>
  <si>
    <t>Schedule 4 - PPS Rate Calculation (A-B)/C</t>
  </si>
  <si>
    <t>Identify all transactions that are less-than-arms-length (reference the definition below). The provider must identify the nature, amount, account number(s) and/or Program(s) associated with the related party expense. In addition, the vendor/individual name should be included. Multiple types of expenses paid to the same related entity can be combined into a single line below as long as they are reported in the same column on Schedule 1.</t>
  </si>
  <si>
    <t>According to the Behavioral Health Accounting and Auditing Guidelines (A&amp;A Guidelines) for the fiscal year, a less-than-arm's-length transaction is one under which one party to the transaction is able to control or substantially influence the actions of the other. Examples of less-than-arm’s-length transactions include leases, management agreements, or administrative service agreements between a parent and subsidiary or commonly-owned subsidiaries. Related entities are generally those that share common ownership or control with the provider. Expenses paid to related entities are allowable on Schedule 1 of the cost report to the extent that the expense incurred by the provider is not greater than the actual cost incurred by the related organization to provide the supplies/services to the provider. Excess expense above actual cost is reported as unallowable on Schedule 1, and is not included in calculation of the Base Unit Cost.</t>
  </si>
  <si>
    <r>
      <rPr>
        <b/>
        <sz val="16"/>
        <color rgb="FFFF0000"/>
        <rFont val="Calibri"/>
        <family val="2"/>
        <scheme val="minor"/>
      </rPr>
      <t>Adjusted</t>
    </r>
    <r>
      <rPr>
        <b/>
        <sz val="16"/>
        <rFont val="Calibri"/>
        <family val="2"/>
        <scheme val="minor"/>
      </rPr>
      <t xml:space="preserve"> Schedule 3: Per Diem Inpatient and Residential Services</t>
    </r>
  </si>
  <si>
    <r>
      <t>As-Filed</t>
    </r>
    <r>
      <rPr>
        <b/>
        <sz val="16"/>
        <color theme="1"/>
        <rFont val="Calibri"/>
        <family val="2"/>
        <scheme val="minor"/>
      </rPr>
      <t xml:space="preserve"> Schedule 3: Per Diem Inpatient and Residential Services</t>
    </r>
  </si>
  <si>
    <t>SCHEDULE 5</t>
  </si>
  <si>
    <t>Schedule 4 - Total Encounters</t>
  </si>
  <si>
    <r>
      <rPr>
        <b/>
        <sz val="16"/>
        <color rgb="FFFF0000"/>
        <rFont val="Calibri"/>
        <family val="2"/>
        <scheme val="minor"/>
      </rPr>
      <t>Adjusted</t>
    </r>
    <r>
      <rPr>
        <b/>
        <sz val="16"/>
        <rFont val="Calibri"/>
        <family val="2"/>
        <scheme val="minor"/>
      </rPr>
      <t xml:space="preserve"> Schedule 4: Base Unit Cost and PPS Rate Calculation</t>
    </r>
  </si>
  <si>
    <r>
      <t xml:space="preserve">As-Filed </t>
    </r>
    <r>
      <rPr>
        <b/>
        <sz val="16"/>
        <color theme="1"/>
        <rFont val="Calibri"/>
        <family val="2"/>
        <scheme val="minor"/>
      </rPr>
      <t>Schedule 4: Base Unit Cost and PPS Rate Calculation</t>
    </r>
  </si>
  <si>
    <r>
      <t xml:space="preserve">Adjustments to </t>
    </r>
    <r>
      <rPr>
        <b/>
        <sz val="16"/>
        <rFont val="Calibri"/>
        <family val="2"/>
        <scheme val="minor"/>
      </rPr>
      <t>Schedule 3: Per Diem Inpatient and Residential Services</t>
    </r>
  </si>
  <si>
    <r>
      <t xml:space="preserve">Adjustments to </t>
    </r>
    <r>
      <rPr>
        <b/>
        <sz val="16"/>
        <rFont val="Calibri"/>
        <family val="2"/>
        <scheme val="minor"/>
      </rPr>
      <t>Schedule 4: Base Unit Cost and PPS Rate Calculation</t>
    </r>
  </si>
  <si>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1A Adjustments</t>
    </r>
    <r>
      <rPr>
        <sz val="11"/>
        <color theme="1"/>
        <rFont val="Calibri"/>
        <family val="2"/>
        <scheme val="minor"/>
      </rPr>
      <t xml:space="preserve"> tab: job title in column 1, Schedule 1 Column identified in column 2, Number of Months in Role identified in column 3, or Non-Clinical Role FTE in column 4. Make the corrected value </t>
    </r>
    <r>
      <rPr>
        <b/>
        <sz val="11"/>
        <color rgb="FFFF0000"/>
        <rFont val="Calibri"/>
        <family val="2"/>
        <scheme val="minor"/>
      </rPr>
      <t>bold red</t>
    </r>
    <r>
      <rPr>
        <sz val="11"/>
        <color theme="1"/>
        <rFont val="Calibri"/>
        <family val="2"/>
        <scheme val="minor"/>
      </rPr>
      <t xml:space="preserve"> on that tab, so it's evident we revised the value.</t>
    </r>
  </si>
  <si>
    <t>AllHealth Network</t>
  </si>
  <si>
    <t>None.</t>
  </si>
  <si>
    <t>Properly Report H0023 - HT Units on Schedule 4</t>
  </si>
  <si>
    <t>Properly Report T1017 Units on Schedule 4</t>
  </si>
  <si>
    <t>Properly Report Total Encounters on Schedule 4</t>
  </si>
  <si>
    <t>Properly Allocate Indirect Cost to Schedule 3</t>
  </si>
  <si>
    <t>Properly Report Audit Adjustments</t>
  </si>
  <si>
    <t>Reclassify Fundraising Expense to Column 6</t>
  </si>
  <si>
    <t>200.1a</t>
  </si>
  <si>
    <t>Reclassify Unallowable Advertising and Public Relations Expense to Column 6</t>
  </si>
  <si>
    <t>Reclassify Laboratory and Pharmacy Expense to Proper Column</t>
  </si>
  <si>
    <t>200.2a.1</t>
  </si>
  <si>
    <t>Properly Allocate Program 8110 Expense to Column 5</t>
  </si>
  <si>
    <t>Properly Allocate Program 3025 Expense to Column 5</t>
  </si>
  <si>
    <t>Properly Allocate Program 5100 Expense to Column 5</t>
  </si>
  <si>
    <t>Reclassify Program 2117 Expense to Column 3</t>
  </si>
  <si>
    <t>Reclassify Program 9755 to Column 5</t>
  </si>
  <si>
    <t>Reclassify Program 4050 Expense to Column 5</t>
  </si>
  <si>
    <t>Reclassify Bonus Expenses to Proper Lines on Schedule 1</t>
  </si>
  <si>
    <t>200.2b</t>
  </si>
  <si>
    <t>Reclassify Computer Equipment Expense to Proper Line on Schedule 1</t>
  </si>
  <si>
    <t>Reclassify Utilities Expense to Proper Line on Schedule 1</t>
  </si>
  <si>
    <t>Reclassify Medications Expense to Proper Line on Schedule 1</t>
  </si>
  <si>
    <t>Reclassify Legal Expense to Proper Line on Schedule 1</t>
  </si>
  <si>
    <t>Reclassify Program 80 to Column 5</t>
  </si>
  <si>
    <t>Properly Report Indirect Expense</t>
  </si>
  <si>
    <t>Remove Duplicate Program 57, Briarwood Expense From Schedule 2C</t>
  </si>
  <si>
    <t>2C</t>
  </si>
  <si>
    <t>Reclassify Program 2115, Early Childhood Consultati Program to Schedule 2B</t>
  </si>
  <si>
    <t>2B</t>
  </si>
  <si>
    <t>Add Program 1421, Intensive Case Management Expense to Schedule 2C</t>
  </si>
  <si>
    <t>Add Program 4060, HSD Care Team Expense to Schedule 2C</t>
  </si>
  <si>
    <t>Add Program 1451, Wellness Court Expense to Schedule 2C</t>
  </si>
  <si>
    <t>Add Program 1430, Foote to Schedule 2C</t>
  </si>
  <si>
    <t>Add Program 90, Shiloh House to Schedule 2C</t>
  </si>
  <si>
    <t>Remove Unallowable Expense from the Schedule 2 Series</t>
  </si>
  <si>
    <t>Properly Report Schedule 1 Adjustments on Schedule 2 Series</t>
  </si>
  <si>
    <t>2A</t>
  </si>
  <si>
    <t xml:space="preserve"> $                                     -  </t>
  </si>
  <si>
    <t>Chief Executive Officer</t>
  </si>
  <si>
    <t>Chief Business Officer</t>
  </si>
  <si>
    <t>Allocated Business Units to the functional columns defined on Schedule 1 of the Colorado Unit Cost Report</t>
  </si>
  <si>
    <t>CRP (Co-Responder Program)</t>
  </si>
  <si>
    <t>Crisis Response Team</t>
  </si>
  <si>
    <t xml:space="preserve"> $                                 -  </t>
  </si>
  <si>
    <t>Yes</t>
  </si>
  <si>
    <t>STEM-Ctr for Strength-AEAP</t>
  </si>
  <si>
    <t xml:space="preserve"> $                                -  </t>
  </si>
  <si>
    <t xml:space="preserve"> Briarwood - SUD Outpatient</t>
  </si>
  <si>
    <t>JBBS</t>
  </si>
  <si>
    <t>Parker - Crown Point</t>
  </si>
  <si>
    <t>PSR</t>
  </si>
  <si>
    <t>Southwood</t>
  </si>
  <si>
    <t>FACT</t>
  </si>
  <si>
    <t>Ascent Step Down/FEP</t>
  </si>
  <si>
    <t>Ascent (FEP)</t>
  </si>
  <si>
    <t>Assertive Community Trtmt</t>
  </si>
  <si>
    <t>Berry</t>
  </si>
  <si>
    <t>Briarwood</t>
  </si>
  <si>
    <t>Case Management</t>
  </si>
  <si>
    <t>Castle Rock - Briscoe</t>
  </si>
  <si>
    <t>Castle Rock - Perry</t>
  </si>
  <si>
    <t>Castle Rock Counseling</t>
  </si>
  <si>
    <t>Center Point</t>
  </si>
  <si>
    <t>Certifications</t>
  </si>
  <si>
    <t>Child &amp; Family Case Mgmt Team</t>
  </si>
  <si>
    <t>Clinical Assessment Team</t>
  </si>
  <si>
    <t>Highlands Ranch</t>
  </si>
  <si>
    <t>Highlands Ranch Counsel.</t>
  </si>
  <si>
    <t>Inverness</t>
  </si>
  <si>
    <t>Inverness Counseling</t>
  </si>
  <si>
    <t>IPS Vocational Services</t>
  </si>
  <si>
    <t>MAT</t>
  </si>
  <si>
    <t>Mobile Response Unit (MRU)</t>
  </si>
  <si>
    <t>Parker - Dransfeldt</t>
  </si>
  <si>
    <t>Parker Counseling</t>
  </si>
  <si>
    <t>Psychiatric Services</t>
  </si>
  <si>
    <t>Resiliency Program</t>
  </si>
  <si>
    <t>School Based Mental Health</t>
  </si>
  <si>
    <t>SU IOP</t>
  </si>
  <si>
    <t>Sycamore</t>
  </si>
  <si>
    <t>Sycamore Counseling</t>
  </si>
  <si>
    <t>Wellness Center</t>
  </si>
  <si>
    <t>Early Childhood Consultati</t>
  </si>
  <si>
    <t>Bridges</t>
  </si>
  <si>
    <t>Early Childhood</t>
  </si>
  <si>
    <t>Nursing Services</t>
  </si>
  <si>
    <t>Pharmacy Sycamore</t>
  </si>
  <si>
    <t>Community Support and Engagement</t>
  </si>
  <si>
    <t>PATH Outreach Team</t>
  </si>
  <si>
    <t>D - IOP</t>
  </si>
  <si>
    <t>Recovery Cooperative</t>
  </si>
  <si>
    <t xml:space="preserve">                   -  </t>
  </si>
  <si>
    <t xml:space="preserve">                     -  </t>
  </si>
  <si>
    <t xml:space="preserve"> $                                                    -  </t>
  </si>
  <si>
    <t>Calculated the total Sum of FTE for each functional column</t>
  </si>
  <si>
    <t>Calculated the percentage distribution for columns 3-6</t>
  </si>
  <si>
    <t>Allocated the indirect costs to columns 3-6 by the percentage distribution calcuated in Step 3.</t>
  </si>
  <si>
    <t>Disaster Response</t>
  </si>
  <si>
    <t>Assessment Center, LLC</t>
  </si>
  <si>
    <t>Intensive Case Management</t>
  </si>
  <si>
    <t>HSD Care Team</t>
  </si>
  <si>
    <t>Wellness Court</t>
  </si>
  <si>
    <t>Foote</t>
  </si>
  <si>
    <t>Shiloh House</t>
  </si>
  <si>
    <t>Set Cost Report Equal to Audited Financials</t>
  </si>
  <si>
    <t>Human Resources - Meds/Labs Adjustment</t>
  </si>
  <si>
    <t>Bridge House &amp; Santa Fe House</t>
  </si>
  <si>
    <t>No</t>
  </si>
  <si>
    <t>100.1, 400.2</t>
  </si>
  <si>
    <t>200.2a.1, 400.2</t>
  </si>
  <si>
    <t>200.9, 400.2</t>
  </si>
  <si>
    <t>200.6, 400.2</t>
  </si>
  <si>
    <t>200.5, 400.2</t>
  </si>
  <si>
    <t>300.1, 400.2</t>
  </si>
  <si>
    <t>Early Childhood Consultation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</si>
</sst>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_(* #,##0_);_(* \(#,##0\);_(* &quot;-&quot;??_);_(@_)"/>
    <numFmt numFmtId="166" formatCode="_(&quot;$&quot;* #,##0_);_(&quot;$&quot;* \(#,##0\);_(&quot;$&quot;* &quot;-&quot;??_);_(@_)"/>
    <numFmt numFmtId="167" formatCode="0.0%"/>
    <numFmt numFmtId="168" formatCode="mm/dd/yy;@"/>
    <numFmt numFmtId="169" formatCode="0.0_);\(0.0\)"/>
    <numFmt numFmtId="170" formatCode="m/d/yyyy;;;"/>
    <numFmt numFmtId="171" formatCode="#,##0_);\(#,##0\);;"/>
    <numFmt numFmtId="172" formatCode="General;;"/>
    <numFmt numFmtId="173" formatCode="00000;;;"/>
    <numFmt numFmtId="174" formatCode="#,##0;;;"/>
    <numFmt numFmtId="175" formatCode="00000;;"/>
    <numFmt numFmtId="176" formatCode="_(* #,##0.00_);_(* \(\ #,##0.00\ \);_(* &quot;-&quot;??_);_(\ @_ \)"/>
    <numFmt numFmtId="177" formatCode="_(\ #,##0_);_(\ \(#,##0\);_(\ &quot;-&quot;_)"/>
    <numFmt numFmtId="178" formatCode="#,###,##0.00;\(#,###,##0.00\)"/>
    <numFmt numFmtId="179" formatCode="&quot;$&quot;#,###,##0;\(&quot;$&quot;#,###,##0\)"/>
    <numFmt numFmtId="180" formatCode="#,##0.00%;\(#,##0.00%\)"/>
    <numFmt numFmtId="181" formatCode="&quot;$&quot;#,##0\ ;\(&quot;$&quot;#,##0\)"/>
    <numFmt numFmtId="182" formatCode="#,###,##0;\(#,###,##0\)"/>
  </numFmts>
  <fonts count="14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20"/>
      <color theme="1"/>
      <name val="Calibri"/>
      <family val="2"/>
      <scheme val="minor"/>
    </font>
    <font>
      <b/>
      <u/>
      <sz val="14"/>
      <color theme="1"/>
      <name val="Calibri"/>
      <family val="2"/>
      <scheme val="minor"/>
    </font>
    <font>
      <b/>
      <sz val="16"/>
      <color rgb="FF0033CC"/>
      <name val="Calibri"/>
      <family val="2"/>
      <scheme val="minor"/>
    </font>
    <font>
      <b/>
      <sz val="11"/>
      <color rgb="FFFF0000"/>
      <name val="Calibri"/>
      <family val="2"/>
      <scheme val="minor"/>
    </font>
    <font>
      <b/>
      <i/>
      <sz val="9"/>
      <color rgb="FFFF0000"/>
      <name val="Calibri"/>
      <family val="2"/>
      <scheme val="minor"/>
    </font>
    <font>
      <i/>
      <sz val="11"/>
      <color theme="1"/>
      <name val="Calibri"/>
      <family val="2"/>
      <scheme val="minor"/>
    </font>
    <font>
      <b/>
      <i/>
      <sz val="10"/>
      <color rgb="FFFF0000"/>
      <name val="Calibri"/>
      <family val="2"/>
      <scheme val="minor"/>
    </font>
    <font>
      <sz val="11"/>
      <color rgb="FF7030A0"/>
      <name val="Calibri"/>
      <family val="2"/>
      <scheme val="minor"/>
    </font>
    <font>
      <b/>
      <i/>
      <sz val="10"/>
      <name val="Calibri"/>
      <family val="2"/>
      <scheme val="minor"/>
    </font>
    <font>
      <b/>
      <u/>
      <sz val="11"/>
      <color theme="1"/>
      <name val="Calibri"/>
      <family val="2"/>
      <scheme val="minor"/>
    </font>
    <font>
      <b/>
      <sz val="16"/>
      <color rgb="FFFF0000"/>
      <name val="Calibri"/>
      <family val="2"/>
      <scheme val="minor"/>
    </font>
    <font>
      <sz val="9"/>
      <color theme="1"/>
      <name val="Calibri"/>
      <family val="2"/>
      <scheme val="minor"/>
    </font>
    <font>
      <u/>
      <sz val="11"/>
      <color rgb="FFFF0000"/>
      <name val="Calibri"/>
      <family val="2"/>
      <scheme val="minor"/>
    </font>
    <font>
      <sz val="12"/>
      <color theme="1"/>
      <name val="Calibri"/>
      <family val="2"/>
      <scheme val="minor"/>
    </font>
    <font>
      <b/>
      <sz val="12"/>
      <color theme="1"/>
      <name val="Calibri"/>
      <family val="2"/>
      <scheme val="minor"/>
    </font>
    <font>
      <sz val="10"/>
      <color theme="1"/>
      <name val="Arial"/>
      <family val="2"/>
    </font>
    <font>
      <sz val="11"/>
      <color theme="1"/>
      <name val="Arial"/>
      <family val="2"/>
    </font>
    <font>
      <b/>
      <i/>
      <sz val="12"/>
      <name val="Calibri"/>
      <family val="2"/>
      <scheme val="minor"/>
    </font>
    <font>
      <b/>
      <i/>
      <sz val="10"/>
      <color theme="1"/>
      <name val="Arial"/>
      <family val="2"/>
    </font>
    <font>
      <i/>
      <sz val="8"/>
      <color theme="1"/>
      <name val="Calibri"/>
      <family val="2"/>
      <scheme val="minor"/>
    </font>
    <font>
      <sz val="11"/>
      <name val="Calibri"/>
      <family val="2"/>
      <scheme val="minor"/>
    </font>
    <font>
      <b/>
      <sz val="11"/>
      <name val="Calibri"/>
      <family val="2"/>
      <scheme val="minor"/>
    </font>
    <font>
      <b/>
      <u/>
      <sz val="11"/>
      <color rgb="FFFF0000"/>
      <name val="Calibri"/>
      <family val="2"/>
      <scheme val="minor"/>
    </font>
    <font>
      <sz val="12"/>
      <color rgb="FFFF0000"/>
      <name val="Calibri"/>
      <family val="2"/>
      <scheme val="minor"/>
    </font>
    <font>
      <sz val="11"/>
      <color rgb="FFFF0000"/>
      <name val="Arial"/>
      <family val="2"/>
    </font>
    <font>
      <i/>
      <sz val="11"/>
      <name val="Calibri"/>
      <family val="2"/>
      <scheme val="minor"/>
    </font>
    <font>
      <b/>
      <i/>
      <sz val="11"/>
      <name val="Calibri"/>
      <family val="2"/>
      <scheme val="minor"/>
    </font>
    <font>
      <b/>
      <sz val="12"/>
      <name val="Calibri"/>
      <family val="2"/>
      <scheme val="minor"/>
    </font>
    <font>
      <b/>
      <i/>
      <sz val="9"/>
      <name val="Calibri"/>
      <family val="2"/>
      <scheme val="minor"/>
    </font>
    <font>
      <b/>
      <i/>
      <sz val="10"/>
      <name val="Arial"/>
      <family val="2"/>
    </font>
    <font>
      <sz val="10"/>
      <name val="Arial"/>
      <family val="2"/>
    </font>
    <font>
      <sz val="11"/>
      <name val="Arial"/>
      <family val="2"/>
    </font>
    <font>
      <b/>
      <sz val="8"/>
      <name val="Arial"/>
      <family val="2"/>
    </font>
    <font>
      <i/>
      <sz val="10"/>
      <name val="Arial"/>
      <family val="2"/>
    </font>
    <font>
      <sz val="8"/>
      <name val="Calibri"/>
      <family val="2"/>
      <scheme val="minor"/>
    </font>
    <font>
      <b/>
      <sz val="8"/>
      <name val="Calibri"/>
      <family val="2"/>
      <scheme val="minor"/>
    </font>
    <font>
      <b/>
      <sz val="9"/>
      <name val="Calibri"/>
      <family val="2"/>
      <scheme val="minor"/>
    </font>
    <font>
      <b/>
      <u/>
      <sz val="11"/>
      <name val="Calibri"/>
      <family val="2"/>
      <scheme val="minor"/>
    </font>
    <font>
      <b/>
      <sz val="16"/>
      <name val="Calibri"/>
      <family val="2"/>
      <scheme val="minor"/>
    </font>
    <font>
      <b/>
      <sz val="8"/>
      <color rgb="FFFF0000"/>
      <name val="Calibri"/>
      <family val="2"/>
      <scheme val="minor"/>
    </font>
    <font>
      <b/>
      <i/>
      <u/>
      <sz val="11"/>
      <color theme="1"/>
      <name val="Calibri"/>
      <family val="2"/>
      <scheme val="minor"/>
    </font>
    <font>
      <b/>
      <sz val="9"/>
      <color theme="1"/>
      <name val="Calibri"/>
      <family val="2"/>
      <scheme val="minor"/>
    </font>
    <font>
      <sz val="11"/>
      <color rgb="FF0000FF"/>
      <name val="Calibri"/>
      <family val="2"/>
      <scheme val="minor"/>
    </font>
    <font>
      <b/>
      <sz val="11"/>
      <color rgb="FF0000FF"/>
      <name val="Calibri"/>
      <family val="2"/>
      <scheme val="minor"/>
    </font>
    <font>
      <b/>
      <i/>
      <sz val="11"/>
      <color rgb="FF0000FF"/>
      <name val="Calibri"/>
      <family val="2"/>
      <scheme val="minor"/>
    </font>
    <font>
      <b/>
      <i/>
      <sz val="11"/>
      <color rgb="FFFF0000"/>
      <name val="Calibri"/>
      <family val="2"/>
      <scheme val="minor"/>
    </font>
    <font>
      <sz val="9"/>
      <name val="Arial"/>
      <family val="2"/>
    </font>
    <font>
      <b/>
      <sz val="10"/>
      <name val="Arial"/>
      <family val="2"/>
    </font>
    <font>
      <u/>
      <sz val="10"/>
      <color rgb="FFFF0000"/>
      <name val="Arial"/>
      <family val="2"/>
    </font>
    <font>
      <sz val="10"/>
      <color rgb="FFFF0000"/>
      <name val="Arial"/>
      <family val="2"/>
    </font>
    <font>
      <sz val="10"/>
      <name val="MS Sans Serif"/>
    </font>
    <font>
      <sz val="10"/>
      <name val="MS Sans Serif"/>
      <family val="2"/>
    </font>
    <font>
      <b/>
      <i/>
      <sz val="9"/>
      <color rgb="FFFF0000"/>
      <name val="Arial"/>
      <family val="2"/>
    </font>
    <font>
      <b/>
      <sz val="16"/>
      <color rgb="FF0000FF"/>
      <name val="Calibri"/>
      <family val="2"/>
      <scheme val="minor"/>
    </font>
    <font>
      <b/>
      <sz val="12"/>
      <color rgb="FFFF0000"/>
      <name val="Calibri"/>
      <family val="2"/>
      <scheme val="minor"/>
    </font>
    <font>
      <sz val="8"/>
      <color rgb="FFFF0000"/>
      <name val="Calibri"/>
      <family val="2"/>
      <scheme val="minor"/>
    </font>
    <font>
      <b/>
      <i/>
      <sz val="12"/>
      <color rgb="FFFF0000"/>
      <name val="Calibri"/>
      <family val="2"/>
      <scheme val="minor"/>
    </font>
    <font>
      <i/>
      <sz val="8"/>
      <color rgb="FFFF0000"/>
      <name val="Calibri"/>
      <family val="2"/>
      <scheme val="minor"/>
    </font>
    <font>
      <b/>
      <u/>
      <sz val="11"/>
      <color rgb="FF0000FF"/>
      <name val="Calibri"/>
      <family val="2"/>
      <scheme val="minor"/>
    </font>
    <font>
      <sz val="12"/>
      <color rgb="FF0000FF"/>
      <name val="Calibri"/>
      <family val="2"/>
      <scheme val="minor"/>
    </font>
    <font>
      <i/>
      <sz val="8"/>
      <color rgb="FF0000FF"/>
      <name val="Calibri"/>
      <family val="2"/>
      <scheme val="minor"/>
    </font>
    <font>
      <b/>
      <i/>
      <sz val="12"/>
      <color rgb="FF0000FF"/>
      <name val="Calibri"/>
      <family val="2"/>
      <scheme val="minor"/>
    </font>
    <font>
      <b/>
      <i/>
      <sz val="10"/>
      <color rgb="FF0000FF"/>
      <name val="Calibri"/>
      <family val="2"/>
      <scheme val="minor"/>
    </font>
    <font>
      <b/>
      <sz val="9"/>
      <color rgb="FFFF0000"/>
      <name val="Calibri"/>
      <family val="2"/>
      <scheme val="minor"/>
    </font>
    <font>
      <i/>
      <sz val="11"/>
      <color rgb="FFFF0000"/>
      <name val="Calibri"/>
      <family val="2"/>
      <scheme val="minor"/>
    </font>
    <font>
      <i/>
      <sz val="11"/>
      <color rgb="FF0000FF"/>
      <name val="Calibri"/>
      <family val="2"/>
      <scheme val="minor"/>
    </font>
    <font>
      <b/>
      <sz val="14"/>
      <color rgb="FFFF0000"/>
      <name val="Calibri"/>
      <family val="2"/>
      <scheme val="minor"/>
    </font>
    <font>
      <b/>
      <sz val="11"/>
      <color rgb="FF7AC142"/>
      <name val="Calibri"/>
      <family val="2"/>
      <scheme val="minor"/>
    </font>
    <font>
      <b/>
      <sz val="11"/>
      <color rgb="FF38939B"/>
      <name val="Calibri"/>
      <family val="2"/>
      <scheme val="minor"/>
    </font>
    <font>
      <b/>
      <sz val="11"/>
      <color theme="7" tint="0.39997558519241921"/>
      <name val="Calibri"/>
      <family val="2"/>
      <scheme val="minor"/>
    </font>
    <font>
      <b/>
      <sz val="11"/>
      <color theme="0" tint="-0.499984740745262"/>
      <name val="Calibri"/>
      <family val="2"/>
      <scheme val="minor"/>
    </font>
    <font>
      <b/>
      <sz val="11"/>
      <color rgb="FFF8971D"/>
      <name val="Calibri"/>
      <family val="2"/>
      <scheme val="minor"/>
    </font>
    <font>
      <sz val="9"/>
      <name val="Segoe UI"/>
      <family val="2"/>
    </font>
    <font>
      <sz val="9"/>
      <name val="Segoe UI"/>
      <family val="2"/>
    </font>
    <font>
      <sz val="10"/>
      <color indexed="8"/>
      <name val="Arial"/>
      <family val="2"/>
    </font>
    <font>
      <sz val="10"/>
      <name val="Segoe UI"/>
      <family val="2"/>
    </font>
    <font>
      <sz val="9"/>
      <name val="Calibri"/>
      <family val="2"/>
      <scheme val="minor"/>
    </font>
    <font>
      <b/>
      <sz val="14"/>
      <name val="Calibri"/>
      <family val="2"/>
      <scheme val="minor"/>
    </font>
    <font>
      <b/>
      <sz val="12"/>
      <color rgb="FF0000FF"/>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2"/>
      <name val="Arial"/>
      <family val="2"/>
    </font>
    <font>
      <sz val="8"/>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8"/>
      <color indexed="12"/>
      <name val="Times New Roman"/>
      <family val="1"/>
    </font>
    <font>
      <sz val="12"/>
      <name val="Helv"/>
    </font>
    <font>
      <sz val="8"/>
      <name val="Times New Roman"/>
      <family val="1"/>
    </font>
    <font>
      <sz val="10"/>
      <name val="Courier"/>
      <family val="3"/>
    </font>
    <font>
      <b/>
      <sz val="11"/>
      <name val="Arial"/>
      <family val="2"/>
    </font>
    <font>
      <sz val="10"/>
      <name val="Times New Roman"/>
      <family val="1"/>
    </font>
    <font>
      <sz val="11"/>
      <name val="Times New Roman"/>
      <family val="1"/>
    </font>
    <font>
      <b/>
      <sz val="10"/>
      <name val="Times New Roman"/>
      <family val="1"/>
    </font>
    <font>
      <sz val="10"/>
      <color theme="0"/>
      <name val="Tahoma"/>
      <family val="2"/>
    </font>
    <font>
      <b/>
      <sz val="11"/>
      <color theme="1"/>
      <name val="Tahoma"/>
      <family val="2"/>
    </font>
    <font>
      <sz val="10"/>
      <color theme="1"/>
      <name val="Tahoma"/>
      <family val="2"/>
    </font>
    <font>
      <b/>
      <sz val="10"/>
      <color theme="1"/>
      <name val="Tahoma"/>
      <family val="2"/>
    </font>
    <font>
      <b/>
      <sz val="18"/>
      <color theme="3"/>
      <name val="Calibri Light"/>
      <family val="2"/>
      <scheme val="major"/>
    </font>
    <font>
      <sz val="10"/>
      <color rgb="FF000000"/>
      <name val="Arial"/>
      <family val="2"/>
    </font>
    <font>
      <sz val="11"/>
      <color rgb="FF000000"/>
      <name val="Calibri"/>
      <family val="2"/>
    </font>
    <font>
      <b/>
      <sz val="12"/>
      <color indexed="8"/>
      <name val="Arial"/>
      <family val="2"/>
    </font>
    <font>
      <b/>
      <sz val="10"/>
      <color indexed="8"/>
      <name val="Times New Roman"/>
      <family val="1"/>
    </font>
    <font>
      <sz val="12"/>
      <name val="Times New Roman"/>
      <family val="1"/>
    </font>
    <font>
      <sz val="10"/>
      <color indexed="0"/>
      <name val="Arial"/>
      <family val="2"/>
    </font>
    <font>
      <b/>
      <sz val="9"/>
      <color indexed="0"/>
      <name val="Arial"/>
      <family val="2"/>
    </font>
    <font>
      <u/>
      <sz val="11"/>
      <color indexed="0"/>
      <name val="Arial"/>
      <family val="2"/>
    </font>
    <font>
      <u/>
      <sz val="10"/>
      <color indexed="0"/>
      <name val="Arial"/>
      <family val="2"/>
    </font>
    <font>
      <sz val="10"/>
      <name val="Microsoft Sans Serif"/>
      <family val="2"/>
    </font>
    <font>
      <b/>
      <sz val="10"/>
      <color indexed="0"/>
      <name val="Arial"/>
      <family val="2"/>
    </font>
  </fonts>
  <fills count="6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ill>
    <fill>
      <patternFill patternType="solid">
        <fgColor theme="7" tint="0.79998168889431442"/>
        <bgColor indexed="64"/>
      </patternFill>
    </fill>
    <fill>
      <patternFill patternType="solid">
        <fgColor indexed="65"/>
        <bgColor indexed="64"/>
      </patternFill>
    </fill>
    <fill>
      <patternFill patternType="solid">
        <fgColor rgb="FF9CC5CA"/>
        <bgColor indexed="64"/>
      </patternFill>
    </fill>
    <fill>
      <patternFill patternType="solid">
        <fgColor rgb="FFFFF2CC"/>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961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0" fontId="57" fillId="0" borderId="0"/>
    <xf numFmtId="9" fontId="57" fillId="0" borderId="0" applyFont="0" applyFill="0" applyBorder="0" applyAlignment="0" applyProtection="0"/>
    <xf numFmtId="0" fontId="36" fillId="0" borderId="0"/>
    <xf numFmtId="0" fontId="80" fillId="0" borderId="0" applyNumberFormat="0" applyBorder="0" applyAlignment="0"/>
    <xf numFmtId="0" fontId="78" fillId="0" borderId="0">
      <alignment vertical="center"/>
    </xf>
    <xf numFmtId="43" fontId="79" fillId="0" borderId="0" applyFont="0" applyFill="0" applyBorder="0" applyAlignment="0" applyProtection="0"/>
    <xf numFmtId="44" fontId="79" fillId="0" borderId="0" applyFont="0" applyFill="0" applyBorder="0" applyAlignment="0" applyProtection="0"/>
    <xf numFmtId="9" fontId="79" fillId="0" borderId="0" applyFont="0" applyFill="0" applyBorder="0" applyAlignment="0" applyProtection="0"/>
    <xf numFmtId="0" fontId="79" fillId="0" borderId="0">
      <alignment vertical="center"/>
    </xf>
    <xf numFmtId="44" fontId="56" fillId="0" borderId="0" applyFont="0" applyFill="0" applyBorder="0" applyAlignment="0" applyProtection="0"/>
    <xf numFmtId="9" fontId="36" fillId="0" borderId="0" applyFont="0" applyFill="0" applyBorder="0" applyAlignment="0" applyProtection="0"/>
    <xf numFmtId="0" fontId="79" fillId="0" borderId="0">
      <alignment vertical="center"/>
    </xf>
    <xf numFmtId="9" fontId="36" fillId="0" borderId="0" applyFont="0" applyFill="0" applyBorder="0" applyAlignment="0" applyProtection="0"/>
    <xf numFmtId="43" fontId="3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43" fontId="36"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176" fontId="81" fillId="0" borderId="0" applyFont="0" applyFill="0" applyBorder="0" applyAlignment="0" applyProtection="0"/>
    <xf numFmtId="9" fontId="81" fillId="0" borderId="0" applyFont="0" applyFill="0" applyBorder="0" applyAlignment="0" applyProtection="0"/>
    <xf numFmtId="0" fontId="80" fillId="0" borderId="0">
      <alignment vertical="top"/>
    </xf>
    <xf numFmtId="40"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79" fillId="0" borderId="0" applyFont="0" applyFill="0" applyBorder="0" applyAlignment="0" applyProtection="0"/>
    <xf numFmtId="43" fontId="56" fillId="0" borderId="0" applyFont="0" applyFill="0" applyBorder="0" applyAlignment="0" applyProtection="0"/>
    <xf numFmtId="0" fontId="79" fillId="0" borderId="0">
      <alignment vertical="center"/>
    </xf>
    <xf numFmtId="43" fontId="36" fillId="0" borderId="0" applyFont="0" applyFill="0" applyBorder="0" applyAlignment="0" applyProtection="0"/>
    <xf numFmtId="40" fontId="57"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43" fontId="79" fillId="0" borderId="0" applyFont="0" applyFill="0" applyBorder="0" applyAlignment="0" applyProtection="0"/>
    <xf numFmtId="9" fontId="79" fillId="0" borderId="0" applyFont="0" applyFill="0" applyBorder="0" applyAlignment="0" applyProtection="0"/>
    <xf numFmtId="43" fontId="36" fillId="0" borderId="0" applyFont="0" applyFill="0" applyBorder="0" applyAlignment="0" applyProtection="0"/>
    <xf numFmtId="0" fontId="86" fillId="0" borderId="0" applyNumberFormat="0" applyFill="0" applyBorder="0" applyAlignment="0" applyProtection="0"/>
    <xf numFmtId="0" fontId="87" fillId="0" borderId="23" applyNumberFormat="0" applyFill="0" applyAlignment="0" applyProtection="0"/>
    <xf numFmtId="0" fontId="88" fillId="0" borderId="24" applyNumberFormat="0" applyFill="0" applyAlignment="0" applyProtection="0"/>
    <xf numFmtId="0" fontId="89" fillId="0" borderId="25" applyNumberFormat="0" applyFill="0" applyAlignment="0" applyProtection="0"/>
    <xf numFmtId="0" fontId="89" fillId="0" borderId="0" applyNumberFormat="0" applyFill="0" applyBorder="0" applyAlignment="0" applyProtection="0"/>
    <xf numFmtId="0" fontId="90" fillId="9" borderId="0" applyNumberFormat="0" applyBorder="0" applyAlignment="0" applyProtection="0"/>
    <xf numFmtId="0" fontId="91" fillId="10" borderId="0" applyNumberFormat="0" applyBorder="0" applyAlignment="0" applyProtection="0"/>
    <xf numFmtId="0" fontId="92" fillId="11" borderId="0" applyNumberFormat="0" applyBorder="0" applyAlignment="0" applyProtection="0"/>
    <xf numFmtId="0" fontId="93" fillId="12" borderId="26" applyNumberFormat="0" applyAlignment="0" applyProtection="0"/>
    <xf numFmtId="0" fontId="94" fillId="13" borderId="27" applyNumberFormat="0" applyAlignment="0" applyProtection="0"/>
    <xf numFmtId="0" fontId="95" fillId="13" borderId="26" applyNumberFormat="0" applyAlignment="0" applyProtection="0"/>
    <xf numFmtId="0" fontId="96" fillId="0" borderId="28" applyNumberFormat="0" applyFill="0" applyAlignment="0" applyProtection="0"/>
    <xf numFmtId="0" fontId="97" fillId="14" borderId="29" applyNumberFormat="0" applyAlignment="0" applyProtection="0"/>
    <xf numFmtId="0" fontId="2" fillId="0" borderId="0" applyNumberFormat="0" applyFill="0" applyBorder="0" applyAlignment="0" applyProtection="0"/>
    <xf numFmtId="0" fontId="98" fillId="0" borderId="0" applyNumberFormat="0" applyFill="0" applyBorder="0" applyAlignment="0" applyProtection="0"/>
    <xf numFmtId="0" fontId="3" fillId="0" borderId="31" applyNumberFormat="0" applyFill="0" applyAlignment="0" applyProtection="0"/>
    <xf numFmtId="0" fontId="9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99" fillId="19" borderId="0" applyNumberFormat="0" applyBorder="0" applyAlignment="0" applyProtection="0"/>
    <xf numFmtId="0" fontId="9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99" fillId="23" borderId="0" applyNumberFormat="0" applyBorder="0" applyAlignment="0" applyProtection="0"/>
    <xf numFmtId="0" fontId="9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99" fillId="27" borderId="0" applyNumberFormat="0" applyBorder="0" applyAlignment="0" applyProtection="0"/>
    <xf numFmtId="0" fontId="9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99" fillId="31" borderId="0" applyNumberFormat="0" applyBorder="0" applyAlignment="0" applyProtection="0"/>
    <xf numFmtId="0" fontId="9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99" fillId="35" borderId="0" applyNumberFormat="0" applyBorder="0" applyAlignment="0" applyProtection="0"/>
    <xf numFmtId="0" fontId="99"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99" fillId="39" borderId="0" applyNumberFormat="0" applyBorder="0" applyAlignment="0" applyProtection="0"/>
    <xf numFmtId="0" fontId="36"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6" fillId="0" borderId="0"/>
    <xf numFmtId="44" fontId="36" fillId="0" borderId="0" applyFont="0" applyFill="0" applyBorder="0" applyAlignment="0" applyProtection="0"/>
    <xf numFmtId="43" fontId="1" fillId="0" borderId="0" applyFont="0" applyFill="0" applyBorder="0" applyAlignment="0" applyProtection="0"/>
    <xf numFmtId="0" fontId="57" fillId="0" borderId="0"/>
    <xf numFmtId="40" fontId="57"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01" fillId="0" borderId="0"/>
    <xf numFmtId="0" fontId="22" fillId="0" borderId="0"/>
    <xf numFmtId="0" fontId="36"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76" fontId="81" fillId="0" borderId="0" applyFont="0" applyFill="0" applyBorder="0" applyAlignment="0" applyProtection="0"/>
    <xf numFmtId="43" fontId="36" fillId="0" borderId="0" applyFont="0" applyFill="0" applyBorder="0" applyAlignment="0" applyProtection="0"/>
    <xf numFmtId="0" fontId="80" fillId="0" borderId="0">
      <alignment vertical="top"/>
    </xf>
    <xf numFmtId="0" fontId="3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56" fillId="0" borderId="0"/>
    <xf numFmtId="44" fontId="5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56" fillId="0" borderId="0" applyFont="0" applyFill="0" applyBorder="0" applyAlignment="0" applyProtection="0"/>
    <xf numFmtId="43" fontId="78" fillId="0" borderId="0" applyFont="0" applyFill="0" applyBorder="0" applyAlignment="0" applyProtection="0"/>
    <xf numFmtId="43" fontId="1" fillId="0" borderId="0" applyFont="0" applyFill="0" applyBorder="0" applyAlignment="0" applyProtection="0"/>
    <xf numFmtId="40" fontId="56" fillId="0" borderId="0" applyFont="0" applyFill="0" applyBorder="0" applyAlignment="0" applyProtection="0"/>
    <xf numFmtId="9" fontId="1" fillId="0" borderId="0" applyFont="0" applyFill="0" applyBorder="0" applyAlignment="0" applyProtection="0"/>
    <xf numFmtId="0" fontId="1" fillId="30" borderId="0" applyNumberFormat="0" applyBorder="0" applyAlignment="0" applyProtection="0"/>
    <xf numFmtId="44" fontId="78" fillId="0" borderId="0" applyFont="0" applyFill="0" applyBorder="0" applyAlignment="0" applyProtection="0"/>
    <xf numFmtId="0" fontId="78" fillId="0" borderId="0">
      <alignment vertical="center"/>
    </xf>
    <xf numFmtId="0" fontId="103" fillId="48" borderId="0" applyNumberFormat="0" applyBorder="0" applyAlignment="0" applyProtection="0"/>
    <xf numFmtId="0" fontId="36" fillId="0" borderId="0"/>
    <xf numFmtId="0" fontId="78" fillId="0" borderId="0">
      <alignment vertical="center"/>
    </xf>
    <xf numFmtId="40" fontId="57" fillId="0" borderId="0" applyFont="0" applyFill="0" applyBorder="0" applyAlignment="0" applyProtection="0"/>
    <xf numFmtId="9" fontId="56" fillId="0" borderId="0" applyFont="0" applyFill="0" applyBorder="0" applyAlignment="0" applyProtection="0"/>
    <xf numFmtId="40" fontId="57" fillId="0" borderId="0" applyFont="0" applyFill="0" applyBorder="0" applyAlignment="0" applyProtection="0"/>
    <xf numFmtId="44" fontId="1" fillId="0" borderId="0" applyFont="0" applyFill="0" applyBorder="0" applyAlignment="0" applyProtection="0"/>
    <xf numFmtId="9" fontId="36" fillId="0" borderId="0" applyFont="0" applyFill="0" applyBorder="0" applyAlignment="0" applyProtection="0"/>
    <xf numFmtId="0" fontId="78" fillId="0" borderId="0">
      <alignment vertical="center"/>
    </xf>
    <xf numFmtId="0" fontId="78" fillId="0" borderId="0">
      <alignment vertical="center"/>
    </xf>
    <xf numFmtId="44" fontId="78" fillId="0" borderId="0" applyFont="0" applyFill="0" applyBorder="0" applyAlignment="0" applyProtection="0"/>
    <xf numFmtId="9" fontId="78" fillId="0" borderId="0" applyFont="0" applyFill="0" applyBorder="0" applyAlignment="0" applyProtection="0"/>
    <xf numFmtId="0" fontId="1" fillId="0" borderId="0"/>
    <xf numFmtId="43" fontId="78"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0" fontId="1" fillId="29" borderId="0" applyNumberFormat="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78" fillId="0" borderId="0">
      <alignment vertical="center"/>
    </xf>
    <xf numFmtId="43" fontId="36" fillId="0" borderId="0" applyFont="0" applyFill="0" applyBorder="0" applyAlignment="0" applyProtection="0"/>
    <xf numFmtId="9" fontId="101" fillId="0" borderId="0" applyFont="0" applyFill="0" applyBorder="0" applyAlignment="0" applyProtection="0"/>
    <xf numFmtId="44" fontId="56" fillId="0" borderId="0" applyFont="0" applyFill="0" applyBorder="0" applyAlignment="0" applyProtection="0"/>
    <xf numFmtId="0" fontId="1" fillId="34" borderId="0" applyNumberFormat="0" applyBorder="0" applyAlignment="0" applyProtection="0"/>
    <xf numFmtId="0" fontId="1" fillId="0" borderId="0"/>
    <xf numFmtId="0" fontId="101" fillId="0" borderId="0"/>
    <xf numFmtId="0" fontId="22" fillId="0" borderId="0"/>
    <xf numFmtId="0" fontId="36" fillId="0" borderId="0"/>
    <xf numFmtId="0" fontId="1" fillId="17" borderId="0" applyNumberFormat="0" applyBorder="0" applyAlignment="0" applyProtection="0"/>
    <xf numFmtId="44" fontId="36" fillId="0" borderId="0" applyFont="0" applyFill="0" applyBorder="0" applyAlignment="0" applyProtection="0"/>
    <xf numFmtId="43" fontId="36" fillId="0" borderId="0" applyFont="0" applyFill="0" applyBorder="0" applyAlignment="0" applyProtection="0"/>
    <xf numFmtId="0" fontId="1" fillId="0" borderId="0"/>
    <xf numFmtId="9" fontId="125" fillId="0" borderId="3">
      <alignment wrapText="1"/>
    </xf>
    <xf numFmtId="43" fontId="1" fillId="0" borderId="0" applyFont="0" applyFill="0" applyBorder="0" applyAlignment="0" applyProtection="0"/>
    <xf numFmtId="0" fontId="1" fillId="0" borderId="0"/>
    <xf numFmtId="0" fontId="1" fillId="0" borderId="0"/>
    <xf numFmtId="0" fontId="1" fillId="25" borderId="0" applyNumberFormat="0" applyBorder="0" applyAlignment="0" applyProtection="0"/>
    <xf numFmtId="0" fontId="104" fillId="52"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04" fillId="51"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03" fillId="42" borderId="0" applyNumberFormat="0" applyBorder="0" applyAlignment="0" applyProtection="0"/>
    <xf numFmtId="9" fontId="1" fillId="0" borderId="0" applyFont="0" applyFill="0" applyBorder="0" applyAlignment="0" applyProtection="0"/>
    <xf numFmtId="0" fontId="101" fillId="0" borderId="0"/>
    <xf numFmtId="0" fontId="104" fillId="53" borderId="0" applyNumberFormat="0" applyBorder="0" applyAlignment="0" applyProtection="0"/>
    <xf numFmtId="9" fontId="1" fillId="0" borderId="0" applyFont="0" applyFill="0" applyBorder="0" applyAlignment="0" applyProtection="0"/>
    <xf numFmtId="42" fontId="125" fillId="0" borderId="33">
      <alignment wrapText="1"/>
    </xf>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05" fillId="41" borderId="0" applyNumberFormat="0" applyBorder="0" applyAlignment="0" applyProtection="0"/>
    <xf numFmtId="0" fontId="1" fillId="0" borderId="0"/>
    <xf numFmtId="0" fontId="104" fillId="48" borderId="0" applyNumberFormat="0" applyBorder="0" applyAlignment="0" applyProtection="0"/>
    <xf numFmtId="0" fontId="1" fillId="30" borderId="0" applyNumberFormat="0" applyBorder="0" applyAlignment="0" applyProtection="0"/>
    <xf numFmtId="0" fontId="104" fillId="51" borderId="0" applyNumberFormat="0" applyBorder="0" applyAlignment="0" applyProtection="0"/>
    <xf numFmtId="44" fontId="1" fillId="0" borderId="0" applyFont="0" applyFill="0" applyBorder="0" applyAlignment="0" applyProtection="0"/>
    <xf numFmtId="0" fontId="103" fillId="43" borderId="0" applyNumberFormat="0" applyBorder="0" applyAlignment="0" applyProtection="0"/>
    <xf numFmtId="0" fontId="104" fillId="55" borderId="0" applyNumberFormat="0" applyBorder="0" applyAlignment="0" applyProtection="0"/>
    <xf numFmtId="44" fontId="1" fillId="0" borderId="0" applyFont="0" applyFill="0" applyBorder="0" applyAlignment="0" applyProtection="0"/>
    <xf numFmtId="0" fontId="1" fillId="25" borderId="0" applyNumberFormat="0" applyBorder="0" applyAlignment="0" applyProtection="0"/>
    <xf numFmtId="43" fontId="1" fillId="0" borderId="0" applyFont="0" applyFill="0" applyBorder="0" applyAlignment="0" applyProtection="0"/>
    <xf numFmtId="42" fontId="125" fillId="0" borderId="3">
      <alignment wrapText="1"/>
    </xf>
    <xf numFmtId="43" fontId="101" fillId="0" borderId="0" applyFont="0" applyFill="0" applyBorder="0" applyAlignment="0" applyProtection="0"/>
    <xf numFmtId="0" fontId="1" fillId="26" borderId="0" applyNumberFormat="0" applyBorder="0" applyAlignment="0" applyProtection="0"/>
    <xf numFmtId="9" fontId="101" fillId="0" borderId="0" applyFont="0" applyFill="0" applyBorder="0" applyAlignment="0" applyProtection="0"/>
    <xf numFmtId="0" fontId="103" fillId="49" borderId="0" applyNumberFormat="0" applyBorder="0" applyAlignment="0" applyProtection="0"/>
    <xf numFmtId="44" fontId="1" fillId="0" borderId="0" applyFont="0" applyFill="0" applyBorder="0" applyAlignment="0" applyProtection="0"/>
    <xf numFmtId="0" fontId="104" fillId="47" borderId="0" applyNumberFormat="0" applyBorder="0" applyAlignment="0" applyProtection="0"/>
    <xf numFmtId="9" fontId="1" fillId="0" borderId="0" applyFont="0" applyFill="0" applyBorder="0" applyAlignment="0" applyProtection="0"/>
    <xf numFmtId="41" fontId="125" fillId="0" borderId="3">
      <alignment wrapText="1"/>
    </xf>
    <xf numFmtId="0" fontId="1" fillId="0" borderId="0"/>
    <xf numFmtId="0" fontId="1" fillId="38"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0" fontId="57" fillId="0" borderId="0" applyFont="0" applyFill="0" applyBorder="0" applyAlignment="0" applyProtection="0"/>
    <xf numFmtId="43" fontId="56" fillId="0" borderId="0" applyFont="0" applyFill="0" applyBorder="0" applyAlignment="0" applyProtection="0"/>
    <xf numFmtId="44" fontId="56" fillId="0" borderId="0" applyFont="0" applyFill="0" applyBorder="0" applyAlignment="0" applyProtection="0"/>
    <xf numFmtId="9" fontId="56" fillId="0" borderId="0" applyFont="0" applyFill="0" applyBorder="0" applyAlignment="0" applyProtection="0"/>
    <xf numFmtId="176" fontId="8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0" borderId="0"/>
    <xf numFmtId="43" fontId="1" fillId="0" borderId="0" applyFont="0" applyFill="0" applyBorder="0" applyAlignment="0" applyProtection="0"/>
    <xf numFmtId="0" fontId="103" fillId="45" borderId="0" applyNumberFormat="0" applyBorder="0" applyAlignment="0" applyProtection="0"/>
    <xf numFmtId="0" fontId="1" fillId="15" borderId="30" applyNumberFormat="0" applyFont="0" applyAlignment="0" applyProtection="0"/>
    <xf numFmtId="0" fontId="103" fillId="41" borderId="0" applyNumberFormat="0" applyBorder="0" applyAlignment="0" applyProtection="0"/>
    <xf numFmtId="0" fontId="1" fillId="22" borderId="0" applyNumberFormat="0" applyBorder="0" applyAlignment="0" applyProtection="0"/>
    <xf numFmtId="0" fontId="104" fillId="54" borderId="0" applyNumberFormat="0" applyBorder="0" applyAlignment="0" applyProtection="0"/>
    <xf numFmtId="0" fontId="104" fillId="56" borderId="0" applyNumberFormat="0" applyBorder="0" applyAlignment="0" applyProtection="0"/>
    <xf numFmtId="44" fontId="101" fillId="0" borderId="0" applyFont="0" applyFill="0" applyBorder="0" applyAlignment="0" applyProtection="0"/>
    <xf numFmtId="44" fontId="1" fillId="0" borderId="0" applyFont="0" applyFill="0" applyBorder="0" applyAlignment="0" applyProtection="0"/>
    <xf numFmtId="41" fontId="125" fillId="0" borderId="0">
      <alignment wrapText="1"/>
    </xf>
    <xf numFmtId="0" fontId="1" fillId="22" borderId="0" applyNumberFormat="0" applyBorder="0" applyAlignment="0" applyProtection="0"/>
    <xf numFmtId="42" fontId="125" fillId="0" borderId="0">
      <alignment wrapText="1"/>
    </xf>
    <xf numFmtId="0" fontId="104" fillId="50" borderId="0" applyNumberFormat="0" applyBorder="0" applyAlignment="0" applyProtection="0"/>
    <xf numFmtId="0" fontId="103" fillId="4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5" borderId="30" applyNumberFormat="0" applyFont="0" applyAlignment="0" applyProtection="0"/>
    <xf numFmtId="0" fontId="102" fillId="0" borderId="0"/>
    <xf numFmtId="0" fontId="103" fillId="43" borderId="0" applyNumberFormat="0" applyBorder="0" applyAlignment="0" applyProtection="0"/>
    <xf numFmtId="0" fontId="10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44" fontId="1" fillId="0" borderId="0" applyFont="0" applyFill="0" applyBorder="0" applyAlignment="0" applyProtection="0"/>
    <xf numFmtId="0" fontId="104" fillId="52" borderId="0" applyNumberFormat="0" applyBorder="0" applyAlignment="0" applyProtection="0"/>
    <xf numFmtId="0" fontId="1" fillId="0" borderId="0"/>
    <xf numFmtId="43" fontId="1" fillId="0" borderId="0" applyFont="0" applyFill="0" applyBorder="0" applyAlignment="0" applyProtection="0"/>
    <xf numFmtId="0" fontId="1" fillId="29" borderId="0" applyNumberFormat="0" applyBorder="0" applyAlignment="0" applyProtection="0"/>
    <xf numFmtId="0" fontId="103" fillId="46" borderId="0" applyNumberFormat="0" applyBorder="0" applyAlignment="0" applyProtection="0"/>
    <xf numFmtId="0" fontId="1" fillId="0" borderId="0"/>
    <xf numFmtId="0" fontId="1" fillId="17" borderId="0" applyNumberFormat="0" applyBorder="0" applyAlignment="0" applyProtection="0"/>
    <xf numFmtId="9" fontId="125" fillId="0" borderId="33">
      <alignment wrapText="1"/>
    </xf>
    <xf numFmtId="44" fontId="101" fillId="0" borderId="0" applyFont="0" applyFill="0" applyBorder="0" applyAlignment="0" applyProtection="0"/>
    <xf numFmtId="0" fontId="103" fillId="44" borderId="0" applyNumberFormat="0" applyBorder="0" applyAlignment="0" applyProtection="0"/>
    <xf numFmtId="43" fontId="1" fillId="0" borderId="0" applyFont="0" applyFill="0" applyBorder="0" applyAlignment="0" applyProtection="0"/>
    <xf numFmtId="0" fontId="103" fillId="40" borderId="0" applyNumberFormat="0" applyBorder="0" applyAlignment="0" applyProtection="0"/>
    <xf numFmtId="0" fontId="1" fillId="21"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3" borderId="0" applyNumberFormat="0" applyBorder="0" applyAlignment="0" applyProtection="0"/>
    <xf numFmtId="0" fontId="104" fillId="57" borderId="0" applyNumberFormat="0" applyBorder="0" applyAlignment="0" applyProtection="0"/>
    <xf numFmtId="0" fontId="1" fillId="21"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3" fillId="46"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33"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34"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25" fillId="0" borderId="0">
      <alignment wrapText="1"/>
    </xf>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56"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6" fillId="58" borderId="34" applyNumberFormat="0" applyAlignment="0" applyProtection="0"/>
    <xf numFmtId="0" fontId="107" fillId="59" borderId="35" applyNumberFormat="0" applyAlignment="0" applyProtection="0"/>
    <xf numFmtId="43" fontId="80" fillId="0" borderId="0" applyFont="0" applyFill="0" applyBorder="0" applyAlignment="0" applyProtection="0">
      <alignment vertical="top"/>
    </xf>
    <xf numFmtId="43" fontId="80" fillId="0" borderId="0" applyFont="0" applyFill="0" applyBorder="0" applyAlignment="0" applyProtection="0">
      <alignment vertical="top"/>
    </xf>
    <xf numFmtId="43" fontId="80" fillId="0" borderId="0" applyFont="0" applyFill="0" applyBorder="0" applyAlignment="0" applyProtection="0">
      <alignment vertical="top"/>
    </xf>
    <xf numFmtId="43" fontId="80" fillId="0" borderId="0" applyFont="0" applyFill="0" applyBorder="0" applyAlignment="0" applyProtection="0">
      <alignment vertical="top"/>
    </xf>
    <xf numFmtId="43" fontId="36" fillId="0" borderId="0" applyFont="0" applyFill="0" applyBorder="0" applyAlignment="0" applyProtection="0"/>
    <xf numFmtId="43" fontId="8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2" fillId="0" borderId="0" applyFont="0" applyFill="0" applyBorder="0" applyAlignment="0" applyProtection="0"/>
    <xf numFmtId="43" fontId="80" fillId="0" borderId="0" applyFont="0" applyFill="0" applyBorder="0" applyAlignment="0" applyProtection="0">
      <alignment vertical="top"/>
    </xf>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108" fillId="0" borderId="0" applyNumberFormat="0" applyFill="0" applyBorder="0" applyAlignment="0" applyProtection="0"/>
    <xf numFmtId="0" fontId="109" fillId="42" borderId="0" applyNumberFormat="0" applyBorder="0" applyAlignment="0" applyProtection="0"/>
    <xf numFmtId="0" fontId="110" fillId="0" borderId="36"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0" applyNumberFormat="0" applyFill="0" applyBorder="0" applyAlignment="0" applyProtection="0"/>
    <xf numFmtId="0" fontId="120"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3" fillId="45" borderId="34" applyNumberFormat="0" applyAlignment="0" applyProtection="0"/>
    <xf numFmtId="0" fontId="114" fillId="0" borderId="39" applyNumberFormat="0" applyFill="0" applyAlignment="0" applyProtection="0"/>
    <xf numFmtId="0" fontId="115" fillId="60" borderId="0" applyNumberFormat="0" applyBorder="0" applyAlignment="0" applyProtection="0"/>
    <xf numFmtId="0" fontId="121" fillId="0" borderId="0"/>
    <xf numFmtId="39" fontId="36" fillId="0" borderId="0"/>
    <xf numFmtId="0" fontId="80" fillId="0" borderId="0">
      <alignment vertical="top"/>
    </xf>
    <xf numFmtId="0" fontId="80" fillId="0" borderId="0">
      <alignment vertical="top"/>
    </xf>
    <xf numFmtId="0" fontId="80" fillId="0" borderId="0">
      <alignment vertical="top"/>
    </xf>
    <xf numFmtId="0" fontId="122" fillId="0" borderId="0"/>
    <xf numFmtId="0" fontId="122" fillId="0" borderId="0"/>
    <xf numFmtId="0" fontId="36" fillId="0" borderId="0"/>
    <xf numFmtId="0" fontId="123" fillId="0" borderId="0"/>
    <xf numFmtId="0" fontId="36" fillId="0" borderId="0"/>
    <xf numFmtId="0" fontId="36" fillId="0" borderId="0"/>
    <xf numFmtId="0" fontId="123" fillId="0" borderId="0"/>
    <xf numFmtId="0" fontId="80" fillId="0" borderId="0">
      <alignment vertical="top"/>
    </xf>
    <xf numFmtId="0" fontId="103" fillId="61" borderId="40" applyNumberFormat="0" applyFont="0" applyAlignment="0" applyProtection="0"/>
    <xf numFmtId="41" fontId="126" fillId="0" borderId="0">
      <alignment wrapText="1"/>
    </xf>
    <xf numFmtId="42" fontId="126" fillId="0" borderId="33">
      <alignment wrapText="1"/>
    </xf>
    <xf numFmtId="42" fontId="126" fillId="0" borderId="3">
      <alignment wrapText="1"/>
    </xf>
    <xf numFmtId="9" fontId="126" fillId="0" borderId="0">
      <alignment wrapText="1"/>
    </xf>
    <xf numFmtId="9" fontId="126" fillId="0" borderId="33">
      <alignment wrapText="1"/>
    </xf>
    <xf numFmtId="9" fontId="126" fillId="0" borderId="3">
      <alignment wrapText="1"/>
    </xf>
    <xf numFmtId="41" fontId="126" fillId="0" borderId="3">
      <alignment wrapText="1"/>
    </xf>
    <xf numFmtId="42" fontId="126" fillId="0" borderId="0">
      <alignment wrapText="1"/>
    </xf>
    <xf numFmtId="0" fontId="124" fillId="0" borderId="32">
      <alignment horizontal="center" wrapText="1"/>
    </xf>
    <xf numFmtId="0" fontId="53" fillId="0" borderId="32">
      <alignment horizontal="center" wrapText="1"/>
    </xf>
    <xf numFmtId="0" fontId="126" fillId="0" borderId="0">
      <alignment horizontal="left" wrapText="1" indent="4"/>
    </xf>
    <xf numFmtId="0" fontId="125" fillId="0" borderId="0">
      <alignment horizontal="left" wrapText="1"/>
    </xf>
    <xf numFmtId="0" fontId="126" fillId="0" borderId="0">
      <alignment horizontal="left" wrapText="1" indent="5"/>
    </xf>
    <xf numFmtId="0" fontId="125" fillId="0" borderId="0">
      <alignment horizontal="left" wrapText="1" indent="1"/>
    </xf>
    <xf numFmtId="0" fontId="126" fillId="0" borderId="0">
      <alignment horizontal="left" wrapText="1" indent="6"/>
    </xf>
    <xf numFmtId="0" fontId="125" fillId="0" borderId="0">
      <alignment horizontal="left" wrapText="1" indent="2"/>
    </xf>
    <xf numFmtId="0" fontId="126" fillId="0" borderId="0">
      <alignment horizontal="left" wrapText="1" indent="7"/>
    </xf>
    <xf numFmtId="0" fontId="125" fillId="0" borderId="0">
      <alignment horizontal="left" wrapText="1" indent="3"/>
    </xf>
    <xf numFmtId="0" fontId="116" fillId="58" borderId="41"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2" fillId="0" borderId="0" applyFont="0" applyFill="0" applyBorder="0" applyAlignment="0" applyProtection="0"/>
    <xf numFmtId="0" fontId="53" fillId="0" borderId="3">
      <alignment horizontal="center" wrapText="1"/>
    </xf>
    <xf numFmtId="0" fontId="125" fillId="0" borderId="0">
      <alignment horizontal="left" wrapText="1" indent="4"/>
    </xf>
    <xf numFmtId="0" fontId="125" fillId="0" borderId="0">
      <alignment horizontal="left" wrapText="1" indent="6"/>
    </xf>
    <xf numFmtId="0" fontId="125" fillId="0" borderId="0">
      <alignment horizontal="left" wrapText="1" indent="8"/>
    </xf>
    <xf numFmtId="0" fontId="127" fillId="0" borderId="0">
      <alignment horizontal="left" wrapText="1" indent="2"/>
    </xf>
    <xf numFmtId="0" fontId="100" fillId="0" borderId="0"/>
    <xf numFmtId="0" fontId="117" fillId="0" borderId="0" applyNumberFormat="0" applyFill="0" applyBorder="0" applyAlignment="0" applyProtection="0"/>
    <xf numFmtId="0" fontId="118" fillId="0" borderId="42" applyNumberFormat="0" applyFill="0" applyAlignment="0" applyProtection="0"/>
    <xf numFmtId="0" fontId="119" fillId="0" borderId="0" applyNumberFormat="0" applyFill="0" applyBorder="0" applyAlignment="0" applyProtection="0"/>
    <xf numFmtId="43" fontId="80" fillId="0" borderId="0" applyFont="0" applyFill="0" applyBorder="0" applyAlignment="0" applyProtection="0">
      <alignment vertical="top"/>
    </xf>
    <xf numFmtId="0" fontId="80" fillId="0" borderId="0">
      <alignment vertical="top"/>
    </xf>
    <xf numFmtId="0" fontId="128" fillId="0" borderId="0">
      <alignment horizontal="left" vertical="top"/>
    </xf>
    <xf numFmtId="0" fontId="128" fillId="0" borderId="0">
      <alignment horizontal="left"/>
    </xf>
    <xf numFmtId="0" fontId="129" fillId="0" borderId="0">
      <alignment horizontal="left" vertical="top"/>
    </xf>
    <xf numFmtId="0" fontId="131" fillId="0" borderId="0">
      <alignment horizontal="left"/>
    </xf>
    <xf numFmtId="0" fontId="131" fillId="0" borderId="0">
      <alignment horizontal="right" wrapText="1"/>
    </xf>
    <xf numFmtId="49" fontId="130" fillId="0" borderId="3" applyNumberFormat="0">
      <alignment horizontal="left"/>
    </xf>
    <xf numFmtId="0" fontId="130" fillId="0" borderId="0">
      <alignment horizontal="left"/>
    </xf>
    <xf numFmtId="43" fontId="80" fillId="0" borderId="0" applyFont="0" applyFill="0" applyBorder="0" applyAlignment="0" applyProtection="0">
      <alignment vertical="top"/>
    </xf>
    <xf numFmtId="0" fontId="80" fillId="0" borderId="0">
      <alignment vertical="top"/>
    </xf>
    <xf numFmtId="0" fontId="1" fillId="0" borderId="0"/>
    <xf numFmtId="176" fontId="81" fillId="0" borderId="0" applyFont="0" applyFill="0" applyBorder="0" applyAlignment="0" applyProtection="0"/>
    <xf numFmtId="9" fontId="81" fillId="0" borderId="0" applyFont="0" applyFill="0" applyBorder="0" applyAlignment="0" applyProtection="0"/>
    <xf numFmtId="0" fontId="80" fillId="0" borderId="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132" fillId="0" borderId="0" applyNumberFormat="0" applyFill="0" applyBorder="0" applyAlignment="0" applyProtection="0"/>
    <xf numFmtId="0" fontId="133" fillId="0" borderId="0" applyAlignment="0"/>
    <xf numFmtId="0" fontId="134" fillId="0" borderId="0" applyAlignment="0"/>
    <xf numFmtId="43" fontId="134" fillId="0" borderId="0" applyFont="0" applyFill="0" applyBorder="0" applyAlignment="0" applyProtection="0"/>
    <xf numFmtId="9" fontId="134" fillId="0" borderId="0" applyFont="0" applyFill="0" applyBorder="0" applyAlignment="0" applyProtection="0"/>
    <xf numFmtId="0" fontId="134" fillId="0" borderId="0" applyAlignment="0"/>
    <xf numFmtId="0" fontId="102" fillId="0" borderId="0"/>
    <xf numFmtId="0" fontId="105" fillId="41" borderId="0" applyNumberFormat="0" applyBorder="0" applyAlignment="0" applyProtection="0"/>
    <xf numFmtId="43" fontId="36" fillId="0" borderId="0" applyFont="0" applyFill="0" applyBorder="0" applyAlignment="0" applyProtection="0"/>
    <xf numFmtId="0" fontId="109" fillId="42" borderId="0" applyNumberFormat="0" applyBorder="0" applyAlignment="0" applyProtection="0"/>
    <xf numFmtId="0" fontId="113" fillId="45" borderId="34" applyNumberFormat="0" applyAlignment="0" applyProtection="0"/>
    <xf numFmtId="0" fontId="115" fillId="60" borderId="0" applyNumberFormat="0" applyBorder="0" applyAlignment="0" applyProtection="0"/>
    <xf numFmtId="0" fontId="103" fillId="61" borderId="40" applyNumberFormat="0" applyFont="0" applyAlignment="0" applyProtection="0"/>
    <xf numFmtId="9" fontId="36" fillId="0" borderId="0" applyFont="0" applyFill="0" applyBorder="0" applyAlignment="0" applyProtection="0"/>
    <xf numFmtId="0" fontId="135" fillId="0" borderId="0" applyNumberFormat="0" applyBorder="0" applyAlignment="0"/>
    <xf numFmtId="0" fontId="136" fillId="0" borderId="0" applyNumberFormat="0" applyBorder="0" applyAlignment="0"/>
    <xf numFmtId="0" fontId="102" fillId="0" borderId="0"/>
    <xf numFmtId="178" fontId="80" fillId="0" borderId="0"/>
    <xf numFmtId="0" fontId="80" fillId="0" borderId="0"/>
    <xf numFmtId="0" fontId="80" fillId="0" borderId="0" applyNumberFormat="0" applyBorder="0" applyAlignment="0"/>
    <xf numFmtId="0" fontId="135" fillId="0" borderId="0" applyNumberFormat="0" applyBorder="0" applyAlignment="0"/>
    <xf numFmtId="41" fontId="36" fillId="0" borderId="0"/>
    <xf numFmtId="43" fontId="36" fillId="0" borderId="0" applyFill="0" applyBorder="0" applyAlignment="0" applyProtection="0"/>
    <xf numFmtId="44" fontId="125" fillId="0" borderId="0" applyFont="0" applyFill="0" applyBorder="0" applyAlignment="0" applyProtection="0"/>
    <xf numFmtId="9" fontId="125" fillId="0" borderId="0" applyFont="0" applyFill="0" applyBorder="0" applyAlignment="0" applyProtection="0"/>
    <xf numFmtId="44" fontId="125" fillId="0" borderId="0" applyFont="0" applyFill="0" applyBorder="0" applyAlignment="0" applyProtection="0"/>
    <xf numFmtId="9" fontId="125" fillId="0" borderId="0" applyFont="0" applyFill="0" applyBorder="0" applyAlignment="0" applyProtection="0"/>
    <xf numFmtId="41" fontId="137" fillId="0" borderId="0"/>
    <xf numFmtId="44" fontId="125" fillId="0" borderId="0" applyFont="0" applyFill="0" applyBorder="0" applyAlignment="0" applyProtection="0"/>
    <xf numFmtId="9" fontId="125"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44" fontId="103" fillId="0" borderId="0" applyFont="0" applyFill="0" applyBorder="0" applyAlignment="0" applyProtection="0"/>
    <xf numFmtId="179" fontId="138" fillId="0" borderId="0"/>
    <xf numFmtId="180" fontId="138" fillId="0" borderId="0"/>
    <xf numFmtId="0" fontId="103" fillId="0" borderId="0"/>
    <xf numFmtId="0" fontId="36"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6" fillId="0" borderId="0"/>
    <xf numFmtId="0" fontId="103" fillId="0" borderId="0"/>
    <xf numFmtId="0" fontId="103" fillId="0" borderId="0"/>
    <xf numFmtId="0" fontId="103" fillId="0" borderId="0"/>
    <xf numFmtId="0" fontId="103" fillId="0" borderId="0"/>
    <xf numFmtId="0" fontId="138" fillId="0" borderId="0"/>
    <xf numFmtId="9" fontId="103" fillId="0" borderId="0" applyFont="0" applyFill="0" applyBorder="0" applyAlignment="0" applyProtection="0"/>
    <xf numFmtId="9" fontId="103" fillId="0" borderId="0" applyFont="0" applyFill="0" applyBorder="0" applyAlignment="0" applyProtection="0"/>
    <xf numFmtId="9" fontId="103" fillId="0" borderId="0" applyFont="0" applyFill="0" applyBorder="0" applyAlignment="0" applyProtection="0"/>
    <xf numFmtId="0" fontId="80" fillId="0" borderId="0" applyNumberFormat="0" applyBorder="0" applyAlignment="0"/>
    <xf numFmtId="0" fontId="135" fillId="0" borderId="0" applyNumberFormat="0" applyBorder="0" applyAlignment="0"/>
    <xf numFmtId="0" fontId="139" fillId="0" borderId="0"/>
    <xf numFmtId="0" fontId="140" fillId="0" borderId="0"/>
    <xf numFmtId="0" fontId="14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90" fillId="9" borderId="0" applyNumberFormat="0" applyBorder="0" applyAlignment="0" applyProtection="0"/>
    <xf numFmtId="0" fontId="1" fillId="0" borderId="0"/>
    <xf numFmtId="43" fontId="1" fillId="0" borderId="0" applyFont="0" applyFill="0" applyBorder="0" applyAlignment="0" applyProtection="0"/>
    <xf numFmtId="0" fontId="91" fillId="10" borderId="0" applyNumberFormat="0" applyBorder="0" applyAlignment="0" applyProtection="0"/>
    <xf numFmtId="0" fontId="92" fillId="11" borderId="0" applyNumberFormat="0" applyBorder="0" applyAlignment="0" applyProtection="0"/>
    <xf numFmtId="0" fontId="93" fillId="12" borderId="26" applyNumberFormat="0" applyAlignment="0" applyProtection="0"/>
    <xf numFmtId="0" fontId="1" fillId="15" borderId="30" applyNumberFormat="0" applyFont="0" applyAlignment="0" applyProtection="0"/>
    <xf numFmtId="9" fontId="125" fillId="0" borderId="0" applyFont="0" applyFill="0" applyBorder="0" applyAlignment="0" applyProtection="0"/>
    <xf numFmtId="43" fontId="36" fillId="0" borderId="0" applyFill="0" applyBorder="0" applyAlignment="0" applyProtection="0"/>
    <xf numFmtId="43" fontId="36" fillId="0" borderId="0"/>
    <xf numFmtId="0" fontId="21" fillId="0" borderId="0"/>
    <xf numFmtId="43" fontId="36" fillId="0" borderId="0"/>
    <xf numFmtId="43" fontId="36" fillId="0" borderId="0"/>
    <xf numFmtId="43" fontId="36" fillId="0" borderId="0"/>
    <xf numFmtId="43" fontId="36" fillId="0" borderId="0"/>
    <xf numFmtId="43" fontId="36" fillId="0" borderId="0"/>
    <xf numFmtId="43" fontId="36" fillId="0" borderId="0"/>
    <xf numFmtId="43" fontId="36" fillId="0" borderId="0"/>
    <xf numFmtId="43" fontId="125" fillId="0" borderId="0" applyFont="0" applyFill="0" applyBorder="0" applyAlignment="0" applyProtection="0"/>
    <xf numFmtId="0" fontId="102" fillId="0" borderId="0"/>
    <xf numFmtId="0" fontId="1" fillId="0" borderId="0"/>
    <xf numFmtId="43" fontId="36" fillId="0" borderId="0" applyFont="0" applyFill="0" applyBorder="0" applyAlignment="0" applyProtection="0"/>
    <xf numFmtId="0" fontId="102" fillId="0" borderId="0"/>
    <xf numFmtId="9" fontId="1" fillId="0" borderId="0" applyFont="0" applyFill="0" applyBorder="0" applyAlignment="0" applyProtection="0"/>
    <xf numFmtId="44"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02" fillId="0" borderId="0"/>
    <xf numFmtId="0" fontId="102"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181" fontId="102" fillId="0" borderId="0" applyFont="0" applyFill="0" applyBorder="0" applyAlignment="0" applyProtection="0"/>
    <xf numFmtId="181" fontId="102" fillId="0" borderId="0" applyFont="0" applyFill="0" applyBorder="0" applyAlignment="0" applyProtection="0"/>
    <xf numFmtId="0" fontId="36" fillId="0" borderId="0"/>
    <xf numFmtId="0" fontId="102" fillId="0" borderId="0"/>
    <xf numFmtId="0" fontId="36" fillId="0" borderId="0"/>
    <xf numFmtId="0" fontId="36" fillId="0" borderId="0"/>
    <xf numFmtId="0" fontId="126" fillId="0" borderId="0">
      <alignment horizontal="left" wrapText="1" indent="4"/>
    </xf>
    <xf numFmtId="0" fontId="126" fillId="0" borderId="0">
      <alignment horizontal="left" wrapText="1" indent="5"/>
    </xf>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 fillId="0" borderId="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02" fillId="0" borderId="0"/>
    <xf numFmtId="44" fontId="102"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02"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02"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05" fillId="41" borderId="0" applyNumberFormat="0" applyBorder="0" applyAlignment="0" applyProtection="0"/>
    <xf numFmtId="176" fontId="142" fillId="0" borderId="0" applyFont="0" applyFill="0" applyBorder="0" applyAlignment="0" applyProtection="0"/>
    <xf numFmtId="44" fontId="36" fillId="0" borderId="0" applyFont="0" applyFill="0" applyBorder="0" applyAlignment="0" applyProtection="0"/>
    <xf numFmtId="182" fontId="138" fillId="0" borderId="0"/>
    <xf numFmtId="0" fontId="109" fillId="42" borderId="0" applyNumberFormat="0" applyBorder="0" applyAlignment="0" applyProtection="0"/>
    <xf numFmtId="0" fontId="113" fillId="45" borderId="34" applyNumberFormat="0" applyAlignment="0" applyProtection="0"/>
    <xf numFmtId="0" fontId="115" fillId="60" borderId="0" applyNumberFormat="0" applyBorder="0" applyAlignment="0" applyProtection="0"/>
    <xf numFmtId="0" fontId="36" fillId="0" borderId="0"/>
    <xf numFmtId="0" fontId="138" fillId="0" borderId="0"/>
    <xf numFmtId="0" fontId="103" fillId="61" borderId="40" applyNumberFormat="0" applyFont="0" applyAlignment="0" applyProtection="0"/>
    <xf numFmtId="9" fontId="103" fillId="0" borderId="0" applyFont="0" applyFill="0" applyBorder="0" applyAlignment="0" applyProtection="0"/>
    <xf numFmtId="9" fontId="36" fillId="0" borderId="0" applyFont="0" applyFill="0" applyBorder="0" applyAlignment="0" applyProtection="0"/>
    <xf numFmtId="0" fontId="138" fillId="0" borderId="0"/>
    <xf numFmtId="0" fontId="143"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6" fillId="0" borderId="0"/>
    <xf numFmtId="0" fontId="1" fillId="0" borderId="0"/>
    <xf numFmtId="0" fontId="36"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4" fillId="0" borderId="0" applyAlignment="0"/>
    <xf numFmtId="0" fontId="80" fillId="0" borderId="0"/>
    <xf numFmtId="0" fontId="102" fillId="0" borderId="0"/>
    <xf numFmtId="0" fontId="133" fillId="0" borderId="0" applyAlignment="0"/>
    <xf numFmtId="0" fontId="134" fillId="0" borderId="0" applyAlignment="0"/>
    <xf numFmtId="0" fontId="133" fillId="0" borderId="0" applyAlignment="0"/>
    <xf numFmtId="0" fontId="133" fillId="0" borderId="0" applyAlignment="0"/>
    <xf numFmtId="0" fontId="133" fillId="0" borderId="0" applyAlignment="0"/>
    <xf numFmtId="0" fontId="133" fillId="0" borderId="0" applyAlignment="0"/>
    <xf numFmtId="0" fontId="133" fillId="0" borderId="0" applyAlignment="0"/>
    <xf numFmtId="0" fontId="80" fillId="0" borderId="0"/>
    <xf numFmtId="0" fontId="133" fillId="0" borderId="0" applyAlignment="0"/>
    <xf numFmtId="0" fontId="102" fillId="0" borderId="0"/>
    <xf numFmtId="0" fontId="102" fillId="0" borderId="0"/>
    <xf numFmtId="0" fontId="133" fillId="0" borderId="0" applyAlignment="0"/>
    <xf numFmtId="0" fontId="133" fillId="0" borderId="0" applyAlignment="0"/>
    <xf numFmtId="0" fontId="102" fillId="0" borderId="0"/>
    <xf numFmtId="0" fontId="133" fillId="0" borderId="0" applyAlignment="0"/>
    <xf numFmtId="0" fontId="133" fillId="0" borderId="0" applyAlignment="0"/>
    <xf numFmtId="0" fontId="133" fillId="0" borderId="0" applyAlignment="0"/>
    <xf numFmtId="0" fontId="102" fillId="0" borderId="0"/>
    <xf numFmtId="0" fontId="102" fillId="0" borderId="0"/>
    <xf numFmtId="0" fontId="133" fillId="0" borderId="0" applyAlignment="0"/>
    <xf numFmtId="0" fontId="1" fillId="0" borderId="0"/>
    <xf numFmtId="0" fontId="36"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34" fillId="0" borderId="0" applyFont="0" applyFill="0" applyBorder="0" applyAlignment="0" applyProtection="0"/>
    <xf numFmtId="0" fontId="133" fillId="0" borderId="0" applyAlignment="0"/>
    <xf numFmtId="0" fontId="133" fillId="0" borderId="0" applyAlignment="0"/>
    <xf numFmtId="0" fontId="133" fillId="0" borderId="0" applyAlignment="0"/>
    <xf numFmtId="0" fontId="133" fillId="0" borderId="0" applyAlignment="0"/>
    <xf numFmtId="0" fontId="133" fillId="0" borderId="0" applyAlignment="0"/>
    <xf numFmtId="0" fontId="133" fillId="0" borderId="0" applyAlignment="0"/>
    <xf numFmtId="0" fontId="133" fillId="0" borderId="0" applyAlignment="0"/>
    <xf numFmtId="0" fontId="133" fillId="0" borderId="0" applyAlignment="0"/>
    <xf numFmtId="0" fontId="102" fillId="0" borderId="0"/>
    <xf numFmtId="0" fontId="102" fillId="0" borderId="0"/>
    <xf numFmtId="0" fontId="133" fillId="0" borderId="0" applyAlignment="0"/>
    <xf numFmtId="0" fontId="133" fillId="0" borderId="0" applyAlignment="0"/>
    <xf numFmtId="0" fontId="102" fillId="0" borderId="0"/>
    <xf numFmtId="0" fontId="133" fillId="0" borderId="0" applyAlignment="0"/>
    <xf numFmtId="0" fontId="133" fillId="0" borderId="0" applyAlignment="0"/>
    <xf numFmtId="0" fontId="133" fillId="0" borderId="0" applyAlignment="0"/>
    <xf numFmtId="0" fontId="134" fillId="0" borderId="0" applyAlignment="0"/>
    <xf numFmtId="0" fontId="134" fillId="0" borderId="0" applyAlignment="0"/>
    <xf numFmtId="0" fontId="133" fillId="0" borderId="0" applyAlignment="0"/>
    <xf numFmtId="9" fontId="134" fillId="0" borderId="0" applyFont="0" applyFill="0" applyBorder="0" applyAlignment="0" applyProtection="0"/>
    <xf numFmtId="0" fontId="134" fillId="0" borderId="0" applyAlignment="0"/>
    <xf numFmtId="0" fontId="133" fillId="0" borderId="0" applyAlignment="0"/>
    <xf numFmtId="0" fontId="133" fillId="0" borderId="0" applyAlignment="0"/>
    <xf numFmtId="0" fontId="133" fillId="0" borderId="0" applyAlignment="0"/>
    <xf numFmtId="0" fontId="134" fillId="0" borderId="0" applyAlignment="0"/>
    <xf numFmtId="0" fontId="134" fillId="0" borderId="0" applyAlignment="0"/>
    <xf numFmtId="43" fontId="134" fillId="0" borderId="0" applyFont="0" applyFill="0" applyBorder="0" applyAlignment="0" applyProtection="0"/>
    <xf numFmtId="9" fontId="134" fillId="0" borderId="0" applyFont="0" applyFill="0" applyBorder="0" applyAlignment="0" applyProtection="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4" fillId="0" borderId="0" applyAlignment="0"/>
    <xf numFmtId="43" fontId="134" fillId="0" borderId="0" applyFont="0" applyFill="0" applyBorder="0" applyAlignment="0" applyProtection="0"/>
    <xf numFmtId="9" fontId="134" fillId="0" borderId="0" applyFont="0" applyFill="0" applyBorder="0" applyAlignment="0" applyProtection="0"/>
    <xf numFmtId="0" fontId="134" fillId="0" borderId="0" applyAlignment="0"/>
    <xf numFmtId="0" fontId="134" fillId="0" borderId="0" applyAlignment="0"/>
    <xf numFmtId="0" fontId="134" fillId="0" borderId="0" applyAlignment="0"/>
    <xf numFmtId="0" fontId="134" fillId="0" borderId="0" applyAlignment="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01" fillId="0" borderId="0"/>
    <xf numFmtId="0" fontId="1" fillId="15" borderId="30" applyNumberFormat="0" applyFont="0" applyAlignment="0" applyProtection="0"/>
    <xf numFmtId="9" fontId="101" fillId="0" borderId="0" applyFont="0" applyFill="0" applyBorder="0" applyAlignment="0" applyProtection="0"/>
    <xf numFmtId="0" fontId="57" fillId="0" borderId="0"/>
    <xf numFmtId="0" fontId="36" fillId="0" borderId="0"/>
    <xf numFmtId="9" fontId="1" fillId="0" borderId="0" applyFont="0" applyFill="0" applyBorder="0" applyAlignment="0" applyProtection="0"/>
    <xf numFmtId="40" fontId="57"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81" fillId="0" borderId="0" applyFont="0" applyFill="0" applyBorder="0" applyAlignment="0" applyProtection="0"/>
    <xf numFmtId="0" fontId="80" fillId="0" borderId="0">
      <alignment vertical="top"/>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6" fillId="0" borderId="0"/>
    <xf numFmtId="44" fontId="5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580">
    <xf numFmtId="0" fontId="0" fillId="0" borderId="0" xfId="0"/>
    <xf numFmtId="0" fontId="3" fillId="0" borderId="0" xfId="0" applyFont="1"/>
    <xf numFmtId="0" fontId="5" fillId="0" borderId="0" xfId="0" applyFont="1"/>
    <xf numFmtId="0" fontId="6" fillId="0" borderId="0" xfId="0" applyFont="1"/>
    <xf numFmtId="0" fontId="0" fillId="0" borderId="0" xfId="0" applyAlignment="1">
      <alignment wrapText="1"/>
    </xf>
    <xf numFmtId="0" fontId="8" fillId="0" borderId="0" xfId="0" applyFont="1"/>
    <xf numFmtId="0" fontId="3" fillId="0" borderId="0" xfId="0" applyFont="1" applyAlignment="1">
      <alignment horizontal="center" wrapText="1"/>
    </xf>
    <xf numFmtId="0" fontId="8" fillId="0" borderId="0" xfId="0" applyFont="1" applyAlignment="1">
      <alignment wrapText="1"/>
    </xf>
    <xf numFmtId="165" fontId="0" fillId="2" borderId="1" xfId="1" applyNumberFormat="1" applyFont="1" applyFill="1" applyBorder="1"/>
    <xf numFmtId="165" fontId="3" fillId="2" borderId="1" xfId="1" applyNumberFormat="1" applyFont="1" applyFill="1" applyBorder="1"/>
    <xf numFmtId="0" fontId="3" fillId="3" borderId="1" xfId="0" applyFont="1" applyFill="1" applyBorder="1" applyAlignment="1">
      <alignment horizontal="center" wrapText="1"/>
    </xf>
    <xf numFmtId="43" fontId="0" fillId="0" borderId="0" xfId="1" applyFont="1"/>
    <xf numFmtId="43" fontId="8" fillId="0" borderId="0" xfId="1" applyFont="1" applyAlignment="1"/>
    <xf numFmtId="165" fontId="0" fillId="0" borderId="0" xfId="1" applyNumberFormat="1" applyFont="1"/>
    <xf numFmtId="165" fontId="8" fillId="0" borderId="0" xfId="1" applyNumberFormat="1" applyFont="1" applyAlignment="1"/>
    <xf numFmtId="165" fontId="3" fillId="3" borderId="2" xfId="1" applyNumberFormat="1" applyFont="1" applyFill="1" applyBorder="1" applyAlignment="1">
      <alignment horizontal="center" wrapText="1"/>
    </xf>
    <xf numFmtId="43" fontId="3" fillId="3" borderId="2" xfId="1" applyFont="1" applyFill="1" applyBorder="1" applyAlignment="1">
      <alignment horizontal="center" wrapText="1"/>
    </xf>
    <xf numFmtId="44" fontId="3" fillId="2" borderId="1" xfId="2" applyFont="1" applyFill="1" applyBorder="1"/>
    <xf numFmtId="166" fontId="3" fillId="2" borderId="1" xfId="2" applyNumberFormat="1" applyFont="1" applyFill="1" applyBorder="1"/>
    <xf numFmtId="0" fontId="0" fillId="0" borderId="1" xfId="0" applyBorder="1" applyAlignment="1">
      <alignment horizontal="center" vertical="center"/>
    </xf>
    <xf numFmtId="0" fontId="0" fillId="0" borderId="1" xfId="0" applyBorder="1" applyAlignment="1">
      <alignment vertical="center" wrapText="1"/>
    </xf>
    <xf numFmtId="44" fontId="0" fillId="2" borderId="1" xfId="2" applyFont="1" applyFill="1" applyBorder="1" applyAlignment="1">
      <alignment vertical="center"/>
    </xf>
    <xf numFmtId="0" fontId="0" fillId="0" borderId="0" xfId="0" applyAlignment="1">
      <alignment vertical="center"/>
    </xf>
    <xf numFmtId="0" fontId="0" fillId="3" borderId="1" xfId="0" applyFill="1" applyBorder="1" applyAlignment="1">
      <alignment horizontal="center"/>
    </xf>
    <xf numFmtId="0" fontId="0" fillId="0" borderId="1" xfId="0" applyBorder="1" applyAlignment="1">
      <alignment horizontal="center"/>
    </xf>
    <xf numFmtId="44" fontId="3" fillId="0" borderId="0" xfId="2" applyFont="1" applyFill="1" applyBorder="1"/>
    <xf numFmtId="166" fontId="0" fillId="0" borderId="1" xfId="2" applyNumberFormat="1" applyFont="1" applyFill="1" applyBorder="1"/>
    <xf numFmtId="165" fontId="3" fillId="2" borderId="1" xfId="0" applyNumberFormat="1" applyFont="1" applyFill="1" applyBorder="1"/>
    <xf numFmtId="9" fontId="0" fillId="0" borderId="0" xfId="3" applyFont="1"/>
    <xf numFmtId="9" fontId="3" fillId="2" borderId="1" xfId="3" applyFont="1" applyFill="1" applyBorder="1"/>
    <xf numFmtId="166" fontId="3" fillId="2" borderId="1" xfId="0" applyNumberFormat="1" applyFont="1" applyFill="1" applyBorder="1"/>
    <xf numFmtId="165" fontId="0" fillId="0" borderId="1" xfId="1" applyNumberFormat="1" applyFont="1" applyFill="1" applyBorder="1"/>
    <xf numFmtId="165" fontId="0" fillId="4" borderId="1" xfId="1" applyNumberFormat="1" applyFont="1" applyFill="1" applyBorder="1" applyAlignment="1">
      <alignment vertical="center"/>
    </xf>
    <xf numFmtId="0" fontId="10" fillId="0" borderId="0" xfId="0" applyFont="1" applyAlignment="1">
      <alignment vertical="center"/>
    </xf>
    <xf numFmtId="0" fontId="0" fillId="0" borderId="0" xfId="0" applyAlignment="1">
      <alignment vertical="top"/>
    </xf>
    <xf numFmtId="164" fontId="0" fillId="0" borderId="0" xfId="0" applyNumberFormat="1" applyAlignment="1">
      <alignment horizontal="left"/>
    </xf>
    <xf numFmtId="0" fontId="2" fillId="0" borderId="0" xfId="0" applyFont="1" applyAlignment="1">
      <alignment vertical="top"/>
    </xf>
    <xf numFmtId="0" fontId="3" fillId="0" borderId="0" xfId="0" applyFont="1" applyAlignment="1">
      <alignment horizontal="right"/>
    </xf>
    <xf numFmtId="0" fontId="12" fillId="0" borderId="0" xfId="0" applyFont="1" applyAlignment="1">
      <alignment horizontal="right" vertical="top"/>
    </xf>
    <xf numFmtId="166" fontId="1" fillId="2" borderId="1" xfId="2" applyNumberFormat="1" applyFont="1" applyFill="1" applyBorder="1"/>
    <xf numFmtId="0" fontId="9" fillId="0" borderId="0" xfId="0" applyFont="1"/>
    <xf numFmtId="0" fontId="14" fillId="0" borderId="0" xfId="0" applyFont="1"/>
    <xf numFmtId="164" fontId="3" fillId="0" borderId="0" xfId="0" applyNumberFormat="1" applyFont="1" applyAlignment="1">
      <alignment horizontal="right"/>
    </xf>
    <xf numFmtId="44" fontId="4" fillId="2" borderId="1" xfId="2" applyFont="1" applyFill="1" applyBorder="1"/>
    <xf numFmtId="164" fontId="4" fillId="0" borderId="0" xfId="0" applyNumberFormat="1" applyFont="1" applyAlignment="1">
      <alignment horizontal="right"/>
    </xf>
    <xf numFmtId="166" fontId="0" fillId="0" borderId="0" xfId="2" applyNumberFormat="1" applyFont="1" applyFill="1" applyBorder="1"/>
    <xf numFmtId="164" fontId="0" fillId="0" borderId="0" xfId="0" applyNumberFormat="1" applyAlignment="1">
      <alignment horizontal="right"/>
    </xf>
    <xf numFmtId="43" fontId="0" fillId="2" borderId="1" xfId="1" applyFont="1" applyFill="1" applyBorder="1" applyAlignment="1">
      <alignment vertical="center"/>
    </xf>
    <xf numFmtId="0" fontId="2" fillId="0" borderId="0" xfId="0" applyFont="1"/>
    <xf numFmtId="0" fontId="2" fillId="0" borderId="0" xfId="0" applyFont="1" applyAlignment="1">
      <alignment wrapText="1"/>
    </xf>
    <xf numFmtId="165" fontId="2" fillId="0" borderId="0" xfId="1" applyNumberFormat="1" applyFont="1"/>
    <xf numFmtId="0" fontId="16" fillId="0" borderId="0" xfId="0" applyFont="1" applyAlignment="1">
      <alignment wrapText="1"/>
    </xf>
    <xf numFmtId="165" fontId="16" fillId="0" borderId="0" xfId="1" applyNumberFormat="1" applyFont="1" applyAlignment="1"/>
    <xf numFmtId="0" fontId="2" fillId="0" borderId="0" xfId="0" applyFont="1" applyAlignment="1">
      <alignment horizontal="left"/>
    </xf>
    <xf numFmtId="0" fontId="2" fillId="0" borderId="0" xfId="0" quotePrefix="1" applyFont="1"/>
    <xf numFmtId="0" fontId="2" fillId="0" borderId="0" xfId="0" quotePrefix="1" applyFont="1" applyAlignment="1">
      <alignment horizontal="left"/>
    </xf>
    <xf numFmtId="164" fontId="0" fillId="0" borderId="0" xfId="0" applyNumberFormat="1"/>
    <xf numFmtId="0" fontId="17" fillId="0" borderId="0" xfId="0" applyFont="1"/>
    <xf numFmtId="166" fontId="17" fillId="0" borderId="3" xfId="0" applyNumberFormat="1" applyFont="1" applyBorder="1"/>
    <xf numFmtId="166" fontId="17" fillId="0" borderId="0" xfId="0" applyNumberFormat="1" applyFont="1"/>
    <xf numFmtId="164" fontId="2" fillId="0" borderId="0" xfId="0" applyNumberFormat="1" applyFont="1" applyAlignment="1">
      <alignment horizontal="left"/>
    </xf>
    <xf numFmtId="0" fontId="18" fillId="0" borderId="0" xfId="0" applyFont="1"/>
    <xf numFmtId="0" fontId="13" fillId="0" borderId="0" xfId="0" applyFont="1" applyAlignment="1">
      <alignment horizontal="left" vertical="top" wrapText="1"/>
    </xf>
    <xf numFmtId="0" fontId="19" fillId="0" borderId="0" xfId="0" applyFont="1" applyAlignment="1">
      <alignment vertical="center"/>
    </xf>
    <xf numFmtId="0" fontId="22" fillId="0" borderId="0" xfId="0" applyFont="1"/>
    <xf numFmtId="0" fontId="21" fillId="0" borderId="0" xfId="0" applyFont="1"/>
    <xf numFmtId="0" fontId="22" fillId="0" borderId="0" xfId="0" applyFont="1" applyAlignment="1">
      <alignment wrapText="1"/>
    </xf>
    <xf numFmtId="0" fontId="21" fillId="0" borderId="0" xfId="0" applyFont="1" applyAlignment="1">
      <alignment wrapText="1"/>
    </xf>
    <xf numFmtId="166" fontId="0" fillId="2" borderId="1" xfId="2" applyNumberFormat="1" applyFont="1" applyFill="1" applyBorder="1"/>
    <xf numFmtId="0" fontId="0" fillId="0" borderId="0" xfId="0" applyAlignment="1">
      <alignment horizontal="center"/>
    </xf>
    <xf numFmtId="0" fontId="15" fillId="0" borderId="0" xfId="0" applyFont="1"/>
    <xf numFmtId="0" fontId="3" fillId="0" borderId="0" xfId="0" applyFont="1" applyAlignment="1">
      <alignment horizontal="left"/>
    </xf>
    <xf numFmtId="0" fontId="19" fillId="0" borderId="0" xfId="0" applyFont="1"/>
    <xf numFmtId="0" fontId="20" fillId="0" borderId="0" xfId="0" applyFont="1"/>
    <xf numFmtId="0" fontId="23" fillId="0" borderId="0" xfId="0" applyFont="1"/>
    <xf numFmtId="166" fontId="20" fillId="2" borderId="10" xfId="2" applyNumberFormat="1" applyFont="1" applyFill="1" applyBorder="1"/>
    <xf numFmtId="0" fontId="17" fillId="0" borderId="0" xfId="0" applyFont="1" applyAlignment="1">
      <alignment horizontal="right"/>
    </xf>
    <xf numFmtId="0" fontId="3" fillId="0" borderId="1" xfId="0" applyFont="1" applyBorder="1" applyAlignment="1">
      <alignment horizontal="center"/>
    </xf>
    <xf numFmtId="0" fontId="3" fillId="0" borderId="0" xfId="0" applyFont="1" applyAlignment="1">
      <alignment horizontal="center"/>
    </xf>
    <xf numFmtId="0" fontId="11" fillId="0" borderId="0" xfId="0" applyFont="1" applyAlignment="1">
      <alignment vertical="top"/>
    </xf>
    <xf numFmtId="0" fontId="24" fillId="0" borderId="0" xfId="0" applyFont="1" applyAlignment="1">
      <alignment vertical="top"/>
    </xf>
    <xf numFmtId="165" fontId="3" fillId="0" borderId="0" xfId="1" applyNumberFormat="1" applyFont="1" applyFill="1" applyBorder="1" applyAlignment="1">
      <alignment horizontal="center" wrapText="1"/>
    </xf>
    <xf numFmtId="0" fontId="0" fillId="0" borderId="3" xfId="0" applyBorder="1"/>
    <xf numFmtId="0" fontId="25" fillId="0" borderId="0" xfId="0" quotePrefix="1" applyFont="1" applyAlignment="1">
      <alignment vertical="top"/>
    </xf>
    <xf numFmtId="0" fontId="0" fillId="0" borderId="1" xfId="0" applyBorder="1" applyAlignment="1">
      <alignment horizontal="center" vertical="top"/>
    </xf>
    <xf numFmtId="44" fontId="3" fillId="2" borderId="1" xfId="2" applyFont="1" applyFill="1" applyBorder="1" applyAlignment="1">
      <alignment vertical="top"/>
    </xf>
    <xf numFmtId="166" fontId="0" fillId="2" borderId="1" xfId="0" applyNumberFormat="1" applyFill="1" applyBorder="1" applyAlignment="1">
      <alignment vertical="top"/>
    </xf>
    <xf numFmtId="165" fontId="0" fillId="6" borderId="9" xfId="1" applyNumberFormat="1" applyFont="1" applyFill="1" applyBorder="1" applyAlignment="1">
      <alignment vertical="center"/>
    </xf>
    <xf numFmtId="165" fontId="0" fillId="6" borderId="0" xfId="1" applyNumberFormat="1" applyFont="1" applyFill="1" applyBorder="1" applyAlignment="1">
      <alignment vertical="center"/>
    </xf>
    <xf numFmtId="165" fontId="0" fillId="6" borderId="13" xfId="1" applyNumberFormat="1" applyFont="1" applyFill="1" applyBorder="1" applyAlignment="1">
      <alignment vertical="center"/>
    </xf>
    <xf numFmtId="165" fontId="0" fillId="6" borderId="15" xfId="1" applyNumberFormat="1" applyFont="1" applyFill="1" applyBorder="1" applyAlignment="1">
      <alignment vertical="center"/>
    </xf>
    <xf numFmtId="167" fontId="0" fillId="2" borderId="2" xfId="3" applyNumberFormat="1" applyFont="1" applyFill="1" applyBorder="1" applyAlignment="1">
      <alignment horizontal="center" vertical="top"/>
    </xf>
    <xf numFmtId="0" fontId="12" fillId="0" borderId="0" xfId="0" applyFont="1" applyAlignment="1">
      <alignment horizontal="left"/>
    </xf>
    <xf numFmtId="0" fontId="26" fillId="0" borderId="1" xfId="0" applyFont="1" applyBorder="1" applyAlignment="1">
      <alignment horizontal="center" vertical="top" wrapText="1"/>
    </xf>
    <xf numFmtId="0" fontId="26" fillId="0" borderId="1" xfId="0" applyFont="1" applyBorder="1" applyAlignment="1">
      <alignment horizontal="center" wrapText="1"/>
    </xf>
    <xf numFmtId="0" fontId="26" fillId="0" borderId="18" xfId="0" applyFont="1" applyBorder="1" applyAlignment="1">
      <alignment horizontal="center" wrapText="1"/>
    </xf>
    <xf numFmtId="0" fontId="26" fillId="0" borderId="19" xfId="0" applyFont="1" applyBorder="1" applyAlignment="1">
      <alignment horizontal="center"/>
    </xf>
    <xf numFmtId="0" fontId="27" fillId="0" borderId="0" xfId="0" applyFont="1" applyAlignment="1">
      <alignment horizontal="center" wrapText="1"/>
    </xf>
    <xf numFmtId="165" fontId="26" fillId="4" borderId="1" xfId="1" applyNumberFormat="1" applyFont="1" applyFill="1" applyBorder="1" applyAlignment="1">
      <alignment vertical="center"/>
    </xf>
    <xf numFmtId="0" fontId="26" fillId="0" borderId="17" xfId="0" applyFont="1" applyBorder="1" applyAlignment="1">
      <alignment horizontal="center" vertical="top" wrapText="1"/>
    </xf>
    <xf numFmtId="0" fontId="26" fillId="0" borderId="0" xfId="0" applyFont="1"/>
    <xf numFmtId="0" fontId="0" fillId="0" borderId="17" xfId="0" applyBorder="1" applyAlignment="1">
      <alignment horizontal="center" vertical="top"/>
    </xf>
    <xf numFmtId="0" fontId="0" fillId="0" borderId="18" xfId="0" applyBorder="1" applyAlignment="1">
      <alignment horizontal="center" vertical="top"/>
    </xf>
    <xf numFmtId="0" fontId="0" fillId="0" borderId="19" xfId="0" applyBorder="1" applyAlignment="1">
      <alignment horizontal="center" vertical="top"/>
    </xf>
    <xf numFmtId="0" fontId="0" fillId="0" borderId="14" xfId="0" applyBorder="1" applyAlignment="1">
      <alignment horizontal="center" vertical="top"/>
    </xf>
    <xf numFmtId="0" fontId="0" fillId="0" borderId="16" xfId="0" applyBorder="1" applyAlignment="1">
      <alignment horizontal="center" vertical="top"/>
    </xf>
    <xf numFmtId="165" fontId="3" fillId="2" borderId="2" xfId="0" applyNumberFormat="1" applyFont="1" applyFill="1" applyBorder="1"/>
    <xf numFmtId="165" fontId="3" fillId="2" borderId="8" xfId="0" applyNumberFormat="1" applyFont="1" applyFill="1" applyBorder="1"/>
    <xf numFmtId="165" fontId="3" fillId="2" borderId="18" xfId="0" applyNumberFormat="1" applyFont="1" applyFill="1" applyBorder="1"/>
    <xf numFmtId="165" fontId="0" fillId="6" borderId="11" xfId="1" applyNumberFormat="1" applyFont="1" applyFill="1" applyBorder="1" applyAlignment="1">
      <alignment vertical="center"/>
    </xf>
    <xf numFmtId="165" fontId="0" fillId="6" borderId="3" xfId="1" applyNumberFormat="1" applyFont="1" applyFill="1" applyBorder="1" applyAlignment="1">
      <alignment vertical="center"/>
    </xf>
    <xf numFmtId="0" fontId="26" fillId="0" borderId="0" xfId="0" applyFont="1" applyAlignment="1">
      <alignment horizontal="center" vertical="top" wrapText="1"/>
    </xf>
    <xf numFmtId="0" fontId="26" fillId="0" borderId="0" xfId="0" applyFont="1" applyAlignment="1">
      <alignment horizontal="center" wrapText="1"/>
    </xf>
    <xf numFmtId="0" fontId="26" fillId="0" borderId="0" xfId="0" applyFont="1" applyAlignment="1">
      <alignment horizontal="center"/>
    </xf>
    <xf numFmtId="0" fontId="26" fillId="0" borderId="18" xfId="0" applyFont="1" applyBorder="1" applyAlignment="1">
      <alignment horizontal="center" vertical="top" wrapText="1"/>
    </xf>
    <xf numFmtId="0" fontId="26" fillId="0" borderId="19" xfId="0" applyFont="1" applyBorder="1" applyAlignment="1">
      <alignment horizontal="center" vertical="top" wrapText="1"/>
    </xf>
    <xf numFmtId="165" fontId="0" fillId="5" borderId="1" xfId="1" applyNumberFormat="1" applyFont="1" applyFill="1" applyBorder="1" applyAlignment="1" applyProtection="1">
      <alignment vertical="center"/>
      <protection locked="0"/>
    </xf>
    <xf numFmtId="166" fontId="0" fillId="5" borderId="1" xfId="2" applyNumberFormat="1" applyFont="1" applyFill="1" applyBorder="1" applyProtection="1">
      <protection locked="0"/>
    </xf>
    <xf numFmtId="0" fontId="3" fillId="5" borderId="1" xfId="0" applyFont="1" applyFill="1" applyBorder="1" applyAlignment="1" applyProtection="1">
      <alignment horizontal="center"/>
      <protection locked="0"/>
    </xf>
    <xf numFmtId="43" fontId="0" fillId="5" borderId="1" xfId="1" applyFont="1" applyFill="1" applyBorder="1" applyProtection="1">
      <protection locked="0"/>
    </xf>
    <xf numFmtId="0" fontId="0" fillId="5" borderId="2" xfId="0" applyFill="1" applyBorder="1" applyAlignment="1" applyProtection="1">
      <alignment horizontal="center" vertical="top"/>
      <protection locked="0"/>
    </xf>
    <xf numFmtId="37" fontId="0" fillId="5" borderId="2" xfId="1" applyNumberFormat="1" applyFont="1" applyFill="1" applyBorder="1" applyAlignment="1" applyProtection="1">
      <alignment horizontal="center" vertical="top"/>
      <protection locked="0"/>
    </xf>
    <xf numFmtId="165" fontId="0" fillId="5" borderId="17" xfId="1" applyNumberFormat="1" applyFont="1" applyFill="1" applyBorder="1" applyAlignment="1" applyProtection="1">
      <alignment vertical="top"/>
      <protection locked="0"/>
    </xf>
    <xf numFmtId="165" fontId="0" fillId="5" borderId="18" xfId="1" applyNumberFormat="1" applyFont="1" applyFill="1" applyBorder="1" applyProtection="1">
      <protection locked="0"/>
    </xf>
    <xf numFmtId="165" fontId="0" fillId="5" borderId="19" xfId="1" applyNumberFormat="1" applyFont="1" applyFill="1" applyBorder="1" applyProtection="1">
      <protection locked="0"/>
    </xf>
    <xf numFmtId="166" fontId="0" fillId="5" borderId="1" xfId="2" applyNumberFormat="1" applyFont="1" applyFill="1" applyBorder="1" applyAlignment="1" applyProtection="1">
      <alignment vertical="top"/>
      <protection locked="0"/>
    </xf>
    <xf numFmtId="0" fontId="2" fillId="0" borderId="0" xfId="0" applyFont="1" applyAlignment="1">
      <alignment horizontal="left" vertical="top" wrapText="1"/>
    </xf>
    <xf numFmtId="0" fontId="9" fillId="0" borderId="0" xfId="0" applyFont="1" applyAlignment="1">
      <alignment vertical="center"/>
    </xf>
    <xf numFmtId="0" fontId="9" fillId="0" borderId="0" xfId="0" applyFont="1" applyAlignment="1">
      <alignment horizontal="center" wrapText="1"/>
    </xf>
    <xf numFmtId="0" fontId="28" fillId="0" borderId="0" xfId="0" applyFont="1"/>
    <xf numFmtId="0" fontId="13" fillId="0" borderId="0" xfId="0" applyFont="1" applyAlignment="1">
      <alignment vertical="top" wrapText="1"/>
    </xf>
    <xf numFmtId="0" fontId="0" fillId="0" borderId="9" xfId="0" applyBorder="1" applyAlignment="1">
      <alignment horizontal="center" vertical="top"/>
    </xf>
    <xf numFmtId="0" fontId="0" fillId="0" borderId="0" xfId="0" applyAlignment="1">
      <alignment horizontal="center" vertical="top"/>
    </xf>
    <xf numFmtId="168" fontId="0" fillId="5" borderId="2" xfId="1" applyNumberFormat="1" applyFont="1" applyFill="1" applyBorder="1" applyAlignment="1" applyProtection="1">
      <alignment horizontal="center" vertical="top"/>
      <protection locked="0"/>
    </xf>
    <xf numFmtId="168" fontId="0" fillId="0" borderId="9" xfId="0" applyNumberFormat="1" applyBorder="1" applyAlignment="1">
      <alignment horizontal="center" vertical="top"/>
    </xf>
    <xf numFmtId="168" fontId="0" fillId="0" borderId="0" xfId="0" applyNumberFormat="1" applyAlignment="1">
      <alignment horizontal="center" vertical="top"/>
    </xf>
    <xf numFmtId="168" fontId="0" fillId="0" borderId="0" xfId="1" applyNumberFormat="1" applyFont="1" applyAlignment="1">
      <alignment horizontal="center"/>
    </xf>
    <xf numFmtId="168" fontId="0" fillId="0" borderId="0" xfId="0" applyNumberFormat="1" applyAlignment="1">
      <alignment horizontal="center"/>
    </xf>
    <xf numFmtId="37" fontId="0" fillId="2" borderId="2" xfId="1" applyNumberFormat="1" applyFont="1" applyFill="1" applyBorder="1" applyAlignment="1" applyProtection="1">
      <alignment horizontal="center" vertical="top"/>
      <protection locked="0"/>
    </xf>
    <xf numFmtId="0" fontId="2" fillId="0" borderId="0" xfId="0" applyFont="1" applyAlignment="1">
      <alignment vertical="center"/>
    </xf>
    <xf numFmtId="0" fontId="29" fillId="0" borderId="0" xfId="0" applyFont="1" applyAlignment="1">
      <alignment vertical="center"/>
    </xf>
    <xf numFmtId="0" fontId="30" fillId="0" borderId="0" xfId="0" applyFont="1"/>
    <xf numFmtId="0" fontId="20" fillId="0" borderId="0" xfId="0" applyFont="1" applyAlignment="1">
      <alignment horizontal="left"/>
    </xf>
    <xf numFmtId="165" fontId="9" fillId="0" borderId="0" xfId="1" applyNumberFormat="1" applyFont="1"/>
    <xf numFmtId="168" fontId="2" fillId="0" borderId="14" xfId="0" applyNumberFormat="1" applyFont="1" applyBorder="1" applyAlignment="1">
      <alignment horizontal="center"/>
    </xf>
    <xf numFmtId="168" fontId="2" fillId="0" borderId="16" xfId="0" applyNumberFormat="1" applyFont="1" applyBorder="1" applyAlignment="1">
      <alignment horizontal="center"/>
    </xf>
    <xf numFmtId="168" fontId="2" fillId="0" borderId="12" xfId="0" applyNumberFormat="1" applyFont="1" applyBorder="1" applyAlignment="1">
      <alignment horizontal="center"/>
    </xf>
    <xf numFmtId="43" fontId="26" fillId="2" borderId="1" xfId="1" applyFont="1" applyFill="1" applyBorder="1" applyAlignment="1">
      <alignment vertical="center"/>
    </xf>
    <xf numFmtId="44" fontId="26" fillId="2" borderId="1" xfId="2" applyFont="1" applyFill="1" applyBorder="1" applyAlignment="1">
      <alignment vertical="center"/>
    </xf>
    <xf numFmtId="165" fontId="26" fillId="5" borderId="1" xfId="1" applyNumberFormat="1" applyFont="1" applyFill="1" applyBorder="1" applyAlignment="1" applyProtection="1">
      <alignment vertical="center"/>
      <protection locked="0"/>
    </xf>
    <xf numFmtId="0" fontId="27" fillId="3" borderId="1" xfId="0" applyFont="1" applyFill="1" applyBorder="1" applyAlignment="1">
      <alignment horizontal="center" wrapText="1"/>
    </xf>
    <xf numFmtId="0" fontId="27" fillId="0" borderId="7" xfId="0" applyFont="1" applyBorder="1" applyAlignment="1">
      <alignment horizontal="left"/>
    </xf>
    <xf numFmtId="0" fontId="27" fillId="0" borderId="7" xfId="0" applyFont="1" applyBorder="1" applyAlignment="1">
      <alignment horizontal="center"/>
    </xf>
    <xf numFmtId="0" fontId="27" fillId="0" borderId="7" xfId="0" applyFont="1" applyBorder="1" applyAlignment="1">
      <alignment horizontal="center" wrapText="1"/>
    </xf>
    <xf numFmtId="0" fontId="26" fillId="0" borderId="1" xfId="0" applyFont="1" applyBorder="1" applyAlignment="1">
      <alignment horizontal="center" vertical="center"/>
    </xf>
    <xf numFmtId="43" fontId="26" fillId="5" borderId="1" xfId="1" applyFont="1" applyFill="1" applyBorder="1" applyAlignment="1" applyProtection="1">
      <alignment vertical="center"/>
      <protection locked="0"/>
    </xf>
    <xf numFmtId="166" fontId="26" fillId="5" borderId="1" xfId="2" applyNumberFormat="1" applyFont="1" applyFill="1" applyBorder="1" applyAlignment="1" applyProtection="1">
      <alignment vertical="center"/>
      <protection locked="0"/>
    </xf>
    <xf numFmtId="166" fontId="26" fillId="2" borderId="1" xfId="2" applyNumberFormat="1" applyFont="1" applyFill="1" applyBorder="1" applyAlignment="1">
      <alignment vertical="center"/>
    </xf>
    <xf numFmtId="43" fontId="27" fillId="2" borderId="1" xfId="1" applyFont="1" applyFill="1" applyBorder="1" applyAlignment="1">
      <alignment vertical="center"/>
    </xf>
    <xf numFmtId="166" fontId="27" fillId="2" borderId="1" xfId="2" applyNumberFormat="1" applyFont="1" applyFill="1" applyBorder="1" applyAlignment="1">
      <alignment vertical="center"/>
    </xf>
    <xf numFmtId="0" fontId="26" fillId="0" borderId="7" xfId="0" applyFont="1" applyBorder="1" applyAlignment="1">
      <alignment horizontal="center" vertical="center"/>
    </xf>
    <xf numFmtId="0" fontId="27" fillId="0" borderId="7" xfId="0" applyFont="1" applyBorder="1" applyAlignment="1">
      <alignment horizontal="left" vertical="center"/>
    </xf>
    <xf numFmtId="43" fontId="27" fillId="0" borderId="7" xfId="1" applyFont="1" applyFill="1" applyBorder="1" applyAlignment="1">
      <alignment vertical="center"/>
    </xf>
    <xf numFmtId="166" fontId="27" fillId="0" borderId="7" xfId="2" applyNumberFormat="1" applyFont="1" applyFill="1" applyBorder="1" applyAlignment="1">
      <alignment vertical="center"/>
    </xf>
    <xf numFmtId="166" fontId="26" fillId="0" borderId="1" xfId="2" applyNumberFormat="1" applyFont="1" applyFill="1" applyBorder="1" applyAlignment="1">
      <alignment vertical="center"/>
    </xf>
    <xf numFmtId="0" fontId="27" fillId="0" borderId="1" xfId="0" applyFont="1" applyBorder="1" applyAlignment="1">
      <alignment horizontal="center" vertical="center"/>
    </xf>
    <xf numFmtId="0" fontId="26" fillId="0" borderId="7" xfId="0" applyFont="1" applyBorder="1" applyAlignment="1">
      <alignment horizontal="left" vertical="center"/>
    </xf>
    <xf numFmtId="0" fontId="26" fillId="0" borderId="5" xfId="0" applyFont="1" applyBorder="1" applyAlignment="1">
      <alignment horizontal="left" vertical="center"/>
    </xf>
    <xf numFmtId="166" fontId="33" fillId="2" borderId="1" xfId="2" applyNumberFormat="1" applyFont="1" applyFill="1" applyBorder="1" applyAlignment="1">
      <alignment vertical="center"/>
    </xf>
    <xf numFmtId="0" fontId="26" fillId="0" borderId="0" xfId="0" applyFont="1" applyAlignment="1">
      <alignment vertical="center"/>
    </xf>
    <xf numFmtId="0" fontId="26" fillId="0" borderId="0" xfId="0" applyFont="1" applyAlignment="1">
      <alignment horizontal="center" vertical="center"/>
    </xf>
    <xf numFmtId="10" fontId="26" fillId="2" borderId="1" xfId="3" applyNumberFormat="1" applyFont="1" applyFill="1" applyBorder="1" applyAlignment="1">
      <alignment horizontal="center"/>
    </xf>
    <xf numFmtId="0" fontId="26" fillId="0" borderId="6" xfId="0" applyFont="1" applyBorder="1" applyAlignment="1">
      <alignment horizontal="left" vertical="center"/>
    </xf>
    <xf numFmtId="0" fontId="31" fillId="0" borderId="0" xfId="0" applyFont="1" applyAlignment="1">
      <alignment horizontal="left" vertical="top" wrapText="1"/>
    </xf>
    <xf numFmtId="0" fontId="26" fillId="3" borderId="1" xfId="0" applyFont="1" applyFill="1" applyBorder="1" applyAlignment="1">
      <alignment horizontal="center"/>
    </xf>
    <xf numFmtId="0" fontId="26" fillId="0" borderId="0" xfId="0" applyFont="1" applyAlignment="1">
      <alignment wrapText="1"/>
    </xf>
    <xf numFmtId="0" fontId="26" fillId="0" borderId="6" xfId="0" applyFont="1" applyBorder="1" applyAlignment="1">
      <alignment horizontal="center"/>
    </xf>
    <xf numFmtId="0" fontId="26" fillId="5" borderId="1" xfId="0" applyFont="1" applyFill="1" applyBorder="1" applyAlignment="1" applyProtection="1">
      <alignment horizontal="center"/>
      <protection locked="0"/>
    </xf>
    <xf numFmtId="39" fontId="26" fillId="5" borderId="1" xfId="1" applyNumberFormat="1" applyFont="1" applyFill="1" applyBorder="1" applyAlignment="1" applyProtection="1">
      <alignment horizontal="center"/>
      <protection locked="0"/>
    </xf>
    <xf numFmtId="166" fontId="26" fillId="5" borderId="1" xfId="2" applyNumberFormat="1" applyFont="1" applyFill="1" applyBorder="1" applyProtection="1">
      <protection locked="0"/>
    </xf>
    <xf numFmtId="166" fontId="26" fillId="2" borderId="1" xfId="2" applyNumberFormat="1" applyFont="1" applyFill="1" applyBorder="1"/>
    <xf numFmtId="0" fontId="26" fillId="0" borderId="1" xfId="0" applyFont="1" applyBorder="1" applyAlignment="1">
      <alignment horizontal="center"/>
    </xf>
    <xf numFmtId="166" fontId="27" fillId="2" borderId="8" xfId="2" applyNumberFormat="1" applyFont="1" applyFill="1" applyBorder="1"/>
    <xf numFmtId="0" fontId="27" fillId="0" borderId="0" xfId="0" applyFont="1" applyAlignment="1">
      <alignment horizontal="right"/>
    </xf>
    <xf numFmtId="166" fontId="27" fillId="2" borderId="1" xfId="2" applyNumberFormat="1" applyFont="1" applyFill="1" applyBorder="1"/>
    <xf numFmtId="0" fontId="34" fillId="0" borderId="0" xfId="0" applyFont="1" applyAlignment="1">
      <alignment horizontal="right" vertical="top"/>
    </xf>
    <xf numFmtId="0" fontId="35" fillId="0" borderId="0" xfId="0" applyFont="1" applyAlignment="1">
      <alignment vertical="top"/>
    </xf>
    <xf numFmtId="0" fontId="35" fillId="0" borderId="0" xfId="0" applyFont="1" applyAlignment="1">
      <alignment horizontal="right" vertical="top"/>
    </xf>
    <xf numFmtId="0" fontId="31" fillId="0" borderId="0" xfId="0" applyFont="1" applyAlignment="1">
      <alignment horizontal="left" wrapText="1"/>
    </xf>
    <xf numFmtId="0" fontId="36" fillId="0" borderId="0" xfId="0" applyFont="1" applyAlignment="1">
      <alignment vertical="center" wrapText="1"/>
    </xf>
    <xf numFmtId="0" fontId="37" fillId="0" borderId="0" xfId="0" applyFont="1" applyAlignment="1">
      <alignment wrapText="1"/>
    </xf>
    <xf numFmtId="0" fontId="27" fillId="3" borderId="4" xfId="0" applyFont="1" applyFill="1" applyBorder="1" applyAlignment="1">
      <alignment horizontal="center" wrapText="1"/>
    </xf>
    <xf numFmtId="0" fontId="27" fillId="3" borderId="6" xfId="0" applyFont="1" applyFill="1" applyBorder="1" applyAlignment="1">
      <alignment horizontal="center" wrapText="1"/>
    </xf>
    <xf numFmtId="166" fontId="26" fillId="2" borderId="1" xfId="0" applyNumberFormat="1" applyFont="1" applyFill="1" applyBorder="1"/>
    <xf numFmtId="37" fontId="26" fillId="5" borderId="1" xfId="0" applyNumberFormat="1" applyFont="1" applyFill="1" applyBorder="1" applyAlignment="1" applyProtection="1">
      <alignment horizontal="center"/>
      <protection locked="0"/>
    </xf>
    <xf numFmtId="0" fontId="26" fillId="5" borderId="1" xfId="0" applyFont="1" applyFill="1" applyBorder="1" applyProtection="1">
      <protection locked="0"/>
    </xf>
    <xf numFmtId="44" fontId="37" fillId="0" borderId="0" xfId="2" applyFont="1" applyAlignment="1">
      <alignment wrapText="1"/>
    </xf>
    <xf numFmtId="0" fontId="37" fillId="0" borderId="0" xfId="0" applyFont="1" applyAlignment="1">
      <alignment horizontal="center" wrapText="1"/>
    </xf>
    <xf numFmtId="0" fontId="38" fillId="0" borderId="0" xfId="0" applyFont="1" applyAlignment="1">
      <alignment horizontal="center"/>
    </xf>
    <xf numFmtId="0" fontId="37" fillId="0" borderId="0" xfId="0" applyFont="1" applyAlignment="1">
      <alignment vertical="top"/>
    </xf>
    <xf numFmtId="0" fontId="37" fillId="0" borderId="0" xfId="0" applyFont="1"/>
    <xf numFmtId="44" fontId="37" fillId="0" borderId="0" xfId="2" applyFont="1"/>
    <xf numFmtId="0" fontId="37" fillId="0" borderId="0" xfId="0" applyFont="1" applyAlignment="1">
      <alignment horizontal="center"/>
    </xf>
    <xf numFmtId="0" fontId="27" fillId="0" borderId="0" xfId="0" applyFont="1"/>
    <xf numFmtId="164" fontId="26" fillId="0" borderId="0" xfId="0" applyNumberFormat="1" applyFont="1" applyAlignment="1">
      <alignment horizontal="left"/>
    </xf>
    <xf numFmtId="165" fontId="26" fillId="0" borderId="0" xfId="1" applyNumberFormat="1" applyFont="1"/>
    <xf numFmtId="168" fontId="26" fillId="0" borderId="0" xfId="1" applyNumberFormat="1" applyFont="1" applyAlignment="1">
      <alignment horizontal="center"/>
    </xf>
    <xf numFmtId="0" fontId="27" fillId="3" borderId="2" xfId="0" applyFont="1" applyFill="1" applyBorder="1" applyAlignment="1">
      <alignment horizontal="center" wrapText="1"/>
    </xf>
    <xf numFmtId="0" fontId="27" fillId="3" borderId="8" xfId="0" applyFont="1" applyFill="1" applyBorder="1" applyAlignment="1">
      <alignment horizontal="center" wrapText="1"/>
    </xf>
    <xf numFmtId="0" fontId="27" fillId="0" borderId="0" xfId="0" applyFont="1" applyAlignment="1">
      <alignment horizontal="center"/>
    </xf>
    <xf numFmtId="168" fontId="27" fillId="0" borderId="0" xfId="0" applyNumberFormat="1" applyFont="1" applyAlignment="1">
      <alignment horizontal="center" wrapText="1"/>
    </xf>
    <xf numFmtId="0" fontId="26" fillId="0" borderId="1" xfId="0" applyFont="1" applyBorder="1" applyAlignment="1">
      <alignment horizontal="center" vertical="top"/>
    </xf>
    <xf numFmtId="37" fontId="26" fillId="2" borderId="2" xfId="1" applyNumberFormat="1" applyFont="1" applyFill="1" applyBorder="1" applyAlignment="1" applyProtection="1">
      <alignment horizontal="center" vertical="top"/>
      <protection locked="0"/>
    </xf>
    <xf numFmtId="165" fontId="26" fillId="2" borderId="1" xfId="1" applyNumberFormat="1" applyFont="1" applyFill="1" applyBorder="1"/>
    <xf numFmtId="167" fontId="26" fillId="2" borderId="2" xfId="3" applyNumberFormat="1" applyFont="1" applyFill="1" applyBorder="1" applyAlignment="1">
      <alignment horizontal="center" vertical="top"/>
    </xf>
    <xf numFmtId="0" fontId="26" fillId="0" borderId="17" xfId="0" applyFont="1" applyBorder="1" applyAlignment="1">
      <alignment horizontal="center" vertical="top"/>
    </xf>
    <xf numFmtId="165" fontId="26" fillId="6" borderId="9" xfId="1" applyNumberFormat="1" applyFont="1" applyFill="1" applyBorder="1" applyAlignment="1">
      <alignment vertical="center"/>
    </xf>
    <xf numFmtId="0" fontId="26" fillId="0" borderId="9" xfId="0" applyFont="1" applyBorder="1" applyAlignment="1">
      <alignment horizontal="center" vertical="top"/>
    </xf>
    <xf numFmtId="168" fontId="26" fillId="0" borderId="9" xfId="0" applyNumberFormat="1" applyFont="1" applyBorder="1" applyAlignment="1">
      <alignment horizontal="center" vertical="top"/>
    </xf>
    <xf numFmtId="0" fontId="26" fillId="0" borderId="14" xfId="0" applyFont="1" applyBorder="1" applyAlignment="1">
      <alignment horizontal="center" vertical="top"/>
    </xf>
    <xf numFmtId="165" fontId="26" fillId="5" borderId="17" xfId="1" applyNumberFormat="1" applyFont="1" applyFill="1" applyBorder="1" applyAlignment="1" applyProtection="1">
      <alignment vertical="top"/>
      <protection locked="0"/>
    </xf>
    <xf numFmtId="165" fontId="26" fillId="6" borderId="13" xfId="1" applyNumberFormat="1" applyFont="1" applyFill="1" applyBorder="1" applyAlignment="1">
      <alignment vertical="center"/>
    </xf>
    <xf numFmtId="0" fontId="26" fillId="0" borderId="18" xfId="0" applyFont="1" applyBorder="1" applyAlignment="1">
      <alignment horizontal="center" vertical="top"/>
    </xf>
    <xf numFmtId="165" fontId="26" fillId="6" borderId="0" xfId="1" applyNumberFormat="1" applyFont="1" applyFill="1" applyBorder="1" applyAlignment="1">
      <alignment vertical="center"/>
    </xf>
    <xf numFmtId="0" fontId="26" fillId="0" borderId="0" xfId="0" applyFont="1" applyAlignment="1">
      <alignment horizontal="center" vertical="top"/>
    </xf>
    <xf numFmtId="168" fontId="26" fillId="0" borderId="0" xfId="0" applyNumberFormat="1" applyFont="1" applyAlignment="1">
      <alignment horizontal="center" vertical="top"/>
    </xf>
    <xf numFmtId="0" fontId="26" fillId="0" borderId="16" xfId="0" applyFont="1" applyBorder="1" applyAlignment="1">
      <alignment horizontal="center" vertical="top"/>
    </xf>
    <xf numFmtId="165" fontId="26" fillId="5" borderId="18" xfId="1" applyNumberFormat="1" applyFont="1" applyFill="1" applyBorder="1" applyProtection="1">
      <protection locked="0"/>
    </xf>
    <xf numFmtId="165" fontId="26" fillId="6" borderId="15" xfId="1" applyNumberFormat="1" applyFont="1" applyFill="1" applyBorder="1" applyAlignment="1">
      <alignment vertical="center"/>
    </xf>
    <xf numFmtId="0" fontId="26" fillId="0" borderId="19" xfId="0" applyFont="1" applyBorder="1" applyAlignment="1">
      <alignment horizontal="center" vertical="top"/>
    </xf>
    <xf numFmtId="165" fontId="26" fillId="5" borderId="19" xfId="1" applyNumberFormat="1" applyFont="1" applyFill="1" applyBorder="1" applyProtection="1">
      <protection locked="0"/>
    </xf>
    <xf numFmtId="0" fontId="43" fillId="0" borderId="13" xfId="0" applyFont="1" applyBorder="1"/>
    <xf numFmtId="0" fontId="26" fillId="0" borderId="9" xfId="0" applyFont="1" applyBorder="1"/>
    <xf numFmtId="0" fontId="31" fillId="0" borderId="15" xfId="0" applyFont="1" applyBorder="1"/>
    <xf numFmtId="0" fontId="31" fillId="0" borderId="0" xfId="0" applyFont="1"/>
    <xf numFmtId="0" fontId="31" fillId="0" borderId="11" xfId="0" applyFont="1" applyBorder="1"/>
    <xf numFmtId="0" fontId="31" fillId="0" borderId="3" xfId="0" applyFont="1" applyBorder="1"/>
    <xf numFmtId="0" fontId="26" fillId="0" borderId="3" xfId="0" applyFont="1" applyBorder="1"/>
    <xf numFmtId="43" fontId="27" fillId="3" borderId="2" xfId="1" applyFont="1" applyFill="1" applyBorder="1" applyAlignment="1">
      <alignment horizontal="center" wrapText="1"/>
    </xf>
    <xf numFmtId="165" fontId="27" fillId="3" borderId="2" xfId="1" applyNumberFormat="1" applyFont="1" applyFill="1" applyBorder="1" applyAlignment="1">
      <alignment horizontal="center" wrapText="1"/>
    </xf>
    <xf numFmtId="0" fontId="0" fillId="0" borderId="0" xfId="0" applyAlignment="1">
      <alignment horizontal="left"/>
    </xf>
    <xf numFmtId="0" fontId="44" fillId="0" borderId="0" xfId="0" applyFont="1"/>
    <xf numFmtId="0" fontId="16" fillId="0" borderId="0" xfId="0" applyFont="1"/>
    <xf numFmtId="0" fontId="45" fillId="0" borderId="0" xfId="0" applyFont="1"/>
    <xf numFmtId="0" fontId="0" fillId="5" borderId="0" xfId="0" applyFill="1" applyAlignment="1" applyProtection="1">
      <alignment horizontal="left"/>
      <protection locked="0"/>
    </xf>
    <xf numFmtId="0" fontId="3" fillId="0" borderId="3" xfId="0" applyFont="1" applyBorder="1" applyAlignment="1">
      <alignment horizontal="center"/>
    </xf>
    <xf numFmtId="0" fontId="46" fillId="0" borderId="0" xfId="0" applyFont="1" applyAlignment="1">
      <alignment horizontal="left"/>
    </xf>
    <xf numFmtId="166" fontId="0" fillId="0" borderId="0" xfId="2" applyNumberFormat="1" applyFont="1"/>
    <xf numFmtId="44" fontId="0" fillId="0" borderId="0" xfId="2" applyFont="1"/>
    <xf numFmtId="165" fontId="0" fillId="0" borderId="3" xfId="1" applyNumberFormat="1" applyFont="1" applyBorder="1"/>
    <xf numFmtId="44" fontId="3" fillId="0" borderId="0" xfId="0" applyNumberFormat="1" applyFont="1"/>
    <xf numFmtId="44" fontId="3" fillId="0" borderId="0" xfId="2" applyFont="1"/>
    <xf numFmtId="44" fontId="0" fillId="0" borderId="0" xfId="0" applyNumberFormat="1"/>
    <xf numFmtId="0" fontId="47" fillId="0" borderId="0" xfId="0" applyFont="1" applyAlignment="1">
      <alignment horizontal="center"/>
    </xf>
    <xf numFmtId="166" fontId="0" fillId="0" borderId="3" xfId="2" applyNumberFormat="1" applyFont="1" applyBorder="1"/>
    <xf numFmtId="0" fontId="48" fillId="3" borderId="1" xfId="0" applyFont="1" applyFill="1" applyBorder="1" applyAlignment="1">
      <alignment horizontal="center"/>
    </xf>
    <xf numFmtId="0" fontId="2" fillId="3" borderId="1" xfId="0" applyFont="1" applyFill="1" applyBorder="1" applyAlignment="1">
      <alignment horizontal="center"/>
    </xf>
    <xf numFmtId="0" fontId="49" fillId="3" borderId="1" xfId="0" applyFont="1" applyFill="1" applyBorder="1" applyAlignment="1">
      <alignment horizontal="center" wrapText="1"/>
    </xf>
    <xf numFmtId="0" fontId="9" fillId="3" borderId="1" xfId="0" applyFont="1" applyFill="1" applyBorder="1" applyAlignment="1">
      <alignment horizontal="center" wrapText="1"/>
    </xf>
    <xf numFmtId="0" fontId="49" fillId="0" borderId="0" xfId="0" applyFont="1"/>
    <xf numFmtId="0" fontId="48" fillId="0" borderId="0" xfId="0" applyFont="1"/>
    <xf numFmtId="0" fontId="49" fillId="0" borderId="7" xfId="0" applyFont="1" applyBorder="1" applyAlignment="1">
      <alignment horizontal="center" wrapText="1"/>
    </xf>
    <xf numFmtId="43" fontId="48" fillId="5" borderId="1" xfId="1" applyFont="1" applyFill="1" applyBorder="1" applyAlignment="1" applyProtection="1">
      <alignment vertical="center"/>
      <protection locked="0"/>
    </xf>
    <xf numFmtId="43" fontId="49" fillId="0" borderId="7" xfId="1" applyFont="1" applyFill="1" applyBorder="1" applyAlignment="1">
      <alignment vertical="center"/>
    </xf>
    <xf numFmtId="0" fontId="48" fillId="0" borderId="0" xfId="0" applyFont="1" applyAlignment="1">
      <alignment vertical="center"/>
    </xf>
    <xf numFmtId="166" fontId="49" fillId="2" borderId="1" xfId="2" applyNumberFormat="1" applyFont="1" applyFill="1" applyBorder="1" applyAlignment="1">
      <alignment vertical="center"/>
    </xf>
    <xf numFmtId="166" fontId="49" fillId="0" borderId="7" xfId="2" applyNumberFormat="1" applyFont="1" applyFill="1" applyBorder="1" applyAlignment="1">
      <alignment vertical="center"/>
    </xf>
    <xf numFmtId="165" fontId="48" fillId="4" borderId="1" xfId="1" applyNumberFormat="1" applyFont="1" applyFill="1" applyBorder="1" applyAlignment="1">
      <alignment vertical="center"/>
    </xf>
    <xf numFmtId="0" fontId="48" fillId="0" borderId="0" xfId="0" applyFont="1" applyAlignment="1">
      <alignment vertical="top"/>
    </xf>
    <xf numFmtId="0" fontId="49" fillId="0" borderId="7" xfId="0" applyFont="1" applyBorder="1" applyAlignment="1">
      <alignment horizontal="left" vertical="center" wrapText="1"/>
    </xf>
    <xf numFmtId="0" fontId="9" fillId="0" borderId="7" xfId="0" applyFont="1" applyBorder="1" applyAlignment="1">
      <alignment horizontal="center" wrapText="1"/>
    </xf>
    <xf numFmtId="43" fontId="2" fillId="5" borderId="1" xfId="1" applyFont="1" applyFill="1" applyBorder="1" applyAlignment="1" applyProtection="1">
      <alignment vertical="center"/>
      <protection locked="0"/>
    </xf>
    <xf numFmtId="43" fontId="9" fillId="0" borderId="7" xfId="1" applyFont="1" applyFill="1" applyBorder="1" applyAlignment="1">
      <alignment vertical="center"/>
    </xf>
    <xf numFmtId="166" fontId="2" fillId="5" borderId="1" xfId="2" applyNumberFormat="1" applyFont="1" applyFill="1" applyBorder="1" applyAlignment="1" applyProtection="1">
      <alignment vertical="center"/>
      <protection locked="0"/>
    </xf>
    <xf numFmtId="166" fontId="9" fillId="2" borderId="1" xfId="2" applyNumberFormat="1" applyFont="1" applyFill="1" applyBorder="1" applyAlignment="1">
      <alignment vertical="center"/>
    </xf>
    <xf numFmtId="166" fontId="9" fillId="0" borderId="7" xfId="2" applyNumberFormat="1" applyFont="1" applyFill="1" applyBorder="1" applyAlignment="1">
      <alignment vertical="center"/>
    </xf>
    <xf numFmtId="166" fontId="2" fillId="0" borderId="1" xfId="2" applyNumberFormat="1" applyFont="1" applyFill="1" applyBorder="1" applyAlignment="1">
      <alignment vertical="center"/>
    </xf>
    <xf numFmtId="165" fontId="2" fillId="4" borderId="1" xfId="1" applyNumberFormat="1" applyFont="1" applyFill="1" applyBorder="1" applyAlignment="1">
      <alignment vertical="center"/>
    </xf>
    <xf numFmtId="166" fontId="2" fillId="2" borderId="1" xfId="2" applyNumberFormat="1" applyFont="1" applyFill="1" applyBorder="1" applyAlignment="1">
      <alignment vertical="center"/>
    </xf>
    <xf numFmtId="0" fontId="9" fillId="0" borderId="7" xfId="0" applyFont="1" applyBorder="1" applyAlignment="1">
      <alignment horizontal="left" vertical="center" wrapText="1"/>
    </xf>
    <xf numFmtId="0" fontId="52" fillId="0" borderId="0" xfId="0" applyFont="1" applyAlignment="1">
      <alignment vertical="top"/>
    </xf>
    <xf numFmtId="0" fontId="36" fillId="0" borderId="0" xfId="0" applyFont="1"/>
    <xf numFmtId="0" fontId="53" fillId="7" borderId="20" xfId="0" applyFont="1" applyFill="1" applyBorder="1" applyAlignment="1">
      <alignment vertical="top"/>
    </xf>
    <xf numFmtId="0" fontId="53" fillId="7" borderId="21" xfId="0" applyFont="1" applyFill="1" applyBorder="1" applyAlignment="1">
      <alignment vertical="top"/>
    </xf>
    <xf numFmtId="0" fontId="53" fillId="7" borderId="22" xfId="0" applyFont="1" applyFill="1" applyBorder="1" applyAlignment="1">
      <alignment vertical="top"/>
    </xf>
    <xf numFmtId="0" fontId="53" fillId="0" borderId="0" xfId="0" applyFont="1" applyAlignment="1">
      <alignment vertical="top"/>
    </xf>
    <xf numFmtId="0" fontId="36" fillId="0" borderId="0" xfId="0" applyFont="1" applyAlignment="1">
      <alignment vertical="top"/>
    </xf>
    <xf numFmtId="0" fontId="53" fillId="0" borderId="0" xfId="0" applyFont="1" applyAlignment="1">
      <alignment horizontal="center" vertical="top"/>
    </xf>
    <xf numFmtId="0" fontId="53" fillId="0" borderId="0" xfId="0" applyFont="1" applyAlignment="1" applyProtection="1">
      <alignment horizontal="center" vertical="top"/>
      <protection locked="0"/>
    </xf>
    <xf numFmtId="0" fontId="53" fillId="0" borderId="3" xfId="0" applyFont="1" applyBorder="1" applyAlignment="1" applyProtection="1">
      <alignment horizontal="center" vertical="top"/>
      <protection locked="0"/>
    </xf>
    <xf numFmtId="0" fontId="53" fillId="0" borderId="3" xfId="0" applyFont="1" applyBorder="1" applyAlignment="1" applyProtection="1">
      <alignment horizontal="left" vertical="top"/>
      <protection locked="0"/>
    </xf>
    <xf numFmtId="0" fontId="36" fillId="0" borderId="3" xfId="0" applyFont="1" applyBorder="1" applyAlignment="1">
      <alignment horizontal="center" vertical="top"/>
    </xf>
    <xf numFmtId="0" fontId="54" fillId="0" borderId="0" xfId="0" applyFont="1"/>
    <xf numFmtId="0" fontId="55" fillId="0" borderId="0" xfId="0" applyFont="1"/>
    <xf numFmtId="0" fontId="36" fillId="0" borderId="0" xfId="0" applyFont="1" applyAlignment="1" applyProtection="1">
      <alignment vertical="top"/>
      <protection locked="0"/>
    </xf>
    <xf numFmtId="0" fontId="36" fillId="0" borderId="0" xfId="0" applyFont="1" applyAlignment="1" applyProtection="1">
      <alignment horizontal="center" vertical="top"/>
      <protection locked="0"/>
    </xf>
    <xf numFmtId="37" fontId="53" fillId="0" borderId="0" xfId="4" applyNumberFormat="1" applyFont="1" applyAlignment="1">
      <alignment horizontal="center" vertical="top" wrapText="1"/>
    </xf>
    <xf numFmtId="0" fontId="53" fillId="0" borderId="0" xfId="5" quotePrefix="1" applyFont="1" applyAlignment="1">
      <alignment horizontal="center" vertical="top"/>
    </xf>
    <xf numFmtId="37" fontId="53" fillId="0" borderId="0" xfId="5" applyNumberFormat="1" applyFont="1" applyAlignment="1" applyProtection="1">
      <alignment horizontal="center" vertical="top"/>
      <protection locked="0"/>
    </xf>
    <xf numFmtId="0" fontId="36" fillId="0" borderId="0" xfId="5" quotePrefix="1" applyFont="1" applyAlignment="1">
      <alignment horizontal="center" vertical="top"/>
    </xf>
    <xf numFmtId="0" fontId="36" fillId="0" borderId="0" xfId="0" applyFont="1" applyAlignment="1">
      <alignment horizontal="center" vertical="top"/>
    </xf>
    <xf numFmtId="0" fontId="36" fillId="0" borderId="0" xfId="0" applyFont="1" applyAlignment="1">
      <alignment horizontal="left" vertical="top"/>
    </xf>
    <xf numFmtId="169" fontId="36" fillId="0" borderId="0" xfId="0" applyNumberFormat="1" applyFont="1" applyAlignment="1">
      <alignment horizontal="center" vertical="top"/>
    </xf>
    <xf numFmtId="0" fontId="49" fillId="3" borderId="4" xfId="0" applyFont="1" applyFill="1" applyBorder="1" applyAlignment="1">
      <alignment horizontal="center" wrapText="1"/>
    </xf>
    <xf numFmtId="0" fontId="9" fillId="0" borderId="0" xfId="0" applyFont="1" applyAlignment="1">
      <alignment horizontal="center"/>
    </xf>
    <xf numFmtId="166" fontId="2" fillId="5" borderId="1" xfId="2" applyNumberFormat="1" applyFont="1" applyFill="1" applyBorder="1" applyProtection="1">
      <protection locked="0"/>
    </xf>
    <xf numFmtId="166" fontId="2" fillId="2" borderId="1" xfId="2" applyNumberFormat="1" applyFont="1" applyFill="1" applyBorder="1"/>
    <xf numFmtId="166" fontId="9" fillId="2" borderId="1" xfId="2" applyNumberFormat="1" applyFont="1" applyFill="1" applyBorder="1"/>
    <xf numFmtId="0" fontId="10" fillId="0" borderId="0" xfId="0" quotePrefix="1" applyFont="1"/>
    <xf numFmtId="166" fontId="48" fillId="5" borderId="1" xfId="2" applyNumberFormat="1" applyFont="1" applyFill="1" applyBorder="1" applyProtection="1">
      <protection locked="0"/>
    </xf>
    <xf numFmtId="0" fontId="58" fillId="0" borderId="0" xfId="0" quotePrefix="1" applyFont="1"/>
    <xf numFmtId="0" fontId="9" fillId="3" borderId="4" xfId="0" applyFont="1" applyFill="1" applyBorder="1" applyAlignment="1">
      <alignment horizontal="center" wrapText="1"/>
    </xf>
    <xf numFmtId="0" fontId="30" fillId="0" borderId="0" xfId="0" applyFont="1" applyAlignment="1">
      <alignment wrapText="1"/>
    </xf>
    <xf numFmtId="0" fontId="58" fillId="0" borderId="0" xfId="0" quotePrefix="1" applyFont="1" applyAlignment="1">
      <alignment horizontal="left"/>
    </xf>
    <xf numFmtId="0" fontId="59" fillId="0" borderId="0" xfId="0" applyFont="1" applyAlignment="1">
      <alignment horizontal="left" wrapText="1"/>
    </xf>
    <xf numFmtId="164" fontId="48" fillId="0" borderId="0" xfId="0" applyNumberFormat="1" applyFont="1" applyAlignment="1">
      <alignment horizontal="left"/>
    </xf>
    <xf numFmtId="166" fontId="49" fillId="2" borderId="1" xfId="2" applyNumberFormat="1" applyFont="1" applyFill="1" applyBorder="1"/>
    <xf numFmtId="0" fontId="16" fillId="0" borderId="0" xfId="0" applyFont="1" applyAlignment="1">
      <alignment horizontal="left" wrapText="1"/>
    </xf>
    <xf numFmtId="0" fontId="51" fillId="0" borderId="0" xfId="0" quotePrefix="1" applyFont="1"/>
    <xf numFmtId="0" fontId="9" fillId="3" borderId="0" xfId="0" applyFont="1" applyFill="1" applyAlignment="1">
      <alignment horizontal="center"/>
    </xf>
    <xf numFmtId="0" fontId="9" fillId="0" borderId="0" xfId="0" applyFont="1" applyAlignment="1">
      <alignment horizontal="right"/>
    </xf>
    <xf numFmtId="0" fontId="62" fillId="0" borderId="0" xfId="0" applyFont="1"/>
    <xf numFmtId="43" fontId="2" fillId="5" borderId="1" xfId="1" applyFont="1" applyFill="1" applyBorder="1" applyProtection="1">
      <protection locked="0"/>
    </xf>
    <xf numFmtId="0" fontId="29" fillId="0" borderId="0" xfId="0" applyFont="1"/>
    <xf numFmtId="0" fontId="63" fillId="0" borderId="0" xfId="0" quotePrefix="1" applyFont="1" applyAlignment="1">
      <alignment vertical="top"/>
    </xf>
    <xf numFmtId="0" fontId="64" fillId="0" borderId="0" xfId="0" applyFont="1"/>
    <xf numFmtId="0" fontId="65" fillId="0" borderId="0" xfId="0" applyFont="1"/>
    <xf numFmtId="0" fontId="66" fillId="0" borderId="0" xfId="0" quotePrefix="1" applyFont="1" applyAlignment="1">
      <alignment vertical="top"/>
    </xf>
    <xf numFmtId="0" fontId="67" fillId="0" borderId="0" xfId="0" applyFont="1"/>
    <xf numFmtId="0" fontId="12" fillId="0" borderId="0" xfId="0" quotePrefix="1" applyFont="1"/>
    <xf numFmtId="166" fontId="60" fillId="2" borderId="10" xfId="2" applyNumberFormat="1" applyFont="1" applyFill="1" applyBorder="1"/>
    <xf numFmtId="0" fontId="12" fillId="0" borderId="0" xfId="0" applyFont="1"/>
    <xf numFmtId="0" fontId="10" fillId="0" borderId="9" xfId="0" quotePrefix="1" applyFont="1" applyBorder="1" applyAlignment="1">
      <alignment horizontal="left"/>
    </xf>
    <xf numFmtId="0" fontId="70" fillId="0" borderId="0" xfId="0" applyFont="1" applyAlignment="1">
      <alignment horizontal="left" wrapText="1"/>
    </xf>
    <xf numFmtId="165" fontId="9" fillId="2" borderId="1" xfId="0" applyNumberFormat="1" applyFont="1" applyFill="1" applyBorder="1"/>
    <xf numFmtId="165" fontId="9" fillId="2" borderId="2" xfId="0" applyNumberFormat="1" applyFont="1" applyFill="1" applyBorder="1"/>
    <xf numFmtId="165" fontId="9" fillId="2" borderId="18" xfId="0" applyNumberFormat="1" applyFont="1" applyFill="1" applyBorder="1"/>
    <xf numFmtId="165" fontId="9" fillId="2" borderId="8" xfId="0" applyNumberFormat="1" applyFont="1" applyFill="1" applyBorder="1"/>
    <xf numFmtId="0" fontId="71" fillId="0" borderId="0" xfId="0" applyFont="1" applyAlignment="1">
      <alignment horizontal="left" wrapText="1"/>
    </xf>
    <xf numFmtId="0" fontId="49" fillId="0" borderId="0" xfId="0" applyFont="1" applyAlignment="1">
      <alignment horizontal="center" wrapText="1"/>
    </xf>
    <xf numFmtId="165" fontId="49" fillId="2" borderId="1" xfId="0" applyNumberFormat="1" applyFont="1" applyFill="1" applyBorder="1"/>
    <xf numFmtId="167" fontId="2" fillId="2" borderId="2" xfId="3" applyNumberFormat="1" applyFont="1" applyFill="1" applyBorder="1" applyAlignment="1">
      <alignment horizontal="center" vertical="top"/>
    </xf>
    <xf numFmtId="9" fontId="2" fillId="0" borderId="0" xfId="3" applyFont="1"/>
    <xf numFmtId="9" fontId="9" fillId="2" borderId="1" xfId="3" applyFont="1" applyFill="1" applyBorder="1"/>
    <xf numFmtId="166" fontId="48" fillId="5" borderId="1" xfId="2" applyNumberFormat="1" applyFont="1" applyFill="1" applyBorder="1" applyAlignment="1" applyProtection="1">
      <alignment vertical="top"/>
      <protection locked="0"/>
    </xf>
    <xf numFmtId="165" fontId="48" fillId="6" borderId="9" xfId="1" applyNumberFormat="1" applyFont="1" applyFill="1" applyBorder="1" applyAlignment="1">
      <alignment vertical="center"/>
    </xf>
    <xf numFmtId="165" fontId="48" fillId="6" borderId="0" xfId="1" applyNumberFormat="1" applyFont="1" applyFill="1" applyBorder="1" applyAlignment="1">
      <alignment vertical="center"/>
    </xf>
    <xf numFmtId="0" fontId="68" fillId="0" borderId="0" xfId="0" applyFont="1" applyAlignment="1">
      <alignment horizontal="right" vertical="top"/>
    </xf>
    <xf numFmtId="166" fontId="2" fillId="5" borderId="1" xfId="2" applyNumberFormat="1" applyFont="1" applyFill="1" applyBorder="1" applyAlignment="1" applyProtection="1">
      <alignment vertical="top"/>
      <protection locked="0"/>
    </xf>
    <xf numFmtId="165" fontId="2" fillId="6" borderId="9" xfId="1" applyNumberFormat="1" applyFont="1" applyFill="1" applyBorder="1" applyAlignment="1">
      <alignment vertical="center"/>
    </xf>
    <xf numFmtId="165" fontId="2" fillId="6" borderId="0" xfId="1" applyNumberFormat="1" applyFont="1" applyFill="1" applyBorder="1" applyAlignment="1">
      <alignment vertical="center"/>
    </xf>
    <xf numFmtId="165" fontId="2" fillId="6" borderId="3" xfId="1" applyNumberFormat="1" applyFont="1" applyFill="1" applyBorder="1" applyAlignment="1">
      <alignment vertical="center"/>
    </xf>
    <xf numFmtId="44" fontId="9" fillId="2" borderId="1" xfId="2" applyFont="1" applyFill="1" applyBorder="1" applyAlignment="1">
      <alignment vertical="top"/>
    </xf>
    <xf numFmtId="44" fontId="9" fillId="2" borderId="1" xfId="2" applyFont="1" applyFill="1" applyBorder="1"/>
    <xf numFmtId="166" fontId="2" fillId="2" borderId="1" xfId="0" applyNumberFormat="1" applyFont="1" applyFill="1" applyBorder="1" applyAlignment="1">
      <alignment vertical="top"/>
    </xf>
    <xf numFmtId="166" fontId="9" fillId="2" borderId="1" xfId="0" applyNumberFormat="1" applyFont="1" applyFill="1" applyBorder="1"/>
    <xf numFmtId="0" fontId="8" fillId="0" borderId="0" xfId="0" applyFont="1" applyAlignment="1">
      <alignment horizontal="left" wrapText="1"/>
    </xf>
    <xf numFmtId="0" fontId="49" fillId="3" borderId="2" xfId="0" applyFont="1" applyFill="1" applyBorder="1" applyAlignment="1">
      <alignment horizontal="center" wrapText="1"/>
    </xf>
    <xf numFmtId="170" fontId="26" fillId="5" borderId="2" xfId="0" applyNumberFormat="1" applyFont="1" applyFill="1" applyBorder="1" applyAlignment="1" applyProtection="1">
      <alignment horizontal="center" vertical="top"/>
      <protection locked="0"/>
    </xf>
    <xf numFmtId="171" fontId="26" fillId="5" borderId="2" xfId="0" applyNumberFormat="1" applyFont="1" applyFill="1" applyBorder="1" applyAlignment="1" applyProtection="1">
      <alignment horizontal="center" vertical="top"/>
      <protection locked="0"/>
    </xf>
    <xf numFmtId="172" fontId="26" fillId="5" borderId="2" xfId="0" applyNumberFormat="1" applyFont="1" applyFill="1" applyBorder="1" applyAlignment="1" applyProtection="1">
      <alignment horizontal="center" vertical="top"/>
      <protection locked="0"/>
    </xf>
    <xf numFmtId="168" fontId="26" fillId="0" borderId="0" xfId="1" applyNumberFormat="1" applyFont="1" applyFill="1" applyAlignment="1">
      <alignment horizontal="left"/>
    </xf>
    <xf numFmtId="168" fontId="26" fillId="0" borderId="0" xfId="1" applyNumberFormat="1" applyFont="1" applyFill="1" applyAlignment="1">
      <alignment horizontal="center"/>
    </xf>
    <xf numFmtId="165" fontId="26" fillId="0" borderId="0" xfId="1" applyNumberFormat="1" applyFont="1" applyFill="1"/>
    <xf numFmtId="172" fontId="26" fillId="0" borderId="17" xfId="0" applyNumberFormat="1" applyFont="1" applyBorder="1" applyAlignment="1">
      <alignment horizontal="center" vertical="top" wrapText="1"/>
    </xf>
    <xf numFmtId="172" fontId="26" fillId="5" borderId="2" xfId="1" applyNumberFormat="1" applyFont="1" applyFill="1" applyBorder="1" applyAlignment="1" applyProtection="1">
      <alignment horizontal="center" vertical="top"/>
      <protection locked="0"/>
    </xf>
    <xf numFmtId="172" fontId="26" fillId="0" borderId="18" xfId="0" applyNumberFormat="1" applyFont="1" applyBorder="1" applyAlignment="1">
      <alignment horizontal="center" vertical="top" wrapText="1"/>
    </xf>
    <xf numFmtId="172" fontId="26" fillId="0" borderId="19" xfId="0" applyNumberFormat="1" applyFont="1" applyBorder="1" applyAlignment="1">
      <alignment horizontal="center" vertical="top" wrapText="1"/>
    </xf>
    <xf numFmtId="170" fontId="26" fillId="5" borderId="2" xfId="1" applyNumberFormat="1" applyFont="1" applyFill="1" applyBorder="1" applyAlignment="1" applyProtection="1">
      <alignment horizontal="center" vertical="top"/>
      <protection locked="0"/>
    </xf>
    <xf numFmtId="164" fontId="9" fillId="3" borderId="0" xfId="0" applyNumberFormat="1" applyFont="1" applyFill="1" applyAlignment="1">
      <alignment horizontal="center"/>
    </xf>
    <xf numFmtId="165" fontId="9" fillId="3" borderId="2" xfId="1" applyNumberFormat="1" applyFont="1" applyFill="1" applyBorder="1" applyAlignment="1">
      <alignment horizontal="center" wrapText="1"/>
    </xf>
    <xf numFmtId="44" fontId="2" fillId="2" borderId="1" xfId="2" applyFont="1" applyFill="1" applyBorder="1" applyAlignment="1">
      <alignment vertical="center"/>
    </xf>
    <xf numFmtId="43" fontId="9" fillId="3" borderId="2" xfId="1" applyFont="1" applyFill="1" applyBorder="1" applyAlignment="1">
      <alignment horizontal="center" wrapText="1"/>
    </xf>
    <xf numFmtId="43" fontId="2" fillId="2" borderId="1" xfId="1" applyFont="1" applyFill="1" applyBorder="1" applyAlignment="1">
      <alignment vertical="center"/>
    </xf>
    <xf numFmtId="165" fontId="9" fillId="2" borderId="1" xfId="1" applyNumberFormat="1" applyFont="1" applyFill="1" applyBorder="1"/>
    <xf numFmtId="165" fontId="2" fillId="5" borderId="1" xfId="1" applyNumberFormat="1" applyFont="1" applyFill="1" applyBorder="1" applyAlignment="1" applyProtection="1">
      <alignment vertical="center"/>
      <protection locked="0"/>
    </xf>
    <xf numFmtId="164" fontId="9" fillId="3" borderId="7" xfId="0" applyNumberFormat="1" applyFont="1" applyFill="1" applyBorder="1" applyAlignment="1">
      <alignment horizontal="center"/>
    </xf>
    <xf numFmtId="165" fontId="2" fillId="0" borderId="1" xfId="1" applyNumberFormat="1" applyFont="1" applyFill="1" applyBorder="1"/>
    <xf numFmtId="44" fontId="72" fillId="2" borderId="1" xfId="2" applyFont="1" applyFill="1" applyBorder="1"/>
    <xf numFmtId="166" fontId="2" fillId="0" borderId="1" xfId="2" applyNumberFormat="1" applyFont="1" applyFill="1" applyBorder="1"/>
    <xf numFmtId="0" fontId="48" fillId="0" borderId="0" xfId="0" quotePrefix="1" applyFont="1"/>
    <xf numFmtId="0" fontId="48" fillId="0" borderId="0" xfId="0" quotePrefix="1" applyFont="1" applyAlignment="1">
      <alignment horizontal="left"/>
    </xf>
    <xf numFmtId="0" fontId="48" fillId="0" borderId="0" xfId="0" applyFont="1" applyAlignment="1">
      <alignment wrapText="1"/>
    </xf>
    <xf numFmtId="165" fontId="48" fillId="5" borderId="1" xfId="1" applyNumberFormat="1" applyFont="1" applyFill="1" applyBorder="1" applyAlignment="1" applyProtection="1">
      <alignment vertical="center"/>
      <protection locked="0"/>
    </xf>
    <xf numFmtId="165" fontId="48" fillId="0" borderId="0" xfId="1" applyNumberFormat="1" applyFont="1"/>
    <xf numFmtId="165" fontId="59" fillId="0" borderId="0" xfId="1" applyNumberFormat="1" applyFont="1" applyAlignment="1"/>
    <xf numFmtId="165" fontId="49" fillId="3" borderId="2" xfId="1" applyNumberFormat="1" applyFont="1" applyFill="1" applyBorder="1" applyAlignment="1">
      <alignment horizontal="center" wrapText="1"/>
    </xf>
    <xf numFmtId="172" fontId="0" fillId="0" borderId="0" xfId="0" applyNumberFormat="1"/>
    <xf numFmtId="0" fontId="0" fillId="0" borderId="0" xfId="0" applyAlignment="1">
      <alignment horizontal="left" wrapText="1"/>
    </xf>
    <xf numFmtId="0" fontId="7" fillId="0" borderId="0" xfId="0" applyFont="1" applyAlignment="1">
      <alignment horizontal="left"/>
    </xf>
    <xf numFmtId="172" fontId="48" fillId="0" borderId="0" xfId="0" applyNumberFormat="1" applyFont="1"/>
    <xf numFmtId="172" fontId="2" fillId="0" borderId="0" xfId="0" applyNumberFormat="1" applyFont="1"/>
    <xf numFmtId="37" fontId="0" fillId="0" borderId="0" xfId="0" applyNumberFormat="1"/>
    <xf numFmtId="37" fontId="52" fillId="0" borderId="0" xfId="0" applyNumberFormat="1" applyFont="1" applyAlignment="1">
      <alignment vertical="top"/>
    </xf>
    <xf numFmtId="37" fontId="53" fillId="7" borderId="21" xfId="0" applyNumberFormat="1" applyFont="1" applyFill="1" applyBorder="1" applyAlignment="1">
      <alignment vertical="top"/>
    </xf>
    <xf numFmtId="37" fontId="53" fillId="0" borderId="0" xfId="0" applyNumberFormat="1" applyFont="1" applyAlignment="1">
      <alignment vertical="top"/>
    </xf>
    <xf numFmtId="37" fontId="53" fillId="0" borderId="0" xfId="0" applyNumberFormat="1" applyFont="1" applyAlignment="1" applyProtection="1">
      <alignment horizontal="center" vertical="top"/>
      <protection locked="0"/>
    </xf>
    <xf numFmtId="37" fontId="53" fillId="0" borderId="3" xfId="0" applyNumberFormat="1" applyFont="1" applyBorder="1" applyAlignment="1" applyProtection="1">
      <alignment horizontal="center" vertical="top"/>
      <protection locked="0"/>
    </xf>
    <xf numFmtId="37" fontId="36" fillId="0" borderId="0" xfId="0" applyNumberFormat="1" applyFont="1" applyAlignment="1">
      <alignment vertical="top"/>
    </xf>
    <xf numFmtId="0" fontId="52" fillId="0" borderId="0" xfId="0" applyFont="1" applyAlignment="1">
      <alignment horizontal="center" vertical="top"/>
    </xf>
    <xf numFmtId="0" fontId="53" fillId="7" borderId="21" xfId="0" applyFont="1" applyFill="1" applyBorder="1" applyAlignment="1">
      <alignment horizontal="center" vertical="top"/>
    </xf>
    <xf numFmtId="0" fontId="36" fillId="0" borderId="0" xfId="0" applyFont="1" applyAlignment="1">
      <alignment horizontal="center"/>
    </xf>
    <xf numFmtId="166" fontId="48" fillId="0" borderId="1" xfId="2" applyNumberFormat="1" applyFont="1" applyFill="1" applyBorder="1" applyAlignment="1">
      <alignment horizontal="right"/>
    </xf>
    <xf numFmtId="166" fontId="49" fillId="2" borderId="1" xfId="2" applyNumberFormat="1" applyFont="1" applyFill="1" applyBorder="1" applyAlignment="1">
      <alignment horizontal="right"/>
    </xf>
    <xf numFmtId="0" fontId="9" fillId="3" borderId="2" xfId="0" applyFont="1" applyFill="1" applyBorder="1" applyAlignment="1">
      <alignment horizontal="center" wrapText="1"/>
    </xf>
    <xf numFmtId="43" fontId="26" fillId="0" borderId="1" xfId="1" applyFont="1" applyFill="1" applyBorder="1" applyAlignment="1">
      <alignment vertical="center"/>
    </xf>
    <xf numFmtId="0" fontId="0" fillId="0" borderId="0" xfId="0" applyAlignment="1">
      <alignment horizontal="left" vertical="top" wrapText="1"/>
    </xf>
    <xf numFmtId="173" fontId="0" fillId="0" borderId="0" xfId="0" applyNumberFormat="1" applyAlignment="1">
      <alignment horizontal="left"/>
    </xf>
    <xf numFmtId="170" fontId="0" fillId="0" borderId="0" xfId="0" applyNumberFormat="1" applyAlignment="1">
      <alignment horizontal="left"/>
    </xf>
    <xf numFmtId="174" fontId="26" fillId="2" borderId="1" xfId="1" applyNumberFormat="1" applyFont="1" applyFill="1" applyBorder="1"/>
    <xf numFmtId="174" fontId="26" fillId="5" borderId="17" xfId="1" applyNumberFormat="1" applyFont="1" applyFill="1" applyBorder="1" applyAlignment="1" applyProtection="1">
      <alignment vertical="top"/>
      <protection locked="0"/>
    </xf>
    <xf numFmtId="174" fontId="48" fillId="2" borderId="1" xfId="1" applyNumberFormat="1" applyFont="1" applyFill="1" applyBorder="1"/>
    <xf numFmtId="174" fontId="48" fillId="5" borderId="17" xfId="1" applyNumberFormat="1" applyFont="1" applyFill="1" applyBorder="1" applyAlignment="1" applyProtection="1">
      <alignment vertical="top"/>
      <protection locked="0"/>
    </xf>
    <xf numFmtId="174" fontId="2" fillId="2" borderId="1" xfId="1" applyNumberFormat="1" applyFont="1" applyFill="1" applyBorder="1"/>
    <xf numFmtId="174" fontId="2" fillId="5" borderId="17" xfId="1" applyNumberFormat="1" applyFont="1" applyFill="1" applyBorder="1" applyAlignment="1" applyProtection="1">
      <alignment vertical="top"/>
      <protection locked="0"/>
    </xf>
    <xf numFmtId="175" fontId="0" fillId="0" borderId="0" xfId="0" applyNumberFormat="1" applyAlignment="1">
      <alignment horizontal="left"/>
    </xf>
    <xf numFmtId="172" fontId="0" fillId="0" borderId="0" xfId="0" applyNumberFormat="1" applyAlignment="1">
      <alignment horizontal="left"/>
    </xf>
    <xf numFmtId="0" fontId="51" fillId="0" borderId="0" xfId="0" applyFont="1"/>
    <xf numFmtId="0" fontId="0" fillId="0" borderId="0" xfId="0" applyAlignment="1">
      <alignment horizontal="center" vertical="center"/>
    </xf>
    <xf numFmtId="0" fontId="0" fillId="0" borderId="1" xfId="0" quotePrefix="1" applyBorder="1" applyAlignment="1">
      <alignment horizontal="center" vertical="center"/>
    </xf>
    <xf numFmtId="0" fontId="31" fillId="0" borderId="3" xfId="0" applyFont="1" applyBorder="1" applyAlignment="1">
      <alignment horizontal="left" vertical="top"/>
    </xf>
    <xf numFmtId="166" fontId="82" fillId="0" borderId="0" xfId="0" applyNumberFormat="1" applyFont="1"/>
    <xf numFmtId="164" fontId="26" fillId="0" borderId="0" xfId="0" applyNumberFormat="1" applyFont="1" applyAlignment="1">
      <alignment horizontal="right"/>
    </xf>
    <xf numFmtId="164" fontId="27" fillId="0" borderId="0" xfId="0" applyNumberFormat="1" applyFont="1" applyAlignment="1">
      <alignment horizontal="right"/>
    </xf>
    <xf numFmtId="164" fontId="83" fillId="0" borderId="0" xfId="0" applyNumberFormat="1" applyFont="1" applyAlignment="1">
      <alignment horizontal="right"/>
    </xf>
    <xf numFmtId="44" fontId="83" fillId="2" borderId="1" xfId="2" applyFont="1" applyFill="1" applyBorder="1"/>
    <xf numFmtId="165" fontId="27" fillId="0" borderId="0" xfId="1" applyNumberFormat="1" applyFont="1" applyFill="1" applyBorder="1" applyAlignment="1">
      <alignment wrapText="1"/>
    </xf>
    <xf numFmtId="165" fontId="27" fillId="0" borderId="0" xfId="1" applyNumberFormat="1" applyFont="1" applyFill="1" applyBorder="1" applyAlignment="1">
      <alignment horizontal="center" wrapText="1"/>
    </xf>
    <xf numFmtId="165" fontId="27" fillId="0" borderId="3" xfId="1" applyNumberFormat="1" applyFont="1" applyFill="1" applyBorder="1" applyAlignment="1">
      <alignment horizontal="center" wrapText="1"/>
    </xf>
    <xf numFmtId="0" fontId="27" fillId="0" borderId="9" xfId="0" applyFont="1" applyBorder="1" applyAlignment="1">
      <alignment horizontal="left"/>
    </xf>
    <xf numFmtId="0" fontId="27" fillId="0" borderId="9" xfId="0" applyFont="1" applyBorder="1" applyAlignment="1">
      <alignment horizontal="center"/>
    </xf>
    <xf numFmtId="0" fontId="27" fillId="0" borderId="9" xfId="0" applyFont="1" applyBorder="1" applyAlignment="1">
      <alignment horizontal="center" wrapText="1"/>
    </xf>
    <xf numFmtId="0" fontId="26" fillId="0" borderId="9" xfId="0" applyFont="1" applyBorder="1" applyAlignment="1">
      <alignment horizontal="center" vertical="center"/>
    </xf>
    <xf numFmtId="0" fontId="27" fillId="0" borderId="9" xfId="0" applyFont="1" applyBorder="1" applyAlignment="1">
      <alignment horizontal="left" vertical="center"/>
    </xf>
    <xf numFmtId="166" fontId="27" fillId="0" borderId="9" xfId="2" applyNumberFormat="1" applyFont="1" applyFill="1" applyBorder="1" applyAlignment="1">
      <alignment vertical="center"/>
    </xf>
    <xf numFmtId="0" fontId="26" fillId="0" borderId="8" xfId="0" applyFont="1" applyBorder="1" applyAlignment="1">
      <alignment horizontal="center" vertical="center"/>
    </xf>
    <xf numFmtId="166" fontId="49" fillId="0" borderId="0" xfId="2" applyNumberFormat="1" applyFont="1" applyFill="1" applyBorder="1" applyAlignment="1">
      <alignment vertical="center"/>
    </xf>
    <xf numFmtId="166" fontId="84" fillId="2" borderId="1" xfId="2" applyNumberFormat="1" applyFont="1" applyFill="1" applyBorder="1" applyAlignment="1">
      <alignment vertical="center"/>
    </xf>
    <xf numFmtId="166" fontId="48" fillId="0" borderId="0" xfId="2" applyNumberFormat="1" applyFont="1" applyFill="1" applyBorder="1" applyAlignment="1" applyProtection="1">
      <alignment vertical="center"/>
      <protection locked="0"/>
    </xf>
    <xf numFmtId="166" fontId="84" fillId="0" borderId="0" xfId="2" applyNumberFormat="1" applyFont="1" applyFill="1" applyBorder="1" applyAlignment="1">
      <alignment vertical="center"/>
    </xf>
    <xf numFmtId="166" fontId="9" fillId="0" borderId="0" xfId="2" applyNumberFormat="1" applyFont="1" applyFill="1" applyBorder="1" applyAlignment="1">
      <alignment vertical="center"/>
    </xf>
    <xf numFmtId="166" fontId="60" fillId="2" borderId="1" xfId="2" applyNumberFormat="1" applyFont="1" applyFill="1" applyBorder="1" applyAlignment="1">
      <alignment vertical="center"/>
    </xf>
    <xf numFmtId="0" fontId="0" fillId="5" borderId="1" xfId="0" applyFill="1" applyBorder="1" applyAlignment="1" applyProtection="1">
      <alignment horizontal="center"/>
      <protection locked="0"/>
    </xf>
    <xf numFmtId="166" fontId="0" fillId="5" borderId="1" xfId="2" applyNumberFormat="1" applyFont="1" applyFill="1" applyBorder="1"/>
    <xf numFmtId="0" fontId="0" fillId="5" borderId="1" xfId="0" applyFill="1" applyBorder="1"/>
    <xf numFmtId="37" fontId="0" fillId="5" borderId="1" xfId="0" applyNumberFormat="1" applyFill="1" applyBorder="1" applyAlignment="1">
      <alignment horizontal="center"/>
    </xf>
    <xf numFmtId="0" fontId="0" fillId="5" borderId="1" xfId="0" applyFill="1" applyBorder="1" applyAlignment="1">
      <alignment horizontal="left" wrapText="1"/>
    </xf>
    <xf numFmtId="177" fontId="0" fillId="5" borderId="1" xfId="1" applyNumberFormat="1" applyFont="1" applyFill="1" applyBorder="1" applyProtection="1">
      <protection locked="0"/>
    </xf>
    <xf numFmtId="165" fontId="26" fillId="0" borderId="0" xfId="1" applyNumberFormat="1" applyFont="1" applyBorder="1"/>
    <xf numFmtId="165" fontId="0" fillId="5" borderId="1" xfId="1" applyNumberFormat="1" applyFont="1" applyFill="1" applyBorder="1" applyProtection="1">
      <protection locked="0"/>
    </xf>
    <xf numFmtId="0" fontId="85" fillId="8" borderId="6" xfId="0" applyFont="1" applyFill="1" applyBorder="1" applyAlignment="1" applyProtection="1">
      <alignment horizontal="left"/>
      <protection locked="0"/>
    </xf>
    <xf numFmtId="0" fontId="85" fillId="8" borderId="7" xfId="0" applyFont="1" applyFill="1" applyBorder="1" applyAlignment="1" applyProtection="1">
      <alignment horizontal="left"/>
      <protection locked="0"/>
    </xf>
    <xf numFmtId="0" fontId="85" fillId="8" borderId="5"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7"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6" fillId="5" borderId="2" xfId="0" applyFont="1" applyFill="1" applyBorder="1" applyAlignment="1" applyProtection="1">
      <alignment horizontal="center" vertical="top"/>
      <protection locked="0"/>
    </xf>
    <xf numFmtId="37" fontId="26" fillId="5" borderId="2" xfId="1" applyNumberFormat="1" applyFont="1" applyFill="1" applyBorder="1" applyAlignment="1" applyProtection="1">
      <alignment horizontal="center" vertical="top"/>
      <protection locked="0"/>
    </xf>
    <xf numFmtId="168" fontId="26" fillId="5" borderId="2" xfId="1" applyNumberFormat="1" applyFont="1" applyFill="1" applyBorder="1" applyAlignment="1" applyProtection="1">
      <alignment horizontal="center" vertical="top"/>
      <protection locked="0"/>
    </xf>
    <xf numFmtId="166" fontId="48" fillId="5" borderId="1" xfId="2" applyNumberFormat="1" applyFont="1" applyFill="1" applyBorder="1" applyProtection="1"/>
    <xf numFmtId="165" fontId="0" fillId="0" borderId="0" xfId="1" applyNumberFormat="1" applyFont="1" applyFill="1"/>
    <xf numFmtId="0" fontId="6" fillId="0" borderId="0" xfId="0" applyFont="1" applyAlignment="1">
      <alignment horizontal="left"/>
    </xf>
    <xf numFmtId="0" fontId="36" fillId="0" borderId="0" xfId="4" applyFont="1" applyAlignment="1">
      <alignment horizontal="center" vertical="top"/>
    </xf>
    <xf numFmtId="0" fontId="0" fillId="5" borderId="13" xfId="0"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26" fillId="5" borderId="13" xfId="0" applyFont="1" applyFill="1" applyBorder="1" applyAlignment="1" applyProtection="1">
      <alignment horizontal="left" vertical="top"/>
      <protection locked="0"/>
    </xf>
    <xf numFmtId="0" fontId="26" fillId="5" borderId="14" xfId="0" applyFont="1" applyFill="1" applyBorder="1" applyAlignment="1" applyProtection="1">
      <alignment horizontal="left" vertical="top"/>
      <protection locked="0"/>
    </xf>
    <xf numFmtId="37" fontId="53" fillId="0" borderId="0" xfId="0" applyNumberFormat="1" applyFont="1" applyAlignment="1">
      <alignment horizontal="center" vertical="top"/>
    </xf>
    <xf numFmtId="0" fontId="53" fillId="0" borderId="0" xfId="0" applyFont="1" applyAlignment="1">
      <alignment horizontal="center"/>
    </xf>
    <xf numFmtId="0" fontId="36" fillId="0" borderId="0" xfId="0" applyFont="1" applyAlignment="1" applyProtection="1">
      <alignment horizontal="left" vertical="top"/>
      <protection locked="0"/>
    </xf>
    <xf numFmtId="0" fontId="26" fillId="5" borderId="6"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9" fillId="5" borderId="1" xfId="0" applyFont="1" applyFill="1" applyBorder="1" applyAlignment="1" applyProtection="1">
      <alignment horizontal="center"/>
      <protection locked="0"/>
    </xf>
    <xf numFmtId="166" fontId="9" fillId="5" borderId="1" xfId="2" applyNumberFormat="1" applyFont="1" applyFill="1" applyBorder="1" applyAlignment="1" applyProtection="1">
      <alignment vertical="center"/>
      <protection locked="0"/>
    </xf>
    <xf numFmtId="39" fontId="53" fillId="0" borderId="0" xfId="0" applyNumberFormat="1" applyFont="1" applyAlignment="1">
      <alignment horizontal="center" vertical="top"/>
    </xf>
    <xf numFmtId="0" fontId="0" fillId="0" borderId="0" xfId="0" applyAlignment="1">
      <alignment horizontal="left" vertical="top" wrapText="1"/>
    </xf>
    <xf numFmtId="0" fontId="0" fillId="0" borderId="0" xfId="0" applyAlignment="1">
      <alignment horizontal="left" wrapText="1"/>
    </xf>
    <xf numFmtId="0" fontId="0" fillId="0" borderId="0" xfId="0" applyAlignment="1">
      <alignment wrapText="1"/>
    </xf>
    <xf numFmtId="172" fontId="15" fillId="0" borderId="0" xfId="0" applyNumberFormat="1" applyFont="1" applyAlignment="1">
      <alignment horizontal="left"/>
    </xf>
    <xf numFmtId="0" fontId="27" fillId="2" borderId="6" xfId="0" applyFont="1" applyFill="1" applyBorder="1" applyAlignment="1">
      <alignment horizontal="left" vertical="center"/>
    </xf>
    <xf numFmtId="0" fontId="27" fillId="2" borderId="5" xfId="0" applyFont="1" applyFill="1" applyBorder="1" applyAlignment="1">
      <alignment horizontal="left" vertical="center"/>
    </xf>
    <xf numFmtId="0" fontId="27" fillId="3" borderId="1" xfId="0" applyFont="1" applyFill="1" applyBorder="1" applyAlignment="1">
      <alignment horizontal="center"/>
    </xf>
    <xf numFmtId="0" fontId="27" fillId="3" borderId="6" xfId="0" applyFont="1" applyFill="1" applyBorder="1" applyAlignment="1">
      <alignment horizontal="left" vertical="center"/>
    </xf>
    <xf numFmtId="0" fontId="27" fillId="3" borderId="7" xfId="0" applyFont="1" applyFill="1" applyBorder="1" applyAlignment="1">
      <alignment horizontal="left" vertical="center"/>
    </xf>
    <xf numFmtId="0" fontId="27" fillId="3" borderId="5" xfId="0" applyFont="1" applyFill="1" applyBorder="1" applyAlignment="1">
      <alignment horizontal="left" vertical="center"/>
    </xf>
    <xf numFmtId="0" fontId="26" fillId="0" borderId="6" xfId="0" applyFont="1" applyBorder="1" applyAlignment="1">
      <alignment horizontal="left" vertical="center"/>
    </xf>
    <xf numFmtId="0" fontId="26" fillId="0" borderId="5" xfId="0" applyFont="1" applyBorder="1" applyAlignment="1">
      <alignment horizontal="left" vertical="center"/>
    </xf>
    <xf numFmtId="0" fontId="27" fillId="2" borderId="7" xfId="0" applyFont="1" applyFill="1" applyBorder="1" applyAlignment="1">
      <alignment horizontal="left" vertical="center"/>
    </xf>
    <xf numFmtId="0" fontId="26" fillId="0" borderId="7" xfId="0" applyFont="1" applyBorder="1" applyAlignment="1">
      <alignment horizontal="left" vertical="center"/>
    </xf>
    <xf numFmtId="0" fontId="27" fillId="0" borderId="3" xfId="0" applyFont="1" applyBorder="1" applyAlignment="1">
      <alignment horizontal="left" vertical="center" wrapText="1"/>
    </xf>
    <xf numFmtId="0" fontId="26" fillId="0" borderId="1" xfId="0" applyFont="1" applyBorder="1" applyAlignment="1">
      <alignment horizontal="left" vertical="center"/>
    </xf>
    <xf numFmtId="0" fontId="33" fillId="2" borderId="6" xfId="0" applyFont="1" applyFill="1" applyBorder="1" applyAlignment="1">
      <alignment horizontal="left" vertical="center"/>
    </xf>
    <xf numFmtId="0" fontId="33" fillId="2" borderId="7" xfId="0" applyFont="1" applyFill="1" applyBorder="1" applyAlignment="1">
      <alignment horizontal="left" vertical="center"/>
    </xf>
    <xf numFmtId="0" fontId="33" fillId="2" borderId="5" xfId="0" applyFont="1" applyFill="1" applyBorder="1" applyAlignment="1">
      <alignment horizontal="left" vertical="center"/>
    </xf>
    <xf numFmtId="0" fontId="26" fillId="5" borderId="1" xfId="0" applyFont="1" applyFill="1" applyBorder="1" applyAlignment="1" applyProtection="1">
      <alignment horizontal="left"/>
      <protection locked="0"/>
    </xf>
    <xf numFmtId="0" fontId="8" fillId="0" borderId="0" xfId="0" applyFont="1" applyAlignment="1">
      <alignment horizontal="left" wrapText="1"/>
    </xf>
    <xf numFmtId="0" fontId="31" fillId="0" borderId="0" xfId="0" applyFont="1" applyAlignment="1">
      <alignment horizontal="left" vertical="top" wrapText="1"/>
    </xf>
    <xf numFmtId="0" fontId="26" fillId="3" borderId="6" xfId="0" applyFont="1" applyFill="1" applyBorder="1" applyAlignment="1">
      <alignment horizontal="center"/>
    </xf>
    <xf numFmtId="0" fontId="26" fillId="3" borderId="5" xfId="0" applyFont="1" applyFill="1" applyBorder="1" applyAlignment="1">
      <alignment horizontal="center"/>
    </xf>
    <xf numFmtId="0" fontId="27" fillId="3" borderId="1" xfId="0" applyFont="1" applyFill="1" applyBorder="1" applyAlignment="1">
      <alignment horizontal="center" wrapText="1"/>
    </xf>
    <xf numFmtId="172" fontId="0" fillId="5" borderId="0" xfId="0" applyNumberFormat="1" applyFill="1" applyAlignment="1" applyProtection="1">
      <alignment horizontal="left" vertical="top" wrapText="1"/>
      <protection locked="0"/>
    </xf>
    <xf numFmtId="172" fontId="0" fillId="5" borderId="0" xfId="0" quotePrefix="1" applyNumberFormat="1" applyFill="1" applyAlignment="1" applyProtection="1">
      <alignment horizontal="center" vertical="top" wrapText="1"/>
      <protection locked="0"/>
    </xf>
    <xf numFmtId="0" fontId="31" fillId="0" borderId="0" xfId="0" applyFont="1" applyAlignment="1">
      <alignment horizontal="left" wrapText="1"/>
    </xf>
    <xf numFmtId="0" fontId="26" fillId="3" borderId="1" xfId="0" applyFont="1" applyFill="1" applyBorder="1" applyAlignment="1">
      <alignment horizontal="center"/>
    </xf>
    <xf numFmtId="0" fontId="27" fillId="3" borderId="4" xfId="0" applyFont="1" applyFill="1" applyBorder="1" applyAlignment="1">
      <alignment horizontal="center" wrapText="1"/>
    </xf>
    <xf numFmtId="0" fontId="39" fillId="0" borderId="0" xfId="0" applyFont="1" applyAlignment="1">
      <alignment horizontal="left" vertical="top" wrapText="1"/>
    </xf>
    <xf numFmtId="0" fontId="0" fillId="3" borderId="1" xfId="0" applyFill="1" applyBorder="1" applyAlignment="1">
      <alignment horizontal="center"/>
    </xf>
    <xf numFmtId="0" fontId="3" fillId="3" borderId="1" xfId="0" applyFont="1" applyFill="1" applyBorder="1" applyAlignment="1">
      <alignment horizontal="center"/>
    </xf>
    <xf numFmtId="0" fontId="3" fillId="3" borderId="1" xfId="0" applyFont="1" applyFill="1" applyBorder="1" applyAlignment="1">
      <alignment horizontal="center" wrapText="1"/>
    </xf>
    <xf numFmtId="0" fontId="3" fillId="3" borderId="6" xfId="0" applyFont="1" applyFill="1" applyBorder="1" applyAlignment="1">
      <alignment horizontal="center"/>
    </xf>
    <xf numFmtId="0" fontId="3" fillId="3" borderId="5" xfId="0" applyFont="1" applyFill="1" applyBorder="1" applyAlignment="1">
      <alignment horizontal="center"/>
    </xf>
    <xf numFmtId="0" fontId="0" fillId="0" borderId="1" xfId="0" applyBorder="1" applyAlignment="1">
      <alignment horizontal="left"/>
    </xf>
    <xf numFmtId="0" fontId="26" fillId="0" borderId="1" xfId="0" applyFont="1" applyBorder="1" applyAlignment="1">
      <alignment horizontal="left"/>
    </xf>
    <xf numFmtId="0" fontId="26" fillId="0" borderId="1" xfId="0" applyFont="1" applyBorder="1" applyAlignment="1">
      <alignment horizontal="left" vertical="center" wrapText="1"/>
    </xf>
    <xf numFmtId="0" fontId="0" fillId="5" borderId="1" xfId="0" applyFill="1" applyBorder="1" applyAlignment="1" applyProtection="1">
      <alignment horizontal="left"/>
      <protection locked="0"/>
    </xf>
    <xf numFmtId="0" fontId="3" fillId="3" borderId="13" xfId="0" applyFont="1" applyFill="1" applyBorder="1" applyAlignment="1">
      <alignment horizontal="center"/>
    </xf>
    <xf numFmtId="0" fontId="3" fillId="3" borderId="9" xfId="0" applyFont="1" applyFill="1" applyBorder="1" applyAlignment="1">
      <alignment horizontal="center"/>
    </xf>
    <xf numFmtId="0" fontId="3" fillId="3" borderId="14" xfId="0" applyFont="1" applyFill="1" applyBorder="1" applyAlignment="1">
      <alignment horizontal="center"/>
    </xf>
    <xf numFmtId="0" fontId="3" fillId="3" borderId="11" xfId="0" applyFont="1" applyFill="1" applyBorder="1" applyAlignment="1">
      <alignment horizontal="center"/>
    </xf>
    <xf numFmtId="0" fontId="3" fillId="3" borderId="3" xfId="0" applyFont="1" applyFill="1" applyBorder="1" applyAlignment="1">
      <alignment horizontal="center"/>
    </xf>
    <xf numFmtId="0" fontId="3" fillId="3" borderId="12" xfId="0" applyFont="1" applyFill="1" applyBorder="1" applyAlignment="1">
      <alignment horizontal="center"/>
    </xf>
    <xf numFmtId="0" fontId="3" fillId="3" borderId="7" xfId="0" applyFont="1" applyFill="1" applyBorder="1" applyAlignment="1">
      <alignment horizontal="center"/>
    </xf>
    <xf numFmtId="0" fontId="3" fillId="3" borderId="2" xfId="0" applyFont="1" applyFill="1" applyBorder="1" applyAlignment="1">
      <alignment horizontal="center" wrapText="1"/>
    </xf>
    <xf numFmtId="0" fontId="3" fillId="3" borderId="8" xfId="0" applyFont="1" applyFill="1" applyBorder="1" applyAlignment="1">
      <alignment horizontal="center" wrapText="1"/>
    </xf>
    <xf numFmtId="0" fontId="51" fillId="5" borderId="6" xfId="0" applyFont="1" applyFill="1" applyBorder="1" applyAlignment="1" applyProtection="1">
      <alignment horizontal="left"/>
      <protection locked="0"/>
    </xf>
    <xf numFmtId="0" fontId="51" fillId="5" borderId="7" xfId="0" applyFont="1" applyFill="1" applyBorder="1" applyAlignment="1" applyProtection="1">
      <alignment horizontal="left"/>
      <protection locked="0"/>
    </xf>
    <xf numFmtId="0" fontId="51" fillId="5" borderId="5" xfId="0" applyFont="1" applyFill="1" applyBorder="1" applyAlignment="1" applyProtection="1">
      <alignment horizontal="left"/>
      <protection locked="0"/>
    </xf>
    <xf numFmtId="0" fontId="51" fillId="5" borderId="1" xfId="0" applyFont="1" applyFill="1" applyBorder="1" applyAlignment="1" applyProtection="1">
      <alignment horizontal="left"/>
      <protection locked="0"/>
    </xf>
    <xf numFmtId="0" fontId="3" fillId="3" borderId="2" xfId="0" applyFont="1" applyFill="1" applyBorder="1" applyAlignment="1">
      <alignment horizontal="center"/>
    </xf>
    <xf numFmtId="172" fontId="26" fillId="5" borderId="13" xfId="0" applyNumberFormat="1" applyFont="1" applyFill="1" applyBorder="1" applyAlignment="1" applyProtection="1">
      <alignment horizontal="left" vertical="top"/>
      <protection locked="0"/>
    </xf>
    <xf numFmtId="172" fontId="26" fillId="5" borderId="14" xfId="0" applyNumberFormat="1" applyFont="1" applyFill="1" applyBorder="1" applyAlignment="1" applyProtection="1">
      <alignment horizontal="left" vertical="top"/>
      <protection locked="0"/>
    </xf>
    <xf numFmtId="0" fontId="27" fillId="3" borderId="13" xfId="0" applyFont="1" applyFill="1" applyBorder="1" applyAlignment="1">
      <alignment horizontal="center"/>
    </xf>
    <xf numFmtId="0" fontId="27" fillId="3" borderId="14" xfId="0" applyFont="1" applyFill="1" applyBorder="1" applyAlignment="1">
      <alignment horizontal="center"/>
    </xf>
    <xf numFmtId="0" fontId="27" fillId="3" borderId="11" xfId="0" applyFont="1" applyFill="1" applyBorder="1" applyAlignment="1">
      <alignment horizontal="center"/>
    </xf>
    <xf numFmtId="0" fontId="27" fillId="3" borderId="12" xfId="0" applyFont="1" applyFill="1" applyBorder="1" applyAlignment="1">
      <alignment horizontal="center"/>
    </xf>
    <xf numFmtId="0" fontId="27" fillId="3" borderId="2" xfId="0" applyFont="1" applyFill="1" applyBorder="1" applyAlignment="1">
      <alignment horizontal="center" wrapText="1"/>
    </xf>
    <xf numFmtId="0" fontId="27" fillId="3" borderId="8" xfId="0" applyFont="1" applyFill="1" applyBorder="1" applyAlignment="1">
      <alignment horizontal="center" wrapText="1"/>
    </xf>
    <xf numFmtId="168" fontId="27" fillId="3" borderId="2" xfId="0" applyNumberFormat="1" applyFont="1" applyFill="1" applyBorder="1" applyAlignment="1">
      <alignment horizontal="center" wrapText="1"/>
    </xf>
    <xf numFmtId="168" fontId="27" fillId="3" borderId="8" xfId="0" applyNumberFormat="1" applyFont="1" applyFill="1" applyBorder="1" applyAlignment="1">
      <alignment horizontal="center" wrapText="1"/>
    </xf>
    <xf numFmtId="0" fontId="3" fillId="0" borderId="1" xfId="0" applyFont="1" applyBorder="1" applyAlignment="1">
      <alignment horizontal="left"/>
    </xf>
    <xf numFmtId="165" fontId="3" fillId="0" borderId="0" xfId="1" applyNumberFormat="1" applyFont="1" applyFill="1" applyBorder="1" applyAlignment="1">
      <alignment horizontal="center" wrapText="1"/>
    </xf>
    <xf numFmtId="164" fontId="3" fillId="3" borderId="6" xfId="0" applyNumberFormat="1" applyFont="1" applyFill="1" applyBorder="1" applyAlignment="1">
      <alignment horizontal="center"/>
    </xf>
    <xf numFmtId="164" fontId="3" fillId="3" borderId="7" xfId="0" applyNumberFormat="1" applyFont="1" applyFill="1" applyBorder="1" applyAlignment="1">
      <alignment horizontal="center"/>
    </xf>
    <xf numFmtId="164" fontId="3" fillId="3" borderId="5" xfId="0" applyNumberFormat="1" applyFont="1" applyFill="1" applyBorder="1" applyAlignment="1">
      <alignment horizontal="center"/>
    </xf>
    <xf numFmtId="165" fontId="27" fillId="0" borderId="0" xfId="1" applyNumberFormat="1" applyFont="1" applyFill="1" applyBorder="1" applyAlignment="1">
      <alignment horizontal="center" wrapText="1"/>
    </xf>
    <xf numFmtId="165" fontId="27" fillId="0" borderId="3" xfId="1" applyNumberFormat="1" applyFont="1" applyFill="1" applyBorder="1" applyAlignment="1">
      <alignment horizontal="center" wrapText="1"/>
    </xf>
    <xf numFmtId="0" fontId="0" fillId="5" borderId="0" xfId="0" applyFill="1" applyAlignment="1">
      <alignment horizontal="left" vertical="top" wrapText="1"/>
    </xf>
    <xf numFmtId="0" fontId="0" fillId="5" borderId="0" xfId="0" applyFill="1" applyAlignment="1" applyProtection="1">
      <alignment horizontal="center" vertical="top" wrapText="1"/>
      <protection locked="0"/>
    </xf>
    <xf numFmtId="0" fontId="0" fillId="5" borderId="1" xfId="0" applyFill="1" applyBorder="1" applyAlignment="1">
      <alignment horizontal="left"/>
    </xf>
    <xf numFmtId="0" fontId="0" fillId="5" borderId="6" xfId="0" applyFill="1" applyBorder="1" applyAlignment="1" applyProtection="1">
      <alignment horizontal="left"/>
      <protection locked="0"/>
    </xf>
    <xf numFmtId="0" fontId="0" fillId="5" borderId="7"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3" borderId="6" xfId="0" applyFill="1" applyBorder="1" applyAlignment="1">
      <alignment horizontal="center"/>
    </xf>
    <xf numFmtId="0" fontId="0" fillId="3" borderId="7" xfId="0" applyFill="1" applyBorder="1" applyAlignment="1">
      <alignment horizontal="center"/>
    </xf>
    <xf numFmtId="0" fontId="0" fillId="3" borderId="5" xfId="0" applyFill="1" applyBorder="1" applyAlignment="1">
      <alignment horizontal="center"/>
    </xf>
    <xf numFmtId="0" fontId="85" fillId="8" borderId="6" xfId="0" applyFont="1" applyFill="1" applyBorder="1" applyAlignment="1" applyProtection="1">
      <alignment horizontal="left"/>
      <protection locked="0"/>
    </xf>
    <xf numFmtId="0" fontId="85" fillId="8" borderId="7" xfId="0" applyFont="1" applyFill="1" applyBorder="1" applyAlignment="1" applyProtection="1">
      <alignment horizontal="left"/>
      <protection locked="0"/>
    </xf>
    <xf numFmtId="0" fontId="85" fillId="8" borderId="5" xfId="0" applyFont="1" applyFill="1" applyBorder="1" applyAlignment="1" applyProtection="1">
      <alignment horizontal="left"/>
      <protection locked="0"/>
    </xf>
    <xf numFmtId="0" fontId="0" fillId="5" borderId="13" xfId="0"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26" fillId="0" borderId="6" xfId="0" applyFont="1" applyBorder="1" applyAlignment="1">
      <alignment vertical="center"/>
    </xf>
    <xf numFmtId="0" fontId="26" fillId="0" borderId="7" xfId="0" applyFont="1" applyBorder="1" applyAlignment="1">
      <alignment vertical="center"/>
    </xf>
    <xf numFmtId="0" fontId="26" fillId="0" borderId="5" xfId="0" applyFont="1" applyBorder="1" applyAlignment="1">
      <alignment vertical="center"/>
    </xf>
    <xf numFmtId="0" fontId="27" fillId="0" borderId="7" xfId="0" applyFont="1" applyBorder="1" applyAlignment="1">
      <alignment horizontal="left" vertical="center" wrapText="1"/>
    </xf>
    <xf numFmtId="0" fontId="27" fillId="2" borderId="6" xfId="0" applyFont="1" applyFill="1" applyBorder="1" applyAlignment="1">
      <alignment vertical="center"/>
    </xf>
    <xf numFmtId="0" fontId="27" fillId="2" borderId="7" xfId="0" applyFont="1" applyFill="1" applyBorder="1" applyAlignment="1">
      <alignment vertical="center"/>
    </xf>
    <xf numFmtId="0" fontId="27" fillId="2" borderId="5" xfId="0" applyFont="1" applyFill="1" applyBorder="1" applyAlignment="1">
      <alignment vertical="center"/>
    </xf>
    <xf numFmtId="0" fontId="49" fillId="3" borderId="2" xfId="0" applyFont="1" applyFill="1" applyBorder="1" applyAlignment="1">
      <alignment horizontal="center" wrapText="1"/>
    </xf>
    <xf numFmtId="0" fontId="49" fillId="3" borderId="8" xfId="0" applyFont="1" applyFill="1" applyBorder="1" applyAlignment="1">
      <alignment horizontal="center" wrapText="1"/>
    </xf>
    <xf numFmtId="0" fontId="9" fillId="3" borderId="2" xfId="0" applyFont="1" applyFill="1" applyBorder="1" applyAlignment="1">
      <alignment horizontal="center" wrapText="1"/>
    </xf>
    <xf numFmtId="0" fontId="9" fillId="3" borderId="8" xfId="0" applyFont="1" applyFill="1" applyBorder="1" applyAlignment="1">
      <alignment horizontal="center" wrapText="1"/>
    </xf>
    <xf numFmtId="0" fontId="49" fillId="3" borderId="1" xfId="0" applyFont="1" applyFill="1" applyBorder="1" applyAlignment="1">
      <alignment horizontal="center" wrapText="1"/>
    </xf>
    <xf numFmtId="0" fontId="9" fillId="3" borderId="1" xfId="0" applyFont="1" applyFill="1" applyBorder="1" applyAlignment="1">
      <alignment horizontal="center" wrapText="1"/>
    </xf>
    <xf numFmtId="165" fontId="9" fillId="0" borderId="0" xfId="1" applyNumberFormat="1" applyFont="1" applyFill="1" applyBorder="1" applyAlignment="1">
      <alignment horizontal="center" wrapText="1"/>
    </xf>
    <xf numFmtId="0" fontId="27" fillId="3" borderId="6" xfId="0" applyFont="1" applyFill="1" applyBorder="1" applyAlignment="1">
      <alignment vertical="center"/>
    </xf>
    <xf numFmtId="0" fontId="27" fillId="3" borderId="7" xfId="0" applyFont="1" applyFill="1" applyBorder="1" applyAlignment="1">
      <alignment vertical="center"/>
    </xf>
    <xf numFmtId="0" fontId="27" fillId="3" borderId="5" xfId="0" applyFont="1" applyFill="1" applyBorder="1" applyAlignment="1">
      <alignment vertical="center"/>
    </xf>
    <xf numFmtId="0" fontId="26" fillId="0" borderId="11" xfId="0" applyFont="1" applyBorder="1" applyAlignment="1">
      <alignment horizontal="left" vertical="center"/>
    </xf>
    <xf numFmtId="0" fontId="26" fillId="0" borderId="3" xfId="0" applyFont="1" applyBorder="1" applyAlignment="1">
      <alignment horizontal="left" vertical="center"/>
    </xf>
    <xf numFmtId="0" fontId="26" fillId="0" borderId="12" xfId="0" applyFont="1" applyBorder="1" applyAlignment="1">
      <alignment horizontal="left" vertical="center"/>
    </xf>
  </cellXfs>
  <cellStyles count="59617">
    <cellStyle name="20% - Accent1" xfId="62" builtinId="30" customBuiltin="1"/>
    <cellStyle name="20% - Accent1 10" xfId="2842" xr:uid="{00000000-0005-0000-0000-000001000000}"/>
    <cellStyle name="20% - Accent1 10 2" xfId="5946" xr:uid="{00000000-0005-0000-0000-000002000000}"/>
    <cellStyle name="20% - Accent1 10 2 2" xfId="13218" xr:uid="{00000000-0005-0000-0000-000003000000}"/>
    <cellStyle name="20% - Accent1 10 2 2 2" xfId="27752" xr:uid="{00000000-0005-0000-0000-000004000000}"/>
    <cellStyle name="20% - Accent1 10 2 2 2 2" xfId="56758" xr:uid="{00000000-0005-0000-0000-000005000000}"/>
    <cellStyle name="20% - Accent1 10 2 2 3" xfId="42259" xr:uid="{00000000-0005-0000-0000-000006000000}"/>
    <cellStyle name="20% - Accent1 10 2 3" xfId="20504" xr:uid="{00000000-0005-0000-0000-000007000000}"/>
    <cellStyle name="20% - Accent1 10 2 3 2" xfId="49510" xr:uid="{00000000-0005-0000-0000-000008000000}"/>
    <cellStyle name="20% - Accent1 10 2 4" xfId="35011" xr:uid="{00000000-0005-0000-0000-000009000000}"/>
    <cellStyle name="20% - Accent1 10 3" xfId="10114" xr:uid="{00000000-0005-0000-0000-00000A000000}"/>
    <cellStyle name="20% - Accent1 10 3 2" xfId="24648" xr:uid="{00000000-0005-0000-0000-00000B000000}"/>
    <cellStyle name="20% - Accent1 10 3 2 2" xfId="53654" xr:uid="{00000000-0005-0000-0000-00000C000000}"/>
    <cellStyle name="20% - Accent1 10 3 3" xfId="39155" xr:uid="{00000000-0005-0000-0000-00000D000000}"/>
    <cellStyle name="20% - Accent1 10 4" xfId="17400" xr:uid="{00000000-0005-0000-0000-00000E000000}"/>
    <cellStyle name="20% - Accent1 10 4 2" xfId="46406" xr:uid="{00000000-0005-0000-0000-00000F000000}"/>
    <cellStyle name="20% - Accent1 10 5" xfId="31907" xr:uid="{00000000-0005-0000-0000-000010000000}"/>
    <cellStyle name="20% - Accent1 11" xfId="3874" xr:uid="{00000000-0005-0000-0000-000011000000}"/>
    <cellStyle name="20% - Accent1 11 2" xfId="11146" xr:uid="{00000000-0005-0000-0000-000012000000}"/>
    <cellStyle name="20% - Accent1 11 2 2" xfId="25680" xr:uid="{00000000-0005-0000-0000-000013000000}"/>
    <cellStyle name="20% - Accent1 11 2 2 2" xfId="54686" xr:uid="{00000000-0005-0000-0000-000014000000}"/>
    <cellStyle name="20% - Accent1 11 2 3" xfId="40187" xr:uid="{00000000-0005-0000-0000-000015000000}"/>
    <cellStyle name="20% - Accent1 11 3" xfId="18432" xr:uid="{00000000-0005-0000-0000-000016000000}"/>
    <cellStyle name="20% - Accent1 11 3 2" xfId="47438" xr:uid="{00000000-0005-0000-0000-000017000000}"/>
    <cellStyle name="20% - Accent1 11 4" xfId="32939" xr:uid="{00000000-0005-0000-0000-000018000000}"/>
    <cellStyle name="20% - Accent1 12" xfId="6978" xr:uid="{00000000-0005-0000-0000-000019000000}"/>
    <cellStyle name="20% - Accent1 12 2" xfId="14250" xr:uid="{00000000-0005-0000-0000-00001A000000}"/>
    <cellStyle name="20% - Accent1 12 2 2" xfId="28784" xr:uid="{00000000-0005-0000-0000-00001B000000}"/>
    <cellStyle name="20% - Accent1 12 2 2 2" xfId="57790" xr:uid="{00000000-0005-0000-0000-00001C000000}"/>
    <cellStyle name="20% - Accent1 12 2 3" xfId="43291" xr:uid="{00000000-0005-0000-0000-00001D000000}"/>
    <cellStyle name="20% - Accent1 12 3" xfId="21536" xr:uid="{00000000-0005-0000-0000-00001E000000}"/>
    <cellStyle name="20% - Accent1 12 3 2" xfId="50542" xr:uid="{00000000-0005-0000-0000-00001F000000}"/>
    <cellStyle name="20% - Accent1 12 4" xfId="36043" xr:uid="{00000000-0005-0000-0000-000020000000}"/>
    <cellStyle name="20% - Accent1 13" xfId="8042" xr:uid="{00000000-0005-0000-0000-000021000000}"/>
    <cellStyle name="20% - Accent1 13 2" xfId="22576" xr:uid="{00000000-0005-0000-0000-000022000000}"/>
    <cellStyle name="20% - Accent1 13 2 2" xfId="51582" xr:uid="{00000000-0005-0000-0000-000023000000}"/>
    <cellStyle name="20% - Accent1 13 3" xfId="37083" xr:uid="{00000000-0005-0000-0000-000024000000}"/>
    <cellStyle name="20% - Accent1 14" xfId="15322" xr:uid="{00000000-0005-0000-0000-000025000000}"/>
    <cellStyle name="20% - Accent1 14 2" xfId="44328" xr:uid="{00000000-0005-0000-0000-000026000000}"/>
    <cellStyle name="20% - Accent1 15" xfId="29828" xr:uid="{00000000-0005-0000-0000-000027000000}"/>
    <cellStyle name="20% - Accent1 16" xfId="277" xr:uid="{00000000-0005-0000-0000-000028000000}"/>
    <cellStyle name="20% - Accent1 17" xfId="58827" xr:uid="{00000000-0005-0000-0000-000029000000}"/>
    <cellStyle name="20% - Accent1 2" xfId="401" xr:uid="{00000000-0005-0000-0000-00002A000000}"/>
    <cellStyle name="20% - Accent1 2 2" xfId="406" xr:uid="{00000000-0005-0000-0000-00002B000000}"/>
    <cellStyle name="20% - Accent1 3" xfId="840" xr:uid="{00000000-0005-0000-0000-00002C000000}"/>
    <cellStyle name="20% - Accent1 3 10" xfId="7002" xr:uid="{00000000-0005-0000-0000-00002D000000}"/>
    <cellStyle name="20% - Accent1 3 10 2" xfId="14274" xr:uid="{00000000-0005-0000-0000-00002E000000}"/>
    <cellStyle name="20% - Accent1 3 10 2 2" xfId="28808" xr:uid="{00000000-0005-0000-0000-00002F000000}"/>
    <cellStyle name="20% - Accent1 3 10 2 2 2" xfId="57814" xr:uid="{00000000-0005-0000-0000-000030000000}"/>
    <cellStyle name="20% - Accent1 3 10 2 3" xfId="43315" xr:uid="{00000000-0005-0000-0000-000031000000}"/>
    <cellStyle name="20% - Accent1 3 10 3" xfId="21560" xr:uid="{00000000-0005-0000-0000-000032000000}"/>
    <cellStyle name="20% - Accent1 3 10 3 2" xfId="50566" xr:uid="{00000000-0005-0000-0000-000033000000}"/>
    <cellStyle name="20% - Accent1 3 10 4" xfId="36067" xr:uid="{00000000-0005-0000-0000-000034000000}"/>
    <cellStyle name="20% - Accent1 3 11" xfId="8066" xr:uid="{00000000-0005-0000-0000-000035000000}"/>
    <cellStyle name="20% - Accent1 3 11 2" xfId="22600" xr:uid="{00000000-0005-0000-0000-000036000000}"/>
    <cellStyle name="20% - Accent1 3 11 2 2" xfId="51606" xr:uid="{00000000-0005-0000-0000-000037000000}"/>
    <cellStyle name="20% - Accent1 3 11 3" xfId="37107" xr:uid="{00000000-0005-0000-0000-000038000000}"/>
    <cellStyle name="20% - Accent1 3 12" xfId="15352" xr:uid="{00000000-0005-0000-0000-000039000000}"/>
    <cellStyle name="20% - Accent1 3 12 2" xfId="44358" xr:uid="{00000000-0005-0000-0000-00003A000000}"/>
    <cellStyle name="20% - Accent1 3 13" xfId="29859" xr:uid="{00000000-0005-0000-0000-00003B000000}"/>
    <cellStyle name="20% - Accent1 3 2" xfId="883" xr:uid="{00000000-0005-0000-0000-00003C000000}"/>
    <cellStyle name="20% - Accent1 3 2 10" xfId="8118" xr:uid="{00000000-0005-0000-0000-00003D000000}"/>
    <cellStyle name="20% - Accent1 3 2 10 2" xfId="22652" xr:uid="{00000000-0005-0000-0000-00003E000000}"/>
    <cellStyle name="20% - Accent1 3 2 10 2 2" xfId="51658" xr:uid="{00000000-0005-0000-0000-00003F000000}"/>
    <cellStyle name="20% - Accent1 3 2 10 3" xfId="37159" xr:uid="{00000000-0005-0000-0000-000040000000}"/>
    <cellStyle name="20% - Accent1 3 2 11" xfId="15404" xr:uid="{00000000-0005-0000-0000-000041000000}"/>
    <cellStyle name="20% - Accent1 3 2 11 2" xfId="44410" xr:uid="{00000000-0005-0000-0000-000042000000}"/>
    <cellStyle name="20% - Accent1 3 2 12" xfId="29911" xr:uid="{00000000-0005-0000-0000-000043000000}"/>
    <cellStyle name="20% - Accent1 3 2 2" xfId="963" xr:uid="{00000000-0005-0000-0000-000044000000}"/>
    <cellStyle name="20% - Accent1 3 2 2 10" xfId="30014" xr:uid="{00000000-0005-0000-0000-000045000000}"/>
    <cellStyle name="20% - Accent1 3 2 2 2" xfId="1242" xr:uid="{00000000-0005-0000-0000-000046000000}"/>
    <cellStyle name="20% - Accent1 3 2 2 2 2" xfId="1748" xr:uid="{00000000-0005-0000-0000-000047000000}"/>
    <cellStyle name="20% - Accent1 3 2 2 2 2 2" xfId="2807" xr:uid="{00000000-0005-0000-0000-000048000000}"/>
    <cellStyle name="20% - Accent1 3 2 2 2 2 2 2" xfId="5911" xr:uid="{00000000-0005-0000-0000-000049000000}"/>
    <cellStyle name="20% - Accent1 3 2 2 2 2 2 2 2" xfId="13183" xr:uid="{00000000-0005-0000-0000-00004A000000}"/>
    <cellStyle name="20% - Accent1 3 2 2 2 2 2 2 2 2" xfId="27717" xr:uid="{00000000-0005-0000-0000-00004B000000}"/>
    <cellStyle name="20% - Accent1 3 2 2 2 2 2 2 2 2 2" xfId="56723" xr:uid="{00000000-0005-0000-0000-00004C000000}"/>
    <cellStyle name="20% - Accent1 3 2 2 2 2 2 2 2 3" xfId="42224" xr:uid="{00000000-0005-0000-0000-00004D000000}"/>
    <cellStyle name="20% - Accent1 3 2 2 2 2 2 2 3" xfId="20469" xr:uid="{00000000-0005-0000-0000-00004E000000}"/>
    <cellStyle name="20% - Accent1 3 2 2 2 2 2 2 3 2" xfId="49475" xr:uid="{00000000-0005-0000-0000-00004F000000}"/>
    <cellStyle name="20% - Accent1 3 2 2 2 2 2 2 4" xfId="34976" xr:uid="{00000000-0005-0000-0000-000050000000}"/>
    <cellStyle name="20% - Accent1 3 2 2 2 2 2 3" xfId="10079" xr:uid="{00000000-0005-0000-0000-000051000000}"/>
    <cellStyle name="20% - Accent1 3 2 2 2 2 2 3 2" xfId="24613" xr:uid="{00000000-0005-0000-0000-000052000000}"/>
    <cellStyle name="20% - Accent1 3 2 2 2 2 2 3 2 2" xfId="53619" xr:uid="{00000000-0005-0000-0000-000053000000}"/>
    <cellStyle name="20% - Accent1 3 2 2 2 2 2 3 3" xfId="39120" xr:uid="{00000000-0005-0000-0000-000054000000}"/>
    <cellStyle name="20% - Accent1 3 2 2 2 2 2 4" xfId="17365" xr:uid="{00000000-0005-0000-0000-000055000000}"/>
    <cellStyle name="20% - Accent1 3 2 2 2 2 2 4 2" xfId="46371" xr:uid="{00000000-0005-0000-0000-000056000000}"/>
    <cellStyle name="20% - Accent1 3 2 2 2 2 2 5" xfId="31872" xr:uid="{00000000-0005-0000-0000-000057000000}"/>
    <cellStyle name="20% - Accent1 3 2 2 2 2 3" xfId="3839" xr:uid="{00000000-0005-0000-0000-000058000000}"/>
    <cellStyle name="20% - Accent1 3 2 2 2 2 3 2" xfId="6943" xr:uid="{00000000-0005-0000-0000-000059000000}"/>
    <cellStyle name="20% - Accent1 3 2 2 2 2 3 2 2" xfId="14215" xr:uid="{00000000-0005-0000-0000-00005A000000}"/>
    <cellStyle name="20% - Accent1 3 2 2 2 2 3 2 2 2" xfId="28749" xr:uid="{00000000-0005-0000-0000-00005B000000}"/>
    <cellStyle name="20% - Accent1 3 2 2 2 2 3 2 2 2 2" xfId="57755" xr:uid="{00000000-0005-0000-0000-00005C000000}"/>
    <cellStyle name="20% - Accent1 3 2 2 2 2 3 2 2 3" xfId="43256" xr:uid="{00000000-0005-0000-0000-00005D000000}"/>
    <cellStyle name="20% - Accent1 3 2 2 2 2 3 2 3" xfId="21501" xr:uid="{00000000-0005-0000-0000-00005E000000}"/>
    <cellStyle name="20% - Accent1 3 2 2 2 2 3 2 3 2" xfId="50507" xr:uid="{00000000-0005-0000-0000-00005F000000}"/>
    <cellStyle name="20% - Accent1 3 2 2 2 2 3 2 4" xfId="36008" xr:uid="{00000000-0005-0000-0000-000060000000}"/>
    <cellStyle name="20% - Accent1 3 2 2 2 2 3 3" xfId="11111" xr:uid="{00000000-0005-0000-0000-000061000000}"/>
    <cellStyle name="20% - Accent1 3 2 2 2 2 3 3 2" xfId="25645" xr:uid="{00000000-0005-0000-0000-000062000000}"/>
    <cellStyle name="20% - Accent1 3 2 2 2 2 3 3 2 2" xfId="54651" xr:uid="{00000000-0005-0000-0000-000063000000}"/>
    <cellStyle name="20% - Accent1 3 2 2 2 2 3 3 3" xfId="40152" xr:uid="{00000000-0005-0000-0000-000064000000}"/>
    <cellStyle name="20% - Accent1 3 2 2 2 2 3 4" xfId="18397" xr:uid="{00000000-0005-0000-0000-000065000000}"/>
    <cellStyle name="20% - Accent1 3 2 2 2 2 3 4 2" xfId="47403" xr:uid="{00000000-0005-0000-0000-000066000000}"/>
    <cellStyle name="20% - Accent1 3 2 2 2 2 3 5" xfId="32904" xr:uid="{00000000-0005-0000-0000-000067000000}"/>
    <cellStyle name="20% - Accent1 3 2 2 2 2 4" xfId="4871" xr:uid="{00000000-0005-0000-0000-000068000000}"/>
    <cellStyle name="20% - Accent1 3 2 2 2 2 4 2" xfId="12143" xr:uid="{00000000-0005-0000-0000-000069000000}"/>
    <cellStyle name="20% - Accent1 3 2 2 2 2 4 2 2" xfId="26677" xr:uid="{00000000-0005-0000-0000-00006A000000}"/>
    <cellStyle name="20% - Accent1 3 2 2 2 2 4 2 2 2" xfId="55683" xr:uid="{00000000-0005-0000-0000-00006B000000}"/>
    <cellStyle name="20% - Accent1 3 2 2 2 2 4 2 3" xfId="41184" xr:uid="{00000000-0005-0000-0000-00006C000000}"/>
    <cellStyle name="20% - Accent1 3 2 2 2 2 4 3" xfId="19429" xr:uid="{00000000-0005-0000-0000-00006D000000}"/>
    <cellStyle name="20% - Accent1 3 2 2 2 2 4 3 2" xfId="48435" xr:uid="{00000000-0005-0000-0000-00006E000000}"/>
    <cellStyle name="20% - Accent1 3 2 2 2 2 4 4" xfId="33936" xr:uid="{00000000-0005-0000-0000-00006F000000}"/>
    <cellStyle name="20% - Accent1 3 2 2 2 2 5" xfId="7975" xr:uid="{00000000-0005-0000-0000-000070000000}"/>
    <cellStyle name="20% - Accent1 3 2 2 2 2 5 2" xfId="15247" xr:uid="{00000000-0005-0000-0000-000071000000}"/>
    <cellStyle name="20% - Accent1 3 2 2 2 2 5 2 2" xfId="29781" xr:uid="{00000000-0005-0000-0000-000072000000}"/>
    <cellStyle name="20% - Accent1 3 2 2 2 2 5 2 2 2" xfId="58787" xr:uid="{00000000-0005-0000-0000-000073000000}"/>
    <cellStyle name="20% - Accent1 3 2 2 2 2 5 2 3" xfId="44288" xr:uid="{00000000-0005-0000-0000-000074000000}"/>
    <cellStyle name="20% - Accent1 3 2 2 2 2 5 3" xfId="22533" xr:uid="{00000000-0005-0000-0000-000075000000}"/>
    <cellStyle name="20% - Accent1 3 2 2 2 2 5 3 2" xfId="51539" xr:uid="{00000000-0005-0000-0000-000076000000}"/>
    <cellStyle name="20% - Accent1 3 2 2 2 2 5 4" xfId="37040" xr:uid="{00000000-0005-0000-0000-000077000000}"/>
    <cellStyle name="20% - Accent1 3 2 2 2 2 6" xfId="9039" xr:uid="{00000000-0005-0000-0000-000078000000}"/>
    <cellStyle name="20% - Accent1 3 2 2 2 2 6 2" xfId="23573" xr:uid="{00000000-0005-0000-0000-000079000000}"/>
    <cellStyle name="20% - Accent1 3 2 2 2 2 6 2 2" xfId="52579" xr:uid="{00000000-0005-0000-0000-00007A000000}"/>
    <cellStyle name="20% - Accent1 3 2 2 2 2 6 3" xfId="38080" xr:uid="{00000000-0005-0000-0000-00007B000000}"/>
    <cellStyle name="20% - Accent1 3 2 2 2 2 7" xfId="16325" xr:uid="{00000000-0005-0000-0000-00007C000000}"/>
    <cellStyle name="20% - Accent1 3 2 2 2 2 7 2" xfId="45331" xr:uid="{00000000-0005-0000-0000-00007D000000}"/>
    <cellStyle name="20% - Accent1 3 2 2 2 2 8" xfId="30832" xr:uid="{00000000-0005-0000-0000-00007E000000}"/>
    <cellStyle name="20% - Accent1 3 2 2 2 3" xfId="2295" xr:uid="{00000000-0005-0000-0000-00007F000000}"/>
    <cellStyle name="20% - Accent1 3 2 2 2 3 2" xfId="5399" xr:uid="{00000000-0005-0000-0000-000080000000}"/>
    <cellStyle name="20% - Accent1 3 2 2 2 3 2 2" xfId="12671" xr:uid="{00000000-0005-0000-0000-000081000000}"/>
    <cellStyle name="20% - Accent1 3 2 2 2 3 2 2 2" xfId="27205" xr:uid="{00000000-0005-0000-0000-000082000000}"/>
    <cellStyle name="20% - Accent1 3 2 2 2 3 2 2 2 2" xfId="56211" xr:uid="{00000000-0005-0000-0000-000083000000}"/>
    <cellStyle name="20% - Accent1 3 2 2 2 3 2 2 3" xfId="41712" xr:uid="{00000000-0005-0000-0000-000084000000}"/>
    <cellStyle name="20% - Accent1 3 2 2 2 3 2 3" xfId="19957" xr:uid="{00000000-0005-0000-0000-000085000000}"/>
    <cellStyle name="20% - Accent1 3 2 2 2 3 2 3 2" xfId="48963" xr:uid="{00000000-0005-0000-0000-000086000000}"/>
    <cellStyle name="20% - Accent1 3 2 2 2 3 2 4" xfId="34464" xr:uid="{00000000-0005-0000-0000-000087000000}"/>
    <cellStyle name="20% - Accent1 3 2 2 2 3 3" xfId="9567" xr:uid="{00000000-0005-0000-0000-000088000000}"/>
    <cellStyle name="20% - Accent1 3 2 2 2 3 3 2" xfId="24101" xr:uid="{00000000-0005-0000-0000-000089000000}"/>
    <cellStyle name="20% - Accent1 3 2 2 2 3 3 2 2" xfId="53107" xr:uid="{00000000-0005-0000-0000-00008A000000}"/>
    <cellStyle name="20% - Accent1 3 2 2 2 3 3 3" xfId="38608" xr:uid="{00000000-0005-0000-0000-00008B000000}"/>
    <cellStyle name="20% - Accent1 3 2 2 2 3 4" xfId="16853" xr:uid="{00000000-0005-0000-0000-00008C000000}"/>
    <cellStyle name="20% - Accent1 3 2 2 2 3 4 2" xfId="45859" xr:uid="{00000000-0005-0000-0000-00008D000000}"/>
    <cellStyle name="20% - Accent1 3 2 2 2 3 5" xfId="31360" xr:uid="{00000000-0005-0000-0000-00008E000000}"/>
    <cellStyle name="20% - Accent1 3 2 2 2 4" xfId="3327" xr:uid="{00000000-0005-0000-0000-00008F000000}"/>
    <cellStyle name="20% - Accent1 3 2 2 2 4 2" xfId="6431" xr:uid="{00000000-0005-0000-0000-000090000000}"/>
    <cellStyle name="20% - Accent1 3 2 2 2 4 2 2" xfId="13703" xr:uid="{00000000-0005-0000-0000-000091000000}"/>
    <cellStyle name="20% - Accent1 3 2 2 2 4 2 2 2" xfId="28237" xr:uid="{00000000-0005-0000-0000-000092000000}"/>
    <cellStyle name="20% - Accent1 3 2 2 2 4 2 2 2 2" xfId="57243" xr:uid="{00000000-0005-0000-0000-000093000000}"/>
    <cellStyle name="20% - Accent1 3 2 2 2 4 2 2 3" xfId="42744" xr:uid="{00000000-0005-0000-0000-000094000000}"/>
    <cellStyle name="20% - Accent1 3 2 2 2 4 2 3" xfId="20989" xr:uid="{00000000-0005-0000-0000-000095000000}"/>
    <cellStyle name="20% - Accent1 3 2 2 2 4 2 3 2" xfId="49995" xr:uid="{00000000-0005-0000-0000-000096000000}"/>
    <cellStyle name="20% - Accent1 3 2 2 2 4 2 4" xfId="35496" xr:uid="{00000000-0005-0000-0000-000097000000}"/>
    <cellStyle name="20% - Accent1 3 2 2 2 4 3" xfId="10599" xr:uid="{00000000-0005-0000-0000-000098000000}"/>
    <cellStyle name="20% - Accent1 3 2 2 2 4 3 2" xfId="25133" xr:uid="{00000000-0005-0000-0000-000099000000}"/>
    <cellStyle name="20% - Accent1 3 2 2 2 4 3 2 2" xfId="54139" xr:uid="{00000000-0005-0000-0000-00009A000000}"/>
    <cellStyle name="20% - Accent1 3 2 2 2 4 3 3" xfId="39640" xr:uid="{00000000-0005-0000-0000-00009B000000}"/>
    <cellStyle name="20% - Accent1 3 2 2 2 4 4" xfId="17885" xr:uid="{00000000-0005-0000-0000-00009C000000}"/>
    <cellStyle name="20% - Accent1 3 2 2 2 4 4 2" xfId="46891" xr:uid="{00000000-0005-0000-0000-00009D000000}"/>
    <cellStyle name="20% - Accent1 3 2 2 2 4 5" xfId="32392" xr:uid="{00000000-0005-0000-0000-00009E000000}"/>
    <cellStyle name="20% - Accent1 3 2 2 2 5" xfId="4359" xr:uid="{00000000-0005-0000-0000-00009F000000}"/>
    <cellStyle name="20% - Accent1 3 2 2 2 5 2" xfId="11631" xr:uid="{00000000-0005-0000-0000-0000A0000000}"/>
    <cellStyle name="20% - Accent1 3 2 2 2 5 2 2" xfId="26165" xr:uid="{00000000-0005-0000-0000-0000A1000000}"/>
    <cellStyle name="20% - Accent1 3 2 2 2 5 2 2 2" xfId="55171" xr:uid="{00000000-0005-0000-0000-0000A2000000}"/>
    <cellStyle name="20% - Accent1 3 2 2 2 5 2 3" xfId="40672" xr:uid="{00000000-0005-0000-0000-0000A3000000}"/>
    <cellStyle name="20% - Accent1 3 2 2 2 5 3" xfId="18917" xr:uid="{00000000-0005-0000-0000-0000A4000000}"/>
    <cellStyle name="20% - Accent1 3 2 2 2 5 3 2" xfId="47923" xr:uid="{00000000-0005-0000-0000-0000A5000000}"/>
    <cellStyle name="20% - Accent1 3 2 2 2 5 4" xfId="33424" xr:uid="{00000000-0005-0000-0000-0000A6000000}"/>
    <cellStyle name="20% - Accent1 3 2 2 2 6" xfId="7463" xr:uid="{00000000-0005-0000-0000-0000A7000000}"/>
    <cellStyle name="20% - Accent1 3 2 2 2 6 2" xfId="14735" xr:uid="{00000000-0005-0000-0000-0000A8000000}"/>
    <cellStyle name="20% - Accent1 3 2 2 2 6 2 2" xfId="29269" xr:uid="{00000000-0005-0000-0000-0000A9000000}"/>
    <cellStyle name="20% - Accent1 3 2 2 2 6 2 2 2" xfId="58275" xr:uid="{00000000-0005-0000-0000-0000AA000000}"/>
    <cellStyle name="20% - Accent1 3 2 2 2 6 2 3" xfId="43776" xr:uid="{00000000-0005-0000-0000-0000AB000000}"/>
    <cellStyle name="20% - Accent1 3 2 2 2 6 3" xfId="22021" xr:uid="{00000000-0005-0000-0000-0000AC000000}"/>
    <cellStyle name="20% - Accent1 3 2 2 2 6 3 2" xfId="51027" xr:uid="{00000000-0005-0000-0000-0000AD000000}"/>
    <cellStyle name="20% - Accent1 3 2 2 2 6 4" xfId="36528" xr:uid="{00000000-0005-0000-0000-0000AE000000}"/>
    <cellStyle name="20% - Accent1 3 2 2 2 7" xfId="8527" xr:uid="{00000000-0005-0000-0000-0000AF000000}"/>
    <cellStyle name="20% - Accent1 3 2 2 2 7 2" xfId="23061" xr:uid="{00000000-0005-0000-0000-0000B0000000}"/>
    <cellStyle name="20% - Accent1 3 2 2 2 7 2 2" xfId="52067" xr:uid="{00000000-0005-0000-0000-0000B1000000}"/>
    <cellStyle name="20% - Accent1 3 2 2 2 7 3" xfId="37568" xr:uid="{00000000-0005-0000-0000-0000B2000000}"/>
    <cellStyle name="20% - Accent1 3 2 2 2 8" xfId="15813" xr:uid="{00000000-0005-0000-0000-0000B3000000}"/>
    <cellStyle name="20% - Accent1 3 2 2 2 8 2" xfId="44819" xr:uid="{00000000-0005-0000-0000-0000B4000000}"/>
    <cellStyle name="20% - Accent1 3 2 2 2 9" xfId="30320" xr:uid="{00000000-0005-0000-0000-0000B5000000}"/>
    <cellStyle name="20% - Accent1 3 2 2 3" xfId="1443" xr:uid="{00000000-0005-0000-0000-0000B6000000}"/>
    <cellStyle name="20% - Accent1 3 2 2 3 2" xfId="2501" xr:uid="{00000000-0005-0000-0000-0000B7000000}"/>
    <cellStyle name="20% - Accent1 3 2 2 3 2 2" xfId="5605" xr:uid="{00000000-0005-0000-0000-0000B8000000}"/>
    <cellStyle name="20% - Accent1 3 2 2 3 2 2 2" xfId="12877" xr:uid="{00000000-0005-0000-0000-0000B9000000}"/>
    <cellStyle name="20% - Accent1 3 2 2 3 2 2 2 2" xfId="27411" xr:uid="{00000000-0005-0000-0000-0000BA000000}"/>
    <cellStyle name="20% - Accent1 3 2 2 3 2 2 2 2 2" xfId="56417" xr:uid="{00000000-0005-0000-0000-0000BB000000}"/>
    <cellStyle name="20% - Accent1 3 2 2 3 2 2 2 3" xfId="41918" xr:uid="{00000000-0005-0000-0000-0000BC000000}"/>
    <cellStyle name="20% - Accent1 3 2 2 3 2 2 3" xfId="20163" xr:uid="{00000000-0005-0000-0000-0000BD000000}"/>
    <cellStyle name="20% - Accent1 3 2 2 3 2 2 3 2" xfId="49169" xr:uid="{00000000-0005-0000-0000-0000BE000000}"/>
    <cellStyle name="20% - Accent1 3 2 2 3 2 2 4" xfId="34670" xr:uid="{00000000-0005-0000-0000-0000BF000000}"/>
    <cellStyle name="20% - Accent1 3 2 2 3 2 3" xfId="9773" xr:uid="{00000000-0005-0000-0000-0000C0000000}"/>
    <cellStyle name="20% - Accent1 3 2 2 3 2 3 2" xfId="24307" xr:uid="{00000000-0005-0000-0000-0000C1000000}"/>
    <cellStyle name="20% - Accent1 3 2 2 3 2 3 2 2" xfId="53313" xr:uid="{00000000-0005-0000-0000-0000C2000000}"/>
    <cellStyle name="20% - Accent1 3 2 2 3 2 3 3" xfId="38814" xr:uid="{00000000-0005-0000-0000-0000C3000000}"/>
    <cellStyle name="20% - Accent1 3 2 2 3 2 4" xfId="17059" xr:uid="{00000000-0005-0000-0000-0000C4000000}"/>
    <cellStyle name="20% - Accent1 3 2 2 3 2 4 2" xfId="46065" xr:uid="{00000000-0005-0000-0000-0000C5000000}"/>
    <cellStyle name="20% - Accent1 3 2 2 3 2 5" xfId="31566" xr:uid="{00000000-0005-0000-0000-0000C6000000}"/>
    <cellStyle name="20% - Accent1 3 2 2 3 3" xfId="3533" xr:uid="{00000000-0005-0000-0000-0000C7000000}"/>
    <cellStyle name="20% - Accent1 3 2 2 3 3 2" xfId="6637" xr:uid="{00000000-0005-0000-0000-0000C8000000}"/>
    <cellStyle name="20% - Accent1 3 2 2 3 3 2 2" xfId="13909" xr:uid="{00000000-0005-0000-0000-0000C9000000}"/>
    <cellStyle name="20% - Accent1 3 2 2 3 3 2 2 2" xfId="28443" xr:uid="{00000000-0005-0000-0000-0000CA000000}"/>
    <cellStyle name="20% - Accent1 3 2 2 3 3 2 2 2 2" xfId="57449" xr:uid="{00000000-0005-0000-0000-0000CB000000}"/>
    <cellStyle name="20% - Accent1 3 2 2 3 3 2 2 3" xfId="42950" xr:uid="{00000000-0005-0000-0000-0000CC000000}"/>
    <cellStyle name="20% - Accent1 3 2 2 3 3 2 3" xfId="21195" xr:uid="{00000000-0005-0000-0000-0000CD000000}"/>
    <cellStyle name="20% - Accent1 3 2 2 3 3 2 3 2" xfId="50201" xr:uid="{00000000-0005-0000-0000-0000CE000000}"/>
    <cellStyle name="20% - Accent1 3 2 2 3 3 2 4" xfId="35702" xr:uid="{00000000-0005-0000-0000-0000CF000000}"/>
    <cellStyle name="20% - Accent1 3 2 2 3 3 3" xfId="10805" xr:uid="{00000000-0005-0000-0000-0000D0000000}"/>
    <cellStyle name="20% - Accent1 3 2 2 3 3 3 2" xfId="25339" xr:uid="{00000000-0005-0000-0000-0000D1000000}"/>
    <cellStyle name="20% - Accent1 3 2 2 3 3 3 2 2" xfId="54345" xr:uid="{00000000-0005-0000-0000-0000D2000000}"/>
    <cellStyle name="20% - Accent1 3 2 2 3 3 3 3" xfId="39846" xr:uid="{00000000-0005-0000-0000-0000D3000000}"/>
    <cellStyle name="20% - Accent1 3 2 2 3 3 4" xfId="18091" xr:uid="{00000000-0005-0000-0000-0000D4000000}"/>
    <cellStyle name="20% - Accent1 3 2 2 3 3 4 2" xfId="47097" xr:uid="{00000000-0005-0000-0000-0000D5000000}"/>
    <cellStyle name="20% - Accent1 3 2 2 3 3 5" xfId="32598" xr:uid="{00000000-0005-0000-0000-0000D6000000}"/>
    <cellStyle name="20% - Accent1 3 2 2 3 4" xfId="4565" xr:uid="{00000000-0005-0000-0000-0000D7000000}"/>
    <cellStyle name="20% - Accent1 3 2 2 3 4 2" xfId="11837" xr:uid="{00000000-0005-0000-0000-0000D8000000}"/>
    <cellStyle name="20% - Accent1 3 2 2 3 4 2 2" xfId="26371" xr:uid="{00000000-0005-0000-0000-0000D9000000}"/>
    <cellStyle name="20% - Accent1 3 2 2 3 4 2 2 2" xfId="55377" xr:uid="{00000000-0005-0000-0000-0000DA000000}"/>
    <cellStyle name="20% - Accent1 3 2 2 3 4 2 3" xfId="40878" xr:uid="{00000000-0005-0000-0000-0000DB000000}"/>
    <cellStyle name="20% - Accent1 3 2 2 3 4 3" xfId="19123" xr:uid="{00000000-0005-0000-0000-0000DC000000}"/>
    <cellStyle name="20% - Accent1 3 2 2 3 4 3 2" xfId="48129" xr:uid="{00000000-0005-0000-0000-0000DD000000}"/>
    <cellStyle name="20% - Accent1 3 2 2 3 4 4" xfId="33630" xr:uid="{00000000-0005-0000-0000-0000DE000000}"/>
    <cellStyle name="20% - Accent1 3 2 2 3 5" xfId="7669" xr:uid="{00000000-0005-0000-0000-0000DF000000}"/>
    <cellStyle name="20% - Accent1 3 2 2 3 5 2" xfId="14941" xr:uid="{00000000-0005-0000-0000-0000E0000000}"/>
    <cellStyle name="20% - Accent1 3 2 2 3 5 2 2" xfId="29475" xr:uid="{00000000-0005-0000-0000-0000E1000000}"/>
    <cellStyle name="20% - Accent1 3 2 2 3 5 2 2 2" xfId="58481" xr:uid="{00000000-0005-0000-0000-0000E2000000}"/>
    <cellStyle name="20% - Accent1 3 2 2 3 5 2 3" xfId="43982" xr:uid="{00000000-0005-0000-0000-0000E3000000}"/>
    <cellStyle name="20% - Accent1 3 2 2 3 5 3" xfId="22227" xr:uid="{00000000-0005-0000-0000-0000E4000000}"/>
    <cellStyle name="20% - Accent1 3 2 2 3 5 3 2" xfId="51233" xr:uid="{00000000-0005-0000-0000-0000E5000000}"/>
    <cellStyle name="20% - Accent1 3 2 2 3 5 4" xfId="36734" xr:uid="{00000000-0005-0000-0000-0000E6000000}"/>
    <cellStyle name="20% - Accent1 3 2 2 3 6" xfId="8733" xr:uid="{00000000-0005-0000-0000-0000E7000000}"/>
    <cellStyle name="20% - Accent1 3 2 2 3 6 2" xfId="23267" xr:uid="{00000000-0005-0000-0000-0000E8000000}"/>
    <cellStyle name="20% - Accent1 3 2 2 3 6 2 2" xfId="52273" xr:uid="{00000000-0005-0000-0000-0000E9000000}"/>
    <cellStyle name="20% - Accent1 3 2 2 3 6 3" xfId="37774" xr:uid="{00000000-0005-0000-0000-0000EA000000}"/>
    <cellStyle name="20% - Accent1 3 2 2 3 7" xfId="16019" xr:uid="{00000000-0005-0000-0000-0000EB000000}"/>
    <cellStyle name="20% - Accent1 3 2 2 3 7 2" xfId="45025" xr:uid="{00000000-0005-0000-0000-0000EC000000}"/>
    <cellStyle name="20% - Accent1 3 2 2 3 8" xfId="30526" xr:uid="{00000000-0005-0000-0000-0000ED000000}"/>
    <cellStyle name="20% - Accent1 3 2 2 4" xfId="1989" xr:uid="{00000000-0005-0000-0000-0000EE000000}"/>
    <cellStyle name="20% - Accent1 3 2 2 4 2" xfId="5093" xr:uid="{00000000-0005-0000-0000-0000EF000000}"/>
    <cellStyle name="20% - Accent1 3 2 2 4 2 2" xfId="12365" xr:uid="{00000000-0005-0000-0000-0000F0000000}"/>
    <cellStyle name="20% - Accent1 3 2 2 4 2 2 2" xfId="26899" xr:uid="{00000000-0005-0000-0000-0000F1000000}"/>
    <cellStyle name="20% - Accent1 3 2 2 4 2 2 2 2" xfId="55905" xr:uid="{00000000-0005-0000-0000-0000F2000000}"/>
    <cellStyle name="20% - Accent1 3 2 2 4 2 2 3" xfId="41406" xr:uid="{00000000-0005-0000-0000-0000F3000000}"/>
    <cellStyle name="20% - Accent1 3 2 2 4 2 3" xfId="19651" xr:uid="{00000000-0005-0000-0000-0000F4000000}"/>
    <cellStyle name="20% - Accent1 3 2 2 4 2 3 2" xfId="48657" xr:uid="{00000000-0005-0000-0000-0000F5000000}"/>
    <cellStyle name="20% - Accent1 3 2 2 4 2 4" xfId="34158" xr:uid="{00000000-0005-0000-0000-0000F6000000}"/>
    <cellStyle name="20% - Accent1 3 2 2 4 3" xfId="9261" xr:uid="{00000000-0005-0000-0000-0000F7000000}"/>
    <cellStyle name="20% - Accent1 3 2 2 4 3 2" xfId="23795" xr:uid="{00000000-0005-0000-0000-0000F8000000}"/>
    <cellStyle name="20% - Accent1 3 2 2 4 3 2 2" xfId="52801" xr:uid="{00000000-0005-0000-0000-0000F9000000}"/>
    <cellStyle name="20% - Accent1 3 2 2 4 3 3" xfId="38302" xr:uid="{00000000-0005-0000-0000-0000FA000000}"/>
    <cellStyle name="20% - Accent1 3 2 2 4 4" xfId="16547" xr:uid="{00000000-0005-0000-0000-0000FB000000}"/>
    <cellStyle name="20% - Accent1 3 2 2 4 4 2" xfId="45553" xr:uid="{00000000-0005-0000-0000-0000FC000000}"/>
    <cellStyle name="20% - Accent1 3 2 2 4 5" xfId="31054" xr:uid="{00000000-0005-0000-0000-0000FD000000}"/>
    <cellStyle name="20% - Accent1 3 2 2 5" xfId="3021" xr:uid="{00000000-0005-0000-0000-0000FE000000}"/>
    <cellStyle name="20% - Accent1 3 2 2 5 2" xfId="6125" xr:uid="{00000000-0005-0000-0000-0000FF000000}"/>
    <cellStyle name="20% - Accent1 3 2 2 5 2 2" xfId="13397" xr:uid="{00000000-0005-0000-0000-000000010000}"/>
    <cellStyle name="20% - Accent1 3 2 2 5 2 2 2" xfId="27931" xr:uid="{00000000-0005-0000-0000-000001010000}"/>
    <cellStyle name="20% - Accent1 3 2 2 5 2 2 2 2" xfId="56937" xr:uid="{00000000-0005-0000-0000-000002010000}"/>
    <cellStyle name="20% - Accent1 3 2 2 5 2 2 3" xfId="42438" xr:uid="{00000000-0005-0000-0000-000003010000}"/>
    <cellStyle name="20% - Accent1 3 2 2 5 2 3" xfId="20683" xr:uid="{00000000-0005-0000-0000-000004010000}"/>
    <cellStyle name="20% - Accent1 3 2 2 5 2 3 2" xfId="49689" xr:uid="{00000000-0005-0000-0000-000005010000}"/>
    <cellStyle name="20% - Accent1 3 2 2 5 2 4" xfId="35190" xr:uid="{00000000-0005-0000-0000-000006010000}"/>
    <cellStyle name="20% - Accent1 3 2 2 5 3" xfId="10293" xr:uid="{00000000-0005-0000-0000-000007010000}"/>
    <cellStyle name="20% - Accent1 3 2 2 5 3 2" xfId="24827" xr:uid="{00000000-0005-0000-0000-000008010000}"/>
    <cellStyle name="20% - Accent1 3 2 2 5 3 2 2" xfId="53833" xr:uid="{00000000-0005-0000-0000-000009010000}"/>
    <cellStyle name="20% - Accent1 3 2 2 5 3 3" xfId="39334" xr:uid="{00000000-0005-0000-0000-00000A010000}"/>
    <cellStyle name="20% - Accent1 3 2 2 5 4" xfId="17579" xr:uid="{00000000-0005-0000-0000-00000B010000}"/>
    <cellStyle name="20% - Accent1 3 2 2 5 4 2" xfId="46585" xr:uid="{00000000-0005-0000-0000-00000C010000}"/>
    <cellStyle name="20% - Accent1 3 2 2 5 5" xfId="32086" xr:uid="{00000000-0005-0000-0000-00000D010000}"/>
    <cellStyle name="20% - Accent1 3 2 2 6" xfId="4053" xr:uid="{00000000-0005-0000-0000-00000E010000}"/>
    <cellStyle name="20% - Accent1 3 2 2 6 2" xfId="11325" xr:uid="{00000000-0005-0000-0000-00000F010000}"/>
    <cellStyle name="20% - Accent1 3 2 2 6 2 2" xfId="25859" xr:uid="{00000000-0005-0000-0000-000010010000}"/>
    <cellStyle name="20% - Accent1 3 2 2 6 2 2 2" xfId="54865" xr:uid="{00000000-0005-0000-0000-000011010000}"/>
    <cellStyle name="20% - Accent1 3 2 2 6 2 3" xfId="40366" xr:uid="{00000000-0005-0000-0000-000012010000}"/>
    <cellStyle name="20% - Accent1 3 2 2 6 3" xfId="18611" xr:uid="{00000000-0005-0000-0000-000013010000}"/>
    <cellStyle name="20% - Accent1 3 2 2 6 3 2" xfId="47617" xr:uid="{00000000-0005-0000-0000-000014010000}"/>
    <cellStyle name="20% - Accent1 3 2 2 6 4" xfId="33118" xr:uid="{00000000-0005-0000-0000-000015010000}"/>
    <cellStyle name="20% - Accent1 3 2 2 7" xfId="7157" xr:uid="{00000000-0005-0000-0000-000016010000}"/>
    <cellStyle name="20% - Accent1 3 2 2 7 2" xfId="14429" xr:uid="{00000000-0005-0000-0000-000017010000}"/>
    <cellStyle name="20% - Accent1 3 2 2 7 2 2" xfId="28963" xr:uid="{00000000-0005-0000-0000-000018010000}"/>
    <cellStyle name="20% - Accent1 3 2 2 7 2 2 2" xfId="57969" xr:uid="{00000000-0005-0000-0000-000019010000}"/>
    <cellStyle name="20% - Accent1 3 2 2 7 2 3" xfId="43470" xr:uid="{00000000-0005-0000-0000-00001A010000}"/>
    <cellStyle name="20% - Accent1 3 2 2 7 3" xfId="21715" xr:uid="{00000000-0005-0000-0000-00001B010000}"/>
    <cellStyle name="20% - Accent1 3 2 2 7 3 2" xfId="50721" xr:uid="{00000000-0005-0000-0000-00001C010000}"/>
    <cellStyle name="20% - Accent1 3 2 2 7 4" xfId="36222" xr:uid="{00000000-0005-0000-0000-00001D010000}"/>
    <cellStyle name="20% - Accent1 3 2 2 8" xfId="8221" xr:uid="{00000000-0005-0000-0000-00001E010000}"/>
    <cellStyle name="20% - Accent1 3 2 2 8 2" xfId="22755" xr:uid="{00000000-0005-0000-0000-00001F010000}"/>
    <cellStyle name="20% - Accent1 3 2 2 8 2 2" xfId="51761" xr:uid="{00000000-0005-0000-0000-000020010000}"/>
    <cellStyle name="20% - Accent1 3 2 2 8 3" xfId="37262" xr:uid="{00000000-0005-0000-0000-000021010000}"/>
    <cellStyle name="20% - Accent1 3 2 2 9" xfId="15507" xr:uid="{00000000-0005-0000-0000-000022010000}"/>
    <cellStyle name="20% - Accent1 3 2 2 9 2" xfId="44513" xr:uid="{00000000-0005-0000-0000-000023010000}"/>
    <cellStyle name="20% - Accent1 3 2 3" xfId="1146" xr:uid="{00000000-0005-0000-0000-000024010000}"/>
    <cellStyle name="20% - Accent1 3 2 3 2" xfId="1645" xr:uid="{00000000-0005-0000-0000-000025010000}"/>
    <cellStyle name="20% - Accent1 3 2 3 2 2" xfId="2704" xr:uid="{00000000-0005-0000-0000-000026010000}"/>
    <cellStyle name="20% - Accent1 3 2 3 2 2 2" xfId="5808" xr:uid="{00000000-0005-0000-0000-000027010000}"/>
    <cellStyle name="20% - Accent1 3 2 3 2 2 2 2" xfId="13080" xr:uid="{00000000-0005-0000-0000-000028010000}"/>
    <cellStyle name="20% - Accent1 3 2 3 2 2 2 2 2" xfId="27614" xr:uid="{00000000-0005-0000-0000-000029010000}"/>
    <cellStyle name="20% - Accent1 3 2 3 2 2 2 2 2 2" xfId="56620" xr:uid="{00000000-0005-0000-0000-00002A010000}"/>
    <cellStyle name="20% - Accent1 3 2 3 2 2 2 2 3" xfId="42121" xr:uid="{00000000-0005-0000-0000-00002B010000}"/>
    <cellStyle name="20% - Accent1 3 2 3 2 2 2 3" xfId="20366" xr:uid="{00000000-0005-0000-0000-00002C010000}"/>
    <cellStyle name="20% - Accent1 3 2 3 2 2 2 3 2" xfId="49372" xr:uid="{00000000-0005-0000-0000-00002D010000}"/>
    <cellStyle name="20% - Accent1 3 2 3 2 2 2 4" xfId="34873" xr:uid="{00000000-0005-0000-0000-00002E010000}"/>
    <cellStyle name="20% - Accent1 3 2 3 2 2 3" xfId="9976" xr:uid="{00000000-0005-0000-0000-00002F010000}"/>
    <cellStyle name="20% - Accent1 3 2 3 2 2 3 2" xfId="24510" xr:uid="{00000000-0005-0000-0000-000030010000}"/>
    <cellStyle name="20% - Accent1 3 2 3 2 2 3 2 2" xfId="53516" xr:uid="{00000000-0005-0000-0000-000031010000}"/>
    <cellStyle name="20% - Accent1 3 2 3 2 2 3 3" xfId="39017" xr:uid="{00000000-0005-0000-0000-000032010000}"/>
    <cellStyle name="20% - Accent1 3 2 3 2 2 4" xfId="17262" xr:uid="{00000000-0005-0000-0000-000033010000}"/>
    <cellStyle name="20% - Accent1 3 2 3 2 2 4 2" xfId="46268" xr:uid="{00000000-0005-0000-0000-000034010000}"/>
    <cellStyle name="20% - Accent1 3 2 3 2 2 5" xfId="31769" xr:uid="{00000000-0005-0000-0000-000035010000}"/>
    <cellStyle name="20% - Accent1 3 2 3 2 3" xfId="3736" xr:uid="{00000000-0005-0000-0000-000036010000}"/>
    <cellStyle name="20% - Accent1 3 2 3 2 3 2" xfId="6840" xr:uid="{00000000-0005-0000-0000-000037010000}"/>
    <cellStyle name="20% - Accent1 3 2 3 2 3 2 2" xfId="14112" xr:uid="{00000000-0005-0000-0000-000038010000}"/>
    <cellStyle name="20% - Accent1 3 2 3 2 3 2 2 2" xfId="28646" xr:uid="{00000000-0005-0000-0000-000039010000}"/>
    <cellStyle name="20% - Accent1 3 2 3 2 3 2 2 2 2" xfId="57652" xr:uid="{00000000-0005-0000-0000-00003A010000}"/>
    <cellStyle name="20% - Accent1 3 2 3 2 3 2 2 3" xfId="43153" xr:uid="{00000000-0005-0000-0000-00003B010000}"/>
    <cellStyle name="20% - Accent1 3 2 3 2 3 2 3" xfId="21398" xr:uid="{00000000-0005-0000-0000-00003C010000}"/>
    <cellStyle name="20% - Accent1 3 2 3 2 3 2 3 2" xfId="50404" xr:uid="{00000000-0005-0000-0000-00003D010000}"/>
    <cellStyle name="20% - Accent1 3 2 3 2 3 2 4" xfId="35905" xr:uid="{00000000-0005-0000-0000-00003E010000}"/>
    <cellStyle name="20% - Accent1 3 2 3 2 3 3" xfId="11008" xr:uid="{00000000-0005-0000-0000-00003F010000}"/>
    <cellStyle name="20% - Accent1 3 2 3 2 3 3 2" xfId="25542" xr:uid="{00000000-0005-0000-0000-000040010000}"/>
    <cellStyle name="20% - Accent1 3 2 3 2 3 3 2 2" xfId="54548" xr:uid="{00000000-0005-0000-0000-000041010000}"/>
    <cellStyle name="20% - Accent1 3 2 3 2 3 3 3" xfId="40049" xr:uid="{00000000-0005-0000-0000-000042010000}"/>
    <cellStyle name="20% - Accent1 3 2 3 2 3 4" xfId="18294" xr:uid="{00000000-0005-0000-0000-000043010000}"/>
    <cellStyle name="20% - Accent1 3 2 3 2 3 4 2" xfId="47300" xr:uid="{00000000-0005-0000-0000-000044010000}"/>
    <cellStyle name="20% - Accent1 3 2 3 2 3 5" xfId="32801" xr:uid="{00000000-0005-0000-0000-000045010000}"/>
    <cellStyle name="20% - Accent1 3 2 3 2 4" xfId="4768" xr:uid="{00000000-0005-0000-0000-000046010000}"/>
    <cellStyle name="20% - Accent1 3 2 3 2 4 2" xfId="12040" xr:uid="{00000000-0005-0000-0000-000047010000}"/>
    <cellStyle name="20% - Accent1 3 2 3 2 4 2 2" xfId="26574" xr:uid="{00000000-0005-0000-0000-000048010000}"/>
    <cellStyle name="20% - Accent1 3 2 3 2 4 2 2 2" xfId="55580" xr:uid="{00000000-0005-0000-0000-000049010000}"/>
    <cellStyle name="20% - Accent1 3 2 3 2 4 2 3" xfId="41081" xr:uid="{00000000-0005-0000-0000-00004A010000}"/>
    <cellStyle name="20% - Accent1 3 2 3 2 4 3" xfId="19326" xr:uid="{00000000-0005-0000-0000-00004B010000}"/>
    <cellStyle name="20% - Accent1 3 2 3 2 4 3 2" xfId="48332" xr:uid="{00000000-0005-0000-0000-00004C010000}"/>
    <cellStyle name="20% - Accent1 3 2 3 2 4 4" xfId="33833" xr:uid="{00000000-0005-0000-0000-00004D010000}"/>
    <cellStyle name="20% - Accent1 3 2 3 2 5" xfId="7872" xr:uid="{00000000-0005-0000-0000-00004E010000}"/>
    <cellStyle name="20% - Accent1 3 2 3 2 5 2" xfId="15144" xr:uid="{00000000-0005-0000-0000-00004F010000}"/>
    <cellStyle name="20% - Accent1 3 2 3 2 5 2 2" xfId="29678" xr:uid="{00000000-0005-0000-0000-000050010000}"/>
    <cellStyle name="20% - Accent1 3 2 3 2 5 2 2 2" xfId="58684" xr:uid="{00000000-0005-0000-0000-000051010000}"/>
    <cellStyle name="20% - Accent1 3 2 3 2 5 2 3" xfId="44185" xr:uid="{00000000-0005-0000-0000-000052010000}"/>
    <cellStyle name="20% - Accent1 3 2 3 2 5 3" xfId="22430" xr:uid="{00000000-0005-0000-0000-000053010000}"/>
    <cellStyle name="20% - Accent1 3 2 3 2 5 3 2" xfId="51436" xr:uid="{00000000-0005-0000-0000-000054010000}"/>
    <cellStyle name="20% - Accent1 3 2 3 2 5 4" xfId="36937" xr:uid="{00000000-0005-0000-0000-000055010000}"/>
    <cellStyle name="20% - Accent1 3 2 3 2 6" xfId="8936" xr:uid="{00000000-0005-0000-0000-000056010000}"/>
    <cellStyle name="20% - Accent1 3 2 3 2 6 2" xfId="23470" xr:uid="{00000000-0005-0000-0000-000057010000}"/>
    <cellStyle name="20% - Accent1 3 2 3 2 6 2 2" xfId="52476" xr:uid="{00000000-0005-0000-0000-000058010000}"/>
    <cellStyle name="20% - Accent1 3 2 3 2 6 3" xfId="37977" xr:uid="{00000000-0005-0000-0000-000059010000}"/>
    <cellStyle name="20% - Accent1 3 2 3 2 7" xfId="16222" xr:uid="{00000000-0005-0000-0000-00005A010000}"/>
    <cellStyle name="20% - Accent1 3 2 3 2 7 2" xfId="45228" xr:uid="{00000000-0005-0000-0000-00005B010000}"/>
    <cellStyle name="20% - Accent1 3 2 3 2 8" xfId="30729" xr:uid="{00000000-0005-0000-0000-00005C010000}"/>
    <cellStyle name="20% - Accent1 3 2 3 3" xfId="2192" xr:uid="{00000000-0005-0000-0000-00005D010000}"/>
    <cellStyle name="20% - Accent1 3 2 3 3 2" xfId="5296" xr:uid="{00000000-0005-0000-0000-00005E010000}"/>
    <cellStyle name="20% - Accent1 3 2 3 3 2 2" xfId="12568" xr:uid="{00000000-0005-0000-0000-00005F010000}"/>
    <cellStyle name="20% - Accent1 3 2 3 3 2 2 2" xfId="27102" xr:uid="{00000000-0005-0000-0000-000060010000}"/>
    <cellStyle name="20% - Accent1 3 2 3 3 2 2 2 2" xfId="56108" xr:uid="{00000000-0005-0000-0000-000061010000}"/>
    <cellStyle name="20% - Accent1 3 2 3 3 2 2 3" xfId="41609" xr:uid="{00000000-0005-0000-0000-000062010000}"/>
    <cellStyle name="20% - Accent1 3 2 3 3 2 3" xfId="19854" xr:uid="{00000000-0005-0000-0000-000063010000}"/>
    <cellStyle name="20% - Accent1 3 2 3 3 2 3 2" xfId="48860" xr:uid="{00000000-0005-0000-0000-000064010000}"/>
    <cellStyle name="20% - Accent1 3 2 3 3 2 4" xfId="34361" xr:uid="{00000000-0005-0000-0000-000065010000}"/>
    <cellStyle name="20% - Accent1 3 2 3 3 3" xfId="9464" xr:uid="{00000000-0005-0000-0000-000066010000}"/>
    <cellStyle name="20% - Accent1 3 2 3 3 3 2" xfId="23998" xr:uid="{00000000-0005-0000-0000-000067010000}"/>
    <cellStyle name="20% - Accent1 3 2 3 3 3 2 2" xfId="53004" xr:uid="{00000000-0005-0000-0000-000068010000}"/>
    <cellStyle name="20% - Accent1 3 2 3 3 3 3" xfId="38505" xr:uid="{00000000-0005-0000-0000-000069010000}"/>
    <cellStyle name="20% - Accent1 3 2 3 3 4" xfId="16750" xr:uid="{00000000-0005-0000-0000-00006A010000}"/>
    <cellStyle name="20% - Accent1 3 2 3 3 4 2" xfId="45756" xr:uid="{00000000-0005-0000-0000-00006B010000}"/>
    <cellStyle name="20% - Accent1 3 2 3 3 5" xfId="31257" xr:uid="{00000000-0005-0000-0000-00006C010000}"/>
    <cellStyle name="20% - Accent1 3 2 3 4" xfId="3224" xr:uid="{00000000-0005-0000-0000-00006D010000}"/>
    <cellStyle name="20% - Accent1 3 2 3 4 2" xfId="6328" xr:uid="{00000000-0005-0000-0000-00006E010000}"/>
    <cellStyle name="20% - Accent1 3 2 3 4 2 2" xfId="13600" xr:uid="{00000000-0005-0000-0000-00006F010000}"/>
    <cellStyle name="20% - Accent1 3 2 3 4 2 2 2" xfId="28134" xr:uid="{00000000-0005-0000-0000-000070010000}"/>
    <cellStyle name="20% - Accent1 3 2 3 4 2 2 2 2" xfId="57140" xr:uid="{00000000-0005-0000-0000-000071010000}"/>
    <cellStyle name="20% - Accent1 3 2 3 4 2 2 3" xfId="42641" xr:uid="{00000000-0005-0000-0000-000072010000}"/>
    <cellStyle name="20% - Accent1 3 2 3 4 2 3" xfId="20886" xr:uid="{00000000-0005-0000-0000-000073010000}"/>
    <cellStyle name="20% - Accent1 3 2 3 4 2 3 2" xfId="49892" xr:uid="{00000000-0005-0000-0000-000074010000}"/>
    <cellStyle name="20% - Accent1 3 2 3 4 2 4" xfId="35393" xr:uid="{00000000-0005-0000-0000-000075010000}"/>
    <cellStyle name="20% - Accent1 3 2 3 4 3" xfId="10496" xr:uid="{00000000-0005-0000-0000-000076010000}"/>
    <cellStyle name="20% - Accent1 3 2 3 4 3 2" xfId="25030" xr:uid="{00000000-0005-0000-0000-000077010000}"/>
    <cellStyle name="20% - Accent1 3 2 3 4 3 2 2" xfId="54036" xr:uid="{00000000-0005-0000-0000-000078010000}"/>
    <cellStyle name="20% - Accent1 3 2 3 4 3 3" xfId="39537" xr:uid="{00000000-0005-0000-0000-000079010000}"/>
    <cellStyle name="20% - Accent1 3 2 3 4 4" xfId="17782" xr:uid="{00000000-0005-0000-0000-00007A010000}"/>
    <cellStyle name="20% - Accent1 3 2 3 4 4 2" xfId="46788" xr:uid="{00000000-0005-0000-0000-00007B010000}"/>
    <cellStyle name="20% - Accent1 3 2 3 4 5" xfId="32289" xr:uid="{00000000-0005-0000-0000-00007C010000}"/>
    <cellStyle name="20% - Accent1 3 2 3 5" xfId="4256" xr:uid="{00000000-0005-0000-0000-00007D010000}"/>
    <cellStyle name="20% - Accent1 3 2 3 5 2" xfId="11528" xr:uid="{00000000-0005-0000-0000-00007E010000}"/>
    <cellStyle name="20% - Accent1 3 2 3 5 2 2" xfId="26062" xr:uid="{00000000-0005-0000-0000-00007F010000}"/>
    <cellStyle name="20% - Accent1 3 2 3 5 2 2 2" xfId="55068" xr:uid="{00000000-0005-0000-0000-000080010000}"/>
    <cellStyle name="20% - Accent1 3 2 3 5 2 3" xfId="40569" xr:uid="{00000000-0005-0000-0000-000081010000}"/>
    <cellStyle name="20% - Accent1 3 2 3 5 3" xfId="18814" xr:uid="{00000000-0005-0000-0000-000082010000}"/>
    <cellStyle name="20% - Accent1 3 2 3 5 3 2" xfId="47820" xr:uid="{00000000-0005-0000-0000-000083010000}"/>
    <cellStyle name="20% - Accent1 3 2 3 5 4" xfId="33321" xr:uid="{00000000-0005-0000-0000-000084010000}"/>
    <cellStyle name="20% - Accent1 3 2 3 6" xfId="7360" xr:uid="{00000000-0005-0000-0000-000085010000}"/>
    <cellStyle name="20% - Accent1 3 2 3 6 2" xfId="14632" xr:uid="{00000000-0005-0000-0000-000086010000}"/>
    <cellStyle name="20% - Accent1 3 2 3 6 2 2" xfId="29166" xr:uid="{00000000-0005-0000-0000-000087010000}"/>
    <cellStyle name="20% - Accent1 3 2 3 6 2 2 2" xfId="58172" xr:uid="{00000000-0005-0000-0000-000088010000}"/>
    <cellStyle name="20% - Accent1 3 2 3 6 2 3" xfId="43673" xr:uid="{00000000-0005-0000-0000-000089010000}"/>
    <cellStyle name="20% - Accent1 3 2 3 6 3" xfId="21918" xr:uid="{00000000-0005-0000-0000-00008A010000}"/>
    <cellStyle name="20% - Accent1 3 2 3 6 3 2" xfId="50924" xr:uid="{00000000-0005-0000-0000-00008B010000}"/>
    <cellStyle name="20% - Accent1 3 2 3 6 4" xfId="36425" xr:uid="{00000000-0005-0000-0000-00008C010000}"/>
    <cellStyle name="20% - Accent1 3 2 3 7" xfId="8424" xr:uid="{00000000-0005-0000-0000-00008D010000}"/>
    <cellStyle name="20% - Accent1 3 2 3 7 2" xfId="22958" xr:uid="{00000000-0005-0000-0000-00008E010000}"/>
    <cellStyle name="20% - Accent1 3 2 3 7 2 2" xfId="51964" xr:uid="{00000000-0005-0000-0000-00008F010000}"/>
    <cellStyle name="20% - Accent1 3 2 3 7 3" xfId="37465" xr:uid="{00000000-0005-0000-0000-000090010000}"/>
    <cellStyle name="20% - Accent1 3 2 3 8" xfId="15710" xr:uid="{00000000-0005-0000-0000-000091010000}"/>
    <cellStyle name="20% - Accent1 3 2 3 8 2" xfId="44716" xr:uid="{00000000-0005-0000-0000-000092010000}"/>
    <cellStyle name="20% - Accent1 3 2 3 9" xfId="30217" xr:uid="{00000000-0005-0000-0000-000093010000}"/>
    <cellStyle name="20% - Accent1 3 2 4" xfId="1055" xr:uid="{00000000-0005-0000-0000-000094010000}"/>
    <cellStyle name="20% - Accent1 3 2 4 2" xfId="1546" xr:uid="{00000000-0005-0000-0000-000095010000}"/>
    <cellStyle name="20% - Accent1 3 2 4 2 2" xfId="2604" xr:uid="{00000000-0005-0000-0000-000096010000}"/>
    <cellStyle name="20% - Accent1 3 2 4 2 2 2" xfId="5708" xr:uid="{00000000-0005-0000-0000-000097010000}"/>
    <cellStyle name="20% - Accent1 3 2 4 2 2 2 2" xfId="12980" xr:uid="{00000000-0005-0000-0000-000098010000}"/>
    <cellStyle name="20% - Accent1 3 2 4 2 2 2 2 2" xfId="27514" xr:uid="{00000000-0005-0000-0000-000099010000}"/>
    <cellStyle name="20% - Accent1 3 2 4 2 2 2 2 2 2" xfId="56520" xr:uid="{00000000-0005-0000-0000-00009A010000}"/>
    <cellStyle name="20% - Accent1 3 2 4 2 2 2 2 3" xfId="42021" xr:uid="{00000000-0005-0000-0000-00009B010000}"/>
    <cellStyle name="20% - Accent1 3 2 4 2 2 2 3" xfId="20266" xr:uid="{00000000-0005-0000-0000-00009C010000}"/>
    <cellStyle name="20% - Accent1 3 2 4 2 2 2 3 2" xfId="49272" xr:uid="{00000000-0005-0000-0000-00009D010000}"/>
    <cellStyle name="20% - Accent1 3 2 4 2 2 2 4" xfId="34773" xr:uid="{00000000-0005-0000-0000-00009E010000}"/>
    <cellStyle name="20% - Accent1 3 2 4 2 2 3" xfId="9876" xr:uid="{00000000-0005-0000-0000-00009F010000}"/>
    <cellStyle name="20% - Accent1 3 2 4 2 2 3 2" xfId="24410" xr:uid="{00000000-0005-0000-0000-0000A0010000}"/>
    <cellStyle name="20% - Accent1 3 2 4 2 2 3 2 2" xfId="53416" xr:uid="{00000000-0005-0000-0000-0000A1010000}"/>
    <cellStyle name="20% - Accent1 3 2 4 2 2 3 3" xfId="38917" xr:uid="{00000000-0005-0000-0000-0000A2010000}"/>
    <cellStyle name="20% - Accent1 3 2 4 2 2 4" xfId="17162" xr:uid="{00000000-0005-0000-0000-0000A3010000}"/>
    <cellStyle name="20% - Accent1 3 2 4 2 2 4 2" xfId="46168" xr:uid="{00000000-0005-0000-0000-0000A4010000}"/>
    <cellStyle name="20% - Accent1 3 2 4 2 2 5" xfId="31669" xr:uid="{00000000-0005-0000-0000-0000A5010000}"/>
    <cellStyle name="20% - Accent1 3 2 4 2 3" xfId="3636" xr:uid="{00000000-0005-0000-0000-0000A6010000}"/>
    <cellStyle name="20% - Accent1 3 2 4 2 3 2" xfId="6740" xr:uid="{00000000-0005-0000-0000-0000A7010000}"/>
    <cellStyle name="20% - Accent1 3 2 4 2 3 2 2" xfId="14012" xr:uid="{00000000-0005-0000-0000-0000A8010000}"/>
    <cellStyle name="20% - Accent1 3 2 4 2 3 2 2 2" xfId="28546" xr:uid="{00000000-0005-0000-0000-0000A9010000}"/>
    <cellStyle name="20% - Accent1 3 2 4 2 3 2 2 2 2" xfId="57552" xr:uid="{00000000-0005-0000-0000-0000AA010000}"/>
    <cellStyle name="20% - Accent1 3 2 4 2 3 2 2 3" xfId="43053" xr:uid="{00000000-0005-0000-0000-0000AB010000}"/>
    <cellStyle name="20% - Accent1 3 2 4 2 3 2 3" xfId="21298" xr:uid="{00000000-0005-0000-0000-0000AC010000}"/>
    <cellStyle name="20% - Accent1 3 2 4 2 3 2 3 2" xfId="50304" xr:uid="{00000000-0005-0000-0000-0000AD010000}"/>
    <cellStyle name="20% - Accent1 3 2 4 2 3 2 4" xfId="35805" xr:uid="{00000000-0005-0000-0000-0000AE010000}"/>
    <cellStyle name="20% - Accent1 3 2 4 2 3 3" xfId="10908" xr:uid="{00000000-0005-0000-0000-0000AF010000}"/>
    <cellStyle name="20% - Accent1 3 2 4 2 3 3 2" xfId="25442" xr:uid="{00000000-0005-0000-0000-0000B0010000}"/>
    <cellStyle name="20% - Accent1 3 2 4 2 3 3 2 2" xfId="54448" xr:uid="{00000000-0005-0000-0000-0000B1010000}"/>
    <cellStyle name="20% - Accent1 3 2 4 2 3 3 3" xfId="39949" xr:uid="{00000000-0005-0000-0000-0000B2010000}"/>
    <cellStyle name="20% - Accent1 3 2 4 2 3 4" xfId="18194" xr:uid="{00000000-0005-0000-0000-0000B3010000}"/>
    <cellStyle name="20% - Accent1 3 2 4 2 3 4 2" xfId="47200" xr:uid="{00000000-0005-0000-0000-0000B4010000}"/>
    <cellStyle name="20% - Accent1 3 2 4 2 3 5" xfId="32701" xr:uid="{00000000-0005-0000-0000-0000B5010000}"/>
    <cellStyle name="20% - Accent1 3 2 4 2 4" xfId="4668" xr:uid="{00000000-0005-0000-0000-0000B6010000}"/>
    <cellStyle name="20% - Accent1 3 2 4 2 4 2" xfId="11940" xr:uid="{00000000-0005-0000-0000-0000B7010000}"/>
    <cellStyle name="20% - Accent1 3 2 4 2 4 2 2" xfId="26474" xr:uid="{00000000-0005-0000-0000-0000B8010000}"/>
    <cellStyle name="20% - Accent1 3 2 4 2 4 2 2 2" xfId="55480" xr:uid="{00000000-0005-0000-0000-0000B9010000}"/>
    <cellStyle name="20% - Accent1 3 2 4 2 4 2 3" xfId="40981" xr:uid="{00000000-0005-0000-0000-0000BA010000}"/>
    <cellStyle name="20% - Accent1 3 2 4 2 4 3" xfId="19226" xr:uid="{00000000-0005-0000-0000-0000BB010000}"/>
    <cellStyle name="20% - Accent1 3 2 4 2 4 3 2" xfId="48232" xr:uid="{00000000-0005-0000-0000-0000BC010000}"/>
    <cellStyle name="20% - Accent1 3 2 4 2 4 4" xfId="33733" xr:uid="{00000000-0005-0000-0000-0000BD010000}"/>
    <cellStyle name="20% - Accent1 3 2 4 2 5" xfId="7772" xr:uid="{00000000-0005-0000-0000-0000BE010000}"/>
    <cellStyle name="20% - Accent1 3 2 4 2 5 2" xfId="15044" xr:uid="{00000000-0005-0000-0000-0000BF010000}"/>
    <cellStyle name="20% - Accent1 3 2 4 2 5 2 2" xfId="29578" xr:uid="{00000000-0005-0000-0000-0000C0010000}"/>
    <cellStyle name="20% - Accent1 3 2 4 2 5 2 2 2" xfId="58584" xr:uid="{00000000-0005-0000-0000-0000C1010000}"/>
    <cellStyle name="20% - Accent1 3 2 4 2 5 2 3" xfId="44085" xr:uid="{00000000-0005-0000-0000-0000C2010000}"/>
    <cellStyle name="20% - Accent1 3 2 4 2 5 3" xfId="22330" xr:uid="{00000000-0005-0000-0000-0000C3010000}"/>
    <cellStyle name="20% - Accent1 3 2 4 2 5 3 2" xfId="51336" xr:uid="{00000000-0005-0000-0000-0000C4010000}"/>
    <cellStyle name="20% - Accent1 3 2 4 2 5 4" xfId="36837" xr:uid="{00000000-0005-0000-0000-0000C5010000}"/>
    <cellStyle name="20% - Accent1 3 2 4 2 6" xfId="8836" xr:uid="{00000000-0005-0000-0000-0000C6010000}"/>
    <cellStyle name="20% - Accent1 3 2 4 2 6 2" xfId="23370" xr:uid="{00000000-0005-0000-0000-0000C7010000}"/>
    <cellStyle name="20% - Accent1 3 2 4 2 6 2 2" xfId="52376" xr:uid="{00000000-0005-0000-0000-0000C8010000}"/>
    <cellStyle name="20% - Accent1 3 2 4 2 6 3" xfId="37877" xr:uid="{00000000-0005-0000-0000-0000C9010000}"/>
    <cellStyle name="20% - Accent1 3 2 4 2 7" xfId="16122" xr:uid="{00000000-0005-0000-0000-0000CA010000}"/>
    <cellStyle name="20% - Accent1 3 2 4 2 7 2" xfId="45128" xr:uid="{00000000-0005-0000-0000-0000CB010000}"/>
    <cellStyle name="20% - Accent1 3 2 4 2 8" xfId="30629" xr:uid="{00000000-0005-0000-0000-0000CC010000}"/>
    <cellStyle name="20% - Accent1 3 2 4 3" xfId="2092" xr:uid="{00000000-0005-0000-0000-0000CD010000}"/>
    <cellStyle name="20% - Accent1 3 2 4 3 2" xfId="5196" xr:uid="{00000000-0005-0000-0000-0000CE010000}"/>
    <cellStyle name="20% - Accent1 3 2 4 3 2 2" xfId="12468" xr:uid="{00000000-0005-0000-0000-0000CF010000}"/>
    <cellStyle name="20% - Accent1 3 2 4 3 2 2 2" xfId="27002" xr:uid="{00000000-0005-0000-0000-0000D0010000}"/>
    <cellStyle name="20% - Accent1 3 2 4 3 2 2 2 2" xfId="56008" xr:uid="{00000000-0005-0000-0000-0000D1010000}"/>
    <cellStyle name="20% - Accent1 3 2 4 3 2 2 3" xfId="41509" xr:uid="{00000000-0005-0000-0000-0000D2010000}"/>
    <cellStyle name="20% - Accent1 3 2 4 3 2 3" xfId="19754" xr:uid="{00000000-0005-0000-0000-0000D3010000}"/>
    <cellStyle name="20% - Accent1 3 2 4 3 2 3 2" xfId="48760" xr:uid="{00000000-0005-0000-0000-0000D4010000}"/>
    <cellStyle name="20% - Accent1 3 2 4 3 2 4" xfId="34261" xr:uid="{00000000-0005-0000-0000-0000D5010000}"/>
    <cellStyle name="20% - Accent1 3 2 4 3 3" xfId="9364" xr:uid="{00000000-0005-0000-0000-0000D6010000}"/>
    <cellStyle name="20% - Accent1 3 2 4 3 3 2" xfId="23898" xr:uid="{00000000-0005-0000-0000-0000D7010000}"/>
    <cellStyle name="20% - Accent1 3 2 4 3 3 2 2" xfId="52904" xr:uid="{00000000-0005-0000-0000-0000D8010000}"/>
    <cellStyle name="20% - Accent1 3 2 4 3 3 3" xfId="38405" xr:uid="{00000000-0005-0000-0000-0000D9010000}"/>
    <cellStyle name="20% - Accent1 3 2 4 3 4" xfId="16650" xr:uid="{00000000-0005-0000-0000-0000DA010000}"/>
    <cellStyle name="20% - Accent1 3 2 4 3 4 2" xfId="45656" xr:uid="{00000000-0005-0000-0000-0000DB010000}"/>
    <cellStyle name="20% - Accent1 3 2 4 3 5" xfId="31157" xr:uid="{00000000-0005-0000-0000-0000DC010000}"/>
    <cellStyle name="20% - Accent1 3 2 4 4" xfId="3124" xr:uid="{00000000-0005-0000-0000-0000DD010000}"/>
    <cellStyle name="20% - Accent1 3 2 4 4 2" xfId="6228" xr:uid="{00000000-0005-0000-0000-0000DE010000}"/>
    <cellStyle name="20% - Accent1 3 2 4 4 2 2" xfId="13500" xr:uid="{00000000-0005-0000-0000-0000DF010000}"/>
    <cellStyle name="20% - Accent1 3 2 4 4 2 2 2" xfId="28034" xr:uid="{00000000-0005-0000-0000-0000E0010000}"/>
    <cellStyle name="20% - Accent1 3 2 4 4 2 2 2 2" xfId="57040" xr:uid="{00000000-0005-0000-0000-0000E1010000}"/>
    <cellStyle name="20% - Accent1 3 2 4 4 2 2 3" xfId="42541" xr:uid="{00000000-0005-0000-0000-0000E2010000}"/>
    <cellStyle name="20% - Accent1 3 2 4 4 2 3" xfId="20786" xr:uid="{00000000-0005-0000-0000-0000E3010000}"/>
    <cellStyle name="20% - Accent1 3 2 4 4 2 3 2" xfId="49792" xr:uid="{00000000-0005-0000-0000-0000E4010000}"/>
    <cellStyle name="20% - Accent1 3 2 4 4 2 4" xfId="35293" xr:uid="{00000000-0005-0000-0000-0000E5010000}"/>
    <cellStyle name="20% - Accent1 3 2 4 4 3" xfId="10396" xr:uid="{00000000-0005-0000-0000-0000E6010000}"/>
    <cellStyle name="20% - Accent1 3 2 4 4 3 2" xfId="24930" xr:uid="{00000000-0005-0000-0000-0000E7010000}"/>
    <cellStyle name="20% - Accent1 3 2 4 4 3 2 2" xfId="53936" xr:uid="{00000000-0005-0000-0000-0000E8010000}"/>
    <cellStyle name="20% - Accent1 3 2 4 4 3 3" xfId="39437" xr:uid="{00000000-0005-0000-0000-0000E9010000}"/>
    <cellStyle name="20% - Accent1 3 2 4 4 4" xfId="17682" xr:uid="{00000000-0005-0000-0000-0000EA010000}"/>
    <cellStyle name="20% - Accent1 3 2 4 4 4 2" xfId="46688" xr:uid="{00000000-0005-0000-0000-0000EB010000}"/>
    <cellStyle name="20% - Accent1 3 2 4 4 5" xfId="32189" xr:uid="{00000000-0005-0000-0000-0000EC010000}"/>
    <cellStyle name="20% - Accent1 3 2 4 5" xfId="4156" xr:uid="{00000000-0005-0000-0000-0000ED010000}"/>
    <cellStyle name="20% - Accent1 3 2 4 5 2" xfId="11428" xr:uid="{00000000-0005-0000-0000-0000EE010000}"/>
    <cellStyle name="20% - Accent1 3 2 4 5 2 2" xfId="25962" xr:uid="{00000000-0005-0000-0000-0000EF010000}"/>
    <cellStyle name="20% - Accent1 3 2 4 5 2 2 2" xfId="54968" xr:uid="{00000000-0005-0000-0000-0000F0010000}"/>
    <cellStyle name="20% - Accent1 3 2 4 5 2 3" xfId="40469" xr:uid="{00000000-0005-0000-0000-0000F1010000}"/>
    <cellStyle name="20% - Accent1 3 2 4 5 3" xfId="18714" xr:uid="{00000000-0005-0000-0000-0000F2010000}"/>
    <cellStyle name="20% - Accent1 3 2 4 5 3 2" xfId="47720" xr:uid="{00000000-0005-0000-0000-0000F3010000}"/>
    <cellStyle name="20% - Accent1 3 2 4 5 4" xfId="33221" xr:uid="{00000000-0005-0000-0000-0000F4010000}"/>
    <cellStyle name="20% - Accent1 3 2 4 6" xfId="7260" xr:uid="{00000000-0005-0000-0000-0000F5010000}"/>
    <cellStyle name="20% - Accent1 3 2 4 6 2" xfId="14532" xr:uid="{00000000-0005-0000-0000-0000F6010000}"/>
    <cellStyle name="20% - Accent1 3 2 4 6 2 2" xfId="29066" xr:uid="{00000000-0005-0000-0000-0000F7010000}"/>
    <cellStyle name="20% - Accent1 3 2 4 6 2 2 2" xfId="58072" xr:uid="{00000000-0005-0000-0000-0000F8010000}"/>
    <cellStyle name="20% - Accent1 3 2 4 6 2 3" xfId="43573" xr:uid="{00000000-0005-0000-0000-0000F9010000}"/>
    <cellStyle name="20% - Accent1 3 2 4 6 3" xfId="21818" xr:uid="{00000000-0005-0000-0000-0000FA010000}"/>
    <cellStyle name="20% - Accent1 3 2 4 6 3 2" xfId="50824" xr:uid="{00000000-0005-0000-0000-0000FB010000}"/>
    <cellStyle name="20% - Accent1 3 2 4 6 4" xfId="36325" xr:uid="{00000000-0005-0000-0000-0000FC010000}"/>
    <cellStyle name="20% - Accent1 3 2 4 7" xfId="8324" xr:uid="{00000000-0005-0000-0000-0000FD010000}"/>
    <cellStyle name="20% - Accent1 3 2 4 7 2" xfId="22858" xr:uid="{00000000-0005-0000-0000-0000FE010000}"/>
    <cellStyle name="20% - Accent1 3 2 4 7 2 2" xfId="51864" xr:uid="{00000000-0005-0000-0000-0000FF010000}"/>
    <cellStyle name="20% - Accent1 3 2 4 7 3" xfId="37365" xr:uid="{00000000-0005-0000-0000-000000020000}"/>
    <cellStyle name="20% - Accent1 3 2 4 8" xfId="15610" xr:uid="{00000000-0005-0000-0000-000001020000}"/>
    <cellStyle name="20% - Accent1 3 2 4 8 2" xfId="44616" xr:uid="{00000000-0005-0000-0000-000002020000}"/>
    <cellStyle name="20% - Accent1 3 2 4 9" xfId="30117" xr:uid="{00000000-0005-0000-0000-000003020000}"/>
    <cellStyle name="20% - Accent1 3 2 5" xfId="1341" xr:uid="{00000000-0005-0000-0000-000004020000}"/>
    <cellStyle name="20% - Accent1 3 2 5 2" xfId="2398" xr:uid="{00000000-0005-0000-0000-000005020000}"/>
    <cellStyle name="20% - Accent1 3 2 5 2 2" xfId="5502" xr:uid="{00000000-0005-0000-0000-000006020000}"/>
    <cellStyle name="20% - Accent1 3 2 5 2 2 2" xfId="12774" xr:uid="{00000000-0005-0000-0000-000007020000}"/>
    <cellStyle name="20% - Accent1 3 2 5 2 2 2 2" xfId="27308" xr:uid="{00000000-0005-0000-0000-000008020000}"/>
    <cellStyle name="20% - Accent1 3 2 5 2 2 2 2 2" xfId="56314" xr:uid="{00000000-0005-0000-0000-000009020000}"/>
    <cellStyle name="20% - Accent1 3 2 5 2 2 2 3" xfId="41815" xr:uid="{00000000-0005-0000-0000-00000A020000}"/>
    <cellStyle name="20% - Accent1 3 2 5 2 2 3" xfId="20060" xr:uid="{00000000-0005-0000-0000-00000B020000}"/>
    <cellStyle name="20% - Accent1 3 2 5 2 2 3 2" xfId="49066" xr:uid="{00000000-0005-0000-0000-00000C020000}"/>
    <cellStyle name="20% - Accent1 3 2 5 2 2 4" xfId="34567" xr:uid="{00000000-0005-0000-0000-00000D020000}"/>
    <cellStyle name="20% - Accent1 3 2 5 2 3" xfId="9670" xr:uid="{00000000-0005-0000-0000-00000E020000}"/>
    <cellStyle name="20% - Accent1 3 2 5 2 3 2" xfId="24204" xr:uid="{00000000-0005-0000-0000-00000F020000}"/>
    <cellStyle name="20% - Accent1 3 2 5 2 3 2 2" xfId="53210" xr:uid="{00000000-0005-0000-0000-000010020000}"/>
    <cellStyle name="20% - Accent1 3 2 5 2 3 3" xfId="38711" xr:uid="{00000000-0005-0000-0000-000011020000}"/>
    <cellStyle name="20% - Accent1 3 2 5 2 4" xfId="16956" xr:uid="{00000000-0005-0000-0000-000012020000}"/>
    <cellStyle name="20% - Accent1 3 2 5 2 4 2" xfId="45962" xr:uid="{00000000-0005-0000-0000-000013020000}"/>
    <cellStyle name="20% - Accent1 3 2 5 2 5" xfId="31463" xr:uid="{00000000-0005-0000-0000-000014020000}"/>
    <cellStyle name="20% - Accent1 3 2 5 3" xfId="3430" xr:uid="{00000000-0005-0000-0000-000015020000}"/>
    <cellStyle name="20% - Accent1 3 2 5 3 2" xfId="6534" xr:uid="{00000000-0005-0000-0000-000016020000}"/>
    <cellStyle name="20% - Accent1 3 2 5 3 2 2" xfId="13806" xr:uid="{00000000-0005-0000-0000-000017020000}"/>
    <cellStyle name="20% - Accent1 3 2 5 3 2 2 2" xfId="28340" xr:uid="{00000000-0005-0000-0000-000018020000}"/>
    <cellStyle name="20% - Accent1 3 2 5 3 2 2 2 2" xfId="57346" xr:uid="{00000000-0005-0000-0000-000019020000}"/>
    <cellStyle name="20% - Accent1 3 2 5 3 2 2 3" xfId="42847" xr:uid="{00000000-0005-0000-0000-00001A020000}"/>
    <cellStyle name="20% - Accent1 3 2 5 3 2 3" xfId="21092" xr:uid="{00000000-0005-0000-0000-00001B020000}"/>
    <cellStyle name="20% - Accent1 3 2 5 3 2 3 2" xfId="50098" xr:uid="{00000000-0005-0000-0000-00001C020000}"/>
    <cellStyle name="20% - Accent1 3 2 5 3 2 4" xfId="35599" xr:uid="{00000000-0005-0000-0000-00001D020000}"/>
    <cellStyle name="20% - Accent1 3 2 5 3 3" xfId="10702" xr:uid="{00000000-0005-0000-0000-00001E020000}"/>
    <cellStyle name="20% - Accent1 3 2 5 3 3 2" xfId="25236" xr:uid="{00000000-0005-0000-0000-00001F020000}"/>
    <cellStyle name="20% - Accent1 3 2 5 3 3 2 2" xfId="54242" xr:uid="{00000000-0005-0000-0000-000020020000}"/>
    <cellStyle name="20% - Accent1 3 2 5 3 3 3" xfId="39743" xr:uid="{00000000-0005-0000-0000-000021020000}"/>
    <cellStyle name="20% - Accent1 3 2 5 3 4" xfId="17988" xr:uid="{00000000-0005-0000-0000-000022020000}"/>
    <cellStyle name="20% - Accent1 3 2 5 3 4 2" xfId="46994" xr:uid="{00000000-0005-0000-0000-000023020000}"/>
    <cellStyle name="20% - Accent1 3 2 5 3 5" xfId="32495" xr:uid="{00000000-0005-0000-0000-000024020000}"/>
    <cellStyle name="20% - Accent1 3 2 5 4" xfId="4462" xr:uid="{00000000-0005-0000-0000-000025020000}"/>
    <cellStyle name="20% - Accent1 3 2 5 4 2" xfId="11734" xr:uid="{00000000-0005-0000-0000-000026020000}"/>
    <cellStyle name="20% - Accent1 3 2 5 4 2 2" xfId="26268" xr:uid="{00000000-0005-0000-0000-000027020000}"/>
    <cellStyle name="20% - Accent1 3 2 5 4 2 2 2" xfId="55274" xr:uid="{00000000-0005-0000-0000-000028020000}"/>
    <cellStyle name="20% - Accent1 3 2 5 4 2 3" xfId="40775" xr:uid="{00000000-0005-0000-0000-000029020000}"/>
    <cellStyle name="20% - Accent1 3 2 5 4 3" xfId="19020" xr:uid="{00000000-0005-0000-0000-00002A020000}"/>
    <cellStyle name="20% - Accent1 3 2 5 4 3 2" xfId="48026" xr:uid="{00000000-0005-0000-0000-00002B020000}"/>
    <cellStyle name="20% - Accent1 3 2 5 4 4" xfId="33527" xr:uid="{00000000-0005-0000-0000-00002C020000}"/>
    <cellStyle name="20% - Accent1 3 2 5 5" xfId="7566" xr:uid="{00000000-0005-0000-0000-00002D020000}"/>
    <cellStyle name="20% - Accent1 3 2 5 5 2" xfId="14838" xr:uid="{00000000-0005-0000-0000-00002E020000}"/>
    <cellStyle name="20% - Accent1 3 2 5 5 2 2" xfId="29372" xr:uid="{00000000-0005-0000-0000-00002F020000}"/>
    <cellStyle name="20% - Accent1 3 2 5 5 2 2 2" xfId="58378" xr:uid="{00000000-0005-0000-0000-000030020000}"/>
    <cellStyle name="20% - Accent1 3 2 5 5 2 3" xfId="43879" xr:uid="{00000000-0005-0000-0000-000031020000}"/>
    <cellStyle name="20% - Accent1 3 2 5 5 3" xfId="22124" xr:uid="{00000000-0005-0000-0000-000032020000}"/>
    <cellStyle name="20% - Accent1 3 2 5 5 3 2" xfId="51130" xr:uid="{00000000-0005-0000-0000-000033020000}"/>
    <cellStyle name="20% - Accent1 3 2 5 5 4" xfId="36631" xr:uid="{00000000-0005-0000-0000-000034020000}"/>
    <cellStyle name="20% - Accent1 3 2 5 6" xfId="8630" xr:uid="{00000000-0005-0000-0000-000035020000}"/>
    <cellStyle name="20% - Accent1 3 2 5 6 2" xfId="23164" xr:uid="{00000000-0005-0000-0000-000036020000}"/>
    <cellStyle name="20% - Accent1 3 2 5 6 2 2" xfId="52170" xr:uid="{00000000-0005-0000-0000-000037020000}"/>
    <cellStyle name="20% - Accent1 3 2 5 6 3" xfId="37671" xr:uid="{00000000-0005-0000-0000-000038020000}"/>
    <cellStyle name="20% - Accent1 3 2 5 7" xfId="15916" xr:uid="{00000000-0005-0000-0000-000039020000}"/>
    <cellStyle name="20% - Accent1 3 2 5 7 2" xfId="44922" xr:uid="{00000000-0005-0000-0000-00003A020000}"/>
    <cellStyle name="20% - Accent1 3 2 5 8" xfId="30423" xr:uid="{00000000-0005-0000-0000-00003B020000}"/>
    <cellStyle name="20% - Accent1 3 2 6" xfId="1886" xr:uid="{00000000-0005-0000-0000-00003C020000}"/>
    <cellStyle name="20% - Accent1 3 2 6 2" xfId="4990" xr:uid="{00000000-0005-0000-0000-00003D020000}"/>
    <cellStyle name="20% - Accent1 3 2 6 2 2" xfId="12262" xr:uid="{00000000-0005-0000-0000-00003E020000}"/>
    <cellStyle name="20% - Accent1 3 2 6 2 2 2" xfId="26796" xr:uid="{00000000-0005-0000-0000-00003F020000}"/>
    <cellStyle name="20% - Accent1 3 2 6 2 2 2 2" xfId="55802" xr:uid="{00000000-0005-0000-0000-000040020000}"/>
    <cellStyle name="20% - Accent1 3 2 6 2 2 3" xfId="41303" xr:uid="{00000000-0005-0000-0000-000041020000}"/>
    <cellStyle name="20% - Accent1 3 2 6 2 3" xfId="19548" xr:uid="{00000000-0005-0000-0000-000042020000}"/>
    <cellStyle name="20% - Accent1 3 2 6 2 3 2" xfId="48554" xr:uid="{00000000-0005-0000-0000-000043020000}"/>
    <cellStyle name="20% - Accent1 3 2 6 2 4" xfId="34055" xr:uid="{00000000-0005-0000-0000-000044020000}"/>
    <cellStyle name="20% - Accent1 3 2 6 3" xfId="9158" xr:uid="{00000000-0005-0000-0000-000045020000}"/>
    <cellStyle name="20% - Accent1 3 2 6 3 2" xfId="23692" xr:uid="{00000000-0005-0000-0000-000046020000}"/>
    <cellStyle name="20% - Accent1 3 2 6 3 2 2" xfId="52698" xr:uid="{00000000-0005-0000-0000-000047020000}"/>
    <cellStyle name="20% - Accent1 3 2 6 3 3" xfId="38199" xr:uid="{00000000-0005-0000-0000-000048020000}"/>
    <cellStyle name="20% - Accent1 3 2 6 4" xfId="16444" xr:uid="{00000000-0005-0000-0000-000049020000}"/>
    <cellStyle name="20% - Accent1 3 2 6 4 2" xfId="45450" xr:uid="{00000000-0005-0000-0000-00004A020000}"/>
    <cellStyle name="20% - Accent1 3 2 6 5" xfId="30951" xr:uid="{00000000-0005-0000-0000-00004B020000}"/>
    <cellStyle name="20% - Accent1 3 2 7" xfId="2918" xr:uid="{00000000-0005-0000-0000-00004C020000}"/>
    <cellStyle name="20% - Accent1 3 2 7 2" xfId="6022" xr:uid="{00000000-0005-0000-0000-00004D020000}"/>
    <cellStyle name="20% - Accent1 3 2 7 2 2" xfId="13294" xr:uid="{00000000-0005-0000-0000-00004E020000}"/>
    <cellStyle name="20% - Accent1 3 2 7 2 2 2" xfId="27828" xr:uid="{00000000-0005-0000-0000-00004F020000}"/>
    <cellStyle name="20% - Accent1 3 2 7 2 2 2 2" xfId="56834" xr:uid="{00000000-0005-0000-0000-000050020000}"/>
    <cellStyle name="20% - Accent1 3 2 7 2 2 3" xfId="42335" xr:uid="{00000000-0005-0000-0000-000051020000}"/>
    <cellStyle name="20% - Accent1 3 2 7 2 3" xfId="20580" xr:uid="{00000000-0005-0000-0000-000052020000}"/>
    <cellStyle name="20% - Accent1 3 2 7 2 3 2" xfId="49586" xr:uid="{00000000-0005-0000-0000-000053020000}"/>
    <cellStyle name="20% - Accent1 3 2 7 2 4" xfId="35087" xr:uid="{00000000-0005-0000-0000-000054020000}"/>
    <cellStyle name="20% - Accent1 3 2 7 3" xfId="10190" xr:uid="{00000000-0005-0000-0000-000055020000}"/>
    <cellStyle name="20% - Accent1 3 2 7 3 2" xfId="24724" xr:uid="{00000000-0005-0000-0000-000056020000}"/>
    <cellStyle name="20% - Accent1 3 2 7 3 2 2" xfId="53730" xr:uid="{00000000-0005-0000-0000-000057020000}"/>
    <cellStyle name="20% - Accent1 3 2 7 3 3" xfId="39231" xr:uid="{00000000-0005-0000-0000-000058020000}"/>
    <cellStyle name="20% - Accent1 3 2 7 4" xfId="17476" xr:uid="{00000000-0005-0000-0000-000059020000}"/>
    <cellStyle name="20% - Accent1 3 2 7 4 2" xfId="46482" xr:uid="{00000000-0005-0000-0000-00005A020000}"/>
    <cellStyle name="20% - Accent1 3 2 7 5" xfId="31983" xr:uid="{00000000-0005-0000-0000-00005B020000}"/>
    <cellStyle name="20% - Accent1 3 2 8" xfId="3950" xr:uid="{00000000-0005-0000-0000-00005C020000}"/>
    <cellStyle name="20% - Accent1 3 2 8 2" xfId="11222" xr:uid="{00000000-0005-0000-0000-00005D020000}"/>
    <cellStyle name="20% - Accent1 3 2 8 2 2" xfId="25756" xr:uid="{00000000-0005-0000-0000-00005E020000}"/>
    <cellStyle name="20% - Accent1 3 2 8 2 2 2" xfId="54762" xr:uid="{00000000-0005-0000-0000-00005F020000}"/>
    <cellStyle name="20% - Accent1 3 2 8 2 3" xfId="40263" xr:uid="{00000000-0005-0000-0000-000060020000}"/>
    <cellStyle name="20% - Accent1 3 2 8 3" xfId="18508" xr:uid="{00000000-0005-0000-0000-000061020000}"/>
    <cellStyle name="20% - Accent1 3 2 8 3 2" xfId="47514" xr:uid="{00000000-0005-0000-0000-000062020000}"/>
    <cellStyle name="20% - Accent1 3 2 8 4" xfId="33015" xr:uid="{00000000-0005-0000-0000-000063020000}"/>
    <cellStyle name="20% - Accent1 3 2 9" xfId="7054" xr:uid="{00000000-0005-0000-0000-000064020000}"/>
    <cellStyle name="20% - Accent1 3 2 9 2" xfId="14326" xr:uid="{00000000-0005-0000-0000-000065020000}"/>
    <cellStyle name="20% - Accent1 3 2 9 2 2" xfId="28860" xr:uid="{00000000-0005-0000-0000-000066020000}"/>
    <cellStyle name="20% - Accent1 3 2 9 2 2 2" xfId="57866" xr:uid="{00000000-0005-0000-0000-000067020000}"/>
    <cellStyle name="20% - Accent1 3 2 9 2 3" xfId="43367" xr:uid="{00000000-0005-0000-0000-000068020000}"/>
    <cellStyle name="20% - Accent1 3 2 9 3" xfId="21612" xr:uid="{00000000-0005-0000-0000-000069020000}"/>
    <cellStyle name="20% - Accent1 3 2 9 3 2" xfId="50618" xr:uid="{00000000-0005-0000-0000-00006A020000}"/>
    <cellStyle name="20% - Accent1 3 2 9 4" xfId="36119" xr:uid="{00000000-0005-0000-0000-00006B020000}"/>
    <cellStyle name="20% - Accent1 3 3" xfId="921" xr:uid="{00000000-0005-0000-0000-00006C020000}"/>
    <cellStyle name="20% - Accent1 3 3 10" xfId="29962" xr:uid="{00000000-0005-0000-0000-00006D020000}"/>
    <cellStyle name="20% - Accent1 3 3 2" xfId="1193" xr:uid="{00000000-0005-0000-0000-00006E020000}"/>
    <cellStyle name="20% - Accent1 3 3 2 2" xfId="1696" xr:uid="{00000000-0005-0000-0000-00006F020000}"/>
    <cellStyle name="20% - Accent1 3 3 2 2 2" xfId="2755" xr:uid="{00000000-0005-0000-0000-000070020000}"/>
    <cellStyle name="20% - Accent1 3 3 2 2 2 2" xfId="5859" xr:uid="{00000000-0005-0000-0000-000071020000}"/>
    <cellStyle name="20% - Accent1 3 3 2 2 2 2 2" xfId="13131" xr:uid="{00000000-0005-0000-0000-000072020000}"/>
    <cellStyle name="20% - Accent1 3 3 2 2 2 2 2 2" xfId="27665" xr:uid="{00000000-0005-0000-0000-000073020000}"/>
    <cellStyle name="20% - Accent1 3 3 2 2 2 2 2 2 2" xfId="56671" xr:uid="{00000000-0005-0000-0000-000074020000}"/>
    <cellStyle name="20% - Accent1 3 3 2 2 2 2 2 3" xfId="42172" xr:uid="{00000000-0005-0000-0000-000075020000}"/>
    <cellStyle name="20% - Accent1 3 3 2 2 2 2 3" xfId="20417" xr:uid="{00000000-0005-0000-0000-000076020000}"/>
    <cellStyle name="20% - Accent1 3 3 2 2 2 2 3 2" xfId="49423" xr:uid="{00000000-0005-0000-0000-000077020000}"/>
    <cellStyle name="20% - Accent1 3 3 2 2 2 2 4" xfId="34924" xr:uid="{00000000-0005-0000-0000-000078020000}"/>
    <cellStyle name="20% - Accent1 3 3 2 2 2 3" xfId="10027" xr:uid="{00000000-0005-0000-0000-000079020000}"/>
    <cellStyle name="20% - Accent1 3 3 2 2 2 3 2" xfId="24561" xr:uid="{00000000-0005-0000-0000-00007A020000}"/>
    <cellStyle name="20% - Accent1 3 3 2 2 2 3 2 2" xfId="53567" xr:uid="{00000000-0005-0000-0000-00007B020000}"/>
    <cellStyle name="20% - Accent1 3 3 2 2 2 3 3" xfId="39068" xr:uid="{00000000-0005-0000-0000-00007C020000}"/>
    <cellStyle name="20% - Accent1 3 3 2 2 2 4" xfId="17313" xr:uid="{00000000-0005-0000-0000-00007D020000}"/>
    <cellStyle name="20% - Accent1 3 3 2 2 2 4 2" xfId="46319" xr:uid="{00000000-0005-0000-0000-00007E020000}"/>
    <cellStyle name="20% - Accent1 3 3 2 2 2 5" xfId="31820" xr:uid="{00000000-0005-0000-0000-00007F020000}"/>
    <cellStyle name="20% - Accent1 3 3 2 2 3" xfId="3787" xr:uid="{00000000-0005-0000-0000-000080020000}"/>
    <cellStyle name="20% - Accent1 3 3 2 2 3 2" xfId="6891" xr:uid="{00000000-0005-0000-0000-000081020000}"/>
    <cellStyle name="20% - Accent1 3 3 2 2 3 2 2" xfId="14163" xr:uid="{00000000-0005-0000-0000-000082020000}"/>
    <cellStyle name="20% - Accent1 3 3 2 2 3 2 2 2" xfId="28697" xr:uid="{00000000-0005-0000-0000-000083020000}"/>
    <cellStyle name="20% - Accent1 3 3 2 2 3 2 2 2 2" xfId="57703" xr:uid="{00000000-0005-0000-0000-000084020000}"/>
    <cellStyle name="20% - Accent1 3 3 2 2 3 2 2 3" xfId="43204" xr:uid="{00000000-0005-0000-0000-000085020000}"/>
    <cellStyle name="20% - Accent1 3 3 2 2 3 2 3" xfId="21449" xr:uid="{00000000-0005-0000-0000-000086020000}"/>
    <cellStyle name="20% - Accent1 3 3 2 2 3 2 3 2" xfId="50455" xr:uid="{00000000-0005-0000-0000-000087020000}"/>
    <cellStyle name="20% - Accent1 3 3 2 2 3 2 4" xfId="35956" xr:uid="{00000000-0005-0000-0000-000088020000}"/>
    <cellStyle name="20% - Accent1 3 3 2 2 3 3" xfId="11059" xr:uid="{00000000-0005-0000-0000-000089020000}"/>
    <cellStyle name="20% - Accent1 3 3 2 2 3 3 2" xfId="25593" xr:uid="{00000000-0005-0000-0000-00008A020000}"/>
    <cellStyle name="20% - Accent1 3 3 2 2 3 3 2 2" xfId="54599" xr:uid="{00000000-0005-0000-0000-00008B020000}"/>
    <cellStyle name="20% - Accent1 3 3 2 2 3 3 3" xfId="40100" xr:uid="{00000000-0005-0000-0000-00008C020000}"/>
    <cellStyle name="20% - Accent1 3 3 2 2 3 4" xfId="18345" xr:uid="{00000000-0005-0000-0000-00008D020000}"/>
    <cellStyle name="20% - Accent1 3 3 2 2 3 4 2" xfId="47351" xr:uid="{00000000-0005-0000-0000-00008E020000}"/>
    <cellStyle name="20% - Accent1 3 3 2 2 3 5" xfId="32852" xr:uid="{00000000-0005-0000-0000-00008F020000}"/>
    <cellStyle name="20% - Accent1 3 3 2 2 4" xfId="4819" xr:uid="{00000000-0005-0000-0000-000090020000}"/>
    <cellStyle name="20% - Accent1 3 3 2 2 4 2" xfId="12091" xr:uid="{00000000-0005-0000-0000-000091020000}"/>
    <cellStyle name="20% - Accent1 3 3 2 2 4 2 2" xfId="26625" xr:uid="{00000000-0005-0000-0000-000092020000}"/>
    <cellStyle name="20% - Accent1 3 3 2 2 4 2 2 2" xfId="55631" xr:uid="{00000000-0005-0000-0000-000093020000}"/>
    <cellStyle name="20% - Accent1 3 3 2 2 4 2 3" xfId="41132" xr:uid="{00000000-0005-0000-0000-000094020000}"/>
    <cellStyle name="20% - Accent1 3 3 2 2 4 3" xfId="19377" xr:uid="{00000000-0005-0000-0000-000095020000}"/>
    <cellStyle name="20% - Accent1 3 3 2 2 4 3 2" xfId="48383" xr:uid="{00000000-0005-0000-0000-000096020000}"/>
    <cellStyle name="20% - Accent1 3 3 2 2 4 4" xfId="33884" xr:uid="{00000000-0005-0000-0000-000097020000}"/>
    <cellStyle name="20% - Accent1 3 3 2 2 5" xfId="7923" xr:uid="{00000000-0005-0000-0000-000098020000}"/>
    <cellStyle name="20% - Accent1 3 3 2 2 5 2" xfId="15195" xr:uid="{00000000-0005-0000-0000-000099020000}"/>
    <cellStyle name="20% - Accent1 3 3 2 2 5 2 2" xfId="29729" xr:uid="{00000000-0005-0000-0000-00009A020000}"/>
    <cellStyle name="20% - Accent1 3 3 2 2 5 2 2 2" xfId="58735" xr:uid="{00000000-0005-0000-0000-00009B020000}"/>
    <cellStyle name="20% - Accent1 3 3 2 2 5 2 3" xfId="44236" xr:uid="{00000000-0005-0000-0000-00009C020000}"/>
    <cellStyle name="20% - Accent1 3 3 2 2 5 3" xfId="22481" xr:uid="{00000000-0005-0000-0000-00009D020000}"/>
    <cellStyle name="20% - Accent1 3 3 2 2 5 3 2" xfId="51487" xr:uid="{00000000-0005-0000-0000-00009E020000}"/>
    <cellStyle name="20% - Accent1 3 3 2 2 5 4" xfId="36988" xr:uid="{00000000-0005-0000-0000-00009F020000}"/>
    <cellStyle name="20% - Accent1 3 3 2 2 6" xfId="8987" xr:uid="{00000000-0005-0000-0000-0000A0020000}"/>
    <cellStyle name="20% - Accent1 3 3 2 2 6 2" xfId="23521" xr:uid="{00000000-0005-0000-0000-0000A1020000}"/>
    <cellStyle name="20% - Accent1 3 3 2 2 6 2 2" xfId="52527" xr:uid="{00000000-0005-0000-0000-0000A2020000}"/>
    <cellStyle name="20% - Accent1 3 3 2 2 6 3" xfId="38028" xr:uid="{00000000-0005-0000-0000-0000A3020000}"/>
    <cellStyle name="20% - Accent1 3 3 2 2 7" xfId="16273" xr:uid="{00000000-0005-0000-0000-0000A4020000}"/>
    <cellStyle name="20% - Accent1 3 3 2 2 7 2" xfId="45279" xr:uid="{00000000-0005-0000-0000-0000A5020000}"/>
    <cellStyle name="20% - Accent1 3 3 2 2 8" xfId="30780" xr:uid="{00000000-0005-0000-0000-0000A6020000}"/>
    <cellStyle name="20% - Accent1 3 3 2 3" xfId="2243" xr:uid="{00000000-0005-0000-0000-0000A7020000}"/>
    <cellStyle name="20% - Accent1 3 3 2 3 2" xfId="5347" xr:uid="{00000000-0005-0000-0000-0000A8020000}"/>
    <cellStyle name="20% - Accent1 3 3 2 3 2 2" xfId="12619" xr:uid="{00000000-0005-0000-0000-0000A9020000}"/>
    <cellStyle name="20% - Accent1 3 3 2 3 2 2 2" xfId="27153" xr:uid="{00000000-0005-0000-0000-0000AA020000}"/>
    <cellStyle name="20% - Accent1 3 3 2 3 2 2 2 2" xfId="56159" xr:uid="{00000000-0005-0000-0000-0000AB020000}"/>
    <cellStyle name="20% - Accent1 3 3 2 3 2 2 3" xfId="41660" xr:uid="{00000000-0005-0000-0000-0000AC020000}"/>
    <cellStyle name="20% - Accent1 3 3 2 3 2 3" xfId="19905" xr:uid="{00000000-0005-0000-0000-0000AD020000}"/>
    <cellStyle name="20% - Accent1 3 3 2 3 2 3 2" xfId="48911" xr:uid="{00000000-0005-0000-0000-0000AE020000}"/>
    <cellStyle name="20% - Accent1 3 3 2 3 2 4" xfId="34412" xr:uid="{00000000-0005-0000-0000-0000AF020000}"/>
    <cellStyle name="20% - Accent1 3 3 2 3 3" xfId="9515" xr:uid="{00000000-0005-0000-0000-0000B0020000}"/>
    <cellStyle name="20% - Accent1 3 3 2 3 3 2" xfId="24049" xr:uid="{00000000-0005-0000-0000-0000B1020000}"/>
    <cellStyle name="20% - Accent1 3 3 2 3 3 2 2" xfId="53055" xr:uid="{00000000-0005-0000-0000-0000B2020000}"/>
    <cellStyle name="20% - Accent1 3 3 2 3 3 3" xfId="38556" xr:uid="{00000000-0005-0000-0000-0000B3020000}"/>
    <cellStyle name="20% - Accent1 3 3 2 3 4" xfId="16801" xr:uid="{00000000-0005-0000-0000-0000B4020000}"/>
    <cellStyle name="20% - Accent1 3 3 2 3 4 2" xfId="45807" xr:uid="{00000000-0005-0000-0000-0000B5020000}"/>
    <cellStyle name="20% - Accent1 3 3 2 3 5" xfId="31308" xr:uid="{00000000-0005-0000-0000-0000B6020000}"/>
    <cellStyle name="20% - Accent1 3 3 2 4" xfId="3275" xr:uid="{00000000-0005-0000-0000-0000B7020000}"/>
    <cellStyle name="20% - Accent1 3 3 2 4 2" xfId="6379" xr:uid="{00000000-0005-0000-0000-0000B8020000}"/>
    <cellStyle name="20% - Accent1 3 3 2 4 2 2" xfId="13651" xr:uid="{00000000-0005-0000-0000-0000B9020000}"/>
    <cellStyle name="20% - Accent1 3 3 2 4 2 2 2" xfId="28185" xr:uid="{00000000-0005-0000-0000-0000BA020000}"/>
    <cellStyle name="20% - Accent1 3 3 2 4 2 2 2 2" xfId="57191" xr:uid="{00000000-0005-0000-0000-0000BB020000}"/>
    <cellStyle name="20% - Accent1 3 3 2 4 2 2 3" xfId="42692" xr:uid="{00000000-0005-0000-0000-0000BC020000}"/>
    <cellStyle name="20% - Accent1 3 3 2 4 2 3" xfId="20937" xr:uid="{00000000-0005-0000-0000-0000BD020000}"/>
    <cellStyle name="20% - Accent1 3 3 2 4 2 3 2" xfId="49943" xr:uid="{00000000-0005-0000-0000-0000BE020000}"/>
    <cellStyle name="20% - Accent1 3 3 2 4 2 4" xfId="35444" xr:uid="{00000000-0005-0000-0000-0000BF020000}"/>
    <cellStyle name="20% - Accent1 3 3 2 4 3" xfId="10547" xr:uid="{00000000-0005-0000-0000-0000C0020000}"/>
    <cellStyle name="20% - Accent1 3 3 2 4 3 2" xfId="25081" xr:uid="{00000000-0005-0000-0000-0000C1020000}"/>
    <cellStyle name="20% - Accent1 3 3 2 4 3 2 2" xfId="54087" xr:uid="{00000000-0005-0000-0000-0000C2020000}"/>
    <cellStyle name="20% - Accent1 3 3 2 4 3 3" xfId="39588" xr:uid="{00000000-0005-0000-0000-0000C3020000}"/>
    <cellStyle name="20% - Accent1 3 3 2 4 4" xfId="17833" xr:uid="{00000000-0005-0000-0000-0000C4020000}"/>
    <cellStyle name="20% - Accent1 3 3 2 4 4 2" xfId="46839" xr:uid="{00000000-0005-0000-0000-0000C5020000}"/>
    <cellStyle name="20% - Accent1 3 3 2 4 5" xfId="32340" xr:uid="{00000000-0005-0000-0000-0000C6020000}"/>
    <cellStyle name="20% - Accent1 3 3 2 5" xfId="4307" xr:uid="{00000000-0005-0000-0000-0000C7020000}"/>
    <cellStyle name="20% - Accent1 3 3 2 5 2" xfId="11579" xr:uid="{00000000-0005-0000-0000-0000C8020000}"/>
    <cellStyle name="20% - Accent1 3 3 2 5 2 2" xfId="26113" xr:uid="{00000000-0005-0000-0000-0000C9020000}"/>
    <cellStyle name="20% - Accent1 3 3 2 5 2 2 2" xfId="55119" xr:uid="{00000000-0005-0000-0000-0000CA020000}"/>
    <cellStyle name="20% - Accent1 3 3 2 5 2 3" xfId="40620" xr:uid="{00000000-0005-0000-0000-0000CB020000}"/>
    <cellStyle name="20% - Accent1 3 3 2 5 3" xfId="18865" xr:uid="{00000000-0005-0000-0000-0000CC020000}"/>
    <cellStyle name="20% - Accent1 3 3 2 5 3 2" xfId="47871" xr:uid="{00000000-0005-0000-0000-0000CD020000}"/>
    <cellStyle name="20% - Accent1 3 3 2 5 4" xfId="33372" xr:uid="{00000000-0005-0000-0000-0000CE020000}"/>
    <cellStyle name="20% - Accent1 3 3 2 6" xfId="7411" xr:uid="{00000000-0005-0000-0000-0000CF020000}"/>
    <cellStyle name="20% - Accent1 3 3 2 6 2" xfId="14683" xr:uid="{00000000-0005-0000-0000-0000D0020000}"/>
    <cellStyle name="20% - Accent1 3 3 2 6 2 2" xfId="29217" xr:uid="{00000000-0005-0000-0000-0000D1020000}"/>
    <cellStyle name="20% - Accent1 3 3 2 6 2 2 2" xfId="58223" xr:uid="{00000000-0005-0000-0000-0000D2020000}"/>
    <cellStyle name="20% - Accent1 3 3 2 6 2 3" xfId="43724" xr:uid="{00000000-0005-0000-0000-0000D3020000}"/>
    <cellStyle name="20% - Accent1 3 3 2 6 3" xfId="21969" xr:uid="{00000000-0005-0000-0000-0000D4020000}"/>
    <cellStyle name="20% - Accent1 3 3 2 6 3 2" xfId="50975" xr:uid="{00000000-0005-0000-0000-0000D5020000}"/>
    <cellStyle name="20% - Accent1 3 3 2 6 4" xfId="36476" xr:uid="{00000000-0005-0000-0000-0000D6020000}"/>
    <cellStyle name="20% - Accent1 3 3 2 7" xfId="8475" xr:uid="{00000000-0005-0000-0000-0000D7020000}"/>
    <cellStyle name="20% - Accent1 3 3 2 7 2" xfId="23009" xr:uid="{00000000-0005-0000-0000-0000D8020000}"/>
    <cellStyle name="20% - Accent1 3 3 2 7 2 2" xfId="52015" xr:uid="{00000000-0005-0000-0000-0000D9020000}"/>
    <cellStyle name="20% - Accent1 3 3 2 7 3" xfId="37516" xr:uid="{00000000-0005-0000-0000-0000DA020000}"/>
    <cellStyle name="20% - Accent1 3 3 2 8" xfId="15761" xr:uid="{00000000-0005-0000-0000-0000DB020000}"/>
    <cellStyle name="20% - Accent1 3 3 2 8 2" xfId="44767" xr:uid="{00000000-0005-0000-0000-0000DC020000}"/>
    <cellStyle name="20% - Accent1 3 3 2 9" xfId="30268" xr:uid="{00000000-0005-0000-0000-0000DD020000}"/>
    <cellStyle name="20% - Accent1 3 3 3" xfId="1391" xr:uid="{00000000-0005-0000-0000-0000DE020000}"/>
    <cellStyle name="20% - Accent1 3 3 3 2" xfId="2449" xr:uid="{00000000-0005-0000-0000-0000DF020000}"/>
    <cellStyle name="20% - Accent1 3 3 3 2 2" xfId="5553" xr:uid="{00000000-0005-0000-0000-0000E0020000}"/>
    <cellStyle name="20% - Accent1 3 3 3 2 2 2" xfId="12825" xr:uid="{00000000-0005-0000-0000-0000E1020000}"/>
    <cellStyle name="20% - Accent1 3 3 3 2 2 2 2" xfId="27359" xr:uid="{00000000-0005-0000-0000-0000E2020000}"/>
    <cellStyle name="20% - Accent1 3 3 3 2 2 2 2 2" xfId="56365" xr:uid="{00000000-0005-0000-0000-0000E3020000}"/>
    <cellStyle name="20% - Accent1 3 3 3 2 2 2 3" xfId="41866" xr:uid="{00000000-0005-0000-0000-0000E4020000}"/>
    <cellStyle name="20% - Accent1 3 3 3 2 2 3" xfId="20111" xr:uid="{00000000-0005-0000-0000-0000E5020000}"/>
    <cellStyle name="20% - Accent1 3 3 3 2 2 3 2" xfId="49117" xr:uid="{00000000-0005-0000-0000-0000E6020000}"/>
    <cellStyle name="20% - Accent1 3 3 3 2 2 4" xfId="34618" xr:uid="{00000000-0005-0000-0000-0000E7020000}"/>
    <cellStyle name="20% - Accent1 3 3 3 2 3" xfId="9721" xr:uid="{00000000-0005-0000-0000-0000E8020000}"/>
    <cellStyle name="20% - Accent1 3 3 3 2 3 2" xfId="24255" xr:uid="{00000000-0005-0000-0000-0000E9020000}"/>
    <cellStyle name="20% - Accent1 3 3 3 2 3 2 2" xfId="53261" xr:uid="{00000000-0005-0000-0000-0000EA020000}"/>
    <cellStyle name="20% - Accent1 3 3 3 2 3 3" xfId="38762" xr:uid="{00000000-0005-0000-0000-0000EB020000}"/>
    <cellStyle name="20% - Accent1 3 3 3 2 4" xfId="17007" xr:uid="{00000000-0005-0000-0000-0000EC020000}"/>
    <cellStyle name="20% - Accent1 3 3 3 2 4 2" xfId="46013" xr:uid="{00000000-0005-0000-0000-0000ED020000}"/>
    <cellStyle name="20% - Accent1 3 3 3 2 5" xfId="31514" xr:uid="{00000000-0005-0000-0000-0000EE020000}"/>
    <cellStyle name="20% - Accent1 3 3 3 3" xfId="3481" xr:uid="{00000000-0005-0000-0000-0000EF020000}"/>
    <cellStyle name="20% - Accent1 3 3 3 3 2" xfId="6585" xr:uid="{00000000-0005-0000-0000-0000F0020000}"/>
    <cellStyle name="20% - Accent1 3 3 3 3 2 2" xfId="13857" xr:uid="{00000000-0005-0000-0000-0000F1020000}"/>
    <cellStyle name="20% - Accent1 3 3 3 3 2 2 2" xfId="28391" xr:uid="{00000000-0005-0000-0000-0000F2020000}"/>
    <cellStyle name="20% - Accent1 3 3 3 3 2 2 2 2" xfId="57397" xr:uid="{00000000-0005-0000-0000-0000F3020000}"/>
    <cellStyle name="20% - Accent1 3 3 3 3 2 2 3" xfId="42898" xr:uid="{00000000-0005-0000-0000-0000F4020000}"/>
    <cellStyle name="20% - Accent1 3 3 3 3 2 3" xfId="21143" xr:uid="{00000000-0005-0000-0000-0000F5020000}"/>
    <cellStyle name="20% - Accent1 3 3 3 3 2 3 2" xfId="50149" xr:uid="{00000000-0005-0000-0000-0000F6020000}"/>
    <cellStyle name="20% - Accent1 3 3 3 3 2 4" xfId="35650" xr:uid="{00000000-0005-0000-0000-0000F7020000}"/>
    <cellStyle name="20% - Accent1 3 3 3 3 3" xfId="10753" xr:uid="{00000000-0005-0000-0000-0000F8020000}"/>
    <cellStyle name="20% - Accent1 3 3 3 3 3 2" xfId="25287" xr:uid="{00000000-0005-0000-0000-0000F9020000}"/>
    <cellStyle name="20% - Accent1 3 3 3 3 3 2 2" xfId="54293" xr:uid="{00000000-0005-0000-0000-0000FA020000}"/>
    <cellStyle name="20% - Accent1 3 3 3 3 3 3" xfId="39794" xr:uid="{00000000-0005-0000-0000-0000FB020000}"/>
    <cellStyle name="20% - Accent1 3 3 3 3 4" xfId="18039" xr:uid="{00000000-0005-0000-0000-0000FC020000}"/>
    <cellStyle name="20% - Accent1 3 3 3 3 4 2" xfId="47045" xr:uid="{00000000-0005-0000-0000-0000FD020000}"/>
    <cellStyle name="20% - Accent1 3 3 3 3 5" xfId="32546" xr:uid="{00000000-0005-0000-0000-0000FE020000}"/>
    <cellStyle name="20% - Accent1 3 3 3 4" xfId="4513" xr:uid="{00000000-0005-0000-0000-0000FF020000}"/>
    <cellStyle name="20% - Accent1 3 3 3 4 2" xfId="11785" xr:uid="{00000000-0005-0000-0000-000000030000}"/>
    <cellStyle name="20% - Accent1 3 3 3 4 2 2" xfId="26319" xr:uid="{00000000-0005-0000-0000-000001030000}"/>
    <cellStyle name="20% - Accent1 3 3 3 4 2 2 2" xfId="55325" xr:uid="{00000000-0005-0000-0000-000002030000}"/>
    <cellStyle name="20% - Accent1 3 3 3 4 2 3" xfId="40826" xr:uid="{00000000-0005-0000-0000-000003030000}"/>
    <cellStyle name="20% - Accent1 3 3 3 4 3" xfId="19071" xr:uid="{00000000-0005-0000-0000-000004030000}"/>
    <cellStyle name="20% - Accent1 3 3 3 4 3 2" xfId="48077" xr:uid="{00000000-0005-0000-0000-000005030000}"/>
    <cellStyle name="20% - Accent1 3 3 3 4 4" xfId="33578" xr:uid="{00000000-0005-0000-0000-000006030000}"/>
    <cellStyle name="20% - Accent1 3 3 3 5" xfId="7617" xr:uid="{00000000-0005-0000-0000-000007030000}"/>
    <cellStyle name="20% - Accent1 3 3 3 5 2" xfId="14889" xr:uid="{00000000-0005-0000-0000-000008030000}"/>
    <cellStyle name="20% - Accent1 3 3 3 5 2 2" xfId="29423" xr:uid="{00000000-0005-0000-0000-000009030000}"/>
    <cellStyle name="20% - Accent1 3 3 3 5 2 2 2" xfId="58429" xr:uid="{00000000-0005-0000-0000-00000A030000}"/>
    <cellStyle name="20% - Accent1 3 3 3 5 2 3" xfId="43930" xr:uid="{00000000-0005-0000-0000-00000B030000}"/>
    <cellStyle name="20% - Accent1 3 3 3 5 3" xfId="22175" xr:uid="{00000000-0005-0000-0000-00000C030000}"/>
    <cellStyle name="20% - Accent1 3 3 3 5 3 2" xfId="51181" xr:uid="{00000000-0005-0000-0000-00000D030000}"/>
    <cellStyle name="20% - Accent1 3 3 3 5 4" xfId="36682" xr:uid="{00000000-0005-0000-0000-00000E030000}"/>
    <cellStyle name="20% - Accent1 3 3 3 6" xfId="8681" xr:uid="{00000000-0005-0000-0000-00000F030000}"/>
    <cellStyle name="20% - Accent1 3 3 3 6 2" xfId="23215" xr:uid="{00000000-0005-0000-0000-000010030000}"/>
    <cellStyle name="20% - Accent1 3 3 3 6 2 2" xfId="52221" xr:uid="{00000000-0005-0000-0000-000011030000}"/>
    <cellStyle name="20% - Accent1 3 3 3 6 3" xfId="37722" xr:uid="{00000000-0005-0000-0000-000012030000}"/>
    <cellStyle name="20% - Accent1 3 3 3 7" xfId="15967" xr:uid="{00000000-0005-0000-0000-000013030000}"/>
    <cellStyle name="20% - Accent1 3 3 3 7 2" xfId="44973" xr:uid="{00000000-0005-0000-0000-000014030000}"/>
    <cellStyle name="20% - Accent1 3 3 3 8" xfId="30474" xr:uid="{00000000-0005-0000-0000-000015030000}"/>
    <cellStyle name="20% - Accent1 3 3 4" xfId="1937" xr:uid="{00000000-0005-0000-0000-000016030000}"/>
    <cellStyle name="20% - Accent1 3 3 4 2" xfId="5041" xr:uid="{00000000-0005-0000-0000-000017030000}"/>
    <cellStyle name="20% - Accent1 3 3 4 2 2" xfId="12313" xr:uid="{00000000-0005-0000-0000-000018030000}"/>
    <cellStyle name="20% - Accent1 3 3 4 2 2 2" xfId="26847" xr:uid="{00000000-0005-0000-0000-000019030000}"/>
    <cellStyle name="20% - Accent1 3 3 4 2 2 2 2" xfId="55853" xr:uid="{00000000-0005-0000-0000-00001A030000}"/>
    <cellStyle name="20% - Accent1 3 3 4 2 2 3" xfId="41354" xr:uid="{00000000-0005-0000-0000-00001B030000}"/>
    <cellStyle name="20% - Accent1 3 3 4 2 3" xfId="19599" xr:uid="{00000000-0005-0000-0000-00001C030000}"/>
    <cellStyle name="20% - Accent1 3 3 4 2 3 2" xfId="48605" xr:uid="{00000000-0005-0000-0000-00001D030000}"/>
    <cellStyle name="20% - Accent1 3 3 4 2 4" xfId="34106" xr:uid="{00000000-0005-0000-0000-00001E030000}"/>
    <cellStyle name="20% - Accent1 3 3 4 3" xfId="9209" xr:uid="{00000000-0005-0000-0000-00001F030000}"/>
    <cellStyle name="20% - Accent1 3 3 4 3 2" xfId="23743" xr:uid="{00000000-0005-0000-0000-000020030000}"/>
    <cellStyle name="20% - Accent1 3 3 4 3 2 2" xfId="52749" xr:uid="{00000000-0005-0000-0000-000021030000}"/>
    <cellStyle name="20% - Accent1 3 3 4 3 3" xfId="38250" xr:uid="{00000000-0005-0000-0000-000022030000}"/>
    <cellStyle name="20% - Accent1 3 3 4 4" xfId="16495" xr:uid="{00000000-0005-0000-0000-000023030000}"/>
    <cellStyle name="20% - Accent1 3 3 4 4 2" xfId="45501" xr:uid="{00000000-0005-0000-0000-000024030000}"/>
    <cellStyle name="20% - Accent1 3 3 4 5" xfId="31002" xr:uid="{00000000-0005-0000-0000-000025030000}"/>
    <cellStyle name="20% - Accent1 3 3 5" xfId="2969" xr:uid="{00000000-0005-0000-0000-000026030000}"/>
    <cellStyle name="20% - Accent1 3 3 5 2" xfId="6073" xr:uid="{00000000-0005-0000-0000-000027030000}"/>
    <cellStyle name="20% - Accent1 3 3 5 2 2" xfId="13345" xr:uid="{00000000-0005-0000-0000-000028030000}"/>
    <cellStyle name="20% - Accent1 3 3 5 2 2 2" xfId="27879" xr:uid="{00000000-0005-0000-0000-000029030000}"/>
    <cellStyle name="20% - Accent1 3 3 5 2 2 2 2" xfId="56885" xr:uid="{00000000-0005-0000-0000-00002A030000}"/>
    <cellStyle name="20% - Accent1 3 3 5 2 2 3" xfId="42386" xr:uid="{00000000-0005-0000-0000-00002B030000}"/>
    <cellStyle name="20% - Accent1 3 3 5 2 3" xfId="20631" xr:uid="{00000000-0005-0000-0000-00002C030000}"/>
    <cellStyle name="20% - Accent1 3 3 5 2 3 2" xfId="49637" xr:uid="{00000000-0005-0000-0000-00002D030000}"/>
    <cellStyle name="20% - Accent1 3 3 5 2 4" xfId="35138" xr:uid="{00000000-0005-0000-0000-00002E030000}"/>
    <cellStyle name="20% - Accent1 3 3 5 3" xfId="10241" xr:uid="{00000000-0005-0000-0000-00002F030000}"/>
    <cellStyle name="20% - Accent1 3 3 5 3 2" xfId="24775" xr:uid="{00000000-0005-0000-0000-000030030000}"/>
    <cellStyle name="20% - Accent1 3 3 5 3 2 2" xfId="53781" xr:uid="{00000000-0005-0000-0000-000031030000}"/>
    <cellStyle name="20% - Accent1 3 3 5 3 3" xfId="39282" xr:uid="{00000000-0005-0000-0000-000032030000}"/>
    <cellStyle name="20% - Accent1 3 3 5 4" xfId="17527" xr:uid="{00000000-0005-0000-0000-000033030000}"/>
    <cellStyle name="20% - Accent1 3 3 5 4 2" xfId="46533" xr:uid="{00000000-0005-0000-0000-000034030000}"/>
    <cellStyle name="20% - Accent1 3 3 5 5" xfId="32034" xr:uid="{00000000-0005-0000-0000-000035030000}"/>
    <cellStyle name="20% - Accent1 3 3 6" xfId="4001" xr:uid="{00000000-0005-0000-0000-000036030000}"/>
    <cellStyle name="20% - Accent1 3 3 6 2" xfId="11273" xr:uid="{00000000-0005-0000-0000-000037030000}"/>
    <cellStyle name="20% - Accent1 3 3 6 2 2" xfId="25807" xr:uid="{00000000-0005-0000-0000-000038030000}"/>
    <cellStyle name="20% - Accent1 3 3 6 2 2 2" xfId="54813" xr:uid="{00000000-0005-0000-0000-000039030000}"/>
    <cellStyle name="20% - Accent1 3 3 6 2 3" xfId="40314" xr:uid="{00000000-0005-0000-0000-00003A030000}"/>
    <cellStyle name="20% - Accent1 3 3 6 3" xfId="18559" xr:uid="{00000000-0005-0000-0000-00003B030000}"/>
    <cellStyle name="20% - Accent1 3 3 6 3 2" xfId="47565" xr:uid="{00000000-0005-0000-0000-00003C030000}"/>
    <cellStyle name="20% - Accent1 3 3 6 4" xfId="33066" xr:uid="{00000000-0005-0000-0000-00003D030000}"/>
    <cellStyle name="20% - Accent1 3 3 7" xfId="7105" xr:uid="{00000000-0005-0000-0000-00003E030000}"/>
    <cellStyle name="20% - Accent1 3 3 7 2" xfId="14377" xr:uid="{00000000-0005-0000-0000-00003F030000}"/>
    <cellStyle name="20% - Accent1 3 3 7 2 2" xfId="28911" xr:uid="{00000000-0005-0000-0000-000040030000}"/>
    <cellStyle name="20% - Accent1 3 3 7 2 2 2" xfId="57917" xr:uid="{00000000-0005-0000-0000-000041030000}"/>
    <cellStyle name="20% - Accent1 3 3 7 2 3" xfId="43418" xr:uid="{00000000-0005-0000-0000-000042030000}"/>
    <cellStyle name="20% - Accent1 3 3 7 3" xfId="21663" xr:uid="{00000000-0005-0000-0000-000043030000}"/>
    <cellStyle name="20% - Accent1 3 3 7 3 2" xfId="50669" xr:uid="{00000000-0005-0000-0000-000044030000}"/>
    <cellStyle name="20% - Accent1 3 3 7 4" xfId="36170" xr:uid="{00000000-0005-0000-0000-000045030000}"/>
    <cellStyle name="20% - Accent1 3 3 8" xfId="8169" xr:uid="{00000000-0005-0000-0000-000046030000}"/>
    <cellStyle name="20% - Accent1 3 3 8 2" xfId="22703" xr:uid="{00000000-0005-0000-0000-000047030000}"/>
    <cellStyle name="20% - Accent1 3 3 8 2 2" xfId="51709" xr:uid="{00000000-0005-0000-0000-000048030000}"/>
    <cellStyle name="20% - Accent1 3 3 8 3" xfId="37210" xr:uid="{00000000-0005-0000-0000-000049030000}"/>
    <cellStyle name="20% - Accent1 3 3 9" xfId="15455" xr:uid="{00000000-0005-0000-0000-00004A030000}"/>
    <cellStyle name="20% - Accent1 3 3 9 2" xfId="44461" xr:uid="{00000000-0005-0000-0000-00004B030000}"/>
    <cellStyle name="20% - Accent1 3 4" xfId="1096" xr:uid="{00000000-0005-0000-0000-00004C030000}"/>
    <cellStyle name="20% - Accent1 3 4 2" xfId="1593" xr:uid="{00000000-0005-0000-0000-00004D030000}"/>
    <cellStyle name="20% - Accent1 3 4 2 2" xfId="2652" xr:uid="{00000000-0005-0000-0000-00004E030000}"/>
    <cellStyle name="20% - Accent1 3 4 2 2 2" xfId="5756" xr:uid="{00000000-0005-0000-0000-00004F030000}"/>
    <cellStyle name="20% - Accent1 3 4 2 2 2 2" xfId="13028" xr:uid="{00000000-0005-0000-0000-000050030000}"/>
    <cellStyle name="20% - Accent1 3 4 2 2 2 2 2" xfId="27562" xr:uid="{00000000-0005-0000-0000-000051030000}"/>
    <cellStyle name="20% - Accent1 3 4 2 2 2 2 2 2" xfId="56568" xr:uid="{00000000-0005-0000-0000-000052030000}"/>
    <cellStyle name="20% - Accent1 3 4 2 2 2 2 3" xfId="42069" xr:uid="{00000000-0005-0000-0000-000053030000}"/>
    <cellStyle name="20% - Accent1 3 4 2 2 2 3" xfId="20314" xr:uid="{00000000-0005-0000-0000-000054030000}"/>
    <cellStyle name="20% - Accent1 3 4 2 2 2 3 2" xfId="49320" xr:uid="{00000000-0005-0000-0000-000055030000}"/>
    <cellStyle name="20% - Accent1 3 4 2 2 2 4" xfId="34821" xr:uid="{00000000-0005-0000-0000-000056030000}"/>
    <cellStyle name="20% - Accent1 3 4 2 2 3" xfId="9924" xr:uid="{00000000-0005-0000-0000-000057030000}"/>
    <cellStyle name="20% - Accent1 3 4 2 2 3 2" xfId="24458" xr:uid="{00000000-0005-0000-0000-000058030000}"/>
    <cellStyle name="20% - Accent1 3 4 2 2 3 2 2" xfId="53464" xr:uid="{00000000-0005-0000-0000-000059030000}"/>
    <cellStyle name="20% - Accent1 3 4 2 2 3 3" xfId="38965" xr:uid="{00000000-0005-0000-0000-00005A030000}"/>
    <cellStyle name="20% - Accent1 3 4 2 2 4" xfId="17210" xr:uid="{00000000-0005-0000-0000-00005B030000}"/>
    <cellStyle name="20% - Accent1 3 4 2 2 4 2" xfId="46216" xr:uid="{00000000-0005-0000-0000-00005C030000}"/>
    <cellStyle name="20% - Accent1 3 4 2 2 5" xfId="31717" xr:uid="{00000000-0005-0000-0000-00005D030000}"/>
    <cellStyle name="20% - Accent1 3 4 2 3" xfId="3684" xr:uid="{00000000-0005-0000-0000-00005E030000}"/>
    <cellStyle name="20% - Accent1 3 4 2 3 2" xfId="6788" xr:uid="{00000000-0005-0000-0000-00005F030000}"/>
    <cellStyle name="20% - Accent1 3 4 2 3 2 2" xfId="14060" xr:uid="{00000000-0005-0000-0000-000060030000}"/>
    <cellStyle name="20% - Accent1 3 4 2 3 2 2 2" xfId="28594" xr:uid="{00000000-0005-0000-0000-000061030000}"/>
    <cellStyle name="20% - Accent1 3 4 2 3 2 2 2 2" xfId="57600" xr:uid="{00000000-0005-0000-0000-000062030000}"/>
    <cellStyle name="20% - Accent1 3 4 2 3 2 2 3" xfId="43101" xr:uid="{00000000-0005-0000-0000-000063030000}"/>
    <cellStyle name="20% - Accent1 3 4 2 3 2 3" xfId="21346" xr:uid="{00000000-0005-0000-0000-000064030000}"/>
    <cellStyle name="20% - Accent1 3 4 2 3 2 3 2" xfId="50352" xr:uid="{00000000-0005-0000-0000-000065030000}"/>
    <cellStyle name="20% - Accent1 3 4 2 3 2 4" xfId="35853" xr:uid="{00000000-0005-0000-0000-000066030000}"/>
    <cellStyle name="20% - Accent1 3 4 2 3 3" xfId="10956" xr:uid="{00000000-0005-0000-0000-000067030000}"/>
    <cellStyle name="20% - Accent1 3 4 2 3 3 2" xfId="25490" xr:uid="{00000000-0005-0000-0000-000068030000}"/>
    <cellStyle name="20% - Accent1 3 4 2 3 3 2 2" xfId="54496" xr:uid="{00000000-0005-0000-0000-000069030000}"/>
    <cellStyle name="20% - Accent1 3 4 2 3 3 3" xfId="39997" xr:uid="{00000000-0005-0000-0000-00006A030000}"/>
    <cellStyle name="20% - Accent1 3 4 2 3 4" xfId="18242" xr:uid="{00000000-0005-0000-0000-00006B030000}"/>
    <cellStyle name="20% - Accent1 3 4 2 3 4 2" xfId="47248" xr:uid="{00000000-0005-0000-0000-00006C030000}"/>
    <cellStyle name="20% - Accent1 3 4 2 3 5" xfId="32749" xr:uid="{00000000-0005-0000-0000-00006D030000}"/>
    <cellStyle name="20% - Accent1 3 4 2 4" xfId="4716" xr:uid="{00000000-0005-0000-0000-00006E030000}"/>
    <cellStyle name="20% - Accent1 3 4 2 4 2" xfId="11988" xr:uid="{00000000-0005-0000-0000-00006F030000}"/>
    <cellStyle name="20% - Accent1 3 4 2 4 2 2" xfId="26522" xr:uid="{00000000-0005-0000-0000-000070030000}"/>
    <cellStyle name="20% - Accent1 3 4 2 4 2 2 2" xfId="55528" xr:uid="{00000000-0005-0000-0000-000071030000}"/>
    <cellStyle name="20% - Accent1 3 4 2 4 2 3" xfId="41029" xr:uid="{00000000-0005-0000-0000-000072030000}"/>
    <cellStyle name="20% - Accent1 3 4 2 4 3" xfId="19274" xr:uid="{00000000-0005-0000-0000-000073030000}"/>
    <cellStyle name="20% - Accent1 3 4 2 4 3 2" xfId="48280" xr:uid="{00000000-0005-0000-0000-000074030000}"/>
    <cellStyle name="20% - Accent1 3 4 2 4 4" xfId="33781" xr:uid="{00000000-0005-0000-0000-000075030000}"/>
    <cellStyle name="20% - Accent1 3 4 2 5" xfId="7820" xr:uid="{00000000-0005-0000-0000-000076030000}"/>
    <cellStyle name="20% - Accent1 3 4 2 5 2" xfId="15092" xr:uid="{00000000-0005-0000-0000-000077030000}"/>
    <cellStyle name="20% - Accent1 3 4 2 5 2 2" xfId="29626" xr:uid="{00000000-0005-0000-0000-000078030000}"/>
    <cellStyle name="20% - Accent1 3 4 2 5 2 2 2" xfId="58632" xr:uid="{00000000-0005-0000-0000-000079030000}"/>
    <cellStyle name="20% - Accent1 3 4 2 5 2 3" xfId="44133" xr:uid="{00000000-0005-0000-0000-00007A030000}"/>
    <cellStyle name="20% - Accent1 3 4 2 5 3" xfId="22378" xr:uid="{00000000-0005-0000-0000-00007B030000}"/>
    <cellStyle name="20% - Accent1 3 4 2 5 3 2" xfId="51384" xr:uid="{00000000-0005-0000-0000-00007C030000}"/>
    <cellStyle name="20% - Accent1 3 4 2 5 4" xfId="36885" xr:uid="{00000000-0005-0000-0000-00007D030000}"/>
    <cellStyle name="20% - Accent1 3 4 2 6" xfId="8884" xr:uid="{00000000-0005-0000-0000-00007E030000}"/>
    <cellStyle name="20% - Accent1 3 4 2 6 2" xfId="23418" xr:uid="{00000000-0005-0000-0000-00007F030000}"/>
    <cellStyle name="20% - Accent1 3 4 2 6 2 2" xfId="52424" xr:uid="{00000000-0005-0000-0000-000080030000}"/>
    <cellStyle name="20% - Accent1 3 4 2 6 3" xfId="37925" xr:uid="{00000000-0005-0000-0000-000081030000}"/>
    <cellStyle name="20% - Accent1 3 4 2 7" xfId="16170" xr:uid="{00000000-0005-0000-0000-000082030000}"/>
    <cellStyle name="20% - Accent1 3 4 2 7 2" xfId="45176" xr:uid="{00000000-0005-0000-0000-000083030000}"/>
    <cellStyle name="20% - Accent1 3 4 2 8" xfId="30677" xr:uid="{00000000-0005-0000-0000-000084030000}"/>
    <cellStyle name="20% - Accent1 3 4 3" xfId="2140" xr:uid="{00000000-0005-0000-0000-000085030000}"/>
    <cellStyle name="20% - Accent1 3 4 3 2" xfId="5244" xr:uid="{00000000-0005-0000-0000-000086030000}"/>
    <cellStyle name="20% - Accent1 3 4 3 2 2" xfId="12516" xr:uid="{00000000-0005-0000-0000-000087030000}"/>
    <cellStyle name="20% - Accent1 3 4 3 2 2 2" xfId="27050" xr:uid="{00000000-0005-0000-0000-000088030000}"/>
    <cellStyle name="20% - Accent1 3 4 3 2 2 2 2" xfId="56056" xr:uid="{00000000-0005-0000-0000-000089030000}"/>
    <cellStyle name="20% - Accent1 3 4 3 2 2 3" xfId="41557" xr:uid="{00000000-0005-0000-0000-00008A030000}"/>
    <cellStyle name="20% - Accent1 3 4 3 2 3" xfId="19802" xr:uid="{00000000-0005-0000-0000-00008B030000}"/>
    <cellStyle name="20% - Accent1 3 4 3 2 3 2" xfId="48808" xr:uid="{00000000-0005-0000-0000-00008C030000}"/>
    <cellStyle name="20% - Accent1 3 4 3 2 4" xfId="34309" xr:uid="{00000000-0005-0000-0000-00008D030000}"/>
    <cellStyle name="20% - Accent1 3 4 3 3" xfId="9412" xr:uid="{00000000-0005-0000-0000-00008E030000}"/>
    <cellStyle name="20% - Accent1 3 4 3 3 2" xfId="23946" xr:uid="{00000000-0005-0000-0000-00008F030000}"/>
    <cellStyle name="20% - Accent1 3 4 3 3 2 2" xfId="52952" xr:uid="{00000000-0005-0000-0000-000090030000}"/>
    <cellStyle name="20% - Accent1 3 4 3 3 3" xfId="38453" xr:uid="{00000000-0005-0000-0000-000091030000}"/>
    <cellStyle name="20% - Accent1 3 4 3 4" xfId="16698" xr:uid="{00000000-0005-0000-0000-000092030000}"/>
    <cellStyle name="20% - Accent1 3 4 3 4 2" xfId="45704" xr:uid="{00000000-0005-0000-0000-000093030000}"/>
    <cellStyle name="20% - Accent1 3 4 3 5" xfId="31205" xr:uid="{00000000-0005-0000-0000-000094030000}"/>
    <cellStyle name="20% - Accent1 3 4 4" xfId="3172" xr:uid="{00000000-0005-0000-0000-000095030000}"/>
    <cellStyle name="20% - Accent1 3 4 4 2" xfId="6276" xr:uid="{00000000-0005-0000-0000-000096030000}"/>
    <cellStyle name="20% - Accent1 3 4 4 2 2" xfId="13548" xr:uid="{00000000-0005-0000-0000-000097030000}"/>
    <cellStyle name="20% - Accent1 3 4 4 2 2 2" xfId="28082" xr:uid="{00000000-0005-0000-0000-000098030000}"/>
    <cellStyle name="20% - Accent1 3 4 4 2 2 2 2" xfId="57088" xr:uid="{00000000-0005-0000-0000-000099030000}"/>
    <cellStyle name="20% - Accent1 3 4 4 2 2 3" xfId="42589" xr:uid="{00000000-0005-0000-0000-00009A030000}"/>
    <cellStyle name="20% - Accent1 3 4 4 2 3" xfId="20834" xr:uid="{00000000-0005-0000-0000-00009B030000}"/>
    <cellStyle name="20% - Accent1 3 4 4 2 3 2" xfId="49840" xr:uid="{00000000-0005-0000-0000-00009C030000}"/>
    <cellStyle name="20% - Accent1 3 4 4 2 4" xfId="35341" xr:uid="{00000000-0005-0000-0000-00009D030000}"/>
    <cellStyle name="20% - Accent1 3 4 4 3" xfId="10444" xr:uid="{00000000-0005-0000-0000-00009E030000}"/>
    <cellStyle name="20% - Accent1 3 4 4 3 2" xfId="24978" xr:uid="{00000000-0005-0000-0000-00009F030000}"/>
    <cellStyle name="20% - Accent1 3 4 4 3 2 2" xfId="53984" xr:uid="{00000000-0005-0000-0000-0000A0030000}"/>
    <cellStyle name="20% - Accent1 3 4 4 3 3" xfId="39485" xr:uid="{00000000-0005-0000-0000-0000A1030000}"/>
    <cellStyle name="20% - Accent1 3 4 4 4" xfId="17730" xr:uid="{00000000-0005-0000-0000-0000A2030000}"/>
    <cellStyle name="20% - Accent1 3 4 4 4 2" xfId="46736" xr:uid="{00000000-0005-0000-0000-0000A3030000}"/>
    <cellStyle name="20% - Accent1 3 4 4 5" xfId="32237" xr:uid="{00000000-0005-0000-0000-0000A4030000}"/>
    <cellStyle name="20% - Accent1 3 4 5" xfId="4204" xr:uid="{00000000-0005-0000-0000-0000A5030000}"/>
    <cellStyle name="20% - Accent1 3 4 5 2" xfId="11476" xr:uid="{00000000-0005-0000-0000-0000A6030000}"/>
    <cellStyle name="20% - Accent1 3 4 5 2 2" xfId="26010" xr:uid="{00000000-0005-0000-0000-0000A7030000}"/>
    <cellStyle name="20% - Accent1 3 4 5 2 2 2" xfId="55016" xr:uid="{00000000-0005-0000-0000-0000A8030000}"/>
    <cellStyle name="20% - Accent1 3 4 5 2 3" xfId="40517" xr:uid="{00000000-0005-0000-0000-0000A9030000}"/>
    <cellStyle name="20% - Accent1 3 4 5 3" xfId="18762" xr:uid="{00000000-0005-0000-0000-0000AA030000}"/>
    <cellStyle name="20% - Accent1 3 4 5 3 2" xfId="47768" xr:uid="{00000000-0005-0000-0000-0000AB030000}"/>
    <cellStyle name="20% - Accent1 3 4 5 4" xfId="33269" xr:uid="{00000000-0005-0000-0000-0000AC030000}"/>
    <cellStyle name="20% - Accent1 3 4 6" xfId="7308" xr:uid="{00000000-0005-0000-0000-0000AD030000}"/>
    <cellStyle name="20% - Accent1 3 4 6 2" xfId="14580" xr:uid="{00000000-0005-0000-0000-0000AE030000}"/>
    <cellStyle name="20% - Accent1 3 4 6 2 2" xfId="29114" xr:uid="{00000000-0005-0000-0000-0000AF030000}"/>
    <cellStyle name="20% - Accent1 3 4 6 2 2 2" xfId="58120" xr:uid="{00000000-0005-0000-0000-0000B0030000}"/>
    <cellStyle name="20% - Accent1 3 4 6 2 3" xfId="43621" xr:uid="{00000000-0005-0000-0000-0000B1030000}"/>
    <cellStyle name="20% - Accent1 3 4 6 3" xfId="21866" xr:uid="{00000000-0005-0000-0000-0000B2030000}"/>
    <cellStyle name="20% - Accent1 3 4 6 3 2" xfId="50872" xr:uid="{00000000-0005-0000-0000-0000B3030000}"/>
    <cellStyle name="20% - Accent1 3 4 6 4" xfId="36373" xr:uid="{00000000-0005-0000-0000-0000B4030000}"/>
    <cellStyle name="20% - Accent1 3 4 7" xfId="8372" xr:uid="{00000000-0005-0000-0000-0000B5030000}"/>
    <cellStyle name="20% - Accent1 3 4 7 2" xfId="22906" xr:uid="{00000000-0005-0000-0000-0000B6030000}"/>
    <cellStyle name="20% - Accent1 3 4 7 2 2" xfId="51912" xr:uid="{00000000-0005-0000-0000-0000B7030000}"/>
    <cellStyle name="20% - Accent1 3 4 7 3" xfId="37413" xr:uid="{00000000-0005-0000-0000-0000B8030000}"/>
    <cellStyle name="20% - Accent1 3 4 8" xfId="15658" xr:uid="{00000000-0005-0000-0000-0000B9030000}"/>
    <cellStyle name="20% - Accent1 3 4 8 2" xfId="44664" xr:uid="{00000000-0005-0000-0000-0000BA030000}"/>
    <cellStyle name="20% - Accent1 3 4 9" xfId="30165" xr:uid="{00000000-0005-0000-0000-0000BB030000}"/>
    <cellStyle name="20% - Accent1 3 5" xfId="1006" xr:uid="{00000000-0005-0000-0000-0000BC030000}"/>
    <cellStyle name="20% - Accent1 3 5 2" xfId="1494" xr:uid="{00000000-0005-0000-0000-0000BD030000}"/>
    <cellStyle name="20% - Accent1 3 5 2 2" xfId="2552" xr:uid="{00000000-0005-0000-0000-0000BE030000}"/>
    <cellStyle name="20% - Accent1 3 5 2 2 2" xfId="5656" xr:uid="{00000000-0005-0000-0000-0000BF030000}"/>
    <cellStyle name="20% - Accent1 3 5 2 2 2 2" xfId="12928" xr:uid="{00000000-0005-0000-0000-0000C0030000}"/>
    <cellStyle name="20% - Accent1 3 5 2 2 2 2 2" xfId="27462" xr:uid="{00000000-0005-0000-0000-0000C1030000}"/>
    <cellStyle name="20% - Accent1 3 5 2 2 2 2 2 2" xfId="56468" xr:uid="{00000000-0005-0000-0000-0000C2030000}"/>
    <cellStyle name="20% - Accent1 3 5 2 2 2 2 3" xfId="41969" xr:uid="{00000000-0005-0000-0000-0000C3030000}"/>
    <cellStyle name="20% - Accent1 3 5 2 2 2 3" xfId="20214" xr:uid="{00000000-0005-0000-0000-0000C4030000}"/>
    <cellStyle name="20% - Accent1 3 5 2 2 2 3 2" xfId="49220" xr:uid="{00000000-0005-0000-0000-0000C5030000}"/>
    <cellStyle name="20% - Accent1 3 5 2 2 2 4" xfId="34721" xr:uid="{00000000-0005-0000-0000-0000C6030000}"/>
    <cellStyle name="20% - Accent1 3 5 2 2 3" xfId="9824" xr:uid="{00000000-0005-0000-0000-0000C7030000}"/>
    <cellStyle name="20% - Accent1 3 5 2 2 3 2" xfId="24358" xr:uid="{00000000-0005-0000-0000-0000C8030000}"/>
    <cellStyle name="20% - Accent1 3 5 2 2 3 2 2" xfId="53364" xr:uid="{00000000-0005-0000-0000-0000C9030000}"/>
    <cellStyle name="20% - Accent1 3 5 2 2 3 3" xfId="38865" xr:uid="{00000000-0005-0000-0000-0000CA030000}"/>
    <cellStyle name="20% - Accent1 3 5 2 2 4" xfId="17110" xr:uid="{00000000-0005-0000-0000-0000CB030000}"/>
    <cellStyle name="20% - Accent1 3 5 2 2 4 2" xfId="46116" xr:uid="{00000000-0005-0000-0000-0000CC030000}"/>
    <cellStyle name="20% - Accent1 3 5 2 2 5" xfId="31617" xr:uid="{00000000-0005-0000-0000-0000CD030000}"/>
    <cellStyle name="20% - Accent1 3 5 2 3" xfId="3584" xr:uid="{00000000-0005-0000-0000-0000CE030000}"/>
    <cellStyle name="20% - Accent1 3 5 2 3 2" xfId="6688" xr:uid="{00000000-0005-0000-0000-0000CF030000}"/>
    <cellStyle name="20% - Accent1 3 5 2 3 2 2" xfId="13960" xr:uid="{00000000-0005-0000-0000-0000D0030000}"/>
    <cellStyle name="20% - Accent1 3 5 2 3 2 2 2" xfId="28494" xr:uid="{00000000-0005-0000-0000-0000D1030000}"/>
    <cellStyle name="20% - Accent1 3 5 2 3 2 2 2 2" xfId="57500" xr:uid="{00000000-0005-0000-0000-0000D2030000}"/>
    <cellStyle name="20% - Accent1 3 5 2 3 2 2 3" xfId="43001" xr:uid="{00000000-0005-0000-0000-0000D3030000}"/>
    <cellStyle name="20% - Accent1 3 5 2 3 2 3" xfId="21246" xr:uid="{00000000-0005-0000-0000-0000D4030000}"/>
    <cellStyle name="20% - Accent1 3 5 2 3 2 3 2" xfId="50252" xr:uid="{00000000-0005-0000-0000-0000D5030000}"/>
    <cellStyle name="20% - Accent1 3 5 2 3 2 4" xfId="35753" xr:uid="{00000000-0005-0000-0000-0000D6030000}"/>
    <cellStyle name="20% - Accent1 3 5 2 3 3" xfId="10856" xr:uid="{00000000-0005-0000-0000-0000D7030000}"/>
    <cellStyle name="20% - Accent1 3 5 2 3 3 2" xfId="25390" xr:uid="{00000000-0005-0000-0000-0000D8030000}"/>
    <cellStyle name="20% - Accent1 3 5 2 3 3 2 2" xfId="54396" xr:uid="{00000000-0005-0000-0000-0000D9030000}"/>
    <cellStyle name="20% - Accent1 3 5 2 3 3 3" xfId="39897" xr:uid="{00000000-0005-0000-0000-0000DA030000}"/>
    <cellStyle name="20% - Accent1 3 5 2 3 4" xfId="18142" xr:uid="{00000000-0005-0000-0000-0000DB030000}"/>
    <cellStyle name="20% - Accent1 3 5 2 3 4 2" xfId="47148" xr:uid="{00000000-0005-0000-0000-0000DC030000}"/>
    <cellStyle name="20% - Accent1 3 5 2 3 5" xfId="32649" xr:uid="{00000000-0005-0000-0000-0000DD030000}"/>
    <cellStyle name="20% - Accent1 3 5 2 4" xfId="4616" xr:uid="{00000000-0005-0000-0000-0000DE030000}"/>
    <cellStyle name="20% - Accent1 3 5 2 4 2" xfId="11888" xr:uid="{00000000-0005-0000-0000-0000DF030000}"/>
    <cellStyle name="20% - Accent1 3 5 2 4 2 2" xfId="26422" xr:uid="{00000000-0005-0000-0000-0000E0030000}"/>
    <cellStyle name="20% - Accent1 3 5 2 4 2 2 2" xfId="55428" xr:uid="{00000000-0005-0000-0000-0000E1030000}"/>
    <cellStyle name="20% - Accent1 3 5 2 4 2 3" xfId="40929" xr:uid="{00000000-0005-0000-0000-0000E2030000}"/>
    <cellStyle name="20% - Accent1 3 5 2 4 3" xfId="19174" xr:uid="{00000000-0005-0000-0000-0000E3030000}"/>
    <cellStyle name="20% - Accent1 3 5 2 4 3 2" xfId="48180" xr:uid="{00000000-0005-0000-0000-0000E4030000}"/>
    <cellStyle name="20% - Accent1 3 5 2 4 4" xfId="33681" xr:uid="{00000000-0005-0000-0000-0000E5030000}"/>
    <cellStyle name="20% - Accent1 3 5 2 5" xfId="7720" xr:uid="{00000000-0005-0000-0000-0000E6030000}"/>
    <cellStyle name="20% - Accent1 3 5 2 5 2" xfId="14992" xr:uid="{00000000-0005-0000-0000-0000E7030000}"/>
    <cellStyle name="20% - Accent1 3 5 2 5 2 2" xfId="29526" xr:uid="{00000000-0005-0000-0000-0000E8030000}"/>
    <cellStyle name="20% - Accent1 3 5 2 5 2 2 2" xfId="58532" xr:uid="{00000000-0005-0000-0000-0000E9030000}"/>
    <cellStyle name="20% - Accent1 3 5 2 5 2 3" xfId="44033" xr:uid="{00000000-0005-0000-0000-0000EA030000}"/>
    <cellStyle name="20% - Accent1 3 5 2 5 3" xfId="22278" xr:uid="{00000000-0005-0000-0000-0000EB030000}"/>
    <cellStyle name="20% - Accent1 3 5 2 5 3 2" xfId="51284" xr:uid="{00000000-0005-0000-0000-0000EC030000}"/>
    <cellStyle name="20% - Accent1 3 5 2 5 4" xfId="36785" xr:uid="{00000000-0005-0000-0000-0000ED030000}"/>
    <cellStyle name="20% - Accent1 3 5 2 6" xfId="8784" xr:uid="{00000000-0005-0000-0000-0000EE030000}"/>
    <cellStyle name="20% - Accent1 3 5 2 6 2" xfId="23318" xr:uid="{00000000-0005-0000-0000-0000EF030000}"/>
    <cellStyle name="20% - Accent1 3 5 2 6 2 2" xfId="52324" xr:uid="{00000000-0005-0000-0000-0000F0030000}"/>
    <cellStyle name="20% - Accent1 3 5 2 6 3" xfId="37825" xr:uid="{00000000-0005-0000-0000-0000F1030000}"/>
    <cellStyle name="20% - Accent1 3 5 2 7" xfId="16070" xr:uid="{00000000-0005-0000-0000-0000F2030000}"/>
    <cellStyle name="20% - Accent1 3 5 2 7 2" xfId="45076" xr:uid="{00000000-0005-0000-0000-0000F3030000}"/>
    <cellStyle name="20% - Accent1 3 5 2 8" xfId="30577" xr:uid="{00000000-0005-0000-0000-0000F4030000}"/>
    <cellStyle name="20% - Accent1 3 5 3" xfId="2040" xr:uid="{00000000-0005-0000-0000-0000F5030000}"/>
    <cellStyle name="20% - Accent1 3 5 3 2" xfId="5144" xr:uid="{00000000-0005-0000-0000-0000F6030000}"/>
    <cellStyle name="20% - Accent1 3 5 3 2 2" xfId="12416" xr:uid="{00000000-0005-0000-0000-0000F7030000}"/>
    <cellStyle name="20% - Accent1 3 5 3 2 2 2" xfId="26950" xr:uid="{00000000-0005-0000-0000-0000F8030000}"/>
    <cellStyle name="20% - Accent1 3 5 3 2 2 2 2" xfId="55956" xr:uid="{00000000-0005-0000-0000-0000F9030000}"/>
    <cellStyle name="20% - Accent1 3 5 3 2 2 3" xfId="41457" xr:uid="{00000000-0005-0000-0000-0000FA030000}"/>
    <cellStyle name="20% - Accent1 3 5 3 2 3" xfId="19702" xr:uid="{00000000-0005-0000-0000-0000FB030000}"/>
    <cellStyle name="20% - Accent1 3 5 3 2 3 2" xfId="48708" xr:uid="{00000000-0005-0000-0000-0000FC030000}"/>
    <cellStyle name="20% - Accent1 3 5 3 2 4" xfId="34209" xr:uid="{00000000-0005-0000-0000-0000FD030000}"/>
    <cellStyle name="20% - Accent1 3 5 3 3" xfId="9312" xr:uid="{00000000-0005-0000-0000-0000FE030000}"/>
    <cellStyle name="20% - Accent1 3 5 3 3 2" xfId="23846" xr:uid="{00000000-0005-0000-0000-0000FF030000}"/>
    <cellStyle name="20% - Accent1 3 5 3 3 2 2" xfId="52852" xr:uid="{00000000-0005-0000-0000-000000040000}"/>
    <cellStyle name="20% - Accent1 3 5 3 3 3" xfId="38353" xr:uid="{00000000-0005-0000-0000-000001040000}"/>
    <cellStyle name="20% - Accent1 3 5 3 4" xfId="16598" xr:uid="{00000000-0005-0000-0000-000002040000}"/>
    <cellStyle name="20% - Accent1 3 5 3 4 2" xfId="45604" xr:uid="{00000000-0005-0000-0000-000003040000}"/>
    <cellStyle name="20% - Accent1 3 5 3 5" xfId="31105" xr:uid="{00000000-0005-0000-0000-000004040000}"/>
    <cellStyle name="20% - Accent1 3 5 4" xfId="3072" xr:uid="{00000000-0005-0000-0000-000005040000}"/>
    <cellStyle name="20% - Accent1 3 5 4 2" xfId="6176" xr:uid="{00000000-0005-0000-0000-000006040000}"/>
    <cellStyle name="20% - Accent1 3 5 4 2 2" xfId="13448" xr:uid="{00000000-0005-0000-0000-000007040000}"/>
    <cellStyle name="20% - Accent1 3 5 4 2 2 2" xfId="27982" xr:uid="{00000000-0005-0000-0000-000008040000}"/>
    <cellStyle name="20% - Accent1 3 5 4 2 2 2 2" xfId="56988" xr:uid="{00000000-0005-0000-0000-000009040000}"/>
    <cellStyle name="20% - Accent1 3 5 4 2 2 3" xfId="42489" xr:uid="{00000000-0005-0000-0000-00000A040000}"/>
    <cellStyle name="20% - Accent1 3 5 4 2 3" xfId="20734" xr:uid="{00000000-0005-0000-0000-00000B040000}"/>
    <cellStyle name="20% - Accent1 3 5 4 2 3 2" xfId="49740" xr:uid="{00000000-0005-0000-0000-00000C040000}"/>
    <cellStyle name="20% - Accent1 3 5 4 2 4" xfId="35241" xr:uid="{00000000-0005-0000-0000-00000D040000}"/>
    <cellStyle name="20% - Accent1 3 5 4 3" xfId="10344" xr:uid="{00000000-0005-0000-0000-00000E040000}"/>
    <cellStyle name="20% - Accent1 3 5 4 3 2" xfId="24878" xr:uid="{00000000-0005-0000-0000-00000F040000}"/>
    <cellStyle name="20% - Accent1 3 5 4 3 2 2" xfId="53884" xr:uid="{00000000-0005-0000-0000-000010040000}"/>
    <cellStyle name="20% - Accent1 3 5 4 3 3" xfId="39385" xr:uid="{00000000-0005-0000-0000-000011040000}"/>
    <cellStyle name="20% - Accent1 3 5 4 4" xfId="17630" xr:uid="{00000000-0005-0000-0000-000012040000}"/>
    <cellStyle name="20% - Accent1 3 5 4 4 2" xfId="46636" xr:uid="{00000000-0005-0000-0000-000013040000}"/>
    <cellStyle name="20% - Accent1 3 5 4 5" xfId="32137" xr:uid="{00000000-0005-0000-0000-000014040000}"/>
    <cellStyle name="20% - Accent1 3 5 5" xfId="4104" xr:uid="{00000000-0005-0000-0000-000015040000}"/>
    <cellStyle name="20% - Accent1 3 5 5 2" xfId="11376" xr:uid="{00000000-0005-0000-0000-000016040000}"/>
    <cellStyle name="20% - Accent1 3 5 5 2 2" xfId="25910" xr:uid="{00000000-0005-0000-0000-000017040000}"/>
    <cellStyle name="20% - Accent1 3 5 5 2 2 2" xfId="54916" xr:uid="{00000000-0005-0000-0000-000018040000}"/>
    <cellStyle name="20% - Accent1 3 5 5 2 3" xfId="40417" xr:uid="{00000000-0005-0000-0000-000019040000}"/>
    <cellStyle name="20% - Accent1 3 5 5 3" xfId="18662" xr:uid="{00000000-0005-0000-0000-00001A040000}"/>
    <cellStyle name="20% - Accent1 3 5 5 3 2" xfId="47668" xr:uid="{00000000-0005-0000-0000-00001B040000}"/>
    <cellStyle name="20% - Accent1 3 5 5 4" xfId="33169" xr:uid="{00000000-0005-0000-0000-00001C040000}"/>
    <cellStyle name="20% - Accent1 3 5 6" xfId="7208" xr:uid="{00000000-0005-0000-0000-00001D040000}"/>
    <cellStyle name="20% - Accent1 3 5 6 2" xfId="14480" xr:uid="{00000000-0005-0000-0000-00001E040000}"/>
    <cellStyle name="20% - Accent1 3 5 6 2 2" xfId="29014" xr:uid="{00000000-0005-0000-0000-00001F040000}"/>
    <cellStyle name="20% - Accent1 3 5 6 2 2 2" xfId="58020" xr:uid="{00000000-0005-0000-0000-000020040000}"/>
    <cellStyle name="20% - Accent1 3 5 6 2 3" xfId="43521" xr:uid="{00000000-0005-0000-0000-000021040000}"/>
    <cellStyle name="20% - Accent1 3 5 6 3" xfId="21766" xr:uid="{00000000-0005-0000-0000-000022040000}"/>
    <cellStyle name="20% - Accent1 3 5 6 3 2" xfId="50772" xr:uid="{00000000-0005-0000-0000-000023040000}"/>
    <cellStyle name="20% - Accent1 3 5 6 4" xfId="36273" xr:uid="{00000000-0005-0000-0000-000024040000}"/>
    <cellStyle name="20% - Accent1 3 5 7" xfId="8272" xr:uid="{00000000-0005-0000-0000-000025040000}"/>
    <cellStyle name="20% - Accent1 3 5 7 2" xfId="22806" xr:uid="{00000000-0005-0000-0000-000026040000}"/>
    <cellStyle name="20% - Accent1 3 5 7 2 2" xfId="51812" xr:uid="{00000000-0005-0000-0000-000027040000}"/>
    <cellStyle name="20% - Accent1 3 5 7 3" xfId="37313" xr:uid="{00000000-0005-0000-0000-000028040000}"/>
    <cellStyle name="20% - Accent1 3 5 8" xfId="15558" xr:uid="{00000000-0005-0000-0000-000029040000}"/>
    <cellStyle name="20% - Accent1 3 5 8 2" xfId="44564" xr:uid="{00000000-0005-0000-0000-00002A040000}"/>
    <cellStyle name="20% - Accent1 3 5 9" xfId="30065" xr:uid="{00000000-0005-0000-0000-00002B040000}"/>
    <cellStyle name="20% - Accent1 3 6" xfId="1290" xr:uid="{00000000-0005-0000-0000-00002C040000}"/>
    <cellStyle name="20% - Accent1 3 6 2" xfId="2346" xr:uid="{00000000-0005-0000-0000-00002D040000}"/>
    <cellStyle name="20% - Accent1 3 6 2 2" xfId="5450" xr:uid="{00000000-0005-0000-0000-00002E040000}"/>
    <cellStyle name="20% - Accent1 3 6 2 2 2" xfId="12722" xr:uid="{00000000-0005-0000-0000-00002F040000}"/>
    <cellStyle name="20% - Accent1 3 6 2 2 2 2" xfId="27256" xr:uid="{00000000-0005-0000-0000-000030040000}"/>
    <cellStyle name="20% - Accent1 3 6 2 2 2 2 2" xfId="56262" xr:uid="{00000000-0005-0000-0000-000031040000}"/>
    <cellStyle name="20% - Accent1 3 6 2 2 2 3" xfId="41763" xr:uid="{00000000-0005-0000-0000-000032040000}"/>
    <cellStyle name="20% - Accent1 3 6 2 2 3" xfId="20008" xr:uid="{00000000-0005-0000-0000-000033040000}"/>
    <cellStyle name="20% - Accent1 3 6 2 2 3 2" xfId="49014" xr:uid="{00000000-0005-0000-0000-000034040000}"/>
    <cellStyle name="20% - Accent1 3 6 2 2 4" xfId="34515" xr:uid="{00000000-0005-0000-0000-000035040000}"/>
    <cellStyle name="20% - Accent1 3 6 2 3" xfId="9618" xr:uid="{00000000-0005-0000-0000-000036040000}"/>
    <cellStyle name="20% - Accent1 3 6 2 3 2" xfId="24152" xr:uid="{00000000-0005-0000-0000-000037040000}"/>
    <cellStyle name="20% - Accent1 3 6 2 3 2 2" xfId="53158" xr:uid="{00000000-0005-0000-0000-000038040000}"/>
    <cellStyle name="20% - Accent1 3 6 2 3 3" xfId="38659" xr:uid="{00000000-0005-0000-0000-000039040000}"/>
    <cellStyle name="20% - Accent1 3 6 2 4" xfId="16904" xr:uid="{00000000-0005-0000-0000-00003A040000}"/>
    <cellStyle name="20% - Accent1 3 6 2 4 2" xfId="45910" xr:uid="{00000000-0005-0000-0000-00003B040000}"/>
    <cellStyle name="20% - Accent1 3 6 2 5" xfId="31411" xr:uid="{00000000-0005-0000-0000-00003C040000}"/>
    <cellStyle name="20% - Accent1 3 6 3" xfId="3378" xr:uid="{00000000-0005-0000-0000-00003D040000}"/>
    <cellStyle name="20% - Accent1 3 6 3 2" xfId="6482" xr:uid="{00000000-0005-0000-0000-00003E040000}"/>
    <cellStyle name="20% - Accent1 3 6 3 2 2" xfId="13754" xr:uid="{00000000-0005-0000-0000-00003F040000}"/>
    <cellStyle name="20% - Accent1 3 6 3 2 2 2" xfId="28288" xr:uid="{00000000-0005-0000-0000-000040040000}"/>
    <cellStyle name="20% - Accent1 3 6 3 2 2 2 2" xfId="57294" xr:uid="{00000000-0005-0000-0000-000041040000}"/>
    <cellStyle name="20% - Accent1 3 6 3 2 2 3" xfId="42795" xr:uid="{00000000-0005-0000-0000-000042040000}"/>
    <cellStyle name="20% - Accent1 3 6 3 2 3" xfId="21040" xr:uid="{00000000-0005-0000-0000-000043040000}"/>
    <cellStyle name="20% - Accent1 3 6 3 2 3 2" xfId="50046" xr:uid="{00000000-0005-0000-0000-000044040000}"/>
    <cellStyle name="20% - Accent1 3 6 3 2 4" xfId="35547" xr:uid="{00000000-0005-0000-0000-000045040000}"/>
    <cellStyle name="20% - Accent1 3 6 3 3" xfId="10650" xr:uid="{00000000-0005-0000-0000-000046040000}"/>
    <cellStyle name="20% - Accent1 3 6 3 3 2" xfId="25184" xr:uid="{00000000-0005-0000-0000-000047040000}"/>
    <cellStyle name="20% - Accent1 3 6 3 3 2 2" xfId="54190" xr:uid="{00000000-0005-0000-0000-000048040000}"/>
    <cellStyle name="20% - Accent1 3 6 3 3 3" xfId="39691" xr:uid="{00000000-0005-0000-0000-000049040000}"/>
    <cellStyle name="20% - Accent1 3 6 3 4" xfId="17936" xr:uid="{00000000-0005-0000-0000-00004A040000}"/>
    <cellStyle name="20% - Accent1 3 6 3 4 2" xfId="46942" xr:uid="{00000000-0005-0000-0000-00004B040000}"/>
    <cellStyle name="20% - Accent1 3 6 3 5" xfId="32443" xr:uid="{00000000-0005-0000-0000-00004C040000}"/>
    <cellStyle name="20% - Accent1 3 6 4" xfId="4410" xr:uid="{00000000-0005-0000-0000-00004D040000}"/>
    <cellStyle name="20% - Accent1 3 6 4 2" xfId="11682" xr:uid="{00000000-0005-0000-0000-00004E040000}"/>
    <cellStyle name="20% - Accent1 3 6 4 2 2" xfId="26216" xr:uid="{00000000-0005-0000-0000-00004F040000}"/>
    <cellStyle name="20% - Accent1 3 6 4 2 2 2" xfId="55222" xr:uid="{00000000-0005-0000-0000-000050040000}"/>
    <cellStyle name="20% - Accent1 3 6 4 2 3" xfId="40723" xr:uid="{00000000-0005-0000-0000-000051040000}"/>
    <cellStyle name="20% - Accent1 3 6 4 3" xfId="18968" xr:uid="{00000000-0005-0000-0000-000052040000}"/>
    <cellStyle name="20% - Accent1 3 6 4 3 2" xfId="47974" xr:uid="{00000000-0005-0000-0000-000053040000}"/>
    <cellStyle name="20% - Accent1 3 6 4 4" xfId="33475" xr:uid="{00000000-0005-0000-0000-000054040000}"/>
    <cellStyle name="20% - Accent1 3 6 5" xfId="7514" xr:uid="{00000000-0005-0000-0000-000055040000}"/>
    <cellStyle name="20% - Accent1 3 6 5 2" xfId="14786" xr:uid="{00000000-0005-0000-0000-000056040000}"/>
    <cellStyle name="20% - Accent1 3 6 5 2 2" xfId="29320" xr:uid="{00000000-0005-0000-0000-000057040000}"/>
    <cellStyle name="20% - Accent1 3 6 5 2 2 2" xfId="58326" xr:uid="{00000000-0005-0000-0000-000058040000}"/>
    <cellStyle name="20% - Accent1 3 6 5 2 3" xfId="43827" xr:uid="{00000000-0005-0000-0000-000059040000}"/>
    <cellStyle name="20% - Accent1 3 6 5 3" xfId="22072" xr:uid="{00000000-0005-0000-0000-00005A040000}"/>
    <cellStyle name="20% - Accent1 3 6 5 3 2" xfId="51078" xr:uid="{00000000-0005-0000-0000-00005B040000}"/>
    <cellStyle name="20% - Accent1 3 6 5 4" xfId="36579" xr:uid="{00000000-0005-0000-0000-00005C040000}"/>
    <cellStyle name="20% - Accent1 3 6 6" xfId="8578" xr:uid="{00000000-0005-0000-0000-00005D040000}"/>
    <cellStyle name="20% - Accent1 3 6 6 2" xfId="23112" xr:uid="{00000000-0005-0000-0000-00005E040000}"/>
    <cellStyle name="20% - Accent1 3 6 6 2 2" xfId="52118" xr:uid="{00000000-0005-0000-0000-00005F040000}"/>
    <cellStyle name="20% - Accent1 3 6 6 3" xfId="37619" xr:uid="{00000000-0005-0000-0000-000060040000}"/>
    <cellStyle name="20% - Accent1 3 6 7" xfId="15864" xr:uid="{00000000-0005-0000-0000-000061040000}"/>
    <cellStyle name="20% - Accent1 3 6 7 2" xfId="44870" xr:uid="{00000000-0005-0000-0000-000062040000}"/>
    <cellStyle name="20% - Accent1 3 6 8" xfId="30371" xr:uid="{00000000-0005-0000-0000-000063040000}"/>
    <cellStyle name="20% - Accent1 3 7" xfId="1834" xr:uid="{00000000-0005-0000-0000-000064040000}"/>
    <cellStyle name="20% - Accent1 3 7 2" xfId="4938" xr:uid="{00000000-0005-0000-0000-000065040000}"/>
    <cellStyle name="20% - Accent1 3 7 2 2" xfId="12210" xr:uid="{00000000-0005-0000-0000-000066040000}"/>
    <cellStyle name="20% - Accent1 3 7 2 2 2" xfId="26744" xr:uid="{00000000-0005-0000-0000-000067040000}"/>
    <cellStyle name="20% - Accent1 3 7 2 2 2 2" xfId="55750" xr:uid="{00000000-0005-0000-0000-000068040000}"/>
    <cellStyle name="20% - Accent1 3 7 2 2 3" xfId="41251" xr:uid="{00000000-0005-0000-0000-000069040000}"/>
    <cellStyle name="20% - Accent1 3 7 2 3" xfId="19496" xr:uid="{00000000-0005-0000-0000-00006A040000}"/>
    <cellStyle name="20% - Accent1 3 7 2 3 2" xfId="48502" xr:uid="{00000000-0005-0000-0000-00006B040000}"/>
    <cellStyle name="20% - Accent1 3 7 2 4" xfId="34003" xr:uid="{00000000-0005-0000-0000-00006C040000}"/>
    <cellStyle name="20% - Accent1 3 7 3" xfId="9106" xr:uid="{00000000-0005-0000-0000-00006D040000}"/>
    <cellStyle name="20% - Accent1 3 7 3 2" xfId="23640" xr:uid="{00000000-0005-0000-0000-00006E040000}"/>
    <cellStyle name="20% - Accent1 3 7 3 2 2" xfId="52646" xr:uid="{00000000-0005-0000-0000-00006F040000}"/>
    <cellStyle name="20% - Accent1 3 7 3 3" xfId="38147" xr:uid="{00000000-0005-0000-0000-000070040000}"/>
    <cellStyle name="20% - Accent1 3 7 4" xfId="16392" xr:uid="{00000000-0005-0000-0000-000071040000}"/>
    <cellStyle name="20% - Accent1 3 7 4 2" xfId="45398" xr:uid="{00000000-0005-0000-0000-000072040000}"/>
    <cellStyle name="20% - Accent1 3 7 5" xfId="30899" xr:uid="{00000000-0005-0000-0000-000073040000}"/>
    <cellStyle name="20% - Accent1 3 8" xfId="2866" xr:uid="{00000000-0005-0000-0000-000074040000}"/>
    <cellStyle name="20% - Accent1 3 8 2" xfId="5970" xr:uid="{00000000-0005-0000-0000-000075040000}"/>
    <cellStyle name="20% - Accent1 3 8 2 2" xfId="13242" xr:uid="{00000000-0005-0000-0000-000076040000}"/>
    <cellStyle name="20% - Accent1 3 8 2 2 2" xfId="27776" xr:uid="{00000000-0005-0000-0000-000077040000}"/>
    <cellStyle name="20% - Accent1 3 8 2 2 2 2" xfId="56782" xr:uid="{00000000-0005-0000-0000-000078040000}"/>
    <cellStyle name="20% - Accent1 3 8 2 2 3" xfId="42283" xr:uid="{00000000-0005-0000-0000-000079040000}"/>
    <cellStyle name="20% - Accent1 3 8 2 3" xfId="20528" xr:uid="{00000000-0005-0000-0000-00007A040000}"/>
    <cellStyle name="20% - Accent1 3 8 2 3 2" xfId="49534" xr:uid="{00000000-0005-0000-0000-00007B040000}"/>
    <cellStyle name="20% - Accent1 3 8 2 4" xfId="35035" xr:uid="{00000000-0005-0000-0000-00007C040000}"/>
    <cellStyle name="20% - Accent1 3 8 3" xfId="10138" xr:uid="{00000000-0005-0000-0000-00007D040000}"/>
    <cellStyle name="20% - Accent1 3 8 3 2" xfId="24672" xr:uid="{00000000-0005-0000-0000-00007E040000}"/>
    <cellStyle name="20% - Accent1 3 8 3 2 2" xfId="53678" xr:uid="{00000000-0005-0000-0000-00007F040000}"/>
    <cellStyle name="20% - Accent1 3 8 3 3" xfId="39179" xr:uid="{00000000-0005-0000-0000-000080040000}"/>
    <cellStyle name="20% - Accent1 3 8 4" xfId="17424" xr:uid="{00000000-0005-0000-0000-000081040000}"/>
    <cellStyle name="20% - Accent1 3 8 4 2" xfId="46430" xr:uid="{00000000-0005-0000-0000-000082040000}"/>
    <cellStyle name="20% - Accent1 3 8 5" xfId="31931" xr:uid="{00000000-0005-0000-0000-000083040000}"/>
    <cellStyle name="20% - Accent1 3 9" xfId="3898" xr:uid="{00000000-0005-0000-0000-000084040000}"/>
    <cellStyle name="20% - Accent1 3 9 2" xfId="11170" xr:uid="{00000000-0005-0000-0000-000085040000}"/>
    <cellStyle name="20% - Accent1 3 9 2 2" xfId="25704" xr:uid="{00000000-0005-0000-0000-000086040000}"/>
    <cellStyle name="20% - Accent1 3 9 2 2 2" xfId="54710" xr:uid="{00000000-0005-0000-0000-000087040000}"/>
    <cellStyle name="20% - Accent1 3 9 2 3" xfId="40211" xr:uid="{00000000-0005-0000-0000-000088040000}"/>
    <cellStyle name="20% - Accent1 3 9 3" xfId="18456" xr:uid="{00000000-0005-0000-0000-000089040000}"/>
    <cellStyle name="20% - Accent1 3 9 3 2" xfId="47462" xr:uid="{00000000-0005-0000-0000-00008A040000}"/>
    <cellStyle name="20% - Accent1 3 9 4" xfId="32963" xr:uid="{00000000-0005-0000-0000-00008B040000}"/>
    <cellStyle name="20% - Accent1 4" xfId="864" xr:uid="{00000000-0005-0000-0000-00008C040000}"/>
    <cellStyle name="20% - Accent1 4 10" xfId="8094" xr:uid="{00000000-0005-0000-0000-00008D040000}"/>
    <cellStyle name="20% - Accent1 4 10 2" xfId="22628" xr:uid="{00000000-0005-0000-0000-00008E040000}"/>
    <cellStyle name="20% - Accent1 4 10 2 2" xfId="51634" xr:uid="{00000000-0005-0000-0000-00008F040000}"/>
    <cellStyle name="20% - Accent1 4 10 3" xfId="37135" xr:uid="{00000000-0005-0000-0000-000090040000}"/>
    <cellStyle name="20% - Accent1 4 11" xfId="15380" xr:uid="{00000000-0005-0000-0000-000091040000}"/>
    <cellStyle name="20% - Accent1 4 11 2" xfId="44386" xr:uid="{00000000-0005-0000-0000-000092040000}"/>
    <cellStyle name="20% - Accent1 4 12" xfId="29887" xr:uid="{00000000-0005-0000-0000-000093040000}"/>
    <cellStyle name="20% - Accent1 4 2" xfId="944" xr:uid="{00000000-0005-0000-0000-000094040000}"/>
    <cellStyle name="20% - Accent1 4 2 10" xfId="29990" xr:uid="{00000000-0005-0000-0000-000095040000}"/>
    <cellStyle name="20% - Accent1 4 2 2" xfId="1219" xr:uid="{00000000-0005-0000-0000-000096040000}"/>
    <cellStyle name="20% - Accent1 4 2 2 2" xfId="1724" xr:uid="{00000000-0005-0000-0000-000097040000}"/>
    <cellStyle name="20% - Accent1 4 2 2 2 2" xfId="2783" xr:uid="{00000000-0005-0000-0000-000098040000}"/>
    <cellStyle name="20% - Accent1 4 2 2 2 2 2" xfId="5887" xr:uid="{00000000-0005-0000-0000-000099040000}"/>
    <cellStyle name="20% - Accent1 4 2 2 2 2 2 2" xfId="13159" xr:uid="{00000000-0005-0000-0000-00009A040000}"/>
    <cellStyle name="20% - Accent1 4 2 2 2 2 2 2 2" xfId="27693" xr:uid="{00000000-0005-0000-0000-00009B040000}"/>
    <cellStyle name="20% - Accent1 4 2 2 2 2 2 2 2 2" xfId="56699" xr:uid="{00000000-0005-0000-0000-00009C040000}"/>
    <cellStyle name="20% - Accent1 4 2 2 2 2 2 2 3" xfId="42200" xr:uid="{00000000-0005-0000-0000-00009D040000}"/>
    <cellStyle name="20% - Accent1 4 2 2 2 2 2 3" xfId="20445" xr:uid="{00000000-0005-0000-0000-00009E040000}"/>
    <cellStyle name="20% - Accent1 4 2 2 2 2 2 3 2" xfId="49451" xr:uid="{00000000-0005-0000-0000-00009F040000}"/>
    <cellStyle name="20% - Accent1 4 2 2 2 2 2 4" xfId="34952" xr:uid="{00000000-0005-0000-0000-0000A0040000}"/>
    <cellStyle name="20% - Accent1 4 2 2 2 2 3" xfId="10055" xr:uid="{00000000-0005-0000-0000-0000A1040000}"/>
    <cellStyle name="20% - Accent1 4 2 2 2 2 3 2" xfId="24589" xr:uid="{00000000-0005-0000-0000-0000A2040000}"/>
    <cellStyle name="20% - Accent1 4 2 2 2 2 3 2 2" xfId="53595" xr:uid="{00000000-0005-0000-0000-0000A3040000}"/>
    <cellStyle name="20% - Accent1 4 2 2 2 2 3 3" xfId="39096" xr:uid="{00000000-0005-0000-0000-0000A4040000}"/>
    <cellStyle name="20% - Accent1 4 2 2 2 2 4" xfId="17341" xr:uid="{00000000-0005-0000-0000-0000A5040000}"/>
    <cellStyle name="20% - Accent1 4 2 2 2 2 4 2" xfId="46347" xr:uid="{00000000-0005-0000-0000-0000A6040000}"/>
    <cellStyle name="20% - Accent1 4 2 2 2 2 5" xfId="31848" xr:uid="{00000000-0005-0000-0000-0000A7040000}"/>
    <cellStyle name="20% - Accent1 4 2 2 2 3" xfId="3815" xr:uid="{00000000-0005-0000-0000-0000A8040000}"/>
    <cellStyle name="20% - Accent1 4 2 2 2 3 2" xfId="6919" xr:uid="{00000000-0005-0000-0000-0000A9040000}"/>
    <cellStyle name="20% - Accent1 4 2 2 2 3 2 2" xfId="14191" xr:uid="{00000000-0005-0000-0000-0000AA040000}"/>
    <cellStyle name="20% - Accent1 4 2 2 2 3 2 2 2" xfId="28725" xr:uid="{00000000-0005-0000-0000-0000AB040000}"/>
    <cellStyle name="20% - Accent1 4 2 2 2 3 2 2 2 2" xfId="57731" xr:uid="{00000000-0005-0000-0000-0000AC040000}"/>
    <cellStyle name="20% - Accent1 4 2 2 2 3 2 2 3" xfId="43232" xr:uid="{00000000-0005-0000-0000-0000AD040000}"/>
    <cellStyle name="20% - Accent1 4 2 2 2 3 2 3" xfId="21477" xr:uid="{00000000-0005-0000-0000-0000AE040000}"/>
    <cellStyle name="20% - Accent1 4 2 2 2 3 2 3 2" xfId="50483" xr:uid="{00000000-0005-0000-0000-0000AF040000}"/>
    <cellStyle name="20% - Accent1 4 2 2 2 3 2 4" xfId="35984" xr:uid="{00000000-0005-0000-0000-0000B0040000}"/>
    <cellStyle name="20% - Accent1 4 2 2 2 3 3" xfId="11087" xr:uid="{00000000-0005-0000-0000-0000B1040000}"/>
    <cellStyle name="20% - Accent1 4 2 2 2 3 3 2" xfId="25621" xr:uid="{00000000-0005-0000-0000-0000B2040000}"/>
    <cellStyle name="20% - Accent1 4 2 2 2 3 3 2 2" xfId="54627" xr:uid="{00000000-0005-0000-0000-0000B3040000}"/>
    <cellStyle name="20% - Accent1 4 2 2 2 3 3 3" xfId="40128" xr:uid="{00000000-0005-0000-0000-0000B4040000}"/>
    <cellStyle name="20% - Accent1 4 2 2 2 3 4" xfId="18373" xr:uid="{00000000-0005-0000-0000-0000B5040000}"/>
    <cellStyle name="20% - Accent1 4 2 2 2 3 4 2" xfId="47379" xr:uid="{00000000-0005-0000-0000-0000B6040000}"/>
    <cellStyle name="20% - Accent1 4 2 2 2 3 5" xfId="32880" xr:uid="{00000000-0005-0000-0000-0000B7040000}"/>
    <cellStyle name="20% - Accent1 4 2 2 2 4" xfId="4847" xr:uid="{00000000-0005-0000-0000-0000B8040000}"/>
    <cellStyle name="20% - Accent1 4 2 2 2 4 2" xfId="12119" xr:uid="{00000000-0005-0000-0000-0000B9040000}"/>
    <cellStyle name="20% - Accent1 4 2 2 2 4 2 2" xfId="26653" xr:uid="{00000000-0005-0000-0000-0000BA040000}"/>
    <cellStyle name="20% - Accent1 4 2 2 2 4 2 2 2" xfId="55659" xr:uid="{00000000-0005-0000-0000-0000BB040000}"/>
    <cellStyle name="20% - Accent1 4 2 2 2 4 2 3" xfId="41160" xr:uid="{00000000-0005-0000-0000-0000BC040000}"/>
    <cellStyle name="20% - Accent1 4 2 2 2 4 3" xfId="19405" xr:uid="{00000000-0005-0000-0000-0000BD040000}"/>
    <cellStyle name="20% - Accent1 4 2 2 2 4 3 2" xfId="48411" xr:uid="{00000000-0005-0000-0000-0000BE040000}"/>
    <cellStyle name="20% - Accent1 4 2 2 2 4 4" xfId="33912" xr:uid="{00000000-0005-0000-0000-0000BF040000}"/>
    <cellStyle name="20% - Accent1 4 2 2 2 5" xfId="7951" xr:uid="{00000000-0005-0000-0000-0000C0040000}"/>
    <cellStyle name="20% - Accent1 4 2 2 2 5 2" xfId="15223" xr:uid="{00000000-0005-0000-0000-0000C1040000}"/>
    <cellStyle name="20% - Accent1 4 2 2 2 5 2 2" xfId="29757" xr:uid="{00000000-0005-0000-0000-0000C2040000}"/>
    <cellStyle name="20% - Accent1 4 2 2 2 5 2 2 2" xfId="58763" xr:uid="{00000000-0005-0000-0000-0000C3040000}"/>
    <cellStyle name="20% - Accent1 4 2 2 2 5 2 3" xfId="44264" xr:uid="{00000000-0005-0000-0000-0000C4040000}"/>
    <cellStyle name="20% - Accent1 4 2 2 2 5 3" xfId="22509" xr:uid="{00000000-0005-0000-0000-0000C5040000}"/>
    <cellStyle name="20% - Accent1 4 2 2 2 5 3 2" xfId="51515" xr:uid="{00000000-0005-0000-0000-0000C6040000}"/>
    <cellStyle name="20% - Accent1 4 2 2 2 5 4" xfId="37016" xr:uid="{00000000-0005-0000-0000-0000C7040000}"/>
    <cellStyle name="20% - Accent1 4 2 2 2 6" xfId="9015" xr:uid="{00000000-0005-0000-0000-0000C8040000}"/>
    <cellStyle name="20% - Accent1 4 2 2 2 6 2" xfId="23549" xr:uid="{00000000-0005-0000-0000-0000C9040000}"/>
    <cellStyle name="20% - Accent1 4 2 2 2 6 2 2" xfId="52555" xr:uid="{00000000-0005-0000-0000-0000CA040000}"/>
    <cellStyle name="20% - Accent1 4 2 2 2 6 3" xfId="38056" xr:uid="{00000000-0005-0000-0000-0000CB040000}"/>
    <cellStyle name="20% - Accent1 4 2 2 2 7" xfId="16301" xr:uid="{00000000-0005-0000-0000-0000CC040000}"/>
    <cellStyle name="20% - Accent1 4 2 2 2 7 2" xfId="45307" xr:uid="{00000000-0005-0000-0000-0000CD040000}"/>
    <cellStyle name="20% - Accent1 4 2 2 2 8" xfId="30808" xr:uid="{00000000-0005-0000-0000-0000CE040000}"/>
    <cellStyle name="20% - Accent1 4 2 2 3" xfId="2271" xr:uid="{00000000-0005-0000-0000-0000CF040000}"/>
    <cellStyle name="20% - Accent1 4 2 2 3 2" xfId="5375" xr:uid="{00000000-0005-0000-0000-0000D0040000}"/>
    <cellStyle name="20% - Accent1 4 2 2 3 2 2" xfId="12647" xr:uid="{00000000-0005-0000-0000-0000D1040000}"/>
    <cellStyle name="20% - Accent1 4 2 2 3 2 2 2" xfId="27181" xr:uid="{00000000-0005-0000-0000-0000D2040000}"/>
    <cellStyle name="20% - Accent1 4 2 2 3 2 2 2 2" xfId="56187" xr:uid="{00000000-0005-0000-0000-0000D3040000}"/>
    <cellStyle name="20% - Accent1 4 2 2 3 2 2 3" xfId="41688" xr:uid="{00000000-0005-0000-0000-0000D4040000}"/>
    <cellStyle name="20% - Accent1 4 2 2 3 2 3" xfId="19933" xr:uid="{00000000-0005-0000-0000-0000D5040000}"/>
    <cellStyle name="20% - Accent1 4 2 2 3 2 3 2" xfId="48939" xr:uid="{00000000-0005-0000-0000-0000D6040000}"/>
    <cellStyle name="20% - Accent1 4 2 2 3 2 4" xfId="34440" xr:uid="{00000000-0005-0000-0000-0000D7040000}"/>
    <cellStyle name="20% - Accent1 4 2 2 3 3" xfId="9543" xr:uid="{00000000-0005-0000-0000-0000D8040000}"/>
    <cellStyle name="20% - Accent1 4 2 2 3 3 2" xfId="24077" xr:uid="{00000000-0005-0000-0000-0000D9040000}"/>
    <cellStyle name="20% - Accent1 4 2 2 3 3 2 2" xfId="53083" xr:uid="{00000000-0005-0000-0000-0000DA040000}"/>
    <cellStyle name="20% - Accent1 4 2 2 3 3 3" xfId="38584" xr:uid="{00000000-0005-0000-0000-0000DB040000}"/>
    <cellStyle name="20% - Accent1 4 2 2 3 4" xfId="16829" xr:uid="{00000000-0005-0000-0000-0000DC040000}"/>
    <cellStyle name="20% - Accent1 4 2 2 3 4 2" xfId="45835" xr:uid="{00000000-0005-0000-0000-0000DD040000}"/>
    <cellStyle name="20% - Accent1 4 2 2 3 5" xfId="31336" xr:uid="{00000000-0005-0000-0000-0000DE040000}"/>
    <cellStyle name="20% - Accent1 4 2 2 4" xfId="3303" xr:uid="{00000000-0005-0000-0000-0000DF040000}"/>
    <cellStyle name="20% - Accent1 4 2 2 4 2" xfId="6407" xr:uid="{00000000-0005-0000-0000-0000E0040000}"/>
    <cellStyle name="20% - Accent1 4 2 2 4 2 2" xfId="13679" xr:uid="{00000000-0005-0000-0000-0000E1040000}"/>
    <cellStyle name="20% - Accent1 4 2 2 4 2 2 2" xfId="28213" xr:uid="{00000000-0005-0000-0000-0000E2040000}"/>
    <cellStyle name="20% - Accent1 4 2 2 4 2 2 2 2" xfId="57219" xr:uid="{00000000-0005-0000-0000-0000E3040000}"/>
    <cellStyle name="20% - Accent1 4 2 2 4 2 2 3" xfId="42720" xr:uid="{00000000-0005-0000-0000-0000E4040000}"/>
    <cellStyle name="20% - Accent1 4 2 2 4 2 3" xfId="20965" xr:uid="{00000000-0005-0000-0000-0000E5040000}"/>
    <cellStyle name="20% - Accent1 4 2 2 4 2 3 2" xfId="49971" xr:uid="{00000000-0005-0000-0000-0000E6040000}"/>
    <cellStyle name="20% - Accent1 4 2 2 4 2 4" xfId="35472" xr:uid="{00000000-0005-0000-0000-0000E7040000}"/>
    <cellStyle name="20% - Accent1 4 2 2 4 3" xfId="10575" xr:uid="{00000000-0005-0000-0000-0000E8040000}"/>
    <cellStyle name="20% - Accent1 4 2 2 4 3 2" xfId="25109" xr:uid="{00000000-0005-0000-0000-0000E9040000}"/>
    <cellStyle name="20% - Accent1 4 2 2 4 3 2 2" xfId="54115" xr:uid="{00000000-0005-0000-0000-0000EA040000}"/>
    <cellStyle name="20% - Accent1 4 2 2 4 3 3" xfId="39616" xr:uid="{00000000-0005-0000-0000-0000EB040000}"/>
    <cellStyle name="20% - Accent1 4 2 2 4 4" xfId="17861" xr:uid="{00000000-0005-0000-0000-0000EC040000}"/>
    <cellStyle name="20% - Accent1 4 2 2 4 4 2" xfId="46867" xr:uid="{00000000-0005-0000-0000-0000ED040000}"/>
    <cellStyle name="20% - Accent1 4 2 2 4 5" xfId="32368" xr:uid="{00000000-0005-0000-0000-0000EE040000}"/>
    <cellStyle name="20% - Accent1 4 2 2 5" xfId="4335" xr:uid="{00000000-0005-0000-0000-0000EF040000}"/>
    <cellStyle name="20% - Accent1 4 2 2 5 2" xfId="11607" xr:uid="{00000000-0005-0000-0000-0000F0040000}"/>
    <cellStyle name="20% - Accent1 4 2 2 5 2 2" xfId="26141" xr:uid="{00000000-0005-0000-0000-0000F1040000}"/>
    <cellStyle name="20% - Accent1 4 2 2 5 2 2 2" xfId="55147" xr:uid="{00000000-0005-0000-0000-0000F2040000}"/>
    <cellStyle name="20% - Accent1 4 2 2 5 2 3" xfId="40648" xr:uid="{00000000-0005-0000-0000-0000F3040000}"/>
    <cellStyle name="20% - Accent1 4 2 2 5 3" xfId="18893" xr:uid="{00000000-0005-0000-0000-0000F4040000}"/>
    <cellStyle name="20% - Accent1 4 2 2 5 3 2" xfId="47899" xr:uid="{00000000-0005-0000-0000-0000F5040000}"/>
    <cellStyle name="20% - Accent1 4 2 2 5 4" xfId="33400" xr:uid="{00000000-0005-0000-0000-0000F6040000}"/>
    <cellStyle name="20% - Accent1 4 2 2 6" xfId="7439" xr:uid="{00000000-0005-0000-0000-0000F7040000}"/>
    <cellStyle name="20% - Accent1 4 2 2 6 2" xfId="14711" xr:uid="{00000000-0005-0000-0000-0000F8040000}"/>
    <cellStyle name="20% - Accent1 4 2 2 6 2 2" xfId="29245" xr:uid="{00000000-0005-0000-0000-0000F9040000}"/>
    <cellStyle name="20% - Accent1 4 2 2 6 2 2 2" xfId="58251" xr:uid="{00000000-0005-0000-0000-0000FA040000}"/>
    <cellStyle name="20% - Accent1 4 2 2 6 2 3" xfId="43752" xr:uid="{00000000-0005-0000-0000-0000FB040000}"/>
    <cellStyle name="20% - Accent1 4 2 2 6 3" xfId="21997" xr:uid="{00000000-0005-0000-0000-0000FC040000}"/>
    <cellStyle name="20% - Accent1 4 2 2 6 3 2" xfId="51003" xr:uid="{00000000-0005-0000-0000-0000FD040000}"/>
    <cellStyle name="20% - Accent1 4 2 2 6 4" xfId="36504" xr:uid="{00000000-0005-0000-0000-0000FE040000}"/>
    <cellStyle name="20% - Accent1 4 2 2 7" xfId="8503" xr:uid="{00000000-0005-0000-0000-0000FF040000}"/>
    <cellStyle name="20% - Accent1 4 2 2 7 2" xfId="23037" xr:uid="{00000000-0005-0000-0000-000000050000}"/>
    <cellStyle name="20% - Accent1 4 2 2 7 2 2" xfId="52043" xr:uid="{00000000-0005-0000-0000-000001050000}"/>
    <cellStyle name="20% - Accent1 4 2 2 7 3" xfId="37544" xr:uid="{00000000-0005-0000-0000-000002050000}"/>
    <cellStyle name="20% - Accent1 4 2 2 8" xfId="15789" xr:uid="{00000000-0005-0000-0000-000003050000}"/>
    <cellStyle name="20% - Accent1 4 2 2 8 2" xfId="44795" xr:uid="{00000000-0005-0000-0000-000004050000}"/>
    <cellStyle name="20% - Accent1 4 2 2 9" xfId="30296" xr:uid="{00000000-0005-0000-0000-000005050000}"/>
    <cellStyle name="20% - Accent1 4 2 3" xfId="1419" xr:uid="{00000000-0005-0000-0000-000006050000}"/>
    <cellStyle name="20% - Accent1 4 2 3 2" xfId="2477" xr:uid="{00000000-0005-0000-0000-000007050000}"/>
    <cellStyle name="20% - Accent1 4 2 3 2 2" xfId="5581" xr:uid="{00000000-0005-0000-0000-000008050000}"/>
    <cellStyle name="20% - Accent1 4 2 3 2 2 2" xfId="12853" xr:uid="{00000000-0005-0000-0000-000009050000}"/>
    <cellStyle name="20% - Accent1 4 2 3 2 2 2 2" xfId="27387" xr:uid="{00000000-0005-0000-0000-00000A050000}"/>
    <cellStyle name="20% - Accent1 4 2 3 2 2 2 2 2" xfId="56393" xr:uid="{00000000-0005-0000-0000-00000B050000}"/>
    <cellStyle name="20% - Accent1 4 2 3 2 2 2 3" xfId="41894" xr:uid="{00000000-0005-0000-0000-00000C050000}"/>
    <cellStyle name="20% - Accent1 4 2 3 2 2 3" xfId="20139" xr:uid="{00000000-0005-0000-0000-00000D050000}"/>
    <cellStyle name="20% - Accent1 4 2 3 2 2 3 2" xfId="49145" xr:uid="{00000000-0005-0000-0000-00000E050000}"/>
    <cellStyle name="20% - Accent1 4 2 3 2 2 4" xfId="34646" xr:uid="{00000000-0005-0000-0000-00000F050000}"/>
    <cellStyle name="20% - Accent1 4 2 3 2 3" xfId="9749" xr:uid="{00000000-0005-0000-0000-000010050000}"/>
    <cellStyle name="20% - Accent1 4 2 3 2 3 2" xfId="24283" xr:uid="{00000000-0005-0000-0000-000011050000}"/>
    <cellStyle name="20% - Accent1 4 2 3 2 3 2 2" xfId="53289" xr:uid="{00000000-0005-0000-0000-000012050000}"/>
    <cellStyle name="20% - Accent1 4 2 3 2 3 3" xfId="38790" xr:uid="{00000000-0005-0000-0000-000013050000}"/>
    <cellStyle name="20% - Accent1 4 2 3 2 4" xfId="17035" xr:uid="{00000000-0005-0000-0000-000014050000}"/>
    <cellStyle name="20% - Accent1 4 2 3 2 4 2" xfId="46041" xr:uid="{00000000-0005-0000-0000-000015050000}"/>
    <cellStyle name="20% - Accent1 4 2 3 2 5" xfId="31542" xr:uid="{00000000-0005-0000-0000-000016050000}"/>
    <cellStyle name="20% - Accent1 4 2 3 3" xfId="3509" xr:uid="{00000000-0005-0000-0000-000017050000}"/>
    <cellStyle name="20% - Accent1 4 2 3 3 2" xfId="6613" xr:uid="{00000000-0005-0000-0000-000018050000}"/>
    <cellStyle name="20% - Accent1 4 2 3 3 2 2" xfId="13885" xr:uid="{00000000-0005-0000-0000-000019050000}"/>
    <cellStyle name="20% - Accent1 4 2 3 3 2 2 2" xfId="28419" xr:uid="{00000000-0005-0000-0000-00001A050000}"/>
    <cellStyle name="20% - Accent1 4 2 3 3 2 2 2 2" xfId="57425" xr:uid="{00000000-0005-0000-0000-00001B050000}"/>
    <cellStyle name="20% - Accent1 4 2 3 3 2 2 3" xfId="42926" xr:uid="{00000000-0005-0000-0000-00001C050000}"/>
    <cellStyle name="20% - Accent1 4 2 3 3 2 3" xfId="21171" xr:uid="{00000000-0005-0000-0000-00001D050000}"/>
    <cellStyle name="20% - Accent1 4 2 3 3 2 3 2" xfId="50177" xr:uid="{00000000-0005-0000-0000-00001E050000}"/>
    <cellStyle name="20% - Accent1 4 2 3 3 2 4" xfId="35678" xr:uid="{00000000-0005-0000-0000-00001F050000}"/>
    <cellStyle name="20% - Accent1 4 2 3 3 3" xfId="10781" xr:uid="{00000000-0005-0000-0000-000020050000}"/>
    <cellStyle name="20% - Accent1 4 2 3 3 3 2" xfId="25315" xr:uid="{00000000-0005-0000-0000-000021050000}"/>
    <cellStyle name="20% - Accent1 4 2 3 3 3 2 2" xfId="54321" xr:uid="{00000000-0005-0000-0000-000022050000}"/>
    <cellStyle name="20% - Accent1 4 2 3 3 3 3" xfId="39822" xr:uid="{00000000-0005-0000-0000-000023050000}"/>
    <cellStyle name="20% - Accent1 4 2 3 3 4" xfId="18067" xr:uid="{00000000-0005-0000-0000-000024050000}"/>
    <cellStyle name="20% - Accent1 4 2 3 3 4 2" xfId="47073" xr:uid="{00000000-0005-0000-0000-000025050000}"/>
    <cellStyle name="20% - Accent1 4 2 3 3 5" xfId="32574" xr:uid="{00000000-0005-0000-0000-000026050000}"/>
    <cellStyle name="20% - Accent1 4 2 3 4" xfId="4541" xr:uid="{00000000-0005-0000-0000-000027050000}"/>
    <cellStyle name="20% - Accent1 4 2 3 4 2" xfId="11813" xr:uid="{00000000-0005-0000-0000-000028050000}"/>
    <cellStyle name="20% - Accent1 4 2 3 4 2 2" xfId="26347" xr:uid="{00000000-0005-0000-0000-000029050000}"/>
    <cellStyle name="20% - Accent1 4 2 3 4 2 2 2" xfId="55353" xr:uid="{00000000-0005-0000-0000-00002A050000}"/>
    <cellStyle name="20% - Accent1 4 2 3 4 2 3" xfId="40854" xr:uid="{00000000-0005-0000-0000-00002B050000}"/>
    <cellStyle name="20% - Accent1 4 2 3 4 3" xfId="19099" xr:uid="{00000000-0005-0000-0000-00002C050000}"/>
    <cellStyle name="20% - Accent1 4 2 3 4 3 2" xfId="48105" xr:uid="{00000000-0005-0000-0000-00002D050000}"/>
    <cellStyle name="20% - Accent1 4 2 3 4 4" xfId="33606" xr:uid="{00000000-0005-0000-0000-00002E050000}"/>
    <cellStyle name="20% - Accent1 4 2 3 5" xfId="7645" xr:uid="{00000000-0005-0000-0000-00002F050000}"/>
    <cellStyle name="20% - Accent1 4 2 3 5 2" xfId="14917" xr:uid="{00000000-0005-0000-0000-000030050000}"/>
    <cellStyle name="20% - Accent1 4 2 3 5 2 2" xfId="29451" xr:uid="{00000000-0005-0000-0000-000031050000}"/>
    <cellStyle name="20% - Accent1 4 2 3 5 2 2 2" xfId="58457" xr:uid="{00000000-0005-0000-0000-000032050000}"/>
    <cellStyle name="20% - Accent1 4 2 3 5 2 3" xfId="43958" xr:uid="{00000000-0005-0000-0000-000033050000}"/>
    <cellStyle name="20% - Accent1 4 2 3 5 3" xfId="22203" xr:uid="{00000000-0005-0000-0000-000034050000}"/>
    <cellStyle name="20% - Accent1 4 2 3 5 3 2" xfId="51209" xr:uid="{00000000-0005-0000-0000-000035050000}"/>
    <cellStyle name="20% - Accent1 4 2 3 5 4" xfId="36710" xr:uid="{00000000-0005-0000-0000-000036050000}"/>
    <cellStyle name="20% - Accent1 4 2 3 6" xfId="8709" xr:uid="{00000000-0005-0000-0000-000037050000}"/>
    <cellStyle name="20% - Accent1 4 2 3 6 2" xfId="23243" xr:uid="{00000000-0005-0000-0000-000038050000}"/>
    <cellStyle name="20% - Accent1 4 2 3 6 2 2" xfId="52249" xr:uid="{00000000-0005-0000-0000-000039050000}"/>
    <cellStyle name="20% - Accent1 4 2 3 6 3" xfId="37750" xr:uid="{00000000-0005-0000-0000-00003A050000}"/>
    <cellStyle name="20% - Accent1 4 2 3 7" xfId="15995" xr:uid="{00000000-0005-0000-0000-00003B050000}"/>
    <cellStyle name="20% - Accent1 4 2 3 7 2" xfId="45001" xr:uid="{00000000-0005-0000-0000-00003C050000}"/>
    <cellStyle name="20% - Accent1 4 2 3 8" xfId="30502" xr:uid="{00000000-0005-0000-0000-00003D050000}"/>
    <cellStyle name="20% - Accent1 4 2 4" xfId="1965" xr:uid="{00000000-0005-0000-0000-00003E050000}"/>
    <cellStyle name="20% - Accent1 4 2 4 2" xfId="5069" xr:uid="{00000000-0005-0000-0000-00003F050000}"/>
    <cellStyle name="20% - Accent1 4 2 4 2 2" xfId="12341" xr:uid="{00000000-0005-0000-0000-000040050000}"/>
    <cellStyle name="20% - Accent1 4 2 4 2 2 2" xfId="26875" xr:uid="{00000000-0005-0000-0000-000041050000}"/>
    <cellStyle name="20% - Accent1 4 2 4 2 2 2 2" xfId="55881" xr:uid="{00000000-0005-0000-0000-000042050000}"/>
    <cellStyle name="20% - Accent1 4 2 4 2 2 3" xfId="41382" xr:uid="{00000000-0005-0000-0000-000043050000}"/>
    <cellStyle name="20% - Accent1 4 2 4 2 3" xfId="19627" xr:uid="{00000000-0005-0000-0000-000044050000}"/>
    <cellStyle name="20% - Accent1 4 2 4 2 3 2" xfId="48633" xr:uid="{00000000-0005-0000-0000-000045050000}"/>
    <cellStyle name="20% - Accent1 4 2 4 2 4" xfId="34134" xr:uid="{00000000-0005-0000-0000-000046050000}"/>
    <cellStyle name="20% - Accent1 4 2 4 3" xfId="9237" xr:uid="{00000000-0005-0000-0000-000047050000}"/>
    <cellStyle name="20% - Accent1 4 2 4 3 2" xfId="23771" xr:uid="{00000000-0005-0000-0000-000048050000}"/>
    <cellStyle name="20% - Accent1 4 2 4 3 2 2" xfId="52777" xr:uid="{00000000-0005-0000-0000-000049050000}"/>
    <cellStyle name="20% - Accent1 4 2 4 3 3" xfId="38278" xr:uid="{00000000-0005-0000-0000-00004A050000}"/>
    <cellStyle name="20% - Accent1 4 2 4 4" xfId="16523" xr:uid="{00000000-0005-0000-0000-00004B050000}"/>
    <cellStyle name="20% - Accent1 4 2 4 4 2" xfId="45529" xr:uid="{00000000-0005-0000-0000-00004C050000}"/>
    <cellStyle name="20% - Accent1 4 2 4 5" xfId="31030" xr:uid="{00000000-0005-0000-0000-00004D050000}"/>
    <cellStyle name="20% - Accent1 4 2 5" xfId="2997" xr:uid="{00000000-0005-0000-0000-00004E050000}"/>
    <cellStyle name="20% - Accent1 4 2 5 2" xfId="6101" xr:uid="{00000000-0005-0000-0000-00004F050000}"/>
    <cellStyle name="20% - Accent1 4 2 5 2 2" xfId="13373" xr:uid="{00000000-0005-0000-0000-000050050000}"/>
    <cellStyle name="20% - Accent1 4 2 5 2 2 2" xfId="27907" xr:uid="{00000000-0005-0000-0000-000051050000}"/>
    <cellStyle name="20% - Accent1 4 2 5 2 2 2 2" xfId="56913" xr:uid="{00000000-0005-0000-0000-000052050000}"/>
    <cellStyle name="20% - Accent1 4 2 5 2 2 3" xfId="42414" xr:uid="{00000000-0005-0000-0000-000053050000}"/>
    <cellStyle name="20% - Accent1 4 2 5 2 3" xfId="20659" xr:uid="{00000000-0005-0000-0000-000054050000}"/>
    <cellStyle name="20% - Accent1 4 2 5 2 3 2" xfId="49665" xr:uid="{00000000-0005-0000-0000-000055050000}"/>
    <cellStyle name="20% - Accent1 4 2 5 2 4" xfId="35166" xr:uid="{00000000-0005-0000-0000-000056050000}"/>
    <cellStyle name="20% - Accent1 4 2 5 3" xfId="10269" xr:uid="{00000000-0005-0000-0000-000057050000}"/>
    <cellStyle name="20% - Accent1 4 2 5 3 2" xfId="24803" xr:uid="{00000000-0005-0000-0000-000058050000}"/>
    <cellStyle name="20% - Accent1 4 2 5 3 2 2" xfId="53809" xr:uid="{00000000-0005-0000-0000-000059050000}"/>
    <cellStyle name="20% - Accent1 4 2 5 3 3" xfId="39310" xr:uid="{00000000-0005-0000-0000-00005A050000}"/>
    <cellStyle name="20% - Accent1 4 2 5 4" xfId="17555" xr:uid="{00000000-0005-0000-0000-00005B050000}"/>
    <cellStyle name="20% - Accent1 4 2 5 4 2" xfId="46561" xr:uid="{00000000-0005-0000-0000-00005C050000}"/>
    <cellStyle name="20% - Accent1 4 2 5 5" xfId="32062" xr:uid="{00000000-0005-0000-0000-00005D050000}"/>
    <cellStyle name="20% - Accent1 4 2 6" xfId="4029" xr:uid="{00000000-0005-0000-0000-00005E050000}"/>
    <cellStyle name="20% - Accent1 4 2 6 2" xfId="11301" xr:uid="{00000000-0005-0000-0000-00005F050000}"/>
    <cellStyle name="20% - Accent1 4 2 6 2 2" xfId="25835" xr:uid="{00000000-0005-0000-0000-000060050000}"/>
    <cellStyle name="20% - Accent1 4 2 6 2 2 2" xfId="54841" xr:uid="{00000000-0005-0000-0000-000061050000}"/>
    <cellStyle name="20% - Accent1 4 2 6 2 3" xfId="40342" xr:uid="{00000000-0005-0000-0000-000062050000}"/>
    <cellStyle name="20% - Accent1 4 2 6 3" xfId="18587" xr:uid="{00000000-0005-0000-0000-000063050000}"/>
    <cellStyle name="20% - Accent1 4 2 6 3 2" xfId="47593" xr:uid="{00000000-0005-0000-0000-000064050000}"/>
    <cellStyle name="20% - Accent1 4 2 6 4" xfId="33094" xr:uid="{00000000-0005-0000-0000-000065050000}"/>
    <cellStyle name="20% - Accent1 4 2 7" xfId="7133" xr:uid="{00000000-0005-0000-0000-000066050000}"/>
    <cellStyle name="20% - Accent1 4 2 7 2" xfId="14405" xr:uid="{00000000-0005-0000-0000-000067050000}"/>
    <cellStyle name="20% - Accent1 4 2 7 2 2" xfId="28939" xr:uid="{00000000-0005-0000-0000-000068050000}"/>
    <cellStyle name="20% - Accent1 4 2 7 2 2 2" xfId="57945" xr:uid="{00000000-0005-0000-0000-000069050000}"/>
    <cellStyle name="20% - Accent1 4 2 7 2 3" xfId="43446" xr:uid="{00000000-0005-0000-0000-00006A050000}"/>
    <cellStyle name="20% - Accent1 4 2 7 3" xfId="21691" xr:uid="{00000000-0005-0000-0000-00006B050000}"/>
    <cellStyle name="20% - Accent1 4 2 7 3 2" xfId="50697" xr:uid="{00000000-0005-0000-0000-00006C050000}"/>
    <cellStyle name="20% - Accent1 4 2 7 4" xfId="36198" xr:uid="{00000000-0005-0000-0000-00006D050000}"/>
    <cellStyle name="20% - Accent1 4 2 8" xfId="8197" xr:uid="{00000000-0005-0000-0000-00006E050000}"/>
    <cellStyle name="20% - Accent1 4 2 8 2" xfId="22731" xr:uid="{00000000-0005-0000-0000-00006F050000}"/>
    <cellStyle name="20% - Accent1 4 2 8 2 2" xfId="51737" xr:uid="{00000000-0005-0000-0000-000070050000}"/>
    <cellStyle name="20% - Accent1 4 2 8 3" xfId="37238" xr:uid="{00000000-0005-0000-0000-000071050000}"/>
    <cellStyle name="20% - Accent1 4 2 9" xfId="15483" xr:uid="{00000000-0005-0000-0000-000072050000}"/>
    <cellStyle name="20% - Accent1 4 2 9 2" xfId="44489" xr:uid="{00000000-0005-0000-0000-000073050000}"/>
    <cellStyle name="20% - Accent1 4 3" xfId="1123" xr:uid="{00000000-0005-0000-0000-000074050000}"/>
    <cellStyle name="20% - Accent1 4 3 2" xfId="1621" xr:uid="{00000000-0005-0000-0000-000075050000}"/>
    <cellStyle name="20% - Accent1 4 3 2 2" xfId="2680" xr:uid="{00000000-0005-0000-0000-000076050000}"/>
    <cellStyle name="20% - Accent1 4 3 2 2 2" xfId="5784" xr:uid="{00000000-0005-0000-0000-000077050000}"/>
    <cellStyle name="20% - Accent1 4 3 2 2 2 2" xfId="13056" xr:uid="{00000000-0005-0000-0000-000078050000}"/>
    <cellStyle name="20% - Accent1 4 3 2 2 2 2 2" xfId="27590" xr:uid="{00000000-0005-0000-0000-000079050000}"/>
    <cellStyle name="20% - Accent1 4 3 2 2 2 2 2 2" xfId="56596" xr:uid="{00000000-0005-0000-0000-00007A050000}"/>
    <cellStyle name="20% - Accent1 4 3 2 2 2 2 3" xfId="42097" xr:uid="{00000000-0005-0000-0000-00007B050000}"/>
    <cellStyle name="20% - Accent1 4 3 2 2 2 3" xfId="20342" xr:uid="{00000000-0005-0000-0000-00007C050000}"/>
    <cellStyle name="20% - Accent1 4 3 2 2 2 3 2" xfId="49348" xr:uid="{00000000-0005-0000-0000-00007D050000}"/>
    <cellStyle name="20% - Accent1 4 3 2 2 2 4" xfId="34849" xr:uid="{00000000-0005-0000-0000-00007E050000}"/>
    <cellStyle name="20% - Accent1 4 3 2 2 3" xfId="9952" xr:uid="{00000000-0005-0000-0000-00007F050000}"/>
    <cellStyle name="20% - Accent1 4 3 2 2 3 2" xfId="24486" xr:uid="{00000000-0005-0000-0000-000080050000}"/>
    <cellStyle name="20% - Accent1 4 3 2 2 3 2 2" xfId="53492" xr:uid="{00000000-0005-0000-0000-000081050000}"/>
    <cellStyle name="20% - Accent1 4 3 2 2 3 3" xfId="38993" xr:uid="{00000000-0005-0000-0000-000082050000}"/>
    <cellStyle name="20% - Accent1 4 3 2 2 4" xfId="17238" xr:uid="{00000000-0005-0000-0000-000083050000}"/>
    <cellStyle name="20% - Accent1 4 3 2 2 4 2" xfId="46244" xr:uid="{00000000-0005-0000-0000-000084050000}"/>
    <cellStyle name="20% - Accent1 4 3 2 2 5" xfId="31745" xr:uid="{00000000-0005-0000-0000-000085050000}"/>
    <cellStyle name="20% - Accent1 4 3 2 3" xfId="3712" xr:uid="{00000000-0005-0000-0000-000086050000}"/>
    <cellStyle name="20% - Accent1 4 3 2 3 2" xfId="6816" xr:uid="{00000000-0005-0000-0000-000087050000}"/>
    <cellStyle name="20% - Accent1 4 3 2 3 2 2" xfId="14088" xr:uid="{00000000-0005-0000-0000-000088050000}"/>
    <cellStyle name="20% - Accent1 4 3 2 3 2 2 2" xfId="28622" xr:uid="{00000000-0005-0000-0000-000089050000}"/>
    <cellStyle name="20% - Accent1 4 3 2 3 2 2 2 2" xfId="57628" xr:uid="{00000000-0005-0000-0000-00008A050000}"/>
    <cellStyle name="20% - Accent1 4 3 2 3 2 2 3" xfId="43129" xr:uid="{00000000-0005-0000-0000-00008B050000}"/>
    <cellStyle name="20% - Accent1 4 3 2 3 2 3" xfId="21374" xr:uid="{00000000-0005-0000-0000-00008C050000}"/>
    <cellStyle name="20% - Accent1 4 3 2 3 2 3 2" xfId="50380" xr:uid="{00000000-0005-0000-0000-00008D050000}"/>
    <cellStyle name="20% - Accent1 4 3 2 3 2 4" xfId="35881" xr:uid="{00000000-0005-0000-0000-00008E050000}"/>
    <cellStyle name="20% - Accent1 4 3 2 3 3" xfId="10984" xr:uid="{00000000-0005-0000-0000-00008F050000}"/>
    <cellStyle name="20% - Accent1 4 3 2 3 3 2" xfId="25518" xr:uid="{00000000-0005-0000-0000-000090050000}"/>
    <cellStyle name="20% - Accent1 4 3 2 3 3 2 2" xfId="54524" xr:uid="{00000000-0005-0000-0000-000091050000}"/>
    <cellStyle name="20% - Accent1 4 3 2 3 3 3" xfId="40025" xr:uid="{00000000-0005-0000-0000-000092050000}"/>
    <cellStyle name="20% - Accent1 4 3 2 3 4" xfId="18270" xr:uid="{00000000-0005-0000-0000-000093050000}"/>
    <cellStyle name="20% - Accent1 4 3 2 3 4 2" xfId="47276" xr:uid="{00000000-0005-0000-0000-000094050000}"/>
    <cellStyle name="20% - Accent1 4 3 2 3 5" xfId="32777" xr:uid="{00000000-0005-0000-0000-000095050000}"/>
    <cellStyle name="20% - Accent1 4 3 2 4" xfId="4744" xr:uid="{00000000-0005-0000-0000-000096050000}"/>
    <cellStyle name="20% - Accent1 4 3 2 4 2" xfId="12016" xr:uid="{00000000-0005-0000-0000-000097050000}"/>
    <cellStyle name="20% - Accent1 4 3 2 4 2 2" xfId="26550" xr:uid="{00000000-0005-0000-0000-000098050000}"/>
    <cellStyle name="20% - Accent1 4 3 2 4 2 2 2" xfId="55556" xr:uid="{00000000-0005-0000-0000-000099050000}"/>
    <cellStyle name="20% - Accent1 4 3 2 4 2 3" xfId="41057" xr:uid="{00000000-0005-0000-0000-00009A050000}"/>
    <cellStyle name="20% - Accent1 4 3 2 4 3" xfId="19302" xr:uid="{00000000-0005-0000-0000-00009B050000}"/>
    <cellStyle name="20% - Accent1 4 3 2 4 3 2" xfId="48308" xr:uid="{00000000-0005-0000-0000-00009C050000}"/>
    <cellStyle name="20% - Accent1 4 3 2 4 4" xfId="33809" xr:uid="{00000000-0005-0000-0000-00009D050000}"/>
    <cellStyle name="20% - Accent1 4 3 2 5" xfId="7848" xr:uid="{00000000-0005-0000-0000-00009E050000}"/>
    <cellStyle name="20% - Accent1 4 3 2 5 2" xfId="15120" xr:uid="{00000000-0005-0000-0000-00009F050000}"/>
    <cellStyle name="20% - Accent1 4 3 2 5 2 2" xfId="29654" xr:uid="{00000000-0005-0000-0000-0000A0050000}"/>
    <cellStyle name="20% - Accent1 4 3 2 5 2 2 2" xfId="58660" xr:uid="{00000000-0005-0000-0000-0000A1050000}"/>
    <cellStyle name="20% - Accent1 4 3 2 5 2 3" xfId="44161" xr:uid="{00000000-0005-0000-0000-0000A2050000}"/>
    <cellStyle name="20% - Accent1 4 3 2 5 3" xfId="22406" xr:uid="{00000000-0005-0000-0000-0000A3050000}"/>
    <cellStyle name="20% - Accent1 4 3 2 5 3 2" xfId="51412" xr:uid="{00000000-0005-0000-0000-0000A4050000}"/>
    <cellStyle name="20% - Accent1 4 3 2 5 4" xfId="36913" xr:uid="{00000000-0005-0000-0000-0000A5050000}"/>
    <cellStyle name="20% - Accent1 4 3 2 6" xfId="8912" xr:uid="{00000000-0005-0000-0000-0000A6050000}"/>
    <cellStyle name="20% - Accent1 4 3 2 6 2" xfId="23446" xr:uid="{00000000-0005-0000-0000-0000A7050000}"/>
    <cellStyle name="20% - Accent1 4 3 2 6 2 2" xfId="52452" xr:uid="{00000000-0005-0000-0000-0000A8050000}"/>
    <cellStyle name="20% - Accent1 4 3 2 6 3" xfId="37953" xr:uid="{00000000-0005-0000-0000-0000A9050000}"/>
    <cellStyle name="20% - Accent1 4 3 2 7" xfId="16198" xr:uid="{00000000-0005-0000-0000-0000AA050000}"/>
    <cellStyle name="20% - Accent1 4 3 2 7 2" xfId="45204" xr:uid="{00000000-0005-0000-0000-0000AB050000}"/>
    <cellStyle name="20% - Accent1 4 3 2 8" xfId="30705" xr:uid="{00000000-0005-0000-0000-0000AC050000}"/>
    <cellStyle name="20% - Accent1 4 3 3" xfId="2168" xr:uid="{00000000-0005-0000-0000-0000AD050000}"/>
    <cellStyle name="20% - Accent1 4 3 3 2" xfId="5272" xr:uid="{00000000-0005-0000-0000-0000AE050000}"/>
    <cellStyle name="20% - Accent1 4 3 3 2 2" xfId="12544" xr:uid="{00000000-0005-0000-0000-0000AF050000}"/>
    <cellStyle name="20% - Accent1 4 3 3 2 2 2" xfId="27078" xr:uid="{00000000-0005-0000-0000-0000B0050000}"/>
    <cellStyle name="20% - Accent1 4 3 3 2 2 2 2" xfId="56084" xr:uid="{00000000-0005-0000-0000-0000B1050000}"/>
    <cellStyle name="20% - Accent1 4 3 3 2 2 3" xfId="41585" xr:uid="{00000000-0005-0000-0000-0000B2050000}"/>
    <cellStyle name="20% - Accent1 4 3 3 2 3" xfId="19830" xr:uid="{00000000-0005-0000-0000-0000B3050000}"/>
    <cellStyle name="20% - Accent1 4 3 3 2 3 2" xfId="48836" xr:uid="{00000000-0005-0000-0000-0000B4050000}"/>
    <cellStyle name="20% - Accent1 4 3 3 2 4" xfId="34337" xr:uid="{00000000-0005-0000-0000-0000B5050000}"/>
    <cellStyle name="20% - Accent1 4 3 3 3" xfId="9440" xr:uid="{00000000-0005-0000-0000-0000B6050000}"/>
    <cellStyle name="20% - Accent1 4 3 3 3 2" xfId="23974" xr:uid="{00000000-0005-0000-0000-0000B7050000}"/>
    <cellStyle name="20% - Accent1 4 3 3 3 2 2" xfId="52980" xr:uid="{00000000-0005-0000-0000-0000B8050000}"/>
    <cellStyle name="20% - Accent1 4 3 3 3 3" xfId="38481" xr:uid="{00000000-0005-0000-0000-0000B9050000}"/>
    <cellStyle name="20% - Accent1 4 3 3 4" xfId="16726" xr:uid="{00000000-0005-0000-0000-0000BA050000}"/>
    <cellStyle name="20% - Accent1 4 3 3 4 2" xfId="45732" xr:uid="{00000000-0005-0000-0000-0000BB050000}"/>
    <cellStyle name="20% - Accent1 4 3 3 5" xfId="31233" xr:uid="{00000000-0005-0000-0000-0000BC050000}"/>
    <cellStyle name="20% - Accent1 4 3 4" xfId="3200" xr:uid="{00000000-0005-0000-0000-0000BD050000}"/>
    <cellStyle name="20% - Accent1 4 3 4 2" xfId="6304" xr:uid="{00000000-0005-0000-0000-0000BE050000}"/>
    <cellStyle name="20% - Accent1 4 3 4 2 2" xfId="13576" xr:uid="{00000000-0005-0000-0000-0000BF050000}"/>
    <cellStyle name="20% - Accent1 4 3 4 2 2 2" xfId="28110" xr:uid="{00000000-0005-0000-0000-0000C0050000}"/>
    <cellStyle name="20% - Accent1 4 3 4 2 2 2 2" xfId="57116" xr:uid="{00000000-0005-0000-0000-0000C1050000}"/>
    <cellStyle name="20% - Accent1 4 3 4 2 2 3" xfId="42617" xr:uid="{00000000-0005-0000-0000-0000C2050000}"/>
    <cellStyle name="20% - Accent1 4 3 4 2 3" xfId="20862" xr:uid="{00000000-0005-0000-0000-0000C3050000}"/>
    <cellStyle name="20% - Accent1 4 3 4 2 3 2" xfId="49868" xr:uid="{00000000-0005-0000-0000-0000C4050000}"/>
    <cellStyle name="20% - Accent1 4 3 4 2 4" xfId="35369" xr:uid="{00000000-0005-0000-0000-0000C5050000}"/>
    <cellStyle name="20% - Accent1 4 3 4 3" xfId="10472" xr:uid="{00000000-0005-0000-0000-0000C6050000}"/>
    <cellStyle name="20% - Accent1 4 3 4 3 2" xfId="25006" xr:uid="{00000000-0005-0000-0000-0000C7050000}"/>
    <cellStyle name="20% - Accent1 4 3 4 3 2 2" xfId="54012" xr:uid="{00000000-0005-0000-0000-0000C8050000}"/>
    <cellStyle name="20% - Accent1 4 3 4 3 3" xfId="39513" xr:uid="{00000000-0005-0000-0000-0000C9050000}"/>
    <cellStyle name="20% - Accent1 4 3 4 4" xfId="17758" xr:uid="{00000000-0005-0000-0000-0000CA050000}"/>
    <cellStyle name="20% - Accent1 4 3 4 4 2" xfId="46764" xr:uid="{00000000-0005-0000-0000-0000CB050000}"/>
    <cellStyle name="20% - Accent1 4 3 4 5" xfId="32265" xr:uid="{00000000-0005-0000-0000-0000CC050000}"/>
    <cellStyle name="20% - Accent1 4 3 5" xfId="4232" xr:uid="{00000000-0005-0000-0000-0000CD050000}"/>
    <cellStyle name="20% - Accent1 4 3 5 2" xfId="11504" xr:uid="{00000000-0005-0000-0000-0000CE050000}"/>
    <cellStyle name="20% - Accent1 4 3 5 2 2" xfId="26038" xr:uid="{00000000-0005-0000-0000-0000CF050000}"/>
    <cellStyle name="20% - Accent1 4 3 5 2 2 2" xfId="55044" xr:uid="{00000000-0005-0000-0000-0000D0050000}"/>
    <cellStyle name="20% - Accent1 4 3 5 2 3" xfId="40545" xr:uid="{00000000-0005-0000-0000-0000D1050000}"/>
    <cellStyle name="20% - Accent1 4 3 5 3" xfId="18790" xr:uid="{00000000-0005-0000-0000-0000D2050000}"/>
    <cellStyle name="20% - Accent1 4 3 5 3 2" xfId="47796" xr:uid="{00000000-0005-0000-0000-0000D3050000}"/>
    <cellStyle name="20% - Accent1 4 3 5 4" xfId="33297" xr:uid="{00000000-0005-0000-0000-0000D4050000}"/>
    <cellStyle name="20% - Accent1 4 3 6" xfId="7336" xr:uid="{00000000-0005-0000-0000-0000D5050000}"/>
    <cellStyle name="20% - Accent1 4 3 6 2" xfId="14608" xr:uid="{00000000-0005-0000-0000-0000D6050000}"/>
    <cellStyle name="20% - Accent1 4 3 6 2 2" xfId="29142" xr:uid="{00000000-0005-0000-0000-0000D7050000}"/>
    <cellStyle name="20% - Accent1 4 3 6 2 2 2" xfId="58148" xr:uid="{00000000-0005-0000-0000-0000D8050000}"/>
    <cellStyle name="20% - Accent1 4 3 6 2 3" xfId="43649" xr:uid="{00000000-0005-0000-0000-0000D9050000}"/>
    <cellStyle name="20% - Accent1 4 3 6 3" xfId="21894" xr:uid="{00000000-0005-0000-0000-0000DA050000}"/>
    <cellStyle name="20% - Accent1 4 3 6 3 2" xfId="50900" xr:uid="{00000000-0005-0000-0000-0000DB050000}"/>
    <cellStyle name="20% - Accent1 4 3 6 4" xfId="36401" xr:uid="{00000000-0005-0000-0000-0000DC050000}"/>
    <cellStyle name="20% - Accent1 4 3 7" xfId="8400" xr:uid="{00000000-0005-0000-0000-0000DD050000}"/>
    <cellStyle name="20% - Accent1 4 3 7 2" xfId="22934" xr:uid="{00000000-0005-0000-0000-0000DE050000}"/>
    <cellStyle name="20% - Accent1 4 3 7 2 2" xfId="51940" xr:uid="{00000000-0005-0000-0000-0000DF050000}"/>
    <cellStyle name="20% - Accent1 4 3 7 3" xfId="37441" xr:uid="{00000000-0005-0000-0000-0000E0050000}"/>
    <cellStyle name="20% - Accent1 4 3 8" xfId="15686" xr:uid="{00000000-0005-0000-0000-0000E1050000}"/>
    <cellStyle name="20% - Accent1 4 3 8 2" xfId="44692" xr:uid="{00000000-0005-0000-0000-0000E2050000}"/>
    <cellStyle name="20% - Accent1 4 3 9" xfId="30193" xr:uid="{00000000-0005-0000-0000-0000E3050000}"/>
    <cellStyle name="20% - Accent1 4 4" xfId="1032" xr:uid="{00000000-0005-0000-0000-0000E4050000}"/>
    <cellStyle name="20% - Accent1 4 4 2" xfId="1522" xr:uid="{00000000-0005-0000-0000-0000E5050000}"/>
    <cellStyle name="20% - Accent1 4 4 2 2" xfId="2580" xr:uid="{00000000-0005-0000-0000-0000E6050000}"/>
    <cellStyle name="20% - Accent1 4 4 2 2 2" xfId="5684" xr:uid="{00000000-0005-0000-0000-0000E7050000}"/>
    <cellStyle name="20% - Accent1 4 4 2 2 2 2" xfId="12956" xr:uid="{00000000-0005-0000-0000-0000E8050000}"/>
    <cellStyle name="20% - Accent1 4 4 2 2 2 2 2" xfId="27490" xr:uid="{00000000-0005-0000-0000-0000E9050000}"/>
    <cellStyle name="20% - Accent1 4 4 2 2 2 2 2 2" xfId="56496" xr:uid="{00000000-0005-0000-0000-0000EA050000}"/>
    <cellStyle name="20% - Accent1 4 4 2 2 2 2 3" xfId="41997" xr:uid="{00000000-0005-0000-0000-0000EB050000}"/>
    <cellStyle name="20% - Accent1 4 4 2 2 2 3" xfId="20242" xr:uid="{00000000-0005-0000-0000-0000EC050000}"/>
    <cellStyle name="20% - Accent1 4 4 2 2 2 3 2" xfId="49248" xr:uid="{00000000-0005-0000-0000-0000ED050000}"/>
    <cellStyle name="20% - Accent1 4 4 2 2 2 4" xfId="34749" xr:uid="{00000000-0005-0000-0000-0000EE050000}"/>
    <cellStyle name="20% - Accent1 4 4 2 2 3" xfId="9852" xr:uid="{00000000-0005-0000-0000-0000EF050000}"/>
    <cellStyle name="20% - Accent1 4 4 2 2 3 2" xfId="24386" xr:uid="{00000000-0005-0000-0000-0000F0050000}"/>
    <cellStyle name="20% - Accent1 4 4 2 2 3 2 2" xfId="53392" xr:uid="{00000000-0005-0000-0000-0000F1050000}"/>
    <cellStyle name="20% - Accent1 4 4 2 2 3 3" xfId="38893" xr:uid="{00000000-0005-0000-0000-0000F2050000}"/>
    <cellStyle name="20% - Accent1 4 4 2 2 4" xfId="17138" xr:uid="{00000000-0005-0000-0000-0000F3050000}"/>
    <cellStyle name="20% - Accent1 4 4 2 2 4 2" xfId="46144" xr:uid="{00000000-0005-0000-0000-0000F4050000}"/>
    <cellStyle name="20% - Accent1 4 4 2 2 5" xfId="31645" xr:uid="{00000000-0005-0000-0000-0000F5050000}"/>
    <cellStyle name="20% - Accent1 4 4 2 3" xfId="3612" xr:uid="{00000000-0005-0000-0000-0000F6050000}"/>
    <cellStyle name="20% - Accent1 4 4 2 3 2" xfId="6716" xr:uid="{00000000-0005-0000-0000-0000F7050000}"/>
    <cellStyle name="20% - Accent1 4 4 2 3 2 2" xfId="13988" xr:uid="{00000000-0005-0000-0000-0000F8050000}"/>
    <cellStyle name="20% - Accent1 4 4 2 3 2 2 2" xfId="28522" xr:uid="{00000000-0005-0000-0000-0000F9050000}"/>
    <cellStyle name="20% - Accent1 4 4 2 3 2 2 2 2" xfId="57528" xr:uid="{00000000-0005-0000-0000-0000FA050000}"/>
    <cellStyle name="20% - Accent1 4 4 2 3 2 2 3" xfId="43029" xr:uid="{00000000-0005-0000-0000-0000FB050000}"/>
    <cellStyle name="20% - Accent1 4 4 2 3 2 3" xfId="21274" xr:uid="{00000000-0005-0000-0000-0000FC050000}"/>
    <cellStyle name="20% - Accent1 4 4 2 3 2 3 2" xfId="50280" xr:uid="{00000000-0005-0000-0000-0000FD050000}"/>
    <cellStyle name="20% - Accent1 4 4 2 3 2 4" xfId="35781" xr:uid="{00000000-0005-0000-0000-0000FE050000}"/>
    <cellStyle name="20% - Accent1 4 4 2 3 3" xfId="10884" xr:uid="{00000000-0005-0000-0000-0000FF050000}"/>
    <cellStyle name="20% - Accent1 4 4 2 3 3 2" xfId="25418" xr:uid="{00000000-0005-0000-0000-000000060000}"/>
    <cellStyle name="20% - Accent1 4 4 2 3 3 2 2" xfId="54424" xr:uid="{00000000-0005-0000-0000-000001060000}"/>
    <cellStyle name="20% - Accent1 4 4 2 3 3 3" xfId="39925" xr:uid="{00000000-0005-0000-0000-000002060000}"/>
    <cellStyle name="20% - Accent1 4 4 2 3 4" xfId="18170" xr:uid="{00000000-0005-0000-0000-000003060000}"/>
    <cellStyle name="20% - Accent1 4 4 2 3 4 2" xfId="47176" xr:uid="{00000000-0005-0000-0000-000004060000}"/>
    <cellStyle name="20% - Accent1 4 4 2 3 5" xfId="32677" xr:uid="{00000000-0005-0000-0000-000005060000}"/>
    <cellStyle name="20% - Accent1 4 4 2 4" xfId="4644" xr:uid="{00000000-0005-0000-0000-000006060000}"/>
    <cellStyle name="20% - Accent1 4 4 2 4 2" xfId="11916" xr:uid="{00000000-0005-0000-0000-000007060000}"/>
    <cellStyle name="20% - Accent1 4 4 2 4 2 2" xfId="26450" xr:uid="{00000000-0005-0000-0000-000008060000}"/>
    <cellStyle name="20% - Accent1 4 4 2 4 2 2 2" xfId="55456" xr:uid="{00000000-0005-0000-0000-000009060000}"/>
    <cellStyle name="20% - Accent1 4 4 2 4 2 3" xfId="40957" xr:uid="{00000000-0005-0000-0000-00000A060000}"/>
    <cellStyle name="20% - Accent1 4 4 2 4 3" xfId="19202" xr:uid="{00000000-0005-0000-0000-00000B060000}"/>
    <cellStyle name="20% - Accent1 4 4 2 4 3 2" xfId="48208" xr:uid="{00000000-0005-0000-0000-00000C060000}"/>
    <cellStyle name="20% - Accent1 4 4 2 4 4" xfId="33709" xr:uid="{00000000-0005-0000-0000-00000D060000}"/>
    <cellStyle name="20% - Accent1 4 4 2 5" xfId="7748" xr:uid="{00000000-0005-0000-0000-00000E060000}"/>
    <cellStyle name="20% - Accent1 4 4 2 5 2" xfId="15020" xr:uid="{00000000-0005-0000-0000-00000F060000}"/>
    <cellStyle name="20% - Accent1 4 4 2 5 2 2" xfId="29554" xr:uid="{00000000-0005-0000-0000-000010060000}"/>
    <cellStyle name="20% - Accent1 4 4 2 5 2 2 2" xfId="58560" xr:uid="{00000000-0005-0000-0000-000011060000}"/>
    <cellStyle name="20% - Accent1 4 4 2 5 2 3" xfId="44061" xr:uid="{00000000-0005-0000-0000-000012060000}"/>
    <cellStyle name="20% - Accent1 4 4 2 5 3" xfId="22306" xr:uid="{00000000-0005-0000-0000-000013060000}"/>
    <cellStyle name="20% - Accent1 4 4 2 5 3 2" xfId="51312" xr:uid="{00000000-0005-0000-0000-000014060000}"/>
    <cellStyle name="20% - Accent1 4 4 2 5 4" xfId="36813" xr:uid="{00000000-0005-0000-0000-000015060000}"/>
    <cellStyle name="20% - Accent1 4 4 2 6" xfId="8812" xr:uid="{00000000-0005-0000-0000-000016060000}"/>
    <cellStyle name="20% - Accent1 4 4 2 6 2" xfId="23346" xr:uid="{00000000-0005-0000-0000-000017060000}"/>
    <cellStyle name="20% - Accent1 4 4 2 6 2 2" xfId="52352" xr:uid="{00000000-0005-0000-0000-000018060000}"/>
    <cellStyle name="20% - Accent1 4 4 2 6 3" xfId="37853" xr:uid="{00000000-0005-0000-0000-000019060000}"/>
    <cellStyle name="20% - Accent1 4 4 2 7" xfId="16098" xr:uid="{00000000-0005-0000-0000-00001A060000}"/>
    <cellStyle name="20% - Accent1 4 4 2 7 2" xfId="45104" xr:uid="{00000000-0005-0000-0000-00001B060000}"/>
    <cellStyle name="20% - Accent1 4 4 2 8" xfId="30605" xr:uid="{00000000-0005-0000-0000-00001C060000}"/>
    <cellStyle name="20% - Accent1 4 4 3" xfId="2068" xr:uid="{00000000-0005-0000-0000-00001D060000}"/>
    <cellStyle name="20% - Accent1 4 4 3 2" xfId="5172" xr:uid="{00000000-0005-0000-0000-00001E060000}"/>
    <cellStyle name="20% - Accent1 4 4 3 2 2" xfId="12444" xr:uid="{00000000-0005-0000-0000-00001F060000}"/>
    <cellStyle name="20% - Accent1 4 4 3 2 2 2" xfId="26978" xr:uid="{00000000-0005-0000-0000-000020060000}"/>
    <cellStyle name="20% - Accent1 4 4 3 2 2 2 2" xfId="55984" xr:uid="{00000000-0005-0000-0000-000021060000}"/>
    <cellStyle name="20% - Accent1 4 4 3 2 2 3" xfId="41485" xr:uid="{00000000-0005-0000-0000-000022060000}"/>
    <cellStyle name="20% - Accent1 4 4 3 2 3" xfId="19730" xr:uid="{00000000-0005-0000-0000-000023060000}"/>
    <cellStyle name="20% - Accent1 4 4 3 2 3 2" xfId="48736" xr:uid="{00000000-0005-0000-0000-000024060000}"/>
    <cellStyle name="20% - Accent1 4 4 3 2 4" xfId="34237" xr:uid="{00000000-0005-0000-0000-000025060000}"/>
    <cellStyle name="20% - Accent1 4 4 3 3" xfId="9340" xr:uid="{00000000-0005-0000-0000-000026060000}"/>
    <cellStyle name="20% - Accent1 4 4 3 3 2" xfId="23874" xr:uid="{00000000-0005-0000-0000-000027060000}"/>
    <cellStyle name="20% - Accent1 4 4 3 3 2 2" xfId="52880" xr:uid="{00000000-0005-0000-0000-000028060000}"/>
    <cellStyle name="20% - Accent1 4 4 3 3 3" xfId="38381" xr:uid="{00000000-0005-0000-0000-000029060000}"/>
    <cellStyle name="20% - Accent1 4 4 3 4" xfId="16626" xr:uid="{00000000-0005-0000-0000-00002A060000}"/>
    <cellStyle name="20% - Accent1 4 4 3 4 2" xfId="45632" xr:uid="{00000000-0005-0000-0000-00002B060000}"/>
    <cellStyle name="20% - Accent1 4 4 3 5" xfId="31133" xr:uid="{00000000-0005-0000-0000-00002C060000}"/>
    <cellStyle name="20% - Accent1 4 4 4" xfId="3100" xr:uid="{00000000-0005-0000-0000-00002D060000}"/>
    <cellStyle name="20% - Accent1 4 4 4 2" xfId="6204" xr:uid="{00000000-0005-0000-0000-00002E060000}"/>
    <cellStyle name="20% - Accent1 4 4 4 2 2" xfId="13476" xr:uid="{00000000-0005-0000-0000-00002F060000}"/>
    <cellStyle name="20% - Accent1 4 4 4 2 2 2" xfId="28010" xr:uid="{00000000-0005-0000-0000-000030060000}"/>
    <cellStyle name="20% - Accent1 4 4 4 2 2 2 2" xfId="57016" xr:uid="{00000000-0005-0000-0000-000031060000}"/>
    <cellStyle name="20% - Accent1 4 4 4 2 2 3" xfId="42517" xr:uid="{00000000-0005-0000-0000-000032060000}"/>
    <cellStyle name="20% - Accent1 4 4 4 2 3" xfId="20762" xr:uid="{00000000-0005-0000-0000-000033060000}"/>
    <cellStyle name="20% - Accent1 4 4 4 2 3 2" xfId="49768" xr:uid="{00000000-0005-0000-0000-000034060000}"/>
    <cellStyle name="20% - Accent1 4 4 4 2 4" xfId="35269" xr:uid="{00000000-0005-0000-0000-000035060000}"/>
    <cellStyle name="20% - Accent1 4 4 4 3" xfId="10372" xr:uid="{00000000-0005-0000-0000-000036060000}"/>
    <cellStyle name="20% - Accent1 4 4 4 3 2" xfId="24906" xr:uid="{00000000-0005-0000-0000-000037060000}"/>
    <cellStyle name="20% - Accent1 4 4 4 3 2 2" xfId="53912" xr:uid="{00000000-0005-0000-0000-000038060000}"/>
    <cellStyle name="20% - Accent1 4 4 4 3 3" xfId="39413" xr:uid="{00000000-0005-0000-0000-000039060000}"/>
    <cellStyle name="20% - Accent1 4 4 4 4" xfId="17658" xr:uid="{00000000-0005-0000-0000-00003A060000}"/>
    <cellStyle name="20% - Accent1 4 4 4 4 2" xfId="46664" xr:uid="{00000000-0005-0000-0000-00003B060000}"/>
    <cellStyle name="20% - Accent1 4 4 4 5" xfId="32165" xr:uid="{00000000-0005-0000-0000-00003C060000}"/>
    <cellStyle name="20% - Accent1 4 4 5" xfId="4132" xr:uid="{00000000-0005-0000-0000-00003D060000}"/>
    <cellStyle name="20% - Accent1 4 4 5 2" xfId="11404" xr:uid="{00000000-0005-0000-0000-00003E060000}"/>
    <cellStyle name="20% - Accent1 4 4 5 2 2" xfId="25938" xr:uid="{00000000-0005-0000-0000-00003F060000}"/>
    <cellStyle name="20% - Accent1 4 4 5 2 2 2" xfId="54944" xr:uid="{00000000-0005-0000-0000-000040060000}"/>
    <cellStyle name="20% - Accent1 4 4 5 2 3" xfId="40445" xr:uid="{00000000-0005-0000-0000-000041060000}"/>
    <cellStyle name="20% - Accent1 4 4 5 3" xfId="18690" xr:uid="{00000000-0005-0000-0000-000042060000}"/>
    <cellStyle name="20% - Accent1 4 4 5 3 2" xfId="47696" xr:uid="{00000000-0005-0000-0000-000043060000}"/>
    <cellStyle name="20% - Accent1 4 4 5 4" xfId="33197" xr:uid="{00000000-0005-0000-0000-000044060000}"/>
    <cellStyle name="20% - Accent1 4 4 6" xfId="7236" xr:uid="{00000000-0005-0000-0000-000045060000}"/>
    <cellStyle name="20% - Accent1 4 4 6 2" xfId="14508" xr:uid="{00000000-0005-0000-0000-000046060000}"/>
    <cellStyle name="20% - Accent1 4 4 6 2 2" xfId="29042" xr:uid="{00000000-0005-0000-0000-000047060000}"/>
    <cellStyle name="20% - Accent1 4 4 6 2 2 2" xfId="58048" xr:uid="{00000000-0005-0000-0000-000048060000}"/>
    <cellStyle name="20% - Accent1 4 4 6 2 3" xfId="43549" xr:uid="{00000000-0005-0000-0000-000049060000}"/>
    <cellStyle name="20% - Accent1 4 4 6 3" xfId="21794" xr:uid="{00000000-0005-0000-0000-00004A060000}"/>
    <cellStyle name="20% - Accent1 4 4 6 3 2" xfId="50800" xr:uid="{00000000-0005-0000-0000-00004B060000}"/>
    <cellStyle name="20% - Accent1 4 4 6 4" xfId="36301" xr:uid="{00000000-0005-0000-0000-00004C060000}"/>
    <cellStyle name="20% - Accent1 4 4 7" xfId="8300" xr:uid="{00000000-0005-0000-0000-00004D060000}"/>
    <cellStyle name="20% - Accent1 4 4 7 2" xfId="22834" xr:uid="{00000000-0005-0000-0000-00004E060000}"/>
    <cellStyle name="20% - Accent1 4 4 7 2 2" xfId="51840" xr:uid="{00000000-0005-0000-0000-00004F060000}"/>
    <cellStyle name="20% - Accent1 4 4 7 3" xfId="37341" xr:uid="{00000000-0005-0000-0000-000050060000}"/>
    <cellStyle name="20% - Accent1 4 4 8" xfId="15586" xr:uid="{00000000-0005-0000-0000-000051060000}"/>
    <cellStyle name="20% - Accent1 4 4 8 2" xfId="44592" xr:uid="{00000000-0005-0000-0000-000052060000}"/>
    <cellStyle name="20% - Accent1 4 4 9" xfId="30093" xr:uid="{00000000-0005-0000-0000-000053060000}"/>
    <cellStyle name="20% - Accent1 4 5" xfId="1317" xr:uid="{00000000-0005-0000-0000-000054060000}"/>
    <cellStyle name="20% - Accent1 4 5 2" xfId="2374" xr:uid="{00000000-0005-0000-0000-000055060000}"/>
    <cellStyle name="20% - Accent1 4 5 2 2" xfId="5478" xr:uid="{00000000-0005-0000-0000-000056060000}"/>
    <cellStyle name="20% - Accent1 4 5 2 2 2" xfId="12750" xr:uid="{00000000-0005-0000-0000-000057060000}"/>
    <cellStyle name="20% - Accent1 4 5 2 2 2 2" xfId="27284" xr:uid="{00000000-0005-0000-0000-000058060000}"/>
    <cellStyle name="20% - Accent1 4 5 2 2 2 2 2" xfId="56290" xr:uid="{00000000-0005-0000-0000-000059060000}"/>
    <cellStyle name="20% - Accent1 4 5 2 2 2 3" xfId="41791" xr:uid="{00000000-0005-0000-0000-00005A060000}"/>
    <cellStyle name="20% - Accent1 4 5 2 2 3" xfId="20036" xr:uid="{00000000-0005-0000-0000-00005B060000}"/>
    <cellStyle name="20% - Accent1 4 5 2 2 3 2" xfId="49042" xr:uid="{00000000-0005-0000-0000-00005C060000}"/>
    <cellStyle name="20% - Accent1 4 5 2 2 4" xfId="34543" xr:uid="{00000000-0005-0000-0000-00005D060000}"/>
    <cellStyle name="20% - Accent1 4 5 2 3" xfId="9646" xr:uid="{00000000-0005-0000-0000-00005E060000}"/>
    <cellStyle name="20% - Accent1 4 5 2 3 2" xfId="24180" xr:uid="{00000000-0005-0000-0000-00005F060000}"/>
    <cellStyle name="20% - Accent1 4 5 2 3 2 2" xfId="53186" xr:uid="{00000000-0005-0000-0000-000060060000}"/>
    <cellStyle name="20% - Accent1 4 5 2 3 3" xfId="38687" xr:uid="{00000000-0005-0000-0000-000061060000}"/>
    <cellStyle name="20% - Accent1 4 5 2 4" xfId="16932" xr:uid="{00000000-0005-0000-0000-000062060000}"/>
    <cellStyle name="20% - Accent1 4 5 2 4 2" xfId="45938" xr:uid="{00000000-0005-0000-0000-000063060000}"/>
    <cellStyle name="20% - Accent1 4 5 2 5" xfId="31439" xr:uid="{00000000-0005-0000-0000-000064060000}"/>
    <cellStyle name="20% - Accent1 4 5 3" xfId="3406" xr:uid="{00000000-0005-0000-0000-000065060000}"/>
    <cellStyle name="20% - Accent1 4 5 3 2" xfId="6510" xr:uid="{00000000-0005-0000-0000-000066060000}"/>
    <cellStyle name="20% - Accent1 4 5 3 2 2" xfId="13782" xr:uid="{00000000-0005-0000-0000-000067060000}"/>
    <cellStyle name="20% - Accent1 4 5 3 2 2 2" xfId="28316" xr:uid="{00000000-0005-0000-0000-000068060000}"/>
    <cellStyle name="20% - Accent1 4 5 3 2 2 2 2" xfId="57322" xr:uid="{00000000-0005-0000-0000-000069060000}"/>
    <cellStyle name="20% - Accent1 4 5 3 2 2 3" xfId="42823" xr:uid="{00000000-0005-0000-0000-00006A060000}"/>
    <cellStyle name="20% - Accent1 4 5 3 2 3" xfId="21068" xr:uid="{00000000-0005-0000-0000-00006B060000}"/>
    <cellStyle name="20% - Accent1 4 5 3 2 3 2" xfId="50074" xr:uid="{00000000-0005-0000-0000-00006C060000}"/>
    <cellStyle name="20% - Accent1 4 5 3 2 4" xfId="35575" xr:uid="{00000000-0005-0000-0000-00006D060000}"/>
    <cellStyle name="20% - Accent1 4 5 3 3" xfId="10678" xr:uid="{00000000-0005-0000-0000-00006E060000}"/>
    <cellStyle name="20% - Accent1 4 5 3 3 2" xfId="25212" xr:uid="{00000000-0005-0000-0000-00006F060000}"/>
    <cellStyle name="20% - Accent1 4 5 3 3 2 2" xfId="54218" xr:uid="{00000000-0005-0000-0000-000070060000}"/>
    <cellStyle name="20% - Accent1 4 5 3 3 3" xfId="39719" xr:uid="{00000000-0005-0000-0000-000071060000}"/>
    <cellStyle name="20% - Accent1 4 5 3 4" xfId="17964" xr:uid="{00000000-0005-0000-0000-000072060000}"/>
    <cellStyle name="20% - Accent1 4 5 3 4 2" xfId="46970" xr:uid="{00000000-0005-0000-0000-000073060000}"/>
    <cellStyle name="20% - Accent1 4 5 3 5" xfId="32471" xr:uid="{00000000-0005-0000-0000-000074060000}"/>
    <cellStyle name="20% - Accent1 4 5 4" xfId="4438" xr:uid="{00000000-0005-0000-0000-000075060000}"/>
    <cellStyle name="20% - Accent1 4 5 4 2" xfId="11710" xr:uid="{00000000-0005-0000-0000-000076060000}"/>
    <cellStyle name="20% - Accent1 4 5 4 2 2" xfId="26244" xr:uid="{00000000-0005-0000-0000-000077060000}"/>
    <cellStyle name="20% - Accent1 4 5 4 2 2 2" xfId="55250" xr:uid="{00000000-0005-0000-0000-000078060000}"/>
    <cellStyle name="20% - Accent1 4 5 4 2 3" xfId="40751" xr:uid="{00000000-0005-0000-0000-000079060000}"/>
    <cellStyle name="20% - Accent1 4 5 4 3" xfId="18996" xr:uid="{00000000-0005-0000-0000-00007A060000}"/>
    <cellStyle name="20% - Accent1 4 5 4 3 2" xfId="48002" xr:uid="{00000000-0005-0000-0000-00007B060000}"/>
    <cellStyle name="20% - Accent1 4 5 4 4" xfId="33503" xr:uid="{00000000-0005-0000-0000-00007C060000}"/>
    <cellStyle name="20% - Accent1 4 5 5" xfId="7542" xr:uid="{00000000-0005-0000-0000-00007D060000}"/>
    <cellStyle name="20% - Accent1 4 5 5 2" xfId="14814" xr:uid="{00000000-0005-0000-0000-00007E060000}"/>
    <cellStyle name="20% - Accent1 4 5 5 2 2" xfId="29348" xr:uid="{00000000-0005-0000-0000-00007F060000}"/>
    <cellStyle name="20% - Accent1 4 5 5 2 2 2" xfId="58354" xr:uid="{00000000-0005-0000-0000-000080060000}"/>
    <cellStyle name="20% - Accent1 4 5 5 2 3" xfId="43855" xr:uid="{00000000-0005-0000-0000-000081060000}"/>
    <cellStyle name="20% - Accent1 4 5 5 3" xfId="22100" xr:uid="{00000000-0005-0000-0000-000082060000}"/>
    <cellStyle name="20% - Accent1 4 5 5 3 2" xfId="51106" xr:uid="{00000000-0005-0000-0000-000083060000}"/>
    <cellStyle name="20% - Accent1 4 5 5 4" xfId="36607" xr:uid="{00000000-0005-0000-0000-000084060000}"/>
    <cellStyle name="20% - Accent1 4 5 6" xfId="8606" xr:uid="{00000000-0005-0000-0000-000085060000}"/>
    <cellStyle name="20% - Accent1 4 5 6 2" xfId="23140" xr:uid="{00000000-0005-0000-0000-000086060000}"/>
    <cellStyle name="20% - Accent1 4 5 6 2 2" xfId="52146" xr:uid="{00000000-0005-0000-0000-000087060000}"/>
    <cellStyle name="20% - Accent1 4 5 6 3" xfId="37647" xr:uid="{00000000-0005-0000-0000-000088060000}"/>
    <cellStyle name="20% - Accent1 4 5 7" xfId="15892" xr:uid="{00000000-0005-0000-0000-000089060000}"/>
    <cellStyle name="20% - Accent1 4 5 7 2" xfId="44898" xr:uid="{00000000-0005-0000-0000-00008A060000}"/>
    <cellStyle name="20% - Accent1 4 5 8" xfId="30399" xr:uid="{00000000-0005-0000-0000-00008B060000}"/>
    <cellStyle name="20% - Accent1 4 6" xfId="1862" xr:uid="{00000000-0005-0000-0000-00008C060000}"/>
    <cellStyle name="20% - Accent1 4 6 2" xfId="4966" xr:uid="{00000000-0005-0000-0000-00008D060000}"/>
    <cellStyle name="20% - Accent1 4 6 2 2" xfId="12238" xr:uid="{00000000-0005-0000-0000-00008E060000}"/>
    <cellStyle name="20% - Accent1 4 6 2 2 2" xfId="26772" xr:uid="{00000000-0005-0000-0000-00008F060000}"/>
    <cellStyle name="20% - Accent1 4 6 2 2 2 2" xfId="55778" xr:uid="{00000000-0005-0000-0000-000090060000}"/>
    <cellStyle name="20% - Accent1 4 6 2 2 3" xfId="41279" xr:uid="{00000000-0005-0000-0000-000091060000}"/>
    <cellStyle name="20% - Accent1 4 6 2 3" xfId="19524" xr:uid="{00000000-0005-0000-0000-000092060000}"/>
    <cellStyle name="20% - Accent1 4 6 2 3 2" xfId="48530" xr:uid="{00000000-0005-0000-0000-000093060000}"/>
    <cellStyle name="20% - Accent1 4 6 2 4" xfId="34031" xr:uid="{00000000-0005-0000-0000-000094060000}"/>
    <cellStyle name="20% - Accent1 4 6 3" xfId="9134" xr:uid="{00000000-0005-0000-0000-000095060000}"/>
    <cellStyle name="20% - Accent1 4 6 3 2" xfId="23668" xr:uid="{00000000-0005-0000-0000-000096060000}"/>
    <cellStyle name="20% - Accent1 4 6 3 2 2" xfId="52674" xr:uid="{00000000-0005-0000-0000-000097060000}"/>
    <cellStyle name="20% - Accent1 4 6 3 3" xfId="38175" xr:uid="{00000000-0005-0000-0000-000098060000}"/>
    <cellStyle name="20% - Accent1 4 6 4" xfId="16420" xr:uid="{00000000-0005-0000-0000-000099060000}"/>
    <cellStyle name="20% - Accent1 4 6 4 2" xfId="45426" xr:uid="{00000000-0005-0000-0000-00009A060000}"/>
    <cellStyle name="20% - Accent1 4 6 5" xfId="30927" xr:uid="{00000000-0005-0000-0000-00009B060000}"/>
    <cellStyle name="20% - Accent1 4 7" xfId="2894" xr:uid="{00000000-0005-0000-0000-00009C060000}"/>
    <cellStyle name="20% - Accent1 4 7 2" xfId="5998" xr:uid="{00000000-0005-0000-0000-00009D060000}"/>
    <cellStyle name="20% - Accent1 4 7 2 2" xfId="13270" xr:uid="{00000000-0005-0000-0000-00009E060000}"/>
    <cellStyle name="20% - Accent1 4 7 2 2 2" xfId="27804" xr:uid="{00000000-0005-0000-0000-00009F060000}"/>
    <cellStyle name="20% - Accent1 4 7 2 2 2 2" xfId="56810" xr:uid="{00000000-0005-0000-0000-0000A0060000}"/>
    <cellStyle name="20% - Accent1 4 7 2 2 3" xfId="42311" xr:uid="{00000000-0005-0000-0000-0000A1060000}"/>
    <cellStyle name="20% - Accent1 4 7 2 3" xfId="20556" xr:uid="{00000000-0005-0000-0000-0000A2060000}"/>
    <cellStyle name="20% - Accent1 4 7 2 3 2" xfId="49562" xr:uid="{00000000-0005-0000-0000-0000A3060000}"/>
    <cellStyle name="20% - Accent1 4 7 2 4" xfId="35063" xr:uid="{00000000-0005-0000-0000-0000A4060000}"/>
    <cellStyle name="20% - Accent1 4 7 3" xfId="10166" xr:uid="{00000000-0005-0000-0000-0000A5060000}"/>
    <cellStyle name="20% - Accent1 4 7 3 2" xfId="24700" xr:uid="{00000000-0005-0000-0000-0000A6060000}"/>
    <cellStyle name="20% - Accent1 4 7 3 2 2" xfId="53706" xr:uid="{00000000-0005-0000-0000-0000A7060000}"/>
    <cellStyle name="20% - Accent1 4 7 3 3" xfId="39207" xr:uid="{00000000-0005-0000-0000-0000A8060000}"/>
    <cellStyle name="20% - Accent1 4 7 4" xfId="17452" xr:uid="{00000000-0005-0000-0000-0000A9060000}"/>
    <cellStyle name="20% - Accent1 4 7 4 2" xfId="46458" xr:uid="{00000000-0005-0000-0000-0000AA060000}"/>
    <cellStyle name="20% - Accent1 4 7 5" xfId="31959" xr:uid="{00000000-0005-0000-0000-0000AB060000}"/>
    <cellStyle name="20% - Accent1 4 8" xfId="3926" xr:uid="{00000000-0005-0000-0000-0000AC060000}"/>
    <cellStyle name="20% - Accent1 4 8 2" xfId="11198" xr:uid="{00000000-0005-0000-0000-0000AD060000}"/>
    <cellStyle name="20% - Accent1 4 8 2 2" xfId="25732" xr:uid="{00000000-0005-0000-0000-0000AE060000}"/>
    <cellStyle name="20% - Accent1 4 8 2 2 2" xfId="54738" xr:uid="{00000000-0005-0000-0000-0000AF060000}"/>
    <cellStyle name="20% - Accent1 4 8 2 3" xfId="40239" xr:uid="{00000000-0005-0000-0000-0000B0060000}"/>
    <cellStyle name="20% - Accent1 4 8 3" xfId="18484" xr:uid="{00000000-0005-0000-0000-0000B1060000}"/>
    <cellStyle name="20% - Accent1 4 8 3 2" xfId="47490" xr:uid="{00000000-0005-0000-0000-0000B2060000}"/>
    <cellStyle name="20% - Accent1 4 8 4" xfId="32991" xr:uid="{00000000-0005-0000-0000-0000B3060000}"/>
    <cellStyle name="20% - Accent1 4 9" xfId="7030" xr:uid="{00000000-0005-0000-0000-0000B4060000}"/>
    <cellStyle name="20% - Accent1 4 9 2" xfId="14302" xr:uid="{00000000-0005-0000-0000-0000B5060000}"/>
    <cellStyle name="20% - Accent1 4 9 2 2" xfId="28836" xr:uid="{00000000-0005-0000-0000-0000B6060000}"/>
    <cellStyle name="20% - Accent1 4 9 2 2 2" xfId="57842" xr:uid="{00000000-0005-0000-0000-0000B7060000}"/>
    <cellStyle name="20% - Accent1 4 9 2 3" xfId="43343" xr:uid="{00000000-0005-0000-0000-0000B8060000}"/>
    <cellStyle name="20% - Accent1 4 9 3" xfId="21588" xr:uid="{00000000-0005-0000-0000-0000B9060000}"/>
    <cellStyle name="20% - Accent1 4 9 3 2" xfId="50594" xr:uid="{00000000-0005-0000-0000-0000BA060000}"/>
    <cellStyle name="20% - Accent1 4 9 4" xfId="36095" xr:uid="{00000000-0005-0000-0000-0000BB060000}"/>
    <cellStyle name="20% - Accent1 5" xfId="903" xr:uid="{00000000-0005-0000-0000-0000BC060000}"/>
    <cellStyle name="20% - Accent1 5 10" xfId="29938" xr:uid="{00000000-0005-0000-0000-0000BD060000}"/>
    <cellStyle name="20% - Accent1 5 2" xfId="1171" xr:uid="{00000000-0005-0000-0000-0000BE060000}"/>
    <cellStyle name="20% - Accent1 5 2 2" xfId="1672" xr:uid="{00000000-0005-0000-0000-0000BF060000}"/>
    <cellStyle name="20% - Accent1 5 2 2 2" xfId="2731" xr:uid="{00000000-0005-0000-0000-0000C0060000}"/>
    <cellStyle name="20% - Accent1 5 2 2 2 2" xfId="5835" xr:uid="{00000000-0005-0000-0000-0000C1060000}"/>
    <cellStyle name="20% - Accent1 5 2 2 2 2 2" xfId="13107" xr:uid="{00000000-0005-0000-0000-0000C2060000}"/>
    <cellStyle name="20% - Accent1 5 2 2 2 2 2 2" xfId="27641" xr:uid="{00000000-0005-0000-0000-0000C3060000}"/>
    <cellStyle name="20% - Accent1 5 2 2 2 2 2 2 2" xfId="56647" xr:uid="{00000000-0005-0000-0000-0000C4060000}"/>
    <cellStyle name="20% - Accent1 5 2 2 2 2 2 3" xfId="42148" xr:uid="{00000000-0005-0000-0000-0000C5060000}"/>
    <cellStyle name="20% - Accent1 5 2 2 2 2 3" xfId="20393" xr:uid="{00000000-0005-0000-0000-0000C6060000}"/>
    <cellStyle name="20% - Accent1 5 2 2 2 2 3 2" xfId="49399" xr:uid="{00000000-0005-0000-0000-0000C7060000}"/>
    <cellStyle name="20% - Accent1 5 2 2 2 2 4" xfId="34900" xr:uid="{00000000-0005-0000-0000-0000C8060000}"/>
    <cellStyle name="20% - Accent1 5 2 2 2 3" xfId="10003" xr:uid="{00000000-0005-0000-0000-0000C9060000}"/>
    <cellStyle name="20% - Accent1 5 2 2 2 3 2" xfId="24537" xr:uid="{00000000-0005-0000-0000-0000CA060000}"/>
    <cellStyle name="20% - Accent1 5 2 2 2 3 2 2" xfId="53543" xr:uid="{00000000-0005-0000-0000-0000CB060000}"/>
    <cellStyle name="20% - Accent1 5 2 2 2 3 3" xfId="39044" xr:uid="{00000000-0005-0000-0000-0000CC060000}"/>
    <cellStyle name="20% - Accent1 5 2 2 2 4" xfId="17289" xr:uid="{00000000-0005-0000-0000-0000CD060000}"/>
    <cellStyle name="20% - Accent1 5 2 2 2 4 2" xfId="46295" xr:uid="{00000000-0005-0000-0000-0000CE060000}"/>
    <cellStyle name="20% - Accent1 5 2 2 2 5" xfId="31796" xr:uid="{00000000-0005-0000-0000-0000CF060000}"/>
    <cellStyle name="20% - Accent1 5 2 2 3" xfId="3763" xr:uid="{00000000-0005-0000-0000-0000D0060000}"/>
    <cellStyle name="20% - Accent1 5 2 2 3 2" xfId="6867" xr:uid="{00000000-0005-0000-0000-0000D1060000}"/>
    <cellStyle name="20% - Accent1 5 2 2 3 2 2" xfId="14139" xr:uid="{00000000-0005-0000-0000-0000D2060000}"/>
    <cellStyle name="20% - Accent1 5 2 2 3 2 2 2" xfId="28673" xr:uid="{00000000-0005-0000-0000-0000D3060000}"/>
    <cellStyle name="20% - Accent1 5 2 2 3 2 2 2 2" xfId="57679" xr:uid="{00000000-0005-0000-0000-0000D4060000}"/>
    <cellStyle name="20% - Accent1 5 2 2 3 2 2 3" xfId="43180" xr:uid="{00000000-0005-0000-0000-0000D5060000}"/>
    <cellStyle name="20% - Accent1 5 2 2 3 2 3" xfId="21425" xr:uid="{00000000-0005-0000-0000-0000D6060000}"/>
    <cellStyle name="20% - Accent1 5 2 2 3 2 3 2" xfId="50431" xr:uid="{00000000-0005-0000-0000-0000D7060000}"/>
    <cellStyle name="20% - Accent1 5 2 2 3 2 4" xfId="35932" xr:uid="{00000000-0005-0000-0000-0000D8060000}"/>
    <cellStyle name="20% - Accent1 5 2 2 3 3" xfId="11035" xr:uid="{00000000-0005-0000-0000-0000D9060000}"/>
    <cellStyle name="20% - Accent1 5 2 2 3 3 2" xfId="25569" xr:uid="{00000000-0005-0000-0000-0000DA060000}"/>
    <cellStyle name="20% - Accent1 5 2 2 3 3 2 2" xfId="54575" xr:uid="{00000000-0005-0000-0000-0000DB060000}"/>
    <cellStyle name="20% - Accent1 5 2 2 3 3 3" xfId="40076" xr:uid="{00000000-0005-0000-0000-0000DC060000}"/>
    <cellStyle name="20% - Accent1 5 2 2 3 4" xfId="18321" xr:uid="{00000000-0005-0000-0000-0000DD060000}"/>
    <cellStyle name="20% - Accent1 5 2 2 3 4 2" xfId="47327" xr:uid="{00000000-0005-0000-0000-0000DE060000}"/>
    <cellStyle name="20% - Accent1 5 2 2 3 5" xfId="32828" xr:uid="{00000000-0005-0000-0000-0000DF060000}"/>
    <cellStyle name="20% - Accent1 5 2 2 4" xfId="4795" xr:uid="{00000000-0005-0000-0000-0000E0060000}"/>
    <cellStyle name="20% - Accent1 5 2 2 4 2" xfId="12067" xr:uid="{00000000-0005-0000-0000-0000E1060000}"/>
    <cellStyle name="20% - Accent1 5 2 2 4 2 2" xfId="26601" xr:uid="{00000000-0005-0000-0000-0000E2060000}"/>
    <cellStyle name="20% - Accent1 5 2 2 4 2 2 2" xfId="55607" xr:uid="{00000000-0005-0000-0000-0000E3060000}"/>
    <cellStyle name="20% - Accent1 5 2 2 4 2 3" xfId="41108" xr:uid="{00000000-0005-0000-0000-0000E4060000}"/>
    <cellStyle name="20% - Accent1 5 2 2 4 3" xfId="19353" xr:uid="{00000000-0005-0000-0000-0000E5060000}"/>
    <cellStyle name="20% - Accent1 5 2 2 4 3 2" xfId="48359" xr:uid="{00000000-0005-0000-0000-0000E6060000}"/>
    <cellStyle name="20% - Accent1 5 2 2 4 4" xfId="33860" xr:uid="{00000000-0005-0000-0000-0000E7060000}"/>
    <cellStyle name="20% - Accent1 5 2 2 5" xfId="7899" xr:uid="{00000000-0005-0000-0000-0000E8060000}"/>
    <cellStyle name="20% - Accent1 5 2 2 5 2" xfId="15171" xr:uid="{00000000-0005-0000-0000-0000E9060000}"/>
    <cellStyle name="20% - Accent1 5 2 2 5 2 2" xfId="29705" xr:uid="{00000000-0005-0000-0000-0000EA060000}"/>
    <cellStyle name="20% - Accent1 5 2 2 5 2 2 2" xfId="58711" xr:uid="{00000000-0005-0000-0000-0000EB060000}"/>
    <cellStyle name="20% - Accent1 5 2 2 5 2 3" xfId="44212" xr:uid="{00000000-0005-0000-0000-0000EC060000}"/>
    <cellStyle name="20% - Accent1 5 2 2 5 3" xfId="22457" xr:uid="{00000000-0005-0000-0000-0000ED060000}"/>
    <cellStyle name="20% - Accent1 5 2 2 5 3 2" xfId="51463" xr:uid="{00000000-0005-0000-0000-0000EE060000}"/>
    <cellStyle name="20% - Accent1 5 2 2 5 4" xfId="36964" xr:uid="{00000000-0005-0000-0000-0000EF060000}"/>
    <cellStyle name="20% - Accent1 5 2 2 6" xfId="8963" xr:uid="{00000000-0005-0000-0000-0000F0060000}"/>
    <cellStyle name="20% - Accent1 5 2 2 6 2" xfId="23497" xr:uid="{00000000-0005-0000-0000-0000F1060000}"/>
    <cellStyle name="20% - Accent1 5 2 2 6 2 2" xfId="52503" xr:uid="{00000000-0005-0000-0000-0000F2060000}"/>
    <cellStyle name="20% - Accent1 5 2 2 6 3" xfId="38004" xr:uid="{00000000-0005-0000-0000-0000F3060000}"/>
    <cellStyle name="20% - Accent1 5 2 2 7" xfId="16249" xr:uid="{00000000-0005-0000-0000-0000F4060000}"/>
    <cellStyle name="20% - Accent1 5 2 2 7 2" xfId="45255" xr:uid="{00000000-0005-0000-0000-0000F5060000}"/>
    <cellStyle name="20% - Accent1 5 2 2 8" xfId="30756" xr:uid="{00000000-0005-0000-0000-0000F6060000}"/>
    <cellStyle name="20% - Accent1 5 2 3" xfId="2219" xr:uid="{00000000-0005-0000-0000-0000F7060000}"/>
    <cellStyle name="20% - Accent1 5 2 3 2" xfId="5323" xr:uid="{00000000-0005-0000-0000-0000F8060000}"/>
    <cellStyle name="20% - Accent1 5 2 3 2 2" xfId="12595" xr:uid="{00000000-0005-0000-0000-0000F9060000}"/>
    <cellStyle name="20% - Accent1 5 2 3 2 2 2" xfId="27129" xr:uid="{00000000-0005-0000-0000-0000FA060000}"/>
    <cellStyle name="20% - Accent1 5 2 3 2 2 2 2" xfId="56135" xr:uid="{00000000-0005-0000-0000-0000FB060000}"/>
    <cellStyle name="20% - Accent1 5 2 3 2 2 3" xfId="41636" xr:uid="{00000000-0005-0000-0000-0000FC060000}"/>
    <cellStyle name="20% - Accent1 5 2 3 2 3" xfId="19881" xr:uid="{00000000-0005-0000-0000-0000FD060000}"/>
    <cellStyle name="20% - Accent1 5 2 3 2 3 2" xfId="48887" xr:uid="{00000000-0005-0000-0000-0000FE060000}"/>
    <cellStyle name="20% - Accent1 5 2 3 2 4" xfId="34388" xr:uid="{00000000-0005-0000-0000-0000FF060000}"/>
    <cellStyle name="20% - Accent1 5 2 3 3" xfId="9491" xr:uid="{00000000-0005-0000-0000-000000070000}"/>
    <cellStyle name="20% - Accent1 5 2 3 3 2" xfId="24025" xr:uid="{00000000-0005-0000-0000-000001070000}"/>
    <cellStyle name="20% - Accent1 5 2 3 3 2 2" xfId="53031" xr:uid="{00000000-0005-0000-0000-000002070000}"/>
    <cellStyle name="20% - Accent1 5 2 3 3 3" xfId="38532" xr:uid="{00000000-0005-0000-0000-000003070000}"/>
    <cellStyle name="20% - Accent1 5 2 3 4" xfId="16777" xr:uid="{00000000-0005-0000-0000-000004070000}"/>
    <cellStyle name="20% - Accent1 5 2 3 4 2" xfId="45783" xr:uid="{00000000-0005-0000-0000-000005070000}"/>
    <cellStyle name="20% - Accent1 5 2 3 5" xfId="31284" xr:uid="{00000000-0005-0000-0000-000006070000}"/>
    <cellStyle name="20% - Accent1 5 2 4" xfId="3251" xr:uid="{00000000-0005-0000-0000-000007070000}"/>
    <cellStyle name="20% - Accent1 5 2 4 2" xfId="6355" xr:uid="{00000000-0005-0000-0000-000008070000}"/>
    <cellStyle name="20% - Accent1 5 2 4 2 2" xfId="13627" xr:uid="{00000000-0005-0000-0000-000009070000}"/>
    <cellStyle name="20% - Accent1 5 2 4 2 2 2" xfId="28161" xr:uid="{00000000-0005-0000-0000-00000A070000}"/>
    <cellStyle name="20% - Accent1 5 2 4 2 2 2 2" xfId="57167" xr:uid="{00000000-0005-0000-0000-00000B070000}"/>
    <cellStyle name="20% - Accent1 5 2 4 2 2 3" xfId="42668" xr:uid="{00000000-0005-0000-0000-00000C070000}"/>
    <cellStyle name="20% - Accent1 5 2 4 2 3" xfId="20913" xr:uid="{00000000-0005-0000-0000-00000D070000}"/>
    <cellStyle name="20% - Accent1 5 2 4 2 3 2" xfId="49919" xr:uid="{00000000-0005-0000-0000-00000E070000}"/>
    <cellStyle name="20% - Accent1 5 2 4 2 4" xfId="35420" xr:uid="{00000000-0005-0000-0000-00000F070000}"/>
    <cellStyle name="20% - Accent1 5 2 4 3" xfId="10523" xr:uid="{00000000-0005-0000-0000-000010070000}"/>
    <cellStyle name="20% - Accent1 5 2 4 3 2" xfId="25057" xr:uid="{00000000-0005-0000-0000-000011070000}"/>
    <cellStyle name="20% - Accent1 5 2 4 3 2 2" xfId="54063" xr:uid="{00000000-0005-0000-0000-000012070000}"/>
    <cellStyle name="20% - Accent1 5 2 4 3 3" xfId="39564" xr:uid="{00000000-0005-0000-0000-000013070000}"/>
    <cellStyle name="20% - Accent1 5 2 4 4" xfId="17809" xr:uid="{00000000-0005-0000-0000-000014070000}"/>
    <cellStyle name="20% - Accent1 5 2 4 4 2" xfId="46815" xr:uid="{00000000-0005-0000-0000-000015070000}"/>
    <cellStyle name="20% - Accent1 5 2 4 5" xfId="32316" xr:uid="{00000000-0005-0000-0000-000016070000}"/>
    <cellStyle name="20% - Accent1 5 2 5" xfId="4283" xr:uid="{00000000-0005-0000-0000-000017070000}"/>
    <cellStyle name="20% - Accent1 5 2 5 2" xfId="11555" xr:uid="{00000000-0005-0000-0000-000018070000}"/>
    <cellStyle name="20% - Accent1 5 2 5 2 2" xfId="26089" xr:uid="{00000000-0005-0000-0000-000019070000}"/>
    <cellStyle name="20% - Accent1 5 2 5 2 2 2" xfId="55095" xr:uid="{00000000-0005-0000-0000-00001A070000}"/>
    <cellStyle name="20% - Accent1 5 2 5 2 3" xfId="40596" xr:uid="{00000000-0005-0000-0000-00001B070000}"/>
    <cellStyle name="20% - Accent1 5 2 5 3" xfId="18841" xr:uid="{00000000-0005-0000-0000-00001C070000}"/>
    <cellStyle name="20% - Accent1 5 2 5 3 2" xfId="47847" xr:uid="{00000000-0005-0000-0000-00001D070000}"/>
    <cellStyle name="20% - Accent1 5 2 5 4" xfId="33348" xr:uid="{00000000-0005-0000-0000-00001E070000}"/>
    <cellStyle name="20% - Accent1 5 2 6" xfId="7387" xr:uid="{00000000-0005-0000-0000-00001F070000}"/>
    <cellStyle name="20% - Accent1 5 2 6 2" xfId="14659" xr:uid="{00000000-0005-0000-0000-000020070000}"/>
    <cellStyle name="20% - Accent1 5 2 6 2 2" xfId="29193" xr:uid="{00000000-0005-0000-0000-000021070000}"/>
    <cellStyle name="20% - Accent1 5 2 6 2 2 2" xfId="58199" xr:uid="{00000000-0005-0000-0000-000022070000}"/>
    <cellStyle name="20% - Accent1 5 2 6 2 3" xfId="43700" xr:uid="{00000000-0005-0000-0000-000023070000}"/>
    <cellStyle name="20% - Accent1 5 2 6 3" xfId="21945" xr:uid="{00000000-0005-0000-0000-000024070000}"/>
    <cellStyle name="20% - Accent1 5 2 6 3 2" xfId="50951" xr:uid="{00000000-0005-0000-0000-000025070000}"/>
    <cellStyle name="20% - Accent1 5 2 6 4" xfId="36452" xr:uid="{00000000-0005-0000-0000-000026070000}"/>
    <cellStyle name="20% - Accent1 5 2 7" xfId="8451" xr:uid="{00000000-0005-0000-0000-000027070000}"/>
    <cellStyle name="20% - Accent1 5 2 7 2" xfId="22985" xr:uid="{00000000-0005-0000-0000-000028070000}"/>
    <cellStyle name="20% - Accent1 5 2 7 2 2" xfId="51991" xr:uid="{00000000-0005-0000-0000-000029070000}"/>
    <cellStyle name="20% - Accent1 5 2 7 3" xfId="37492" xr:uid="{00000000-0005-0000-0000-00002A070000}"/>
    <cellStyle name="20% - Accent1 5 2 8" xfId="15737" xr:uid="{00000000-0005-0000-0000-00002B070000}"/>
    <cellStyle name="20% - Accent1 5 2 8 2" xfId="44743" xr:uid="{00000000-0005-0000-0000-00002C070000}"/>
    <cellStyle name="20% - Accent1 5 2 9" xfId="30244" xr:uid="{00000000-0005-0000-0000-00002D070000}"/>
    <cellStyle name="20% - Accent1 5 3" xfId="1368" xr:uid="{00000000-0005-0000-0000-00002E070000}"/>
    <cellStyle name="20% - Accent1 5 3 2" xfId="2425" xr:uid="{00000000-0005-0000-0000-00002F070000}"/>
    <cellStyle name="20% - Accent1 5 3 2 2" xfId="5529" xr:uid="{00000000-0005-0000-0000-000030070000}"/>
    <cellStyle name="20% - Accent1 5 3 2 2 2" xfId="12801" xr:uid="{00000000-0005-0000-0000-000031070000}"/>
    <cellStyle name="20% - Accent1 5 3 2 2 2 2" xfId="27335" xr:uid="{00000000-0005-0000-0000-000032070000}"/>
    <cellStyle name="20% - Accent1 5 3 2 2 2 2 2" xfId="56341" xr:uid="{00000000-0005-0000-0000-000033070000}"/>
    <cellStyle name="20% - Accent1 5 3 2 2 2 3" xfId="41842" xr:uid="{00000000-0005-0000-0000-000034070000}"/>
    <cellStyle name="20% - Accent1 5 3 2 2 3" xfId="20087" xr:uid="{00000000-0005-0000-0000-000035070000}"/>
    <cellStyle name="20% - Accent1 5 3 2 2 3 2" xfId="49093" xr:uid="{00000000-0005-0000-0000-000036070000}"/>
    <cellStyle name="20% - Accent1 5 3 2 2 4" xfId="34594" xr:uid="{00000000-0005-0000-0000-000037070000}"/>
    <cellStyle name="20% - Accent1 5 3 2 3" xfId="9697" xr:uid="{00000000-0005-0000-0000-000038070000}"/>
    <cellStyle name="20% - Accent1 5 3 2 3 2" xfId="24231" xr:uid="{00000000-0005-0000-0000-000039070000}"/>
    <cellStyle name="20% - Accent1 5 3 2 3 2 2" xfId="53237" xr:uid="{00000000-0005-0000-0000-00003A070000}"/>
    <cellStyle name="20% - Accent1 5 3 2 3 3" xfId="38738" xr:uid="{00000000-0005-0000-0000-00003B070000}"/>
    <cellStyle name="20% - Accent1 5 3 2 4" xfId="16983" xr:uid="{00000000-0005-0000-0000-00003C070000}"/>
    <cellStyle name="20% - Accent1 5 3 2 4 2" xfId="45989" xr:uid="{00000000-0005-0000-0000-00003D070000}"/>
    <cellStyle name="20% - Accent1 5 3 2 5" xfId="31490" xr:uid="{00000000-0005-0000-0000-00003E070000}"/>
    <cellStyle name="20% - Accent1 5 3 3" xfId="3457" xr:uid="{00000000-0005-0000-0000-00003F070000}"/>
    <cellStyle name="20% - Accent1 5 3 3 2" xfId="6561" xr:uid="{00000000-0005-0000-0000-000040070000}"/>
    <cellStyle name="20% - Accent1 5 3 3 2 2" xfId="13833" xr:uid="{00000000-0005-0000-0000-000041070000}"/>
    <cellStyle name="20% - Accent1 5 3 3 2 2 2" xfId="28367" xr:uid="{00000000-0005-0000-0000-000042070000}"/>
    <cellStyle name="20% - Accent1 5 3 3 2 2 2 2" xfId="57373" xr:uid="{00000000-0005-0000-0000-000043070000}"/>
    <cellStyle name="20% - Accent1 5 3 3 2 2 3" xfId="42874" xr:uid="{00000000-0005-0000-0000-000044070000}"/>
    <cellStyle name="20% - Accent1 5 3 3 2 3" xfId="21119" xr:uid="{00000000-0005-0000-0000-000045070000}"/>
    <cellStyle name="20% - Accent1 5 3 3 2 3 2" xfId="50125" xr:uid="{00000000-0005-0000-0000-000046070000}"/>
    <cellStyle name="20% - Accent1 5 3 3 2 4" xfId="35626" xr:uid="{00000000-0005-0000-0000-000047070000}"/>
    <cellStyle name="20% - Accent1 5 3 3 3" xfId="10729" xr:uid="{00000000-0005-0000-0000-000048070000}"/>
    <cellStyle name="20% - Accent1 5 3 3 3 2" xfId="25263" xr:uid="{00000000-0005-0000-0000-000049070000}"/>
    <cellStyle name="20% - Accent1 5 3 3 3 2 2" xfId="54269" xr:uid="{00000000-0005-0000-0000-00004A070000}"/>
    <cellStyle name="20% - Accent1 5 3 3 3 3" xfId="39770" xr:uid="{00000000-0005-0000-0000-00004B070000}"/>
    <cellStyle name="20% - Accent1 5 3 3 4" xfId="18015" xr:uid="{00000000-0005-0000-0000-00004C070000}"/>
    <cellStyle name="20% - Accent1 5 3 3 4 2" xfId="47021" xr:uid="{00000000-0005-0000-0000-00004D070000}"/>
    <cellStyle name="20% - Accent1 5 3 3 5" xfId="32522" xr:uid="{00000000-0005-0000-0000-00004E070000}"/>
    <cellStyle name="20% - Accent1 5 3 4" xfId="4489" xr:uid="{00000000-0005-0000-0000-00004F070000}"/>
    <cellStyle name="20% - Accent1 5 3 4 2" xfId="11761" xr:uid="{00000000-0005-0000-0000-000050070000}"/>
    <cellStyle name="20% - Accent1 5 3 4 2 2" xfId="26295" xr:uid="{00000000-0005-0000-0000-000051070000}"/>
    <cellStyle name="20% - Accent1 5 3 4 2 2 2" xfId="55301" xr:uid="{00000000-0005-0000-0000-000052070000}"/>
    <cellStyle name="20% - Accent1 5 3 4 2 3" xfId="40802" xr:uid="{00000000-0005-0000-0000-000053070000}"/>
    <cellStyle name="20% - Accent1 5 3 4 3" xfId="19047" xr:uid="{00000000-0005-0000-0000-000054070000}"/>
    <cellStyle name="20% - Accent1 5 3 4 3 2" xfId="48053" xr:uid="{00000000-0005-0000-0000-000055070000}"/>
    <cellStyle name="20% - Accent1 5 3 4 4" xfId="33554" xr:uid="{00000000-0005-0000-0000-000056070000}"/>
    <cellStyle name="20% - Accent1 5 3 5" xfId="7593" xr:uid="{00000000-0005-0000-0000-000057070000}"/>
    <cellStyle name="20% - Accent1 5 3 5 2" xfId="14865" xr:uid="{00000000-0005-0000-0000-000058070000}"/>
    <cellStyle name="20% - Accent1 5 3 5 2 2" xfId="29399" xr:uid="{00000000-0005-0000-0000-000059070000}"/>
    <cellStyle name="20% - Accent1 5 3 5 2 2 2" xfId="58405" xr:uid="{00000000-0005-0000-0000-00005A070000}"/>
    <cellStyle name="20% - Accent1 5 3 5 2 3" xfId="43906" xr:uid="{00000000-0005-0000-0000-00005B070000}"/>
    <cellStyle name="20% - Accent1 5 3 5 3" xfId="22151" xr:uid="{00000000-0005-0000-0000-00005C070000}"/>
    <cellStyle name="20% - Accent1 5 3 5 3 2" xfId="51157" xr:uid="{00000000-0005-0000-0000-00005D070000}"/>
    <cellStyle name="20% - Accent1 5 3 5 4" xfId="36658" xr:uid="{00000000-0005-0000-0000-00005E070000}"/>
    <cellStyle name="20% - Accent1 5 3 6" xfId="8657" xr:uid="{00000000-0005-0000-0000-00005F070000}"/>
    <cellStyle name="20% - Accent1 5 3 6 2" xfId="23191" xr:uid="{00000000-0005-0000-0000-000060070000}"/>
    <cellStyle name="20% - Accent1 5 3 6 2 2" xfId="52197" xr:uid="{00000000-0005-0000-0000-000061070000}"/>
    <cellStyle name="20% - Accent1 5 3 6 3" xfId="37698" xr:uid="{00000000-0005-0000-0000-000062070000}"/>
    <cellStyle name="20% - Accent1 5 3 7" xfId="15943" xr:uid="{00000000-0005-0000-0000-000063070000}"/>
    <cellStyle name="20% - Accent1 5 3 7 2" xfId="44949" xr:uid="{00000000-0005-0000-0000-000064070000}"/>
    <cellStyle name="20% - Accent1 5 3 8" xfId="30450" xr:uid="{00000000-0005-0000-0000-000065070000}"/>
    <cellStyle name="20% - Accent1 5 4" xfId="1913" xr:uid="{00000000-0005-0000-0000-000066070000}"/>
    <cellStyle name="20% - Accent1 5 4 2" xfId="5017" xr:uid="{00000000-0005-0000-0000-000067070000}"/>
    <cellStyle name="20% - Accent1 5 4 2 2" xfId="12289" xr:uid="{00000000-0005-0000-0000-000068070000}"/>
    <cellStyle name="20% - Accent1 5 4 2 2 2" xfId="26823" xr:uid="{00000000-0005-0000-0000-000069070000}"/>
    <cellStyle name="20% - Accent1 5 4 2 2 2 2" xfId="55829" xr:uid="{00000000-0005-0000-0000-00006A070000}"/>
    <cellStyle name="20% - Accent1 5 4 2 2 3" xfId="41330" xr:uid="{00000000-0005-0000-0000-00006B070000}"/>
    <cellStyle name="20% - Accent1 5 4 2 3" xfId="19575" xr:uid="{00000000-0005-0000-0000-00006C070000}"/>
    <cellStyle name="20% - Accent1 5 4 2 3 2" xfId="48581" xr:uid="{00000000-0005-0000-0000-00006D070000}"/>
    <cellStyle name="20% - Accent1 5 4 2 4" xfId="34082" xr:uid="{00000000-0005-0000-0000-00006E070000}"/>
    <cellStyle name="20% - Accent1 5 4 3" xfId="9185" xr:uid="{00000000-0005-0000-0000-00006F070000}"/>
    <cellStyle name="20% - Accent1 5 4 3 2" xfId="23719" xr:uid="{00000000-0005-0000-0000-000070070000}"/>
    <cellStyle name="20% - Accent1 5 4 3 2 2" xfId="52725" xr:uid="{00000000-0005-0000-0000-000071070000}"/>
    <cellStyle name="20% - Accent1 5 4 3 3" xfId="38226" xr:uid="{00000000-0005-0000-0000-000072070000}"/>
    <cellStyle name="20% - Accent1 5 4 4" xfId="16471" xr:uid="{00000000-0005-0000-0000-000073070000}"/>
    <cellStyle name="20% - Accent1 5 4 4 2" xfId="45477" xr:uid="{00000000-0005-0000-0000-000074070000}"/>
    <cellStyle name="20% - Accent1 5 4 5" xfId="30978" xr:uid="{00000000-0005-0000-0000-000075070000}"/>
    <cellStyle name="20% - Accent1 5 5" xfId="2945" xr:uid="{00000000-0005-0000-0000-000076070000}"/>
    <cellStyle name="20% - Accent1 5 5 2" xfId="6049" xr:uid="{00000000-0005-0000-0000-000077070000}"/>
    <cellStyle name="20% - Accent1 5 5 2 2" xfId="13321" xr:uid="{00000000-0005-0000-0000-000078070000}"/>
    <cellStyle name="20% - Accent1 5 5 2 2 2" xfId="27855" xr:uid="{00000000-0005-0000-0000-000079070000}"/>
    <cellStyle name="20% - Accent1 5 5 2 2 2 2" xfId="56861" xr:uid="{00000000-0005-0000-0000-00007A070000}"/>
    <cellStyle name="20% - Accent1 5 5 2 2 3" xfId="42362" xr:uid="{00000000-0005-0000-0000-00007B070000}"/>
    <cellStyle name="20% - Accent1 5 5 2 3" xfId="20607" xr:uid="{00000000-0005-0000-0000-00007C070000}"/>
    <cellStyle name="20% - Accent1 5 5 2 3 2" xfId="49613" xr:uid="{00000000-0005-0000-0000-00007D070000}"/>
    <cellStyle name="20% - Accent1 5 5 2 4" xfId="35114" xr:uid="{00000000-0005-0000-0000-00007E070000}"/>
    <cellStyle name="20% - Accent1 5 5 3" xfId="10217" xr:uid="{00000000-0005-0000-0000-00007F070000}"/>
    <cellStyle name="20% - Accent1 5 5 3 2" xfId="24751" xr:uid="{00000000-0005-0000-0000-000080070000}"/>
    <cellStyle name="20% - Accent1 5 5 3 2 2" xfId="53757" xr:uid="{00000000-0005-0000-0000-000081070000}"/>
    <cellStyle name="20% - Accent1 5 5 3 3" xfId="39258" xr:uid="{00000000-0005-0000-0000-000082070000}"/>
    <cellStyle name="20% - Accent1 5 5 4" xfId="17503" xr:uid="{00000000-0005-0000-0000-000083070000}"/>
    <cellStyle name="20% - Accent1 5 5 4 2" xfId="46509" xr:uid="{00000000-0005-0000-0000-000084070000}"/>
    <cellStyle name="20% - Accent1 5 5 5" xfId="32010" xr:uid="{00000000-0005-0000-0000-000085070000}"/>
    <cellStyle name="20% - Accent1 5 6" xfId="3977" xr:uid="{00000000-0005-0000-0000-000086070000}"/>
    <cellStyle name="20% - Accent1 5 6 2" xfId="11249" xr:uid="{00000000-0005-0000-0000-000087070000}"/>
    <cellStyle name="20% - Accent1 5 6 2 2" xfId="25783" xr:uid="{00000000-0005-0000-0000-000088070000}"/>
    <cellStyle name="20% - Accent1 5 6 2 2 2" xfId="54789" xr:uid="{00000000-0005-0000-0000-000089070000}"/>
    <cellStyle name="20% - Accent1 5 6 2 3" xfId="40290" xr:uid="{00000000-0005-0000-0000-00008A070000}"/>
    <cellStyle name="20% - Accent1 5 6 3" xfId="18535" xr:uid="{00000000-0005-0000-0000-00008B070000}"/>
    <cellStyle name="20% - Accent1 5 6 3 2" xfId="47541" xr:uid="{00000000-0005-0000-0000-00008C070000}"/>
    <cellStyle name="20% - Accent1 5 6 4" xfId="33042" xr:uid="{00000000-0005-0000-0000-00008D070000}"/>
    <cellStyle name="20% - Accent1 5 7" xfId="7081" xr:uid="{00000000-0005-0000-0000-00008E070000}"/>
    <cellStyle name="20% - Accent1 5 7 2" xfId="14353" xr:uid="{00000000-0005-0000-0000-00008F070000}"/>
    <cellStyle name="20% - Accent1 5 7 2 2" xfId="28887" xr:uid="{00000000-0005-0000-0000-000090070000}"/>
    <cellStyle name="20% - Accent1 5 7 2 2 2" xfId="57893" xr:uid="{00000000-0005-0000-0000-000091070000}"/>
    <cellStyle name="20% - Accent1 5 7 2 3" xfId="43394" xr:uid="{00000000-0005-0000-0000-000092070000}"/>
    <cellStyle name="20% - Accent1 5 7 3" xfId="21639" xr:uid="{00000000-0005-0000-0000-000093070000}"/>
    <cellStyle name="20% - Accent1 5 7 3 2" xfId="50645" xr:uid="{00000000-0005-0000-0000-000094070000}"/>
    <cellStyle name="20% - Accent1 5 7 4" xfId="36146" xr:uid="{00000000-0005-0000-0000-000095070000}"/>
    <cellStyle name="20% - Accent1 5 8" xfId="8145" xr:uid="{00000000-0005-0000-0000-000096070000}"/>
    <cellStyle name="20% - Accent1 5 8 2" xfId="22679" xr:uid="{00000000-0005-0000-0000-000097070000}"/>
    <cellStyle name="20% - Accent1 5 8 2 2" xfId="51685" xr:uid="{00000000-0005-0000-0000-000098070000}"/>
    <cellStyle name="20% - Accent1 5 8 3" xfId="37186" xr:uid="{00000000-0005-0000-0000-000099070000}"/>
    <cellStyle name="20% - Accent1 5 9" xfId="15431" xr:uid="{00000000-0005-0000-0000-00009A070000}"/>
    <cellStyle name="20% - Accent1 5 9 2" xfId="44437" xr:uid="{00000000-0005-0000-0000-00009B070000}"/>
    <cellStyle name="20% - Accent1 6" xfId="1077" xr:uid="{00000000-0005-0000-0000-00009C070000}"/>
    <cellStyle name="20% - Accent1 6 2" xfId="1569" xr:uid="{00000000-0005-0000-0000-00009D070000}"/>
    <cellStyle name="20% - Accent1 6 2 2" xfId="2628" xr:uid="{00000000-0005-0000-0000-00009E070000}"/>
    <cellStyle name="20% - Accent1 6 2 2 2" xfId="5732" xr:uid="{00000000-0005-0000-0000-00009F070000}"/>
    <cellStyle name="20% - Accent1 6 2 2 2 2" xfId="13004" xr:uid="{00000000-0005-0000-0000-0000A0070000}"/>
    <cellStyle name="20% - Accent1 6 2 2 2 2 2" xfId="27538" xr:uid="{00000000-0005-0000-0000-0000A1070000}"/>
    <cellStyle name="20% - Accent1 6 2 2 2 2 2 2" xfId="56544" xr:uid="{00000000-0005-0000-0000-0000A2070000}"/>
    <cellStyle name="20% - Accent1 6 2 2 2 2 3" xfId="42045" xr:uid="{00000000-0005-0000-0000-0000A3070000}"/>
    <cellStyle name="20% - Accent1 6 2 2 2 3" xfId="20290" xr:uid="{00000000-0005-0000-0000-0000A4070000}"/>
    <cellStyle name="20% - Accent1 6 2 2 2 3 2" xfId="49296" xr:uid="{00000000-0005-0000-0000-0000A5070000}"/>
    <cellStyle name="20% - Accent1 6 2 2 2 4" xfId="34797" xr:uid="{00000000-0005-0000-0000-0000A6070000}"/>
    <cellStyle name="20% - Accent1 6 2 2 3" xfId="9900" xr:uid="{00000000-0005-0000-0000-0000A7070000}"/>
    <cellStyle name="20% - Accent1 6 2 2 3 2" xfId="24434" xr:uid="{00000000-0005-0000-0000-0000A8070000}"/>
    <cellStyle name="20% - Accent1 6 2 2 3 2 2" xfId="53440" xr:uid="{00000000-0005-0000-0000-0000A9070000}"/>
    <cellStyle name="20% - Accent1 6 2 2 3 3" xfId="38941" xr:uid="{00000000-0005-0000-0000-0000AA070000}"/>
    <cellStyle name="20% - Accent1 6 2 2 4" xfId="17186" xr:uid="{00000000-0005-0000-0000-0000AB070000}"/>
    <cellStyle name="20% - Accent1 6 2 2 4 2" xfId="46192" xr:uid="{00000000-0005-0000-0000-0000AC070000}"/>
    <cellStyle name="20% - Accent1 6 2 2 5" xfId="31693" xr:uid="{00000000-0005-0000-0000-0000AD070000}"/>
    <cellStyle name="20% - Accent1 6 2 3" xfId="3660" xr:uid="{00000000-0005-0000-0000-0000AE070000}"/>
    <cellStyle name="20% - Accent1 6 2 3 2" xfId="6764" xr:uid="{00000000-0005-0000-0000-0000AF070000}"/>
    <cellStyle name="20% - Accent1 6 2 3 2 2" xfId="14036" xr:uid="{00000000-0005-0000-0000-0000B0070000}"/>
    <cellStyle name="20% - Accent1 6 2 3 2 2 2" xfId="28570" xr:uid="{00000000-0005-0000-0000-0000B1070000}"/>
    <cellStyle name="20% - Accent1 6 2 3 2 2 2 2" xfId="57576" xr:uid="{00000000-0005-0000-0000-0000B2070000}"/>
    <cellStyle name="20% - Accent1 6 2 3 2 2 3" xfId="43077" xr:uid="{00000000-0005-0000-0000-0000B3070000}"/>
    <cellStyle name="20% - Accent1 6 2 3 2 3" xfId="21322" xr:uid="{00000000-0005-0000-0000-0000B4070000}"/>
    <cellStyle name="20% - Accent1 6 2 3 2 3 2" xfId="50328" xr:uid="{00000000-0005-0000-0000-0000B5070000}"/>
    <cellStyle name="20% - Accent1 6 2 3 2 4" xfId="35829" xr:uid="{00000000-0005-0000-0000-0000B6070000}"/>
    <cellStyle name="20% - Accent1 6 2 3 3" xfId="10932" xr:uid="{00000000-0005-0000-0000-0000B7070000}"/>
    <cellStyle name="20% - Accent1 6 2 3 3 2" xfId="25466" xr:uid="{00000000-0005-0000-0000-0000B8070000}"/>
    <cellStyle name="20% - Accent1 6 2 3 3 2 2" xfId="54472" xr:uid="{00000000-0005-0000-0000-0000B9070000}"/>
    <cellStyle name="20% - Accent1 6 2 3 3 3" xfId="39973" xr:uid="{00000000-0005-0000-0000-0000BA070000}"/>
    <cellStyle name="20% - Accent1 6 2 3 4" xfId="18218" xr:uid="{00000000-0005-0000-0000-0000BB070000}"/>
    <cellStyle name="20% - Accent1 6 2 3 4 2" xfId="47224" xr:uid="{00000000-0005-0000-0000-0000BC070000}"/>
    <cellStyle name="20% - Accent1 6 2 3 5" xfId="32725" xr:uid="{00000000-0005-0000-0000-0000BD070000}"/>
    <cellStyle name="20% - Accent1 6 2 4" xfId="4692" xr:uid="{00000000-0005-0000-0000-0000BE070000}"/>
    <cellStyle name="20% - Accent1 6 2 4 2" xfId="11964" xr:uid="{00000000-0005-0000-0000-0000BF070000}"/>
    <cellStyle name="20% - Accent1 6 2 4 2 2" xfId="26498" xr:uid="{00000000-0005-0000-0000-0000C0070000}"/>
    <cellStyle name="20% - Accent1 6 2 4 2 2 2" xfId="55504" xr:uid="{00000000-0005-0000-0000-0000C1070000}"/>
    <cellStyle name="20% - Accent1 6 2 4 2 3" xfId="41005" xr:uid="{00000000-0005-0000-0000-0000C2070000}"/>
    <cellStyle name="20% - Accent1 6 2 4 3" xfId="19250" xr:uid="{00000000-0005-0000-0000-0000C3070000}"/>
    <cellStyle name="20% - Accent1 6 2 4 3 2" xfId="48256" xr:uid="{00000000-0005-0000-0000-0000C4070000}"/>
    <cellStyle name="20% - Accent1 6 2 4 4" xfId="33757" xr:uid="{00000000-0005-0000-0000-0000C5070000}"/>
    <cellStyle name="20% - Accent1 6 2 5" xfId="7796" xr:uid="{00000000-0005-0000-0000-0000C6070000}"/>
    <cellStyle name="20% - Accent1 6 2 5 2" xfId="15068" xr:uid="{00000000-0005-0000-0000-0000C7070000}"/>
    <cellStyle name="20% - Accent1 6 2 5 2 2" xfId="29602" xr:uid="{00000000-0005-0000-0000-0000C8070000}"/>
    <cellStyle name="20% - Accent1 6 2 5 2 2 2" xfId="58608" xr:uid="{00000000-0005-0000-0000-0000C9070000}"/>
    <cellStyle name="20% - Accent1 6 2 5 2 3" xfId="44109" xr:uid="{00000000-0005-0000-0000-0000CA070000}"/>
    <cellStyle name="20% - Accent1 6 2 5 3" xfId="22354" xr:uid="{00000000-0005-0000-0000-0000CB070000}"/>
    <cellStyle name="20% - Accent1 6 2 5 3 2" xfId="51360" xr:uid="{00000000-0005-0000-0000-0000CC070000}"/>
    <cellStyle name="20% - Accent1 6 2 5 4" xfId="36861" xr:uid="{00000000-0005-0000-0000-0000CD070000}"/>
    <cellStyle name="20% - Accent1 6 2 6" xfId="8860" xr:uid="{00000000-0005-0000-0000-0000CE070000}"/>
    <cellStyle name="20% - Accent1 6 2 6 2" xfId="23394" xr:uid="{00000000-0005-0000-0000-0000CF070000}"/>
    <cellStyle name="20% - Accent1 6 2 6 2 2" xfId="52400" xr:uid="{00000000-0005-0000-0000-0000D0070000}"/>
    <cellStyle name="20% - Accent1 6 2 6 3" xfId="37901" xr:uid="{00000000-0005-0000-0000-0000D1070000}"/>
    <cellStyle name="20% - Accent1 6 2 7" xfId="16146" xr:uid="{00000000-0005-0000-0000-0000D2070000}"/>
    <cellStyle name="20% - Accent1 6 2 7 2" xfId="45152" xr:uid="{00000000-0005-0000-0000-0000D3070000}"/>
    <cellStyle name="20% - Accent1 6 2 8" xfId="30653" xr:uid="{00000000-0005-0000-0000-0000D4070000}"/>
    <cellStyle name="20% - Accent1 6 3" xfId="2116" xr:uid="{00000000-0005-0000-0000-0000D5070000}"/>
    <cellStyle name="20% - Accent1 6 3 2" xfId="5220" xr:uid="{00000000-0005-0000-0000-0000D6070000}"/>
    <cellStyle name="20% - Accent1 6 3 2 2" xfId="12492" xr:uid="{00000000-0005-0000-0000-0000D7070000}"/>
    <cellStyle name="20% - Accent1 6 3 2 2 2" xfId="27026" xr:uid="{00000000-0005-0000-0000-0000D8070000}"/>
    <cellStyle name="20% - Accent1 6 3 2 2 2 2" xfId="56032" xr:uid="{00000000-0005-0000-0000-0000D9070000}"/>
    <cellStyle name="20% - Accent1 6 3 2 2 3" xfId="41533" xr:uid="{00000000-0005-0000-0000-0000DA070000}"/>
    <cellStyle name="20% - Accent1 6 3 2 3" xfId="19778" xr:uid="{00000000-0005-0000-0000-0000DB070000}"/>
    <cellStyle name="20% - Accent1 6 3 2 3 2" xfId="48784" xr:uid="{00000000-0005-0000-0000-0000DC070000}"/>
    <cellStyle name="20% - Accent1 6 3 2 4" xfId="34285" xr:uid="{00000000-0005-0000-0000-0000DD070000}"/>
    <cellStyle name="20% - Accent1 6 3 3" xfId="9388" xr:uid="{00000000-0005-0000-0000-0000DE070000}"/>
    <cellStyle name="20% - Accent1 6 3 3 2" xfId="23922" xr:uid="{00000000-0005-0000-0000-0000DF070000}"/>
    <cellStyle name="20% - Accent1 6 3 3 2 2" xfId="52928" xr:uid="{00000000-0005-0000-0000-0000E0070000}"/>
    <cellStyle name="20% - Accent1 6 3 3 3" xfId="38429" xr:uid="{00000000-0005-0000-0000-0000E1070000}"/>
    <cellStyle name="20% - Accent1 6 3 4" xfId="16674" xr:uid="{00000000-0005-0000-0000-0000E2070000}"/>
    <cellStyle name="20% - Accent1 6 3 4 2" xfId="45680" xr:uid="{00000000-0005-0000-0000-0000E3070000}"/>
    <cellStyle name="20% - Accent1 6 3 5" xfId="31181" xr:uid="{00000000-0005-0000-0000-0000E4070000}"/>
    <cellStyle name="20% - Accent1 6 4" xfId="3148" xr:uid="{00000000-0005-0000-0000-0000E5070000}"/>
    <cellStyle name="20% - Accent1 6 4 2" xfId="6252" xr:uid="{00000000-0005-0000-0000-0000E6070000}"/>
    <cellStyle name="20% - Accent1 6 4 2 2" xfId="13524" xr:uid="{00000000-0005-0000-0000-0000E7070000}"/>
    <cellStyle name="20% - Accent1 6 4 2 2 2" xfId="28058" xr:uid="{00000000-0005-0000-0000-0000E8070000}"/>
    <cellStyle name="20% - Accent1 6 4 2 2 2 2" xfId="57064" xr:uid="{00000000-0005-0000-0000-0000E9070000}"/>
    <cellStyle name="20% - Accent1 6 4 2 2 3" xfId="42565" xr:uid="{00000000-0005-0000-0000-0000EA070000}"/>
    <cellStyle name="20% - Accent1 6 4 2 3" xfId="20810" xr:uid="{00000000-0005-0000-0000-0000EB070000}"/>
    <cellStyle name="20% - Accent1 6 4 2 3 2" xfId="49816" xr:uid="{00000000-0005-0000-0000-0000EC070000}"/>
    <cellStyle name="20% - Accent1 6 4 2 4" xfId="35317" xr:uid="{00000000-0005-0000-0000-0000ED070000}"/>
    <cellStyle name="20% - Accent1 6 4 3" xfId="10420" xr:uid="{00000000-0005-0000-0000-0000EE070000}"/>
    <cellStyle name="20% - Accent1 6 4 3 2" xfId="24954" xr:uid="{00000000-0005-0000-0000-0000EF070000}"/>
    <cellStyle name="20% - Accent1 6 4 3 2 2" xfId="53960" xr:uid="{00000000-0005-0000-0000-0000F0070000}"/>
    <cellStyle name="20% - Accent1 6 4 3 3" xfId="39461" xr:uid="{00000000-0005-0000-0000-0000F1070000}"/>
    <cellStyle name="20% - Accent1 6 4 4" xfId="17706" xr:uid="{00000000-0005-0000-0000-0000F2070000}"/>
    <cellStyle name="20% - Accent1 6 4 4 2" xfId="46712" xr:uid="{00000000-0005-0000-0000-0000F3070000}"/>
    <cellStyle name="20% - Accent1 6 4 5" xfId="32213" xr:uid="{00000000-0005-0000-0000-0000F4070000}"/>
    <cellStyle name="20% - Accent1 6 5" xfId="4180" xr:uid="{00000000-0005-0000-0000-0000F5070000}"/>
    <cellStyle name="20% - Accent1 6 5 2" xfId="11452" xr:uid="{00000000-0005-0000-0000-0000F6070000}"/>
    <cellStyle name="20% - Accent1 6 5 2 2" xfId="25986" xr:uid="{00000000-0005-0000-0000-0000F7070000}"/>
    <cellStyle name="20% - Accent1 6 5 2 2 2" xfId="54992" xr:uid="{00000000-0005-0000-0000-0000F8070000}"/>
    <cellStyle name="20% - Accent1 6 5 2 3" xfId="40493" xr:uid="{00000000-0005-0000-0000-0000F9070000}"/>
    <cellStyle name="20% - Accent1 6 5 3" xfId="18738" xr:uid="{00000000-0005-0000-0000-0000FA070000}"/>
    <cellStyle name="20% - Accent1 6 5 3 2" xfId="47744" xr:uid="{00000000-0005-0000-0000-0000FB070000}"/>
    <cellStyle name="20% - Accent1 6 5 4" xfId="33245" xr:uid="{00000000-0005-0000-0000-0000FC070000}"/>
    <cellStyle name="20% - Accent1 6 6" xfId="7284" xr:uid="{00000000-0005-0000-0000-0000FD070000}"/>
    <cellStyle name="20% - Accent1 6 6 2" xfId="14556" xr:uid="{00000000-0005-0000-0000-0000FE070000}"/>
    <cellStyle name="20% - Accent1 6 6 2 2" xfId="29090" xr:uid="{00000000-0005-0000-0000-0000FF070000}"/>
    <cellStyle name="20% - Accent1 6 6 2 2 2" xfId="58096" xr:uid="{00000000-0005-0000-0000-000000080000}"/>
    <cellStyle name="20% - Accent1 6 6 2 3" xfId="43597" xr:uid="{00000000-0005-0000-0000-000001080000}"/>
    <cellStyle name="20% - Accent1 6 6 3" xfId="21842" xr:uid="{00000000-0005-0000-0000-000002080000}"/>
    <cellStyle name="20% - Accent1 6 6 3 2" xfId="50848" xr:uid="{00000000-0005-0000-0000-000003080000}"/>
    <cellStyle name="20% - Accent1 6 6 4" xfId="36349" xr:uid="{00000000-0005-0000-0000-000004080000}"/>
    <cellStyle name="20% - Accent1 6 7" xfId="8348" xr:uid="{00000000-0005-0000-0000-000005080000}"/>
    <cellStyle name="20% - Accent1 6 7 2" xfId="22882" xr:uid="{00000000-0005-0000-0000-000006080000}"/>
    <cellStyle name="20% - Accent1 6 7 2 2" xfId="51888" xr:uid="{00000000-0005-0000-0000-000007080000}"/>
    <cellStyle name="20% - Accent1 6 7 3" xfId="37389" xr:uid="{00000000-0005-0000-0000-000008080000}"/>
    <cellStyle name="20% - Accent1 6 8" xfId="15634" xr:uid="{00000000-0005-0000-0000-000009080000}"/>
    <cellStyle name="20% - Accent1 6 8 2" xfId="44640" xr:uid="{00000000-0005-0000-0000-00000A080000}"/>
    <cellStyle name="20% - Accent1 6 9" xfId="30141" xr:uid="{00000000-0005-0000-0000-00000B080000}"/>
    <cellStyle name="20% - Accent1 7" xfId="985" xr:uid="{00000000-0005-0000-0000-00000C080000}"/>
    <cellStyle name="20% - Accent1 7 2" xfId="1470" xr:uid="{00000000-0005-0000-0000-00000D080000}"/>
    <cellStyle name="20% - Accent1 7 2 2" xfId="2528" xr:uid="{00000000-0005-0000-0000-00000E080000}"/>
    <cellStyle name="20% - Accent1 7 2 2 2" xfId="5632" xr:uid="{00000000-0005-0000-0000-00000F080000}"/>
    <cellStyle name="20% - Accent1 7 2 2 2 2" xfId="12904" xr:uid="{00000000-0005-0000-0000-000010080000}"/>
    <cellStyle name="20% - Accent1 7 2 2 2 2 2" xfId="27438" xr:uid="{00000000-0005-0000-0000-000011080000}"/>
    <cellStyle name="20% - Accent1 7 2 2 2 2 2 2" xfId="56444" xr:uid="{00000000-0005-0000-0000-000012080000}"/>
    <cellStyle name="20% - Accent1 7 2 2 2 2 3" xfId="41945" xr:uid="{00000000-0005-0000-0000-000013080000}"/>
    <cellStyle name="20% - Accent1 7 2 2 2 3" xfId="20190" xr:uid="{00000000-0005-0000-0000-000014080000}"/>
    <cellStyle name="20% - Accent1 7 2 2 2 3 2" xfId="49196" xr:uid="{00000000-0005-0000-0000-000015080000}"/>
    <cellStyle name="20% - Accent1 7 2 2 2 4" xfId="34697" xr:uid="{00000000-0005-0000-0000-000016080000}"/>
    <cellStyle name="20% - Accent1 7 2 2 3" xfId="9800" xr:uid="{00000000-0005-0000-0000-000017080000}"/>
    <cellStyle name="20% - Accent1 7 2 2 3 2" xfId="24334" xr:uid="{00000000-0005-0000-0000-000018080000}"/>
    <cellStyle name="20% - Accent1 7 2 2 3 2 2" xfId="53340" xr:uid="{00000000-0005-0000-0000-000019080000}"/>
    <cellStyle name="20% - Accent1 7 2 2 3 3" xfId="38841" xr:uid="{00000000-0005-0000-0000-00001A080000}"/>
    <cellStyle name="20% - Accent1 7 2 2 4" xfId="17086" xr:uid="{00000000-0005-0000-0000-00001B080000}"/>
    <cellStyle name="20% - Accent1 7 2 2 4 2" xfId="46092" xr:uid="{00000000-0005-0000-0000-00001C080000}"/>
    <cellStyle name="20% - Accent1 7 2 2 5" xfId="31593" xr:uid="{00000000-0005-0000-0000-00001D080000}"/>
    <cellStyle name="20% - Accent1 7 2 3" xfId="3560" xr:uid="{00000000-0005-0000-0000-00001E080000}"/>
    <cellStyle name="20% - Accent1 7 2 3 2" xfId="6664" xr:uid="{00000000-0005-0000-0000-00001F080000}"/>
    <cellStyle name="20% - Accent1 7 2 3 2 2" xfId="13936" xr:uid="{00000000-0005-0000-0000-000020080000}"/>
    <cellStyle name="20% - Accent1 7 2 3 2 2 2" xfId="28470" xr:uid="{00000000-0005-0000-0000-000021080000}"/>
    <cellStyle name="20% - Accent1 7 2 3 2 2 2 2" xfId="57476" xr:uid="{00000000-0005-0000-0000-000022080000}"/>
    <cellStyle name="20% - Accent1 7 2 3 2 2 3" xfId="42977" xr:uid="{00000000-0005-0000-0000-000023080000}"/>
    <cellStyle name="20% - Accent1 7 2 3 2 3" xfId="21222" xr:uid="{00000000-0005-0000-0000-000024080000}"/>
    <cellStyle name="20% - Accent1 7 2 3 2 3 2" xfId="50228" xr:uid="{00000000-0005-0000-0000-000025080000}"/>
    <cellStyle name="20% - Accent1 7 2 3 2 4" xfId="35729" xr:uid="{00000000-0005-0000-0000-000026080000}"/>
    <cellStyle name="20% - Accent1 7 2 3 3" xfId="10832" xr:uid="{00000000-0005-0000-0000-000027080000}"/>
    <cellStyle name="20% - Accent1 7 2 3 3 2" xfId="25366" xr:uid="{00000000-0005-0000-0000-000028080000}"/>
    <cellStyle name="20% - Accent1 7 2 3 3 2 2" xfId="54372" xr:uid="{00000000-0005-0000-0000-000029080000}"/>
    <cellStyle name="20% - Accent1 7 2 3 3 3" xfId="39873" xr:uid="{00000000-0005-0000-0000-00002A080000}"/>
    <cellStyle name="20% - Accent1 7 2 3 4" xfId="18118" xr:uid="{00000000-0005-0000-0000-00002B080000}"/>
    <cellStyle name="20% - Accent1 7 2 3 4 2" xfId="47124" xr:uid="{00000000-0005-0000-0000-00002C080000}"/>
    <cellStyle name="20% - Accent1 7 2 3 5" xfId="32625" xr:uid="{00000000-0005-0000-0000-00002D080000}"/>
    <cellStyle name="20% - Accent1 7 2 4" xfId="4592" xr:uid="{00000000-0005-0000-0000-00002E080000}"/>
    <cellStyle name="20% - Accent1 7 2 4 2" xfId="11864" xr:uid="{00000000-0005-0000-0000-00002F080000}"/>
    <cellStyle name="20% - Accent1 7 2 4 2 2" xfId="26398" xr:uid="{00000000-0005-0000-0000-000030080000}"/>
    <cellStyle name="20% - Accent1 7 2 4 2 2 2" xfId="55404" xr:uid="{00000000-0005-0000-0000-000031080000}"/>
    <cellStyle name="20% - Accent1 7 2 4 2 3" xfId="40905" xr:uid="{00000000-0005-0000-0000-000032080000}"/>
    <cellStyle name="20% - Accent1 7 2 4 3" xfId="19150" xr:uid="{00000000-0005-0000-0000-000033080000}"/>
    <cellStyle name="20% - Accent1 7 2 4 3 2" xfId="48156" xr:uid="{00000000-0005-0000-0000-000034080000}"/>
    <cellStyle name="20% - Accent1 7 2 4 4" xfId="33657" xr:uid="{00000000-0005-0000-0000-000035080000}"/>
    <cellStyle name="20% - Accent1 7 2 5" xfId="7696" xr:uid="{00000000-0005-0000-0000-000036080000}"/>
    <cellStyle name="20% - Accent1 7 2 5 2" xfId="14968" xr:uid="{00000000-0005-0000-0000-000037080000}"/>
    <cellStyle name="20% - Accent1 7 2 5 2 2" xfId="29502" xr:uid="{00000000-0005-0000-0000-000038080000}"/>
    <cellStyle name="20% - Accent1 7 2 5 2 2 2" xfId="58508" xr:uid="{00000000-0005-0000-0000-000039080000}"/>
    <cellStyle name="20% - Accent1 7 2 5 2 3" xfId="44009" xr:uid="{00000000-0005-0000-0000-00003A080000}"/>
    <cellStyle name="20% - Accent1 7 2 5 3" xfId="22254" xr:uid="{00000000-0005-0000-0000-00003B080000}"/>
    <cellStyle name="20% - Accent1 7 2 5 3 2" xfId="51260" xr:uid="{00000000-0005-0000-0000-00003C080000}"/>
    <cellStyle name="20% - Accent1 7 2 5 4" xfId="36761" xr:uid="{00000000-0005-0000-0000-00003D080000}"/>
    <cellStyle name="20% - Accent1 7 2 6" xfId="8760" xr:uid="{00000000-0005-0000-0000-00003E080000}"/>
    <cellStyle name="20% - Accent1 7 2 6 2" xfId="23294" xr:uid="{00000000-0005-0000-0000-00003F080000}"/>
    <cellStyle name="20% - Accent1 7 2 6 2 2" xfId="52300" xr:uid="{00000000-0005-0000-0000-000040080000}"/>
    <cellStyle name="20% - Accent1 7 2 6 3" xfId="37801" xr:uid="{00000000-0005-0000-0000-000041080000}"/>
    <cellStyle name="20% - Accent1 7 2 7" xfId="16046" xr:uid="{00000000-0005-0000-0000-000042080000}"/>
    <cellStyle name="20% - Accent1 7 2 7 2" xfId="45052" xr:uid="{00000000-0005-0000-0000-000043080000}"/>
    <cellStyle name="20% - Accent1 7 2 8" xfId="30553" xr:uid="{00000000-0005-0000-0000-000044080000}"/>
    <cellStyle name="20% - Accent1 7 3" xfId="2016" xr:uid="{00000000-0005-0000-0000-000045080000}"/>
    <cellStyle name="20% - Accent1 7 3 2" xfId="5120" xr:uid="{00000000-0005-0000-0000-000046080000}"/>
    <cellStyle name="20% - Accent1 7 3 2 2" xfId="12392" xr:uid="{00000000-0005-0000-0000-000047080000}"/>
    <cellStyle name="20% - Accent1 7 3 2 2 2" xfId="26926" xr:uid="{00000000-0005-0000-0000-000048080000}"/>
    <cellStyle name="20% - Accent1 7 3 2 2 2 2" xfId="55932" xr:uid="{00000000-0005-0000-0000-000049080000}"/>
    <cellStyle name="20% - Accent1 7 3 2 2 3" xfId="41433" xr:uid="{00000000-0005-0000-0000-00004A080000}"/>
    <cellStyle name="20% - Accent1 7 3 2 3" xfId="19678" xr:uid="{00000000-0005-0000-0000-00004B080000}"/>
    <cellStyle name="20% - Accent1 7 3 2 3 2" xfId="48684" xr:uid="{00000000-0005-0000-0000-00004C080000}"/>
    <cellStyle name="20% - Accent1 7 3 2 4" xfId="34185" xr:uid="{00000000-0005-0000-0000-00004D080000}"/>
    <cellStyle name="20% - Accent1 7 3 3" xfId="9288" xr:uid="{00000000-0005-0000-0000-00004E080000}"/>
    <cellStyle name="20% - Accent1 7 3 3 2" xfId="23822" xr:uid="{00000000-0005-0000-0000-00004F080000}"/>
    <cellStyle name="20% - Accent1 7 3 3 2 2" xfId="52828" xr:uid="{00000000-0005-0000-0000-000050080000}"/>
    <cellStyle name="20% - Accent1 7 3 3 3" xfId="38329" xr:uid="{00000000-0005-0000-0000-000051080000}"/>
    <cellStyle name="20% - Accent1 7 3 4" xfId="16574" xr:uid="{00000000-0005-0000-0000-000052080000}"/>
    <cellStyle name="20% - Accent1 7 3 4 2" xfId="45580" xr:uid="{00000000-0005-0000-0000-000053080000}"/>
    <cellStyle name="20% - Accent1 7 3 5" xfId="31081" xr:uid="{00000000-0005-0000-0000-000054080000}"/>
    <cellStyle name="20% - Accent1 7 4" xfId="3048" xr:uid="{00000000-0005-0000-0000-000055080000}"/>
    <cellStyle name="20% - Accent1 7 4 2" xfId="6152" xr:uid="{00000000-0005-0000-0000-000056080000}"/>
    <cellStyle name="20% - Accent1 7 4 2 2" xfId="13424" xr:uid="{00000000-0005-0000-0000-000057080000}"/>
    <cellStyle name="20% - Accent1 7 4 2 2 2" xfId="27958" xr:uid="{00000000-0005-0000-0000-000058080000}"/>
    <cellStyle name="20% - Accent1 7 4 2 2 2 2" xfId="56964" xr:uid="{00000000-0005-0000-0000-000059080000}"/>
    <cellStyle name="20% - Accent1 7 4 2 2 3" xfId="42465" xr:uid="{00000000-0005-0000-0000-00005A080000}"/>
    <cellStyle name="20% - Accent1 7 4 2 3" xfId="20710" xr:uid="{00000000-0005-0000-0000-00005B080000}"/>
    <cellStyle name="20% - Accent1 7 4 2 3 2" xfId="49716" xr:uid="{00000000-0005-0000-0000-00005C080000}"/>
    <cellStyle name="20% - Accent1 7 4 2 4" xfId="35217" xr:uid="{00000000-0005-0000-0000-00005D080000}"/>
    <cellStyle name="20% - Accent1 7 4 3" xfId="10320" xr:uid="{00000000-0005-0000-0000-00005E080000}"/>
    <cellStyle name="20% - Accent1 7 4 3 2" xfId="24854" xr:uid="{00000000-0005-0000-0000-00005F080000}"/>
    <cellStyle name="20% - Accent1 7 4 3 2 2" xfId="53860" xr:uid="{00000000-0005-0000-0000-000060080000}"/>
    <cellStyle name="20% - Accent1 7 4 3 3" xfId="39361" xr:uid="{00000000-0005-0000-0000-000061080000}"/>
    <cellStyle name="20% - Accent1 7 4 4" xfId="17606" xr:uid="{00000000-0005-0000-0000-000062080000}"/>
    <cellStyle name="20% - Accent1 7 4 4 2" xfId="46612" xr:uid="{00000000-0005-0000-0000-000063080000}"/>
    <cellStyle name="20% - Accent1 7 4 5" xfId="32113" xr:uid="{00000000-0005-0000-0000-000064080000}"/>
    <cellStyle name="20% - Accent1 7 5" xfId="4080" xr:uid="{00000000-0005-0000-0000-000065080000}"/>
    <cellStyle name="20% - Accent1 7 5 2" xfId="11352" xr:uid="{00000000-0005-0000-0000-000066080000}"/>
    <cellStyle name="20% - Accent1 7 5 2 2" xfId="25886" xr:uid="{00000000-0005-0000-0000-000067080000}"/>
    <cellStyle name="20% - Accent1 7 5 2 2 2" xfId="54892" xr:uid="{00000000-0005-0000-0000-000068080000}"/>
    <cellStyle name="20% - Accent1 7 5 2 3" xfId="40393" xr:uid="{00000000-0005-0000-0000-000069080000}"/>
    <cellStyle name="20% - Accent1 7 5 3" xfId="18638" xr:uid="{00000000-0005-0000-0000-00006A080000}"/>
    <cellStyle name="20% - Accent1 7 5 3 2" xfId="47644" xr:uid="{00000000-0005-0000-0000-00006B080000}"/>
    <cellStyle name="20% - Accent1 7 5 4" xfId="33145" xr:uid="{00000000-0005-0000-0000-00006C080000}"/>
    <cellStyle name="20% - Accent1 7 6" xfId="7184" xr:uid="{00000000-0005-0000-0000-00006D080000}"/>
    <cellStyle name="20% - Accent1 7 6 2" xfId="14456" xr:uid="{00000000-0005-0000-0000-00006E080000}"/>
    <cellStyle name="20% - Accent1 7 6 2 2" xfId="28990" xr:uid="{00000000-0005-0000-0000-00006F080000}"/>
    <cellStyle name="20% - Accent1 7 6 2 2 2" xfId="57996" xr:uid="{00000000-0005-0000-0000-000070080000}"/>
    <cellStyle name="20% - Accent1 7 6 2 3" xfId="43497" xr:uid="{00000000-0005-0000-0000-000071080000}"/>
    <cellStyle name="20% - Accent1 7 6 3" xfId="21742" xr:uid="{00000000-0005-0000-0000-000072080000}"/>
    <cellStyle name="20% - Accent1 7 6 3 2" xfId="50748" xr:uid="{00000000-0005-0000-0000-000073080000}"/>
    <cellStyle name="20% - Accent1 7 6 4" xfId="36249" xr:uid="{00000000-0005-0000-0000-000074080000}"/>
    <cellStyle name="20% - Accent1 7 7" xfId="8248" xr:uid="{00000000-0005-0000-0000-000075080000}"/>
    <cellStyle name="20% - Accent1 7 7 2" xfId="22782" xr:uid="{00000000-0005-0000-0000-000076080000}"/>
    <cellStyle name="20% - Accent1 7 7 2 2" xfId="51788" xr:uid="{00000000-0005-0000-0000-000077080000}"/>
    <cellStyle name="20% - Accent1 7 7 3" xfId="37289" xr:uid="{00000000-0005-0000-0000-000078080000}"/>
    <cellStyle name="20% - Accent1 7 8" xfId="15534" xr:uid="{00000000-0005-0000-0000-000079080000}"/>
    <cellStyle name="20% - Accent1 7 8 2" xfId="44540" xr:uid="{00000000-0005-0000-0000-00007A080000}"/>
    <cellStyle name="20% - Accent1 7 9" xfId="30041" xr:uid="{00000000-0005-0000-0000-00007B080000}"/>
    <cellStyle name="20% - Accent1 8" xfId="1267" xr:uid="{00000000-0005-0000-0000-00007C080000}"/>
    <cellStyle name="20% - Accent1 8 2" xfId="2322" xr:uid="{00000000-0005-0000-0000-00007D080000}"/>
    <cellStyle name="20% - Accent1 8 2 2" xfId="5426" xr:uid="{00000000-0005-0000-0000-00007E080000}"/>
    <cellStyle name="20% - Accent1 8 2 2 2" xfId="12698" xr:uid="{00000000-0005-0000-0000-00007F080000}"/>
    <cellStyle name="20% - Accent1 8 2 2 2 2" xfId="27232" xr:uid="{00000000-0005-0000-0000-000080080000}"/>
    <cellStyle name="20% - Accent1 8 2 2 2 2 2" xfId="56238" xr:uid="{00000000-0005-0000-0000-000081080000}"/>
    <cellStyle name="20% - Accent1 8 2 2 2 3" xfId="41739" xr:uid="{00000000-0005-0000-0000-000082080000}"/>
    <cellStyle name="20% - Accent1 8 2 2 3" xfId="19984" xr:uid="{00000000-0005-0000-0000-000083080000}"/>
    <cellStyle name="20% - Accent1 8 2 2 3 2" xfId="48990" xr:uid="{00000000-0005-0000-0000-000084080000}"/>
    <cellStyle name="20% - Accent1 8 2 2 4" xfId="34491" xr:uid="{00000000-0005-0000-0000-000085080000}"/>
    <cellStyle name="20% - Accent1 8 2 3" xfId="9594" xr:uid="{00000000-0005-0000-0000-000086080000}"/>
    <cellStyle name="20% - Accent1 8 2 3 2" xfId="24128" xr:uid="{00000000-0005-0000-0000-000087080000}"/>
    <cellStyle name="20% - Accent1 8 2 3 2 2" xfId="53134" xr:uid="{00000000-0005-0000-0000-000088080000}"/>
    <cellStyle name="20% - Accent1 8 2 3 3" xfId="38635" xr:uid="{00000000-0005-0000-0000-000089080000}"/>
    <cellStyle name="20% - Accent1 8 2 4" xfId="16880" xr:uid="{00000000-0005-0000-0000-00008A080000}"/>
    <cellStyle name="20% - Accent1 8 2 4 2" xfId="45886" xr:uid="{00000000-0005-0000-0000-00008B080000}"/>
    <cellStyle name="20% - Accent1 8 2 5" xfId="31387" xr:uid="{00000000-0005-0000-0000-00008C080000}"/>
    <cellStyle name="20% - Accent1 8 3" xfId="3354" xr:uid="{00000000-0005-0000-0000-00008D080000}"/>
    <cellStyle name="20% - Accent1 8 3 2" xfId="6458" xr:uid="{00000000-0005-0000-0000-00008E080000}"/>
    <cellStyle name="20% - Accent1 8 3 2 2" xfId="13730" xr:uid="{00000000-0005-0000-0000-00008F080000}"/>
    <cellStyle name="20% - Accent1 8 3 2 2 2" xfId="28264" xr:uid="{00000000-0005-0000-0000-000090080000}"/>
    <cellStyle name="20% - Accent1 8 3 2 2 2 2" xfId="57270" xr:uid="{00000000-0005-0000-0000-000091080000}"/>
    <cellStyle name="20% - Accent1 8 3 2 2 3" xfId="42771" xr:uid="{00000000-0005-0000-0000-000092080000}"/>
    <cellStyle name="20% - Accent1 8 3 2 3" xfId="21016" xr:uid="{00000000-0005-0000-0000-000093080000}"/>
    <cellStyle name="20% - Accent1 8 3 2 3 2" xfId="50022" xr:uid="{00000000-0005-0000-0000-000094080000}"/>
    <cellStyle name="20% - Accent1 8 3 2 4" xfId="35523" xr:uid="{00000000-0005-0000-0000-000095080000}"/>
    <cellStyle name="20% - Accent1 8 3 3" xfId="10626" xr:uid="{00000000-0005-0000-0000-000096080000}"/>
    <cellStyle name="20% - Accent1 8 3 3 2" xfId="25160" xr:uid="{00000000-0005-0000-0000-000097080000}"/>
    <cellStyle name="20% - Accent1 8 3 3 2 2" xfId="54166" xr:uid="{00000000-0005-0000-0000-000098080000}"/>
    <cellStyle name="20% - Accent1 8 3 3 3" xfId="39667" xr:uid="{00000000-0005-0000-0000-000099080000}"/>
    <cellStyle name="20% - Accent1 8 3 4" xfId="17912" xr:uid="{00000000-0005-0000-0000-00009A080000}"/>
    <cellStyle name="20% - Accent1 8 3 4 2" xfId="46918" xr:uid="{00000000-0005-0000-0000-00009B080000}"/>
    <cellStyle name="20% - Accent1 8 3 5" xfId="32419" xr:uid="{00000000-0005-0000-0000-00009C080000}"/>
    <cellStyle name="20% - Accent1 8 4" xfId="4386" xr:uid="{00000000-0005-0000-0000-00009D080000}"/>
    <cellStyle name="20% - Accent1 8 4 2" xfId="11658" xr:uid="{00000000-0005-0000-0000-00009E080000}"/>
    <cellStyle name="20% - Accent1 8 4 2 2" xfId="26192" xr:uid="{00000000-0005-0000-0000-00009F080000}"/>
    <cellStyle name="20% - Accent1 8 4 2 2 2" xfId="55198" xr:uid="{00000000-0005-0000-0000-0000A0080000}"/>
    <cellStyle name="20% - Accent1 8 4 2 3" xfId="40699" xr:uid="{00000000-0005-0000-0000-0000A1080000}"/>
    <cellStyle name="20% - Accent1 8 4 3" xfId="18944" xr:uid="{00000000-0005-0000-0000-0000A2080000}"/>
    <cellStyle name="20% - Accent1 8 4 3 2" xfId="47950" xr:uid="{00000000-0005-0000-0000-0000A3080000}"/>
    <cellStyle name="20% - Accent1 8 4 4" xfId="33451" xr:uid="{00000000-0005-0000-0000-0000A4080000}"/>
    <cellStyle name="20% - Accent1 8 5" xfId="7490" xr:uid="{00000000-0005-0000-0000-0000A5080000}"/>
    <cellStyle name="20% - Accent1 8 5 2" xfId="14762" xr:uid="{00000000-0005-0000-0000-0000A6080000}"/>
    <cellStyle name="20% - Accent1 8 5 2 2" xfId="29296" xr:uid="{00000000-0005-0000-0000-0000A7080000}"/>
    <cellStyle name="20% - Accent1 8 5 2 2 2" xfId="58302" xr:uid="{00000000-0005-0000-0000-0000A8080000}"/>
    <cellStyle name="20% - Accent1 8 5 2 3" xfId="43803" xr:uid="{00000000-0005-0000-0000-0000A9080000}"/>
    <cellStyle name="20% - Accent1 8 5 3" xfId="22048" xr:uid="{00000000-0005-0000-0000-0000AA080000}"/>
    <cellStyle name="20% - Accent1 8 5 3 2" xfId="51054" xr:uid="{00000000-0005-0000-0000-0000AB080000}"/>
    <cellStyle name="20% - Accent1 8 5 4" xfId="36555" xr:uid="{00000000-0005-0000-0000-0000AC080000}"/>
    <cellStyle name="20% - Accent1 8 6" xfId="8554" xr:uid="{00000000-0005-0000-0000-0000AD080000}"/>
    <cellStyle name="20% - Accent1 8 6 2" xfId="23088" xr:uid="{00000000-0005-0000-0000-0000AE080000}"/>
    <cellStyle name="20% - Accent1 8 6 2 2" xfId="52094" xr:uid="{00000000-0005-0000-0000-0000AF080000}"/>
    <cellStyle name="20% - Accent1 8 6 3" xfId="37595" xr:uid="{00000000-0005-0000-0000-0000B0080000}"/>
    <cellStyle name="20% - Accent1 8 7" xfId="15840" xr:uid="{00000000-0005-0000-0000-0000B1080000}"/>
    <cellStyle name="20% - Accent1 8 7 2" xfId="44846" xr:uid="{00000000-0005-0000-0000-0000B2080000}"/>
    <cellStyle name="20% - Accent1 8 8" xfId="30347" xr:uid="{00000000-0005-0000-0000-0000B3080000}"/>
    <cellStyle name="20% - Accent1 9" xfId="1810" xr:uid="{00000000-0005-0000-0000-0000B4080000}"/>
    <cellStyle name="20% - Accent1 9 2" xfId="4914" xr:uid="{00000000-0005-0000-0000-0000B5080000}"/>
    <cellStyle name="20% - Accent1 9 2 2" xfId="12186" xr:uid="{00000000-0005-0000-0000-0000B6080000}"/>
    <cellStyle name="20% - Accent1 9 2 2 2" xfId="26720" xr:uid="{00000000-0005-0000-0000-0000B7080000}"/>
    <cellStyle name="20% - Accent1 9 2 2 2 2" xfId="55726" xr:uid="{00000000-0005-0000-0000-0000B8080000}"/>
    <cellStyle name="20% - Accent1 9 2 2 3" xfId="41227" xr:uid="{00000000-0005-0000-0000-0000B9080000}"/>
    <cellStyle name="20% - Accent1 9 2 3" xfId="19472" xr:uid="{00000000-0005-0000-0000-0000BA080000}"/>
    <cellStyle name="20% - Accent1 9 2 3 2" xfId="48478" xr:uid="{00000000-0005-0000-0000-0000BB080000}"/>
    <cellStyle name="20% - Accent1 9 2 4" xfId="33979" xr:uid="{00000000-0005-0000-0000-0000BC080000}"/>
    <cellStyle name="20% - Accent1 9 3" xfId="9082" xr:uid="{00000000-0005-0000-0000-0000BD080000}"/>
    <cellStyle name="20% - Accent1 9 3 2" xfId="23616" xr:uid="{00000000-0005-0000-0000-0000BE080000}"/>
    <cellStyle name="20% - Accent1 9 3 2 2" xfId="52622" xr:uid="{00000000-0005-0000-0000-0000BF080000}"/>
    <cellStyle name="20% - Accent1 9 3 3" xfId="38123" xr:uid="{00000000-0005-0000-0000-0000C0080000}"/>
    <cellStyle name="20% - Accent1 9 4" xfId="16368" xr:uid="{00000000-0005-0000-0000-0000C1080000}"/>
    <cellStyle name="20% - Accent1 9 4 2" xfId="45374" xr:uid="{00000000-0005-0000-0000-0000C2080000}"/>
    <cellStyle name="20% - Accent1 9 5" xfId="30875" xr:uid="{00000000-0005-0000-0000-0000C3080000}"/>
    <cellStyle name="20% - Accent2" xfId="66" builtinId="34" customBuiltin="1"/>
    <cellStyle name="20% - Accent2 10" xfId="2844" xr:uid="{00000000-0005-0000-0000-0000C5080000}"/>
    <cellStyle name="20% - Accent2 10 2" xfId="5948" xr:uid="{00000000-0005-0000-0000-0000C6080000}"/>
    <cellStyle name="20% - Accent2 10 2 2" xfId="13220" xr:uid="{00000000-0005-0000-0000-0000C7080000}"/>
    <cellStyle name="20% - Accent2 10 2 2 2" xfId="27754" xr:uid="{00000000-0005-0000-0000-0000C8080000}"/>
    <cellStyle name="20% - Accent2 10 2 2 2 2" xfId="56760" xr:uid="{00000000-0005-0000-0000-0000C9080000}"/>
    <cellStyle name="20% - Accent2 10 2 2 3" xfId="42261" xr:uid="{00000000-0005-0000-0000-0000CA080000}"/>
    <cellStyle name="20% - Accent2 10 2 3" xfId="20506" xr:uid="{00000000-0005-0000-0000-0000CB080000}"/>
    <cellStyle name="20% - Accent2 10 2 3 2" xfId="49512" xr:uid="{00000000-0005-0000-0000-0000CC080000}"/>
    <cellStyle name="20% - Accent2 10 2 4" xfId="35013" xr:uid="{00000000-0005-0000-0000-0000CD080000}"/>
    <cellStyle name="20% - Accent2 10 3" xfId="10116" xr:uid="{00000000-0005-0000-0000-0000CE080000}"/>
    <cellStyle name="20% - Accent2 10 3 2" xfId="24650" xr:uid="{00000000-0005-0000-0000-0000CF080000}"/>
    <cellStyle name="20% - Accent2 10 3 2 2" xfId="53656" xr:uid="{00000000-0005-0000-0000-0000D0080000}"/>
    <cellStyle name="20% - Accent2 10 3 3" xfId="39157" xr:uid="{00000000-0005-0000-0000-0000D1080000}"/>
    <cellStyle name="20% - Accent2 10 4" xfId="17402" xr:uid="{00000000-0005-0000-0000-0000D2080000}"/>
    <cellStyle name="20% - Accent2 10 4 2" xfId="46408" xr:uid="{00000000-0005-0000-0000-0000D3080000}"/>
    <cellStyle name="20% - Accent2 10 5" xfId="31909" xr:uid="{00000000-0005-0000-0000-0000D4080000}"/>
    <cellStyle name="20% - Accent2 11" xfId="3876" xr:uid="{00000000-0005-0000-0000-0000D5080000}"/>
    <cellStyle name="20% - Accent2 11 2" xfId="11148" xr:uid="{00000000-0005-0000-0000-0000D6080000}"/>
    <cellStyle name="20% - Accent2 11 2 2" xfId="25682" xr:uid="{00000000-0005-0000-0000-0000D7080000}"/>
    <cellStyle name="20% - Accent2 11 2 2 2" xfId="54688" xr:uid="{00000000-0005-0000-0000-0000D8080000}"/>
    <cellStyle name="20% - Accent2 11 2 3" xfId="40189" xr:uid="{00000000-0005-0000-0000-0000D9080000}"/>
    <cellStyle name="20% - Accent2 11 3" xfId="18434" xr:uid="{00000000-0005-0000-0000-0000DA080000}"/>
    <cellStyle name="20% - Accent2 11 3 2" xfId="47440" xr:uid="{00000000-0005-0000-0000-0000DB080000}"/>
    <cellStyle name="20% - Accent2 11 4" xfId="32941" xr:uid="{00000000-0005-0000-0000-0000DC080000}"/>
    <cellStyle name="20% - Accent2 12" xfId="6980" xr:uid="{00000000-0005-0000-0000-0000DD080000}"/>
    <cellStyle name="20% - Accent2 12 2" xfId="14252" xr:uid="{00000000-0005-0000-0000-0000DE080000}"/>
    <cellStyle name="20% - Accent2 12 2 2" xfId="28786" xr:uid="{00000000-0005-0000-0000-0000DF080000}"/>
    <cellStyle name="20% - Accent2 12 2 2 2" xfId="57792" xr:uid="{00000000-0005-0000-0000-0000E0080000}"/>
    <cellStyle name="20% - Accent2 12 2 3" xfId="43293" xr:uid="{00000000-0005-0000-0000-0000E1080000}"/>
    <cellStyle name="20% - Accent2 12 3" xfId="21538" xr:uid="{00000000-0005-0000-0000-0000E2080000}"/>
    <cellStyle name="20% - Accent2 12 3 2" xfId="50544" xr:uid="{00000000-0005-0000-0000-0000E3080000}"/>
    <cellStyle name="20% - Accent2 12 4" xfId="36045" xr:uid="{00000000-0005-0000-0000-0000E4080000}"/>
    <cellStyle name="20% - Accent2 13" xfId="8044" xr:uid="{00000000-0005-0000-0000-0000E5080000}"/>
    <cellStyle name="20% - Accent2 13 2" xfId="22578" xr:uid="{00000000-0005-0000-0000-0000E6080000}"/>
    <cellStyle name="20% - Accent2 13 2 2" xfId="51584" xr:uid="{00000000-0005-0000-0000-0000E7080000}"/>
    <cellStyle name="20% - Accent2 13 3" xfId="37085" xr:uid="{00000000-0005-0000-0000-0000E8080000}"/>
    <cellStyle name="20% - Accent2 14" xfId="15324" xr:uid="{00000000-0005-0000-0000-0000E9080000}"/>
    <cellStyle name="20% - Accent2 14 2" xfId="44330" xr:uid="{00000000-0005-0000-0000-0000EA080000}"/>
    <cellStyle name="20% - Accent2 15" xfId="29830" xr:uid="{00000000-0005-0000-0000-0000EB080000}"/>
    <cellStyle name="20% - Accent2 16" xfId="407" xr:uid="{00000000-0005-0000-0000-0000EC080000}"/>
    <cellStyle name="20% - Accent2 17" xfId="58829" xr:uid="{00000000-0005-0000-0000-0000ED080000}"/>
    <cellStyle name="20% - Accent2 2" xfId="416" xr:uid="{00000000-0005-0000-0000-0000EE080000}"/>
    <cellStyle name="20% - Accent2 2 2" xfId="358" xr:uid="{00000000-0005-0000-0000-0000EF080000}"/>
    <cellStyle name="20% - Accent2 3" xfId="842" xr:uid="{00000000-0005-0000-0000-0000F0080000}"/>
    <cellStyle name="20% - Accent2 3 10" xfId="7004" xr:uid="{00000000-0005-0000-0000-0000F1080000}"/>
    <cellStyle name="20% - Accent2 3 10 2" xfId="14276" xr:uid="{00000000-0005-0000-0000-0000F2080000}"/>
    <cellStyle name="20% - Accent2 3 10 2 2" xfId="28810" xr:uid="{00000000-0005-0000-0000-0000F3080000}"/>
    <cellStyle name="20% - Accent2 3 10 2 2 2" xfId="57816" xr:uid="{00000000-0005-0000-0000-0000F4080000}"/>
    <cellStyle name="20% - Accent2 3 10 2 3" xfId="43317" xr:uid="{00000000-0005-0000-0000-0000F5080000}"/>
    <cellStyle name="20% - Accent2 3 10 3" xfId="21562" xr:uid="{00000000-0005-0000-0000-0000F6080000}"/>
    <cellStyle name="20% - Accent2 3 10 3 2" xfId="50568" xr:uid="{00000000-0005-0000-0000-0000F7080000}"/>
    <cellStyle name="20% - Accent2 3 10 4" xfId="36069" xr:uid="{00000000-0005-0000-0000-0000F8080000}"/>
    <cellStyle name="20% - Accent2 3 11" xfId="8068" xr:uid="{00000000-0005-0000-0000-0000F9080000}"/>
    <cellStyle name="20% - Accent2 3 11 2" xfId="22602" xr:uid="{00000000-0005-0000-0000-0000FA080000}"/>
    <cellStyle name="20% - Accent2 3 11 2 2" xfId="51608" xr:uid="{00000000-0005-0000-0000-0000FB080000}"/>
    <cellStyle name="20% - Accent2 3 11 3" xfId="37109" xr:uid="{00000000-0005-0000-0000-0000FC080000}"/>
    <cellStyle name="20% - Accent2 3 12" xfId="15354" xr:uid="{00000000-0005-0000-0000-0000FD080000}"/>
    <cellStyle name="20% - Accent2 3 12 2" xfId="44360" xr:uid="{00000000-0005-0000-0000-0000FE080000}"/>
    <cellStyle name="20% - Accent2 3 13" xfId="29861" xr:uid="{00000000-0005-0000-0000-0000FF080000}"/>
    <cellStyle name="20% - Accent2 3 2" xfId="885" xr:uid="{00000000-0005-0000-0000-000000090000}"/>
    <cellStyle name="20% - Accent2 3 2 10" xfId="8120" xr:uid="{00000000-0005-0000-0000-000001090000}"/>
    <cellStyle name="20% - Accent2 3 2 10 2" xfId="22654" xr:uid="{00000000-0005-0000-0000-000002090000}"/>
    <cellStyle name="20% - Accent2 3 2 10 2 2" xfId="51660" xr:uid="{00000000-0005-0000-0000-000003090000}"/>
    <cellStyle name="20% - Accent2 3 2 10 3" xfId="37161" xr:uid="{00000000-0005-0000-0000-000004090000}"/>
    <cellStyle name="20% - Accent2 3 2 11" xfId="15406" xr:uid="{00000000-0005-0000-0000-000005090000}"/>
    <cellStyle name="20% - Accent2 3 2 11 2" xfId="44412" xr:uid="{00000000-0005-0000-0000-000006090000}"/>
    <cellStyle name="20% - Accent2 3 2 12" xfId="29913" xr:uid="{00000000-0005-0000-0000-000007090000}"/>
    <cellStyle name="20% - Accent2 3 2 2" xfId="965" xr:uid="{00000000-0005-0000-0000-000008090000}"/>
    <cellStyle name="20% - Accent2 3 2 2 10" xfId="30016" xr:uid="{00000000-0005-0000-0000-000009090000}"/>
    <cellStyle name="20% - Accent2 3 2 2 2" xfId="1244" xr:uid="{00000000-0005-0000-0000-00000A090000}"/>
    <cellStyle name="20% - Accent2 3 2 2 2 2" xfId="1750" xr:uid="{00000000-0005-0000-0000-00000B090000}"/>
    <cellStyle name="20% - Accent2 3 2 2 2 2 2" xfId="2809" xr:uid="{00000000-0005-0000-0000-00000C090000}"/>
    <cellStyle name="20% - Accent2 3 2 2 2 2 2 2" xfId="5913" xr:uid="{00000000-0005-0000-0000-00000D090000}"/>
    <cellStyle name="20% - Accent2 3 2 2 2 2 2 2 2" xfId="13185" xr:uid="{00000000-0005-0000-0000-00000E090000}"/>
    <cellStyle name="20% - Accent2 3 2 2 2 2 2 2 2 2" xfId="27719" xr:uid="{00000000-0005-0000-0000-00000F090000}"/>
    <cellStyle name="20% - Accent2 3 2 2 2 2 2 2 2 2 2" xfId="56725" xr:uid="{00000000-0005-0000-0000-000010090000}"/>
    <cellStyle name="20% - Accent2 3 2 2 2 2 2 2 2 3" xfId="42226" xr:uid="{00000000-0005-0000-0000-000011090000}"/>
    <cellStyle name="20% - Accent2 3 2 2 2 2 2 2 3" xfId="20471" xr:uid="{00000000-0005-0000-0000-000012090000}"/>
    <cellStyle name="20% - Accent2 3 2 2 2 2 2 2 3 2" xfId="49477" xr:uid="{00000000-0005-0000-0000-000013090000}"/>
    <cellStyle name="20% - Accent2 3 2 2 2 2 2 2 4" xfId="34978" xr:uid="{00000000-0005-0000-0000-000014090000}"/>
    <cellStyle name="20% - Accent2 3 2 2 2 2 2 3" xfId="10081" xr:uid="{00000000-0005-0000-0000-000015090000}"/>
    <cellStyle name="20% - Accent2 3 2 2 2 2 2 3 2" xfId="24615" xr:uid="{00000000-0005-0000-0000-000016090000}"/>
    <cellStyle name="20% - Accent2 3 2 2 2 2 2 3 2 2" xfId="53621" xr:uid="{00000000-0005-0000-0000-000017090000}"/>
    <cellStyle name="20% - Accent2 3 2 2 2 2 2 3 3" xfId="39122" xr:uid="{00000000-0005-0000-0000-000018090000}"/>
    <cellStyle name="20% - Accent2 3 2 2 2 2 2 4" xfId="17367" xr:uid="{00000000-0005-0000-0000-000019090000}"/>
    <cellStyle name="20% - Accent2 3 2 2 2 2 2 4 2" xfId="46373" xr:uid="{00000000-0005-0000-0000-00001A090000}"/>
    <cellStyle name="20% - Accent2 3 2 2 2 2 2 5" xfId="31874" xr:uid="{00000000-0005-0000-0000-00001B090000}"/>
    <cellStyle name="20% - Accent2 3 2 2 2 2 3" xfId="3841" xr:uid="{00000000-0005-0000-0000-00001C090000}"/>
    <cellStyle name="20% - Accent2 3 2 2 2 2 3 2" xfId="6945" xr:uid="{00000000-0005-0000-0000-00001D090000}"/>
    <cellStyle name="20% - Accent2 3 2 2 2 2 3 2 2" xfId="14217" xr:uid="{00000000-0005-0000-0000-00001E090000}"/>
    <cellStyle name="20% - Accent2 3 2 2 2 2 3 2 2 2" xfId="28751" xr:uid="{00000000-0005-0000-0000-00001F090000}"/>
    <cellStyle name="20% - Accent2 3 2 2 2 2 3 2 2 2 2" xfId="57757" xr:uid="{00000000-0005-0000-0000-000020090000}"/>
    <cellStyle name="20% - Accent2 3 2 2 2 2 3 2 2 3" xfId="43258" xr:uid="{00000000-0005-0000-0000-000021090000}"/>
    <cellStyle name="20% - Accent2 3 2 2 2 2 3 2 3" xfId="21503" xr:uid="{00000000-0005-0000-0000-000022090000}"/>
    <cellStyle name="20% - Accent2 3 2 2 2 2 3 2 3 2" xfId="50509" xr:uid="{00000000-0005-0000-0000-000023090000}"/>
    <cellStyle name="20% - Accent2 3 2 2 2 2 3 2 4" xfId="36010" xr:uid="{00000000-0005-0000-0000-000024090000}"/>
    <cellStyle name="20% - Accent2 3 2 2 2 2 3 3" xfId="11113" xr:uid="{00000000-0005-0000-0000-000025090000}"/>
    <cellStyle name="20% - Accent2 3 2 2 2 2 3 3 2" xfId="25647" xr:uid="{00000000-0005-0000-0000-000026090000}"/>
    <cellStyle name="20% - Accent2 3 2 2 2 2 3 3 2 2" xfId="54653" xr:uid="{00000000-0005-0000-0000-000027090000}"/>
    <cellStyle name="20% - Accent2 3 2 2 2 2 3 3 3" xfId="40154" xr:uid="{00000000-0005-0000-0000-000028090000}"/>
    <cellStyle name="20% - Accent2 3 2 2 2 2 3 4" xfId="18399" xr:uid="{00000000-0005-0000-0000-000029090000}"/>
    <cellStyle name="20% - Accent2 3 2 2 2 2 3 4 2" xfId="47405" xr:uid="{00000000-0005-0000-0000-00002A090000}"/>
    <cellStyle name="20% - Accent2 3 2 2 2 2 3 5" xfId="32906" xr:uid="{00000000-0005-0000-0000-00002B090000}"/>
    <cellStyle name="20% - Accent2 3 2 2 2 2 4" xfId="4873" xr:uid="{00000000-0005-0000-0000-00002C090000}"/>
    <cellStyle name="20% - Accent2 3 2 2 2 2 4 2" xfId="12145" xr:uid="{00000000-0005-0000-0000-00002D090000}"/>
    <cellStyle name="20% - Accent2 3 2 2 2 2 4 2 2" xfId="26679" xr:uid="{00000000-0005-0000-0000-00002E090000}"/>
    <cellStyle name="20% - Accent2 3 2 2 2 2 4 2 2 2" xfId="55685" xr:uid="{00000000-0005-0000-0000-00002F090000}"/>
    <cellStyle name="20% - Accent2 3 2 2 2 2 4 2 3" xfId="41186" xr:uid="{00000000-0005-0000-0000-000030090000}"/>
    <cellStyle name="20% - Accent2 3 2 2 2 2 4 3" xfId="19431" xr:uid="{00000000-0005-0000-0000-000031090000}"/>
    <cellStyle name="20% - Accent2 3 2 2 2 2 4 3 2" xfId="48437" xr:uid="{00000000-0005-0000-0000-000032090000}"/>
    <cellStyle name="20% - Accent2 3 2 2 2 2 4 4" xfId="33938" xr:uid="{00000000-0005-0000-0000-000033090000}"/>
    <cellStyle name="20% - Accent2 3 2 2 2 2 5" xfId="7977" xr:uid="{00000000-0005-0000-0000-000034090000}"/>
    <cellStyle name="20% - Accent2 3 2 2 2 2 5 2" xfId="15249" xr:uid="{00000000-0005-0000-0000-000035090000}"/>
    <cellStyle name="20% - Accent2 3 2 2 2 2 5 2 2" xfId="29783" xr:uid="{00000000-0005-0000-0000-000036090000}"/>
    <cellStyle name="20% - Accent2 3 2 2 2 2 5 2 2 2" xfId="58789" xr:uid="{00000000-0005-0000-0000-000037090000}"/>
    <cellStyle name="20% - Accent2 3 2 2 2 2 5 2 3" xfId="44290" xr:uid="{00000000-0005-0000-0000-000038090000}"/>
    <cellStyle name="20% - Accent2 3 2 2 2 2 5 3" xfId="22535" xr:uid="{00000000-0005-0000-0000-000039090000}"/>
    <cellStyle name="20% - Accent2 3 2 2 2 2 5 3 2" xfId="51541" xr:uid="{00000000-0005-0000-0000-00003A090000}"/>
    <cellStyle name="20% - Accent2 3 2 2 2 2 5 4" xfId="37042" xr:uid="{00000000-0005-0000-0000-00003B090000}"/>
    <cellStyle name="20% - Accent2 3 2 2 2 2 6" xfId="9041" xr:uid="{00000000-0005-0000-0000-00003C090000}"/>
    <cellStyle name="20% - Accent2 3 2 2 2 2 6 2" xfId="23575" xr:uid="{00000000-0005-0000-0000-00003D090000}"/>
    <cellStyle name="20% - Accent2 3 2 2 2 2 6 2 2" xfId="52581" xr:uid="{00000000-0005-0000-0000-00003E090000}"/>
    <cellStyle name="20% - Accent2 3 2 2 2 2 6 3" xfId="38082" xr:uid="{00000000-0005-0000-0000-00003F090000}"/>
    <cellStyle name="20% - Accent2 3 2 2 2 2 7" xfId="16327" xr:uid="{00000000-0005-0000-0000-000040090000}"/>
    <cellStyle name="20% - Accent2 3 2 2 2 2 7 2" xfId="45333" xr:uid="{00000000-0005-0000-0000-000041090000}"/>
    <cellStyle name="20% - Accent2 3 2 2 2 2 8" xfId="30834" xr:uid="{00000000-0005-0000-0000-000042090000}"/>
    <cellStyle name="20% - Accent2 3 2 2 2 3" xfId="2297" xr:uid="{00000000-0005-0000-0000-000043090000}"/>
    <cellStyle name="20% - Accent2 3 2 2 2 3 2" xfId="5401" xr:uid="{00000000-0005-0000-0000-000044090000}"/>
    <cellStyle name="20% - Accent2 3 2 2 2 3 2 2" xfId="12673" xr:uid="{00000000-0005-0000-0000-000045090000}"/>
    <cellStyle name="20% - Accent2 3 2 2 2 3 2 2 2" xfId="27207" xr:uid="{00000000-0005-0000-0000-000046090000}"/>
    <cellStyle name="20% - Accent2 3 2 2 2 3 2 2 2 2" xfId="56213" xr:uid="{00000000-0005-0000-0000-000047090000}"/>
    <cellStyle name="20% - Accent2 3 2 2 2 3 2 2 3" xfId="41714" xr:uid="{00000000-0005-0000-0000-000048090000}"/>
    <cellStyle name="20% - Accent2 3 2 2 2 3 2 3" xfId="19959" xr:uid="{00000000-0005-0000-0000-000049090000}"/>
    <cellStyle name="20% - Accent2 3 2 2 2 3 2 3 2" xfId="48965" xr:uid="{00000000-0005-0000-0000-00004A090000}"/>
    <cellStyle name="20% - Accent2 3 2 2 2 3 2 4" xfId="34466" xr:uid="{00000000-0005-0000-0000-00004B090000}"/>
    <cellStyle name="20% - Accent2 3 2 2 2 3 3" xfId="9569" xr:uid="{00000000-0005-0000-0000-00004C090000}"/>
    <cellStyle name="20% - Accent2 3 2 2 2 3 3 2" xfId="24103" xr:uid="{00000000-0005-0000-0000-00004D090000}"/>
    <cellStyle name="20% - Accent2 3 2 2 2 3 3 2 2" xfId="53109" xr:uid="{00000000-0005-0000-0000-00004E090000}"/>
    <cellStyle name="20% - Accent2 3 2 2 2 3 3 3" xfId="38610" xr:uid="{00000000-0005-0000-0000-00004F090000}"/>
    <cellStyle name="20% - Accent2 3 2 2 2 3 4" xfId="16855" xr:uid="{00000000-0005-0000-0000-000050090000}"/>
    <cellStyle name="20% - Accent2 3 2 2 2 3 4 2" xfId="45861" xr:uid="{00000000-0005-0000-0000-000051090000}"/>
    <cellStyle name="20% - Accent2 3 2 2 2 3 5" xfId="31362" xr:uid="{00000000-0005-0000-0000-000052090000}"/>
    <cellStyle name="20% - Accent2 3 2 2 2 4" xfId="3329" xr:uid="{00000000-0005-0000-0000-000053090000}"/>
    <cellStyle name="20% - Accent2 3 2 2 2 4 2" xfId="6433" xr:uid="{00000000-0005-0000-0000-000054090000}"/>
    <cellStyle name="20% - Accent2 3 2 2 2 4 2 2" xfId="13705" xr:uid="{00000000-0005-0000-0000-000055090000}"/>
    <cellStyle name="20% - Accent2 3 2 2 2 4 2 2 2" xfId="28239" xr:uid="{00000000-0005-0000-0000-000056090000}"/>
    <cellStyle name="20% - Accent2 3 2 2 2 4 2 2 2 2" xfId="57245" xr:uid="{00000000-0005-0000-0000-000057090000}"/>
    <cellStyle name="20% - Accent2 3 2 2 2 4 2 2 3" xfId="42746" xr:uid="{00000000-0005-0000-0000-000058090000}"/>
    <cellStyle name="20% - Accent2 3 2 2 2 4 2 3" xfId="20991" xr:uid="{00000000-0005-0000-0000-000059090000}"/>
    <cellStyle name="20% - Accent2 3 2 2 2 4 2 3 2" xfId="49997" xr:uid="{00000000-0005-0000-0000-00005A090000}"/>
    <cellStyle name="20% - Accent2 3 2 2 2 4 2 4" xfId="35498" xr:uid="{00000000-0005-0000-0000-00005B090000}"/>
    <cellStyle name="20% - Accent2 3 2 2 2 4 3" xfId="10601" xr:uid="{00000000-0005-0000-0000-00005C090000}"/>
    <cellStyle name="20% - Accent2 3 2 2 2 4 3 2" xfId="25135" xr:uid="{00000000-0005-0000-0000-00005D090000}"/>
    <cellStyle name="20% - Accent2 3 2 2 2 4 3 2 2" xfId="54141" xr:uid="{00000000-0005-0000-0000-00005E090000}"/>
    <cellStyle name="20% - Accent2 3 2 2 2 4 3 3" xfId="39642" xr:uid="{00000000-0005-0000-0000-00005F090000}"/>
    <cellStyle name="20% - Accent2 3 2 2 2 4 4" xfId="17887" xr:uid="{00000000-0005-0000-0000-000060090000}"/>
    <cellStyle name="20% - Accent2 3 2 2 2 4 4 2" xfId="46893" xr:uid="{00000000-0005-0000-0000-000061090000}"/>
    <cellStyle name="20% - Accent2 3 2 2 2 4 5" xfId="32394" xr:uid="{00000000-0005-0000-0000-000062090000}"/>
    <cellStyle name="20% - Accent2 3 2 2 2 5" xfId="4361" xr:uid="{00000000-0005-0000-0000-000063090000}"/>
    <cellStyle name="20% - Accent2 3 2 2 2 5 2" xfId="11633" xr:uid="{00000000-0005-0000-0000-000064090000}"/>
    <cellStyle name="20% - Accent2 3 2 2 2 5 2 2" xfId="26167" xr:uid="{00000000-0005-0000-0000-000065090000}"/>
    <cellStyle name="20% - Accent2 3 2 2 2 5 2 2 2" xfId="55173" xr:uid="{00000000-0005-0000-0000-000066090000}"/>
    <cellStyle name="20% - Accent2 3 2 2 2 5 2 3" xfId="40674" xr:uid="{00000000-0005-0000-0000-000067090000}"/>
    <cellStyle name="20% - Accent2 3 2 2 2 5 3" xfId="18919" xr:uid="{00000000-0005-0000-0000-000068090000}"/>
    <cellStyle name="20% - Accent2 3 2 2 2 5 3 2" xfId="47925" xr:uid="{00000000-0005-0000-0000-000069090000}"/>
    <cellStyle name="20% - Accent2 3 2 2 2 5 4" xfId="33426" xr:uid="{00000000-0005-0000-0000-00006A090000}"/>
    <cellStyle name="20% - Accent2 3 2 2 2 6" xfId="7465" xr:uid="{00000000-0005-0000-0000-00006B090000}"/>
    <cellStyle name="20% - Accent2 3 2 2 2 6 2" xfId="14737" xr:uid="{00000000-0005-0000-0000-00006C090000}"/>
    <cellStyle name="20% - Accent2 3 2 2 2 6 2 2" xfId="29271" xr:uid="{00000000-0005-0000-0000-00006D090000}"/>
    <cellStyle name="20% - Accent2 3 2 2 2 6 2 2 2" xfId="58277" xr:uid="{00000000-0005-0000-0000-00006E090000}"/>
    <cellStyle name="20% - Accent2 3 2 2 2 6 2 3" xfId="43778" xr:uid="{00000000-0005-0000-0000-00006F090000}"/>
    <cellStyle name="20% - Accent2 3 2 2 2 6 3" xfId="22023" xr:uid="{00000000-0005-0000-0000-000070090000}"/>
    <cellStyle name="20% - Accent2 3 2 2 2 6 3 2" xfId="51029" xr:uid="{00000000-0005-0000-0000-000071090000}"/>
    <cellStyle name="20% - Accent2 3 2 2 2 6 4" xfId="36530" xr:uid="{00000000-0005-0000-0000-000072090000}"/>
    <cellStyle name="20% - Accent2 3 2 2 2 7" xfId="8529" xr:uid="{00000000-0005-0000-0000-000073090000}"/>
    <cellStyle name="20% - Accent2 3 2 2 2 7 2" xfId="23063" xr:uid="{00000000-0005-0000-0000-000074090000}"/>
    <cellStyle name="20% - Accent2 3 2 2 2 7 2 2" xfId="52069" xr:uid="{00000000-0005-0000-0000-000075090000}"/>
    <cellStyle name="20% - Accent2 3 2 2 2 7 3" xfId="37570" xr:uid="{00000000-0005-0000-0000-000076090000}"/>
    <cellStyle name="20% - Accent2 3 2 2 2 8" xfId="15815" xr:uid="{00000000-0005-0000-0000-000077090000}"/>
    <cellStyle name="20% - Accent2 3 2 2 2 8 2" xfId="44821" xr:uid="{00000000-0005-0000-0000-000078090000}"/>
    <cellStyle name="20% - Accent2 3 2 2 2 9" xfId="30322" xr:uid="{00000000-0005-0000-0000-000079090000}"/>
    <cellStyle name="20% - Accent2 3 2 2 3" xfId="1445" xr:uid="{00000000-0005-0000-0000-00007A090000}"/>
    <cellStyle name="20% - Accent2 3 2 2 3 2" xfId="2503" xr:uid="{00000000-0005-0000-0000-00007B090000}"/>
    <cellStyle name="20% - Accent2 3 2 2 3 2 2" xfId="5607" xr:uid="{00000000-0005-0000-0000-00007C090000}"/>
    <cellStyle name="20% - Accent2 3 2 2 3 2 2 2" xfId="12879" xr:uid="{00000000-0005-0000-0000-00007D090000}"/>
    <cellStyle name="20% - Accent2 3 2 2 3 2 2 2 2" xfId="27413" xr:uid="{00000000-0005-0000-0000-00007E090000}"/>
    <cellStyle name="20% - Accent2 3 2 2 3 2 2 2 2 2" xfId="56419" xr:uid="{00000000-0005-0000-0000-00007F090000}"/>
    <cellStyle name="20% - Accent2 3 2 2 3 2 2 2 3" xfId="41920" xr:uid="{00000000-0005-0000-0000-000080090000}"/>
    <cellStyle name="20% - Accent2 3 2 2 3 2 2 3" xfId="20165" xr:uid="{00000000-0005-0000-0000-000081090000}"/>
    <cellStyle name="20% - Accent2 3 2 2 3 2 2 3 2" xfId="49171" xr:uid="{00000000-0005-0000-0000-000082090000}"/>
    <cellStyle name="20% - Accent2 3 2 2 3 2 2 4" xfId="34672" xr:uid="{00000000-0005-0000-0000-000083090000}"/>
    <cellStyle name="20% - Accent2 3 2 2 3 2 3" xfId="9775" xr:uid="{00000000-0005-0000-0000-000084090000}"/>
    <cellStyle name="20% - Accent2 3 2 2 3 2 3 2" xfId="24309" xr:uid="{00000000-0005-0000-0000-000085090000}"/>
    <cellStyle name="20% - Accent2 3 2 2 3 2 3 2 2" xfId="53315" xr:uid="{00000000-0005-0000-0000-000086090000}"/>
    <cellStyle name="20% - Accent2 3 2 2 3 2 3 3" xfId="38816" xr:uid="{00000000-0005-0000-0000-000087090000}"/>
    <cellStyle name="20% - Accent2 3 2 2 3 2 4" xfId="17061" xr:uid="{00000000-0005-0000-0000-000088090000}"/>
    <cellStyle name="20% - Accent2 3 2 2 3 2 4 2" xfId="46067" xr:uid="{00000000-0005-0000-0000-000089090000}"/>
    <cellStyle name="20% - Accent2 3 2 2 3 2 5" xfId="31568" xr:uid="{00000000-0005-0000-0000-00008A090000}"/>
    <cellStyle name="20% - Accent2 3 2 2 3 3" xfId="3535" xr:uid="{00000000-0005-0000-0000-00008B090000}"/>
    <cellStyle name="20% - Accent2 3 2 2 3 3 2" xfId="6639" xr:uid="{00000000-0005-0000-0000-00008C090000}"/>
    <cellStyle name="20% - Accent2 3 2 2 3 3 2 2" xfId="13911" xr:uid="{00000000-0005-0000-0000-00008D090000}"/>
    <cellStyle name="20% - Accent2 3 2 2 3 3 2 2 2" xfId="28445" xr:uid="{00000000-0005-0000-0000-00008E090000}"/>
    <cellStyle name="20% - Accent2 3 2 2 3 3 2 2 2 2" xfId="57451" xr:uid="{00000000-0005-0000-0000-00008F090000}"/>
    <cellStyle name="20% - Accent2 3 2 2 3 3 2 2 3" xfId="42952" xr:uid="{00000000-0005-0000-0000-000090090000}"/>
    <cellStyle name="20% - Accent2 3 2 2 3 3 2 3" xfId="21197" xr:uid="{00000000-0005-0000-0000-000091090000}"/>
    <cellStyle name="20% - Accent2 3 2 2 3 3 2 3 2" xfId="50203" xr:uid="{00000000-0005-0000-0000-000092090000}"/>
    <cellStyle name="20% - Accent2 3 2 2 3 3 2 4" xfId="35704" xr:uid="{00000000-0005-0000-0000-000093090000}"/>
    <cellStyle name="20% - Accent2 3 2 2 3 3 3" xfId="10807" xr:uid="{00000000-0005-0000-0000-000094090000}"/>
    <cellStyle name="20% - Accent2 3 2 2 3 3 3 2" xfId="25341" xr:uid="{00000000-0005-0000-0000-000095090000}"/>
    <cellStyle name="20% - Accent2 3 2 2 3 3 3 2 2" xfId="54347" xr:uid="{00000000-0005-0000-0000-000096090000}"/>
    <cellStyle name="20% - Accent2 3 2 2 3 3 3 3" xfId="39848" xr:uid="{00000000-0005-0000-0000-000097090000}"/>
    <cellStyle name="20% - Accent2 3 2 2 3 3 4" xfId="18093" xr:uid="{00000000-0005-0000-0000-000098090000}"/>
    <cellStyle name="20% - Accent2 3 2 2 3 3 4 2" xfId="47099" xr:uid="{00000000-0005-0000-0000-000099090000}"/>
    <cellStyle name="20% - Accent2 3 2 2 3 3 5" xfId="32600" xr:uid="{00000000-0005-0000-0000-00009A090000}"/>
    <cellStyle name="20% - Accent2 3 2 2 3 4" xfId="4567" xr:uid="{00000000-0005-0000-0000-00009B090000}"/>
    <cellStyle name="20% - Accent2 3 2 2 3 4 2" xfId="11839" xr:uid="{00000000-0005-0000-0000-00009C090000}"/>
    <cellStyle name="20% - Accent2 3 2 2 3 4 2 2" xfId="26373" xr:uid="{00000000-0005-0000-0000-00009D090000}"/>
    <cellStyle name="20% - Accent2 3 2 2 3 4 2 2 2" xfId="55379" xr:uid="{00000000-0005-0000-0000-00009E090000}"/>
    <cellStyle name="20% - Accent2 3 2 2 3 4 2 3" xfId="40880" xr:uid="{00000000-0005-0000-0000-00009F090000}"/>
    <cellStyle name="20% - Accent2 3 2 2 3 4 3" xfId="19125" xr:uid="{00000000-0005-0000-0000-0000A0090000}"/>
    <cellStyle name="20% - Accent2 3 2 2 3 4 3 2" xfId="48131" xr:uid="{00000000-0005-0000-0000-0000A1090000}"/>
    <cellStyle name="20% - Accent2 3 2 2 3 4 4" xfId="33632" xr:uid="{00000000-0005-0000-0000-0000A2090000}"/>
    <cellStyle name="20% - Accent2 3 2 2 3 5" xfId="7671" xr:uid="{00000000-0005-0000-0000-0000A3090000}"/>
    <cellStyle name="20% - Accent2 3 2 2 3 5 2" xfId="14943" xr:uid="{00000000-0005-0000-0000-0000A4090000}"/>
    <cellStyle name="20% - Accent2 3 2 2 3 5 2 2" xfId="29477" xr:uid="{00000000-0005-0000-0000-0000A5090000}"/>
    <cellStyle name="20% - Accent2 3 2 2 3 5 2 2 2" xfId="58483" xr:uid="{00000000-0005-0000-0000-0000A6090000}"/>
    <cellStyle name="20% - Accent2 3 2 2 3 5 2 3" xfId="43984" xr:uid="{00000000-0005-0000-0000-0000A7090000}"/>
    <cellStyle name="20% - Accent2 3 2 2 3 5 3" xfId="22229" xr:uid="{00000000-0005-0000-0000-0000A8090000}"/>
    <cellStyle name="20% - Accent2 3 2 2 3 5 3 2" xfId="51235" xr:uid="{00000000-0005-0000-0000-0000A9090000}"/>
    <cellStyle name="20% - Accent2 3 2 2 3 5 4" xfId="36736" xr:uid="{00000000-0005-0000-0000-0000AA090000}"/>
    <cellStyle name="20% - Accent2 3 2 2 3 6" xfId="8735" xr:uid="{00000000-0005-0000-0000-0000AB090000}"/>
    <cellStyle name="20% - Accent2 3 2 2 3 6 2" xfId="23269" xr:uid="{00000000-0005-0000-0000-0000AC090000}"/>
    <cellStyle name="20% - Accent2 3 2 2 3 6 2 2" xfId="52275" xr:uid="{00000000-0005-0000-0000-0000AD090000}"/>
    <cellStyle name="20% - Accent2 3 2 2 3 6 3" xfId="37776" xr:uid="{00000000-0005-0000-0000-0000AE090000}"/>
    <cellStyle name="20% - Accent2 3 2 2 3 7" xfId="16021" xr:uid="{00000000-0005-0000-0000-0000AF090000}"/>
    <cellStyle name="20% - Accent2 3 2 2 3 7 2" xfId="45027" xr:uid="{00000000-0005-0000-0000-0000B0090000}"/>
    <cellStyle name="20% - Accent2 3 2 2 3 8" xfId="30528" xr:uid="{00000000-0005-0000-0000-0000B1090000}"/>
    <cellStyle name="20% - Accent2 3 2 2 4" xfId="1991" xr:uid="{00000000-0005-0000-0000-0000B2090000}"/>
    <cellStyle name="20% - Accent2 3 2 2 4 2" xfId="5095" xr:uid="{00000000-0005-0000-0000-0000B3090000}"/>
    <cellStyle name="20% - Accent2 3 2 2 4 2 2" xfId="12367" xr:uid="{00000000-0005-0000-0000-0000B4090000}"/>
    <cellStyle name="20% - Accent2 3 2 2 4 2 2 2" xfId="26901" xr:uid="{00000000-0005-0000-0000-0000B5090000}"/>
    <cellStyle name="20% - Accent2 3 2 2 4 2 2 2 2" xfId="55907" xr:uid="{00000000-0005-0000-0000-0000B6090000}"/>
    <cellStyle name="20% - Accent2 3 2 2 4 2 2 3" xfId="41408" xr:uid="{00000000-0005-0000-0000-0000B7090000}"/>
    <cellStyle name="20% - Accent2 3 2 2 4 2 3" xfId="19653" xr:uid="{00000000-0005-0000-0000-0000B8090000}"/>
    <cellStyle name="20% - Accent2 3 2 2 4 2 3 2" xfId="48659" xr:uid="{00000000-0005-0000-0000-0000B9090000}"/>
    <cellStyle name="20% - Accent2 3 2 2 4 2 4" xfId="34160" xr:uid="{00000000-0005-0000-0000-0000BA090000}"/>
    <cellStyle name="20% - Accent2 3 2 2 4 3" xfId="9263" xr:uid="{00000000-0005-0000-0000-0000BB090000}"/>
    <cellStyle name="20% - Accent2 3 2 2 4 3 2" xfId="23797" xr:uid="{00000000-0005-0000-0000-0000BC090000}"/>
    <cellStyle name="20% - Accent2 3 2 2 4 3 2 2" xfId="52803" xr:uid="{00000000-0005-0000-0000-0000BD090000}"/>
    <cellStyle name="20% - Accent2 3 2 2 4 3 3" xfId="38304" xr:uid="{00000000-0005-0000-0000-0000BE090000}"/>
    <cellStyle name="20% - Accent2 3 2 2 4 4" xfId="16549" xr:uid="{00000000-0005-0000-0000-0000BF090000}"/>
    <cellStyle name="20% - Accent2 3 2 2 4 4 2" xfId="45555" xr:uid="{00000000-0005-0000-0000-0000C0090000}"/>
    <cellStyle name="20% - Accent2 3 2 2 4 5" xfId="31056" xr:uid="{00000000-0005-0000-0000-0000C1090000}"/>
    <cellStyle name="20% - Accent2 3 2 2 5" xfId="3023" xr:uid="{00000000-0005-0000-0000-0000C2090000}"/>
    <cellStyle name="20% - Accent2 3 2 2 5 2" xfId="6127" xr:uid="{00000000-0005-0000-0000-0000C3090000}"/>
    <cellStyle name="20% - Accent2 3 2 2 5 2 2" xfId="13399" xr:uid="{00000000-0005-0000-0000-0000C4090000}"/>
    <cellStyle name="20% - Accent2 3 2 2 5 2 2 2" xfId="27933" xr:uid="{00000000-0005-0000-0000-0000C5090000}"/>
    <cellStyle name="20% - Accent2 3 2 2 5 2 2 2 2" xfId="56939" xr:uid="{00000000-0005-0000-0000-0000C6090000}"/>
    <cellStyle name="20% - Accent2 3 2 2 5 2 2 3" xfId="42440" xr:uid="{00000000-0005-0000-0000-0000C7090000}"/>
    <cellStyle name="20% - Accent2 3 2 2 5 2 3" xfId="20685" xr:uid="{00000000-0005-0000-0000-0000C8090000}"/>
    <cellStyle name="20% - Accent2 3 2 2 5 2 3 2" xfId="49691" xr:uid="{00000000-0005-0000-0000-0000C9090000}"/>
    <cellStyle name="20% - Accent2 3 2 2 5 2 4" xfId="35192" xr:uid="{00000000-0005-0000-0000-0000CA090000}"/>
    <cellStyle name="20% - Accent2 3 2 2 5 3" xfId="10295" xr:uid="{00000000-0005-0000-0000-0000CB090000}"/>
    <cellStyle name="20% - Accent2 3 2 2 5 3 2" xfId="24829" xr:uid="{00000000-0005-0000-0000-0000CC090000}"/>
    <cellStyle name="20% - Accent2 3 2 2 5 3 2 2" xfId="53835" xr:uid="{00000000-0005-0000-0000-0000CD090000}"/>
    <cellStyle name="20% - Accent2 3 2 2 5 3 3" xfId="39336" xr:uid="{00000000-0005-0000-0000-0000CE090000}"/>
    <cellStyle name="20% - Accent2 3 2 2 5 4" xfId="17581" xr:uid="{00000000-0005-0000-0000-0000CF090000}"/>
    <cellStyle name="20% - Accent2 3 2 2 5 4 2" xfId="46587" xr:uid="{00000000-0005-0000-0000-0000D0090000}"/>
    <cellStyle name="20% - Accent2 3 2 2 5 5" xfId="32088" xr:uid="{00000000-0005-0000-0000-0000D1090000}"/>
    <cellStyle name="20% - Accent2 3 2 2 6" xfId="4055" xr:uid="{00000000-0005-0000-0000-0000D2090000}"/>
    <cellStyle name="20% - Accent2 3 2 2 6 2" xfId="11327" xr:uid="{00000000-0005-0000-0000-0000D3090000}"/>
    <cellStyle name="20% - Accent2 3 2 2 6 2 2" xfId="25861" xr:uid="{00000000-0005-0000-0000-0000D4090000}"/>
    <cellStyle name="20% - Accent2 3 2 2 6 2 2 2" xfId="54867" xr:uid="{00000000-0005-0000-0000-0000D5090000}"/>
    <cellStyle name="20% - Accent2 3 2 2 6 2 3" xfId="40368" xr:uid="{00000000-0005-0000-0000-0000D6090000}"/>
    <cellStyle name="20% - Accent2 3 2 2 6 3" xfId="18613" xr:uid="{00000000-0005-0000-0000-0000D7090000}"/>
    <cellStyle name="20% - Accent2 3 2 2 6 3 2" xfId="47619" xr:uid="{00000000-0005-0000-0000-0000D8090000}"/>
    <cellStyle name="20% - Accent2 3 2 2 6 4" xfId="33120" xr:uid="{00000000-0005-0000-0000-0000D9090000}"/>
    <cellStyle name="20% - Accent2 3 2 2 7" xfId="7159" xr:uid="{00000000-0005-0000-0000-0000DA090000}"/>
    <cellStyle name="20% - Accent2 3 2 2 7 2" xfId="14431" xr:uid="{00000000-0005-0000-0000-0000DB090000}"/>
    <cellStyle name="20% - Accent2 3 2 2 7 2 2" xfId="28965" xr:uid="{00000000-0005-0000-0000-0000DC090000}"/>
    <cellStyle name="20% - Accent2 3 2 2 7 2 2 2" xfId="57971" xr:uid="{00000000-0005-0000-0000-0000DD090000}"/>
    <cellStyle name="20% - Accent2 3 2 2 7 2 3" xfId="43472" xr:uid="{00000000-0005-0000-0000-0000DE090000}"/>
    <cellStyle name="20% - Accent2 3 2 2 7 3" xfId="21717" xr:uid="{00000000-0005-0000-0000-0000DF090000}"/>
    <cellStyle name="20% - Accent2 3 2 2 7 3 2" xfId="50723" xr:uid="{00000000-0005-0000-0000-0000E0090000}"/>
    <cellStyle name="20% - Accent2 3 2 2 7 4" xfId="36224" xr:uid="{00000000-0005-0000-0000-0000E1090000}"/>
    <cellStyle name="20% - Accent2 3 2 2 8" xfId="8223" xr:uid="{00000000-0005-0000-0000-0000E2090000}"/>
    <cellStyle name="20% - Accent2 3 2 2 8 2" xfId="22757" xr:uid="{00000000-0005-0000-0000-0000E3090000}"/>
    <cellStyle name="20% - Accent2 3 2 2 8 2 2" xfId="51763" xr:uid="{00000000-0005-0000-0000-0000E4090000}"/>
    <cellStyle name="20% - Accent2 3 2 2 8 3" xfId="37264" xr:uid="{00000000-0005-0000-0000-0000E5090000}"/>
    <cellStyle name="20% - Accent2 3 2 2 9" xfId="15509" xr:uid="{00000000-0005-0000-0000-0000E6090000}"/>
    <cellStyle name="20% - Accent2 3 2 2 9 2" xfId="44515" xr:uid="{00000000-0005-0000-0000-0000E7090000}"/>
    <cellStyle name="20% - Accent2 3 2 3" xfId="1148" xr:uid="{00000000-0005-0000-0000-0000E8090000}"/>
    <cellStyle name="20% - Accent2 3 2 3 2" xfId="1647" xr:uid="{00000000-0005-0000-0000-0000E9090000}"/>
    <cellStyle name="20% - Accent2 3 2 3 2 2" xfId="2706" xr:uid="{00000000-0005-0000-0000-0000EA090000}"/>
    <cellStyle name="20% - Accent2 3 2 3 2 2 2" xfId="5810" xr:uid="{00000000-0005-0000-0000-0000EB090000}"/>
    <cellStyle name="20% - Accent2 3 2 3 2 2 2 2" xfId="13082" xr:uid="{00000000-0005-0000-0000-0000EC090000}"/>
    <cellStyle name="20% - Accent2 3 2 3 2 2 2 2 2" xfId="27616" xr:uid="{00000000-0005-0000-0000-0000ED090000}"/>
    <cellStyle name="20% - Accent2 3 2 3 2 2 2 2 2 2" xfId="56622" xr:uid="{00000000-0005-0000-0000-0000EE090000}"/>
    <cellStyle name="20% - Accent2 3 2 3 2 2 2 2 3" xfId="42123" xr:uid="{00000000-0005-0000-0000-0000EF090000}"/>
    <cellStyle name="20% - Accent2 3 2 3 2 2 2 3" xfId="20368" xr:uid="{00000000-0005-0000-0000-0000F0090000}"/>
    <cellStyle name="20% - Accent2 3 2 3 2 2 2 3 2" xfId="49374" xr:uid="{00000000-0005-0000-0000-0000F1090000}"/>
    <cellStyle name="20% - Accent2 3 2 3 2 2 2 4" xfId="34875" xr:uid="{00000000-0005-0000-0000-0000F2090000}"/>
    <cellStyle name="20% - Accent2 3 2 3 2 2 3" xfId="9978" xr:uid="{00000000-0005-0000-0000-0000F3090000}"/>
    <cellStyle name="20% - Accent2 3 2 3 2 2 3 2" xfId="24512" xr:uid="{00000000-0005-0000-0000-0000F4090000}"/>
    <cellStyle name="20% - Accent2 3 2 3 2 2 3 2 2" xfId="53518" xr:uid="{00000000-0005-0000-0000-0000F5090000}"/>
    <cellStyle name="20% - Accent2 3 2 3 2 2 3 3" xfId="39019" xr:uid="{00000000-0005-0000-0000-0000F6090000}"/>
    <cellStyle name="20% - Accent2 3 2 3 2 2 4" xfId="17264" xr:uid="{00000000-0005-0000-0000-0000F7090000}"/>
    <cellStyle name="20% - Accent2 3 2 3 2 2 4 2" xfId="46270" xr:uid="{00000000-0005-0000-0000-0000F8090000}"/>
    <cellStyle name="20% - Accent2 3 2 3 2 2 5" xfId="31771" xr:uid="{00000000-0005-0000-0000-0000F9090000}"/>
    <cellStyle name="20% - Accent2 3 2 3 2 3" xfId="3738" xr:uid="{00000000-0005-0000-0000-0000FA090000}"/>
    <cellStyle name="20% - Accent2 3 2 3 2 3 2" xfId="6842" xr:uid="{00000000-0005-0000-0000-0000FB090000}"/>
    <cellStyle name="20% - Accent2 3 2 3 2 3 2 2" xfId="14114" xr:uid="{00000000-0005-0000-0000-0000FC090000}"/>
    <cellStyle name="20% - Accent2 3 2 3 2 3 2 2 2" xfId="28648" xr:uid="{00000000-0005-0000-0000-0000FD090000}"/>
    <cellStyle name="20% - Accent2 3 2 3 2 3 2 2 2 2" xfId="57654" xr:uid="{00000000-0005-0000-0000-0000FE090000}"/>
    <cellStyle name="20% - Accent2 3 2 3 2 3 2 2 3" xfId="43155" xr:uid="{00000000-0005-0000-0000-0000FF090000}"/>
    <cellStyle name="20% - Accent2 3 2 3 2 3 2 3" xfId="21400" xr:uid="{00000000-0005-0000-0000-0000000A0000}"/>
    <cellStyle name="20% - Accent2 3 2 3 2 3 2 3 2" xfId="50406" xr:uid="{00000000-0005-0000-0000-0000010A0000}"/>
    <cellStyle name="20% - Accent2 3 2 3 2 3 2 4" xfId="35907" xr:uid="{00000000-0005-0000-0000-0000020A0000}"/>
    <cellStyle name="20% - Accent2 3 2 3 2 3 3" xfId="11010" xr:uid="{00000000-0005-0000-0000-0000030A0000}"/>
    <cellStyle name="20% - Accent2 3 2 3 2 3 3 2" xfId="25544" xr:uid="{00000000-0005-0000-0000-0000040A0000}"/>
    <cellStyle name="20% - Accent2 3 2 3 2 3 3 2 2" xfId="54550" xr:uid="{00000000-0005-0000-0000-0000050A0000}"/>
    <cellStyle name="20% - Accent2 3 2 3 2 3 3 3" xfId="40051" xr:uid="{00000000-0005-0000-0000-0000060A0000}"/>
    <cellStyle name="20% - Accent2 3 2 3 2 3 4" xfId="18296" xr:uid="{00000000-0005-0000-0000-0000070A0000}"/>
    <cellStyle name="20% - Accent2 3 2 3 2 3 4 2" xfId="47302" xr:uid="{00000000-0005-0000-0000-0000080A0000}"/>
    <cellStyle name="20% - Accent2 3 2 3 2 3 5" xfId="32803" xr:uid="{00000000-0005-0000-0000-0000090A0000}"/>
    <cellStyle name="20% - Accent2 3 2 3 2 4" xfId="4770" xr:uid="{00000000-0005-0000-0000-00000A0A0000}"/>
    <cellStyle name="20% - Accent2 3 2 3 2 4 2" xfId="12042" xr:uid="{00000000-0005-0000-0000-00000B0A0000}"/>
    <cellStyle name="20% - Accent2 3 2 3 2 4 2 2" xfId="26576" xr:uid="{00000000-0005-0000-0000-00000C0A0000}"/>
    <cellStyle name="20% - Accent2 3 2 3 2 4 2 2 2" xfId="55582" xr:uid="{00000000-0005-0000-0000-00000D0A0000}"/>
    <cellStyle name="20% - Accent2 3 2 3 2 4 2 3" xfId="41083" xr:uid="{00000000-0005-0000-0000-00000E0A0000}"/>
    <cellStyle name="20% - Accent2 3 2 3 2 4 3" xfId="19328" xr:uid="{00000000-0005-0000-0000-00000F0A0000}"/>
    <cellStyle name="20% - Accent2 3 2 3 2 4 3 2" xfId="48334" xr:uid="{00000000-0005-0000-0000-0000100A0000}"/>
    <cellStyle name="20% - Accent2 3 2 3 2 4 4" xfId="33835" xr:uid="{00000000-0005-0000-0000-0000110A0000}"/>
    <cellStyle name="20% - Accent2 3 2 3 2 5" xfId="7874" xr:uid="{00000000-0005-0000-0000-0000120A0000}"/>
    <cellStyle name="20% - Accent2 3 2 3 2 5 2" xfId="15146" xr:uid="{00000000-0005-0000-0000-0000130A0000}"/>
    <cellStyle name="20% - Accent2 3 2 3 2 5 2 2" xfId="29680" xr:uid="{00000000-0005-0000-0000-0000140A0000}"/>
    <cellStyle name="20% - Accent2 3 2 3 2 5 2 2 2" xfId="58686" xr:uid="{00000000-0005-0000-0000-0000150A0000}"/>
    <cellStyle name="20% - Accent2 3 2 3 2 5 2 3" xfId="44187" xr:uid="{00000000-0005-0000-0000-0000160A0000}"/>
    <cellStyle name="20% - Accent2 3 2 3 2 5 3" xfId="22432" xr:uid="{00000000-0005-0000-0000-0000170A0000}"/>
    <cellStyle name="20% - Accent2 3 2 3 2 5 3 2" xfId="51438" xr:uid="{00000000-0005-0000-0000-0000180A0000}"/>
    <cellStyle name="20% - Accent2 3 2 3 2 5 4" xfId="36939" xr:uid="{00000000-0005-0000-0000-0000190A0000}"/>
    <cellStyle name="20% - Accent2 3 2 3 2 6" xfId="8938" xr:uid="{00000000-0005-0000-0000-00001A0A0000}"/>
    <cellStyle name="20% - Accent2 3 2 3 2 6 2" xfId="23472" xr:uid="{00000000-0005-0000-0000-00001B0A0000}"/>
    <cellStyle name="20% - Accent2 3 2 3 2 6 2 2" xfId="52478" xr:uid="{00000000-0005-0000-0000-00001C0A0000}"/>
    <cellStyle name="20% - Accent2 3 2 3 2 6 3" xfId="37979" xr:uid="{00000000-0005-0000-0000-00001D0A0000}"/>
    <cellStyle name="20% - Accent2 3 2 3 2 7" xfId="16224" xr:uid="{00000000-0005-0000-0000-00001E0A0000}"/>
    <cellStyle name="20% - Accent2 3 2 3 2 7 2" xfId="45230" xr:uid="{00000000-0005-0000-0000-00001F0A0000}"/>
    <cellStyle name="20% - Accent2 3 2 3 2 8" xfId="30731" xr:uid="{00000000-0005-0000-0000-0000200A0000}"/>
    <cellStyle name="20% - Accent2 3 2 3 3" xfId="2194" xr:uid="{00000000-0005-0000-0000-0000210A0000}"/>
    <cellStyle name="20% - Accent2 3 2 3 3 2" xfId="5298" xr:uid="{00000000-0005-0000-0000-0000220A0000}"/>
    <cellStyle name="20% - Accent2 3 2 3 3 2 2" xfId="12570" xr:uid="{00000000-0005-0000-0000-0000230A0000}"/>
    <cellStyle name="20% - Accent2 3 2 3 3 2 2 2" xfId="27104" xr:uid="{00000000-0005-0000-0000-0000240A0000}"/>
    <cellStyle name="20% - Accent2 3 2 3 3 2 2 2 2" xfId="56110" xr:uid="{00000000-0005-0000-0000-0000250A0000}"/>
    <cellStyle name="20% - Accent2 3 2 3 3 2 2 3" xfId="41611" xr:uid="{00000000-0005-0000-0000-0000260A0000}"/>
    <cellStyle name="20% - Accent2 3 2 3 3 2 3" xfId="19856" xr:uid="{00000000-0005-0000-0000-0000270A0000}"/>
    <cellStyle name="20% - Accent2 3 2 3 3 2 3 2" xfId="48862" xr:uid="{00000000-0005-0000-0000-0000280A0000}"/>
    <cellStyle name="20% - Accent2 3 2 3 3 2 4" xfId="34363" xr:uid="{00000000-0005-0000-0000-0000290A0000}"/>
    <cellStyle name="20% - Accent2 3 2 3 3 3" xfId="9466" xr:uid="{00000000-0005-0000-0000-00002A0A0000}"/>
    <cellStyle name="20% - Accent2 3 2 3 3 3 2" xfId="24000" xr:uid="{00000000-0005-0000-0000-00002B0A0000}"/>
    <cellStyle name="20% - Accent2 3 2 3 3 3 2 2" xfId="53006" xr:uid="{00000000-0005-0000-0000-00002C0A0000}"/>
    <cellStyle name="20% - Accent2 3 2 3 3 3 3" xfId="38507" xr:uid="{00000000-0005-0000-0000-00002D0A0000}"/>
    <cellStyle name="20% - Accent2 3 2 3 3 4" xfId="16752" xr:uid="{00000000-0005-0000-0000-00002E0A0000}"/>
    <cellStyle name="20% - Accent2 3 2 3 3 4 2" xfId="45758" xr:uid="{00000000-0005-0000-0000-00002F0A0000}"/>
    <cellStyle name="20% - Accent2 3 2 3 3 5" xfId="31259" xr:uid="{00000000-0005-0000-0000-0000300A0000}"/>
    <cellStyle name="20% - Accent2 3 2 3 4" xfId="3226" xr:uid="{00000000-0005-0000-0000-0000310A0000}"/>
    <cellStyle name="20% - Accent2 3 2 3 4 2" xfId="6330" xr:uid="{00000000-0005-0000-0000-0000320A0000}"/>
    <cellStyle name="20% - Accent2 3 2 3 4 2 2" xfId="13602" xr:uid="{00000000-0005-0000-0000-0000330A0000}"/>
    <cellStyle name="20% - Accent2 3 2 3 4 2 2 2" xfId="28136" xr:uid="{00000000-0005-0000-0000-0000340A0000}"/>
    <cellStyle name="20% - Accent2 3 2 3 4 2 2 2 2" xfId="57142" xr:uid="{00000000-0005-0000-0000-0000350A0000}"/>
    <cellStyle name="20% - Accent2 3 2 3 4 2 2 3" xfId="42643" xr:uid="{00000000-0005-0000-0000-0000360A0000}"/>
    <cellStyle name="20% - Accent2 3 2 3 4 2 3" xfId="20888" xr:uid="{00000000-0005-0000-0000-0000370A0000}"/>
    <cellStyle name="20% - Accent2 3 2 3 4 2 3 2" xfId="49894" xr:uid="{00000000-0005-0000-0000-0000380A0000}"/>
    <cellStyle name="20% - Accent2 3 2 3 4 2 4" xfId="35395" xr:uid="{00000000-0005-0000-0000-0000390A0000}"/>
    <cellStyle name="20% - Accent2 3 2 3 4 3" xfId="10498" xr:uid="{00000000-0005-0000-0000-00003A0A0000}"/>
    <cellStyle name="20% - Accent2 3 2 3 4 3 2" xfId="25032" xr:uid="{00000000-0005-0000-0000-00003B0A0000}"/>
    <cellStyle name="20% - Accent2 3 2 3 4 3 2 2" xfId="54038" xr:uid="{00000000-0005-0000-0000-00003C0A0000}"/>
    <cellStyle name="20% - Accent2 3 2 3 4 3 3" xfId="39539" xr:uid="{00000000-0005-0000-0000-00003D0A0000}"/>
    <cellStyle name="20% - Accent2 3 2 3 4 4" xfId="17784" xr:uid="{00000000-0005-0000-0000-00003E0A0000}"/>
    <cellStyle name="20% - Accent2 3 2 3 4 4 2" xfId="46790" xr:uid="{00000000-0005-0000-0000-00003F0A0000}"/>
    <cellStyle name="20% - Accent2 3 2 3 4 5" xfId="32291" xr:uid="{00000000-0005-0000-0000-0000400A0000}"/>
    <cellStyle name="20% - Accent2 3 2 3 5" xfId="4258" xr:uid="{00000000-0005-0000-0000-0000410A0000}"/>
    <cellStyle name="20% - Accent2 3 2 3 5 2" xfId="11530" xr:uid="{00000000-0005-0000-0000-0000420A0000}"/>
    <cellStyle name="20% - Accent2 3 2 3 5 2 2" xfId="26064" xr:uid="{00000000-0005-0000-0000-0000430A0000}"/>
    <cellStyle name="20% - Accent2 3 2 3 5 2 2 2" xfId="55070" xr:uid="{00000000-0005-0000-0000-0000440A0000}"/>
    <cellStyle name="20% - Accent2 3 2 3 5 2 3" xfId="40571" xr:uid="{00000000-0005-0000-0000-0000450A0000}"/>
    <cellStyle name="20% - Accent2 3 2 3 5 3" xfId="18816" xr:uid="{00000000-0005-0000-0000-0000460A0000}"/>
    <cellStyle name="20% - Accent2 3 2 3 5 3 2" xfId="47822" xr:uid="{00000000-0005-0000-0000-0000470A0000}"/>
    <cellStyle name="20% - Accent2 3 2 3 5 4" xfId="33323" xr:uid="{00000000-0005-0000-0000-0000480A0000}"/>
    <cellStyle name="20% - Accent2 3 2 3 6" xfId="7362" xr:uid="{00000000-0005-0000-0000-0000490A0000}"/>
    <cellStyle name="20% - Accent2 3 2 3 6 2" xfId="14634" xr:uid="{00000000-0005-0000-0000-00004A0A0000}"/>
    <cellStyle name="20% - Accent2 3 2 3 6 2 2" xfId="29168" xr:uid="{00000000-0005-0000-0000-00004B0A0000}"/>
    <cellStyle name="20% - Accent2 3 2 3 6 2 2 2" xfId="58174" xr:uid="{00000000-0005-0000-0000-00004C0A0000}"/>
    <cellStyle name="20% - Accent2 3 2 3 6 2 3" xfId="43675" xr:uid="{00000000-0005-0000-0000-00004D0A0000}"/>
    <cellStyle name="20% - Accent2 3 2 3 6 3" xfId="21920" xr:uid="{00000000-0005-0000-0000-00004E0A0000}"/>
    <cellStyle name="20% - Accent2 3 2 3 6 3 2" xfId="50926" xr:uid="{00000000-0005-0000-0000-00004F0A0000}"/>
    <cellStyle name="20% - Accent2 3 2 3 6 4" xfId="36427" xr:uid="{00000000-0005-0000-0000-0000500A0000}"/>
    <cellStyle name="20% - Accent2 3 2 3 7" xfId="8426" xr:uid="{00000000-0005-0000-0000-0000510A0000}"/>
    <cellStyle name="20% - Accent2 3 2 3 7 2" xfId="22960" xr:uid="{00000000-0005-0000-0000-0000520A0000}"/>
    <cellStyle name="20% - Accent2 3 2 3 7 2 2" xfId="51966" xr:uid="{00000000-0005-0000-0000-0000530A0000}"/>
    <cellStyle name="20% - Accent2 3 2 3 7 3" xfId="37467" xr:uid="{00000000-0005-0000-0000-0000540A0000}"/>
    <cellStyle name="20% - Accent2 3 2 3 8" xfId="15712" xr:uid="{00000000-0005-0000-0000-0000550A0000}"/>
    <cellStyle name="20% - Accent2 3 2 3 8 2" xfId="44718" xr:uid="{00000000-0005-0000-0000-0000560A0000}"/>
    <cellStyle name="20% - Accent2 3 2 3 9" xfId="30219" xr:uid="{00000000-0005-0000-0000-0000570A0000}"/>
    <cellStyle name="20% - Accent2 3 2 4" xfId="1057" xr:uid="{00000000-0005-0000-0000-0000580A0000}"/>
    <cellStyle name="20% - Accent2 3 2 4 2" xfId="1548" xr:uid="{00000000-0005-0000-0000-0000590A0000}"/>
    <cellStyle name="20% - Accent2 3 2 4 2 2" xfId="2606" xr:uid="{00000000-0005-0000-0000-00005A0A0000}"/>
    <cellStyle name="20% - Accent2 3 2 4 2 2 2" xfId="5710" xr:uid="{00000000-0005-0000-0000-00005B0A0000}"/>
    <cellStyle name="20% - Accent2 3 2 4 2 2 2 2" xfId="12982" xr:uid="{00000000-0005-0000-0000-00005C0A0000}"/>
    <cellStyle name="20% - Accent2 3 2 4 2 2 2 2 2" xfId="27516" xr:uid="{00000000-0005-0000-0000-00005D0A0000}"/>
    <cellStyle name="20% - Accent2 3 2 4 2 2 2 2 2 2" xfId="56522" xr:uid="{00000000-0005-0000-0000-00005E0A0000}"/>
    <cellStyle name="20% - Accent2 3 2 4 2 2 2 2 3" xfId="42023" xr:uid="{00000000-0005-0000-0000-00005F0A0000}"/>
    <cellStyle name="20% - Accent2 3 2 4 2 2 2 3" xfId="20268" xr:uid="{00000000-0005-0000-0000-0000600A0000}"/>
    <cellStyle name="20% - Accent2 3 2 4 2 2 2 3 2" xfId="49274" xr:uid="{00000000-0005-0000-0000-0000610A0000}"/>
    <cellStyle name="20% - Accent2 3 2 4 2 2 2 4" xfId="34775" xr:uid="{00000000-0005-0000-0000-0000620A0000}"/>
    <cellStyle name="20% - Accent2 3 2 4 2 2 3" xfId="9878" xr:uid="{00000000-0005-0000-0000-0000630A0000}"/>
    <cellStyle name="20% - Accent2 3 2 4 2 2 3 2" xfId="24412" xr:uid="{00000000-0005-0000-0000-0000640A0000}"/>
    <cellStyle name="20% - Accent2 3 2 4 2 2 3 2 2" xfId="53418" xr:uid="{00000000-0005-0000-0000-0000650A0000}"/>
    <cellStyle name="20% - Accent2 3 2 4 2 2 3 3" xfId="38919" xr:uid="{00000000-0005-0000-0000-0000660A0000}"/>
    <cellStyle name="20% - Accent2 3 2 4 2 2 4" xfId="17164" xr:uid="{00000000-0005-0000-0000-0000670A0000}"/>
    <cellStyle name="20% - Accent2 3 2 4 2 2 4 2" xfId="46170" xr:uid="{00000000-0005-0000-0000-0000680A0000}"/>
    <cellStyle name="20% - Accent2 3 2 4 2 2 5" xfId="31671" xr:uid="{00000000-0005-0000-0000-0000690A0000}"/>
    <cellStyle name="20% - Accent2 3 2 4 2 3" xfId="3638" xr:uid="{00000000-0005-0000-0000-00006A0A0000}"/>
    <cellStyle name="20% - Accent2 3 2 4 2 3 2" xfId="6742" xr:uid="{00000000-0005-0000-0000-00006B0A0000}"/>
    <cellStyle name="20% - Accent2 3 2 4 2 3 2 2" xfId="14014" xr:uid="{00000000-0005-0000-0000-00006C0A0000}"/>
    <cellStyle name="20% - Accent2 3 2 4 2 3 2 2 2" xfId="28548" xr:uid="{00000000-0005-0000-0000-00006D0A0000}"/>
    <cellStyle name="20% - Accent2 3 2 4 2 3 2 2 2 2" xfId="57554" xr:uid="{00000000-0005-0000-0000-00006E0A0000}"/>
    <cellStyle name="20% - Accent2 3 2 4 2 3 2 2 3" xfId="43055" xr:uid="{00000000-0005-0000-0000-00006F0A0000}"/>
    <cellStyle name="20% - Accent2 3 2 4 2 3 2 3" xfId="21300" xr:uid="{00000000-0005-0000-0000-0000700A0000}"/>
    <cellStyle name="20% - Accent2 3 2 4 2 3 2 3 2" xfId="50306" xr:uid="{00000000-0005-0000-0000-0000710A0000}"/>
    <cellStyle name="20% - Accent2 3 2 4 2 3 2 4" xfId="35807" xr:uid="{00000000-0005-0000-0000-0000720A0000}"/>
    <cellStyle name="20% - Accent2 3 2 4 2 3 3" xfId="10910" xr:uid="{00000000-0005-0000-0000-0000730A0000}"/>
    <cellStyle name="20% - Accent2 3 2 4 2 3 3 2" xfId="25444" xr:uid="{00000000-0005-0000-0000-0000740A0000}"/>
    <cellStyle name="20% - Accent2 3 2 4 2 3 3 2 2" xfId="54450" xr:uid="{00000000-0005-0000-0000-0000750A0000}"/>
    <cellStyle name="20% - Accent2 3 2 4 2 3 3 3" xfId="39951" xr:uid="{00000000-0005-0000-0000-0000760A0000}"/>
    <cellStyle name="20% - Accent2 3 2 4 2 3 4" xfId="18196" xr:uid="{00000000-0005-0000-0000-0000770A0000}"/>
    <cellStyle name="20% - Accent2 3 2 4 2 3 4 2" xfId="47202" xr:uid="{00000000-0005-0000-0000-0000780A0000}"/>
    <cellStyle name="20% - Accent2 3 2 4 2 3 5" xfId="32703" xr:uid="{00000000-0005-0000-0000-0000790A0000}"/>
    <cellStyle name="20% - Accent2 3 2 4 2 4" xfId="4670" xr:uid="{00000000-0005-0000-0000-00007A0A0000}"/>
    <cellStyle name="20% - Accent2 3 2 4 2 4 2" xfId="11942" xr:uid="{00000000-0005-0000-0000-00007B0A0000}"/>
    <cellStyle name="20% - Accent2 3 2 4 2 4 2 2" xfId="26476" xr:uid="{00000000-0005-0000-0000-00007C0A0000}"/>
    <cellStyle name="20% - Accent2 3 2 4 2 4 2 2 2" xfId="55482" xr:uid="{00000000-0005-0000-0000-00007D0A0000}"/>
    <cellStyle name="20% - Accent2 3 2 4 2 4 2 3" xfId="40983" xr:uid="{00000000-0005-0000-0000-00007E0A0000}"/>
    <cellStyle name="20% - Accent2 3 2 4 2 4 3" xfId="19228" xr:uid="{00000000-0005-0000-0000-00007F0A0000}"/>
    <cellStyle name="20% - Accent2 3 2 4 2 4 3 2" xfId="48234" xr:uid="{00000000-0005-0000-0000-0000800A0000}"/>
    <cellStyle name="20% - Accent2 3 2 4 2 4 4" xfId="33735" xr:uid="{00000000-0005-0000-0000-0000810A0000}"/>
    <cellStyle name="20% - Accent2 3 2 4 2 5" xfId="7774" xr:uid="{00000000-0005-0000-0000-0000820A0000}"/>
    <cellStyle name="20% - Accent2 3 2 4 2 5 2" xfId="15046" xr:uid="{00000000-0005-0000-0000-0000830A0000}"/>
    <cellStyle name="20% - Accent2 3 2 4 2 5 2 2" xfId="29580" xr:uid="{00000000-0005-0000-0000-0000840A0000}"/>
    <cellStyle name="20% - Accent2 3 2 4 2 5 2 2 2" xfId="58586" xr:uid="{00000000-0005-0000-0000-0000850A0000}"/>
    <cellStyle name="20% - Accent2 3 2 4 2 5 2 3" xfId="44087" xr:uid="{00000000-0005-0000-0000-0000860A0000}"/>
    <cellStyle name="20% - Accent2 3 2 4 2 5 3" xfId="22332" xr:uid="{00000000-0005-0000-0000-0000870A0000}"/>
    <cellStyle name="20% - Accent2 3 2 4 2 5 3 2" xfId="51338" xr:uid="{00000000-0005-0000-0000-0000880A0000}"/>
    <cellStyle name="20% - Accent2 3 2 4 2 5 4" xfId="36839" xr:uid="{00000000-0005-0000-0000-0000890A0000}"/>
    <cellStyle name="20% - Accent2 3 2 4 2 6" xfId="8838" xr:uid="{00000000-0005-0000-0000-00008A0A0000}"/>
    <cellStyle name="20% - Accent2 3 2 4 2 6 2" xfId="23372" xr:uid="{00000000-0005-0000-0000-00008B0A0000}"/>
    <cellStyle name="20% - Accent2 3 2 4 2 6 2 2" xfId="52378" xr:uid="{00000000-0005-0000-0000-00008C0A0000}"/>
    <cellStyle name="20% - Accent2 3 2 4 2 6 3" xfId="37879" xr:uid="{00000000-0005-0000-0000-00008D0A0000}"/>
    <cellStyle name="20% - Accent2 3 2 4 2 7" xfId="16124" xr:uid="{00000000-0005-0000-0000-00008E0A0000}"/>
    <cellStyle name="20% - Accent2 3 2 4 2 7 2" xfId="45130" xr:uid="{00000000-0005-0000-0000-00008F0A0000}"/>
    <cellStyle name="20% - Accent2 3 2 4 2 8" xfId="30631" xr:uid="{00000000-0005-0000-0000-0000900A0000}"/>
    <cellStyle name="20% - Accent2 3 2 4 3" xfId="2094" xr:uid="{00000000-0005-0000-0000-0000910A0000}"/>
    <cellStyle name="20% - Accent2 3 2 4 3 2" xfId="5198" xr:uid="{00000000-0005-0000-0000-0000920A0000}"/>
    <cellStyle name="20% - Accent2 3 2 4 3 2 2" xfId="12470" xr:uid="{00000000-0005-0000-0000-0000930A0000}"/>
    <cellStyle name="20% - Accent2 3 2 4 3 2 2 2" xfId="27004" xr:uid="{00000000-0005-0000-0000-0000940A0000}"/>
    <cellStyle name="20% - Accent2 3 2 4 3 2 2 2 2" xfId="56010" xr:uid="{00000000-0005-0000-0000-0000950A0000}"/>
    <cellStyle name="20% - Accent2 3 2 4 3 2 2 3" xfId="41511" xr:uid="{00000000-0005-0000-0000-0000960A0000}"/>
    <cellStyle name="20% - Accent2 3 2 4 3 2 3" xfId="19756" xr:uid="{00000000-0005-0000-0000-0000970A0000}"/>
    <cellStyle name="20% - Accent2 3 2 4 3 2 3 2" xfId="48762" xr:uid="{00000000-0005-0000-0000-0000980A0000}"/>
    <cellStyle name="20% - Accent2 3 2 4 3 2 4" xfId="34263" xr:uid="{00000000-0005-0000-0000-0000990A0000}"/>
    <cellStyle name="20% - Accent2 3 2 4 3 3" xfId="9366" xr:uid="{00000000-0005-0000-0000-00009A0A0000}"/>
    <cellStyle name="20% - Accent2 3 2 4 3 3 2" xfId="23900" xr:uid="{00000000-0005-0000-0000-00009B0A0000}"/>
    <cellStyle name="20% - Accent2 3 2 4 3 3 2 2" xfId="52906" xr:uid="{00000000-0005-0000-0000-00009C0A0000}"/>
    <cellStyle name="20% - Accent2 3 2 4 3 3 3" xfId="38407" xr:uid="{00000000-0005-0000-0000-00009D0A0000}"/>
    <cellStyle name="20% - Accent2 3 2 4 3 4" xfId="16652" xr:uid="{00000000-0005-0000-0000-00009E0A0000}"/>
    <cellStyle name="20% - Accent2 3 2 4 3 4 2" xfId="45658" xr:uid="{00000000-0005-0000-0000-00009F0A0000}"/>
    <cellStyle name="20% - Accent2 3 2 4 3 5" xfId="31159" xr:uid="{00000000-0005-0000-0000-0000A00A0000}"/>
    <cellStyle name="20% - Accent2 3 2 4 4" xfId="3126" xr:uid="{00000000-0005-0000-0000-0000A10A0000}"/>
    <cellStyle name="20% - Accent2 3 2 4 4 2" xfId="6230" xr:uid="{00000000-0005-0000-0000-0000A20A0000}"/>
    <cellStyle name="20% - Accent2 3 2 4 4 2 2" xfId="13502" xr:uid="{00000000-0005-0000-0000-0000A30A0000}"/>
    <cellStyle name="20% - Accent2 3 2 4 4 2 2 2" xfId="28036" xr:uid="{00000000-0005-0000-0000-0000A40A0000}"/>
    <cellStyle name="20% - Accent2 3 2 4 4 2 2 2 2" xfId="57042" xr:uid="{00000000-0005-0000-0000-0000A50A0000}"/>
    <cellStyle name="20% - Accent2 3 2 4 4 2 2 3" xfId="42543" xr:uid="{00000000-0005-0000-0000-0000A60A0000}"/>
    <cellStyle name="20% - Accent2 3 2 4 4 2 3" xfId="20788" xr:uid="{00000000-0005-0000-0000-0000A70A0000}"/>
    <cellStyle name="20% - Accent2 3 2 4 4 2 3 2" xfId="49794" xr:uid="{00000000-0005-0000-0000-0000A80A0000}"/>
    <cellStyle name="20% - Accent2 3 2 4 4 2 4" xfId="35295" xr:uid="{00000000-0005-0000-0000-0000A90A0000}"/>
    <cellStyle name="20% - Accent2 3 2 4 4 3" xfId="10398" xr:uid="{00000000-0005-0000-0000-0000AA0A0000}"/>
    <cellStyle name="20% - Accent2 3 2 4 4 3 2" xfId="24932" xr:uid="{00000000-0005-0000-0000-0000AB0A0000}"/>
    <cellStyle name="20% - Accent2 3 2 4 4 3 2 2" xfId="53938" xr:uid="{00000000-0005-0000-0000-0000AC0A0000}"/>
    <cellStyle name="20% - Accent2 3 2 4 4 3 3" xfId="39439" xr:uid="{00000000-0005-0000-0000-0000AD0A0000}"/>
    <cellStyle name="20% - Accent2 3 2 4 4 4" xfId="17684" xr:uid="{00000000-0005-0000-0000-0000AE0A0000}"/>
    <cellStyle name="20% - Accent2 3 2 4 4 4 2" xfId="46690" xr:uid="{00000000-0005-0000-0000-0000AF0A0000}"/>
    <cellStyle name="20% - Accent2 3 2 4 4 5" xfId="32191" xr:uid="{00000000-0005-0000-0000-0000B00A0000}"/>
    <cellStyle name="20% - Accent2 3 2 4 5" xfId="4158" xr:uid="{00000000-0005-0000-0000-0000B10A0000}"/>
    <cellStyle name="20% - Accent2 3 2 4 5 2" xfId="11430" xr:uid="{00000000-0005-0000-0000-0000B20A0000}"/>
    <cellStyle name="20% - Accent2 3 2 4 5 2 2" xfId="25964" xr:uid="{00000000-0005-0000-0000-0000B30A0000}"/>
    <cellStyle name="20% - Accent2 3 2 4 5 2 2 2" xfId="54970" xr:uid="{00000000-0005-0000-0000-0000B40A0000}"/>
    <cellStyle name="20% - Accent2 3 2 4 5 2 3" xfId="40471" xr:uid="{00000000-0005-0000-0000-0000B50A0000}"/>
    <cellStyle name="20% - Accent2 3 2 4 5 3" xfId="18716" xr:uid="{00000000-0005-0000-0000-0000B60A0000}"/>
    <cellStyle name="20% - Accent2 3 2 4 5 3 2" xfId="47722" xr:uid="{00000000-0005-0000-0000-0000B70A0000}"/>
    <cellStyle name="20% - Accent2 3 2 4 5 4" xfId="33223" xr:uid="{00000000-0005-0000-0000-0000B80A0000}"/>
    <cellStyle name="20% - Accent2 3 2 4 6" xfId="7262" xr:uid="{00000000-0005-0000-0000-0000B90A0000}"/>
    <cellStyle name="20% - Accent2 3 2 4 6 2" xfId="14534" xr:uid="{00000000-0005-0000-0000-0000BA0A0000}"/>
    <cellStyle name="20% - Accent2 3 2 4 6 2 2" xfId="29068" xr:uid="{00000000-0005-0000-0000-0000BB0A0000}"/>
    <cellStyle name="20% - Accent2 3 2 4 6 2 2 2" xfId="58074" xr:uid="{00000000-0005-0000-0000-0000BC0A0000}"/>
    <cellStyle name="20% - Accent2 3 2 4 6 2 3" xfId="43575" xr:uid="{00000000-0005-0000-0000-0000BD0A0000}"/>
    <cellStyle name="20% - Accent2 3 2 4 6 3" xfId="21820" xr:uid="{00000000-0005-0000-0000-0000BE0A0000}"/>
    <cellStyle name="20% - Accent2 3 2 4 6 3 2" xfId="50826" xr:uid="{00000000-0005-0000-0000-0000BF0A0000}"/>
    <cellStyle name="20% - Accent2 3 2 4 6 4" xfId="36327" xr:uid="{00000000-0005-0000-0000-0000C00A0000}"/>
    <cellStyle name="20% - Accent2 3 2 4 7" xfId="8326" xr:uid="{00000000-0005-0000-0000-0000C10A0000}"/>
    <cellStyle name="20% - Accent2 3 2 4 7 2" xfId="22860" xr:uid="{00000000-0005-0000-0000-0000C20A0000}"/>
    <cellStyle name="20% - Accent2 3 2 4 7 2 2" xfId="51866" xr:uid="{00000000-0005-0000-0000-0000C30A0000}"/>
    <cellStyle name="20% - Accent2 3 2 4 7 3" xfId="37367" xr:uid="{00000000-0005-0000-0000-0000C40A0000}"/>
    <cellStyle name="20% - Accent2 3 2 4 8" xfId="15612" xr:uid="{00000000-0005-0000-0000-0000C50A0000}"/>
    <cellStyle name="20% - Accent2 3 2 4 8 2" xfId="44618" xr:uid="{00000000-0005-0000-0000-0000C60A0000}"/>
    <cellStyle name="20% - Accent2 3 2 4 9" xfId="30119" xr:uid="{00000000-0005-0000-0000-0000C70A0000}"/>
    <cellStyle name="20% - Accent2 3 2 5" xfId="1343" xr:uid="{00000000-0005-0000-0000-0000C80A0000}"/>
    <cellStyle name="20% - Accent2 3 2 5 2" xfId="2400" xr:uid="{00000000-0005-0000-0000-0000C90A0000}"/>
    <cellStyle name="20% - Accent2 3 2 5 2 2" xfId="5504" xr:uid="{00000000-0005-0000-0000-0000CA0A0000}"/>
    <cellStyle name="20% - Accent2 3 2 5 2 2 2" xfId="12776" xr:uid="{00000000-0005-0000-0000-0000CB0A0000}"/>
    <cellStyle name="20% - Accent2 3 2 5 2 2 2 2" xfId="27310" xr:uid="{00000000-0005-0000-0000-0000CC0A0000}"/>
    <cellStyle name="20% - Accent2 3 2 5 2 2 2 2 2" xfId="56316" xr:uid="{00000000-0005-0000-0000-0000CD0A0000}"/>
    <cellStyle name="20% - Accent2 3 2 5 2 2 2 3" xfId="41817" xr:uid="{00000000-0005-0000-0000-0000CE0A0000}"/>
    <cellStyle name="20% - Accent2 3 2 5 2 2 3" xfId="20062" xr:uid="{00000000-0005-0000-0000-0000CF0A0000}"/>
    <cellStyle name="20% - Accent2 3 2 5 2 2 3 2" xfId="49068" xr:uid="{00000000-0005-0000-0000-0000D00A0000}"/>
    <cellStyle name="20% - Accent2 3 2 5 2 2 4" xfId="34569" xr:uid="{00000000-0005-0000-0000-0000D10A0000}"/>
    <cellStyle name="20% - Accent2 3 2 5 2 3" xfId="9672" xr:uid="{00000000-0005-0000-0000-0000D20A0000}"/>
    <cellStyle name="20% - Accent2 3 2 5 2 3 2" xfId="24206" xr:uid="{00000000-0005-0000-0000-0000D30A0000}"/>
    <cellStyle name="20% - Accent2 3 2 5 2 3 2 2" xfId="53212" xr:uid="{00000000-0005-0000-0000-0000D40A0000}"/>
    <cellStyle name="20% - Accent2 3 2 5 2 3 3" xfId="38713" xr:uid="{00000000-0005-0000-0000-0000D50A0000}"/>
    <cellStyle name="20% - Accent2 3 2 5 2 4" xfId="16958" xr:uid="{00000000-0005-0000-0000-0000D60A0000}"/>
    <cellStyle name="20% - Accent2 3 2 5 2 4 2" xfId="45964" xr:uid="{00000000-0005-0000-0000-0000D70A0000}"/>
    <cellStyle name="20% - Accent2 3 2 5 2 5" xfId="31465" xr:uid="{00000000-0005-0000-0000-0000D80A0000}"/>
    <cellStyle name="20% - Accent2 3 2 5 3" xfId="3432" xr:uid="{00000000-0005-0000-0000-0000D90A0000}"/>
    <cellStyle name="20% - Accent2 3 2 5 3 2" xfId="6536" xr:uid="{00000000-0005-0000-0000-0000DA0A0000}"/>
    <cellStyle name="20% - Accent2 3 2 5 3 2 2" xfId="13808" xr:uid="{00000000-0005-0000-0000-0000DB0A0000}"/>
    <cellStyle name="20% - Accent2 3 2 5 3 2 2 2" xfId="28342" xr:uid="{00000000-0005-0000-0000-0000DC0A0000}"/>
    <cellStyle name="20% - Accent2 3 2 5 3 2 2 2 2" xfId="57348" xr:uid="{00000000-0005-0000-0000-0000DD0A0000}"/>
    <cellStyle name="20% - Accent2 3 2 5 3 2 2 3" xfId="42849" xr:uid="{00000000-0005-0000-0000-0000DE0A0000}"/>
    <cellStyle name="20% - Accent2 3 2 5 3 2 3" xfId="21094" xr:uid="{00000000-0005-0000-0000-0000DF0A0000}"/>
    <cellStyle name="20% - Accent2 3 2 5 3 2 3 2" xfId="50100" xr:uid="{00000000-0005-0000-0000-0000E00A0000}"/>
    <cellStyle name="20% - Accent2 3 2 5 3 2 4" xfId="35601" xr:uid="{00000000-0005-0000-0000-0000E10A0000}"/>
    <cellStyle name="20% - Accent2 3 2 5 3 3" xfId="10704" xr:uid="{00000000-0005-0000-0000-0000E20A0000}"/>
    <cellStyle name="20% - Accent2 3 2 5 3 3 2" xfId="25238" xr:uid="{00000000-0005-0000-0000-0000E30A0000}"/>
    <cellStyle name="20% - Accent2 3 2 5 3 3 2 2" xfId="54244" xr:uid="{00000000-0005-0000-0000-0000E40A0000}"/>
    <cellStyle name="20% - Accent2 3 2 5 3 3 3" xfId="39745" xr:uid="{00000000-0005-0000-0000-0000E50A0000}"/>
    <cellStyle name="20% - Accent2 3 2 5 3 4" xfId="17990" xr:uid="{00000000-0005-0000-0000-0000E60A0000}"/>
    <cellStyle name="20% - Accent2 3 2 5 3 4 2" xfId="46996" xr:uid="{00000000-0005-0000-0000-0000E70A0000}"/>
    <cellStyle name="20% - Accent2 3 2 5 3 5" xfId="32497" xr:uid="{00000000-0005-0000-0000-0000E80A0000}"/>
    <cellStyle name="20% - Accent2 3 2 5 4" xfId="4464" xr:uid="{00000000-0005-0000-0000-0000E90A0000}"/>
    <cellStyle name="20% - Accent2 3 2 5 4 2" xfId="11736" xr:uid="{00000000-0005-0000-0000-0000EA0A0000}"/>
    <cellStyle name="20% - Accent2 3 2 5 4 2 2" xfId="26270" xr:uid="{00000000-0005-0000-0000-0000EB0A0000}"/>
    <cellStyle name="20% - Accent2 3 2 5 4 2 2 2" xfId="55276" xr:uid="{00000000-0005-0000-0000-0000EC0A0000}"/>
    <cellStyle name="20% - Accent2 3 2 5 4 2 3" xfId="40777" xr:uid="{00000000-0005-0000-0000-0000ED0A0000}"/>
    <cellStyle name="20% - Accent2 3 2 5 4 3" xfId="19022" xr:uid="{00000000-0005-0000-0000-0000EE0A0000}"/>
    <cellStyle name="20% - Accent2 3 2 5 4 3 2" xfId="48028" xr:uid="{00000000-0005-0000-0000-0000EF0A0000}"/>
    <cellStyle name="20% - Accent2 3 2 5 4 4" xfId="33529" xr:uid="{00000000-0005-0000-0000-0000F00A0000}"/>
    <cellStyle name="20% - Accent2 3 2 5 5" xfId="7568" xr:uid="{00000000-0005-0000-0000-0000F10A0000}"/>
    <cellStyle name="20% - Accent2 3 2 5 5 2" xfId="14840" xr:uid="{00000000-0005-0000-0000-0000F20A0000}"/>
    <cellStyle name="20% - Accent2 3 2 5 5 2 2" xfId="29374" xr:uid="{00000000-0005-0000-0000-0000F30A0000}"/>
    <cellStyle name="20% - Accent2 3 2 5 5 2 2 2" xfId="58380" xr:uid="{00000000-0005-0000-0000-0000F40A0000}"/>
    <cellStyle name="20% - Accent2 3 2 5 5 2 3" xfId="43881" xr:uid="{00000000-0005-0000-0000-0000F50A0000}"/>
    <cellStyle name="20% - Accent2 3 2 5 5 3" xfId="22126" xr:uid="{00000000-0005-0000-0000-0000F60A0000}"/>
    <cellStyle name="20% - Accent2 3 2 5 5 3 2" xfId="51132" xr:uid="{00000000-0005-0000-0000-0000F70A0000}"/>
    <cellStyle name="20% - Accent2 3 2 5 5 4" xfId="36633" xr:uid="{00000000-0005-0000-0000-0000F80A0000}"/>
    <cellStyle name="20% - Accent2 3 2 5 6" xfId="8632" xr:uid="{00000000-0005-0000-0000-0000F90A0000}"/>
    <cellStyle name="20% - Accent2 3 2 5 6 2" xfId="23166" xr:uid="{00000000-0005-0000-0000-0000FA0A0000}"/>
    <cellStyle name="20% - Accent2 3 2 5 6 2 2" xfId="52172" xr:uid="{00000000-0005-0000-0000-0000FB0A0000}"/>
    <cellStyle name="20% - Accent2 3 2 5 6 3" xfId="37673" xr:uid="{00000000-0005-0000-0000-0000FC0A0000}"/>
    <cellStyle name="20% - Accent2 3 2 5 7" xfId="15918" xr:uid="{00000000-0005-0000-0000-0000FD0A0000}"/>
    <cellStyle name="20% - Accent2 3 2 5 7 2" xfId="44924" xr:uid="{00000000-0005-0000-0000-0000FE0A0000}"/>
    <cellStyle name="20% - Accent2 3 2 5 8" xfId="30425" xr:uid="{00000000-0005-0000-0000-0000FF0A0000}"/>
    <cellStyle name="20% - Accent2 3 2 6" xfId="1888" xr:uid="{00000000-0005-0000-0000-0000000B0000}"/>
    <cellStyle name="20% - Accent2 3 2 6 2" xfId="4992" xr:uid="{00000000-0005-0000-0000-0000010B0000}"/>
    <cellStyle name="20% - Accent2 3 2 6 2 2" xfId="12264" xr:uid="{00000000-0005-0000-0000-0000020B0000}"/>
    <cellStyle name="20% - Accent2 3 2 6 2 2 2" xfId="26798" xr:uid="{00000000-0005-0000-0000-0000030B0000}"/>
    <cellStyle name="20% - Accent2 3 2 6 2 2 2 2" xfId="55804" xr:uid="{00000000-0005-0000-0000-0000040B0000}"/>
    <cellStyle name="20% - Accent2 3 2 6 2 2 3" xfId="41305" xr:uid="{00000000-0005-0000-0000-0000050B0000}"/>
    <cellStyle name="20% - Accent2 3 2 6 2 3" xfId="19550" xr:uid="{00000000-0005-0000-0000-0000060B0000}"/>
    <cellStyle name="20% - Accent2 3 2 6 2 3 2" xfId="48556" xr:uid="{00000000-0005-0000-0000-0000070B0000}"/>
    <cellStyle name="20% - Accent2 3 2 6 2 4" xfId="34057" xr:uid="{00000000-0005-0000-0000-0000080B0000}"/>
    <cellStyle name="20% - Accent2 3 2 6 3" xfId="9160" xr:uid="{00000000-0005-0000-0000-0000090B0000}"/>
    <cellStyle name="20% - Accent2 3 2 6 3 2" xfId="23694" xr:uid="{00000000-0005-0000-0000-00000A0B0000}"/>
    <cellStyle name="20% - Accent2 3 2 6 3 2 2" xfId="52700" xr:uid="{00000000-0005-0000-0000-00000B0B0000}"/>
    <cellStyle name="20% - Accent2 3 2 6 3 3" xfId="38201" xr:uid="{00000000-0005-0000-0000-00000C0B0000}"/>
    <cellStyle name="20% - Accent2 3 2 6 4" xfId="16446" xr:uid="{00000000-0005-0000-0000-00000D0B0000}"/>
    <cellStyle name="20% - Accent2 3 2 6 4 2" xfId="45452" xr:uid="{00000000-0005-0000-0000-00000E0B0000}"/>
    <cellStyle name="20% - Accent2 3 2 6 5" xfId="30953" xr:uid="{00000000-0005-0000-0000-00000F0B0000}"/>
    <cellStyle name="20% - Accent2 3 2 7" xfId="2920" xr:uid="{00000000-0005-0000-0000-0000100B0000}"/>
    <cellStyle name="20% - Accent2 3 2 7 2" xfId="6024" xr:uid="{00000000-0005-0000-0000-0000110B0000}"/>
    <cellStyle name="20% - Accent2 3 2 7 2 2" xfId="13296" xr:uid="{00000000-0005-0000-0000-0000120B0000}"/>
    <cellStyle name="20% - Accent2 3 2 7 2 2 2" xfId="27830" xr:uid="{00000000-0005-0000-0000-0000130B0000}"/>
    <cellStyle name="20% - Accent2 3 2 7 2 2 2 2" xfId="56836" xr:uid="{00000000-0005-0000-0000-0000140B0000}"/>
    <cellStyle name="20% - Accent2 3 2 7 2 2 3" xfId="42337" xr:uid="{00000000-0005-0000-0000-0000150B0000}"/>
    <cellStyle name="20% - Accent2 3 2 7 2 3" xfId="20582" xr:uid="{00000000-0005-0000-0000-0000160B0000}"/>
    <cellStyle name="20% - Accent2 3 2 7 2 3 2" xfId="49588" xr:uid="{00000000-0005-0000-0000-0000170B0000}"/>
    <cellStyle name="20% - Accent2 3 2 7 2 4" xfId="35089" xr:uid="{00000000-0005-0000-0000-0000180B0000}"/>
    <cellStyle name="20% - Accent2 3 2 7 3" xfId="10192" xr:uid="{00000000-0005-0000-0000-0000190B0000}"/>
    <cellStyle name="20% - Accent2 3 2 7 3 2" xfId="24726" xr:uid="{00000000-0005-0000-0000-00001A0B0000}"/>
    <cellStyle name="20% - Accent2 3 2 7 3 2 2" xfId="53732" xr:uid="{00000000-0005-0000-0000-00001B0B0000}"/>
    <cellStyle name="20% - Accent2 3 2 7 3 3" xfId="39233" xr:uid="{00000000-0005-0000-0000-00001C0B0000}"/>
    <cellStyle name="20% - Accent2 3 2 7 4" xfId="17478" xr:uid="{00000000-0005-0000-0000-00001D0B0000}"/>
    <cellStyle name="20% - Accent2 3 2 7 4 2" xfId="46484" xr:uid="{00000000-0005-0000-0000-00001E0B0000}"/>
    <cellStyle name="20% - Accent2 3 2 7 5" xfId="31985" xr:uid="{00000000-0005-0000-0000-00001F0B0000}"/>
    <cellStyle name="20% - Accent2 3 2 8" xfId="3952" xr:uid="{00000000-0005-0000-0000-0000200B0000}"/>
    <cellStyle name="20% - Accent2 3 2 8 2" xfId="11224" xr:uid="{00000000-0005-0000-0000-0000210B0000}"/>
    <cellStyle name="20% - Accent2 3 2 8 2 2" xfId="25758" xr:uid="{00000000-0005-0000-0000-0000220B0000}"/>
    <cellStyle name="20% - Accent2 3 2 8 2 2 2" xfId="54764" xr:uid="{00000000-0005-0000-0000-0000230B0000}"/>
    <cellStyle name="20% - Accent2 3 2 8 2 3" xfId="40265" xr:uid="{00000000-0005-0000-0000-0000240B0000}"/>
    <cellStyle name="20% - Accent2 3 2 8 3" xfId="18510" xr:uid="{00000000-0005-0000-0000-0000250B0000}"/>
    <cellStyle name="20% - Accent2 3 2 8 3 2" xfId="47516" xr:uid="{00000000-0005-0000-0000-0000260B0000}"/>
    <cellStyle name="20% - Accent2 3 2 8 4" xfId="33017" xr:uid="{00000000-0005-0000-0000-0000270B0000}"/>
    <cellStyle name="20% - Accent2 3 2 9" xfId="7056" xr:uid="{00000000-0005-0000-0000-0000280B0000}"/>
    <cellStyle name="20% - Accent2 3 2 9 2" xfId="14328" xr:uid="{00000000-0005-0000-0000-0000290B0000}"/>
    <cellStyle name="20% - Accent2 3 2 9 2 2" xfId="28862" xr:uid="{00000000-0005-0000-0000-00002A0B0000}"/>
    <cellStyle name="20% - Accent2 3 2 9 2 2 2" xfId="57868" xr:uid="{00000000-0005-0000-0000-00002B0B0000}"/>
    <cellStyle name="20% - Accent2 3 2 9 2 3" xfId="43369" xr:uid="{00000000-0005-0000-0000-00002C0B0000}"/>
    <cellStyle name="20% - Accent2 3 2 9 3" xfId="21614" xr:uid="{00000000-0005-0000-0000-00002D0B0000}"/>
    <cellStyle name="20% - Accent2 3 2 9 3 2" xfId="50620" xr:uid="{00000000-0005-0000-0000-00002E0B0000}"/>
    <cellStyle name="20% - Accent2 3 2 9 4" xfId="36121" xr:uid="{00000000-0005-0000-0000-00002F0B0000}"/>
    <cellStyle name="20% - Accent2 3 3" xfId="923" xr:uid="{00000000-0005-0000-0000-0000300B0000}"/>
    <cellStyle name="20% - Accent2 3 3 10" xfId="29964" xr:uid="{00000000-0005-0000-0000-0000310B0000}"/>
    <cellStyle name="20% - Accent2 3 3 2" xfId="1195" xr:uid="{00000000-0005-0000-0000-0000320B0000}"/>
    <cellStyle name="20% - Accent2 3 3 2 2" xfId="1698" xr:uid="{00000000-0005-0000-0000-0000330B0000}"/>
    <cellStyle name="20% - Accent2 3 3 2 2 2" xfId="2757" xr:uid="{00000000-0005-0000-0000-0000340B0000}"/>
    <cellStyle name="20% - Accent2 3 3 2 2 2 2" xfId="5861" xr:uid="{00000000-0005-0000-0000-0000350B0000}"/>
    <cellStyle name="20% - Accent2 3 3 2 2 2 2 2" xfId="13133" xr:uid="{00000000-0005-0000-0000-0000360B0000}"/>
    <cellStyle name="20% - Accent2 3 3 2 2 2 2 2 2" xfId="27667" xr:uid="{00000000-0005-0000-0000-0000370B0000}"/>
    <cellStyle name="20% - Accent2 3 3 2 2 2 2 2 2 2" xfId="56673" xr:uid="{00000000-0005-0000-0000-0000380B0000}"/>
    <cellStyle name="20% - Accent2 3 3 2 2 2 2 2 3" xfId="42174" xr:uid="{00000000-0005-0000-0000-0000390B0000}"/>
    <cellStyle name="20% - Accent2 3 3 2 2 2 2 3" xfId="20419" xr:uid="{00000000-0005-0000-0000-00003A0B0000}"/>
    <cellStyle name="20% - Accent2 3 3 2 2 2 2 3 2" xfId="49425" xr:uid="{00000000-0005-0000-0000-00003B0B0000}"/>
    <cellStyle name="20% - Accent2 3 3 2 2 2 2 4" xfId="34926" xr:uid="{00000000-0005-0000-0000-00003C0B0000}"/>
    <cellStyle name="20% - Accent2 3 3 2 2 2 3" xfId="10029" xr:uid="{00000000-0005-0000-0000-00003D0B0000}"/>
    <cellStyle name="20% - Accent2 3 3 2 2 2 3 2" xfId="24563" xr:uid="{00000000-0005-0000-0000-00003E0B0000}"/>
    <cellStyle name="20% - Accent2 3 3 2 2 2 3 2 2" xfId="53569" xr:uid="{00000000-0005-0000-0000-00003F0B0000}"/>
    <cellStyle name="20% - Accent2 3 3 2 2 2 3 3" xfId="39070" xr:uid="{00000000-0005-0000-0000-0000400B0000}"/>
    <cellStyle name="20% - Accent2 3 3 2 2 2 4" xfId="17315" xr:uid="{00000000-0005-0000-0000-0000410B0000}"/>
    <cellStyle name="20% - Accent2 3 3 2 2 2 4 2" xfId="46321" xr:uid="{00000000-0005-0000-0000-0000420B0000}"/>
    <cellStyle name="20% - Accent2 3 3 2 2 2 5" xfId="31822" xr:uid="{00000000-0005-0000-0000-0000430B0000}"/>
    <cellStyle name="20% - Accent2 3 3 2 2 3" xfId="3789" xr:uid="{00000000-0005-0000-0000-0000440B0000}"/>
    <cellStyle name="20% - Accent2 3 3 2 2 3 2" xfId="6893" xr:uid="{00000000-0005-0000-0000-0000450B0000}"/>
    <cellStyle name="20% - Accent2 3 3 2 2 3 2 2" xfId="14165" xr:uid="{00000000-0005-0000-0000-0000460B0000}"/>
    <cellStyle name="20% - Accent2 3 3 2 2 3 2 2 2" xfId="28699" xr:uid="{00000000-0005-0000-0000-0000470B0000}"/>
    <cellStyle name="20% - Accent2 3 3 2 2 3 2 2 2 2" xfId="57705" xr:uid="{00000000-0005-0000-0000-0000480B0000}"/>
    <cellStyle name="20% - Accent2 3 3 2 2 3 2 2 3" xfId="43206" xr:uid="{00000000-0005-0000-0000-0000490B0000}"/>
    <cellStyle name="20% - Accent2 3 3 2 2 3 2 3" xfId="21451" xr:uid="{00000000-0005-0000-0000-00004A0B0000}"/>
    <cellStyle name="20% - Accent2 3 3 2 2 3 2 3 2" xfId="50457" xr:uid="{00000000-0005-0000-0000-00004B0B0000}"/>
    <cellStyle name="20% - Accent2 3 3 2 2 3 2 4" xfId="35958" xr:uid="{00000000-0005-0000-0000-00004C0B0000}"/>
    <cellStyle name="20% - Accent2 3 3 2 2 3 3" xfId="11061" xr:uid="{00000000-0005-0000-0000-00004D0B0000}"/>
    <cellStyle name="20% - Accent2 3 3 2 2 3 3 2" xfId="25595" xr:uid="{00000000-0005-0000-0000-00004E0B0000}"/>
    <cellStyle name="20% - Accent2 3 3 2 2 3 3 2 2" xfId="54601" xr:uid="{00000000-0005-0000-0000-00004F0B0000}"/>
    <cellStyle name="20% - Accent2 3 3 2 2 3 3 3" xfId="40102" xr:uid="{00000000-0005-0000-0000-0000500B0000}"/>
    <cellStyle name="20% - Accent2 3 3 2 2 3 4" xfId="18347" xr:uid="{00000000-0005-0000-0000-0000510B0000}"/>
    <cellStyle name="20% - Accent2 3 3 2 2 3 4 2" xfId="47353" xr:uid="{00000000-0005-0000-0000-0000520B0000}"/>
    <cellStyle name="20% - Accent2 3 3 2 2 3 5" xfId="32854" xr:uid="{00000000-0005-0000-0000-0000530B0000}"/>
    <cellStyle name="20% - Accent2 3 3 2 2 4" xfId="4821" xr:uid="{00000000-0005-0000-0000-0000540B0000}"/>
    <cellStyle name="20% - Accent2 3 3 2 2 4 2" xfId="12093" xr:uid="{00000000-0005-0000-0000-0000550B0000}"/>
    <cellStyle name="20% - Accent2 3 3 2 2 4 2 2" xfId="26627" xr:uid="{00000000-0005-0000-0000-0000560B0000}"/>
    <cellStyle name="20% - Accent2 3 3 2 2 4 2 2 2" xfId="55633" xr:uid="{00000000-0005-0000-0000-0000570B0000}"/>
    <cellStyle name="20% - Accent2 3 3 2 2 4 2 3" xfId="41134" xr:uid="{00000000-0005-0000-0000-0000580B0000}"/>
    <cellStyle name="20% - Accent2 3 3 2 2 4 3" xfId="19379" xr:uid="{00000000-0005-0000-0000-0000590B0000}"/>
    <cellStyle name="20% - Accent2 3 3 2 2 4 3 2" xfId="48385" xr:uid="{00000000-0005-0000-0000-00005A0B0000}"/>
    <cellStyle name="20% - Accent2 3 3 2 2 4 4" xfId="33886" xr:uid="{00000000-0005-0000-0000-00005B0B0000}"/>
    <cellStyle name="20% - Accent2 3 3 2 2 5" xfId="7925" xr:uid="{00000000-0005-0000-0000-00005C0B0000}"/>
    <cellStyle name="20% - Accent2 3 3 2 2 5 2" xfId="15197" xr:uid="{00000000-0005-0000-0000-00005D0B0000}"/>
    <cellStyle name="20% - Accent2 3 3 2 2 5 2 2" xfId="29731" xr:uid="{00000000-0005-0000-0000-00005E0B0000}"/>
    <cellStyle name="20% - Accent2 3 3 2 2 5 2 2 2" xfId="58737" xr:uid="{00000000-0005-0000-0000-00005F0B0000}"/>
    <cellStyle name="20% - Accent2 3 3 2 2 5 2 3" xfId="44238" xr:uid="{00000000-0005-0000-0000-0000600B0000}"/>
    <cellStyle name="20% - Accent2 3 3 2 2 5 3" xfId="22483" xr:uid="{00000000-0005-0000-0000-0000610B0000}"/>
    <cellStyle name="20% - Accent2 3 3 2 2 5 3 2" xfId="51489" xr:uid="{00000000-0005-0000-0000-0000620B0000}"/>
    <cellStyle name="20% - Accent2 3 3 2 2 5 4" xfId="36990" xr:uid="{00000000-0005-0000-0000-0000630B0000}"/>
    <cellStyle name="20% - Accent2 3 3 2 2 6" xfId="8989" xr:uid="{00000000-0005-0000-0000-0000640B0000}"/>
    <cellStyle name="20% - Accent2 3 3 2 2 6 2" xfId="23523" xr:uid="{00000000-0005-0000-0000-0000650B0000}"/>
    <cellStyle name="20% - Accent2 3 3 2 2 6 2 2" xfId="52529" xr:uid="{00000000-0005-0000-0000-0000660B0000}"/>
    <cellStyle name="20% - Accent2 3 3 2 2 6 3" xfId="38030" xr:uid="{00000000-0005-0000-0000-0000670B0000}"/>
    <cellStyle name="20% - Accent2 3 3 2 2 7" xfId="16275" xr:uid="{00000000-0005-0000-0000-0000680B0000}"/>
    <cellStyle name="20% - Accent2 3 3 2 2 7 2" xfId="45281" xr:uid="{00000000-0005-0000-0000-0000690B0000}"/>
    <cellStyle name="20% - Accent2 3 3 2 2 8" xfId="30782" xr:uid="{00000000-0005-0000-0000-00006A0B0000}"/>
    <cellStyle name="20% - Accent2 3 3 2 3" xfId="2245" xr:uid="{00000000-0005-0000-0000-00006B0B0000}"/>
    <cellStyle name="20% - Accent2 3 3 2 3 2" xfId="5349" xr:uid="{00000000-0005-0000-0000-00006C0B0000}"/>
    <cellStyle name="20% - Accent2 3 3 2 3 2 2" xfId="12621" xr:uid="{00000000-0005-0000-0000-00006D0B0000}"/>
    <cellStyle name="20% - Accent2 3 3 2 3 2 2 2" xfId="27155" xr:uid="{00000000-0005-0000-0000-00006E0B0000}"/>
    <cellStyle name="20% - Accent2 3 3 2 3 2 2 2 2" xfId="56161" xr:uid="{00000000-0005-0000-0000-00006F0B0000}"/>
    <cellStyle name="20% - Accent2 3 3 2 3 2 2 3" xfId="41662" xr:uid="{00000000-0005-0000-0000-0000700B0000}"/>
    <cellStyle name="20% - Accent2 3 3 2 3 2 3" xfId="19907" xr:uid="{00000000-0005-0000-0000-0000710B0000}"/>
    <cellStyle name="20% - Accent2 3 3 2 3 2 3 2" xfId="48913" xr:uid="{00000000-0005-0000-0000-0000720B0000}"/>
    <cellStyle name="20% - Accent2 3 3 2 3 2 4" xfId="34414" xr:uid="{00000000-0005-0000-0000-0000730B0000}"/>
    <cellStyle name="20% - Accent2 3 3 2 3 3" xfId="9517" xr:uid="{00000000-0005-0000-0000-0000740B0000}"/>
    <cellStyle name="20% - Accent2 3 3 2 3 3 2" xfId="24051" xr:uid="{00000000-0005-0000-0000-0000750B0000}"/>
    <cellStyle name="20% - Accent2 3 3 2 3 3 2 2" xfId="53057" xr:uid="{00000000-0005-0000-0000-0000760B0000}"/>
    <cellStyle name="20% - Accent2 3 3 2 3 3 3" xfId="38558" xr:uid="{00000000-0005-0000-0000-0000770B0000}"/>
    <cellStyle name="20% - Accent2 3 3 2 3 4" xfId="16803" xr:uid="{00000000-0005-0000-0000-0000780B0000}"/>
    <cellStyle name="20% - Accent2 3 3 2 3 4 2" xfId="45809" xr:uid="{00000000-0005-0000-0000-0000790B0000}"/>
    <cellStyle name="20% - Accent2 3 3 2 3 5" xfId="31310" xr:uid="{00000000-0005-0000-0000-00007A0B0000}"/>
    <cellStyle name="20% - Accent2 3 3 2 4" xfId="3277" xr:uid="{00000000-0005-0000-0000-00007B0B0000}"/>
    <cellStyle name="20% - Accent2 3 3 2 4 2" xfId="6381" xr:uid="{00000000-0005-0000-0000-00007C0B0000}"/>
    <cellStyle name="20% - Accent2 3 3 2 4 2 2" xfId="13653" xr:uid="{00000000-0005-0000-0000-00007D0B0000}"/>
    <cellStyle name="20% - Accent2 3 3 2 4 2 2 2" xfId="28187" xr:uid="{00000000-0005-0000-0000-00007E0B0000}"/>
    <cellStyle name="20% - Accent2 3 3 2 4 2 2 2 2" xfId="57193" xr:uid="{00000000-0005-0000-0000-00007F0B0000}"/>
    <cellStyle name="20% - Accent2 3 3 2 4 2 2 3" xfId="42694" xr:uid="{00000000-0005-0000-0000-0000800B0000}"/>
    <cellStyle name="20% - Accent2 3 3 2 4 2 3" xfId="20939" xr:uid="{00000000-0005-0000-0000-0000810B0000}"/>
    <cellStyle name="20% - Accent2 3 3 2 4 2 3 2" xfId="49945" xr:uid="{00000000-0005-0000-0000-0000820B0000}"/>
    <cellStyle name="20% - Accent2 3 3 2 4 2 4" xfId="35446" xr:uid="{00000000-0005-0000-0000-0000830B0000}"/>
    <cellStyle name="20% - Accent2 3 3 2 4 3" xfId="10549" xr:uid="{00000000-0005-0000-0000-0000840B0000}"/>
    <cellStyle name="20% - Accent2 3 3 2 4 3 2" xfId="25083" xr:uid="{00000000-0005-0000-0000-0000850B0000}"/>
    <cellStyle name="20% - Accent2 3 3 2 4 3 2 2" xfId="54089" xr:uid="{00000000-0005-0000-0000-0000860B0000}"/>
    <cellStyle name="20% - Accent2 3 3 2 4 3 3" xfId="39590" xr:uid="{00000000-0005-0000-0000-0000870B0000}"/>
    <cellStyle name="20% - Accent2 3 3 2 4 4" xfId="17835" xr:uid="{00000000-0005-0000-0000-0000880B0000}"/>
    <cellStyle name="20% - Accent2 3 3 2 4 4 2" xfId="46841" xr:uid="{00000000-0005-0000-0000-0000890B0000}"/>
    <cellStyle name="20% - Accent2 3 3 2 4 5" xfId="32342" xr:uid="{00000000-0005-0000-0000-00008A0B0000}"/>
    <cellStyle name="20% - Accent2 3 3 2 5" xfId="4309" xr:uid="{00000000-0005-0000-0000-00008B0B0000}"/>
    <cellStyle name="20% - Accent2 3 3 2 5 2" xfId="11581" xr:uid="{00000000-0005-0000-0000-00008C0B0000}"/>
    <cellStyle name="20% - Accent2 3 3 2 5 2 2" xfId="26115" xr:uid="{00000000-0005-0000-0000-00008D0B0000}"/>
    <cellStyle name="20% - Accent2 3 3 2 5 2 2 2" xfId="55121" xr:uid="{00000000-0005-0000-0000-00008E0B0000}"/>
    <cellStyle name="20% - Accent2 3 3 2 5 2 3" xfId="40622" xr:uid="{00000000-0005-0000-0000-00008F0B0000}"/>
    <cellStyle name="20% - Accent2 3 3 2 5 3" xfId="18867" xr:uid="{00000000-0005-0000-0000-0000900B0000}"/>
    <cellStyle name="20% - Accent2 3 3 2 5 3 2" xfId="47873" xr:uid="{00000000-0005-0000-0000-0000910B0000}"/>
    <cellStyle name="20% - Accent2 3 3 2 5 4" xfId="33374" xr:uid="{00000000-0005-0000-0000-0000920B0000}"/>
    <cellStyle name="20% - Accent2 3 3 2 6" xfId="7413" xr:uid="{00000000-0005-0000-0000-0000930B0000}"/>
    <cellStyle name="20% - Accent2 3 3 2 6 2" xfId="14685" xr:uid="{00000000-0005-0000-0000-0000940B0000}"/>
    <cellStyle name="20% - Accent2 3 3 2 6 2 2" xfId="29219" xr:uid="{00000000-0005-0000-0000-0000950B0000}"/>
    <cellStyle name="20% - Accent2 3 3 2 6 2 2 2" xfId="58225" xr:uid="{00000000-0005-0000-0000-0000960B0000}"/>
    <cellStyle name="20% - Accent2 3 3 2 6 2 3" xfId="43726" xr:uid="{00000000-0005-0000-0000-0000970B0000}"/>
    <cellStyle name="20% - Accent2 3 3 2 6 3" xfId="21971" xr:uid="{00000000-0005-0000-0000-0000980B0000}"/>
    <cellStyle name="20% - Accent2 3 3 2 6 3 2" xfId="50977" xr:uid="{00000000-0005-0000-0000-0000990B0000}"/>
    <cellStyle name="20% - Accent2 3 3 2 6 4" xfId="36478" xr:uid="{00000000-0005-0000-0000-00009A0B0000}"/>
    <cellStyle name="20% - Accent2 3 3 2 7" xfId="8477" xr:uid="{00000000-0005-0000-0000-00009B0B0000}"/>
    <cellStyle name="20% - Accent2 3 3 2 7 2" xfId="23011" xr:uid="{00000000-0005-0000-0000-00009C0B0000}"/>
    <cellStyle name="20% - Accent2 3 3 2 7 2 2" xfId="52017" xr:uid="{00000000-0005-0000-0000-00009D0B0000}"/>
    <cellStyle name="20% - Accent2 3 3 2 7 3" xfId="37518" xr:uid="{00000000-0005-0000-0000-00009E0B0000}"/>
    <cellStyle name="20% - Accent2 3 3 2 8" xfId="15763" xr:uid="{00000000-0005-0000-0000-00009F0B0000}"/>
    <cellStyle name="20% - Accent2 3 3 2 8 2" xfId="44769" xr:uid="{00000000-0005-0000-0000-0000A00B0000}"/>
    <cellStyle name="20% - Accent2 3 3 2 9" xfId="30270" xr:uid="{00000000-0005-0000-0000-0000A10B0000}"/>
    <cellStyle name="20% - Accent2 3 3 3" xfId="1393" xr:uid="{00000000-0005-0000-0000-0000A20B0000}"/>
    <cellStyle name="20% - Accent2 3 3 3 2" xfId="2451" xr:uid="{00000000-0005-0000-0000-0000A30B0000}"/>
    <cellStyle name="20% - Accent2 3 3 3 2 2" xfId="5555" xr:uid="{00000000-0005-0000-0000-0000A40B0000}"/>
    <cellStyle name="20% - Accent2 3 3 3 2 2 2" xfId="12827" xr:uid="{00000000-0005-0000-0000-0000A50B0000}"/>
    <cellStyle name="20% - Accent2 3 3 3 2 2 2 2" xfId="27361" xr:uid="{00000000-0005-0000-0000-0000A60B0000}"/>
    <cellStyle name="20% - Accent2 3 3 3 2 2 2 2 2" xfId="56367" xr:uid="{00000000-0005-0000-0000-0000A70B0000}"/>
    <cellStyle name="20% - Accent2 3 3 3 2 2 2 3" xfId="41868" xr:uid="{00000000-0005-0000-0000-0000A80B0000}"/>
    <cellStyle name="20% - Accent2 3 3 3 2 2 3" xfId="20113" xr:uid="{00000000-0005-0000-0000-0000A90B0000}"/>
    <cellStyle name="20% - Accent2 3 3 3 2 2 3 2" xfId="49119" xr:uid="{00000000-0005-0000-0000-0000AA0B0000}"/>
    <cellStyle name="20% - Accent2 3 3 3 2 2 4" xfId="34620" xr:uid="{00000000-0005-0000-0000-0000AB0B0000}"/>
    <cellStyle name="20% - Accent2 3 3 3 2 3" xfId="9723" xr:uid="{00000000-0005-0000-0000-0000AC0B0000}"/>
    <cellStyle name="20% - Accent2 3 3 3 2 3 2" xfId="24257" xr:uid="{00000000-0005-0000-0000-0000AD0B0000}"/>
    <cellStyle name="20% - Accent2 3 3 3 2 3 2 2" xfId="53263" xr:uid="{00000000-0005-0000-0000-0000AE0B0000}"/>
    <cellStyle name="20% - Accent2 3 3 3 2 3 3" xfId="38764" xr:uid="{00000000-0005-0000-0000-0000AF0B0000}"/>
    <cellStyle name="20% - Accent2 3 3 3 2 4" xfId="17009" xr:uid="{00000000-0005-0000-0000-0000B00B0000}"/>
    <cellStyle name="20% - Accent2 3 3 3 2 4 2" xfId="46015" xr:uid="{00000000-0005-0000-0000-0000B10B0000}"/>
    <cellStyle name="20% - Accent2 3 3 3 2 5" xfId="31516" xr:uid="{00000000-0005-0000-0000-0000B20B0000}"/>
    <cellStyle name="20% - Accent2 3 3 3 3" xfId="3483" xr:uid="{00000000-0005-0000-0000-0000B30B0000}"/>
    <cellStyle name="20% - Accent2 3 3 3 3 2" xfId="6587" xr:uid="{00000000-0005-0000-0000-0000B40B0000}"/>
    <cellStyle name="20% - Accent2 3 3 3 3 2 2" xfId="13859" xr:uid="{00000000-0005-0000-0000-0000B50B0000}"/>
    <cellStyle name="20% - Accent2 3 3 3 3 2 2 2" xfId="28393" xr:uid="{00000000-0005-0000-0000-0000B60B0000}"/>
    <cellStyle name="20% - Accent2 3 3 3 3 2 2 2 2" xfId="57399" xr:uid="{00000000-0005-0000-0000-0000B70B0000}"/>
    <cellStyle name="20% - Accent2 3 3 3 3 2 2 3" xfId="42900" xr:uid="{00000000-0005-0000-0000-0000B80B0000}"/>
    <cellStyle name="20% - Accent2 3 3 3 3 2 3" xfId="21145" xr:uid="{00000000-0005-0000-0000-0000B90B0000}"/>
    <cellStyle name="20% - Accent2 3 3 3 3 2 3 2" xfId="50151" xr:uid="{00000000-0005-0000-0000-0000BA0B0000}"/>
    <cellStyle name="20% - Accent2 3 3 3 3 2 4" xfId="35652" xr:uid="{00000000-0005-0000-0000-0000BB0B0000}"/>
    <cellStyle name="20% - Accent2 3 3 3 3 3" xfId="10755" xr:uid="{00000000-0005-0000-0000-0000BC0B0000}"/>
    <cellStyle name="20% - Accent2 3 3 3 3 3 2" xfId="25289" xr:uid="{00000000-0005-0000-0000-0000BD0B0000}"/>
    <cellStyle name="20% - Accent2 3 3 3 3 3 2 2" xfId="54295" xr:uid="{00000000-0005-0000-0000-0000BE0B0000}"/>
    <cellStyle name="20% - Accent2 3 3 3 3 3 3" xfId="39796" xr:uid="{00000000-0005-0000-0000-0000BF0B0000}"/>
    <cellStyle name="20% - Accent2 3 3 3 3 4" xfId="18041" xr:uid="{00000000-0005-0000-0000-0000C00B0000}"/>
    <cellStyle name="20% - Accent2 3 3 3 3 4 2" xfId="47047" xr:uid="{00000000-0005-0000-0000-0000C10B0000}"/>
    <cellStyle name="20% - Accent2 3 3 3 3 5" xfId="32548" xr:uid="{00000000-0005-0000-0000-0000C20B0000}"/>
    <cellStyle name="20% - Accent2 3 3 3 4" xfId="4515" xr:uid="{00000000-0005-0000-0000-0000C30B0000}"/>
    <cellStyle name="20% - Accent2 3 3 3 4 2" xfId="11787" xr:uid="{00000000-0005-0000-0000-0000C40B0000}"/>
    <cellStyle name="20% - Accent2 3 3 3 4 2 2" xfId="26321" xr:uid="{00000000-0005-0000-0000-0000C50B0000}"/>
    <cellStyle name="20% - Accent2 3 3 3 4 2 2 2" xfId="55327" xr:uid="{00000000-0005-0000-0000-0000C60B0000}"/>
    <cellStyle name="20% - Accent2 3 3 3 4 2 3" xfId="40828" xr:uid="{00000000-0005-0000-0000-0000C70B0000}"/>
    <cellStyle name="20% - Accent2 3 3 3 4 3" xfId="19073" xr:uid="{00000000-0005-0000-0000-0000C80B0000}"/>
    <cellStyle name="20% - Accent2 3 3 3 4 3 2" xfId="48079" xr:uid="{00000000-0005-0000-0000-0000C90B0000}"/>
    <cellStyle name="20% - Accent2 3 3 3 4 4" xfId="33580" xr:uid="{00000000-0005-0000-0000-0000CA0B0000}"/>
    <cellStyle name="20% - Accent2 3 3 3 5" xfId="7619" xr:uid="{00000000-0005-0000-0000-0000CB0B0000}"/>
    <cellStyle name="20% - Accent2 3 3 3 5 2" xfId="14891" xr:uid="{00000000-0005-0000-0000-0000CC0B0000}"/>
    <cellStyle name="20% - Accent2 3 3 3 5 2 2" xfId="29425" xr:uid="{00000000-0005-0000-0000-0000CD0B0000}"/>
    <cellStyle name="20% - Accent2 3 3 3 5 2 2 2" xfId="58431" xr:uid="{00000000-0005-0000-0000-0000CE0B0000}"/>
    <cellStyle name="20% - Accent2 3 3 3 5 2 3" xfId="43932" xr:uid="{00000000-0005-0000-0000-0000CF0B0000}"/>
    <cellStyle name="20% - Accent2 3 3 3 5 3" xfId="22177" xr:uid="{00000000-0005-0000-0000-0000D00B0000}"/>
    <cellStyle name="20% - Accent2 3 3 3 5 3 2" xfId="51183" xr:uid="{00000000-0005-0000-0000-0000D10B0000}"/>
    <cellStyle name="20% - Accent2 3 3 3 5 4" xfId="36684" xr:uid="{00000000-0005-0000-0000-0000D20B0000}"/>
    <cellStyle name="20% - Accent2 3 3 3 6" xfId="8683" xr:uid="{00000000-0005-0000-0000-0000D30B0000}"/>
    <cellStyle name="20% - Accent2 3 3 3 6 2" xfId="23217" xr:uid="{00000000-0005-0000-0000-0000D40B0000}"/>
    <cellStyle name="20% - Accent2 3 3 3 6 2 2" xfId="52223" xr:uid="{00000000-0005-0000-0000-0000D50B0000}"/>
    <cellStyle name="20% - Accent2 3 3 3 6 3" xfId="37724" xr:uid="{00000000-0005-0000-0000-0000D60B0000}"/>
    <cellStyle name="20% - Accent2 3 3 3 7" xfId="15969" xr:uid="{00000000-0005-0000-0000-0000D70B0000}"/>
    <cellStyle name="20% - Accent2 3 3 3 7 2" xfId="44975" xr:uid="{00000000-0005-0000-0000-0000D80B0000}"/>
    <cellStyle name="20% - Accent2 3 3 3 8" xfId="30476" xr:uid="{00000000-0005-0000-0000-0000D90B0000}"/>
    <cellStyle name="20% - Accent2 3 3 4" xfId="1939" xr:uid="{00000000-0005-0000-0000-0000DA0B0000}"/>
    <cellStyle name="20% - Accent2 3 3 4 2" xfId="5043" xr:uid="{00000000-0005-0000-0000-0000DB0B0000}"/>
    <cellStyle name="20% - Accent2 3 3 4 2 2" xfId="12315" xr:uid="{00000000-0005-0000-0000-0000DC0B0000}"/>
    <cellStyle name="20% - Accent2 3 3 4 2 2 2" xfId="26849" xr:uid="{00000000-0005-0000-0000-0000DD0B0000}"/>
    <cellStyle name="20% - Accent2 3 3 4 2 2 2 2" xfId="55855" xr:uid="{00000000-0005-0000-0000-0000DE0B0000}"/>
    <cellStyle name="20% - Accent2 3 3 4 2 2 3" xfId="41356" xr:uid="{00000000-0005-0000-0000-0000DF0B0000}"/>
    <cellStyle name="20% - Accent2 3 3 4 2 3" xfId="19601" xr:uid="{00000000-0005-0000-0000-0000E00B0000}"/>
    <cellStyle name="20% - Accent2 3 3 4 2 3 2" xfId="48607" xr:uid="{00000000-0005-0000-0000-0000E10B0000}"/>
    <cellStyle name="20% - Accent2 3 3 4 2 4" xfId="34108" xr:uid="{00000000-0005-0000-0000-0000E20B0000}"/>
    <cellStyle name="20% - Accent2 3 3 4 3" xfId="9211" xr:uid="{00000000-0005-0000-0000-0000E30B0000}"/>
    <cellStyle name="20% - Accent2 3 3 4 3 2" xfId="23745" xr:uid="{00000000-0005-0000-0000-0000E40B0000}"/>
    <cellStyle name="20% - Accent2 3 3 4 3 2 2" xfId="52751" xr:uid="{00000000-0005-0000-0000-0000E50B0000}"/>
    <cellStyle name="20% - Accent2 3 3 4 3 3" xfId="38252" xr:uid="{00000000-0005-0000-0000-0000E60B0000}"/>
    <cellStyle name="20% - Accent2 3 3 4 4" xfId="16497" xr:uid="{00000000-0005-0000-0000-0000E70B0000}"/>
    <cellStyle name="20% - Accent2 3 3 4 4 2" xfId="45503" xr:uid="{00000000-0005-0000-0000-0000E80B0000}"/>
    <cellStyle name="20% - Accent2 3 3 4 5" xfId="31004" xr:uid="{00000000-0005-0000-0000-0000E90B0000}"/>
    <cellStyle name="20% - Accent2 3 3 5" xfId="2971" xr:uid="{00000000-0005-0000-0000-0000EA0B0000}"/>
    <cellStyle name="20% - Accent2 3 3 5 2" xfId="6075" xr:uid="{00000000-0005-0000-0000-0000EB0B0000}"/>
    <cellStyle name="20% - Accent2 3 3 5 2 2" xfId="13347" xr:uid="{00000000-0005-0000-0000-0000EC0B0000}"/>
    <cellStyle name="20% - Accent2 3 3 5 2 2 2" xfId="27881" xr:uid="{00000000-0005-0000-0000-0000ED0B0000}"/>
    <cellStyle name="20% - Accent2 3 3 5 2 2 2 2" xfId="56887" xr:uid="{00000000-0005-0000-0000-0000EE0B0000}"/>
    <cellStyle name="20% - Accent2 3 3 5 2 2 3" xfId="42388" xr:uid="{00000000-0005-0000-0000-0000EF0B0000}"/>
    <cellStyle name="20% - Accent2 3 3 5 2 3" xfId="20633" xr:uid="{00000000-0005-0000-0000-0000F00B0000}"/>
    <cellStyle name="20% - Accent2 3 3 5 2 3 2" xfId="49639" xr:uid="{00000000-0005-0000-0000-0000F10B0000}"/>
    <cellStyle name="20% - Accent2 3 3 5 2 4" xfId="35140" xr:uid="{00000000-0005-0000-0000-0000F20B0000}"/>
    <cellStyle name="20% - Accent2 3 3 5 3" xfId="10243" xr:uid="{00000000-0005-0000-0000-0000F30B0000}"/>
    <cellStyle name="20% - Accent2 3 3 5 3 2" xfId="24777" xr:uid="{00000000-0005-0000-0000-0000F40B0000}"/>
    <cellStyle name="20% - Accent2 3 3 5 3 2 2" xfId="53783" xr:uid="{00000000-0005-0000-0000-0000F50B0000}"/>
    <cellStyle name="20% - Accent2 3 3 5 3 3" xfId="39284" xr:uid="{00000000-0005-0000-0000-0000F60B0000}"/>
    <cellStyle name="20% - Accent2 3 3 5 4" xfId="17529" xr:uid="{00000000-0005-0000-0000-0000F70B0000}"/>
    <cellStyle name="20% - Accent2 3 3 5 4 2" xfId="46535" xr:uid="{00000000-0005-0000-0000-0000F80B0000}"/>
    <cellStyle name="20% - Accent2 3 3 5 5" xfId="32036" xr:uid="{00000000-0005-0000-0000-0000F90B0000}"/>
    <cellStyle name="20% - Accent2 3 3 6" xfId="4003" xr:uid="{00000000-0005-0000-0000-0000FA0B0000}"/>
    <cellStyle name="20% - Accent2 3 3 6 2" xfId="11275" xr:uid="{00000000-0005-0000-0000-0000FB0B0000}"/>
    <cellStyle name="20% - Accent2 3 3 6 2 2" xfId="25809" xr:uid="{00000000-0005-0000-0000-0000FC0B0000}"/>
    <cellStyle name="20% - Accent2 3 3 6 2 2 2" xfId="54815" xr:uid="{00000000-0005-0000-0000-0000FD0B0000}"/>
    <cellStyle name="20% - Accent2 3 3 6 2 3" xfId="40316" xr:uid="{00000000-0005-0000-0000-0000FE0B0000}"/>
    <cellStyle name="20% - Accent2 3 3 6 3" xfId="18561" xr:uid="{00000000-0005-0000-0000-0000FF0B0000}"/>
    <cellStyle name="20% - Accent2 3 3 6 3 2" xfId="47567" xr:uid="{00000000-0005-0000-0000-0000000C0000}"/>
    <cellStyle name="20% - Accent2 3 3 6 4" xfId="33068" xr:uid="{00000000-0005-0000-0000-0000010C0000}"/>
    <cellStyle name="20% - Accent2 3 3 7" xfId="7107" xr:uid="{00000000-0005-0000-0000-0000020C0000}"/>
    <cellStyle name="20% - Accent2 3 3 7 2" xfId="14379" xr:uid="{00000000-0005-0000-0000-0000030C0000}"/>
    <cellStyle name="20% - Accent2 3 3 7 2 2" xfId="28913" xr:uid="{00000000-0005-0000-0000-0000040C0000}"/>
    <cellStyle name="20% - Accent2 3 3 7 2 2 2" xfId="57919" xr:uid="{00000000-0005-0000-0000-0000050C0000}"/>
    <cellStyle name="20% - Accent2 3 3 7 2 3" xfId="43420" xr:uid="{00000000-0005-0000-0000-0000060C0000}"/>
    <cellStyle name="20% - Accent2 3 3 7 3" xfId="21665" xr:uid="{00000000-0005-0000-0000-0000070C0000}"/>
    <cellStyle name="20% - Accent2 3 3 7 3 2" xfId="50671" xr:uid="{00000000-0005-0000-0000-0000080C0000}"/>
    <cellStyle name="20% - Accent2 3 3 7 4" xfId="36172" xr:uid="{00000000-0005-0000-0000-0000090C0000}"/>
    <cellStyle name="20% - Accent2 3 3 8" xfId="8171" xr:uid="{00000000-0005-0000-0000-00000A0C0000}"/>
    <cellStyle name="20% - Accent2 3 3 8 2" xfId="22705" xr:uid="{00000000-0005-0000-0000-00000B0C0000}"/>
    <cellStyle name="20% - Accent2 3 3 8 2 2" xfId="51711" xr:uid="{00000000-0005-0000-0000-00000C0C0000}"/>
    <cellStyle name="20% - Accent2 3 3 8 3" xfId="37212" xr:uid="{00000000-0005-0000-0000-00000D0C0000}"/>
    <cellStyle name="20% - Accent2 3 3 9" xfId="15457" xr:uid="{00000000-0005-0000-0000-00000E0C0000}"/>
    <cellStyle name="20% - Accent2 3 3 9 2" xfId="44463" xr:uid="{00000000-0005-0000-0000-00000F0C0000}"/>
    <cellStyle name="20% - Accent2 3 4" xfId="1098" xr:uid="{00000000-0005-0000-0000-0000100C0000}"/>
    <cellStyle name="20% - Accent2 3 4 2" xfId="1595" xr:uid="{00000000-0005-0000-0000-0000110C0000}"/>
    <cellStyle name="20% - Accent2 3 4 2 2" xfId="2654" xr:uid="{00000000-0005-0000-0000-0000120C0000}"/>
    <cellStyle name="20% - Accent2 3 4 2 2 2" xfId="5758" xr:uid="{00000000-0005-0000-0000-0000130C0000}"/>
    <cellStyle name="20% - Accent2 3 4 2 2 2 2" xfId="13030" xr:uid="{00000000-0005-0000-0000-0000140C0000}"/>
    <cellStyle name="20% - Accent2 3 4 2 2 2 2 2" xfId="27564" xr:uid="{00000000-0005-0000-0000-0000150C0000}"/>
    <cellStyle name="20% - Accent2 3 4 2 2 2 2 2 2" xfId="56570" xr:uid="{00000000-0005-0000-0000-0000160C0000}"/>
    <cellStyle name="20% - Accent2 3 4 2 2 2 2 3" xfId="42071" xr:uid="{00000000-0005-0000-0000-0000170C0000}"/>
    <cellStyle name="20% - Accent2 3 4 2 2 2 3" xfId="20316" xr:uid="{00000000-0005-0000-0000-0000180C0000}"/>
    <cellStyle name="20% - Accent2 3 4 2 2 2 3 2" xfId="49322" xr:uid="{00000000-0005-0000-0000-0000190C0000}"/>
    <cellStyle name="20% - Accent2 3 4 2 2 2 4" xfId="34823" xr:uid="{00000000-0005-0000-0000-00001A0C0000}"/>
    <cellStyle name="20% - Accent2 3 4 2 2 3" xfId="9926" xr:uid="{00000000-0005-0000-0000-00001B0C0000}"/>
    <cellStyle name="20% - Accent2 3 4 2 2 3 2" xfId="24460" xr:uid="{00000000-0005-0000-0000-00001C0C0000}"/>
    <cellStyle name="20% - Accent2 3 4 2 2 3 2 2" xfId="53466" xr:uid="{00000000-0005-0000-0000-00001D0C0000}"/>
    <cellStyle name="20% - Accent2 3 4 2 2 3 3" xfId="38967" xr:uid="{00000000-0005-0000-0000-00001E0C0000}"/>
    <cellStyle name="20% - Accent2 3 4 2 2 4" xfId="17212" xr:uid="{00000000-0005-0000-0000-00001F0C0000}"/>
    <cellStyle name="20% - Accent2 3 4 2 2 4 2" xfId="46218" xr:uid="{00000000-0005-0000-0000-0000200C0000}"/>
    <cellStyle name="20% - Accent2 3 4 2 2 5" xfId="31719" xr:uid="{00000000-0005-0000-0000-0000210C0000}"/>
    <cellStyle name="20% - Accent2 3 4 2 3" xfId="3686" xr:uid="{00000000-0005-0000-0000-0000220C0000}"/>
    <cellStyle name="20% - Accent2 3 4 2 3 2" xfId="6790" xr:uid="{00000000-0005-0000-0000-0000230C0000}"/>
    <cellStyle name="20% - Accent2 3 4 2 3 2 2" xfId="14062" xr:uid="{00000000-0005-0000-0000-0000240C0000}"/>
    <cellStyle name="20% - Accent2 3 4 2 3 2 2 2" xfId="28596" xr:uid="{00000000-0005-0000-0000-0000250C0000}"/>
    <cellStyle name="20% - Accent2 3 4 2 3 2 2 2 2" xfId="57602" xr:uid="{00000000-0005-0000-0000-0000260C0000}"/>
    <cellStyle name="20% - Accent2 3 4 2 3 2 2 3" xfId="43103" xr:uid="{00000000-0005-0000-0000-0000270C0000}"/>
    <cellStyle name="20% - Accent2 3 4 2 3 2 3" xfId="21348" xr:uid="{00000000-0005-0000-0000-0000280C0000}"/>
    <cellStyle name="20% - Accent2 3 4 2 3 2 3 2" xfId="50354" xr:uid="{00000000-0005-0000-0000-0000290C0000}"/>
    <cellStyle name="20% - Accent2 3 4 2 3 2 4" xfId="35855" xr:uid="{00000000-0005-0000-0000-00002A0C0000}"/>
    <cellStyle name="20% - Accent2 3 4 2 3 3" xfId="10958" xr:uid="{00000000-0005-0000-0000-00002B0C0000}"/>
    <cellStyle name="20% - Accent2 3 4 2 3 3 2" xfId="25492" xr:uid="{00000000-0005-0000-0000-00002C0C0000}"/>
    <cellStyle name="20% - Accent2 3 4 2 3 3 2 2" xfId="54498" xr:uid="{00000000-0005-0000-0000-00002D0C0000}"/>
    <cellStyle name="20% - Accent2 3 4 2 3 3 3" xfId="39999" xr:uid="{00000000-0005-0000-0000-00002E0C0000}"/>
    <cellStyle name="20% - Accent2 3 4 2 3 4" xfId="18244" xr:uid="{00000000-0005-0000-0000-00002F0C0000}"/>
    <cellStyle name="20% - Accent2 3 4 2 3 4 2" xfId="47250" xr:uid="{00000000-0005-0000-0000-0000300C0000}"/>
    <cellStyle name="20% - Accent2 3 4 2 3 5" xfId="32751" xr:uid="{00000000-0005-0000-0000-0000310C0000}"/>
    <cellStyle name="20% - Accent2 3 4 2 4" xfId="4718" xr:uid="{00000000-0005-0000-0000-0000320C0000}"/>
    <cellStyle name="20% - Accent2 3 4 2 4 2" xfId="11990" xr:uid="{00000000-0005-0000-0000-0000330C0000}"/>
    <cellStyle name="20% - Accent2 3 4 2 4 2 2" xfId="26524" xr:uid="{00000000-0005-0000-0000-0000340C0000}"/>
    <cellStyle name="20% - Accent2 3 4 2 4 2 2 2" xfId="55530" xr:uid="{00000000-0005-0000-0000-0000350C0000}"/>
    <cellStyle name="20% - Accent2 3 4 2 4 2 3" xfId="41031" xr:uid="{00000000-0005-0000-0000-0000360C0000}"/>
    <cellStyle name="20% - Accent2 3 4 2 4 3" xfId="19276" xr:uid="{00000000-0005-0000-0000-0000370C0000}"/>
    <cellStyle name="20% - Accent2 3 4 2 4 3 2" xfId="48282" xr:uid="{00000000-0005-0000-0000-0000380C0000}"/>
    <cellStyle name="20% - Accent2 3 4 2 4 4" xfId="33783" xr:uid="{00000000-0005-0000-0000-0000390C0000}"/>
    <cellStyle name="20% - Accent2 3 4 2 5" xfId="7822" xr:uid="{00000000-0005-0000-0000-00003A0C0000}"/>
    <cellStyle name="20% - Accent2 3 4 2 5 2" xfId="15094" xr:uid="{00000000-0005-0000-0000-00003B0C0000}"/>
    <cellStyle name="20% - Accent2 3 4 2 5 2 2" xfId="29628" xr:uid="{00000000-0005-0000-0000-00003C0C0000}"/>
    <cellStyle name="20% - Accent2 3 4 2 5 2 2 2" xfId="58634" xr:uid="{00000000-0005-0000-0000-00003D0C0000}"/>
    <cellStyle name="20% - Accent2 3 4 2 5 2 3" xfId="44135" xr:uid="{00000000-0005-0000-0000-00003E0C0000}"/>
    <cellStyle name="20% - Accent2 3 4 2 5 3" xfId="22380" xr:uid="{00000000-0005-0000-0000-00003F0C0000}"/>
    <cellStyle name="20% - Accent2 3 4 2 5 3 2" xfId="51386" xr:uid="{00000000-0005-0000-0000-0000400C0000}"/>
    <cellStyle name="20% - Accent2 3 4 2 5 4" xfId="36887" xr:uid="{00000000-0005-0000-0000-0000410C0000}"/>
    <cellStyle name="20% - Accent2 3 4 2 6" xfId="8886" xr:uid="{00000000-0005-0000-0000-0000420C0000}"/>
    <cellStyle name="20% - Accent2 3 4 2 6 2" xfId="23420" xr:uid="{00000000-0005-0000-0000-0000430C0000}"/>
    <cellStyle name="20% - Accent2 3 4 2 6 2 2" xfId="52426" xr:uid="{00000000-0005-0000-0000-0000440C0000}"/>
    <cellStyle name="20% - Accent2 3 4 2 6 3" xfId="37927" xr:uid="{00000000-0005-0000-0000-0000450C0000}"/>
    <cellStyle name="20% - Accent2 3 4 2 7" xfId="16172" xr:uid="{00000000-0005-0000-0000-0000460C0000}"/>
    <cellStyle name="20% - Accent2 3 4 2 7 2" xfId="45178" xr:uid="{00000000-0005-0000-0000-0000470C0000}"/>
    <cellStyle name="20% - Accent2 3 4 2 8" xfId="30679" xr:uid="{00000000-0005-0000-0000-0000480C0000}"/>
    <cellStyle name="20% - Accent2 3 4 3" xfId="2142" xr:uid="{00000000-0005-0000-0000-0000490C0000}"/>
    <cellStyle name="20% - Accent2 3 4 3 2" xfId="5246" xr:uid="{00000000-0005-0000-0000-00004A0C0000}"/>
    <cellStyle name="20% - Accent2 3 4 3 2 2" xfId="12518" xr:uid="{00000000-0005-0000-0000-00004B0C0000}"/>
    <cellStyle name="20% - Accent2 3 4 3 2 2 2" xfId="27052" xr:uid="{00000000-0005-0000-0000-00004C0C0000}"/>
    <cellStyle name="20% - Accent2 3 4 3 2 2 2 2" xfId="56058" xr:uid="{00000000-0005-0000-0000-00004D0C0000}"/>
    <cellStyle name="20% - Accent2 3 4 3 2 2 3" xfId="41559" xr:uid="{00000000-0005-0000-0000-00004E0C0000}"/>
    <cellStyle name="20% - Accent2 3 4 3 2 3" xfId="19804" xr:uid="{00000000-0005-0000-0000-00004F0C0000}"/>
    <cellStyle name="20% - Accent2 3 4 3 2 3 2" xfId="48810" xr:uid="{00000000-0005-0000-0000-0000500C0000}"/>
    <cellStyle name="20% - Accent2 3 4 3 2 4" xfId="34311" xr:uid="{00000000-0005-0000-0000-0000510C0000}"/>
    <cellStyle name="20% - Accent2 3 4 3 3" xfId="9414" xr:uid="{00000000-0005-0000-0000-0000520C0000}"/>
    <cellStyle name="20% - Accent2 3 4 3 3 2" xfId="23948" xr:uid="{00000000-0005-0000-0000-0000530C0000}"/>
    <cellStyle name="20% - Accent2 3 4 3 3 2 2" xfId="52954" xr:uid="{00000000-0005-0000-0000-0000540C0000}"/>
    <cellStyle name="20% - Accent2 3 4 3 3 3" xfId="38455" xr:uid="{00000000-0005-0000-0000-0000550C0000}"/>
    <cellStyle name="20% - Accent2 3 4 3 4" xfId="16700" xr:uid="{00000000-0005-0000-0000-0000560C0000}"/>
    <cellStyle name="20% - Accent2 3 4 3 4 2" xfId="45706" xr:uid="{00000000-0005-0000-0000-0000570C0000}"/>
    <cellStyle name="20% - Accent2 3 4 3 5" xfId="31207" xr:uid="{00000000-0005-0000-0000-0000580C0000}"/>
    <cellStyle name="20% - Accent2 3 4 4" xfId="3174" xr:uid="{00000000-0005-0000-0000-0000590C0000}"/>
    <cellStyle name="20% - Accent2 3 4 4 2" xfId="6278" xr:uid="{00000000-0005-0000-0000-00005A0C0000}"/>
    <cellStyle name="20% - Accent2 3 4 4 2 2" xfId="13550" xr:uid="{00000000-0005-0000-0000-00005B0C0000}"/>
    <cellStyle name="20% - Accent2 3 4 4 2 2 2" xfId="28084" xr:uid="{00000000-0005-0000-0000-00005C0C0000}"/>
    <cellStyle name="20% - Accent2 3 4 4 2 2 2 2" xfId="57090" xr:uid="{00000000-0005-0000-0000-00005D0C0000}"/>
    <cellStyle name="20% - Accent2 3 4 4 2 2 3" xfId="42591" xr:uid="{00000000-0005-0000-0000-00005E0C0000}"/>
    <cellStyle name="20% - Accent2 3 4 4 2 3" xfId="20836" xr:uid="{00000000-0005-0000-0000-00005F0C0000}"/>
    <cellStyle name="20% - Accent2 3 4 4 2 3 2" xfId="49842" xr:uid="{00000000-0005-0000-0000-0000600C0000}"/>
    <cellStyle name="20% - Accent2 3 4 4 2 4" xfId="35343" xr:uid="{00000000-0005-0000-0000-0000610C0000}"/>
    <cellStyle name="20% - Accent2 3 4 4 3" xfId="10446" xr:uid="{00000000-0005-0000-0000-0000620C0000}"/>
    <cellStyle name="20% - Accent2 3 4 4 3 2" xfId="24980" xr:uid="{00000000-0005-0000-0000-0000630C0000}"/>
    <cellStyle name="20% - Accent2 3 4 4 3 2 2" xfId="53986" xr:uid="{00000000-0005-0000-0000-0000640C0000}"/>
    <cellStyle name="20% - Accent2 3 4 4 3 3" xfId="39487" xr:uid="{00000000-0005-0000-0000-0000650C0000}"/>
    <cellStyle name="20% - Accent2 3 4 4 4" xfId="17732" xr:uid="{00000000-0005-0000-0000-0000660C0000}"/>
    <cellStyle name="20% - Accent2 3 4 4 4 2" xfId="46738" xr:uid="{00000000-0005-0000-0000-0000670C0000}"/>
    <cellStyle name="20% - Accent2 3 4 4 5" xfId="32239" xr:uid="{00000000-0005-0000-0000-0000680C0000}"/>
    <cellStyle name="20% - Accent2 3 4 5" xfId="4206" xr:uid="{00000000-0005-0000-0000-0000690C0000}"/>
    <cellStyle name="20% - Accent2 3 4 5 2" xfId="11478" xr:uid="{00000000-0005-0000-0000-00006A0C0000}"/>
    <cellStyle name="20% - Accent2 3 4 5 2 2" xfId="26012" xr:uid="{00000000-0005-0000-0000-00006B0C0000}"/>
    <cellStyle name="20% - Accent2 3 4 5 2 2 2" xfId="55018" xr:uid="{00000000-0005-0000-0000-00006C0C0000}"/>
    <cellStyle name="20% - Accent2 3 4 5 2 3" xfId="40519" xr:uid="{00000000-0005-0000-0000-00006D0C0000}"/>
    <cellStyle name="20% - Accent2 3 4 5 3" xfId="18764" xr:uid="{00000000-0005-0000-0000-00006E0C0000}"/>
    <cellStyle name="20% - Accent2 3 4 5 3 2" xfId="47770" xr:uid="{00000000-0005-0000-0000-00006F0C0000}"/>
    <cellStyle name="20% - Accent2 3 4 5 4" xfId="33271" xr:uid="{00000000-0005-0000-0000-0000700C0000}"/>
    <cellStyle name="20% - Accent2 3 4 6" xfId="7310" xr:uid="{00000000-0005-0000-0000-0000710C0000}"/>
    <cellStyle name="20% - Accent2 3 4 6 2" xfId="14582" xr:uid="{00000000-0005-0000-0000-0000720C0000}"/>
    <cellStyle name="20% - Accent2 3 4 6 2 2" xfId="29116" xr:uid="{00000000-0005-0000-0000-0000730C0000}"/>
    <cellStyle name="20% - Accent2 3 4 6 2 2 2" xfId="58122" xr:uid="{00000000-0005-0000-0000-0000740C0000}"/>
    <cellStyle name="20% - Accent2 3 4 6 2 3" xfId="43623" xr:uid="{00000000-0005-0000-0000-0000750C0000}"/>
    <cellStyle name="20% - Accent2 3 4 6 3" xfId="21868" xr:uid="{00000000-0005-0000-0000-0000760C0000}"/>
    <cellStyle name="20% - Accent2 3 4 6 3 2" xfId="50874" xr:uid="{00000000-0005-0000-0000-0000770C0000}"/>
    <cellStyle name="20% - Accent2 3 4 6 4" xfId="36375" xr:uid="{00000000-0005-0000-0000-0000780C0000}"/>
    <cellStyle name="20% - Accent2 3 4 7" xfId="8374" xr:uid="{00000000-0005-0000-0000-0000790C0000}"/>
    <cellStyle name="20% - Accent2 3 4 7 2" xfId="22908" xr:uid="{00000000-0005-0000-0000-00007A0C0000}"/>
    <cellStyle name="20% - Accent2 3 4 7 2 2" xfId="51914" xr:uid="{00000000-0005-0000-0000-00007B0C0000}"/>
    <cellStyle name="20% - Accent2 3 4 7 3" xfId="37415" xr:uid="{00000000-0005-0000-0000-00007C0C0000}"/>
    <cellStyle name="20% - Accent2 3 4 8" xfId="15660" xr:uid="{00000000-0005-0000-0000-00007D0C0000}"/>
    <cellStyle name="20% - Accent2 3 4 8 2" xfId="44666" xr:uid="{00000000-0005-0000-0000-00007E0C0000}"/>
    <cellStyle name="20% - Accent2 3 4 9" xfId="30167" xr:uid="{00000000-0005-0000-0000-00007F0C0000}"/>
    <cellStyle name="20% - Accent2 3 5" xfId="1008" xr:uid="{00000000-0005-0000-0000-0000800C0000}"/>
    <cellStyle name="20% - Accent2 3 5 2" xfId="1496" xr:uid="{00000000-0005-0000-0000-0000810C0000}"/>
    <cellStyle name="20% - Accent2 3 5 2 2" xfId="2554" xr:uid="{00000000-0005-0000-0000-0000820C0000}"/>
    <cellStyle name="20% - Accent2 3 5 2 2 2" xfId="5658" xr:uid="{00000000-0005-0000-0000-0000830C0000}"/>
    <cellStyle name="20% - Accent2 3 5 2 2 2 2" xfId="12930" xr:uid="{00000000-0005-0000-0000-0000840C0000}"/>
    <cellStyle name="20% - Accent2 3 5 2 2 2 2 2" xfId="27464" xr:uid="{00000000-0005-0000-0000-0000850C0000}"/>
    <cellStyle name="20% - Accent2 3 5 2 2 2 2 2 2" xfId="56470" xr:uid="{00000000-0005-0000-0000-0000860C0000}"/>
    <cellStyle name="20% - Accent2 3 5 2 2 2 2 3" xfId="41971" xr:uid="{00000000-0005-0000-0000-0000870C0000}"/>
    <cellStyle name="20% - Accent2 3 5 2 2 2 3" xfId="20216" xr:uid="{00000000-0005-0000-0000-0000880C0000}"/>
    <cellStyle name="20% - Accent2 3 5 2 2 2 3 2" xfId="49222" xr:uid="{00000000-0005-0000-0000-0000890C0000}"/>
    <cellStyle name="20% - Accent2 3 5 2 2 2 4" xfId="34723" xr:uid="{00000000-0005-0000-0000-00008A0C0000}"/>
    <cellStyle name="20% - Accent2 3 5 2 2 3" xfId="9826" xr:uid="{00000000-0005-0000-0000-00008B0C0000}"/>
    <cellStyle name="20% - Accent2 3 5 2 2 3 2" xfId="24360" xr:uid="{00000000-0005-0000-0000-00008C0C0000}"/>
    <cellStyle name="20% - Accent2 3 5 2 2 3 2 2" xfId="53366" xr:uid="{00000000-0005-0000-0000-00008D0C0000}"/>
    <cellStyle name="20% - Accent2 3 5 2 2 3 3" xfId="38867" xr:uid="{00000000-0005-0000-0000-00008E0C0000}"/>
    <cellStyle name="20% - Accent2 3 5 2 2 4" xfId="17112" xr:uid="{00000000-0005-0000-0000-00008F0C0000}"/>
    <cellStyle name="20% - Accent2 3 5 2 2 4 2" xfId="46118" xr:uid="{00000000-0005-0000-0000-0000900C0000}"/>
    <cellStyle name="20% - Accent2 3 5 2 2 5" xfId="31619" xr:uid="{00000000-0005-0000-0000-0000910C0000}"/>
    <cellStyle name="20% - Accent2 3 5 2 3" xfId="3586" xr:uid="{00000000-0005-0000-0000-0000920C0000}"/>
    <cellStyle name="20% - Accent2 3 5 2 3 2" xfId="6690" xr:uid="{00000000-0005-0000-0000-0000930C0000}"/>
    <cellStyle name="20% - Accent2 3 5 2 3 2 2" xfId="13962" xr:uid="{00000000-0005-0000-0000-0000940C0000}"/>
    <cellStyle name="20% - Accent2 3 5 2 3 2 2 2" xfId="28496" xr:uid="{00000000-0005-0000-0000-0000950C0000}"/>
    <cellStyle name="20% - Accent2 3 5 2 3 2 2 2 2" xfId="57502" xr:uid="{00000000-0005-0000-0000-0000960C0000}"/>
    <cellStyle name="20% - Accent2 3 5 2 3 2 2 3" xfId="43003" xr:uid="{00000000-0005-0000-0000-0000970C0000}"/>
    <cellStyle name="20% - Accent2 3 5 2 3 2 3" xfId="21248" xr:uid="{00000000-0005-0000-0000-0000980C0000}"/>
    <cellStyle name="20% - Accent2 3 5 2 3 2 3 2" xfId="50254" xr:uid="{00000000-0005-0000-0000-0000990C0000}"/>
    <cellStyle name="20% - Accent2 3 5 2 3 2 4" xfId="35755" xr:uid="{00000000-0005-0000-0000-00009A0C0000}"/>
    <cellStyle name="20% - Accent2 3 5 2 3 3" xfId="10858" xr:uid="{00000000-0005-0000-0000-00009B0C0000}"/>
    <cellStyle name="20% - Accent2 3 5 2 3 3 2" xfId="25392" xr:uid="{00000000-0005-0000-0000-00009C0C0000}"/>
    <cellStyle name="20% - Accent2 3 5 2 3 3 2 2" xfId="54398" xr:uid="{00000000-0005-0000-0000-00009D0C0000}"/>
    <cellStyle name="20% - Accent2 3 5 2 3 3 3" xfId="39899" xr:uid="{00000000-0005-0000-0000-00009E0C0000}"/>
    <cellStyle name="20% - Accent2 3 5 2 3 4" xfId="18144" xr:uid="{00000000-0005-0000-0000-00009F0C0000}"/>
    <cellStyle name="20% - Accent2 3 5 2 3 4 2" xfId="47150" xr:uid="{00000000-0005-0000-0000-0000A00C0000}"/>
    <cellStyle name="20% - Accent2 3 5 2 3 5" xfId="32651" xr:uid="{00000000-0005-0000-0000-0000A10C0000}"/>
    <cellStyle name="20% - Accent2 3 5 2 4" xfId="4618" xr:uid="{00000000-0005-0000-0000-0000A20C0000}"/>
    <cellStyle name="20% - Accent2 3 5 2 4 2" xfId="11890" xr:uid="{00000000-0005-0000-0000-0000A30C0000}"/>
    <cellStyle name="20% - Accent2 3 5 2 4 2 2" xfId="26424" xr:uid="{00000000-0005-0000-0000-0000A40C0000}"/>
    <cellStyle name="20% - Accent2 3 5 2 4 2 2 2" xfId="55430" xr:uid="{00000000-0005-0000-0000-0000A50C0000}"/>
    <cellStyle name="20% - Accent2 3 5 2 4 2 3" xfId="40931" xr:uid="{00000000-0005-0000-0000-0000A60C0000}"/>
    <cellStyle name="20% - Accent2 3 5 2 4 3" xfId="19176" xr:uid="{00000000-0005-0000-0000-0000A70C0000}"/>
    <cellStyle name="20% - Accent2 3 5 2 4 3 2" xfId="48182" xr:uid="{00000000-0005-0000-0000-0000A80C0000}"/>
    <cellStyle name="20% - Accent2 3 5 2 4 4" xfId="33683" xr:uid="{00000000-0005-0000-0000-0000A90C0000}"/>
    <cellStyle name="20% - Accent2 3 5 2 5" xfId="7722" xr:uid="{00000000-0005-0000-0000-0000AA0C0000}"/>
    <cellStyle name="20% - Accent2 3 5 2 5 2" xfId="14994" xr:uid="{00000000-0005-0000-0000-0000AB0C0000}"/>
    <cellStyle name="20% - Accent2 3 5 2 5 2 2" xfId="29528" xr:uid="{00000000-0005-0000-0000-0000AC0C0000}"/>
    <cellStyle name="20% - Accent2 3 5 2 5 2 2 2" xfId="58534" xr:uid="{00000000-0005-0000-0000-0000AD0C0000}"/>
    <cellStyle name="20% - Accent2 3 5 2 5 2 3" xfId="44035" xr:uid="{00000000-0005-0000-0000-0000AE0C0000}"/>
    <cellStyle name="20% - Accent2 3 5 2 5 3" xfId="22280" xr:uid="{00000000-0005-0000-0000-0000AF0C0000}"/>
    <cellStyle name="20% - Accent2 3 5 2 5 3 2" xfId="51286" xr:uid="{00000000-0005-0000-0000-0000B00C0000}"/>
    <cellStyle name="20% - Accent2 3 5 2 5 4" xfId="36787" xr:uid="{00000000-0005-0000-0000-0000B10C0000}"/>
    <cellStyle name="20% - Accent2 3 5 2 6" xfId="8786" xr:uid="{00000000-0005-0000-0000-0000B20C0000}"/>
    <cellStyle name="20% - Accent2 3 5 2 6 2" xfId="23320" xr:uid="{00000000-0005-0000-0000-0000B30C0000}"/>
    <cellStyle name="20% - Accent2 3 5 2 6 2 2" xfId="52326" xr:uid="{00000000-0005-0000-0000-0000B40C0000}"/>
    <cellStyle name="20% - Accent2 3 5 2 6 3" xfId="37827" xr:uid="{00000000-0005-0000-0000-0000B50C0000}"/>
    <cellStyle name="20% - Accent2 3 5 2 7" xfId="16072" xr:uid="{00000000-0005-0000-0000-0000B60C0000}"/>
    <cellStyle name="20% - Accent2 3 5 2 7 2" xfId="45078" xr:uid="{00000000-0005-0000-0000-0000B70C0000}"/>
    <cellStyle name="20% - Accent2 3 5 2 8" xfId="30579" xr:uid="{00000000-0005-0000-0000-0000B80C0000}"/>
    <cellStyle name="20% - Accent2 3 5 3" xfId="2042" xr:uid="{00000000-0005-0000-0000-0000B90C0000}"/>
    <cellStyle name="20% - Accent2 3 5 3 2" xfId="5146" xr:uid="{00000000-0005-0000-0000-0000BA0C0000}"/>
    <cellStyle name="20% - Accent2 3 5 3 2 2" xfId="12418" xr:uid="{00000000-0005-0000-0000-0000BB0C0000}"/>
    <cellStyle name="20% - Accent2 3 5 3 2 2 2" xfId="26952" xr:uid="{00000000-0005-0000-0000-0000BC0C0000}"/>
    <cellStyle name="20% - Accent2 3 5 3 2 2 2 2" xfId="55958" xr:uid="{00000000-0005-0000-0000-0000BD0C0000}"/>
    <cellStyle name="20% - Accent2 3 5 3 2 2 3" xfId="41459" xr:uid="{00000000-0005-0000-0000-0000BE0C0000}"/>
    <cellStyle name="20% - Accent2 3 5 3 2 3" xfId="19704" xr:uid="{00000000-0005-0000-0000-0000BF0C0000}"/>
    <cellStyle name="20% - Accent2 3 5 3 2 3 2" xfId="48710" xr:uid="{00000000-0005-0000-0000-0000C00C0000}"/>
    <cellStyle name="20% - Accent2 3 5 3 2 4" xfId="34211" xr:uid="{00000000-0005-0000-0000-0000C10C0000}"/>
    <cellStyle name="20% - Accent2 3 5 3 3" xfId="9314" xr:uid="{00000000-0005-0000-0000-0000C20C0000}"/>
    <cellStyle name="20% - Accent2 3 5 3 3 2" xfId="23848" xr:uid="{00000000-0005-0000-0000-0000C30C0000}"/>
    <cellStyle name="20% - Accent2 3 5 3 3 2 2" xfId="52854" xr:uid="{00000000-0005-0000-0000-0000C40C0000}"/>
    <cellStyle name="20% - Accent2 3 5 3 3 3" xfId="38355" xr:uid="{00000000-0005-0000-0000-0000C50C0000}"/>
    <cellStyle name="20% - Accent2 3 5 3 4" xfId="16600" xr:uid="{00000000-0005-0000-0000-0000C60C0000}"/>
    <cellStyle name="20% - Accent2 3 5 3 4 2" xfId="45606" xr:uid="{00000000-0005-0000-0000-0000C70C0000}"/>
    <cellStyle name="20% - Accent2 3 5 3 5" xfId="31107" xr:uid="{00000000-0005-0000-0000-0000C80C0000}"/>
    <cellStyle name="20% - Accent2 3 5 4" xfId="3074" xr:uid="{00000000-0005-0000-0000-0000C90C0000}"/>
    <cellStyle name="20% - Accent2 3 5 4 2" xfId="6178" xr:uid="{00000000-0005-0000-0000-0000CA0C0000}"/>
    <cellStyle name="20% - Accent2 3 5 4 2 2" xfId="13450" xr:uid="{00000000-0005-0000-0000-0000CB0C0000}"/>
    <cellStyle name="20% - Accent2 3 5 4 2 2 2" xfId="27984" xr:uid="{00000000-0005-0000-0000-0000CC0C0000}"/>
    <cellStyle name="20% - Accent2 3 5 4 2 2 2 2" xfId="56990" xr:uid="{00000000-0005-0000-0000-0000CD0C0000}"/>
    <cellStyle name="20% - Accent2 3 5 4 2 2 3" xfId="42491" xr:uid="{00000000-0005-0000-0000-0000CE0C0000}"/>
    <cellStyle name="20% - Accent2 3 5 4 2 3" xfId="20736" xr:uid="{00000000-0005-0000-0000-0000CF0C0000}"/>
    <cellStyle name="20% - Accent2 3 5 4 2 3 2" xfId="49742" xr:uid="{00000000-0005-0000-0000-0000D00C0000}"/>
    <cellStyle name="20% - Accent2 3 5 4 2 4" xfId="35243" xr:uid="{00000000-0005-0000-0000-0000D10C0000}"/>
    <cellStyle name="20% - Accent2 3 5 4 3" xfId="10346" xr:uid="{00000000-0005-0000-0000-0000D20C0000}"/>
    <cellStyle name="20% - Accent2 3 5 4 3 2" xfId="24880" xr:uid="{00000000-0005-0000-0000-0000D30C0000}"/>
    <cellStyle name="20% - Accent2 3 5 4 3 2 2" xfId="53886" xr:uid="{00000000-0005-0000-0000-0000D40C0000}"/>
    <cellStyle name="20% - Accent2 3 5 4 3 3" xfId="39387" xr:uid="{00000000-0005-0000-0000-0000D50C0000}"/>
    <cellStyle name="20% - Accent2 3 5 4 4" xfId="17632" xr:uid="{00000000-0005-0000-0000-0000D60C0000}"/>
    <cellStyle name="20% - Accent2 3 5 4 4 2" xfId="46638" xr:uid="{00000000-0005-0000-0000-0000D70C0000}"/>
    <cellStyle name="20% - Accent2 3 5 4 5" xfId="32139" xr:uid="{00000000-0005-0000-0000-0000D80C0000}"/>
    <cellStyle name="20% - Accent2 3 5 5" xfId="4106" xr:uid="{00000000-0005-0000-0000-0000D90C0000}"/>
    <cellStyle name="20% - Accent2 3 5 5 2" xfId="11378" xr:uid="{00000000-0005-0000-0000-0000DA0C0000}"/>
    <cellStyle name="20% - Accent2 3 5 5 2 2" xfId="25912" xr:uid="{00000000-0005-0000-0000-0000DB0C0000}"/>
    <cellStyle name="20% - Accent2 3 5 5 2 2 2" xfId="54918" xr:uid="{00000000-0005-0000-0000-0000DC0C0000}"/>
    <cellStyle name="20% - Accent2 3 5 5 2 3" xfId="40419" xr:uid="{00000000-0005-0000-0000-0000DD0C0000}"/>
    <cellStyle name="20% - Accent2 3 5 5 3" xfId="18664" xr:uid="{00000000-0005-0000-0000-0000DE0C0000}"/>
    <cellStyle name="20% - Accent2 3 5 5 3 2" xfId="47670" xr:uid="{00000000-0005-0000-0000-0000DF0C0000}"/>
    <cellStyle name="20% - Accent2 3 5 5 4" xfId="33171" xr:uid="{00000000-0005-0000-0000-0000E00C0000}"/>
    <cellStyle name="20% - Accent2 3 5 6" xfId="7210" xr:uid="{00000000-0005-0000-0000-0000E10C0000}"/>
    <cellStyle name="20% - Accent2 3 5 6 2" xfId="14482" xr:uid="{00000000-0005-0000-0000-0000E20C0000}"/>
    <cellStyle name="20% - Accent2 3 5 6 2 2" xfId="29016" xr:uid="{00000000-0005-0000-0000-0000E30C0000}"/>
    <cellStyle name="20% - Accent2 3 5 6 2 2 2" xfId="58022" xr:uid="{00000000-0005-0000-0000-0000E40C0000}"/>
    <cellStyle name="20% - Accent2 3 5 6 2 3" xfId="43523" xr:uid="{00000000-0005-0000-0000-0000E50C0000}"/>
    <cellStyle name="20% - Accent2 3 5 6 3" xfId="21768" xr:uid="{00000000-0005-0000-0000-0000E60C0000}"/>
    <cellStyle name="20% - Accent2 3 5 6 3 2" xfId="50774" xr:uid="{00000000-0005-0000-0000-0000E70C0000}"/>
    <cellStyle name="20% - Accent2 3 5 6 4" xfId="36275" xr:uid="{00000000-0005-0000-0000-0000E80C0000}"/>
    <cellStyle name="20% - Accent2 3 5 7" xfId="8274" xr:uid="{00000000-0005-0000-0000-0000E90C0000}"/>
    <cellStyle name="20% - Accent2 3 5 7 2" xfId="22808" xr:uid="{00000000-0005-0000-0000-0000EA0C0000}"/>
    <cellStyle name="20% - Accent2 3 5 7 2 2" xfId="51814" xr:uid="{00000000-0005-0000-0000-0000EB0C0000}"/>
    <cellStyle name="20% - Accent2 3 5 7 3" xfId="37315" xr:uid="{00000000-0005-0000-0000-0000EC0C0000}"/>
    <cellStyle name="20% - Accent2 3 5 8" xfId="15560" xr:uid="{00000000-0005-0000-0000-0000ED0C0000}"/>
    <cellStyle name="20% - Accent2 3 5 8 2" xfId="44566" xr:uid="{00000000-0005-0000-0000-0000EE0C0000}"/>
    <cellStyle name="20% - Accent2 3 5 9" xfId="30067" xr:uid="{00000000-0005-0000-0000-0000EF0C0000}"/>
    <cellStyle name="20% - Accent2 3 6" xfId="1292" xr:uid="{00000000-0005-0000-0000-0000F00C0000}"/>
    <cellStyle name="20% - Accent2 3 6 2" xfId="2348" xr:uid="{00000000-0005-0000-0000-0000F10C0000}"/>
    <cellStyle name="20% - Accent2 3 6 2 2" xfId="5452" xr:uid="{00000000-0005-0000-0000-0000F20C0000}"/>
    <cellStyle name="20% - Accent2 3 6 2 2 2" xfId="12724" xr:uid="{00000000-0005-0000-0000-0000F30C0000}"/>
    <cellStyle name="20% - Accent2 3 6 2 2 2 2" xfId="27258" xr:uid="{00000000-0005-0000-0000-0000F40C0000}"/>
    <cellStyle name="20% - Accent2 3 6 2 2 2 2 2" xfId="56264" xr:uid="{00000000-0005-0000-0000-0000F50C0000}"/>
    <cellStyle name="20% - Accent2 3 6 2 2 2 3" xfId="41765" xr:uid="{00000000-0005-0000-0000-0000F60C0000}"/>
    <cellStyle name="20% - Accent2 3 6 2 2 3" xfId="20010" xr:uid="{00000000-0005-0000-0000-0000F70C0000}"/>
    <cellStyle name="20% - Accent2 3 6 2 2 3 2" xfId="49016" xr:uid="{00000000-0005-0000-0000-0000F80C0000}"/>
    <cellStyle name="20% - Accent2 3 6 2 2 4" xfId="34517" xr:uid="{00000000-0005-0000-0000-0000F90C0000}"/>
    <cellStyle name="20% - Accent2 3 6 2 3" xfId="9620" xr:uid="{00000000-0005-0000-0000-0000FA0C0000}"/>
    <cellStyle name="20% - Accent2 3 6 2 3 2" xfId="24154" xr:uid="{00000000-0005-0000-0000-0000FB0C0000}"/>
    <cellStyle name="20% - Accent2 3 6 2 3 2 2" xfId="53160" xr:uid="{00000000-0005-0000-0000-0000FC0C0000}"/>
    <cellStyle name="20% - Accent2 3 6 2 3 3" xfId="38661" xr:uid="{00000000-0005-0000-0000-0000FD0C0000}"/>
    <cellStyle name="20% - Accent2 3 6 2 4" xfId="16906" xr:uid="{00000000-0005-0000-0000-0000FE0C0000}"/>
    <cellStyle name="20% - Accent2 3 6 2 4 2" xfId="45912" xr:uid="{00000000-0005-0000-0000-0000FF0C0000}"/>
    <cellStyle name="20% - Accent2 3 6 2 5" xfId="31413" xr:uid="{00000000-0005-0000-0000-0000000D0000}"/>
    <cellStyle name="20% - Accent2 3 6 3" xfId="3380" xr:uid="{00000000-0005-0000-0000-0000010D0000}"/>
    <cellStyle name="20% - Accent2 3 6 3 2" xfId="6484" xr:uid="{00000000-0005-0000-0000-0000020D0000}"/>
    <cellStyle name="20% - Accent2 3 6 3 2 2" xfId="13756" xr:uid="{00000000-0005-0000-0000-0000030D0000}"/>
    <cellStyle name="20% - Accent2 3 6 3 2 2 2" xfId="28290" xr:uid="{00000000-0005-0000-0000-0000040D0000}"/>
    <cellStyle name="20% - Accent2 3 6 3 2 2 2 2" xfId="57296" xr:uid="{00000000-0005-0000-0000-0000050D0000}"/>
    <cellStyle name="20% - Accent2 3 6 3 2 2 3" xfId="42797" xr:uid="{00000000-0005-0000-0000-0000060D0000}"/>
    <cellStyle name="20% - Accent2 3 6 3 2 3" xfId="21042" xr:uid="{00000000-0005-0000-0000-0000070D0000}"/>
    <cellStyle name="20% - Accent2 3 6 3 2 3 2" xfId="50048" xr:uid="{00000000-0005-0000-0000-0000080D0000}"/>
    <cellStyle name="20% - Accent2 3 6 3 2 4" xfId="35549" xr:uid="{00000000-0005-0000-0000-0000090D0000}"/>
    <cellStyle name="20% - Accent2 3 6 3 3" xfId="10652" xr:uid="{00000000-0005-0000-0000-00000A0D0000}"/>
    <cellStyle name="20% - Accent2 3 6 3 3 2" xfId="25186" xr:uid="{00000000-0005-0000-0000-00000B0D0000}"/>
    <cellStyle name="20% - Accent2 3 6 3 3 2 2" xfId="54192" xr:uid="{00000000-0005-0000-0000-00000C0D0000}"/>
    <cellStyle name="20% - Accent2 3 6 3 3 3" xfId="39693" xr:uid="{00000000-0005-0000-0000-00000D0D0000}"/>
    <cellStyle name="20% - Accent2 3 6 3 4" xfId="17938" xr:uid="{00000000-0005-0000-0000-00000E0D0000}"/>
    <cellStyle name="20% - Accent2 3 6 3 4 2" xfId="46944" xr:uid="{00000000-0005-0000-0000-00000F0D0000}"/>
    <cellStyle name="20% - Accent2 3 6 3 5" xfId="32445" xr:uid="{00000000-0005-0000-0000-0000100D0000}"/>
    <cellStyle name="20% - Accent2 3 6 4" xfId="4412" xr:uid="{00000000-0005-0000-0000-0000110D0000}"/>
    <cellStyle name="20% - Accent2 3 6 4 2" xfId="11684" xr:uid="{00000000-0005-0000-0000-0000120D0000}"/>
    <cellStyle name="20% - Accent2 3 6 4 2 2" xfId="26218" xr:uid="{00000000-0005-0000-0000-0000130D0000}"/>
    <cellStyle name="20% - Accent2 3 6 4 2 2 2" xfId="55224" xr:uid="{00000000-0005-0000-0000-0000140D0000}"/>
    <cellStyle name="20% - Accent2 3 6 4 2 3" xfId="40725" xr:uid="{00000000-0005-0000-0000-0000150D0000}"/>
    <cellStyle name="20% - Accent2 3 6 4 3" xfId="18970" xr:uid="{00000000-0005-0000-0000-0000160D0000}"/>
    <cellStyle name="20% - Accent2 3 6 4 3 2" xfId="47976" xr:uid="{00000000-0005-0000-0000-0000170D0000}"/>
    <cellStyle name="20% - Accent2 3 6 4 4" xfId="33477" xr:uid="{00000000-0005-0000-0000-0000180D0000}"/>
    <cellStyle name="20% - Accent2 3 6 5" xfId="7516" xr:uid="{00000000-0005-0000-0000-0000190D0000}"/>
    <cellStyle name="20% - Accent2 3 6 5 2" xfId="14788" xr:uid="{00000000-0005-0000-0000-00001A0D0000}"/>
    <cellStyle name="20% - Accent2 3 6 5 2 2" xfId="29322" xr:uid="{00000000-0005-0000-0000-00001B0D0000}"/>
    <cellStyle name="20% - Accent2 3 6 5 2 2 2" xfId="58328" xr:uid="{00000000-0005-0000-0000-00001C0D0000}"/>
    <cellStyle name="20% - Accent2 3 6 5 2 3" xfId="43829" xr:uid="{00000000-0005-0000-0000-00001D0D0000}"/>
    <cellStyle name="20% - Accent2 3 6 5 3" xfId="22074" xr:uid="{00000000-0005-0000-0000-00001E0D0000}"/>
    <cellStyle name="20% - Accent2 3 6 5 3 2" xfId="51080" xr:uid="{00000000-0005-0000-0000-00001F0D0000}"/>
    <cellStyle name="20% - Accent2 3 6 5 4" xfId="36581" xr:uid="{00000000-0005-0000-0000-0000200D0000}"/>
    <cellStyle name="20% - Accent2 3 6 6" xfId="8580" xr:uid="{00000000-0005-0000-0000-0000210D0000}"/>
    <cellStyle name="20% - Accent2 3 6 6 2" xfId="23114" xr:uid="{00000000-0005-0000-0000-0000220D0000}"/>
    <cellStyle name="20% - Accent2 3 6 6 2 2" xfId="52120" xr:uid="{00000000-0005-0000-0000-0000230D0000}"/>
    <cellStyle name="20% - Accent2 3 6 6 3" xfId="37621" xr:uid="{00000000-0005-0000-0000-0000240D0000}"/>
    <cellStyle name="20% - Accent2 3 6 7" xfId="15866" xr:uid="{00000000-0005-0000-0000-0000250D0000}"/>
    <cellStyle name="20% - Accent2 3 6 7 2" xfId="44872" xr:uid="{00000000-0005-0000-0000-0000260D0000}"/>
    <cellStyle name="20% - Accent2 3 6 8" xfId="30373" xr:uid="{00000000-0005-0000-0000-0000270D0000}"/>
    <cellStyle name="20% - Accent2 3 7" xfId="1836" xr:uid="{00000000-0005-0000-0000-0000280D0000}"/>
    <cellStyle name="20% - Accent2 3 7 2" xfId="4940" xr:uid="{00000000-0005-0000-0000-0000290D0000}"/>
    <cellStyle name="20% - Accent2 3 7 2 2" xfId="12212" xr:uid="{00000000-0005-0000-0000-00002A0D0000}"/>
    <cellStyle name="20% - Accent2 3 7 2 2 2" xfId="26746" xr:uid="{00000000-0005-0000-0000-00002B0D0000}"/>
    <cellStyle name="20% - Accent2 3 7 2 2 2 2" xfId="55752" xr:uid="{00000000-0005-0000-0000-00002C0D0000}"/>
    <cellStyle name="20% - Accent2 3 7 2 2 3" xfId="41253" xr:uid="{00000000-0005-0000-0000-00002D0D0000}"/>
    <cellStyle name="20% - Accent2 3 7 2 3" xfId="19498" xr:uid="{00000000-0005-0000-0000-00002E0D0000}"/>
    <cellStyle name="20% - Accent2 3 7 2 3 2" xfId="48504" xr:uid="{00000000-0005-0000-0000-00002F0D0000}"/>
    <cellStyle name="20% - Accent2 3 7 2 4" xfId="34005" xr:uid="{00000000-0005-0000-0000-0000300D0000}"/>
    <cellStyle name="20% - Accent2 3 7 3" xfId="9108" xr:uid="{00000000-0005-0000-0000-0000310D0000}"/>
    <cellStyle name="20% - Accent2 3 7 3 2" xfId="23642" xr:uid="{00000000-0005-0000-0000-0000320D0000}"/>
    <cellStyle name="20% - Accent2 3 7 3 2 2" xfId="52648" xr:uid="{00000000-0005-0000-0000-0000330D0000}"/>
    <cellStyle name="20% - Accent2 3 7 3 3" xfId="38149" xr:uid="{00000000-0005-0000-0000-0000340D0000}"/>
    <cellStyle name="20% - Accent2 3 7 4" xfId="16394" xr:uid="{00000000-0005-0000-0000-0000350D0000}"/>
    <cellStyle name="20% - Accent2 3 7 4 2" xfId="45400" xr:uid="{00000000-0005-0000-0000-0000360D0000}"/>
    <cellStyle name="20% - Accent2 3 7 5" xfId="30901" xr:uid="{00000000-0005-0000-0000-0000370D0000}"/>
    <cellStyle name="20% - Accent2 3 8" xfId="2868" xr:uid="{00000000-0005-0000-0000-0000380D0000}"/>
    <cellStyle name="20% - Accent2 3 8 2" xfId="5972" xr:uid="{00000000-0005-0000-0000-0000390D0000}"/>
    <cellStyle name="20% - Accent2 3 8 2 2" xfId="13244" xr:uid="{00000000-0005-0000-0000-00003A0D0000}"/>
    <cellStyle name="20% - Accent2 3 8 2 2 2" xfId="27778" xr:uid="{00000000-0005-0000-0000-00003B0D0000}"/>
    <cellStyle name="20% - Accent2 3 8 2 2 2 2" xfId="56784" xr:uid="{00000000-0005-0000-0000-00003C0D0000}"/>
    <cellStyle name="20% - Accent2 3 8 2 2 3" xfId="42285" xr:uid="{00000000-0005-0000-0000-00003D0D0000}"/>
    <cellStyle name="20% - Accent2 3 8 2 3" xfId="20530" xr:uid="{00000000-0005-0000-0000-00003E0D0000}"/>
    <cellStyle name="20% - Accent2 3 8 2 3 2" xfId="49536" xr:uid="{00000000-0005-0000-0000-00003F0D0000}"/>
    <cellStyle name="20% - Accent2 3 8 2 4" xfId="35037" xr:uid="{00000000-0005-0000-0000-0000400D0000}"/>
    <cellStyle name="20% - Accent2 3 8 3" xfId="10140" xr:uid="{00000000-0005-0000-0000-0000410D0000}"/>
    <cellStyle name="20% - Accent2 3 8 3 2" xfId="24674" xr:uid="{00000000-0005-0000-0000-0000420D0000}"/>
    <cellStyle name="20% - Accent2 3 8 3 2 2" xfId="53680" xr:uid="{00000000-0005-0000-0000-0000430D0000}"/>
    <cellStyle name="20% - Accent2 3 8 3 3" xfId="39181" xr:uid="{00000000-0005-0000-0000-0000440D0000}"/>
    <cellStyle name="20% - Accent2 3 8 4" xfId="17426" xr:uid="{00000000-0005-0000-0000-0000450D0000}"/>
    <cellStyle name="20% - Accent2 3 8 4 2" xfId="46432" xr:uid="{00000000-0005-0000-0000-0000460D0000}"/>
    <cellStyle name="20% - Accent2 3 8 5" xfId="31933" xr:uid="{00000000-0005-0000-0000-0000470D0000}"/>
    <cellStyle name="20% - Accent2 3 9" xfId="3900" xr:uid="{00000000-0005-0000-0000-0000480D0000}"/>
    <cellStyle name="20% - Accent2 3 9 2" xfId="11172" xr:uid="{00000000-0005-0000-0000-0000490D0000}"/>
    <cellStyle name="20% - Accent2 3 9 2 2" xfId="25706" xr:uid="{00000000-0005-0000-0000-00004A0D0000}"/>
    <cellStyle name="20% - Accent2 3 9 2 2 2" xfId="54712" xr:uid="{00000000-0005-0000-0000-00004B0D0000}"/>
    <cellStyle name="20% - Accent2 3 9 2 3" xfId="40213" xr:uid="{00000000-0005-0000-0000-00004C0D0000}"/>
    <cellStyle name="20% - Accent2 3 9 3" xfId="18458" xr:uid="{00000000-0005-0000-0000-00004D0D0000}"/>
    <cellStyle name="20% - Accent2 3 9 3 2" xfId="47464" xr:uid="{00000000-0005-0000-0000-00004E0D0000}"/>
    <cellStyle name="20% - Accent2 3 9 4" xfId="32965" xr:uid="{00000000-0005-0000-0000-00004F0D0000}"/>
    <cellStyle name="20% - Accent2 4" xfId="866" xr:uid="{00000000-0005-0000-0000-0000500D0000}"/>
    <cellStyle name="20% - Accent2 4 10" xfId="8096" xr:uid="{00000000-0005-0000-0000-0000510D0000}"/>
    <cellStyle name="20% - Accent2 4 10 2" xfId="22630" xr:uid="{00000000-0005-0000-0000-0000520D0000}"/>
    <cellStyle name="20% - Accent2 4 10 2 2" xfId="51636" xr:uid="{00000000-0005-0000-0000-0000530D0000}"/>
    <cellStyle name="20% - Accent2 4 10 3" xfId="37137" xr:uid="{00000000-0005-0000-0000-0000540D0000}"/>
    <cellStyle name="20% - Accent2 4 11" xfId="15382" xr:uid="{00000000-0005-0000-0000-0000550D0000}"/>
    <cellStyle name="20% - Accent2 4 11 2" xfId="44388" xr:uid="{00000000-0005-0000-0000-0000560D0000}"/>
    <cellStyle name="20% - Accent2 4 12" xfId="29889" xr:uid="{00000000-0005-0000-0000-0000570D0000}"/>
    <cellStyle name="20% - Accent2 4 2" xfId="946" xr:uid="{00000000-0005-0000-0000-0000580D0000}"/>
    <cellStyle name="20% - Accent2 4 2 10" xfId="29992" xr:uid="{00000000-0005-0000-0000-0000590D0000}"/>
    <cellStyle name="20% - Accent2 4 2 2" xfId="1221" xr:uid="{00000000-0005-0000-0000-00005A0D0000}"/>
    <cellStyle name="20% - Accent2 4 2 2 2" xfId="1726" xr:uid="{00000000-0005-0000-0000-00005B0D0000}"/>
    <cellStyle name="20% - Accent2 4 2 2 2 2" xfId="2785" xr:uid="{00000000-0005-0000-0000-00005C0D0000}"/>
    <cellStyle name="20% - Accent2 4 2 2 2 2 2" xfId="5889" xr:uid="{00000000-0005-0000-0000-00005D0D0000}"/>
    <cellStyle name="20% - Accent2 4 2 2 2 2 2 2" xfId="13161" xr:uid="{00000000-0005-0000-0000-00005E0D0000}"/>
    <cellStyle name="20% - Accent2 4 2 2 2 2 2 2 2" xfId="27695" xr:uid="{00000000-0005-0000-0000-00005F0D0000}"/>
    <cellStyle name="20% - Accent2 4 2 2 2 2 2 2 2 2" xfId="56701" xr:uid="{00000000-0005-0000-0000-0000600D0000}"/>
    <cellStyle name="20% - Accent2 4 2 2 2 2 2 2 3" xfId="42202" xr:uid="{00000000-0005-0000-0000-0000610D0000}"/>
    <cellStyle name="20% - Accent2 4 2 2 2 2 2 3" xfId="20447" xr:uid="{00000000-0005-0000-0000-0000620D0000}"/>
    <cellStyle name="20% - Accent2 4 2 2 2 2 2 3 2" xfId="49453" xr:uid="{00000000-0005-0000-0000-0000630D0000}"/>
    <cellStyle name="20% - Accent2 4 2 2 2 2 2 4" xfId="34954" xr:uid="{00000000-0005-0000-0000-0000640D0000}"/>
    <cellStyle name="20% - Accent2 4 2 2 2 2 3" xfId="10057" xr:uid="{00000000-0005-0000-0000-0000650D0000}"/>
    <cellStyle name="20% - Accent2 4 2 2 2 2 3 2" xfId="24591" xr:uid="{00000000-0005-0000-0000-0000660D0000}"/>
    <cellStyle name="20% - Accent2 4 2 2 2 2 3 2 2" xfId="53597" xr:uid="{00000000-0005-0000-0000-0000670D0000}"/>
    <cellStyle name="20% - Accent2 4 2 2 2 2 3 3" xfId="39098" xr:uid="{00000000-0005-0000-0000-0000680D0000}"/>
    <cellStyle name="20% - Accent2 4 2 2 2 2 4" xfId="17343" xr:uid="{00000000-0005-0000-0000-0000690D0000}"/>
    <cellStyle name="20% - Accent2 4 2 2 2 2 4 2" xfId="46349" xr:uid="{00000000-0005-0000-0000-00006A0D0000}"/>
    <cellStyle name="20% - Accent2 4 2 2 2 2 5" xfId="31850" xr:uid="{00000000-0005-0000-0000-00006B0D0000}"/>
    <cellStyle name="20% - Accent2 4 2 2 2 3" xfId="3817" xr:uid="{00000000-0005-0000-0000-00006C0D0000}"/>
    <cellStyle name="20% - Accent2 4 2 2 2 3 2" xfId="6921" xr:uid="{00000000-0005-0000-0000-00006D0D0000}"/>
    <cellStyle name="20% - Accent2 4 2 2 2 3 2 2" xfId="14193" xr:uid="{00000000-0005-0000-0000-00006E0D0000}"/>
    <cellStyle name="20% - Accent2 4 2 2 2 3 2 2 2" xfId="28727" xr:uid="{00000000-0005-0000-0000-00006F0D0000}"/>
    <cellStyle name="20% - Accent2 4 2 2 2 3 2 2 2 2" xfId="57733" xr:uid="{00000000-0005-0000-0000-0000700D0000}"/>
    <cellStyle name="20% - Accent2 4 2 2 2 3 2 2 3" xfId="43234" xr:uid="{00000000-0005-0000-0000-0000710D0000}"/>
    <cellStyle name="20% - Accent2 4 2 2 2 3 2 3" xfId="21479" xr:uid="{00000000-0005-0000-0000-0000720D0000}"/>
    <cellStyle name="20% - Accent2 4 2 2 2 3 2 3 2" xfId="50485" xr:uid="{00000000-0005-0000-0000-0000730D0000}"/>
    <cellStyle name="20% - Accent2 4 2 2 2 3 2 4" xfId="35986" xr:uid="{00000000-0005-0000-0000-0000740D0000}"/>
    <cellStyle name="20% - Accent2 4 2 2 2 3 3" xfId="11089" xr:uid="{00000000-0005-0000-0000-0000750D0000}"/>
    <cellStyle name="20% - Accent2 4 2 2 2 3 3 2" xfId="25623" xr:uid="{00000000-0005-0000-0000-0000760D0000}"/>
    <cellStyle name="20% - Accent2 4 2 2 2 3 3 2 2" xfId="54629" xr:uid="{00000000-0005-0000-0000-0000770D0000}"/>
    <cellStyle name="20% - Accent2 4 2 2 2 3 3 3" xfId="40130" xr:uid="{00000000-0005-0000-0000-0000780D0000}"/>
    <cellStyle name="20% - Accent2 4 2 2 2 3 4" xfId="18375" xr:uid="{00000000-0005-0000-0000-0000790D0000}"/>
    <cellStyle name="20% - Accent2 4 2 2 2 3 4 2" xfId="47381" xr:uid="{00000000-0005-0000-0000-00007A0D0000}"/>
    <cellStyle name="20% - Accent2 4 2 2 2 3 5" xfId="32882" xr:uid="{00000000-0005-0000-0000-00007B0D0000}"/>
    <cellStyle name="20% - Accent2 4 2 2 2 4" xfId="4849" xr:uid="{00000000-0005-0000-0000-00007C0D0000}"/>
    <cellStyle name="20% - Accent2 4 2 2 2 4 2" xfId="12121" xr:uid="{00000000-0005-0000-0000-00007D0D0000}"/>
    <cellStyle name="20% - Accent2 4 2 2 2 4 2 2" xfId="26655" xr:uid="{00000000-0005-0000-0000-00007E0D0000}"/>
    <cellStyle name="20% - Accent2 4 2 2 2 4 2 2 2" xfId="55661" xr:uid="{00000000-0005-0000-0000-00007F0D0000}"/>
    <cellStyle name="20% - Accent2 4 2 2 2 4 2 3" xfId="41162" xr:uid="{00000000-0005-0000-0000-0000800D0000}"/>
    <cellStyle name="20% - Accent2 4 2 2 2 4 3" xfId="19407" xr:uid="{00000000-0005-0000-0000-0000810D0000}"/>
    <cellStyle name="20% - Accent2 4 2 2 2 4 3 2" xfId="48413" xr:uid="{00000000-0005-0000-0000-0000820D0000}"/>
    <cellStyle name="20% - Accent2 4 2 2 2 4 4" xfId="33914" xr:uid="{00000000-0005-0000-0000-0000830D0000}"/>
    <cellStyle name="20% - Accent2 4 2 2 2 5" xfId="7953" xr:uid="{00000000-0005-0000-0000-0000840D0000}"/>
    <cellStyle name="20% - Accent2 4 2 2 2 5 2" xfId="15225" xr:uid="{00000000-0005-0000-0000-0000850D0000}"/>
    <cellStyle name="20% - Accent2 4 2 2 2 5 2 2" xfId="29759" xr:uid="{00000000-0005-0000-0000-0000860D0000}"/>
    <cellStyle name="20% - Accent2 4 2 2 2 5 2 2 2" xfId="58765" xr:uid="{00000000-0005-0000-0000-0000870D0000}"/>
    <cellStyle name="20% - Accent2 4 2 2 2 5 2 3" xfId="44266" xr:uid="{00000000-0005-0000-0000-0000880D0000}"/>
    <cellStyle name="20% - Accent2 4 2 2 2 5 3" xfId="22511" xr:uid="{00000000-0005-0000-0000-0000890D0000}"/>
    <cellStyle name="20% - Accent2 4 2 2 2 5 3 2" xfId="51517" xr:uid="{00000000-0005-0000-0000-00008A0D0000}"/>
    <cellStyle name="20% - Accent2 4 2 2 2 5 4" xfId="37018" xr:uid="{00000000-0005-0000-0000-00008B0D0000}"/>
    <cellStyle name="20% - Accent2 4 2 2 2 6" xfId="9017" xr:uid="{00000000-0005-0000-0000-00008C0D0000}"/>
    <cellStyle name="20% - Accent2 4 2 2 2 6 2" xfId="23551" xr:uid="{00000000-0005-0000-0000-00008D0D0000}"/>
    <cellStyle name="20% - Accent2 4 2 2 2 6 2 2" xfId="52557" xr:uid="{00000000-0005-0000-0000-00008E0D0000}"/>
    <cellStyle name="20% - Accent2 4 2 2 2 6 3" xfId="38058" xr:uid="{00000000-0005-0000-0000-00008F0D0000}"/>
    <cellStyle name="20% - Accent2 4 2 2 2 7" xfId="16303" xr:uid="{00000000-0005-0000-0000-0000900D0000}"/>
    <cellStyle name="20% - Accent2 4 2 2 2 7 2" xfId="45309" xr:uid="{00000000-0005-0000-0000-0000910D0000}"/>
    <cellStyle name="20% - Accent2 4 2 2 2 8" xfId="30810" xr:uid="{00000000-0005-0000-0000-0000920D0000}"/>
    <cellStyle name="20% - Accent2 4 2 2 3" xfId="2273" xr:uid="{00000000-0005-0000-0000-0000930D0000}"/>
    <cellStyle name="20% - Accent2 4 2 2 3 2" xfId="5377" xr:uid="{00000000-0005-0000-0000-0000940D0000}"/>
    <cellStyle name="20% - Accent2 4 2 2 3 2 2" xfId="12649" xr:uid="{00000000-0005-0000-0000-0000950D0000}"/>
    <cellStyle name="20% - Accent2 4 2 2 3 2 2 2" xfId="27183" xr:uid="{00000000-0005-0000-0000-0000960D0000}"/>
    <cellStyle name="20% - Accent2 4 2 2 3 2 2 2 2" xfId="56189" xr:uid="{00000000-0005-0000-0000-0000970D0000}"/>
    <cellStyle name="20% - Accent2 4 2 2 3 2 2 3" xfId="41690" xr:uid="{00000000-0005-0000-0000-0000980D0000}"/>
    <cellStyle name="20% - Accent2 4 2 2 3 2 3" xfId="19935" xr:uid="{00000000-0005-0000-0000-0000990D0000}"/>
    <cellStyle name="20% - Accent2 4 2 2 3 2 3 2" xfId="48941" xr:uid="{00000000-0005-0000-0000-00009A0D0000}"/>
    <cellStyle name="20% - Accent2 4 2 2 3 2 4" xfId="34442" xr:uid="{00000000-0005-0000-0000-00009B0D0000}"/>
    <cellStyle name="20% - Accent2 4 2 2 3 3" xfId="9545" xr:uid="{00000000-0005-0000-0000-00009C0D0000}"/>
    <cellStyle name="20% - Accent2 4 2 2 3 3 2" xfId="24079" xr:uid="{00000000-0005-0000-0000-00009D0D0000}"/>
    <cellStyle name="20% - Accent2 4 2 2 3 3 2 2" xfId="53085" xr:uid="{00000000-0005-0000-0000-00009E0D0000}"/>
    <cellStyle name="20% - Accent2 4 2 2 3 3 3" xfId="38586" xr:uid="{00000000-0005-0000-0000-00009F0D0000}"/>
    <cellStyle name="20% - Accent2 4 2 2 3 4" xfId="16831" xr:uid="{00000000-0005-0000-0000-0000A00D0000}"/>
    <cellStyle name="20% - Accent2 4 2 2 3 4 2" xfId="45837" xr:uid="{00000000-0005-0000-0000-0000A10D0000}"/>
    <cellStyle name="20% - Accent2 4 2 2 3 5" xfId="31338" xr:uid="{00000000-0005-0000-0000-0000A20D0000}"/>
    <cellStyle name="20% - Accent2 4 2 2 4" xfId="3305" xr:uid="{00000000-0005-0000-0000-0000A30D0000}"/>
    <cellStyle name="20% - Accent2 4 2 2 4 2" xfId="6409" xr:uid="{00000000-0005-0000-0000-0000A40D0000}"/>
    <cellStyle name="20% - Accent2 4 2 2 4 2 2" xfId="13681" xr:uid="{00000000-0005-0000-0000-0000A50D0000}"/>
    <cellStyle name="20% - Accent2 4 2 2 4 2 2 2" xfId="28215" xr:uid="{00000000-0005-0000-0000-0000A60D0000}"/>
    <cellStyle name="20% - Accent2 4 2 2 4 2 2 2 2" xfId="57221" xr:uid="{00000000-0005-0000-0000-0000A70D0000}"/>
    <cellStyle name="20% - Accent2 4 2 2 4 2 2 3" xfId="42722" xr:uid="{00000000-0005-0000-0000-0000A80D0000}"/>
    <cellStyle name="20% - Accent2 4 2 2 4 2 3" xfId="20967" xr:uid="{00000000-0005-0000-0000-0000A90D0000}"/>
    <cellStyle name="20% - Accent2 4 2 2 4 2 3 2" xfId="49973" xr:uid="{00000000-0005-0000-0000-0000AA0D0000}"/>
    <cellStyle name="20% - Accent2 4 2 2 4 2 4" xfId="35474" xr:uid="{00000000-0005-0000-0000-0000AB0D0000}"/>
    <cellStyle name="20% - Accent2 4 2 2 4 3" xfId="10577" xr:uid="{00000000-0005-0000-0000-0000AC0D0000}"/>
    <cellStyle name="20% - Accent2 4 2 2 4 3 2" xfId="25111" xr:uid="{00000000-0005-0000-0000-0000AD0D0000}"/>
    <cellStyle name="20% - Accent2 4 2 2 4 3 2 2" xfId="54117" xr:uid="{00000000-0005-0000-0000-0000AE0D0000}"/>
    <cellStyle name="20% - Accent2 4 2 2 4 3 3" xfId="39618" xr:uid="{00000000-0005-0000-0000-0000AF0D0000}"/>
    <cellStyle name="20% - Accent2 4 2 2 4 4" xfId="17863" xr:uid="{00000000-0005-0000-0000-0000B00D0000}"/>
    <cellStyle name="20% - Accent2 4 2 2 4 4 2" xfId="46869" xr:uid="{00000000-0005-0000-0000-0000B10D0000}"/>
    <cellStyle name="20% - Accent2 4 2 2 4 5" xfId="32370" xr:uid="{00000000-0005-0000-0000-0000B20D0000}"/>
    <cellStyle name="20% - Accent2 4 2 2 5" xfId="4337" xr:uid="{00000000-0005-0000-0000-0000B30D0000}"/>
    <cellStyle name="20% - Accent2 4 2 2 5 2" xfId="11609" xr:uid="{00000000-0005-0000-0000-0000B40D0000}"/>
    <cellStyle name="20% - Accent2 4 2 2 5 2 2" xfId="26143" xr:uid="{00000000-0005-0000-0000-0000B50D0000}"/>
    <cellStyle name="20% - Accent2 4 2 2 5 2 2 2" xfId="55149" xr:uid="{00000000-0005-0000-0000-0000B60D0000}"/>
    <cellStyle name="20% - Accent2 4 2 2 5 2 3" xfId="40650" xr:uid="{00000000-0005-0000-0000-0000B70D0000}"/>
    <cellStyle name="20% - Accent2 4 2 2 5 3" xfId="18895" xr:uid="{00000000-0005-0000-0000-0000B80D0000}"/>
    <cellStyle name="20% - Accent2 4 2 2 5 3 2" xfId="47901" xr:uid="{00000000-0005-0000-0000-0000B90D0000}"/>
    <cellStyle name="20% - Accent2 4 2 2 5 4" xfId="33402" xr:uid="{00000000-0005-0000-0000-0000BA0D0000}"/>
    <cellStyle name="20% - Accent2 4 2 2 6" xfId="7441" xr:uid="{00000000-0005-0000-0000-0000BB0D0000}"/>
    <cellStyle name="20% - Accent2 4 2 2 6 2" xfId="14713" xr:uid="{00000000-0005-0000-0000-0000BC0D0000}"/>
    <cellStyle name="20% - Accent2 4 2 2 6 2 2" xfId="29247" xr:uid="{00000000-0005-0000-0000-0000BD0D0000}"/>
    <cellStyle name="20% - Accent2 4 2 2 6 2 2 2" xfId="58253" xr:uid="{00000000-0005-0000-0000-0000BE0D0000}"/>
    <cellStyle name="20% - Accent2 4 2 2 6 2 3" xfId="43754" xr:uid="{00000000-0005-0000-0000-0000BF0D0000}"/>
    <cellStyle name="20% - Accent2 4 2 2 6 3" xfId="21999" xr:uid="{00000000-0005-0000-0000-0000C00D0000}"/>
    <cellStyle name="20% - Accent2 4 2 2 6 3 2" xfId="51005" xr:uid="{00000000-0005-0000-0000-0000C10D0000}"/>
    <cellStyle name="20% - Accent2 4 2 2 6 4" xfId="36506" xr:uid="{00000000-0005-0000-0000-0000C20D0000}"/>
    <cellStyle name="20% - Accent2 4 2 2 7" xfId="8505" xr:uid="{00000000-0005-0000-0000-0000C30D0000}"/>
    <cellStyle name="20% - Accent2 4 2 2 7 2" xfId="23039" xr:uid="{00000000-0005-0000-0000-0000C40D0000}"/>
    <cellStyle name="20% - Accent2 4 2 2 7 2 2" xfId="52045" xr:uid="{00000000-0005-0000-0000-0000C50D0000}"/>
    <cellStyle name="20% - Accent2 4 2 2 7 3" xfId="37546" xr:uid="{00000000-0005-0000-0000-0000C60D0000}"/>
    <cellStyle name="20% - Accent2 4 2 2 8" xfId="15791" xr:uid="{00000000-0005-0000-0000-0000C70D0000}"/>
    <cellStyle name="20% - Accent2 4 2 2 8 2" xfId="44797" xr:uid="{00000000-0005-0000-0000-0000C80D0000}"/>
    <cellStyle name="20% - Accent2 4 2 2 9" xfId="30298" xr:uid="{00000000-0005-0000-0000-0000C90D0000}"/>
    <cellStyle name="20% - Accent2 4 2 3" xfId="1421" xr:uid="{00000000-0005-0000-0000-0000CA0D0000}"/>
    <cellStyle name="20% - Accent2 4 2 3 2" xfId="2479" xr:uid="{00000000-0005-0000-0000-0000CB0D0000}"/>
    <cellStyle name="20% - Accent2 4 2 3 2 2" xfId="5583" xr:uid="{00000000-0005-0000-0000-0000CC0D0000}"/>
    <cellStyle name="20% - Accent2 4 2 3 2 2 2" xfId="12855" xr:uid="{00000000-0005-0000-0000-0000CD0D0000}"/>
    <cellStyle name="20% - Accent2 4 2 3 2 2 2 2" xfId="27389" xr:uid="{00000000-0005-0000-0000-0000CE0D0000}"/>
    <cellStyle name="20% - Accent2 4 2 3 2 2 2 2 2" xfId="56395" xr:uid="{00000000-0005-0000-0000-0000CF0D0000}"/>
    <cellStyle name="20% - Accent2 4 2 3 2 2 2 3" xfId="41896" xr:uid="{00000000-0005-0000-0000-0000D00D0000}"/>
    <cellStyle name="20% - Accent2 4 2 3 2 2 3" xfId="20141" xr:uid="{00000000-0005-0000-0000-0000D10D0000}"/>
    <cellStyle name="20% - Accent2 4 2 3 2 2 3 2" xfId="49147" xr:uid="{00000000-0005-0000-0000-0000D20D0000}"/>
    <cellStyle name="20% - Accent2 4 2 3 2 2 4" xfId="34648" xr:uid="{00000000-0005-0000-0000-0000D30D0000}"/>
    <cellStyle name="20% - Accent2 4 2 3 2 3" xfId="9751" xr:uid="{00000000-0005-0000-0000-0000D40D0000}"/>
    <cellStyle name="20% - Accent2 4 2 3 2 3 2" xfId="24285" xr:uid="{00000000-0005-0000-0000-0000D50D0000}"/>
    <cellStyle name="20% - Accent2 4 2 3 2 3 2 2" xfId="53291" xr:uid="{00000000-0005-0000-0000-0000D60D0000}"/>
    <cellStyle name="20% - Accent2 4 2 3 2 3 3" xfId="38792" xr:uid="{00000000-0005-0000-0000-0000D70D0000}"/>
    <cellStyle name="20% - Accent2 4 2 3 2 4" xfId="17037" xr:uid="{00000000-0005-0000-0000-0000D80D0000}"/>
    <cellStyle name="20% - Accent2 4 2 3 2 4 2" xfId="46043" xr:uid="{00000000-0005-0000-0000-0000D90D0000}"/>
    <cellStyle name="20% - Accent2 4 2 3 2 5" xfId="31544" xr:uid="{00000000-0005-0000-0000-0000DA0D0000}"/>
    <cellStyle name="20% - Accent2 4 2 3 3" xfId="3511" xr:uid="{00000000-0005-0000-0000-0000DB0D0000}"/>
    <cellStyle name="20% - Accent2 4 2 3 3 2" xfId="6615" xr:uid="{00000000-0005-0000-0000-0000DC0D0000}"/>
    <cellStyle name="20% - Accent2 4 2 3 3 2 2" xfId="13887" xr:uid="{00000000-0005-0000-0000-0000DD0D0000}"/>
    <cellStyle name="20% - Accent2 4 2 3 3 2 2 2" xfId="28421" xr:uid="{00000000-0005-0000-0000-0000DE0D0000}"/>
    <cellStyle name="20% - Accent2 4 2 3 3 2 2 2 2" xfId="57427" xr:uid="{00000000-0005-0000-0000-0000DF0D0000}"/>
    <cellStyle name="20% - Accent2 4 2 3 3 2 2 3" xfId="42928" xr:uid="{00000000-0005-0000-0000-0000E00D0000}"/>
    <cellStyle name="20% - Accent2 4 2 3 3 2 3" xfId="21173" xr:uid="{00000000-0005-0000-0000-0000E10D0000}"/>
    <cellStyle name="20% - Accent2 4 2 3 3 2 3 2" xfId="50179" xr:uid="{00000000-0005-0000-0000-0000E20D0000}"/>
    <cellStyle name="20% - Accent2 4 2 3 3 2 4" xfId="35680" xr:uid="{00000000-0005-0000-0000-0000E30D0000}"/>
    <cellStyle name="20% - Accent2 4 2 3 3 3" xfId="10783" xr:uid="{00000000-0005-0000-0000-0000E40D0000}"/>
    <cellStyle name="20% - Accent2 4 2 3 3 3 2" xfId="25317" xr:uid="{00000000-0005-0000-0000-0000E50D0000}"/>
    <cellStyle name="20% - Accent2 4 2 3 3 3 2 2" xfId="54323" xr:uid="{00000000-0005-0000-0000-0000E60D0000}"/>
    <cellStyle name="20% - Accent2 4 2 3 3 3 3" xfId="39824" xr:uid="{00000000-0005-0000-0000-0000E70D0000}"/>
    <cellStyle name="20% - Accent2 4 2 3 3 4" xfId="18069" xr:uid="{00000000-0005-0000-0000-0000E80D0000}"/>
    <cellStyle name="20% - Accent2 4 2 3 3 4 2" xfId="47075" xr:uid="{00000000-0005-0000-0000-0000E90D0000}"/>
    <cellStyle name="20% - Accent2 4 2 3 3 5" xfId="32576" xr:uid="{00000000-0005-0000-0000-0000EA0D0000}"/>
    <cellStyle name="20% - Accent2 4 2 3 4" xfId="4543" xr:uid="{00000000-0005-0000-0000-0000EB0D0000}"/>
    <cellStyle name="20% - Accent2 4 2 3 4 2" xfId="11815" xr:uid="{00000000-0005-0000-0000-0000EC0D0000}"/>
    <cellStyle name="20% - Accent2 4 2 3 4 2 2" xfId="26349" xr:uid="{00000000-0005-0000-0000-0000ED0D0000}"/>
    <cellStyle name="20% - Accent2 4 2 3 4 2 2 2" xfId="55355" xr:uid="{00000000-0005-0000-0000-0000EE0D0000}"/>
    <cellStyle name="20% - Accent2 4 2 3 4 2 3" xfId="40856" xr:uid="{00000000-0005-0000-0000-0000EF0D0000}"/>
    <cellStyle name="20% - Accent2 4 2 3 4 3" xfId="19101" xr:uid="{00000000-0005-0000-0000-0000F00D0000}"/>
    <cellStyle name="20% - Accent2 4 2 3 4 3 2" xfId="48107" xr:uid="{00000000-0005-0000-0000-0000F10D0000}"/>
    <cellStyle name="20% - Accent2 4 2 3 4 4" xfId="33608" xr:uid="{00000000-0005-0000-0000-0000F20D0000}"/>
    <cellStyle name="20% - Accent2 4 2 3 5" xfId="7647" xr:uid="{00000000-0005-0000-0000-0000F30D0000}"/>
    <cellStyle name="20% - Accent2 4 2 3 5 2" xfId="14919" xr:uid="{00000000-0005-0000-0000-0000F40D0000}"/>
    <cellStyle name="20% - Accent2 4 2 3 5 2 2" xfId="29453" xr:uid="{00000000-0005-0000-0000-0000F50D0000}"/>
    <cellStyle name="20% - Accent2 4 2 3 5 2 2 2" xfId="58459" xr:uid="{00000000-0005-0000-0000-0000F60D0000}"/>
    <cellStyle name="20% - Accent2 4 2 3 5 2 3" xfId="43960" xr:uid="{00000000-0005-0000-0000-0000F70D0000}"/>
    <cellStyle name="20% - Accent2 4 2 3 5 3" xfId="22205" xr:uid="{00000000-0005-0000-0000-0000F80D0000}"/>
    <cellStyle name="20% - Accent2 4 2 3 5 3 2" xfId="51211" xr:uid="{00000000-0005-0000-0000-0000F90D0000}"/>
    <cellStyle name="20% - Accent2 4 2 3 5 4" xfId="36712" xr:uid="{00000000-0005-0000-0000-0000FA0D0000}"/>
    <cellStyle name="20% - Accent2 4 2 3 6" xfId="8711" xr:uid="{00000000-0005-0000-0000-0000FB0D0000}"/>
    <cellStyle name="20% - Accent2 4 2 3 6 2" xfId="23245" xr:uid="{00000000-0005-0000-0000-0000FC0D0000}"/>
    <cellStyle name="20% - Accent2 4 2 3 6 2 2" xfId="52251" xr:uid="{00000000-0005-0000-0000-0000FD0D0000}"/>
    <cellStyle name="20% - Accent2 4 2 3 6 3" xfId="37752" xr:uid="{00000000-0005-0000-0000-0000FE0D0000}"/>
    <cellStyle name="20% - Accent2 4 2 3 7" xfId="15997" xr:uid="{00000000-0005-0000-0000-0000FF0D0000}"/>
    <cellStyle name="20% - Accent2 4 2 3 7 2" xfId="45003" xr:uid="{00000000-0005-0000-0000-0000000E0000}"/>
    <cellStyle name="20% - Accent2 4 2 3 8" xfId="30504" xr:uid="{00000000-0005-0000-0000-0000010E0000}"/>
    <cellStyle name="20% - Accent2 4 2 4" xfId="1967" xr:uid="{00000000-0005-0000-0000-0000020E0000}"/>
    <cellStyle name="20% - Accent2 4 2 4 2" xfId="5071" xr:uid="{00000000-0005-0000-0000-0000030E0000}"/>
    <cellStyle name="20% - Accent2 4 2 4 2 2" xfId="12343" xr:uid="{00000000-0005-0000-0000-0000040E0000}"/>
    <cellStyle name="20% - Accent2 4 2 4 2 2 2" xfId="26877" xr:uid="{00000000-0005-0000-0000-0000050E0000}"/>
    <cellStyle name="20% - Accent2 4 2 4 2 2 2 2" xfId="55883" xr:uid="{00000000-0005-0000-0000-0000060E0000}"/>
    <cellStyle name="20% - Accent2 4 2 4 2 2 3" xfId="41384" xr:uid="{00000000-0005-0000-0000-0000070E0000}"/>
    <cellStyle name="20% - Accent2 4 2 4 2 3" xfId="19629" xr:uid="{00000000-0005-0000-0000-0000080E0000}"/>
    <cellStyle name="20% - Accent2 4 2 4 2 3 2" xfId="48635" xr:uid="{00000000-0005-0000-0000-0000090E0000}"/>
    <cellStyle name="20% - Accent2 4 2 4 2 4" xfId="34136" xr:uid="{00000000-0005-0000-0000-00000A0E0000}"/>
    <cellStyle name="20% - Accent2 4 2 4 3" xfId="9239" xr:uid="{00000000-0005-0000-0000-00000B0E0000}"/>
    <cellStyle name="20% - Accent2 4 2 4 3 2" xfId="23773" xr:uid="{00000000-0005-0000-0000-00000C0E0000}"/>
    <cellStyle name="20% - Accent2 4 2 4 3 2 2" xfId="52779" xr:uid="{00000000-0005-0000-0000-00000D0E0000}"/>
    <cellStyle name="20% - Accent2 4 2 4 3 3" xfId="38280" xr:uid="{00000000-0005-0000-0000-00000E0E0000}"/>
    <cellStyle name="20% - Accent2 4 2 4 4" xfId="16525" xr:uid="{00000000-0005-0000-0000-00000F0E0000}"/>
    <cellStyle name="20% - Accent2 4 2 4 4 2" xfId="45531" xr:uid="{00000000-0005-0000-0000-0000100E0000}"/>
    <cellStyle name="20% - Accent2 4 2 4 5" xfId="31032" xr:uid="{00000000-0005-0000-0000-0000110E0000}"/>
    <cellStyle name="20% - Accent2 4 2 5" xfId="2999" xr:uid="{00000000-0005-0000-0000-0000120E0000}"/>
    <cellStyle name="20% - Accent2 4 2 5 2" xfId="6103" xr:uid="{00000000-0005-0000-0000-0000130E0000}"/>
    <cellStyle name="20% - Accent2 4 2 5 2 2" xfId="13375" xr:uid="{00000000-0005-0000-0000-0000140E0000}"/>
    <cellStyle name="20% - Accent2 4 2 5 2 2 2" xfId="27909" xr:uid="{00000000-0005-0000-0000-0000150E0000}"/>
    <cellStyle name="20% - Accent2 4 2 5 2 2 2 2" xfId="56915" xr:uid="{00000000-0005-0000-0000-0000160E0000}"/>
    <cellStyle name="20% - Accent2 4 2 5 2 2 3" xfId="42416" xr:uid="{00000000-0005-0000-0000-0000170E0000}"/>
    <cellStyle name="20% - Accent2 4 2 5 2 3" xfId="20661" xr:uid="{00000000-0005-0000-0000-0000180E0000}"/>
    <cellStyle name="20% - Accent2 4 2 5 2 3 2" xfId="49667" xr:uid="{00000000-0005-0000-0000-0000190E0000}"/>
    <cellStyle name="20% - Accent2 4 2 5 2 4" xfId="35168" xr:uid="{00000000-0005-0000-0000-00001A0E0000}"/>
    <cellStyle name="20% - Accent2 4 2 5 3" xfId="10271" xr:uid="{00000000-0005-0000-0000-00001B0E0000}"/>
    <cellStyle name="20% - Accent2 4 2 5 3 2" xfId="24805" xr:uid="{00000000-0005-0000-0000-00001C0E0000}"/>
    <cellStyle name="20% - Accent2 4 2 5 3 2 2" xfId="53811" xr:uid="{00000000-0005-0000-0000-00001D0E0000}"/>
    <cellStyle name="20% - Accent2 4 2 5 3 3" xfId="39312" xr:uid="{00000000-0005-0000-0000-00001E0E0000}"/>
    <cellStyle name="20% - Accent2 4 2 5 4" xfId="17557" xr:uid="{00000000-0005-0000-0000-00001F0E0000}"/>
    <cellStyle name="20% - Accent2 4 2 5 4 2" xfId="46563" xr:uid="{00000000-0005-0000-0000-0000200E0000}"/>
    <cellStyle name="20% - Accent2 4 2 5 5" xfId="32064" xr:uid="{00000000-0005-0000-0000-0000210E0000}"/>
    <cellStyle name="20% - Accent2 4 2 6" xfId="4031" xr:uid="{00000000-0005-0000-0000-0000220E0000}"/>
    <cellStyle name="20% - Accent2 4 2 6 2" xfId="11303" xr:uid="{00000000-0005-0000-0000-0000230E0000}"/>
    <cellStyle name="20% - Accent2 4 2 6 2 2" xfId="25837" xr:uid="{00000000-0005-0000-0000-0000240E0000}"/>
    <cellStyle name="20% - Accent2 4 2 6 2 2 2" xfId="54843" xr:uid="{00000000-0005-0000-0000-0000250E0000}"/>
    <cellStyle name="20% - Accent2 4 2 6 2 3" xfId="40344" xr:uid="{00000000-0005-0000-0000-0000260E0000}"/>
    <cellStyle name="20% - Accent2 4 2 6 3" xfId="18589" xr:uid="{00000000-0005-0000-0000-0000270E0000}"/>
    <cellStyle name="20% - Accent2 4 2 6 3 2" xfId="47595" xr:uid="{00000000-0005-0000-0000-0000280E0000}"/>
    <cellStyle name="20% - Accent2 4 2 6 4" xfId="33096" xr:uid="{00000000-0005-0000-0000-0000290E0000}"/>
    <cellStyle name="20% - Accent2 4 2 7" xfId="7135" xr:uid="{00000000-0005-0000-0000-00002A0E0000}"/>
    <cellStyle name="20% - Accent2 4 2 7 2" xfId="14407" xr:uid="{00000000-0005-0000-0000-00002B0E0000}"/>
    <cellStyle name="20% - Accent2 4 2 7 2 2" xfId="28941" xr:uid="{00000000-0005-0000-0000-00002C0E0000}"/>
    <cellStyle name="20% - Accent2 4 2 7 2 2 2" xfId="57947" xr:uid="{00000000-0005-0000-0000-00002D0E0000}"/>
    <cellStyle name="20% - Accent2 4 2 7 2 3" xfId="43448" xr:uid="{00000000-0005-0000-0000-00002E0E0000}"/>
    <cellStyle name="20% - Accent2 4 2 7 3" xfId="21693" xr:uid="{00000000-0005-0000-0000-00002F0E0000}"/>
    <cellStyle name="20% - Accent2 4 2 7 3 2" xfId="50699" xr:uid="{00000000-0005-0000-0000-0000300E0000}"/>
    <cellStyle name="20% - Accent2 4 2 7 4" xfId="36200" xr:uid="{00000000-0005-0000-0000-0000310E0000}"/>
    <cellStyle name="20% - Accent2 4 2 8" xfId="8199" xr:uid="{00000000-0005-0000-0000-0000320E0000}"/>
    <cellStyle name="20% - Accent2 4 2 8 2" xfId="22733" xr:uid="{00000000-0005-0000-0000-0000330E0000}"/>
    <cellStyle name="20% - Accent2 4 2 8 2 2" xfId="51739" xr:uid="{00000000-0005-0000-0000-0000340E0000}"/>
    <cellStyle name="20% - Accent2 4 2 8 3" xfId="37240" xr:uid="{00000000-0005-0000-0000-0000350E0000}"/>
    <cellStyle name="20% - Accent2 4 2 9" xfId="15485" xr:uid="{00000000-0005-0000-0000-0000360E0000}"/>
    <cellStyle name="20% - Accent2 4 2 9 2" xfId="44491" xr:uid="{00000000-0005-0000-0000-0000370E0000}"/>
    <cellStyle name="20% - Accent2 4 3" xfId="1125" xr:uid="{00000000-0005-0000-0000-0000380E0000}"/>
    <cellStyle name="20% - Accent2 4 3 2" xfId="1623" xr:uid="{00000000-0005-0000-0000-0000390E0000}"/>
    <cellStyle name="20% - Accent2 4 3 2 2" xfId="2682" xr:uid="{00000000-0005-0000-0000-00003A0E0000}"/>
    <cellStyle name="20% - Accent2 4 3 2 2 2" xfId="5786" xr:uid="{00000000-0005-0000-0000-00003B0E0000}"/>
    <cellStyle name="20% - Accent2 4 3 2 2 2 2" xfId="13058" xr:uid="{00000000-0005-0000-0000-00003C0E0000}"/>
    <cellStyle name="20% - Accent2 4 3 2 2 2 2 2" xfId="27592" xr:uid="{00000000-0005-0000-0000-00003D0E0000}"/>
    <cellStyle name="20% - Accent2 4 3 2 2 2 2 2 2" xfId="56598" xr:uid="{00000000-0005-0000-0000-00003E0E0000}"/>
    <cellStyle name="20% - Accent2 4 3 2 2 2 2 3" xfId="42099" xr:uid="{00000000-0005-0000-0000-00003F0E0000}"/>
    <cellStyle name="20% - Accent2 4 3 2 2 2 3" xfId="20344" xr:uid="{00000000-0005-0000-0000-0000400E0000}"/>
    <cellStyle name="20% - Accent2 4 3 2 2 2 3 2" xfId="49350" xr:uid="{00000000-0005-0000-0000-0000410E0000}"/>
    <cellStyle name="20% - Accent2 4 3 2 2 2 4" xfId="34851" xr:uid="{00000000-0005-0000-0000-0000420E0000}"/>
    <cellStyle name="20% - Accent2 4 3 2 2 3" xfId="9954" xr:uid="{00000000-0005-0000-0000-0000430E0000}"/>
    <cellStyle name="20% - Accent2 4 3 2 2 3 2" xfId="24488" xr:uid="{00000000-0005-0000-0000-0000440E0000}"/>
    <cellStyle name="20% - Accent2 4 3 2 2 3 2 2" xfId="53494" xr:uid="{00000000-0005-0000-0000-0000450E0000}"/>
    <cellStyle name="20% - Accent2 4 3 2 2 3 3" xfId="38995" xr:uid="{00000000-0005-0000-0000-0000460E0000}"/>
    <cellStyle name="20% - Accent2 4 3 2 2 4" xfId="17240" xr:uid="{00000000-0005-0000-0000-0000470E0000}"/>
    <cellStyle name="20% - Accent2 4 3 2 2 4 2" xfId="46246" xr:uid="{00000000-0005-0000-0000-0000480E0000}"/>
    <cellStyle name="20% - Accent2 4 3 2 2 5" xfId="31747" xr:uid="{00000000-0005-0000-0000-0000490E0000}"/>
    <cellStyle name="20% - Accent2 4 3 2 3" xfId="3714" xr:uid="{00000000-0005-0000-0000-00004A0E0000}"/>
    <cellStyle name="20% - Accent2 4 3 2 3 2" xfId="6818" xr:uid="{00000000-0005-0000-0000-00004B0E0000}"/>
    <cellStyle name="20% - Accent2 4 3 2 3 2 2" xfId="14090" xr:uid="{00000000-0005-0000-0000-00004C0E0000}"/>
    <cellStyle name="20% - Accent2 4 3 2 3 2 2 2" xfId="28624" xr:uid="{00000000-0005-0000-0000-00004D0E0000}"/>
    <cellStyle name="20% - Accent2 4 3 2 3 2 2 2 2" xfId="57630" xr:uid="{00000000-0005-0000-0000-00004E0E0000}"/>
    <cellStyle name="20% - Accent2 4 3 2 3 2 2 3" xfId="43131" xr:uid="{00000000-0005-0000-0000-00004F0E0000}"/>
    <cellStyle name="20% - Accent2 4 3 2 3 2 3" xfId="21376" xr:uid="{00000000-0005-0000-0000-0000500E0000}"/>
    <cellStyle name="20% - Accent2 4 3 2 3 2 3 2" xfId="50382" xr:uid="{00000000-0005-0000-0000-0000510E0000}"/>
    <cellStyle name="20% - Accent2 4 3 2 3 2 4" xfId="35883" xr:uid="{00000000-0005-0000-0000-0000520E0000}"/>
    <cellStyle name="20% - Accent2 4 3 2 3 3" xfId="10986" xr:uid="{00000000-0005-0000-0000-0000530E0000}"/>
    <cellStyle name="20% - Accent2 4 3 2 3 3 2" xfId="25520" xr:uid="{00000000-0005-0000-0000-0000540E0000}"/>
    <cellStyle name="20% - Accent2 4 3 2 3 3 2 2" xfId="54526" xr:uid="{00000000-0005-0000-0000-0000550E0000}"/>
    <cellStyle name="20% - Accent2 4 3 2 3 3 3" xfId="40027" xr:uid="{00000000-0005-0000-0000-0000560E0000}"/>
    <cellStyle name="20% - Accent2 4 3 2 3 4" xfId="18272" xr:uid="{00000000-0005-0000-0000-0000570E0000}"/>
    <cellStyle name="20% - Accent2 4 3 2 3 4 2" xfId="47278" xr:uid="{00000000-0005-0000-0000-0000580E0000}"/>
    <cellStyle name="20% - Accent2 4 3 2 3 5" xfId="32779" xr:uid="{00000000-0005-0000-0000-0000590E0000}"/>
    <cellStyle name="20% - Accent2 4 3 2 4" xfId="4746" xr:uid="{00000000-0005-0000-0000-00005A0E0000}"/>
    <cellStyle name="20% - Accent2 4 3 2 4 2" xfId="12018" xr:uid="{00000000-0005-0000-0000-00005B0E0000}"/>
    <cellStyle name="20% - Accent2 4 3 2 4 2 2" xfId="26552" xr:uid="{00000000-0005-0000-0000-00005C0E0000}"/>
    <cellStyle name="20% - Accent2 4 3 2 4 2 2 2" xfId="55558" xr:uid="{00000000-0005-0000-0000-00005D0E0000}"/>
    <cellStyle name="20% - Accent2 4 3 2 4 2 3" xfId="41059" xr:uid="{00000000-0005-0000-0000-00005E0E0000}"/>
    <cellStyle name="20% - Accent2 4 3 2 4 3" xfId="19304" xr:uid="{00000000-0005-0000-0000-00005F0E0000}"/>
    <cellStyle name="20% - Accent2 4 3 2 4 3 2" xfId="48310" xr:uid="{00000000-0005-0000-0000-0000600E0000}"/>
    <cellStyle name="20% - Accent2 4 3 2 4 4" xfId="33811" xr:uid="{00000000-0005-0000-0000-0000610E0000}"/>
    <cellStyle name="20% - Accent2 4 3 2 5" xfId="7850" xr:uid="{00000000-0005-0000-0000-0000620E0000}"/>
    <cellStyle name="20% - Accent2 4 3 2 5 2" xfId="15122" xr:uid="{00000000-0005-0000-0000-0000630E0000}"/>
    <cellStyle name="20% - Accent2 4 3 2 5 2 2" xfId="29656" xr:uid="{00000000-0005-0000-0000-0000640E0000}"/>
    <cellStyle name="20% - Accent2 4 3 2 5 2 2 2" xfId="58662" xr:uid="{00000000-0005-0000-0000-0000650E0000}"/>
    <cellStyle name="20% - Accent2 4 3 2 5 2 3" xfId="44163" xr:uid="{00000000-0005-0000-0000-0000660E0000}"/>
    <cellStyle name="20% - Accent2 4 3 2 5 3" xfId="22408" xr:uid="{00000000-0005-0000-0000-0000670E0000}"/>
    <cellStyle name="20% - Accent2 4 3 2 5 3 2" xfId="51414" xr:uid="{00000000-0005-0000-0000-0000680E0000}"/>
    <cellStyle name="20% - Accent2 4 3 2 5 4" xfId="36915" xr:uid="{00000000-0005-0000-0000-0000690E0000}"/>
    <cellStyle name="20% - Accent2 4 3 2 6" xfId="8914" xr:uid="{00000000-0005-0000-0000-00006A0E0000}"/>
    <cellStyle name="20% - Accent2 4 3 2 6 2" xfId="23448" xr:uid="{00000000-0005-0000-0000-00006B0E0000}"/>
    <cellStyle name="20% - Accent2 4 3 2 6 2 2" xfId="52454" xr:uid="{00000000-0005-0000-0000-00006C0E0000}"/>
    <cellStyle name="20% - Accent2 4 3 2 6 3" xfId="37955" xr:uid="{00000000-0005-0000-0000-00006D0E0000}"/>
    <cellStyle name="20% - Accent2 4 3 2 7" xfId="16200" xr:uid="{00000000-0005-0000-0000-00006E0E0000}"/>
    <cellStyle name="20% - Accent2 4 3 2 7 2" xfId="45206" xr:uid="{00000000-0005-0000-0000-00006F0E0000}"/>
    <cellStyle name="20% - Accent2 4 3 2 8" xfId="30707" xr:uid="{00000000-0005-0000-0000-0000700E0000}"/>
    <cellStyle name="20% - Accent2 4 3 3" xfId="2170" xr:uid="{00000000-0005-0000-0000-0000710E0000}"/>
    <cellStyle name="20% - Accent2 4 3 3 2" xfId="5274" xr:uid="{00000000-0005-0000-0000-0000720E0000}"/>
    <cellStyle name="20% - Accent2 4 3 3 2 2" xfId="12546" xr:uid="{00000000-0005-0000-0000-0000730E0000}"/>
    <cellStyle name="20% - Accent2 4 3 3 2 2 2" xfId="27080" xr:uid="{00000000-0005-0000-0000-0000740E0000}"/>
    <cellStyle name="20% - Accent2 4 3 3 2 2 2 2" xfId="56086" xr:uid="{00000000-0005-0000-0000-0000750E0000}"/>
    <cellStyle name="20% - Accent2 4 3 3 2 2 3" xfId="41587" xr:uid="{00000000-0005-0000-0000-0000760E0000}"/>
    <cellStyle name="20% - Accent2 4 3 3 2 3" xfId="19832" xr:uid="{00000000-0005-0000-0000-0000770E0000}"/>
    <cellStyle name="20% - Accent2 4 3 3 2 3 2" xfId="48838" xr:uid="{00000000-0005-0000-0000-0000780E0000}"/>
    <cellStyle name="20% - Accent2 4 3 3 2 4" xfId="34339" xr:uid="{00000000-0005-0000-0000-0000790E0000}"/>
    <cellStyle name="20% - Accent2 4 3 3 3" xfId="9442" xr:uid="{00000000-0005-0000-0000-00007A0E0000}"/>
    <cellStyle name="20% - Accent2 4 3 3 3 2" xfId="23976" xr:uid="{00000000-0005-0000-0000-00007B0E0000}"/>
    <cellStyle name="20% - Accent2 4 3 3 3 2 2" xfId="52982" xr:uid="{00000000-0005-0000-0000-00007C0E0000}"/>
    <cellStyle name="20% - Accent2 4 3 3 3 3" xfId="38483" xr:uid="{00000000-0005-0000-0000-00007D0E0000}"/>
    <cellStyle name="20% - Accent2 4 3 3 4" xfId="16728" xr:uid="{00000000-0005-0000-0000-00007E0E0000}"/>
    <cellStyle name="20% - Accent2 4 3 3 4 2" xfId="45734" xr:uid="{00000000-0005-0000-0000-00007F0E0000}"/>
    <cellStyle name="20% - Accent2 4 3 3 5" xfId="31235" xr:uid="{00000000-0005-0000-0000-0000800E0000}"/>
    <cellStyle name="20% - Accent2 4 3 4" xfId="3202" xr:uid="{00000000-0005-0000-0000-0000810E0000}"/>
    <cellStyle name="20% - Accent2 4 3 4 2" xfId="6306" xr:uid="{00000000-0005-0000-0000-0000820E0000}"/>
    <cellStyle name="20% - Accent2 4 3 4 2 2" xfId="13578" xr:uid="{00000000-0005-0000-0000-0000830E0000}"/>
    <cellStyle name="20% - Accent2 4 3 4 2 2 2" xfId="28112" xr:uid="{00000000-0005-0000-0000-0000840E0000}"/>
    <cellStyle name="20% - Accent2 4 3 4 2 2 2 2" xfId="57118" xr:uid="{00000000-0005-0000-0000-0000850E0000}"/>
    <cellStyle name="20% - Accent2 4 3 4 2 2 3" xfId="42619" xr:uid="{00000000-0005-0000-0000-0000860E0000}"/>
    <cellStyle name="20% - Accent2 4 3 4 2 3" xfId="20864" xr:uid="{00000000-0005-0000-0000-0000870E0000}"/>
    <cellStyle name="20% - Accent2 4 3 4 2 3 2" xfId="49870" xr:uid="{00000000-0005-0000-0000-0000880E0000}"/>
    <cellStyle name="20% - Accent2 4 3 4 2 4" xfId="35371" xr:uid="{00000000-0005-0000-0000-0000890E0000}"/>
    <cellStyle name="20% - Accent2 4 3 4 3" xfId="10474" xr:uid="{00000000-0005-0000-0000-00008A0E0000}"/>
    <cellStyle name="20% - Accent2 4 3 4 3 2" xfId="25008" xr:uid="{00000000-0005-0000-0000-00008B0E0000}"/>
    <cellStyle name="20% - Accent2 4 3 4 3 2 2" xfId="54014" xr:uid="{00000000-0005-0000-0000-00008C0E0000}"/>
    <cellStyle name="20% - Accent2 4 3 4 3 3" xfId="39515" xr:uid="{00000000-0005-0000-0000-00008D0E0000}"/>
    <cellStyle name="20% - Accent2 4 3 4 4" xfId="17760" xr:uid="{00000000-0005-0000-0000-00008E0E0000}"/>
    <cellStyle name="20% - Accent2 4 3 4 4 2" xfId="46766" xr:uid="{00000000-0005-0000-0000-00008F0E0000}"/>
    <cellStyle name="20% - Accent2 4 3 4 5" xfId="32267" xr:uid="{00000000-0005-0000-0000-0000900E0000}"/>
    <cellStyle name="20% - Accent2 4 3 5" xfId="4234" xr:uid="{00000000-0005-0000-0000-0000910E0000}"/>
    <cellStyle name="20% - Accent2 4 3 5 2" xfId="11506" xr:uid="{00000000-0005-0000-0000-0000920E0000}"/>
    <cellStyle name="20% - Accent2 4 3 5 2 2" xfId="26040" xr:uid="{00000000-0005-0000-0000-0000930E0000}"/>
    <cellStyle name="20% - Accent2 4 3 5 2 2 2" xfId="55046" xr:uid="{00000000-0005-0000-0000-0000940E0000}"/>
    <cellStyle name="20% - Accent2 4 3 5 2 3" xfId="40547" xr:uid="{00000000-0005-0000-0000-0000950E0000}"/>
    <cellStyle name="20% - Accent2 4 3 5 3" xfId="18792" xr:uid="{00000000-0005-0000-0000-0000960E0000}"/>
    <cellStyle name="20% - Accent2 4 3 5 3 2" xfId="47798" xr:uid="{00000000-0005-0000-0000-0000970E0000}"/>
    <cellStyle name="20% - Accent2 4 3 5 4" xfId="33299" xr:uid="{00000000-0005-0000-0000-0000980E0000}"/>
    <cellStyle name="20% - Accent2 4 3 6" xfId="7338" xr:uid="{00000000-0005-0000-0000-0000990E0000}"/>
    <cellStyle name="20% - Accent2 4 3 6 2" xfId="14610" xr:uid="{00000000-0005-0000-0000-00009A0E0000}"/>
    <cellStyle name="20% - Accent2 4 3 6 2 2" xfId="29144" xr:uid="{00000000-0005-0000-0000-00009B0E0000}"/>
    <cellStyle name="20% - Accent2 4 3 6 2 2 2" xfId="58150" xr:uid="{00000000-0005-0000-0000-00009C0E0000}"/>
    <cellStyle name="20% - Accent2 4 3 6 2 3" xfId="43651" xr:uid="{00000000-0005-0000-0000-00009D0E0000}"/>
    <cellStyle name="20% - Accent2 4 3 6 3" xfId="21896" xr:uid="{00000000-0005-0000-0000-00009E0E0000}"/>
    <cellStyle name="20% - Accent2 4 3 6 3 2" xfId="50902" xr:uid="{00000000-0005-0000-0000-00009F0E0000}"/>
    <cellStyle name="20% - Accent2 4 3 6 4" xfId="36403" xr:uid="{00000000-0005-0000-0000-0000A00E0000}"/>
    <cellStyle name="20% - Accent2 4 3 7" xfId="8402" xr:uid="{00000000-0005-0000-0000-0000A10E0000}"/>
    <cellStyle name="20% - Accent2 4 3 7 2" xfId="22936" xr:uid="{00000000-0005-0000-0000-0000A20E0000}"/>
    <cellStyle name="20% - Accent2 4 3 7 2 2" xfId="51942" xr:uid="{00000000-0005-0000-0000-0000A30E0000}"/>
    <cellStyle name="20% - Accent2 4 3 7 3" xfId="37443" xr:uid="{00000000-0005-0000-0000-0000A40E0000}"/>
    <cellStyle name="20% - Accent2 4 3 8" xfId="15688" xr:uid="{00000000-0005-0000-0000-0000A50E0000}"/>
    <cellStyle name="20% - Accent2 4 3 8 2" xfId="44694" xr:uid="{00000000-0005-0000-0000-0000A60E0000}"/>
    <cellStyle name="20% - Accent2 4 3 9" xfId="30195" xr:uid="{00000000-0005-0000-0000-0000A70E0000}"/>
    <cellStyle name="20% - Accent2 4 4" xfId="1034" xr:uid="{00000000-0005-0000-0000-0000A80E0000}"/>
    <cellStyle name="20% - Accent2 4 4 2" xfId="1524" xr:uid="{00000000-0005-0000-0000-0000A90E0000}"/>
    <cellStyle name="20% - Accent2 4 4 2 2" xfId="2582" xr:uid="{00000000-0005-0000-0000-0000AA0E0000}"/>
    <cellStyle name="20% - Accent2 4 4 2 2 2" xfId="5686" xr:uid="{00000000-0005-0000-0000-0000AB0E0000}"/>
    <cellStyle name="20% - Accent2 4 4 2 2 2 2" xfId="12958" xr:uid="{00000000-0005-0000-0000-0000AC0E0000}"/>
    <cellStyle name="20% - Accent2 4 4 2 2 2 2 2" xfId="27492" xr:uid="{00000000-0005-0000-0000-0000AD0E0000}"/>
    <cellStyle name="20% - Accent2 4 4 2 2 2 2 2 2" xfId="56498" xr:uid="{00000000-0005-0000-0000-0000AE0E0000}"/>
    <cellStyle name="20% - Accent2 4 4 2 2 2 2 3" xfId="41999" xr:uid="{00000000-0005-0000-0000-0000AF0E0000}"/>
    <cellStyle name="20% - Accent2 4 4 2 2 2 3" xfId="20244" xr:uid="{00000000-0005-0000-0000-0000B00E0000}"/>
    <cellStyle name="20% - Accent2 4 4 2 2 2 3 2" xfId="49250" xr:uid="{00000000-0005-0000-0000-0000B10E0000}"/>
    <cellStyle name="20% - Accent2 4 4 2 2 2 4" xfId="34751" xr:uid="{00000000-0005-0000-0000-0000B20E0000}"/>
    <cellStyle name="20% - Accent2 4 4 2 2 3" xfId="9854" xr:uid="{00000000-0005-0000-0000-0000B30E0000}"/>
    <cellStyle name="20% - Accent2 4 4 2 2 3 2" xfId="24388" xr:uid="{00000000-0005-0000-0000-0000B40E0000}"/>
    <cellStyle name="20% - Accent2 4 4 2 2 3 2 2" xfId="53394" xr:uid="{00000000-0005-0000-0000-0000B50E0000}"/>
    <cellStyle name="20% - Accent2 4 4 2 2 3 3" xfId="38895" xr:uid="{00000000-0005-0000-0000-0000B60E0000}"/>
    <cellStyle name="20% - Accent2 4 4 2 2 4" xfId="17140" xr:uid="{00000000-0005-0000-0000-0000B70E0000}"/>
    <cellStyle name="20% - Accent2 4 4 2 2 4 2" xfId="46146" xr:uid="{00000000-0005-0000-0000-0000B80E0000}"/>
    <cellStyle name="20% - Accent2 4 4 2 2 5" xfId="31647" xr:uid="{00000000-0005-0000-0000-0000B90E0000}"/>
    <cellStyle name="20% - Accent2 4 4 2 3" xfId="3614" xr:uid="{00000000-0005-0000-0000-0000BA0E0000}"/>
    <cellStyle name="20% - Accent2 4 4 2 3 2" xfId="6718" xr:uid="{00000000-0005-0000-0000-0000BB0E0000}"/>
    <cellStyle name="20% - Accent2 4 4 2 3 2 2" xfId="13990" xr:uid="{00000000-0005-0000-0000-0000BC0E0000}"/>
    <cellStyle name="20% - Accent2 4 4 2 3 2 2 2" xfId="28524" xr:uid="{00000000-0005-0000-0000-0000BD0E0000}"/>
    <cellStyle name="20% - Accent2 4 4 2 3 2 2 2 2" xfId="57530" xr:uid="{00000000-0005-0000-0000-0000BE0E0000}"/>
    <cellStyle name="20% - Accent2 4 4 2 3 2 2 3" xfId="43031" xr:uid="{00000000-0005-0000-0000-0000BF0E0000}"/>
    <cellStyle name="20% - Accent2 4 4 2 3 2 3" xfId="21276" xr:uid="{00000000-0005-0000-0000-0000C00E0000}"/>
    <cellStyle name="20% - Accent2 4 4 2 3 2 3 2" xfId="50282" xr:uid="{00000000-0005-0000-0000-0000C10E0000}"/>
    <cellStyle name="20% - Accent2 4 4 2 3 2 4" xfId="35783" xr:uid="{00000000-0005-0000-0000-0000C20E0000}"/>
    <cellStyle name="20% - Accent2 4 4 2 3 3" xfId="10886" xr:uid="{00000000-0005-0000-0000-0000C30E0000}"/>
    <cellStyle name="20% - Accent2 4 4 2 3 3 2" xfId="25420" xr:uid="{00000000-0005-0000-0000-0000C40E0000}"/>
    <cellStyle name="20% - Accent2 4 4 2 3 3 2 2" xfId="54426" xr:uid="{00000000-0005-0000-0000-0000C50E0000}"/>
    <cellStyle name="20% - Accent2 4 4 2 3 3 3" xfId="39927" xr:uid="{00000000-0005-0000-0000-0000C60E0000}"/>
    <cellStyle name="20% - Accent2 4 4 2 3 4" xfId="18172" xr:uid="{00000000-0005-0000-0000-0000C70E0000}"/>
    <cellStyle name="20% - Accent2 4 4 2 3 4 2" xfId="47178" xr:uid="{00000000-0005-0000-0000-0000C80E0000}"/>
    <cellStyle name="20% - Accent2 4 4 2 3 5" xfId="32679" xr:uid="{00000000-0005-0000-0000-0000C90E0000}"/>
    <cellStyle name="20% - Accent2 4 4 2 4" xfId="4646" xr:uid="{00000000-0005-0000-0000-0000CA0E0000}"/>
    <cellStyle name="20% - Accent2 4 4 2 4 2" xfId="11918" xr:uid="{00000000-0005-0000-0000-0000CB0E0000}"/>
    <cellStyle name="20% - Accent2 4 4 2 4 2 2" xfId="26452" xr:uid="{00000000-0005-0000-0000-0000CC0E0000}"/>
    <cellStyle name="20% - Accent2 4 4 2 4 2 2 2" xfId="55458" xr:uid="{00000000-0005-0000-0000-0000CD0E0000}"/>
    <cellStyle name="20% - Accent2 4 4 2 4 2 3" xfId="40959" xr:uid="{00000000-0005-0000-0000-0000CE0E0000}"/>
    <cellStyle name="20% - Accent2 4 4 2 4 3" xfId="19204" xr:uid="{00000000-0005-0000-0000-0000CF0E0000}"/>
    <cellStyle name="20% - Accent2 4 4 2 4 3 2" xfId="48210" xr:uid="{00000000-0005-0000-0000-0000D00E0000}"/>
    <cellStyle name="20% - Accent2 4 4 2 4 4" xfId="33711" xr:uid="{00000000-0005-0000-0000-0000D10E0000}"/>
    <cellStyle name="20% - Accent2 4 4 2 5" xfId="7750" xr:uid="{00000000-0005-0000-0000-0000D20E0000}"/>
    <cellStyle name="20% - Accent2 4 4 2 5 2" xfId="15022" xr:uid="{00000000-0005-0000-0000-0000D30E0000}"/>
    <cellStyle name="20% - Accent2 4 4 2 5 2 2" xfId="29556" xr:uid="{00000000-0005-0000-0000-0000D40E0000}"/>
    <cellStyle name="20% - Accent2 4 4 2 5 2 2 2" xfId="58562" xr:uid="{00000000-0005-0000-0000-0000D50E0000}"/>
    <cellStyle name="20% - Accent2 4 4 2 5 2 3" xfId="44063" xr:uid="{00000000-0005-0000-0000-0000D60E0000}"/>
    <cellStyle name="20% - Accent2 4 4 2 5 3" xfId="22308" xr:uid="{00000000-0005-0000-0000-0000D70E0000}"/>
    <cellStyle name="20% - Accent2 4 4 2 5 3 2" xfId="51314" xr:uid="{00000000-0005-0000-0000-0000D80E0000}"/>
    <cellStyle name="20% - Accent2 4 4 2 5 4" xfId="36815" xr:uid="{00000000-0005-0000-0000-0000D90E0000}"/>
    <cellStyle name="20% - Accent2 4 4 2 6" xfId="8814" xr:uid="{00000000-0005-0000-0000-0000DA0E0000}"/>
    <cellStyle name="20% - Accent2 4 4 2 6 2" xfId="23348" xr:uid="{00000000-0005-0000-0000-0000DB0E0000}"/>
    <cellStyle name="20% - Accent2 4 4 2 6 2 2" xfId="52354" xr:uid="{00000000-0005-0000-0000-0000DC0E0000}"/>
    <cellStyle name="20% - Accent2 4 4 2 6 3" xfId="37855" xr:uid="{00000000-0005-0000-0000-0000DD0E0000}"/>
    <cellStyle name="20% - Accent2 4 4 2 7" xfId="16100" xr:uid="{00000000-0005-0000-0000-0000DE0E0000}"/>
    <cellStyle name="20% - Accent2 4 4 2 7 2" xfId="45106" xr:uid="{00000000-0005-0000-0000-0000DF0E0000}"/>
    <cellStyle name="20% - Accent2 4 4 2 8" xfId="30607" xr:uid="{00000000-0005-0000-0000-0000E00E0000}"/>
    <cellStyle name="20% - Accent2 4 4 3" xfId="2070" xr:uid="{00000000-0005-0000-0000-0000E10E0000}"/>
    <cellStyle name="20% - Accent2 4 4 3 2" xfId="5174" xr:uid="{00000000-0005-0000-0000-0000E20E0000}"/>
    <cellStyle name="20% - Accent2 4 4 3 2 2" xfId="12446" xr:uid="{00000000-0005-0000-0000-0000E30E0000}"/>
    <cellStyle name="20% - Accent2 4 4 3 2 2 2" xfId="26980" xr:uid="{00000000-0005-0000-0000-0000E40E0000}"/>
    <cellStyle name="20% - Accent2 4 4 3 2 2 2 2" xfId="55986" xr:uid="{00000000-0005-0000-0000-0000E50E0000}"/>
    <cellStyle name="20% - Accent2 4 4 3 2 2 3" xfId="41487" xr:uid="{00000000-0005-0000-0000-0000E60E0000}"/>
    <cellStyle name="20% - Accent2 4 4 3 2 3" xfId="19732" xr:uid="{00000000-0005-0000-0000-0000E70E0000}"/>
    <cellStyle name="20% - Accent2 4 4 3 2 3 2" xfId="48738" xr:uid="{00000000-0005-0000-0000-0000E80E0000}"/>
    <cellStyle name="20% - Accent2 4 4 3 2 4" xfId="34239" xr:uid="{00000000-0005-0000-0000-0000E90E0000}"/>
    <cellStyle name="20% - Accent2 4 4 3 3" xfId="9342" xr:uid="{00000000-0005-0000-0000-0000EA0E0000}"/>
    <cellStyle name="20% - Accent2 4 4 3 3 2" xfId="23876" xr:uid="{00000000-0005-0000-0000-0000EB0E0000}"/>
    <cellStyle name="20% - Accent2 4 4 3 3 2 2" xfId="52882" xr:uid="{00000000-0005-0000-0000-0000EC0E0000}"/>
    <cellStyle name="20% - Accent2 4 4 3 3 3" xfId="38383" xr:uid="{00000000-0005-0000-0000-0000ED0E0000}"/>
    <cellStyle name="20% - Accent2 4 4 3 4" xfId="16628" xr:uid="{00000000-0005-0000-0000-0000EE0E0000}"/>
    <cellStyle name="20% - Accent2 4 4 3 4 2" xfId="45634" xr:uid="{00000000-0005-0000-0000-0000EF0E0000}"/>
    <cellStyle name="20% - Accent2 4 4 3 5" xfId="31135" xr:uid="{00000000-0005-0000-0000-0000F00E0000}"/>
    <cellStyle name="20% - Accent2 4 4 4" xfId="3102" xr:uid="{00000000-0005-0000-0000-0000F10E0000}"/>
    <cellStyle name="20% - Accent2 4 4 4 2" xfId="6206" xr:uid="{00000000-0005-0000-0000-0000F20E0000}"/>
    <cellStyle name="20% - Accent2 4 4 4 2 2" xfId="13478" xr:uid="{00000000-0005-0000-0000-0000F30E0000}"/>
    <cellStyle name="20% - Accent2 4 4 4 2 2 2" xfId="28012" xr:uid="{00000000-0005-0000-0000-0000F40E0000}"/>
    <cellStyle name="20% - Accent2 4 4 4 2 2 2 2" xfId="57018" xr:uid="{00000000-0005-0000-0000-0000F50E0000}"/>
    <cellStyle name="20% - Accent2 4 4 4 2 2 3" xfId="42519" xr:uid="{00000000-0005-0000-0000-0000F60E0000}"/>
    <cellStyle name="20% - Accent2 4 4 4 2 3" xfId="20764" xr:uid="{00000000-0005-0000-0000-0000F70E0000}"/>
    <cellStyle name="20% - Accent2 4 4 4 2 3 2" xfId="49770" xr:uid="{00000000-0005-0000-0000-0000F80E0000}"/>
    <cellStyle name="20% - Accent2 4 4 4 2 4" xfId="35271" xr:uid="{00000000-0005-0000-0000-0000F90E0000}"/>
    <cellStyle name="20% - Accent2 4 4 4 3" xfId="10374" xr:uid="{00000000-0005-0000-0000-0000FA0E0000}"/>
    <cellStyle name="20% - Accent2 4 4 4 3 2" xfId="24908" xr:uid="{00000000-0005-0000-0000-0000FB0E0000}"/>
    <cellStyle name="20% - Accent2 4 4 4 3 2 2" xfId="53914" xr:uid="{00000000-0005-0000-0000-0000FC0E0000}"/>
    <cellStyle name="20% - Accent2 4 4 4 3 3" xfId="39415" xr:uid="{00000000-0005-0000-0000-0000FD0E0000}"/>
    <cellStyle name="20% - Accent2 4 4 4 4" xfId="17660" xr:uid="{00000000-0005-0000-0000-0000FE0E0000}"/>
    <cellStyle name="20% - Accent2 4 4 4 4 2" xfId="46666" xr:uid="{00000000-0005-0000-0000-0000FF0E0000}"/>
    <cellStyle name="20% - Accent2 4 4 4 5" xfId="32167" xr:uid="{00000000-0005-0000-0000-0000000F0000}"/>
    <cellStyle name="20% - Accent2 4 4 5" xfId="4134" xr:uid="{00000000-0005-0000-0000-0000010F0000}"/>
    <cellStyle name="20% - Accent2 4 4 5 2" xfId="11406" xr:uid="{00000000-0005-0000-0000-0000020F0000}"/>
    <cellStyle name="20% - Accent2 4 4 5 2 2" xfId="25940" xr:uid="{00000000-0005-0000-0000-0000030F0000}"/>
    <cellStyle name="20% - Accent2 4 4 5 2 2 2" xfId="54946" xr:uid="{00000000-0005-0000-0000-0000040F0000}"/>
    <cellStyle name="20% - Accent2 4 4 5 2 3" xfId="40447" xr:uid="{00000000-0005-0000-0000-0000050F0000}"/>
    <cellStyle name="20% - Accent2 4 4 5 3" xfId="18692" xr:uid="{00000000-0005-0000-0000-0000060F0000}"/>
    <cellStyle name="20% - Accent2 4 4 5 3 2" xfId="47698" xr:uid="{00000000-0005-0000-0000-0000070F0000}"/>
    <cellStyle name="20% - Accent2 4 4 5 4" xfId="33199" xr:uid="{00000000-0005-0000-0000-0000080F0000}"/>
    <cellStyle name="20% - Accent2 4 4 6" xfId="7238" xr:uid="{00000000-0005-0000-0000-0000090F0000}"/>
    <cellStyle name="20% - Accent2 4 4 6 2" xfId="14510" xr:uid="{00000000-0005-0000-0000-00000A0F0000}"/>
    <cellStyle name="20% - Accent2 4 4 6 2 2" xfId="29044" xr:uid="{00000000-0005-0000-0000-00000B0F0000}"/>
    <cellStyle name="20% - Accent2 4 4 6 2 2 2" xfId="58050" xr:uid="{00000000-0005-0000-0000-00000C0F0000}"/>
    <cellStyle name="20% - Accent2 4 4 6 2 3" xfId="43551" xr:uid="{00000000-0005-0000-0000-00000D0F0000}"/>
    <cellStyle name="20% - Accent2 4 4 6 3" xfId="21796" xr:uid="{00000000-0005-0000-0000-00000E0F0000}"/>
    <cellStyle name="20% - Accent2 4 4 6 3 2" xfId="50802" xr:uid="{00000000-0005-0000-0000-00000F0F0000}"/>
    <cellStyle name="20% - Accent2 4 4 6 4" xfId="36303" xr:uid="{00000000-0005-0000-0000-0000100F0000}"/>
    <cellStyle name="20% - Accent2 4 4 7" xfId="8302" xr:uid="{00000000-0005-0000-0000-0000110F0000}"/>
    <cellStyle name="20% - Accent2 4 4 7 2" xfId="22836" xr:uid="{00000000-0005-0000-0000-0000120F0000}"/>
    <cellStyle name="20% - Accent2 4 4 7 2 2" xfId="51842" xr:uid="{00000000-0005-0000-0000-0000130F0000}"/>
    <cellStyle name="20% - Accent2 4 4 7 3" xfId="37343" xr:uid="{00000000-0005-0000-0000-0000140F0000}"/>
    <cellStyle name="20% - Accent2 4 4 8" xfId="15588" xr:uid="{00000000-0005-0000-0000-0000150F0000}"/>
    <cellStyle name="20% - Accent2 4 4 8 2" xfId="44594" xr:uid="{00000000-0005-0000-0000-0000160F0000}"/>
    <cellStyle name="20% - Accent2 4 4 9" xfId="30095" xr:uid="{00000000-0005-0000-0000-0000170F0000}"/>
    <cellStyle name="20% - Accent2 4 5" xfId="1319" xr:uid="{00000000-0005-0000-0000-0000180F0000}"/>
    <cellStyle name="20% - Accent2 4 5 2" xfId="2376" xr:uid="{00000000-0005-0000-0000-0000190F0000}"/>
    <cellStyle name="20% - Accent2 4 5 2 2" xfId="5480" xr:uid="{00000000-0005-0000-0000-00001A0F0000}"/>
    <cellStyle name="20% - Accent2 4 5 2 2 2" xfId="12752" xr:uid="{00000000-0005-0000-0000-00001B0F0000}"/>
    <cellStyle name="20% - Accent2 4 5 2 2 2 2" xfId="27286" xr:uid="{00000000-0005-0000-0000-00001C0F0000}"/>
    <cellStyle name="20% - Accent2 4 5 2 2 2 2 2" xfId="56292" xr:uid="{00000000-0005-0000-0000-00001D0F0000}"/>
    <cellStyle name="20% - Accent2 4 5 2 2 2 3" xfId="41793" xr:uid="{00000000-0005-0000-0000-00001E0F0000}"/>
    <cellStyle name="20% - Accent2 4 5 2 2 3" xfId="20038" xr:uid="{00000000-0005-0000-0000-00001F0F0000}"/>
    <cellStyle name="20% - Accent2 4 5 2 2 3 2" xfId="49044" xr:uid="{00000000-0005-0000-0000-0000200F0000}"/>
    <cellStyle name="20% - Accent2 4 5 2 2 4" xfId="34545" xr:uid="{00000000-0005-0000-0000-0000210F0000}"/>
    <cellStyle name="20% - Accent2 4 5 2 3" xfId="9648" xr:uid="{00000000-0005-0000-0000-0000220F0000}"/>
    <cellStyle name="20% - Accent2 4 5 2 3 2" xfId="24182" xr:uid="{00000000-0005-0000-0000-0000230F0000}"/>
    <cellStyle name="20% - Accent2 4 5 2 3 2 2" xfId="53188" xr:uid="{00000000-0005-0000-0000-0000240F0000}"/>
    <cellStyle name="20% - Accent2 4 5 2 3 3" xfId="38689" xr:uid="{00000000-0005-0000-0000-0000250F0000}"/>
    <cellStyle name="20% - Accent2 4 5 2 4" xfId="16934" xr:uid="{00000000-0005-0000-0000-0000260F0000}"/>
    <cellStyle name="20% - Accent2 4 5 2 4 2" xfId="45940" xr:uid="{00000000-0005-0000-0000-0000270F0000}"/>
    <cellStyle name="20% - Accent2 4 5 2 5" xfId="31441" xr:uid="{00000000-0005-0000-0000-0000280F0000}"/>
    <cellStyle name="20% - Accent2 4 5 3" xfId="3408" xr:uid="{00000000-0005-0000-0000-0000290F0000}"/>
    <cellStyle name="20% - Accent2 4 5 3 2" xfId="6512" xr:uid="{00000000-0005-0000-0000-00002A0F0000}"/>
    <cellStyle name="20% - Accent2 4 5 3 2 2" xfId="13784" xr:uid="{00000000-0005-0000-0000-00002B0F0000}"/>
    <cellStyle name="20% - Accent2 4 5 3 2 2 2" xfId="28318" xr:uid="{00000000-0005-0000-0000-00002C0F0000}"/>
    <cellStyle name="20% - Accent2 4 5 3 2 2 2 2" xfId="57324" xr:uid="{00000000-0005-0000-0000-00002D0F0000}"/>
    <cellStyle name="20% - Accent2 4 5 3 2 2 3" xfId="42825" xr:uid="{00000000-0005-0000-0000-00002E0F0000}"/>
    <cellStyle name="20% - Accent2 4 5 3 2 3" xfId="21070" xr:uid="{00000000-0005-0000-0000-00002F0F0000}"/>
    <cellStyle name="20% - Accent2 4 5 3 2 3 2" xfId="50076" xr:uid="{00000000-0005-0000-0000-0000300F0000}"/>
    <cellStyle name="20% - Accent2 4 5 3 2 4" xfId="35577" xr:uid="{00000000-0005-0000-0000-0000310F0000}"/>
    <cellStyle name="20% - Accent2 4 5 3 3" xfId="10680" xr:uid="{00000000-0005-0000-0000-0000320F0000}"/>
    <cellStyle name="20% - Accent2 4 5 3 3 2" xfId="25214" xr:uid="{00000000-0005-0000-0000-0000330F0000}"/>
    <cellStyle name="20% - Accent2 4 5 3 3 2 2" xfId="54220" xr:uid="{00000000-0005-0000-0000-0000340F0000}"/>
    <cellStyle name="20% - Accent2 4 5 3 3 3" xfId="39721" xr:uid="{00000000-0005-0000-0000-0000350F0000}"/>
    <cellStyle name="20% - Accent2 4 5 3 4" xfId="17966" xr:uid="{00000000-0005-0000-0000-0000360F0000}"/>
    <cellStyle name="20% - Accent2 4 5 3 4 2" xfId="46972" xr:uid="{00000000-0005-0000-0000-0000370F0000}"/>
    <cellStyle name="20% - Accent2 4 5 3 5" xfId="32473" xr:uid="{00000000-0005-0000-0000-0000380F0000}"/>
    <cellStyle name="20% - Accent2 4 5 4" xfId="4440" xr:uid="{00000000-0005-0000-0000-0000390F0000}"/>
    <cellStyle name="20% - Accent2 4 5 4 2" xfId="11712" xr:uid="{00000000-0005-0000-0000-00003A0F0000}"/>
    <cellStyle name="20% - Accent2 4 5 4 2 2" xfId="26246" xr:uid="{00000000-0005-0000-0000-00003B0F0000}"/>
    <cellStyle name="20% - Accent2 4 5 4 2 2 2" xfId="55252" xr:uid="{00000000-0005-0000-0000-00003C0F0000}"/>
    <cellStyle name="20% - Accent2 4 5 4 2 3" xfId="40753" xr:uid="{00000000-0005-0000-0000-00003D0F0000}"/>
    <cellStyle name="20% - Accent2 4 5 4 3" xfId="18998" xr:uid="{00000000-0005-0000-0000-00003E0F0000}"/>
    <cellStyle name="20% - Accent2 4 5 4 3 2" xfId="48004" xr:uid="{00000000-0005-0000-0000-00003F0F0000}"/>
    <cellStyle name="20% - Accent2 4 5 4 4" xfId="33505" xr:uid="{00000000-0005-0000-0000-0000400F0000}"/>
    <cellStyle name="20% - Accent2 4 5 5" xfId="7544" xr:uid="{00000000-0005-0000-0000-0000410F0000}"/>
    <cellStyle name="20% - Accent2 4 5 5 2" xfId="14816" xr:uid="{00000000-0005-0000-0000-0000420F0000}"/>
    <cellStyle name="20% - Accent2 4 5 5 2 2" xfId="29350" xr:uid="{00000000-0005-0000-0000-0000430F0000}"/>
    <cellStyle name="20% - Accent2 4 5 5 2 2 2" xfId="58356" xr:uid="{00000000-0005-0000-0000-0000440F0000}"/>
    <cellStyle name="20% - Accent2 4 5 5 2 3" xfId="43857" xr:uid="{00000000-0005-0000-0000-0000450F0000}"/>
    <cellStyle name="20% - Accent2 4 5 5 3" xfId="22102" xr:uid="{00000000-0005-0000-0000-0000460F0000}"/>
    <cellStyle name="20% - Accent2 4 5 5 3 2" xfId="51108" xr:uid="{00000000-0005-0000-0000-0000470F0000}"/>
    <cellStyle name="20% - Accent2 4 5 5 4" xfId="36609" xr:uid="{00000000-0005-0000-0000-0000480F0000}"/>
    <cellStyle name="20% - Accent2 4 5 6" xfId="8608" xr:uid="{00000000-0005-0000-0000-0000490F0000}"/>
    <cellStyle name="20% - Accent2 4 5 6 2" xfId="23142" xr:uid="{00000000-0005-0000-0000-00004A0F0000}"/>
    <cellStyle name="20% - Accent2 4 5 6 2 2" xfId="52148" xr:uid="{00000000-0005-0000-0000-00004B0F0000}"/>
    <cellStyle name="20% - Accent2 4 5 6 3" xfId="37649" xr:uid="{00000000-0005-0000-0000-00004C0F0000}"/>
    <cellStyle name="20% - Accent2 4 5 7" xfId="15894" xr:uid="{00000000-0005-0000-0000-00004D0F0000}"/>
    <cellStyle name="20% - Accent2 4 5 7 2" xfId="44900" xr:uid="{00000000-0005-0000-0000-00004E0F0000}"/>
    <cellStyle name="20% - Accent2 4 5 8" xfId="30401" xr:uid="{00000000-0005-0000-0000-00004F0F0000}"/>
    <cellStyle name="20% - Accent2 4 6" xfId="1864" xr:uid="{00000000-0005-0000-0000-0000500F0000}"/>
    <cellStyle name="20% - Accent2 4 6 2" xfId="4968" xr:uid="{00000000-0005-0000-0000-0000510F0000}"/>
    <cellStyle name="20% - Accent2 4 6 2 2" xfId="12240" xr:uid="{00000000-0005-0000-0000-0000520F0000}"/>
    <cellStyle name="20% - Accent2 4 6 2 2 2" xfId="26774" xr:uid="{00000000-0005-0000-0000-0000530F0000}"/>
    <cellStyle name="20% - Accent2 4 6 2 2 2 2" xfId="55780" xr:uid="{00000000-0005-0000-0000-0000540F0000}"/>
    <cellStyle name="20% - Accent2 4 6 2 2 3" xfId="41281" xr:uid="{00000000-0005-0000-0000-0000550F0000}"/>
    <cellStyle name="20% - Accent2 4 6 2 3" xfId="19526" xr:uid="{00000000-0005-0000-0000-0000560F0000}"/>
    <cellStyle name="20% - Accent2 4 6 2 3 2" xfId="48532" xr:uid="{00000000-0005-0000-0000-0000570F0000}"/>
    <cellStyle name="20% - Accent2 4 6 2 4" xfId="34033" xr:uid="{00000000-0005-0000-0000-0000580F0000}"/>
    <cellStyle name="20% - Accent2 4 6 3" xfId="9136" xr:uid="{00000000-0005-0000-0000-0000590F0000}"/>
    <cellStyle name="20% - Accent2 4 6 3 2" xfId="23670" xr:uid="{00000000-0005-0000-0000-00005A0F0000}"/>
    <cellStyle name="20% - Accent2 4 6 3 2 2" xfId="52676" xr:uid="{00000000-0005-0000-0000-00005B0F0000}"/>
    <cellStyle name="20% - Accent2 4 6 3 3" xfId="38177" xr:uid="{00000000-0005-0000-0000-00005C0F0000}"/>
    <cellStyle name="20% - Accent2 4 6 4" xfId="16422" xr:uid="{00000000-0005-0000-0000-00005D0F0000}"/>
    <cellStyle name="20% - Accent2 4 6 4 2" xfId="45428" xr:uid="{00000000-0005-0000-0000-00005E0F0000}"/>
    <cellStyle name="20% - Accent2 4 6 5" xfId="30929" xr:uid="{00000000-0005-0000-0000-00005F0F0000}"/>
    <cellStyle name="20% - Accent2 4 7" xfId="2896" xr:uid="{00000000-0005-0000-0000-0000600F0000}"/>
    <cellStyle name="20% - Accent2 4 7 2" xfId="6000" xr:uid="{00000000-0005-0000-0000-0000610F0000}"/>
    <cellStyle name="20% - Accent2 4 7 2 2" xfId="13272" xr:uid="{00000000-0005-0000-0000-0000620F0000}"/>
    <cellStyle name="20% - Accent2 4 7 2 2 2" xfId="27806" xr:uid="{00000000-0005-0000-0000-0000630F0000}"/>
    <cellStyle name="20% - Accent2 4 7 2 2 2 2" xfId="56812" xr:uid="{00000000-0005-0000-0000-0000640F0000}"/>
    <cellStyle name="20% - Accent2 4 7 2 2 3" xfId="42313" xr:uid="{00000000-0005-0000-0000-0000650F0000}"/>
    <cellStyle name="20% - Accent2 4 7 2 3" xfId="20558" xr:uid="{00000000-0005-0000-0000-0000660F0000}"/>
    <cellStyle name="20% - Accent2 4 7 2 3 2" xfId="49564" xr:uid="{00000000-0005-0000-0000-0000670F0000}"/>
    <cellStyle name="20% - Accent2 4 7 2 4" xfId="35065" xr:uid="{00000000-0005-0000-0000-0000680F0000}"/>
    <cellStyle name="20% - Accent2 4 7 3" xfId="10168" xr:uid="{00000000-0005-0000-0000-0000690F0000}"/>
    <cellStyle name="20% - Accent2 4 7 3 2" xfId="24702" xr:uid="{00000000-0005-0000-0000-00006A0F0000}"/>
    <cellStyle name="20% - Accent2 4 7 3 2 2" xfId="53708" xr:uid="{00000000-0005-0000-0000-00006B0F0000}"/>
    <cellStyle name="20% - Accent2 4 7 3 3" xfId="39209" xr:uid="{00000000-0005-0000-0000-00006C0F0000}"/>
    <cellStyle name="20% - Accent2 4 7 4" xfId="17454" xr:uid="{00000000-0005-0000-0000-00006D0F0000}"/>
    <cellStyle name="20% - Accent2 4 7 4 2" xfId="46460" xr:uid="{00000000-0005-0000-0000-00006E0F0000}"/>
    <cellStyle name="20% - Accent2 4 7 5" xfId="31961" xr:uid="{00000000-0005-0000-0000-00006F0F0000}"/>
    <cellStyle name="20% - Accent2 4 8" xfId="3928" xr:uid="{00000000-0005-0000-0000-0000700F0000}"/>
    <cellStyle name="20% - Accent2 4 8 2" xfId="11200" xr:uid="{00000000-0005-0000-0000-0000710F0000}"/>
    <cellStyle name="20% - Accent2 4 8 2 2" xfId="25734" xr:uid="{00000000-0005-0000-0000-0000720F0000}"/>
    <cellStyle name="20% - Accent2 4 8 2 2 2" xfId="54740" xr:uid="{00000000-0005-0000-0000-0000730F0000}"/>
    <cellStyle name="20% - Accent2 4 8 2 3" xfId="40241" xr:uid="{00000000-0005-0000-0000-0000740F0000}"/>
    <cellStyle name="20% - Accent2 4 8 3" xfId="18486" xr:uid="{00000000-0005-0000-0000-0000750F0000}"/>
    <cellStyle name="20% - Accent2 4 8 3 2" xfId="47492" xr:uid="{00000000-0005-0000-0000-0000760F0000}"/>
    <cellStyle name="20% - Accent2 4 8 4" xfId="32993" xr:uid="{00000000-0005-0000-0000-0000770F0000}"/>
    <cellStyle name="20% - Accent2 4 9" xfId="7032" xr:uid="{00000000-0005-0000-0000-0000780F0000}"/>
    <cellStyle name="20% - Accent2 4 9 2" xfId="14304" xr:uid="{00000000-0005-0000-0000-0000790F0000}"/>
    <cellStyle name="20% - Accent2 4 9 2 2" xfId="28838" xr:uid="{00000000-0005-0000-0000-00007A0F0000}"/>
    <cellStyle name="20% - Accent2 4 9 2 2 2" xfId="57844" xr:uid="{00000000-0005-0000-0000-00007B0F0000}"/>
    <cellStyle name="20% - Accent2 4 9 2 3" xfId="43345" xr:uid="{00000000-0005-0000-0000-00007C0F0000}"/>
    <cellStyle name="20% - Accent2 4 9 3" xfId="21590" xr:uid="{00000000-0005-0000-0000-00007D0F0000}"/>
    <cellStyle name="20% - Accent2 4 9 3 2" xfId="50596" xr:uid="{00000000-0005-0000-0000-00007E0F0000}"/>
    <cellStyle name="20% - Accent2 4 9 4" xfId="36097" xr:uid="{00000000-0005-0000-0000-00007F0F0000}"/>
    <cellStyle name="20% - Accent2 5" xfId="905" xr:uid="{00000000-0005-0000-0000-0000800F0000}"/>
    <cellStyle name="20% - Accent2 5 10" xfId="29940" xr:uid="{00000000-0005-0000-0000-0000810F0000}"/>
    <cellStyle name="20% - Accent2 5 2" xfId="1173" xr:uid="{00000000-0005-0000-0000-0000820F0000}"/>
    <cellStyle name="20% - Accent2 5 2 2" xfId="1674" xr:uid="{00000000-0005-0000-0000-0000830F0000}"/>
    <cellStyle name="20% - Accent2 5 2 2 2" xfId="2733" xr:uid="{00000000-0005-0000-0000-0000840F0000}"/>
    <cellStyle name="20% - Accent2 5 2 2 2 2" xfId="5837" xr:uid="{00000000-0005-0000-0000-0000850F0000}"/>
    <cellStyle name="20% - Accent2 5 2 2 2 2 2" xfId="13109" xr:uid="{00000000-0005-0000-0000-0000860F0000}"/>
    <cellStyle name="20% - Accent2 5 2 2 2 2 2 2" xfId="27643" xr:uid="{00000000-0005-0000-0000-0000870F0000}"/>
    <cellStyle name="20% - Accent2 5 2 2 2 2 2 2 2" xfId="56649" xr:uid="{00000000-0005-0000-0000-0000880F0000}"/>
    <cellStyle name="20% - Accent2 5 2 2 2 2 2 3" xfId="42150" xr:uid="{00000000-0005-0000-0000-0000890F0000}"/>
    <cellStyle name="20% - Accent2 5 2 2 2 2 3" xfId="20395" xr:uid="{00000000-0005-0000-0000-00008A0F0000}"/>
    <cellStyle name="20% - Accent2 5 2 2 2 2 3 2" xfId="49401" xr:uid="{00000000-0005-0000-0000-00008B0F0000}"/>
    <cellStyle name="20% - Accent2 5 2 2 2 2 4" xfId="34902" xr:uid="{00000000-0005-0000-0000-00008C0F0000}"/>
    <cellStyle name="20% - Accent2 5 2 2 2 3" xfId="10005" xr:uid="{00000000-0005-0000-0000-00008D0F0000}"/>
    <cellStyle name="20% - Accent2 5 2 2 2 3 2" xfId="24539" xr:uid="{00000000-0005-0000-0000-00008E0F0000}"/>
    <cellStyle name="20% - Accent2 5 2 2 2 3 2 2" xfId="53545" xr:uid="{00000000-0005-0000-0000-00008F0F0000}"/>
    <cellStyle name="20% - Accent2 5 2 2 2 3 3" xfId="39046" xr:uid="{00000000-0005-0000-0000-0000900F0000}"/>
    <cellStyle name="20% - Accent2 5 2 2 2 4" xfId="17291" xr:uid="{00000000-0005-0000-0000-0000910F0000}"/>
    <cellStyle name="20% - Accent2 5 2 2 2 4 2" xfId="46297" xr:uid="{00000000-0005-0000-0000-0000920F0000}"/>
    <cellStyle name="20% - Accent2 5 2 2 2 5" xfId="31798" xr:uid="{00000000-0005-0000-0000-0000930F0000}"/>
    <cellStyle name="20% - Accent2 5 2 2 3" xfId="3765" xr:uid="{00000000-0005-0000-0000-0000940F0000}"/>
    <cellStyle name="20% - Accent2 5 2 2 3 2" xfId="6869" xr:uid="{00000000-0005-0000-0000-0000950F0000}"/>
    <cellStyle name="20% - Accent2 5 2 2 3 2 2" xfId="14141" xr:uid="{00000000-0005-0000-0000-0000960F0000}"/>
    <cellStyle name="20% - Accent2 5 2 2 3 2 2 2" xfId="28675" xr:uid="{00000000-0005-0000-0000-0000970F0000}"/>
    <cellStyle name="20% - Accent2 5 2 2 3 2 2 2 2" xfId="57681" xr:uid="{00000000-0005-0000-0000-0000980F0000}"/>
    <cellStyle name="20% - Accent2 5 2 2 3 2 2 3" xfId="43182" xr:uid="{00000000-0005-0000-0000-0000990F0000}"/>
    <cellStyle name="20% - Accent2 5 2 2 3 2 3" xfId="21427" xr:uid="{00000000-0005-0000-0000-00009A0F0000}"/>
    <cellStyle name="20% - Accent2 5 2 2 3 2 3 2" xfId="50433" xr:uid="{00000000-0005-0000-0000-00009B0F0000}"/>
    <cellStyle name="20% - Accent2 5 2 2 3 2 4" xfId="35934" xr:uid="{00000000-0005-0000-0000-00009C0F0000}"/>
    <cellStyle name="20% - Accent2 5 2 2 3 3" xfId="11037" xr:uid="{00000000-0005-0000-0000-00009D0F0000}"/>
    <cellStyle name="20% - Accent2 5 2 2 3 3 2" xfId="25571" xr:uid="{00000000-0005-0000-0000-00009E0F0000}"/>
    <cellStyle name="20% - Accent2 5 2 2 3 3 2 2" xfId="54577" xr:uid="{00000000-0005-0000-0000-00009F0F0000}"/>
    <cellStyle name="20% - Accent2 5 2 2 3 3 3" xfId="40078" xr:uid="{00000000-0005-0000-0000-0000A00F0000}"/>
    <cellStyle name="20% - Accent2 5 2 2 3 4" xfId="18323" xr:uid="{00000000-0005-0000-0000-0000A10F0000}"/>
    <cellStyle name="20% - Accent2 5 2 2 3 4 2" xfId="47329" xr:uid="{00000000-0005-0000-0000-0000A20F0000}"/>
    <cellStyle name="20% - Accent2 5 2 2 3 5" xfId="32830" xr:uid="{00000000-0005-0000-0000-0000A30F0000}"/>
    <cellStyle name="20% - Accent2 5 2 2 4" xfId="4797" xr:uid="{00000000-0005-0000-0000-0000A40F0000}"/>
    <cellStyle name="20% - Accent2 5 2 2 4 2" xfId="12069" xr:uid="{00000000-0005-0000-0000-0000A50F0000}"/>
    <cellStyle name="20% - Accent2 5 2 2 4 2 2" xfId="26603" xr:uid="{00000000-0005-0000-0000-0000A60F0000}"/>
    <cellStyle name="20% - Accent2 5 2 2 4 2 2 2" xfId="55609" xr:uid="{00000000-0005-0000-0000-0000A70F0000}"/>
    <cellStyle name="20% - Accent2 5 2 2 4 2 3" xfId="41110" xr:uid="{00000000-0005-0000-0000-0000A80F0000}"/>
    <cellStyle name="20% - Accent2 5 2 2 4 3" xfId="19355" xr:uid="{00000000-0005-0000-0000-0000A90F0000}"/>
    <cellStyle name="20% - Accent2 5 2 2 4 3 2" xfId="48361" xr:uid="{00000000-0005-0000-0000-0000AA0F0000}"/>
    <cellStyle name="20% - Accent2 5 2 2 4 4" xfId="33862" xr:uid="{00000000-0005-0000-0000-0000AB0F0000}"/>
    <cellStyle name="20% - Accent2 5 2 2 5" xfId="7901" xr:uid="{00000000-0005-0000-0000-0000AC0F0000}"/>
    <cellStyle name="20% - Accent2 5 2 2 5 2" xfId="15173" xr:uid="{00000000-0005-0000-0000-0000AD0F0000}"/>
    <cellStyle name="20% - Accent2 5 2 2 5 2 2" xfId="29707" xr:uid="{00000000-0005-0000-0000-0000AE0F0000}"/>
    <cellStyle name="20% - Accent2 5 2 2 5 2 2 2" xfId="58713" xr:uid="{00000000-0005-0000-0000-0000AF0F0000}"/>
    <cellStyle name="20% - Accent2 5 2 2 5 2 3" xfId="44214" xr:uid="{00000000-0005-0000-0000-0000B00F0000}"/>
    <cellStyle name="20% - Accent2 5 2 2 5 3" xfId="22459" xr:uid="{00000000-0005-0000-0000-0000B10F0000}"/>
    <cellStyle name="20% - Accent2 5 2 2 5 3 2" xfId="51465" xr:uid="{00000000-0005-0000-0000-0000B20F0000}"/>
    <cellStyle name="20% - Accent2 5 2 2 5 4" xfId="36966" xr:uid="{00000000-0005-0000-0000-0000B30F0000}"/>
    <cellStyle name="20% - Accent2 5 2 2 6" xfId="8965" xr:uid="{00000000-0005-0000-0000-0000B40F0000}"/>
    <cellStyle name="20% - Accent2 5 2 2 6 2" xfId="23499" xr:uid="{00000000-0005-0000-0000-0000B50F0000}"/>
    <cellStyle name="20% - Accent2 5 2 2 6 2 2" xfId="52505" xr:uid="{00000000-0005-0000-0000-0000B60F0000}"/>
    <cellStyle name="20% - Accent2 5 2 2 6 3" xfId="38006" xr:uid="{00000000-0005-0000-0000-0000B70F0000}"/>
    <cellStyle name="20% - Accent2 5 2 2 7" xfId="16251" xr:uid="{00000000-0005-0000-0000-0000B80F0000}"/>
    <cellStyle name="20% - Accent2 5 2 2 7 2" xfId="45257" xr:uid="{00000000-0005-0000-0000-0000B90F0000}"/>
    <cellStyle name="20% - Accent2 5 2 2 8" xfId="30758" xr:uid="{00000000-0005-0000-0000-0000BA0F0000}"/>
    <cellStyle name="20% - Accent2 5 2 3" xfId="2221" xr:uid="{00000000-0005-0000-0000-0000BB0F0000}"/>
    <cellStyle name="20% - Accent2 5 2 3 2" xfId="5325" xr:uid="{00000000-0005-0000-0000-0000BC0F0000}"/>
    <cellStyle name="20% - Accent2 5 2 3 2 2" xfId="12597" xr:uid="{00000000-0005-0000-0000-0000BD0F0000}"/>
    <cellStyle name="20% - Accent2 5 2 3 2 2 2" xfId="27131" xr:uid="{00000000-0005-0000-0000-0000BE0F0000}"/>
    <cellStyle name="20% - Accent2 5 2 3 2 2 2 2" xfId="56137" xr:uid="{00000000-0005-0000-0000-0000BF0F0000}"/>
    <cellStyle name="20% - Accent2 5 2 3 2 2 3" xfId="41638" xr:uid="{00000000-0005-0000-0000-0000C00F0000}"/>
    <cellStyle name="20% - Accent2 5 2 3 2 3" xfId="19883" xr:uid="{00000000-0005-0000-0000-0000C10F0000}"/>
    <cellStyle name="20% - Accent2 5 2 3 2 3 2" xfId="48889" xr:uid="{00000000-0005-0000-0000-0000C20F0000}"/>
    <cellStyle name="20% - Accent2 5 2 3 2 4" xfId="34390" xr:uid="{00000000-0005-0000-0000-0000C30F0000}"/>
    <cellStyle name="20% - Accent2 5 2 3 3" xfId="9493" xr:uid="{00000000-0005-0000-0000-0000C40F0000}"/>
    <cellStyle name="20% - Accent2 5 2 3 3 2" xfId="24027" xr:uid="{00000000-0005-0000-0000-0000C50F0000}"/>
    <cellStyle name="20% - Accent2 5 2 3 3 2 2" xfId="53033" xr:uid="{00000000-0005-0000-0000-0000C60F0000}"/>
    <cellStyle name="20% - Accent2 5 2 3 3 3" xfId="38534" xr:uid="{00000000-0005-0000-0000-0000C70F0000}"/>
    <cellStyle name="20% - Accent2 5 2 3 4" xfId="16779" xr:uid="{00000000-0005-0000-0000-0000C80F0000}"/>
    <cellStyle name="20% - Accent2 5 2 3 4 2" xfId="45785" xr:uid="{00000000-0005-0000-0000-0000C90F0000}"/>
    <cellStyle name="20% - Accent2 5 2 3 5" xfId="31286" xr:uid="{00000000-0005-0000-0000-0000CA0F0000}"/>
    <cellStyle name="20% - Accent2 5 2 4" xfId="3253" xr:uid="{00000000-0005-0000-0000-0000CB0F0000}"/>
    <cellStyle name="20% - Accent2 5 2 4 2" xfId="6357" xr:uid="{00000000-0005-0000-0000-0000CC0F0000}"/>
    <cellStyle name="20% - Accent2 5 2 4 2 2" xfId="13629" xr:uid="{00000000-0005-0000-0000-0000CD0F0000}"/>
    <cellStyle name="20% - Accent2 5 2 4 2 2 2" xfId="28163" xr:uid="{00000000-0005-0000-0000-0000CE0F0000}"/>
    <cellStyle name="20% - Accent2 5 2 4 2 2 2 2" xfId="57169" xr:uid="{00000000-0005-0000-0000-0000CF0F0000}"/>
    <cellStyle name="20% - Accent2 5 2 4 2 2 3" xfId="42670" xr:uid="{00000000-0005-0000-0000-0000D00F0000}"/>
    <cellStyle name="20% - Accent2 5 2 4 2 3" xfId="20915" xr:uid="{00000000-0005-0000-0000-0000D10F0000}"/>
    <cellStyle name="20% - Accent2 5 2 4 2 3 2" xfId="49921" xr:uid="{00000000-0005-0000-0000-0000D20F0000}"/>
    <cellStyle name="20% - Accent2 5 2 4 2 4" xfId="35422" xr:uid="{00000000-0005-0000-0000-0000D30F0000}"/>
    <cellStyle name="20% - Accent2 5 2 4 3" xfId="10525" xr:uid="{00000000-0005-0000-0000-0000D40F0000}"/>
    <cellStyle name="20% - Accent2 5 2 4 3 2" xfId="25059" xr:uid="{00000000-0005-0000-0000-0000D50F0000}"/>
    <cellStyle name="20% - Accent2 5 2 4 3 2 2" xfId="54065" xr:uid="{00000000-0005-0000-0000-0000D60F0000}"/>
    <cellStyle name="20% - Accent2 5 2 4 3 3" xfId="39566" xr:uid="{00000000-0005-0000-0000-0000D70F0000}"/>
    <cellStyle name="20% - Accent2 5 2 4 4" xfId="17811" xr:uid="{00000000-0005-0000-0000-0000D80F0000}"/>
    <cellStyle name="20% - Accent2 5 2 4 4 2" xfId="46817" xr:uid="{00000000-0005-0000-0000-0000D90F0000}"/>
    <cellStyle name="20% - Accent2 5 2 4 5" xfId="32318" xr:uid="{00000000-0005-0000-0000-0000DA0F0000}"/>
    <cellStyle name="20% - Accent2 5 2 5" xfId="4285" xr:uid="{00000000-0005-0000-0000-0000DB0F0000}"/>
    <cellStyle name="20% - Accent2 5 2 5 2" xfId="11557" xr:uid="{00000000-0005-0000-0000-0000DC0F0000}"/>
    <cellStyle name="20% - Accent2 5 2 5 2 2" xfId="26091" xr:uid="{00000000-0005-0000-0000-0000DD0F0000}"/>
    <cellStyle name="20% - Accent2 5 2 5 2 2 2" xfId="55097" xr:uid="{00000000-0005-0000-0000-0000DE0F0000}"/>
    <cellStyle name="20% - Accent2 5 2 5 2 3" xfId="40598" xr:uid="{00000000-0005-0000-0000-0000DF0F0000}"/>
    <cellStyle name="20% - Accent2 5 2 5 3" xfId="18843" xr:uid="{00000000-0005-0000-0000-0000E00F0000}"/>
    <cellStyle name="20% - Accent2 5 2 5 3 2" xfId="47849" xr:uid="{00000000-0005-0000-0000-0000E10F0000}"/>
    <cellStyle name="20% - Accent2 5 2 5 4" xfId="33350" xr:uid="{00000000-0005-0000-0000-0000E20F0000}"/>
    <cellStyle name="20% - Accent2 5 2 6" xfId="7389" xr:uid="{00000000-0005-0000-0000-0000E30F0000}"/>
    <cellStyle name="20% - Accent2 5 2 6 2" xfId="14661" xr:uid="{00000000-0005-0000-0000-0000E40F0000}"/>
    <cellStyle name="20% - Accent2 5 2 6 2 2" xfId="29195" xr:uid="{00000000-0005-0000-0000-0000E50F0000}"/>
    <cellStyle name="20% - Accent2 5 2 6 2 2 2" xfId="58201" xr:uid="{00000000-0005-0000-0000-0000E60F0000}"/>
    <cellStyle name="20% - Accent2 5 2 6 2 3" xfId="43702" xr:uid="{00000000-0005-0000-0000-0000E70F0000}"/>
    <cellStyle name="20% - Accent2 5 2 6 3" xfId="21947" xr:uid="{00000000-0005-0000-0000-0000E80F0000}"/>
    <cellStyle name="20% - Accent2 5 2 6 3 2" xfId="50953" xr:uid="{00000000-0005-0000-0000-0000E90F0000}"/>
    <cellStyle name="20% - Accent2 5 2 6 4" xfId="36454" xr:uid="{00000000-0005-0000-0000-0000EA0F0000}"/>
    <cellStyle name="20% - Accent2 5 2 7" xfId="8453" xr:uid="{00000000-0005-0000-0000-0000EB0F0000}"/>
    <cellStyle name="20% - Accent2 5 2 7 2" xfId="22987" xr:uid="{00000000-0005-0000-0000-0000EC0F0000}"/>
    <cellStyle name="20% - Accent2 5 2 7 2 2" xfId="51993" xr:uid="{00000000-0005-0000-0000-0000ED0F0000}"/>
    <cellStyle name="20% - Accent2 5 2 7 3" xfId="37494" xr:uid="{00000000-0005-0000-0000-0000EE0F0000}"/>
    <cellStyle name="20% - Accent2 5 2 8" xfId="15739" xr:uid="{00000000-0005-0000-0000-0000EF0F0000}"/>
    <cellStyle name="20% - Accent2 5 2 8 2" xfId="44745" xr:uid="{00000000-0005-0000-0000-0000F00F0000}"/>
    <cellStyle name="20% - Accent2 5 2 9" xfId="30246" xr:uid="{00000000-0005-0000-0000-0000F10F0000}"/>
    <cellStyle name="20% - Accent2 5 3" xfId="1370" xr:uid="{00000000-0005-0000-0000-0000F20F0000}"/>
    <cellStyle name="20% - Accent2 5 3 2" xfId="2427" xr:uid="{00000000-0005-0000-0000-0000F30F0000}"/>
    <cellStyle name="20% - Accent2 5 3 2 2" xfId="5531" xr:uid="{00000000-0005-0000-0000-0000F40F0000}"/>
    <cellStyle name="20% - Accent2 5 3 2 2 2" xfId="12803" xr:uid="{00000000-0005-0000-0000-0000F50F0000}"/>
    <cellStyle name="20% - Accent2 5 3 2 2 2 2" xfId="27337" xr:uid="{00000000-0005-0000-0000-0000F60F0000}"/>
    <cellStyle name="20% - Accent2 5 3 2 2 2 2 2" xfId="56343" xr:uid="{00000000-0005-0000-0000-0000F70F0000}"/>
    <cellStyle name="20% - Accent2 5 3 2 2 2 3" xfId="41844" xr:uid="{00000000-0005-0000-0000-0000F80F0000}"/>
    <cellStyle name="20% - Accent2 5 3 2 2 3" xfId="20089" xr:uid="{00000000-0005-0000-0000-0000F90F0000}"/>
    <cellStyle name="20% - Accent2 5 3 2 2 3 2" xfId="49095" xr:uid="{00000000-0005-0000-0000-0000FA0F0000}"/>
    <cellStyle name="20% - Accent2 5 3 2 2 4" xfId="34596" xr:uid="{00000000-0005-0000-0000-0000FB0F0000}"/>
    <cellStyle name="20% - Accent2 5 3 2 3" xfId="9699" xr:uid="{00000000-0005-0000-0000-0000FC0F0000}"/>
    <cellStyle name="20% - Accent2 5 3 2 3 2" xfId="24233" xr:uid="{00000000-0005-0000-0000-0000FD0F0000}"/>
    <cellStyle name="20% - Accent2 5 3 2 3 2 2" xfId="53239" xr:uid="{00000000-0005-0000-0000-0000FE0F0000}"/>
    <cellStyle name="20% - Accent2 5 3 2 3 3" xfId="38740" xr:uid="{00000000-0005-0000-0000-0000FF0F0000}"/>
    <cellStyle name="20% - Accent2 5 3 2 4" xfId="16985" xr:uid="{00000000-0005-0000-0000-000000100000}"/>
    <cellStyle name="20% - Accent2 5 3 2 4 2" xfId="45991" xr:uid="{00000000-0005-0000-0000-000001100000}"/>
    <cellStyle name="20% - Accent2 5 3 2 5" xfId="31492" xr:uid="{00000000-0005-0000-0000-000002100000}"/>
    <cellStyle name="20% - Accent2 5 3 3" xfId="3459" xr:uid="{00000000-0005-0000-0000-000003100000}"/>
    <cellStyle name="20% - Accent2 5 3 3 2" xfId="6563" xr:uid="{00000000-0005-0000-0000-000004100000}"/>
    <cellStyle name="20% - Accent2 5 3 3 2 2" xfId="13835" xr:uid="{00000000-0005-0000-0000-000005100000}"/>
    <cellStyle name="20% - Accent2 5 3 3 2 2 2" xfId="28369" xr:uid="{00000000-0005-0000-0000-000006100000}"/>
    <cellStyle name="20% - Accent2 5 3 3 2 2 2 2" xfId="57375" xr:uid="{00000000-0005-0000-0000-000007100000}"/>
    <cellStyle name="20% - Accent2 5 3 3 2 2 3" xfId="42876" xr:uid="{00000000-0005-0000-0000-000008100000}"/>
    <cellStyle name="20% - Accent2 5 3 3 2 3" xfId="21121" xr:uid="{00000000-0005-0000-0000-000009100000}"/>
    <cellStyle name="20% - Accent2 5 3 3 2 3 2" xfId="50127" xr:uid="{00000000-0005-0000-0000-00000A100000}"/>
    <cellStyle name="20% - Accent2 5 3 3 2 4" xfId="35628" xr:uid="{00000000-0005-0000-0000-00000B100000}"/>
    <cellStyle name="20% - Accent2 5 3 3 3" xfId="10731" xr:uid="{00000000-0005-0000-0000-00000C100000}"/>
    <cellStyle name="20% - Accent2 5 3 3 3 2" xfId="25265" xr:uid="{00000000-0005-0000-0000-00000D100000}"/>
    <cellStyle name="20% - Accent2 5 3 3 3 2 2" xfId="54271" xr:uid="{00000000-0005-0000-0000-00000E100000}"/>
    <cellStyle name="20% - Accent2 5 3 3 3 3" xfId="39772" xr:uid="{00000000-0005-0000-0000-00000F100000}"/>
    <cellStyle name="20% - Accent2 5 3 3 4" xfId="18017" xr:uid="{00000000-0005-0000-0000-000010100000}"/>
    <cellStyle name="20% - Accent2 5 3 3 4 2" xfId="47023" xr:uid="{00000000-0005-0000-0000-000011100000}"/>
    <cellStyle name="20% - Accent2 5 3 3 5" xfId="32524" xr:uid="{00000000-0005-0000-0000-000012100000}"/>
    <cellStyle name="20% - Accent2 5 3 4" xfId="4491" xr:uid="{00000000-0005-0000-0000-000013100000}"/>
    <cellStyle name="20% - Accent2 5 3 4 2" xfId="11763" xr:uid="{00000000-0005-0000-0000-000014100000}"/>
    <cellStyle name="20% - Accent2 5 3 4 2 2" xfId="26297" xr:uid="{00000000-0005-0000-0000-000015100000}"/>
    <cellStyle name="20% - Accent2 5 3 4 2 2 2" xfId="55303" xr:uid="{00000000-0005-0000-0000-000016100000}"/>
    <cellStyle name="20% - Accent2 5 3 4 2 3" xfId="40804" xr:uid="{00000000-0005-0000-0000-000017100000}"/>
    <cellStyle name="20% - Accent2 5 3 4 3" xfId="19049" xr:uid="{00000000-0005-0000-0000-000018100000}"/>
    <cellStyle name="20% - Accent2 5 3 4 3 2" xfId="48055" xr:uid="{00000000-0005-0000-0000-000019100000}"/>
    <cellStyle name="20% - Accent2 5 3 4 4" xfId="33556" xr:uid="{00000000-0005-0000-0000-00001A100000}"/>
    <cellStyle name="20% - Accent2 5 3 5" xfId="7595" xr:uid="{00000000-0005-0000-0000-00001B100000}"/>
    <cellStyle name="20% - Accent2 5 3 5 2" xfId="14867" xr:uid="{00000000-0005-0000-0000-00001C100000}"/>
    <cellStyle name="20% - Accent2 5 3 5 2 2" xfId="29401" xr:uid="{00000000-0005-0000-0000-00001D100000}"/>
    <cellStyle name="20% - Accent2 5 3 5 2 2 2" xfId="58407" xr:uid="{00000000-0005-0000-0000-00001E100000}"/>
    <cellStyle name="20% - Accent2 5 3 5 2 3" xfId="43908" xr:uid="{00000000-0005-0000-0000-00001F100000}"/>
    <cellStyle name="20% - Accent2 5 3 5 3" xfId="22153" xr:uid="{00000000-0005-0000-0000-000020100000}"/>
    <cellStyle name="20% - Accent2 5 3 5 3 2" xfId="51159" xr:uid="{00000000-0005-0000-0000-000021100000}"/>
    <cellStyle name="20% - Accent2 5 3 5 4" xfId="36660" xr:uid="{00000000-0005-0000-0000-000022100000}"/>
    <cellStyle name="20% - Accent2 5 3 6" xfId="8659" xr:uid="{00000000-0005-0000-0000-000023100000}"/>
    <cellStyle name="20% - Accent2 5 3 6 2" xfId="23193" xr:uid="{00000000-0005-0000-0000-000024100000}"/>
    <cellStyle name="20% - Accent2 5 3 6 2 2" xfId="52199" xr:uid="{00000000-0005-0000-0000-000025100000}"/>
    <cellStyle name="20% - Accent2 5 3 6 3" xfId="37700" xr:uid="{00000000-0005-0000-0000-000026100000}"/>
    <cellStyle name="20% - Accent2 5 3 7" xfId="15945" xr:uid="{00000000-0005-0000-0000-000027100000}"/>
    <cellStyle name="20% - Accent2 5 3 7 2" xfId="44951" xr:uid="{00000000-0005-0000-0000-000028100000}"/>
    <cellStyle name="20% - Accent2 5 3 8" xfId="30452" xr:uid="{00000000-0005-0000-0000-000029100000}"/>
    <cellStyle name="20% - Accent2 5 4" xfId="1915" xr:uid="{00000000-0005-0000-0000-00002A100000}"/>
    <cellStyle name="20% - Accent2 5 4 2" xfId="5019" xr:uid="{00000000-0005-0000-0000-00002B100000}"/>
    <cellStyle name="20% - Accent2 5 4 2 2" xfId="12291" xr:uid="{00000000-0005-0000-0000-00002C100000}"/>
    <cellStyle name="20% - Accent2 5 4 2 2 2" xfId="26825" xr:uid="{00000000-0005-0000-0000-00002D100000}"/>
    <cellStyle name="20% - Accent2 5 4 2 2 2 2" xfId="55831" xr:uid="{00000000-0005-0000-0000-00002E100000}"/>
    <cellStyle name="20% - Accent2 5 4 2 2 3" xfId="41332" xr:uid="{00000000-0005-0000-0000-00002F100000}"/>
    <cellStyle name="20% - Accent2 5 4 2 3" xfId="19577" xr:uid="{00000000-0005-0000-0000-000030100000}"/>
    <cellStyle name="20% - Accent2 5 4 2 3 2" xfId="48583" xr:uid="{00000000-0005-0000-0000-000031100000}"/>
    <cellStyle name="20% - Accent2 5 4 2 4" xfId="34084" xr:uid="{00000000-0005-0000-0000-000032100000}"/>
    <cellStyle name="20% - Accent2 5 4 3" xfId="9187" xr:uid="{00000000-0005-0000-0000-000033100000}"/>
    <cellStyle name="20% - Accent2 5 4 3 2" xfId="23721" xr:uid="{00000000-0005-0000-0000-000034100000}"/>
    <cellStyle name="20% - Accent2 5 4 3 2 2" xfId="52727" xr:uid="{00000000-0005-0000-0000-000035100000}"/>
    <cellStyle name="20% - Accent2 5 4 3 3" xfId="38228" xr:uid="{00000000-0005-0000-0000-000036100000}"/>
    <cellStyle name="20% - Accent2 5 4 4" xfId="16473" xr:uid="{00000000-0005-0000-0000-000037100000}"/>
    <cellStyle name="20% - Accent2 5 4 4 2" xfId="45479" xr:uid="{00000000-0005-0000-0000-000038100000}"/>
    <cellStyle name="20% - Accent2 5 4 5" xfId="30980" xr:uid="{00000000-0005-0000-0000-000039100000}"/>
    <cellStyle name="20% - Accent2 5 5" xfId="2947" xr:uid="{00000000-0005-0000-0000-00003A100000}"/>
    <cellStyle name="20% - Accent2 5 5 2" xfId="6051" xr:uid="{00000000-0005-0000-0000-00003B100000}"/>
    <cellStyle name="20% - Accent2 5 5 2 2" xfId="13323" xr:uid="{00000000-0005-0000-0000-00003C100000}"/>
    <cellStyle name="20% - Accent2 5 5 2 2 2" xfId="27857" xr:uid="{00000000-0005-0000-0000-00003D100000}"/>
    <cellStyle name="20% - Accent2 5 5 2 2 2 2" xfId="56863" xr:uid="{00000000-0005-0000-0000-00003E100000}"/>
    <cellStyle name="20% - Accent2 5 5 2 2 3" xfId="42364" xr:uid="{00000000-0005-0000-0000-00003F100000}"/>
    <cellStyle name="20% - Accent2 5 5 2 3" xfId="20609" xr:uid="{00000000-0005-0000-0000-000040100000}"/>
    <cellStyle name="20% - Accent2 5 5 2 3 2" xfId="49615" xr:uid="{00000000-0005-0000-0000-000041100000}"/>
    <cellStyle name="20% - Accent2 5 5 2 4" xfId="35116" xr:uid="{00000000-0005-0000-0000-000042100000}"/>
    <cellStyle name="20% - Accent2 5 5 3" xfId="10219" xr:uid="{00000000-0005-0000-0000-000043100000}"/>
    <cellStyle name="20% - Accent2 5 5 3 2" xfId="24753" xr:uid="{00000000-0005-0000-0000-000044100000}"/>
    <cellStyle name="20% - Accent2 5 5 3 2 2" xfId="53759" xr:uid="{00000000-0005-0000-0000-000045100000}"/>
    <cellStyle name="20% - Accent2 5 5 3 3" xfId="39260" xr:uid="{00000000-0005-0000-0000-000046100000}"/>
    <cellStyle name="20% - Accent2 5 5 4" xfId="17505" xr:uid="{00000000-0005-0000-0000-000047100000}"/>
    <cellStyle name="20% - Accent2 5 5 4 2" xfId="46511" xr:uid="{00000000-0005-0000-0000-000048100000}"/>
    <cellStyle name="20% - Accent2 5 5 5" xfId="32012" xr:uid="{00000000-0005-0000-0000-000049100000}"/>
    <cellStyle name="20% - Accent2 5 6" xfId="3979" xr:uid="{00000000-0005-0000-0000-00004A100000}"/>
    <cellStyle name="20% - Accent2 5 6 2" xfId="11251" xr:uid="{00000000-0005-0000-0000-00004B100000}"/>
    <cellStyle name="20% - Accent2 5 6 2 2" xfId="25785" xr:uid="{00000000-0005-0000-0000-00004C100000}"/>
    <cellStyle name="20% - Accent2 5 6 2 2 2" xfId="54791" xr:uid="{00000000-0005-0000-0000-00004D100000}"/>
    <cellStyle name="20% - Accent2 5 6 2 3" xfId="40292" xr:uid="{00000000-0005-0000-0000-00004E100000}"/>
    <cellStyle name="20% - Accent2 5 6 3" xfId="18537" xr:uid="{00000000-0005-0000-0000-00004F100000}"/>
    <cellStyle name="20% - Accent2 5 6 3 2" xfId="47543" xr:uid="{00000000-0005-0000-0000-000050100000}"/>
    <cellStyle name="20% - Accent2 5 6 4" xfId="33044" xr:uid="{00000000-0005-0000-0000-000051100000}"/>
    <cellStyle name="20% - Accent2 5 7" xfId="7083" xr:uid="{00000000-0005-0000-0000-000052100000}"/>
    <cellStyle name="20% - Accent2 5 7 2" xfId="14355" xr:uid="{00000000-0005-0000-0000-000053100000}"/>
    <cellStyle name="20% - Accent2 5 7 2 2" xfId="28889" xr:uid="{00000000-0005-0000-0000-000054100000}"/>
    <cellStyle name="20% - Accent2 5 7 2 2 2" xfId="57895" xr:uid="{00000000-0005-0000-0000-000055100000}"/>
    <cellStyle name="20% - Accent2 5 7 2 3" xfId="43396" xr:uid="{00000000-0005-0000-0000-000056100000}"/>
    <cellStyle name="20% - Accent2 5 7 3" xfId="21641" xr:uid="{00000000-0005-0000-0000-000057100000}"/>
    <cellStyle name="20% - Accent2 5 7 3 2" xfId="50647" xr:uid="{00000000-0005-0000-0000-000058100000}"/>
    <cellStyle name="20% - Accent2 5 7 4" xfId="36148" xr:uid="{00000000-0005-0000-0000-000059100000}"/>
    <cellStyle name="20% - Accent2 5 8" xfId="8147" xr:uid="{00000000-0005-0000-0000-00005A100000}"/>
    <cellStyle name="20% - Accent2 5 8 2" xfId="22681" xr:uid="{00000000-0005-0000-0000-00005B100000}"/>
    <cellStyle name="20% - Accent2 5 8 2 2" xfId="51687" xr:uid="{00000000-0005-0000-0000-00005C100000}"/>
    <cellStyle name="20% - Accent2 5 8 3" xfId="37188" xr:uid="{00000000-0005-0000-0000-00005D100000}"/>
    <cellStyle name="20% - Accent2 5 9" xfId="15433" xr:uid="{00000000-0005-0000-0000-00005E100000}"/>
    <cellStyle name="20% - Accent2 5 9 2" xfId="44439" xr:uid="{00000000-0005-0000-0000-00005F100000}"/>
    <cellStyle name="20% - Accent2 6" xfId="1079" xr:uid="{00000000-0005-0000-0000-000060100000}"/>
    <cellStyle name="20% - Accent2 6 2" xfId="1571" xr:uid="{00000000-0005-0000-0000-000061100000}"/>
    <cellStyle name="20% - Accent2 6 2 2" xfId="2630" xr:uid="{00000000-0005-0000-0000-000062100000}"/>
    <cellStyle name="20% - Accent2 6 2 2 2" xfId="5734" xr:uid="{00000000-0005-0000-0000-000063100000}"/>
    <cellStyle name="20% - Accent2 6 2 2 2 2" xfId="13006" xr:uid="{00000000-0005-0000-0000-000064100000}"/>
    <cellStyle name="20% - Accent2 6 2 2 2 2 2" xfId="27540" xr:uid="{00000000-0005-0000-0000-000065100000}"/>
    <cellStyle name="20% - Accent2 6 2 2 2 2 2 2" xfId="56546" xr:uid="{00000000-0005-0000-0000-000066100000}"/>
    <cellStyle name="20% - Accent2 6 2 2 2 2 3" xfId="42047" xr:uid="{00000000-0005-0000-0000-000067100000}"/>
    <cellStyle name="20% - Accent2 6 2 2 2 3" xfId="20292" xr:uid="{00000000-0005-0000-0000-000068100000}"/>
    <cellStyle name="20% - Accent2 6 2 2 2 3 2" xfId="49298" xr:uid="{00000000-0005-0000-0000-000069100000}"/>
    <cellStyle name="20% - Accent2 6 2 2 2 4" xfId="34799" xr:uid="{00000000-0005-0000-0000-00006A100000}"/>
    <cellStyle name="20% - Accent2 6 2 2 3" xfId="9902" xr:uid="{00000000-0005-0000-0000-00006B100000}"/>
    <cellStyle name="20% - Accent2 6 2 2 3 2" xfId="24436" xr:uid="{00000000-0005-0000-0000-00006C100000}"/>
    <cellStyle name="20% - Accent2 6 2 2 3 2 2" xfId="53442" xr:uid="{00000000-0005-0000-0000-00006D100000}"/>
    <cellStyle name="20% - Accent2 6 2 2 3 3" xfId="38943" xr:uid="{00000000-0005-0000-0000-00006E100000}"/>
    <cellStyle name="20% - Accent2 6 2 2 4" xfId="17188" xr:uid="{00000000-0005-0000-0000-00006F100000}"/>
    <cellStyle name="20% - Accent2 6 2 2 4 2" xfId="46194" xr:uid="{00000000-0005-0000-0000-000070100000}"/>
    <cellStyle name="20% - Accent2 6 2 2 5" xfId="31695" xr:uid="{00000000-0005-0000-0000-000071100000}"/>
    <cellStyle name="20% - Accent2 6 2 3" xfId="3662" xr:uid="{00000000-0005-0000-0000-000072100000}"/>
    <cellStyle name="20% - Accent2 6 2 3 2" xfId="6766" xr:uid="{00000000-0005-0000-0000-000073100000}"/>
    <cellStyle name="20% - Accent2 6 2 3 2 2" xfId="14038" xr:uid="{00000000-0005-0000-0000-000074100000}"/>
    <cellStyle name="20% - Accent2 6 2 3 2 2 2" xfId="28572" xr:uid="{00000000-0005-0000-0000-000075100000}"/>
    <cellStyle name="20% - Accent2 6 2 3 2 2 2 2" xfId="57578" xr:uid="{00000000-0005-0000-0000-000076100000}"/>
    <cellStyle name="20% - Accent2 6 2 3 2 2 3" xfId="43079" xr:uid="{00000000-0005-0000-0000-000077100000}"/>
    <cellStyle name="20% - Accent2 6 2 3 2 3" xfId="21324" xr:uid="{00000000-0005-0000-0000-000078100000}"/>
    <cellStyle name="20% - Accent2 6 2 3 2 3 2" xfId="50330" xr:uid="{00000000-0005-0000-0000-000079100000}"/>
    <cellStyle name="20% - Accent2 6 2 3 2 4" xfId="35831" xr:uid="{00000000-0005-0000-0000-00007A100000}"/>
    <cellStyle name="20% - Accent2 6 2 3 3" xfId="10934" xr:uid="{00000000-0005-0000-0000-00007B100000}"/>
    <cellStyle name="20% - Accent2 6 2 3 3 2" xfId="25468" xr:uid="{00000000-0005-0000-0000-00007C100000}"/>
    <cellStyle name="20% - Accent2 6 2 3 3 2 2" xfId="54474" xr:uid="{00000000-0005-0000-0000-00007D100000}"/>
    <cellStyle name="20% - Accent2 6 2 3 3 3" xfId="39975" xr:uid="{00000000-0005-0000-0000-00007E100000}"/>
    <cellStyle name="20% - Accent2 6 2 3 4" xfId="18220" xr:uid="{00000000-0005-0000-0000-00007F100000}"/>
    <cellStyle name="20% - Accent2 6 2 3 4 2" xfId="47226" xr:uid="{00000000-0005-0000-0000-000080100000}"/>
    <cellStyle name="20% - Accent2 6 2 3 5" xfId="32727" xr:uid="{00000000-0005-0000-0000-000081100000}"/>
    <cellStyle name="20% - Accent2 6 2 4" xfId="4694" xr:uid="{00000000-0005-0000-0000-000082100000}"/>
    <cellStyle name="20% - Accent2 6 2 4 2" xfId="11966" xr:uid="{00000000-0005-0000-0000-000083100000}"/>
    <cellStyle name="20% - Accent2 6 2 4 2 2" xfId="26500" xr:uid="{00000000-0005-0000-0000-000084100000}"/>
    <cellStyle name="20% - Accent2 6 2 4 2 2 2" xfId="55506" xr:uid="{00000000-0005-0000-0000-000085100000}"/>
    <cellStyle name="20% - Accent2 6 2 4 2 3" xfId="41007" xr:uid="{00000000-0005-0000-0000-000086100000}"/>
    <cellStyle name="20% - Accent2 6 2 4 3" xfId="19252" xr:uid="{00000000-0005-0000-0000-000087100000}"/>
    <cellStyle name="20% - Accent2 6 2 4 3 2" xfId="48258" xr:uid="{00000000-0005-0000-0000-000088100000}"/>
    <cellStyle name="20% - Accent2 6 2 4 4" xfId="33759" xr:uid="{00000000-0005-0000-0000-000089100000}"/>
    <cellStyle name="20% - Accent2 6 2 5" xfId="7798" xr:uid="{00000000-0005-0000-0000-00008A100000}"/>
    <cellStyle name="20% - Accent2 6 2 5 2" xfId="15070" xr:uid="{00000000-0005-0000-0000-00008B100000}"/>
    <cellStyle name="20% - Accent2 6 2 5 2 2" xfId="29604" xr:uid="{00000000-0005-0000-0000-00008C100000}"/>
    <cellStyle name="20% - Accent2 6 2 5 2 2 2" xfId="58610" xr:uid="{00000000-0005-0000-0000-00008D100000}"/>
    <cellStyle name="20% - Accent2 6 2 5 2 3" xfId="44111" xr:uid="{00000000-0005-0000-0000-00008E100000}"/>
    <cellStyle name="20% - Accent2 6 2 5 3" xfId="22356" xr:uid="{00000000-0005-0000-0000-00008F100000}"/>
    <cellStyle name="20% - Accent2 6 2 5 3 2" xfId="51362" xr:uid="{00000000-0005-0000-0000-000090100000}"/>
    <cellStyle name="20% - Accent2 6 2 5 4" xfId="36863" xr:uid="{00000000-0005-0000-0000-000091100000}"/>
    <cellStyle name="20% - Accent2 6 2 6" xfId="8862" xr:uid="{00000000-0005-0000-0000-000092100000}"/>
    <cellStyle name="20% - Accent2 6 2 6 2" xfId="23396" xr:uid="{00000000-0005-0000-0000-000093100000}"/>
    <cellStyle name="20% - Accent2 6 2 6 2 2" xfId="52402" xr:uid="{00000000-0005-0000-0000-000094100000}"/>
    <cellStyle name="20% - Accent2 6 2 6 3" xfId="37903" xr:uid="{00000000-0005-0000-0000-000095100000}"/>
    <cellStyle name="20% - Accent2 6 2 7" xfId="16148" xr:uid="{00000000-0005-0000-0000-000096100000}"/>
    <cellStyle name="20% - Accent2 6 2 7 2" xfId="45154" xr:uid="{00000000-0005-0000-0000-000097100000}"/>
    <cellStyle name="20% - Accent2 6 2 8" xfId="30655" xr:uid="{00000000-0005-0000-0000-000098100000}"/>
    <cellStyle name="20% - Accent2 6 3" xfId="2118" xr:uid="{00000000-0005-0000-0000-000099100000}"/>
    <cellStyle name="20% - Accent2 6 3 2" xfId="5222" xr:uid="{00000000-0005-0000-0000-00009A100000}"/>
    <cellStyle name="20% - Accent2 6 3 2 2" xfId="12494" xr:uid="{00000000-0005-0000-0000-00009B100000}"/>
    <cellStyle name="20% - Accent2 6 3 2 2 2" xfId="27028" xr:uid="{00000000-0005-0000-0000-00009C100000}"/>
    <cellStyle name="20% - Accent2 6 3 2 2 2 2" xfId="56034" xr:uid="{00000000-0005-0000-0000-00009D100000}"/>
    <cellStyle name="20% - Accent2 6 3 2 2 3" xfId="41535" xr:uid="{00000000-0005-0000-0000-00009E100000}"/>
    <cellStyle name="20% - Accent2 6 3 2 3" xfId="19780" xr:uid="{00000000-0005-0000-0000-00009F100000}"/>
    <cellStyle name="20% - Accent2 6 3 2 3 2" xfId="48786" xr:uid="{00000000-0005-0000-0000-0000A0100000}"/>
    <cellStyle name="20% - Accent2 6 3 2 4" xfId="34287" xr:uid="{00000000-0005-0000-0000-0000A1100000}"/>
    <cellStyle name="20% - Accent2 6 3 3" xfId="9390" xr:uid="{00000000-0005-0000-0000-0000A2100000}"/>
    <cellStyle name="20% - Accent2 6 3 3 2" xfId="23924" xr:uid="{00000000-0005-0000-0000-0000A3100000}"/>
    <cellStyle name="20% - Accent2 6 3 3 2 2" xfId="52930" xr:uid="{00000000-0005-0000-0000-0000A4100000}"/>
    <cellStyle name="20% - Accent2 6 3 3 3" xfId="38431" xr:uid="{00000000-0005-0000-0000-0000A5100000}"/>
    <cellStyle name="20% - Accent2 6 3 4" xfId="16676" xr:uid="{00000000-0005-0000-0000-0000A6100000}"/>
    <cellStyle name="20% - Accent2 6 3 4 2" xfId="45682" xr:uid="{00000000-0005-0000-0000-0000A7100000}"/>
    <cellStyle name="20% - Accent2 6 3 5" xfId="31183" xr:uid="{00000000-0005-0000-0000-0000A8100000}"/>
    <cellStyle name="20% - Accent2 6 4" xfId="3150" xr:uid="{00000000-0005-0000-0000-0000A9100000}"/>
    <cellStyle name="20% - Accent2 6 4 2" xfId="6254" xr:uid="{00000000-0005-0000-0000-0000AA100000}"/>
    <cellStyle name="20% - Accent2 6 4 2 2" xfId="13526" xr:uid="{00000000-0005-0000-0000-0000AB100000}"/>
    <cellStyle name="20% - Accent2 6 4 2 2 2" xfId="28060" xr:uid="{00000000-0005-0000-0000-0000AC100000}"/>
    <cellStyle name="20% - Accent2 6 4 2 2 2 2" xfId="57066" xr:uid="{00000000-0005-0000-0000-0000AD100000}"/>
    <cellStyle name="20% - Accent2 6 4 2 2 3" xfId="42567" xr:uid="{00000000-0005-0000-0000-0000AE100000}"/>
    <cellStyle name="20% - Accent2 6 4 2 3" xfId="20812" xr:uid="{00000000-0005-0000-0000-0000AF100000}"/>
    <cellStyle name="20% - Accent2 6 4 2 3 2" xfId="49818" xr:uid="{00000000-0005-0000-0000-0000B0100000}"/>
    <cellStyle name="20% - Accent2 6 4 2 4" xfId="35319" xr:uid="{00000000-0005-0000-0000-0000B1100000}"/>
    <cellStyle name="20% - Accent2 6 4 3" xfId="10422" xr:uid="{00000000-0005-0000-0000-0000B2100000}"/>
    <cellStyle name="20% - Accent2 6 4 3 2" xfId="24956" xr:uid="{00000000-0005-0000-0000-0000B3100000}"/>
    <cellStyle name="20% - Accent2 6 4 3 2 2" xfId="53962" xr:uid="{00000000-0005-0000-0000-0000B4100000}"/>
    <cellStyle name="20% - Accent2 6 4 3 3" xfId="39463" xr:uid="{00000000-0005-0000-0000-0000B5100000}"/>
    <cellStyle name="20% - Accent2 6 4 4" xfId="17708" xr:uid="{00000000-0005-0000-0000-0000B6100000}"/>
    <cellStyle name="20% - Accent2 6 4 4 2" xfId="46714" xr:uid="{00000000-0005-0000-0000-0000B7100000}"/>
    <cellStyle name="20% - Accent2 6 4 5" xfId="32215" xr:uid="{00000000-0005-0000-0000-0000B8100000}"/>
    <cellStyle name="20% - Accent2 6 5" xfId="4182" xr:uid="{00000000-0005-0000-0000-0000B9100000}"/>
    <cellStyle name="20% - Accent2 6 5 2" xfId="11454" xr:uid="{00000000-0005-0000-0000-0000BA100000}"/>
    <cellStyle name="20% - Accent2 6 5 2 2" xfId="25988" xr:uid="{00000000-0005-0000-0000-0000BB100000}"/>
    <cellStyle name="20% - Accent2 6 5 2 2 2" xfId="54994" xr:uid="{00000000-0005-0000-0000-0000BC100000}"/>
    <cellStyle name="20% - Accent2 6 5 2 3" xfId="40495" xr:uid="{00000000-0005-0000-0000-0000BD100000}"/>
    <cellStyle name="20% - Accent2 6 5 3" xfId="18740" xr:uid="{00000000-0005-0000-0000-0000BE100000}"/>
    <cellStyle name="20% - Accent2 6 5 3 2" xfId="47746" xr:uid="{00000000-0005-0000-0000-0000BF100000}"/>
    <cellStyle name="20% - Accent2 6 5 4" xfId="33247" xr:uid="{00000000-0005-0000-0000-0000C0100000}"/>
    <cellStyle name="20% - Accent2 6 6" xfId="7286" xr:uid="{00000000-0005-0000-0000-0000C1100000}"/>
    <cellStyle name="20% - Accent2 6 6 2" xfId="14558" xr:uid="{00000000-0005-0000-0000-0000C2100000}"/>
    <cellStyle name="20% - Accent2 6 6 2 2" xfId="29092" xr:uid="{00000000-0005-0000-0000-0000C3100000}"/>
    <cellStyle name="20% - Accent2 6 6 2 2 2" xfId="58098" xr:uid="{00000000-0005-0000-0000-0000C4100000}"/>
    <cellStyle name="20% - Accent2 6 6 2 3" xfId="43599" xr:uid="{00000000-0005-0000-0000-0000C5100000}"/>
    <cellStyle name="20% - Accent2 6 6 3" xfId="21844" xr:uid="{00000000-0005-0000-0000-0000C6100000}"/>
    <cellStyle name="20% - Accent2 6 6 3 2" xfId="50850" xr:uid="{00000000-0005-0000-0000-0000C7100000}"/>
    <cellStyle name="20% - Accent2 6 6 4" xfId="36351" xr:uid="{00000000-0005-0000-0000-0000C8100000}"/>
    <cellStyle name="20% - Accent2 6 7" xfId="8350" xr:uid="{00000000-0005-0000-0000-0000C9100000}"/>
    <cellStyle name="20% - Accent2 6 7 2" xfId="22884" xr:uid="{00000000-0005-0000-0000-0000CA100000}"/>
    <cellStyle name="20% - Accent2 6 7 2 2" xfId="51890" xr:uid="{00000000-0005-0000-0000-0000CB100000}"/>
    <cellStyle name="20% - Accent2 6 7 3" xfId="37391" xr:uid="{00000000-0005-0000-0000-0000CC100000}"/>
    <cellStyle name="20% - Accent2 6 8" xfId="15636" xr:uid="{00000000-0005-0000-0000-0000CD100000}"/>
    <cellStyle name="20% - Accent2 6 8 2" xfId="44642" xr:uid="{00000000-0005-0000-0000-0000CE100000}"/>
    <cellStyle name="20% - Accent2 6 9" xfId="30143" xr:uid="{00000000-0005-0000-0000-0000CF100000}"/>
    <cellStyle name="20% - Accent2 7" xfId="987" xr:uid="{00000000-0005-0000-0000-0000D0100000}"/>
    <cellStyle name="20% - Accent2 7 2" xfId="1472" xr:uid="{00000000-0005-0000-0000-0000D1100000}"/>
    <cellStyle name="20% - Accent2 7 2 2" xfId="2530" xr:uid="{00000000-0005-0000-0000-0000D2100000}"/>
    <cellStyle name="20% - Accent2 7 2 2 2" xfId="5634" xr:uid="{00000000-0005-0000-0000-0000D3100000}"/>
    <cellStyle name="20% - Accent2 7 2 2 2 2" xfId="12906" xr:uid="{00000000-0005-0000-0000-0000D4100000}"/>
    <cellStyle name="20% - Accent2 7 2 2 2 2 2" xfId="27440" xr:uid="{00000000-0005-0000-0000-0000D5100000}"/>
    <cellStyle name="20% - Accent2 7 2 2 2 2 2 2" xfId="56446" xr:uid="{00000000-0005-0000-0000-0000D6100000}"/>
    <cellStyle name="20% - Accent2 7 2 2 2 2 3" xfId="41947" xr:uid="{00000000-0005-0000-0000-0000D7100000}"/>
    <cellStyle name="20% - Accent2 7 2 2 2 3" xfId="20192" xr:uid="{00000000-0005-0000-0000-0000D8100000}"/>
    <cellStyle name="20% - Accent2 7 2 2 2 3 2" xfId="49198" xr:uid="{00000000-0005-0000-0000-0000D9100000}"/>
    <cellStyle name="20% - Accent2 7 2 2 2 4" xfId="34699" xr:uid="{00000000-0005-0000-0000-0000DA100000}"/>
    <cellStyle name="20% - Accent2 7 2 2 3" xfId="9802" xr:uid="{00000000-0005-0000-0000-0000DB100000}"/>
    <cellStyle name="20% - Accent2 7 2 2 3 2" xfId="24336" xr:uid="{00000000-0005-0000-0000-0000DC100000}"/>
    <cellStyle name="20% - Accent2 7 2 2 3 2 2" xfId="53342" xr:uid="{00000000-0005-0000-0000-0000DD100000}"/>
    <cellStyle name="20% - Accent2 7 2 2 3 3" xfId="38843" xr:uid="{00000000-0005-0000-0000-0000DE100000}"/>
    <cellStyle name="20% - Accent2 7 2 2 4" xfId="17088" xr:uid="{00000000-0005-0000-0000-0000DF100000}"/>
    <cellStyle name="20% - Accent2 7 2 2 4 2" xfId="46094" xr:uid="{00000000-0005-0000-0000-0000E0100000}"/>
    <cellStyle name="20% - Accent2 7 2 2 5" xfId="31595" xr:uid="{00000000-0005-0000-0000-0000E1100000}"/>
    <cellStyle name="20% - Accent2 7 2 3" xfId="3562" xr:uid="{00000000-0005-0000-0000-0000E2100000}"/>
    <cellStyle name="20% - Accent2 7 2 3 2" xfId="6666" xr:uid="{00000000-0005-0000-0000-0000E3100000}"/>
    <cellStyle name="20% - Accent2 7 2 3 2 2" xfId="13938" xr:uid="{00000000-0005-0000-0000-0000E4100000}"/>
    <cellStyle name="20% - Accent2 7 2 3 2 2 2" xfId="28472" xr:uid="{00000000-0005-0000-0000-0000E5100000}"/>
    <cellStyle name="20% - Accent2 7 2 3 2 2 2 2" xfId="57478" xr:uid="{00000000-0005-0000-0000-0000E6100000}"/>
    <cellStyle name="20% - Accent2 7 2 3 2 2 3" xfId="42979" xr:uid="{00000000-0005-0000-0000-0000E7100000}"/>
    <cellStyle name="20% - Accent2 7 2 3 2 3" xfId="21224" xr:uid="{00000000-0005-0000-0000-0000E8100000}"/>
    <cellStyle name="20% - Accent2 7 2 3 2 3 2" xfId="50230" xr:uid="{00000000-0005-0000-0000-0000E9100000}"/>
    <cellStyle name="20% - Accent2 7 2 3 2 4" xfId="35731" xr:uid="{00000000-0005-0000-0000-0000EA100000}"/>
    <cellStyle name="20% - Accent2 7 2 3 3" xfId="10834" xr:uid="{00000000-0005-0000-0000-0000EB100000}"/>
    <cellStyle name="20% - Accent2 7 2 3 3 2" xfId="25368" xr:uid="{00000000-0005-0000-0000-0000EC100000}"/>
    <cellStyle name="20% - Accent2 7 2 3 3 2 2" xfId="54374" xr:uid="{00000000-0005-0000-0000-0000ED100000}"/>
    <cellStyle name="20% - Accent2 7 2 3 3 3" xfId="39875" xr:uid="{00000000-0005-0000-0000-0000EE100000}"/>
    <cellStyle name="20% - Accent2 7 2 3 4" xfId="18120" xr:uid="{00000000-0005-0000-0000-0000EF100000}"/>
    <cellStyle name="20% - Accent2 7 2 3 4 2" xfId="47126" xr:uid="{00000000-0005-0000-0000-0000F0100000}"/>
    <cellStyle name="20% - Accent2 7 2 3 5" xfId="32627" xr:uid="{00000000-0005-0000-0000-0000F1100000}"/>
    <cellStyle name="20% - Accent2 7 2 4" xfId="4594" xr:uid="{00000000-0005-0000-0000-0000F2100000}"/>
    <cellStyle name="20% - Accent2 7 2 4 2" xfId="11866" xr:uid="{00000000-0005-0000-0000-0000F3100000}"/>
    <cellStyle name="20% - Accent2 7 2 4 2 2" xfId="26400" xr:uid="{00000000-0005-0000-0000-0000F4100000}"/>
    <cellStyle name="20% - Accent2 7 2 4 2 2 2" xfId="55406" xr:uid="{00000000-0005-0000-0000-0000F5100000}"/>
    <cellStyle name="20% - Accent2 7 2 4 2 3" xfId="40907" xr:uid="{00000000-0005-0000-0000-0000F6100000}"/>
    <cellStyle name="20% - Accent2 7 2 4 3" xfId="19152" xr:uid="{00000000-0005-0000-0000-0000F7100000}"/>
    <cellStyle name="20% - Accent2 7 2 4 3 2" xfId="48158" xr:uid="{00000000-0005-0000-0000-0000F8100000}"/>
    <cellStyle name="20% - Accent2 7 2 4 4" xfId="33659" xr:uid="{00000000-0005-0000-0000-0000F9100000}"/>
    <cellStyle name="20% - Accent2 7 2 5" xfId="7698" xr:uid="{00000000-0005-0000-0000-0000FA100000}"/>
    <cellStyle name="20% - Accent2 7 2 5 2" xfId="14970" xr:uid="{00000000-0005-0000-0000-0000FB100000}"/>
    <cellStyle name="20% - Accent2 7 2 5 2 2" xfId="29504" xr:uid="{00000000-0005-0000-0000-0000FC100000}"/>
    <cellStyle name="20% - Accent2 7 2 5 2 2 2" xfId="58510" xr:uid="{00000000-0005-0000-0000-0000FD100000}"/>
    <cellStyle name="20% - Accent2 7 2 5 2 3" xfId="44011" xr:uid="{00000000-0005-0000-0000-0000FE100000}"/>
    <cellStyle name="20% - Accent2 7 2 5 3" xfId="22256" xr:uid="{00000000-0005-0000-0000-0000FF100000}"/>
    <cellStyle name="20% - Accent2 7 2 5 3 2" xfId="51262" xr:uid="{00000000-0005-0000-0000-000000110000}"/>
    <cellStyle name="20% - Accent2 7 2 5 4" xfId="36763" xr:uid="{00000000-0005-0000-0000-000001110000}"/>
    <cellStyle name="20% - Accent2 7 2 6" xfId="8762" xr:uid="{00000000-0005-0000-0000-000002110000}"/>
    <cellStyle name="20% - Accent2 7 2 6 2" xfId="23296" xr:uid="{00000000-0005-0000-0000-000003110000}"/>
    <cellStyle name="20% - Accent2 7 2 6 2 2" xfId="52302" xr:uid="{00000000-0005-0000-0000-000004110000}"/>
    <cellStyle name="20% - Accent2 7 2 6 3" xfId="37803" xr:uid="{00000000-0005-0000-0000-000005110000}"/>
    <cellStyle name="20% - Accent2 7 2 7" xfId="16048" xr:uid="{00000000-0005-0000-0000-000006110000}"/>
    <cellStyle name="20% - Accent2 7 2 7 2" xfId="45054" xr:uid="{00000000-0005-0000-0000-000007110000}"/>
    <cellStyle name="20% - Accent2 7 2 8" xfId="30555" xr:uid="{00000000-0005-0000-0000-000008110000}"/>
    <cellStyle name="20% - Accent2 7 3" xfId="2018" xr:uid="{00000000-0005-0000-0000-000009110000}"/>
    <cellStyle name="20% - Accent2 7 3 2" xfId="5122" xr:uid="{00000000-0005-0000-0000-00000A110000}"/>
    <cellStyle name="20% - Accent2 7 3 2 2" xfId="12394" xr:uid="{00000000-0005-0000-0000-00000B110000}"/>
    <cellStyle name="20% - Accent2 7 3 2 2 2" xfId="26928" xr:uid="{00000000-0005-0000-0000-00000C110000}"/>
    <cellStyle name="20% - Accent2 7 3 2 2 2 2" xfId="55934" xr:uid="{00000000-0005-0000-0000-00000D110000}"/>
    <cellStyle name="20% - Accent2 7 3 2 2 3" xfId="41435" xr:uid="{00000000-0005-0000-0000-00000E110000}"/>
    <cellStyle name="20% - Accent2 7 3 2 3" xfId="19680" xr:uid="{00000000-0005-0000-0000-00000F110000}"/>
    <cellStyle name="20% - Accent2 7 3 2 3 2" xfId="48686" xr:uid="{00000000-0005-0000-0000-000010110000}"/>
    <cellStyle name="20% - Accent2 7 3 2 4" xfId="34187" xr:uid="{00000000-0005-0000-0000-000011110000}"/>
    <cellStyle name="20% - Accent2 7 3 3" xfId="9290" xr:uid="{00000000-0005-0000-0000-000012110000}"/>
    <cellStyle name="20% - Accent2 7 3 3 2" xfId="23824" xr:uid="{00000000-0005-0000-0000-000013110000}"/>
    <cellStyle name="20% - Accent2 7 3 3 2 2" xfId="52830" xr:uid="{00000000-0005-0000-0000-000014110000}"/>
    <cellStyle name="20% - Accent2 7 3 3 3" xfId="38331" xr:uid="{00000000-0005-0000-0000-000015110000}"/>
    <cellStyle name="20% - Accent2 7 3 4" xfId="16576" xr:uid="{00000000-0005-0000-0000-000016110000}"/>
    <cellStyle name="20% - Accent2 7 3 4 2" xfId="45582" xr:uid="{00000000-0005-0000-0000-000017110000}"/>
    <cellStyle name="20% - Accent2 7 3 5" xfId="31083" xr:uid="{00000000-0005-0000-0000-000018110000}"/>
    <cellStyle name="20% - Accent2 7 4" xfId="3050" xr:uid="{00000000-0005-0000-0000-000019110000}"/>
    <cellStyle name="20% - Accent2 7 4 2" xfId="6154" xr:uid="{00000000-0005-0000-0000-00001A110000}"/>
    <cellStyle name="20% - Accent2 7 4 2 2" xfId="13426" xr:uid="{00000000-0005-0000-0000-00001B110000}"/>
    <cellStyle name="20% - Accent2 7 4 2 2 2" xfId="27960" xr:uid="{00000000-0005-0000-0000-00001C110000}"/>
    <cellStyle name="20% - Accent2 7 4 2 2 2 2" xfId="56966" xr:uid="{00000000-0005-0000-0000-00001D110000}"/>
    <cellStyle name="20% - Accent2 7 4 2 2 3" xfId="42467" xr:uid="{00000000-0005-0000-0000-00001E110000}"/>
    <cellStyle name="20% - Accent2 7 4 2 3" xfId="20712" xr:uid="{00000000-0005-0000-0000-00001F110000}"/>
    <cellStyle name="20% - Accent2 7 4 2 3 2" xfId="49718" xr:uid="{00000000-0005-0000-0000-000020110000}"/>
    <cellStyle name="20% - Accent2 7 4 2 4" xfId="35219" xr:uid="{00000000-0005-0000-0000-000021110000}"/>
    <cellStyle name="20% - Accent2 7 4 3" xfId="10322" xr:uid="{00000000-0005-0000-0000-000022110000}"/>
    <cellStyle name="20% - Accent2 7 4 3 2" xfId="24856" xr:uid="{00000000-0005-0000-0000-000023110000}"/>
    <cellStyle name="20% - Accent2 7 4 3 2 2" xfId="53862" xr:uid="{00000000-0005-0000-0000-000024110000}"/>
    <cellStyle name="20% - Accent2 7 4 3 3" xfId="39363" xr:uid="{00000000-0005-0000-0000-000025110000}"/>
    <cellStyle name="20% - Accent2 7 4 4" xfId="17608" xr:uid="{00000000-0005-0000-0000-000026110000}"/>
    <cellStyle name="20% - Accent2 7 4 4 2" xfId="46614" xr:uid="{00000000-0005-0000-0000-000027110000}"/>
    <cellStyle name="20% - Accent2 7 4 5" xfId="32115" xr:uid="{00000000-0005-0000-0000-000028110000}"/>
    <cellStyle name="20% - Accent2 7 5" xfId="4082" xr:uid="{00000000-0005-0000-0000-000029110000}"/>
    <cellStyle name="20% - Accent2 7 5 2" xfId="11354" xr:uid="{00000000-0005-0000-0000-00002A110000}"/>
    <cellStyle name="20% - Accent2 7 5 2 2" xfId="25888" xr:uid="{00000000-0005-0000-0000-00002B110000}"/>
    <cellStyle name="20% - Accent2 7 5 2 2 2" xfId="54894" xr:uid="{00000000-0005-0000-0000-00002C110000}"/>
    <cellStyle name="20% - Accent2 7 5 2 3" xfId="40395" xr:uid="{00000000-0005-0000-0000-00002D110000}"/>
    <cellStyle name="20% - Accent2 7 5 3" xfId="18640" xr:uid="{00000000-0005-0000-0000-00002E110000}"/>
    <cellStyle name="20% - Accent2 7 5 3 2" xfId="47646" xr:uid="{00000000-0005-0000-0000-00002F110000}"/>
    <cellStyle name="20% - Accent2 7 5 4" xfId="33147" xr:uid="{00000000-0005-0000-0000-000030110000}"/>
    <cellStyle name="20% - Accent2 7 6" xfId="7186" xr:uid="{00000000-0005-0000-0000-000031110000}"/>
    <cellStyle name="20% - Accent2 7 6 2" xfId="14458" xr:uid="{00000000-0005-0000-0000-000032110000}"/>
    <cellStyle name="20% - Accent2 7 6 2 2" xfId="28992" xr:uid="{00000000-0005-0000-0000-000033110000}"/>
    <cellStyle name="20% - Accent2 7 6 2 2 2" xfId="57998" xr:uid="{00000000-0005-0000-0000-000034110000}"/>
    <cellStyle name="20% - Accent2 7 6 2 3" xfId="43499" xr:uid="{00000000-0005-0000-0000-000035110000}"/>
    <cellStyle name="20% - Accent2 7 6 3" xfId="21744" xr:uid="{00000000-0005-0000-0000-000036110000}"/>
    <cellStyle name="20% - Accent2 7 6 3 2" xfId="50750" xr:uid="{00000000-0005-0000-0000-000037110000}"/>
    <cellStyle name="20% - Accent2 7 6 4" xfId="36251" xr:uid="{00000000-0005-0000-0000-000038110000}"/>
    <cellStyle name="20% - Accent2 7 7" xfId="8250" xr:uid="{00000000-0005-0000-0000-000039110000}"/>
    <cellStyle name="20% - Accent2 7 7 2" xfId="22784" xr:uid="{00000000-0005-0000-0000-00003A110000}"/>
    <cellStyle name="20% - Accent2 7 7 2 2" xfId="51790" xr:uid="{00000000-0005-0000-0000-00003B110000}"/>
    <cellStyle name="20% - Accent2 7 7 3" xfId="37291" xr:uid="{00000000-0005-0000-0000-00003C110000}"/>
    <cellStyle name="20% - Accent2 7 8" xfId="15536" xr:uid="{00000000-0005-0000-0000-00003D110000}"/>
    <cellStyle name="20% - Accent2 7 8 2" xfId="44542" xr:uid="{00000000-0005-0000-0000-00003E110000}"/>
    <cellStyle name="20% - Accent2 7 9" xfId="30043" xr:uid="{00000000-0005-0000-0000-00003F110000}"/>
    <cellStyle name="20% - Accent2 8" xfId="1269" xr:uid="{00000000-0005-0000-0000-000040110000}"/>
    <cellStyle name="20% - Accent2 8 2" xfId="2324" xr:uid="{00000000-0005-0000-0000-000041110000}"/>
    <cellStyle name="20% - Accent2 8 2 2" xfId="5428" xr:uid="{00000000-0005-0000-0000-000042110000}"/>
    <cellStyle name="20% - Accent2 8 2 2 2" xfId="12700" xr:uid="{00000000-0005-0000-0000-000043110000}"/>
    <cellStyle name="20% - Accent2 8 2 2 2 2" xfId="27234" xr:uid="{00000000-0005-0000-0000-000044110000}"/>
    <cellStyle name="20% - Accent2 8 2 2 2 2 2" xfId="56240" xr:uid="{00000000-0005-0000-0000-000045110000}"/>
    <cellStyle name="20% - Accent2 8 2 2 2 3" xfId="41741" xr:uid="{00000000-0005-0000-0000-000046110000}"/>
    <cellStyle name="20% - Accent2 8 2 2 3" xfId="19986" xr:uid="{00000000-0005-0000-0000-000047110000}"/>
    <cellStyle name="20% - Accent2 8 2 2 3 2" xfId="48992" xr:uid="{00000000-0005-0000-0000-000048110000}"/>
    <cellStyle name="20% - Accent2 8 2 2 4" xfId="34493" xr:uid="{00000000-0005-0000-0000-000049110000}"/>
    <cellStyle name="20% - Accent2 8 2 3" xfId="9596" xr:uid="{00000000-0005-0000-0000-00004A110000}"/>
    <cellStyle name="20% - Accent2 8 2 3 2" xfId="24130" xr:uid="{00000000-0005-0000-0000-00004B110000}"/>
    <cellStyle name="20% - Accent2 8 2 3 2 2" xfId="53136" xr:uid="{00000000-0005-0000-0000-00004C110000}"/>
    <cellStyle name="20% - Accent2 8 2 3 3" xfId="38637" xr:uid="{00000000-0005-0000-0000-00004D110000}"/>
    <cellStyle name="20% - Accent2 8 2 4" xfId="16882" xr:uid="{00000000-0005-0000-0000-00004E110000}"/>
    <cellStyle name="20% - Accent2 8 2 4 2" xfId="45888" xr:uid="{00000000-0005-0000-0000-00004F110000}"/>
    <cellStyle name="20% - Accent2 8 2 5" xfId="31389" xr:uid="{00000000-0005-0000-0000-000050110000}"/>
    <cellStyle name="20% - Accent2 8 3" xfId="3356" xr:uid="{00000000-0005-0000-0000-000051110000}"/>
    <cellStyle name="20% - Accent2 8 3 2" xfId="6460" xr:uid="{00000000-0005-0000-0000-000052110000}"/>
    <cellStyle name="20% - Accent2 8 3 2 2" xfId="13732" xr:uid="{00000000-0005-0000-0000-000053110000}"/>
    <cellStyle name="20% - Accent2 8 3 2 2 2" xfId="28266" xr:uid="{00000000-0005-0000-0000-000054110000}"/>
    <cellStyle name="20% - Accent2 8 3 2 2 2 2" xfId="57272" xr:uid="{00000000-0005-0000-0000-000055110000}"/>
    <cellStyle name="20% - Accent2 8 3 2 2 3" xfId="42773" xr:uid="{00000000-0005-0000-0000-000056110000}"/>
    <cellStyle name="20% - Accent2 8 3 2 3" xfId="21018" xr:uid="{00000000-0005-0000-0000-000057110000}"/>
    <cellStyle name="20% - Accent2 8 3 2 3 2" xfId="50024" xr:uid="{00000000-0005-0000-0000-000058110000}"/>
    <cellStyle name="20% - Accent2 8 3 2 4" xfId="35525" xr:uid="{00000000-0005-0000-0000-000059110000}"/>
    <cellStyle name="20% - Accent2 8 3 3" xfId="10628" xr:uid="{00000000-0005-0000-0000-00005A110000}"/>
    <cellStyle name="20% - Accent2 8 3 3 2" xfId="25162" xr:uid="{00000000-0005-0000-0000-00005B110000}"/>
    <cellStyle name="20% - Accent2 8 3 3 2 2" xfId="54168" xr:uid="{00000000-0005-0000-0000-00005C110000}"/>
    <cellStyle name="20% - Accent2 8 3 3 3" xfId="39669" xr:uid="{00000000-0005-0000-0000-00005D110000}"/>
    <cellStyle name="20% - Accent2 8 3 4" xfId="17914" xr:uid="{00000000-0005-0000-0000-00005E110000}"/>
    <cellStyle name="20% - Accent2 8 3 4 2" xfId="46920" xr:uid="{00000000-0005-0000-0000-00005F110000}"/>
    <cellStyle name="20% - Accent2 8 3 5" xfId="32421" xr:uid="{00000000-0005-0000-0000-000060110000}"/>
    <cellStyle name="20% - Accent2 8 4" xfId="4388" xr:uid="{00000000-0005-0000-0000-000061110000}"/>
    <cellStyle name="20% - Accent2 8 4 2" xfId="11660" xr:uid="{00000000-0005-0000-0000-000062110000}"/>
    <cellStyle name="20% - Accent2 8 4 2 2" xfId="26194" xr:uid="{00000000-0005-0000-0000-000063110000}"/>
    <cellStyle name="20% - Accent2 8 4 2 2 2" xfId="55200" xr:uid="{00000000-0005-0000-0000-000064110000}"/>
    <cellStyle name="20% - Accent2 8 4 2 3" xfId="40701" xr:uid="{00000000-0005-0000-0000-000065110000}"/>
    <cellStyle name="20% - Accent2 8 4 3" xfId="18946" xr:uid="{00000000-0005-0000-0000-000066110000}"/>
    <cellStyle name="20% - Accent2 8 4 3 2" xfId="47952" xr:uid="{00000000-0005-0000-0000-000067110000}"/>
    <cellStyle name="20% - Accent2 8 4 4" xfId="33453" xr:uid="{00000000-0005-0000-0000-000068110000}"/>
    <cellStyle name="20% - Accent2 8 5" xfId="7492" xr:uid="{00000000-0005-0000-0000-000069110000}"/>
    <cellStyle name="20% - Accent2 8 5 2" xfId="14764" xr:uid="{00000000-0005-0000-0000-00006A110000}"/>
    <cellStyle name="20% - Accent2 8 5 2 2" xfId="29298" xr:uid="{00000000-0005-0000-0000-00006B110000}"/>
    <cellStyle name="20% - Accent2 8 5 2 2 2" xfId="58304" xr:uid="{00000000-0005-0000-0000-00006C110000}"/>
    <cellStyle name="20% - Accent2 8 5 2 3" xfId="43805" xr:uid="{00000000-0005-0000-0000-00006D110000}"/>
    <cellStyle name="20% - Accent2 8 5 3" xfId="22050" xr:uid="{00000000-0005-0000-0000-00006E110000}"/>
    <cellStyle name="20% - Accent2 8 5 3 2" xfId="51056" xr:uid="{00000000-0005-0000-0000-00006F110000}"/>
    <cellStyle name="20% - Accent2 8 5 4" xfId="36557" xr:uid="{00000000-0005-0000-0000-000070110000}"/>
    <cellStyle name="20% - Accent2 8 6" xfId="8556" xr:uid="{00000000-0005-0000-0000-000071110000}"/>
    <cellStyle name="20% - Accent2 8 6 2" xfId="23090" xr:uid="{00000000-0005-0000-0000-000072110000}"/>
    <cellStyle name="20% - Accent2 8 6 2 2" xfId="52096" xr:uid="{00000000-0005-0000-0000-000073110000}"/>
    <cellStyle name="20% - Accent2 8 6 3" xfId="37597" xr:uid="{00000000-0005-0000-0000-000074110000}"/>
    <cellStyle name="20% - Accent2 8 7" xfId="15842" xr:uid="{00000000-0005-0000-0000-000075110000}"/>
    <cellStyle name="20% - Accent2 8 7 2" xfId="44848" xr:uid="{00000000-0005-0000-0000-000076110000}"/>
    <cellStyle name="20% - Accent2 8 8" xfId="30349" xr:uid="{00000000-0005-0000-0000-000077110000}"/>
    <cellStyle name="20% - Accent2 9" xfId="1812" xr:uid="{00000000-0005-0000-0000-000078110000}"/>
    <cellStyle name="20% - Accent2 9 2" xfId="4916" xr:uid="{00000000-0005-0000-0000-000079110000}"/>
    <cellStyle name="20% - Accent2 9 2 2" xfId="12188" xr:uid="{00000000-0005-0000-0000-00007A110000}"/>
    <cellStyle name="20% - Accent2 9 2 2 2" xfId="26722" xr:uid="{00000000-0005-0000-0000-00007B110000}"/>
    <cellStyle name="20% - Accent2 9 2 2 2 2" xfId="55728" xr:uid="{00000000-0005-0000-0000-00007C110000}"/>
    <cellStyle name="20% - Accent2 9 2 2 3" xfId="41229" xr:uid="{00000000-0005-0000-0000-00007D110000}"/>
    <cellStyle name="20% - Accent2 9 2 3" xfId="19474" xr:uid="{00000000-0005-0000-0000-00007E110000}"/>
    <cellStyle name="20% - Accent2 9 2 3 2" xfId="48480" xr:uid="{00000000-0005-0000-0000-00007F110000}"/>
    <cellStyle name="20% - Accent2 9 2 4" xfId="33981" xr:uid="{00000000-0005-0000-0000-000080110000}"/>
    <cellStyle name="20% - Accent2 9 3" xfId="9084" xr:uid="{00000000-0005-0000-0000-000081110000}"/>
    <cellStyle name="20% - Accent2 9 3 2" xfId="23618" xr:uid="{00000000-0005-0000-0000-000082110000}"/>
    <cellStyle name="20% - Accent2 9 3 2 2" xfId="52624" xr:uid="{00000000-0005-0000-0000-000083110000}"/>
    <cellStyle name="20% - Accent2 9 3 3" xfId="38125" xr:uid="{00000000-0005-0000-0000-000084110000}"/>
    <cellStyle name="20% - Accent2 9 4" xfId="16370" xr:uid="{00000000-0005-0000-0000-000085110000}"/>
    <cellStyle name="20% - Accent2 9 4 2" xfId="45376" xr:uid="{00000000-0005-0000-0000-000086110000}"/>
    <cellStyle name="20% - Accent2 9 5" xfId="30877" xr:uid="{00000000-0005-0000-0000-000087110000}"/>
    <cellStyle name="20% - Accent3" xfId="70" builtinId="38" customBuiltin="1"/>
    <cellStyle name="20% - Accent3 10" xfId="2846" xr:uid="{00000000-0005-0000-0000-000089110000}"/>
    <cellStyle name="20% - Accent3 10 2" xfId="5950" xr:uid="{00000000-0005-0000-0000-00008A110000}"/>
    <cellStyle name="20% - Accent3 10 2 2" xfId="13222" xr:uid="{00000000-0005-0000-0000-00008B110000}"/>
    <cellStyle name="20% - Accent3 10 2 2 2" xfId="27756" xr:uid="{00000000-0005-0000-0000-00008C110000}"/>
    <cellStyle name="20% - Accent3 10 2 2 2 2" xfId="56762" xr:uid="{00000000-0005-0000-0000-00008D110000}"/>
    <cellStyle name="20% - Accent3 10 2 2 3" xfId="42263" xr:uid="{00000000-0005-0000-0000-00008E110000}"/>
    <cellStyle name="20% - Accent3 10 2 3" xfId="20508" xr:uid="{00000000-0005-0000-0000-00008F110000}"/>
    <cellStyle name="20% - Accent3 10 2 3 2" xfId="49514" xr:uid="{00000000-0005-0000-0000-000090110000}"/>
    <cellStyle name="20% - Accent3 10 2 4" xfId="35015" xr:uid="{00000000-0005-0000-0000-000091110000}"/>
    <cellStyle name="20% - Accent3 10 3" xfId="10118" xr:uid="{00000000-0005-0000-0000-000092110000}"/>
    <cellStyle name="20% - Accent3 10 3 2" xfId="24652" xr:uid="{00000000-0005-0000-0000-000093110000}"/>
    <cellStyle name="20% - Accent3 10 3 2 2" xfId="53658" xr:uid="{00000000-0005-0000-0000-000094110000}"/>
    <cellStyle name="20% - Accent3 10 3 3" xfId="39159" xr:uid="{00000000-0005-0000-0000-000095110000}"/>
    <cellStyle name="20% - Accent3 10 4" xfId="17404" xr:uid="{00000000-0005-0000-0000-000096110000}"/>
    <cellStyle name="20% - Accent3 10 4 2" xfId="46410" xr:uid="{00000000-0005-0000-0000-000097110000}"/>
    <cellStyle name="20% - Accent3 10 5" xfId="31911" xr:uid="{00000000-0005-0000-0000-000098110000}"/>
    <cellStyle name="20% - Accent3 11" xfId="3878" xr:uid="{00000000-0005-0000-0000-000099110000}"/>
    <cellStyle name="20% - Accent3 11 2" xfId="11150" xr:uid="{00000000-0005-0000-0000-00009A110000}"/>
    <cellStyle name="20% - Accent3 11 2 2" xfId="25684" xr:uid="{00000000-0005-0000-0000-00009B110000}"/>
    <cellStyle name="20% - Accent3 11 2 2 2" xfId="54690" xr:uid="{00000000-0005-0000-0000-00009C110000}"/>
    <cellStyle name="20% - Accent3 11 2 3" xfId="40191" xr:uid="{00000000-0005-0000-0000-00009D110000}"/>
    <cellStyle name="20% - Accent3 11 3" xfId="18436" xr:uid="{00000000-0005-0000-0000-00009E110000}"/>
    <cellStyle name="20% - Accent3 11 3 2" xfId="47442" xr:uid="{00000000-0005-0000-0000-00009F110000}"/>
    <cellStyle name="20% - Accent3 11 4" xfId="32943" xr:uid="{00000000-0005-0000-0000-0000A0110000}"/>
    <cellStyle name="20% - Accent3 12" xfId="6982" xr:uid="{00000000-0005-0000-0000-0000A1110000}"/>
    <cellStyle name="20% - Accent3 12 2" xfId="14254" xr:uid="{00000000-0005-0000-0000-0000A2110000}"/>
    <cellStyle name="20% - Accent3 12 2 2" xfId="28788" xr:uid="{00000000-0005-0000-0000-0000A3110000}"/>
    <cellStyle name="20% - Accent3 12 2 2 2" xfId="57794" xr:uid="{00000000-0005-0000-0000-0000A4110000}"/>
    <cellStyle name="20% - Accent3 12 2 3" xfId="43295" xr:uid="{00000000-0005-0000-0000-0000A5110000}"/>
    <cellStyle name="20% - Accent3 12 3" xfId="21540" xr:uid="{00000000-0005-0000-0000-0000A6110000}"/>
    <cellStyle name="20% - Accent3 12 3 2" xfId="50546" xr:uid="{00000000-0005-0000-0000-0000A7110000}"/>
    <cellStyle name="20% - Accent3 12 4" xfId="36047" xr:uid="{00000000-0005-0000-0000-0000A8110000}"/>
    <cellStyle name="20% - Accent3 13" xfId="8046" xr:uid="{00000000-0005-0000-0000-0000A9110000}"/>
    <cellStyle name="20% - Accent3 13 2" xfId="22580" xr:uid="{00000000-0005-0000-0000-0000AA110000}"/>
    <cellStyle name="20% - Accent3 13 2 2" xfId="51586" xr:uid="{00000000-0005-0000-0000-0000AB110000}"/>
    <cellStyle name="20% - Accent3 13 3" xfId="37087" xr:uid="{00000000-0005-0000-0000-0000AC110000}"/>
    <cellStyle name="20% - Accent3 14" xfId="15326" xr:uid="{00000000-0005-0000-0000-0000AD110000}"/>
    <cellStyle name="20% - Accent3 14 2" xfId="44332" xr:uid="{00000000-0005-0000-0000-0000AE110000}"/>
    <cellStyle name="20% - Accent3 15" xfId="29832" xr:uid="{00000000-0005-0000-0000-0000AF110000}"/>
    <cellStyle name="20% - Accent3 16" xfId="314" xr:uid="{00000000-0005-0000-0000-0000B0110000}"/>
    <cellStyle name="20% - Accent3 17" xfId="58831" xr:uid="{00000000-0005-0000-0000-0000B1110000}"/>
    <cellStyle name="20% - Accent3 2" xfId="285" xr:uid="{00000000-0005-0000-0000-0000B2110000}"/>
    <cellStyle name="20% - Accent3 2 2" xfId="294" xr:uid="{00000000-0005-0000-0000-0000B3110000}"/>
    <cellStyle name="20% - Accent3 3" xfId="844" xr:uid="{00000000-0005-0000-0000-0000B4110000}"/>
    <cellStyle name="20% - Accent3 3 10" xfId="7006" xr:uid="{00000000-0005-0000-0000-0000B5110000}"/>
    <cellStyle name="20% - Accent3 3 10 2" xfId="14278" xr:uid="{00000000-0005-0000-0000-0000B6110000}"/>
    <cellStyle name="20% - Accent3 3 10 2 2" xfId="28812" xr:uid="{00000000-0005-0000-0000-0000B7110000}"/>
    <cellStyle name="20% - Accent3 3 10 2 2 2" xfId="57818" xr:uid="{00000000-0005-0000-0000-0000B8110000}"/>
    <cellStyle name="20% - Accent3 3 10 2 3" xfId="43319" xr:uid="{00000000-0005-0000-0000-0000B9110000}"/>
    <cellStyle name="20% - Accent3 3 10 3" xfId="21564" xr:uid="{00000000-0005-0000-0000-0000BA110000}"/>
    <cellStyle name="20% - Accent3 3 10 3 2" xfId="50570" xr:uid="{00000000-0005-0000-0000-0000BB110000}"/>
    <cellStyle name="20% - Accent3 3 10 4" xfId="36071" xr:uid="{00000000-0005-0000-0000-0000BC110000}"/>
    <cellStyle name="20% - Accent3 3 11" xfId="8070" xr:uid="{00000000-0005-0000-0000-0000BD110000}"/>
    <cellStyle name="20% - Accent3 3 11 2" xfId="22604" xr:uid="{00000000-0005-0000-0000-0000BE110000}"/>
    <cellStyle name="20% - Accent3 3 11 2 2" xfId="51610" xr:uid="{00000000-0005-0000-0000-0000BF110000}"/>
    <cellStyle name="20% - Accent3 3 11 3" xfId="37111" xr:uid="{00000000-0005-0000-0000-0000C0110000}"/>
    <cellStyle name="20% - Accent3 3 12" xfId="15356" xr:uid="{00000000-0005-0000-0000-0000C1110000}"/>
    <cellStyle name="20% - Accent3 3 12 2" xfId="44362" xr:uid="{00000000-0005-0000-0000-0000C2110000}"/>
    <cellStyle name="20% - Accent3 3 13" xfId="29863" xr:uid="{00000000-0005-0000-0000-0000C3110000}"/>
    <cellStyle name="20% - Accent3 3 2" xfId="887" xr:uid="{00000000-0005-0000-0000-0000C4110000}"/>
    <cellStyle name="20% - Accent3 3 2 10" xfId="8122" xr:uid="{00000000-0005-0000-0000-0000C5110000}"/>
    <cellStyle name="20% - Accent3 3 2 10 2" xfId="22656" xr:uid="{00000000-0005-0000-0000-0000C6110000}"/>
    <cellStyle name="20% - Accent3 3 2 10 2 2" xfId="51662" xr:uid="{00000000-0005-0000-0000-0000C7110000}"/>
    <cellStyle name="20% - Accent3 3 2 10 3" xfId="37163" xr:uid="{00000000-0005-0000-0000-0000C8110000}"/>
    <cellStyle name="20% - Accent3 3 2 11" xfId="15408" xr:uid="{00000000-0005-0000-0000-0000C9110000}"/>
    <cellStyle name="20% - Accent3 3 2 11 2" xfId="44414" xr:uid="{00000000-0005-0000-0000-0000CA110000}"/>
    <cellStyle name="20% - Accent3 3 2 12" xfId="29915" xr:uid="{00000000-0005-0000-0000-0000CB110000}"/>
    <cellStyle name="20% - Accent3 3 2 2" xfId="967" xr:uid="{00000000-0005-0000-0000-0000CC110000}"/>
    <cellStyle name="20% - Accent3 3 2 2 10" xfId="30018" xr:uid="{00000000-0005-0000-0000-0000CD110000}"/>
    <cellStyle name="20% - Accent3 3 2 2 2" xfId="1246" xr:uid="{00000000-0005-0000-0000-0000CE110000}"/>
    <cellStyle name="20% - Accent3 3 2 2 2 2" xfId="1752" xr:uid="{00000000-0005-0000-0000-0000CF110000}"/>
    <cellStyle name="20% - Accent3 3 2 2 2 2 2" xfId="2811" xr:uid="{00000000-0005-0000-0000-0000D0110000}"/>
    <cellStyle name="20% - Accent3 3 2 2 2 2 2 2" xfId="5915" xr:uid="{00000000-0005-0000-0000-0000D1110000}"/>
    <cellStyle name="20% - Accent3 3 2 2 2 2 2 2 2" xfId="13187" xr:uid="{00000000-0005-0000-0000-0000D2110000}"/>
    <cellStyle name="20% - Accent3 3 2 2 2 2 2 2 2 2" xfId="27721" xr:uid="{00000000-0005-0000-0000-0000D3110000}"/>
    <cellStyle name="20% - Accent3 3 2 2 2 2 2 2 2 2 2" xfId="56727" xr:uid="{00000000-0005-0000-0000-0000D4110000}"/>
    <cellStyle name="20% - Accent3 3 2 2 2 2 2 2 2 3" xfId="42228" xr:uid="{00000000-0005-0000-0000-0000D5110000}"/>
    <cellStyle name="20% - Accent3 3 2 2 2 2 2 2 3" xfId="20473" xr:uid="{00000000-0005-0000-0000-0000D6110000}"/>
    <cellStyle name="20% - Accent3 3 2 2 2 2 2 2 3 2" xfId="49479" xr:uid="{00000000-0005-0000-0000-0000D7110000}"/>
    <cellStyle name="20% - Accent3 3 2 2 2 2 2 2 4" xfId="34980" xr:uid="{00000000-0005-0000-0000-0000D8110000}"/>
    <cellStyle name="20% - Accent3 3 2 2 2 2 2 3" xfId="10083" xr:uid="{00000000-0005-0000-0000-0000D9110000}"/>
    <cellStyle name="20% - Accent3 3 2 2 2 2 2 3 2" xfId="24617" xr:uid="{00000000-0005-0000-0000-0000DA110000}"/>
    <cellStyle name="20% - Accent3 3 2 2 2 2 2 3 2 2" xfId="53623" xr:uid="{00000000-0005-0000-0000-0000DB110000}"/>
    <cellStyle name="20% - Accent3 3 2 2 2 2 2 3 3" xfId="39124" xr:uid="{00000000-0005-0000-0000-0000DC110000}"/>
    <cellStyle name="20% - Accent3 3 2 2 2 2 2 4" xfId="17369" xr:uid="{00000000-0005-0000-0000-0000DD110000}"/>
    <cellStyle name="20% - Accent3 3 2 2 2 2 2 4 2" xfId="46375" xr:uid="{00000000-0005-0000-0000-0000DE110000}"/>
    <cellStyle name="20% - Accent3 3 2 2 2 2 2 5" xfId="31876" xr:uid="{00000000-0005-0000-0000-0000DF110000}"/>
    <cellStyle name="20% - Accent3 3 2 2 2 2 3" xfId="3843" xr:uid="{00000000-0005-0000-0000-0000E0110000}"/>
    <cellStyle name="20% - Accent3 3 2 2 2 2 3 2" xfId="6947" xr:uid="{00000000-0005-0000-0000-0000E1110000}"/>
    <cellStyle name="20% - Accent3 3 2 2 2 2 3 2 2" xfId="14219" xr:uid="{00000000-0005-0000-0000-0000E2110000}"/>
    <cellStyle name="20% - Accent3 3 2 2 2 2 3 2 2 2" xfId="28753" xr:uid="{00000000-0005-0000-0000-0000E3110000}"/>
    <cellStyle name="20% - Accent3 3 2 2 2 2 3 2 2 2 2" xfId="57759" xr:uid="{00000000-0005-0000-0000-0000E4110000}"/>
    <cellStyle name="20% - Accent3 3 2 2 2 2 3 2 2 3" xfId="43260" xr:uid="{00000000-0005-0000-0000-0000E5110000}"/>
    <cellStyle name="20% - Accent3 3 2 2 2 2 3 2 3" xfId="21505" xr:uid="{00000000-0005-0000-0000-0000E6110000}"/>
    <cellStyle name="20% - Accent3 3 2 2 2 2 3 2 3 2" xfId="50511" xr:uid="{00000000-0005-0000-0000-0000E7110000}"/>
    <cellStyle name="20% - Accent3 3 2 2 2 2 3 2 4" xfId="36012" xr:uid="{00000000-0005-0000-0000-0000E8110000}"/>
    <cellStyle name="20% - Accent3 3 2 2 2 2 3 3" xfId="11115" xr:uid="{00000000-0005-0000-0000-0000E9110000}"/>
    <cellStyle name="20% - Accent3 3 2 2 2 2 3 3 2" xfId="25649" xr:uid="{00000000-0005-0000-0000-0000EA110000}"/>
    <cellStyle name="20% - Accent3 3 2 2 2 2 3 3 2 2" xfId="54655" xr:uid="{00000000-0005-0000-0000-0000EB110000}"/>
    <cellStyle name="20% - Accent3 3 2 2 2 2 3 3 3" xfId="40156" xr:uid="{00000000-0005-0000-0000-0000EC110000}"/>
    <cellStyle name="20% - Accent3 3 2 2 2 2 3 4" xfId="18401" xr:uid="{00000000-0005-0000-0000-0000ED110000}"/>
    <cellStyle name="20% - Accent3 3 2 2 2 2 3 4 2" xfId="47407" xr:uid="{00000000-0005-0000-0000-0000EE110000}"/>
    <cellStyle name="20% - Accent3 3 2 2 2 2 3 5" xfId="32908" xr:uid="{00000000-0005-0000-0000-0000EF110000}"/>
    <cellStyle name="20% - Accent3 3 2 2 2 2 4" xfId="4875" xr:uid="{00000000-0005-0000-0000-0000F0110000}"/>
    <cellStyle name="20% - Accent3 3 2 2 2 2 4 2" xfId="12147" xr:uid="{00000000-0005-0000-0000-0000F1110000}"/>
    <cellStyle name="20% - Accent3 3 2 2 2 2 4 2 2" xfId="26681" xr:uid="{00000000-0005-0000-0000-0000F2110000}"/>
    <cellStyle name="20% - Accent3 3 2 2 2 2 4 2 2 2" xfId="55687" xr:uid="{00000000-0005-0000-0000-0000F3110000}"/>
    <cellStyle name="20% - Accent3 3 2 2 2 2 4 2 3" xfId="41188" xr:uid="{00000000-0005-0000-0000-0000F4110000}"/>
    <cellStyle name="20% - Accent3 3 2 2 2 2 4 3" xfId="19433" xr:uid="{00000000-0005-0000-0000-0000F5110000}"/>
    <cellStyle name="20% - Accent3 3 2 2 2 2 4 3 2" xfId="48439" xr:uid="{00000000-0005-0000-0000-0000F6110000}"/>
    <cellStyle name="20% - Accent3 3 2 2 2 2 4 4" xfId="33940" xr:uid="{00000000-0005-0000-0000-0000F7110000}"/>
    <cellStyle name="20% - Accent3 3 2 2 2 2 5" xfId="7979" xr:uid="{00000000-0005-0000-0000-0000F8110000}"/>
    <cellStyle name="20% - Accent3 3 2 2 2 2 5 2" xfId="15251" xr:uid="{00000000-0005-0000-0000-0000F9110000}"/>
    <cellStyle name="20% - Accent3 3 2 2 2 2 5 2 2" xfId="29785" xr:uid="{00000000-0005-0000-0000-0000FA110000}"/>
    <cellStyle name="20% - Accent3 3 2 2 2 2 5 2 2 2" xfId="58791" xr:uid="{00000000-0005-0000-0000-0000FB110000}"/>
    <cellStyle name="20% - Accent3 3 2 2 2 2 5 2 3" xfId="44292" xr:uid="{00000000-0005-0000-0000-0000FC110000}"/>
    <cellStyle name="20% - Accent3 3 2 2 2 2 5 3" xfId="22537" xr:uid="{00000000-0005-0000-0000-0000FD110000}"/>
    <cellStyle name="20% - Accent3 3 2 2 2 2 5 3 2" xfId="51543" xr:uid="{00000000-0005-0000-0000-0000FE110000}"/>
    <cellStyle name="20% - Accent3 3 2 2 2 2 5 4" xfId="37044" xr:uid="{00000000-0005-0000-0000-0000FF110000}"/>
    <cellStyle name="20% - Accent3 3 2 2 2 2 6" xfId="9043" xr:uid="{00000000-0005-0000-0000-000000120000}"/>
    <cellStyle name="20% - Accent3 3 2 2 2 2 6 2" xfId="23577" xr:uid="{00000000-0005-0000-0000-000001120000}"/>
    <cellStyle name="20% - Accent3 3 2 2 2 2 6 2 2" xfId="52583" xr:uid="{00000000-0005-0000-0000-000002120000}"/>
    <cellStyle name="20% - Accent3 3 2 2 2 2 6 3" xfId="38084" xr:uid="{00000000-0005-0000-0000-000003120000}"/>
    <cellStyle name="20% - Accent3 3 2 2 2 2 7" xfId="16329" xr:uid="{00000000-0005-0000-0000-000004120000}"/>
    <cellStyle name="20% - Accent3 3 2 2 2 2 7 2" xfId="45335" xr:uid="{00000000-0005-0000-0000-000005120000}"/>
    <cellStyle name="20% - Accent3 3 2 2 2 2 8" xfId="30836" xr:uid="{00000000-0005-0000-0000-000006120000}"/>
    <cellStyle name="20% - Accent3 3 2 2 2 3" xfId="2299" xr:uid="{00000000-0005-0000-0000-000007120000}"/>
    <cellStyle name="20% - Accent3 3 2 2 2 3 2" xfId="5403" xr:uid="{00000000-0005-0000-0000-000008120000}"/>
    <cellStyle name="20% - Accent3 3 2 2 2 3 2 2" xfId="12675" xr:uid="{00000000-0005-0000-0000-000009120000}"/>
    <cellStyle name="20% - Accent3 3 2 2 2 3 2 2 2" xfId="27209" xr:uid="{00000000-0005-0000-0000-00000A120000}"/>
    <cellStyle name="20% - Accent3 3 2 2 2 3 2 2 2 2" xfId="56215" xr:uid="{00000000-0005-0000-0000-00000B120000}"/>
    <cellStyle name="20% - Accent3 3 2 2 2 3 2 2 3" xfId="41716" xr:uid="{00000000-0005-0000-0000-00000C120000}"/>
    <cellStyle name="20% - Accent3 3 2 2 2 3 2 3" xfId="19961" xr:uid="{00000000-0005-0000-0000-00000D120000}"/>
    <cellStyle name="20% - Accent3 3 2 2 2 3 2 3 2" xfId="48967" xr:uid="{00000000-0005-0000-0000-00000E120000}"/>
    <cellStyle name="20% - Accent3 3 2 2 2 3 2 4" xfId="34468" xr:uid="{00000000-0005-0000-0000-00000F120000}"/>
    <cellStyle name="20% - Accent3 3 2 2 2 3 3" xfId="9571" xr:uid="{00000000-0005-0000-0000-000010120000}"/>
    <cellStyle name="20% - Accent3 3 2 2 2 3 3 2" xfId="24105" xr:uid="{00000000-0005-0000-0000-000011120000}"/>
    <cellStyle name="20% - Accent3 3 2 2 2 3 3 2 2" xfId="53111" xr:uid="{00000000-0005-0000-0000-000012120000}"/>
    <cellStyle name="20% - Accent3 3 2 2 2 3 3 3" xfId="38612" xr:uid="{00000000-0005-0000-0000-000013120000}"/>
    <cellStyle name="20% - Accent3 3 2 2 2 3 4" xfId="16857" xr:uid="{00000000-0005-0000-0000-000014120000}"/>
    <cellStyle name="20% - Accent3 3 2 2 2 3 4 2" xfId="45863" xr:uid="{00000000-0005-0000-0000-000015120000}"/>
    <cellStyle name="20% - Accent3 3 2 2 2 3 5" xfId="31364" xr:uid="{00000000-0005-0000-0000-000016120000}"/>
    <cellStyle name="20% - Accent3 3 2 2 2 4" xfId="3331" xr:uid="{00000000-0005-0000-0000-000017120000}"/>
    <cellStyle name="20% - Accent3 3 2 2 2 4 2" xfId="6435" xr:uid="{00000000-0005-0000-0000-000018120000}"/>
    <cellStyle name="20% - Accent3 3 2 2 2 4 2 2" xfId="13707" xr:uid="{00000000-0005-0000-0000-000019120000}"/>
    <cellStyle name="20% - Accent3 3 2 2 2 4 2 2 2" xfId="28241" xr:uid="{00000000-0005-0000-0000-00001A120000}"/>
    <cellStyle name="20% - Accent3 3 2 2 2 4 2 2 2 2" xfId="57247" xr:uid="{00000000-0005-0000-0000-00001B120000}"/>
    <cellStyle name="20% - Accent3 3 2 2 2 4 2 2 3" xfId="42748" xr:uid="{00000000-0005-0000-0000-00001C120000}"/>
    <cellStyle name="20% - Accent3 3 2 2 2 4 2 3" xfId="20993" xr:uid="{00000000-0005-0000-0000-00001D120000}"/>
    <cellStyle name="20% - Accent3 3 2 2 2 4 2 3 2" xfId="49999" xr:uid="{00000000-0005-0000-0000-00001E120000}"/>
    <cellStyle name="20% - Accent3 3 2 2 2 4 2 4" xfId="35500" xr:uid="{00000000-0005-0000-0000-00001F120000}"/>
    <cellStyle name="20% - Accent3 3 2 2 2 4 3" xfId="10603" xr:uid="{00000000-0005-0000-0000-000020120000}"/>
    <cellStyle name="20% - Accent3 3 2 2 2 4 3 2" xfId="25137" xr:uid="{00000000-0005-0000-0000-000021120000}"/>
    <cellStyle name="20% - Accent3 3 2 2 2 4 3 2 2" xfId="54143" xr:uid="{00000000-0005-0000-0000-000022120000}"/>
    <cellStyle name="20% - Accent3 3 2 2 2 4 3 3" xfId="39644" xr:uid="{00000000-0005-0000-0000-000023120000}"/>
    <cellStyle name="20% - Accent3 3 2 2 2 4 4" xfId="17889" xr:uid="{00000000-0005-0000-0000-000024120000}"/>
    <cellStyle name="20% - Accent3 3 2 2 2 4 4 2" xfId="46895" xr:uid="{00000000-0005-0000-0000-000025120000}"/>
    <cellStyle name="20% - Accent3 3 2 2 2 4 5" xfId="32396" xr:uid="{00000000-0005-0000-0000-000026120000}"/>
    <cellStyle name="20% - Accent3 3 2 2 2 5" xfId="4363" xr:uid="{00000000-0005-0000-0000-000027120000}"/>
    <cellStyle name="20% - Accent3 3 2 2 2 5 2" xfId="11635" xr:uid="{00000000-0005-0000-0000-000028120000}"/>
    <cellStyle name="20% - Accent3 3 2 2 2 5 2 2" xfId="26169" xr:uid="{00000000-0005-0000-0000-000029120000}"/>
    <cellStyle name="20% - Accent3 3 2 2 2 5 2 2 2" xfId="55175" xr:uid="{00000000-0005-0000-0000-00002A120000}"/>
    <cellStyle name="20% - Accent3 3 2 2 2 5 2 3" xfId="40676" xr:uid="{00000000-0005-0000-0000-00002B120000}"/>
    <cellStyle name="20% - Accent3 3 2 2 2 5 3" xfId="18921" xr:uid="{00000000-0005-0000-0000-00002C120000}"/>
    <cellStyle name="20% - Accent3 3 2 2 2 5 3 2" xfId="47927" xr:uid="{00000000-0005-0000-0000-00002D120000}"/>
    <cellStyle name="20% - Accent3 3 2 2 2 5 4" xfId="33428" xr:uid="{00000000-0005-0000-0000-00002E120000}"/>
    <cellStyle name="20% - Accent3 3 2 2 2 6" xfId="7467" xr:uid="{00000000-0005-0000-0000-00002F120000}"/>
    <cellStyle name="20% - Accent3 3 2 2 2 6 2" xfId="14739" xr:uid="{00000000-0005-0000-0000-000030120000}"/>
    <cellStyle name="20% - Accent3 3 2 2 2 6 2 2" xfId="29273" xr:uid="{00000000-0005-0000-0000-000031120000}"/>
    <cellStyle name="20% - Accent3 3 2 2 2 6 2 2 2" xfId="58279" xr:uid="{00000000-0005-0000-0000-000032120000}"/>
    <cellStyle name="20% - Accent3 3 2 2 2 6 2 3" xfId="43780" xr:uid="{00000000-0005-0000-0000-000033120000}"/>
    <cellStyle name="20% - Accent3 3 2 2 2 6 3" xfId="22025" xr:uid="{00000000-0005-0000-0000-000034120000}"/>
    <cellStyle name="20% - Accent3 3 2 2 2 6 3 2" xfId="51031" xr:uid="{00000000-0005-0000-0000-000035120000}"/>
    <cellStyle name="20% - Accent3 3 2 2 2 6 4" xfId="36532" xr:uid="{00000000-0005-0000-0000-000036120000}"/>
    <cellStyle name="20% - Accent3 3 2 2 2 7" xfId="8531" xr:uid="{00000000-0005-0000-0000-000037120000}"/>
    <cellStyle name="20% - Accent3 3 2 2 2 7 2" xfId="23065" xr:uid="{00000000-0005-0000-0000-000038120000}"/>
    <cellStyle name="20% - Accent3 3 2 2 2 7 2 2" xfId="52071" xr:uid="{00000000-0005-0000-0000-000039120000}"/>
    <cellStyle name="20% - Accent3 3 2 2 2 7 3" xfId="37572" xr:uid="{00000000-0005-0000-0000-00003A120000}"/>
    <cellStyle name="20% - Accent3 3 2 2 2 8" xfId="15817" xr:uid="{00000000-0005-0000-0000-00003B120000}"/>
    <cellStyle name="20% - Accent3 3 2 2 2 8 2" xfId="44823" xr:uid="{00000000-0005-0000-0000-00003C120000}"/>
    <cellStyle name="20% - Accent3 3 2 2 2 9" xfId="30324" xr:uid="{00000000-0005-0000-0000-00003D120000}"/>
    <cellStyle name="20% - Accent3 3 2 2 3" xfId="1447" xr:uid="{00000000-0005-0000-0000-00003E120000}"/>
    <cellStyle name="20% - Accent3 3 2 2 3 2" xfId="2505" xr:uid="{00000000-0005-0000-0000-00003F120000}"/>
    <cellStyle name="20% - Accent3 3 2 2 3 2 2" xfId="5609" xr:uid="{00000000-0005-0000-0000-000040120000}"/>
    <cellStyle name="20% - Accent3 3 2 2 3 2 2 2" xfId="12881" xr:uid="{00000000-0005-0000-0000-000041120000}"/>
    <cellStyle name="20% - Accent3 3 2 2 3 2 2 2 2" xfId="27415" xr:uid="{00000000-0005-0000-0000-000042120000}"/>
    <cellStyle name="20% - Accent3 3 2 2 3 2 2 2 2 2" xfId="56421" xr:uid="{00000000-0005-0000-0000-000043120000}"/>
    <cellStyle name="20% - Accent3 3 2 2 3 2 2 2 3" xfId="41922" xr:uid="{00000000-0005-0000-0000-000044120000}"/>
    <cellStyle name="20% - Accent3 3 2 2 3 2 2 3" xfId="20167" xr:uid="{00000000-0005-0000-0000-000045120000}"/>
    <cellStyle name="20% - Accent3 3 2 2 3 2 2 3 2" xfId="49173" xr:uid="{00000000-0005-0000-0000-000046120000}"/>
    <cellStyle name="20% - Accent3 3 2 2 3 2 2 4" xfId="34674" xr:uid="{00000000-0005-0000-0000-000047120000}"/>
    <cellStyle name="20% - Accent3 3 2 2 3 2 3" xfId="9777" xr:uid="{00000000-0005-0000-0000-000048120000}"/>
    <cellStyle name="20% - Accent3 3 2 2 3 2 3 2" xfId="24311" xr:uid="{00000000-0005-0000-0000-000049120000}"/>
    <cellStyle name="20% - Accent3 3 2 2 3 2 3 2 2" xfId="53317" xr:uid="{00000000-0005-0000-0000-00004A120000}"/>
    <cellStyle name="20% - Accent3 3 2 2 3 2 3 3" xfId="38818" xr:uid="{00000000-0005-0000-0000-00004B120000}"/>
    <cellStyle name="20% - Accent3 3 2 2 3 2 4" xfId="17063" xr:uid="{00000000-0005-0000-0000-00004C120000}"/>
    <cellStyle name="20% - Accent3 3 2 2 3 2 4 2" xfId="46069" xr:uid="{00000000-0005-0000-0000-00004D120000}"/>
    <cellStyle name="20% - Accent3 3 2 2 3 2 5" xfId="31570" xr:uid="{00000000-0005-0000-0000-00004E120000}"/>
    <cellStyle name="20% - Accent3 3 2 2 3 3" xfId="3537" xr:uid="{00000000-0005-0000-0000-00004F120000}"/>
    <cellStyle name="20% - Accent3 3 2 2 3 3 2" xfId="6641" xr:uid="{00000000-0005-0000-0000-000050120000}"/>
    <cellStyle name="20% - Accent3 3 2 2 3 3 2 2" xfId="13913" xr:uid="{00000000-0005-0000-0000-000051120000}"/>
    <cellStyle name="20% - Accent3 3 2 2 3 3 2 2 2" xfId="28447" xr:uid="{00000000-0005-0000-0000-000052120000}"/>
    <cellStyle name="20% - Accent3 3 2 2 3 3 2 2 2 2" xfId="57453" xr:uid="{00000000-0005-0000-0000-000053120000}"/>
    <cellStyle name="20% - Accent3 3 2 2 3 3 2 2 3" xfId="42954" xr:uid="{00000000-0005-0000-0000-000054120000}"/>
    <cellStyle name="20% - Accent3 3 2 2 3 3 2 3" xfId="21199" xr:uid="{00000000-0005-0000-0000-000055120000}"/>
    <cellStyle name="20% - Accent3 3 2 2 3 3 2 3 2" xfId="50205" xr:uid="{00000000-0005-0000-0000-000056120000}"/>
    <cellStyle name="20% - Accent3 3 2 2 3 3 2 4" xfId="35706" xr:uid="{00000000-0005-0000-0000-000057120000}"/>
    <cellStyle name="20% - Accent3 3 2 2 3 3 3" xfId="10809" xr:uid="{00000000-0005-0000-0000-000058120000}"/>
    <cellStyle name="20% - Accent3 3 2 2 3 3 3 2" xfId="25343" xr:uid="{00000000-0005-0000-0000-000059120000}"/>
    <cellStyle name="20% - Accent3 3 2 2 3 3 3 2 2" xfId="54349" xr:uid="{00000000-0005-0000-0000-00005A120000}"/>
    <cellStyle name="20% - Accent3 3 2 2 3 3 3 3" xfId="39850" xr:uid="{00000000-0005-0000-0000-00005B120000}"/>
    <cellStyle name="20% - Accent3 3 2 2 3 3 4" xfId="18095" xr:uid="{00000000-0005-0000-0000-00005C120000}"/>
    <cellStyle name="20% - Accent3 3 2 2 3 3 4 2" xfId="47101" xr:uid="{00000000-0005-0000-0000-00005D120000}"/>
    <cellStyle name="20% - Accent3 3 2 2 3 3 5" xfId="32602" xr:uid="{00000000-0005-0000-0000-00005E120000}"/>
    <cellStyle name="20% - Accent3 3 2 2 3 4" xfId="4569" xr:uid="{00000000-0005-0000-0000-00005F120000}"/>
    <cellStyle name="20% - Accent3 3 2 2 3 4 2" xfId="11841" xr:uid="{00000000-0005-0000-0000-000060120000}"/>
    <cellStyle name="20% - Accent3 3 2 2 3 4 2 2" xfId="26375" xr:uid="{00000000-0005-0000-0000-000061120000}"/>
    <cellStyle name="20% - Accent3 3 2 2 3 4 2 2 2" xfId="55381" xr:uid="{00000000-0005-0000-0000-000062120000}"/>
    <cellStyle name="20% - Accent3 3 2 2 3 4 2 3" xfId="40882" xr:uid="{00000000-0005-0000-0000-000063120000}"/>
    <cellStyle name="20% - Accent3 3 2 2 3 4 3" xfId="19127" xr:uid="{00000000-0005-0000-0000-000064120000}"/>
    <cellStyle name="20% - Accent3 3 2 2 3 4 3 2" xfId="48133" xr:uid="{00000000-0005-0000-0000-000065120000}"/>
    <cellStyle name="20% - Accent3 3 2 2 3 4 4" xfId="33634" xr:uid="{00000000-0005-0000-0000-000066120000}"/>
    <cellStyle name="20% - Accent3 3 2 2 3 5" xfId="7673" xr:uid="{00000000-0005-0000-0000-000067120000}"/>
    <cellStyle name="20% - Accent3 3 2 2 3 5 2" xfId="14945" xr:uid="{00000000-0005-0000-0000-000068120000}"/>
    <cellStyle name="20% - Accent3 3 2 2 3 5 2 2" xfId="29479" xr:uid="{00000000-0005-0000-0000-000069120000}"/>
    <cellStyle name="20% - Accent3 3 2 2 3 5 2 2 2" xfId="58485" xr:uid="{00000000-0005-0000-0000-00006A120000}"/>
    <cellStyle name="20% - Accent3 3 2 2 3 5 2 3" xfId="43986" xr:uid="{00000000-0005-0000-0000-00006B120000}"/>
    <cellStyle name="20% - Accent3 3 2 2 3 5 3" xfId="22231" xr:uid="{00000000-0005-0000-0000-00006C120000}"/>
    <cellStyle name="20% - Accent3 3 2 2 3 5 3 2" xfId="51237" xr:uid="{00000000-0005-0000-0000-00006D120000}"/>
    <cellStyle name="20% - Accent3 3 2 2 3 5 4" xfId="36738" xr:uid="{00000000-0005-0000-0000-00006E120000}"/>
    <cellStyle name="20% - Accent3 3 2 2 3 6" xfId="8737" xr:uid="{00000000-0005-0000-0000-00006F120000}"/>
    <cellStyle name="20% - Accent3 3 2 2 3 6 2" xfId="23271" xr:uid="{00000000-0005-0000-0000-000070120000}"/>
    <cellStyle name="20% - Accent3 3 2 2 3 6 2 2" xfId="52277" xr:uid="{00000000-0005-0000-0000-000071120000}"/>
    <cellStyle name="20% - Accent3 3 2 2 3 6 3" xfId="37778" xr:uid="{00000000-0005-0000-0000-000072120000}"/>
    <cellStyle name="20% - Accent3 3 2 2 3 7" xfId="16023" xr:uid="{00000000-0005-0000-0000-000073120000}"/>
    <cellStyle name="20% - Accent3 3 2 2 3 7 2" xfId="45029" xr:uid="{00000000-0005-0000-0000-000074120000}"/>
    <cellStyle name="20% - Accent3 3 2 2 3 8" xfId="30530" xr:uid="{00000000-0005-0000-0000-000075120000}"/>
    <cellStyle name="20% - Accent3 3 2 2 4" xfId="1993" xr:uid="{00000000-0005-0000-0000-000076120000}"/>
    <cellStyle name="20% - Accent3 3 2 2 4 2" xfId="5097" xr:uid="{00000000-0005-0000-0000-000077120000}"/>
    <cellStyle name="20% - Accent3 3 2 2 4 2 2" xfId="12369" xr:uid="{00000000-0005-0000-0000-000078120000}"/>
    <cellStyle name="20% - Accent3 3 2 2 4 2 2 2" xfId="26903" xr:uid="{00000000-0005-0000-0000-000079120000}"/>
    <cellStyle name="20% - Accent3 3 2 2 4 2 2 2 2" xfId="55909" xr:uid="{00000000-0005-0000-0000-00007A120000}"/>
    <cellStyle name="20% - Accent3 3 2 2 4 2 2 3" xfId="41410" xr:uid="{00000000-0005-0000-0000-00007B120000}"/>
    <cellStyle name="20% - Accent3 3 2 2 4 2 3" xfId="19655" xr:uid="{00000000-0005-0000-0000-00007C120000}"/>
    <cellStyle name="20% - Accent3 3 2 2 4 2 3 2" xfId="48661" xr:uid="{00000000-0005-0000-0000-00007D120000}"/>
    <cellStyle name="20% - Accent3 3 2 2 4 2 4" xfId="34162" xr:uid="{00000000-0005-0000-0000-00007E120000}"/>
    <cellStyle name="20% - Accent3 3 2 2 4 3" xfId="9265" xr:uid="{00000000-0005-0000-0000-00007F120000}"/>
    <cellStyle name="20% - Accent3 3 2 2 4 3 2" xfId="23799" xr:uid="{00000000-0005-0000-0000-000080120000}"/>
    <cellStyle name="20% - Accent3 3 2 2 4 3 2 2" xfId="52805" xr:uid="{00000000-0005-0000-0000-000081120000}"/>
    <cellStyle name="20% - Accent3 3 2 2 4 3 3" xfId="38306" xr:uid="{00000000-0005-0000-0000-000082120000}"/>
    <cellStyle name="20% - Accent3 3 2 2 4 4" xfId="16551" xr:uid="{00000000-0005-0000-0000-000083120000}"/>
    <cellStyle name="20% - Accent3 3 2 2 4 4 2" xfId="45557" xr:uid="{00000000-0005-0000-0000-000084120000}"/>
    <cellStyle name="20% - Accent3 3 2 2 4 5" xfId="31058" xr:uid="{00000000-0005-0000-0000-000085120000}"/>
    <cellStyle name="20% - Accent3 3 2 2 5" xfId="3025" xr:uid="{00000000-0005-0000-0000-000086120000}"/>
    <cellStyle name="20% - Accent3 3 2 2 5 2" xfId="6129" xr:uid="{00000000-0005-0000-0000-000087120000}"/>
    <cellStyle name="20% - Accent3 3 2 2 5 2 2" xfId="13401" xr:uid="{00000000-0005-0000-0000-000088120000}"/>
    <cellStyle name="20% - Accent3 3 2 2 5 2 2 2" xfId="27935" xr:uid="{00000000-0005-0000-0000-000089120000}"/>
    <cellStyle name="20% - Accent3 3 2 2 5 2 2 2 2" xfId="56941" xr:uid="{00000000-0005-0000-0000-00008A120000}"/>
    <cellStyle name="20% - Accent3 3 2 2 5 2 2 3" xfId="42442" xr:uid="{00000000-0005-0000-0000-00008B120000}"/>
    <cellStyle name="20% - Accent3 3 2 2 5 2 3" xfId="20687" xr:uid="{00000000-0005-0000-0000-00008C120000}"/>
    <cellStyle name="20% - Accent3 3 2 2 5 2 3 2" xfId="49693" xr:uid="{00000000-0005-0000-0000-00008D120000}"/>
    <cellStyle name="20% - Accent3 3 2 2 5 2 4" xfId="35194" xr:uid="{00000000-0005-0000-0000-00008E120000}"/>
    <cellStyle name="20% - Accent3 3 2 2 5 3" xfId="10297" xr:uid="{00000000-0005-0000-0000-00008F120000}"/>
    <cellStyle name="20% - Accent3 3 2 2 5 3 2" xfId="24831" xr:uid="{00000000-0005-0000-0000-000090120000}"/>
    <cellStyle name="20% - Accent3 3 2 2 5 3 2 2" xfId="53837" xr:uid="{00000000-0005-0000-0000-000091120000}"/>
    <cellStyle name="20% - Accent3 3 2 2 5 3 3" xfId="39338" xr:uid="{00000000-0005-0000-0000-000092120000}"/>
    <cellStyle name="20% - Accent3 3 2 2 5 4" xfId="17583" xr:uid="{00000000-0005-0000-0000-000093120000}"/>
    <cellStyle name="20% - Accent3 3 2 2 5 4 2" xfId="46589" xr:uid="{00000000-0005-0000-0000-000094120000}"/>
    <cellStyle name="20% - Accent3 3 2 2 5 5" xfId="32090" xr:uid="{00000000-0005-0000-0000-000095120000}"/>
    <cellStyle name="20% - Accent3 3 2 2 6" xfId="4057" xr:uid="{00000000-0005-0000-0000-000096120000}"/>
    <cellStyle name="20% - Accent3 3 2 2 6 2" xfId="11329" xr:uid="{00000000-0005-0000-0000-000097120000}"/>
    <cellStyle name="20% - Accent3 3 2 2 6 2 2" xfId="25863" xr:uid="{00000000-0005-0000-0000-000098120000}"/>
    <cellStyle name="20% - Accent3 3 2 2 6 2 2 2" xfId="54869" xr:uid="{00000000-0005-0000-0000-000099120000}"/>
    <cellStyle name="20% - Accent3 3 2 2 6 2 3" xfId="40370" xr:uid="{00000000-0005-0000-0000-00009A120000}"/>
    <cellStyle name="20% - Accent3 3 2 2 6 3" xfId="18615" xr:uid="{00000000-0005-0000-0000-00009B120000}"/>
    <cellStyle name="20% - Accent3 3 2 2 6 3 2" xfId="47621" xr:uid="{00000000-0005-0000-0000-00009C120000}"/>
    <cellStyle name="20% - Accent3 3 2 2 6 4" xfId="33122" xr:uid="{00000000-0005-0000-0000-00009D120000}"/>
    <cellStyle name="20% - Accent3 3 2 2 7" xfId="7161" xr:uid="{00000000-0005-0000-0000-00009E120000}"/>
    <cellStyle name="20% - Accent3 3 2 2 7 2" xfId="14433" xr:uid="{00000000-0005-0000-0000-00009F120000}"/>
    <cellStyle name="20% - Accent3 3 2 2 7 2 2" xfId="28967" xr:uid="{00000000-0005-0000-0000-0000A0120000}"/>
    <cellStyle name="20% - Accent3 3 2 2 7 2 2 2" xfId="57973" xr:uid="{00000000-0005-0000-0000-0000A1120000}"/>
    <cellStyle name="20% - Accent3 3 2 2 7 2 3" xfId="43474" xr:uid="{00000000-0005-0000-0000-0000A2120000}"/>
    <cellStyle name="20% - Accent3 3 2 2 7 3" xfId="21719" xr:uid="{00000000-0005-0000-0000-0000A3120000}"/>
    <cellStyle name="20% - Accent3 3 2 2 7 3 2" xfId="50725" xr:uid="{00000000-0005-0000-0000-0000A4120000}"/>
    <cellStyle name="20% - Accent3 3 2 2 7 4" xfId="36226" xr:uid="{00000000-0005-0000-0000-0000A5120000}"/>
    <cellStyle name="20% - Accent3 3 2 2 8" xfId="8225" xr:uid="{00000000-0005-0000-0000-0000A6120000}"/>
    <cellStyle name="20% - Accent3 3 2 2 8 2" xfId="22759" xr:uid="{00000000-0005-0000-0000-0000A7120000}"/>
    <cellStyle name="20% - Accent3 3 2 2 8 2 2" xfId="51765" xr:uid="{00000000-0005-0000-0000-0000A8120000}"/>
    <cellStyle name="20% - Accent3 3 2 2 8 3" xfId="37266" xr:uid="{00000000-0005-0000-0000-0000A9120000}"/>
    <cellStyle name="20% - Accent3 3 2 2 9" xfId="15511" xr:uid="{00000000-0005-0000-0000-0000AA120000}"/>
    <cellStyle name="20% - Accent3 3 2 2 9 2" xfId="44517" xr:uid="{00000000-0005-0000-0000-0000AB120000}"/>
    <cellStyle name="20% - Accent3 3 2 3" xfId="1150" xr:uid="{00000000-0005-0000-0000-0000AC120000}"/>
    <cellStyle name="20% - Accent3 3 2 3 2" xfId="1649" xr:uid="{00000000-0005-0000-0000-0000AD120000}"/>
    <cellStyle name="20% - Accent3 3 2 3 2 2" xfId="2708" xr:uid="{00000000-0005-0000-0000-0000AE120000}"/>
    <cellStyle name="20% - Accent3 3 2 3 2 2 2" xfId="5812" xr:uid="{00000000-0005-0000-0000-0000AF120000}"/>
    <cellStyle name="20% - Accent3 3 2 3 2 2 2 2" xfId="13084" xr:uid="{00000000-0005-0000-0000-0000B0120000}"/>
    <cellStyle name="20% - Accent3 3 2 3 2 2 2 2 2" xfId="27618" xr:uid="{00000000-0005-0000-0000-0000B1120000}"/>
    <cellStyle name="20% - Accent3 3 2 3 2 2 2 2 2 2" xfId="56624" xr:uid="{00000000-0005-0000-0000-0000B2120000}"/>
    <cellStyle name="20% - Accent3 3 2 3 2 2 2 2 3" xfId="42125" xr:uid="{00000000-0005-0000-0000-0000B3120000}"/>
    <cellStyle name="20% - Accent3 3 2 3 2 2 2 3" xfId="20370" xr:uid="{00000000-0005-0000-0000-0000B4120000}"/>
    <cellStyle name="20% - Accent3 3 2 3 2 2 2 3 2" xfId="49376" xr:uid="{00000000-0005-0000-0000-0000B5120000}"/>
    <cellStyle name="20% - Accent3 3 2 3 2 2 2 4" xfId="34877" xr:uid="{00000000-0005-0000-0000-0000B6120000}"/>
    <cellStyle name="20% - Accent3 3 2 3 2 2 3" xfId="9980" xr:uid="{00000000-0005-0000-0000-0000B7120000}"/>
    <cellStyle name="20% - Accent3 3 2 3 2 2 3 2" xfId="24514" xr:uid="{00000000-0005-0000-0000-0000B8120000}"/>
    <cellStyle name="20% - Accent3 3 2 3 2 2 3 2 2" xfId="53520" xr:uid="{00000000-0005-0000-0000-0000B9120000}"/>
    <cellStyle name="20% - Accent3 3 2 3 2 2 3 3" xfId="39021" xr:uid="{00000000-0005-0000-0000-0000BA120000}"/>
    <cellStyle name="20% - Accent3 3 2 3 2 2 4" xfId="17266" xr:uid="{00000000-0005-0000-0000-0000BB120000}"/>
    <cellStyle name="20% - Accent3 3 2 3 2 2 4 2" xfId="46272" xr:uid="{00000000-0005-0000-0000-0000BC120000}"/>
    <cellStyle name="20% - Accent3 3 2 3 2 2 5" xfId="31773" xr:uid="{00000000-0005-0000-0000-0000BD120000}"/>
    <cellStyle name="20% - Accent3 3 2 3 2 3" xfId="3740" xr:uid="{00000000-0005-0000-0000-0000BE120000}"/>
    <cellStyle name="20% - Accent3 3 2 3 2 3 2" xfId="6844" xr:uid="{00000000-0005-0000-0000-0000BF120000}"/>
    <cellStyle name="20% - Accent3 3 2 3 2 3 2 2" xfId="14116" xr:uid="{00000000-0005-0000-0000-0000C0120000}"/>
    <cellStyle name="20% - Accent3 3 2 3 2 3 2 2 2" xfId="28650" xr:uid="{00000000-0005-0000-0000-0000C1120000}"/>
    <cellStyle name="20% - Accent3 3 2 3 2 3 2 2 2 2" xfId="57656" xr:uid="{00000000-0005-0000-0000-0000C2120000}"/>
    <cellStyle name="20% - Accent3 3 2 3 2 3 2 2 3" xfId="43157" xr:uid="{00000000-0005-0000-0000-0000C3120000}"/>
    <cellStyle name="20% - Accent3 3 2 3 2 3 2 3" xfId="21402" xr:uid="{00000000-0005-0000-0000-0000C4120000}"/>
    <cellStyle name="20% - Accent3 3 2 3 2 3 2 3 2" xfId="50408" xr:uid="{00000000-0005-0000-0000-0000C5120000}"/>
    <cellStyle name="20% - Accent3 3 2 3 2 3 2 4" xfId="35909" xr:uid="{00000000-0005-0000-0000-0000C6120000}"/>
    <cellStyle name="20% - Accent3 3 2 3 2 3 3" xfId="11012" xr:uid="{00000000-0005-0000-0000-0000C7120000}"/>
    <cellStyle name="20% - Accent3 3 2 3 2 3 3 2" xfId="25546" xr:uid="{00000000-0005-0000-0000-0000C8120000}"/>
    <cellStyle name="20% - Accent3 3 2 3 2 3 3 2 2" xfId="54552" xr:uid="{00000000-0005-0000-0000-0000C9120000}"/>
    <cellStyle name="20% - Accent3 3 2 3 2 3 3 3" xfId="40053" xr:uid="{00000000-0005-0000-0000-0000CA120000}"/>
    <cellStyle name="20% - Accent3 3 2 3 2 3 4" xfId="18298" xr:uid="{00000000-0005-0000-0000-0000CB120000}"/>
    <cellStyle name="20% - Accent3 3 2 3 2 3 4 2" xfId="47304" xr:uid="{00000000-0005-0000-0000-0000CC120000}"/>
    <cellStyle name="20% - Accent3 3 2 3 2 3 5" xfId="32805" xr:uid="{00000000-0005-0000-0000-0000CD120000}"/>
    <cellStyle name="20% - Accent3 3 2 3 2 4" xfId="4772" xr:uid="{00000000-0005-0000-0000-0000CE120000}"/>
    <cellStyle name="20% - Accent3 3 2 3 2 4 2" xfId="12044" xr:uid="{00000000-0005-0000-0000-0000CF120000}"/>
    <cellStyle name="20% - Accent3 3 2 3 2 4 2 2" xfId="26578" xr:uid="{00000000-0005-0000-0000-0000D0120000}"/>
    <cellStyle name="20% - Accent3 3 2 3 2 4 2 2 2" xfId="55584" xr:uid="{00000000-0005-0000-0000-0000D1120000}"/>
    <cellStyle name="20% - Accent3 3 2 3 2 4 2 3" xfId="41085" xr:uid="{00000000-0005-0000-0000-0000D2120000}"/>
    <cellStyle name="20% - Accent3 3 2 3 2 4 3" xfId="19330" xr:uid="{00000000-0005-0000-0000-0000D3120000}"/>
    <cellStyle name="20% - Accent3 3 2 3 2 4 3 2" xfId="48336" xr:uid="{00000000-0005-0000-0000-0000D4120000}"/>
    <cellStyle name="20% - Accent3 3 2 3 2 4 4" xfId="33837" xr:uid="{00000000-0005-0000-0000-0000D5120000}"/>
    <cellStyle name="20% - Accent3 3 2 3 2 5" xfId="7876" xr:uid="{00000000-0005-0000-0000-0000D6120000}"/>
    <cellStyle name="20% - Accent3 3 2 3 2 5 2" xfId="15148" xr:uid="{00000000-0005-0000-0000-0000D7120000}"/>
    <cellStyle name="20% - Accent3 3 2 3 2 5 2 2" xfId="29682" xr:uid="{00000000-0005-0000-0000-0000D8120000}"/>
    <cellStyle name="20% - Accent3 3 2 3 2 5 2 2 2" xfId="58688" xr:uid="{00000000-0005-0000-0000-0000D9120000}"/>
    <cellStyle name="20% - Accent3 3 2 3 2 5 2 3" xfId="44189" xr:uid="{00000000-0005-0000-0000-0000DA120000}"/>
    <cellStyle name="20% - Accent3 3 2 3 2 5 3" xfId="22434" xr:uid="{00000000-0005-0000-0000-0000DB120000}"/>
    <cellStyle name="20% - Accent3 3 2 3 2 5 3 2" xfId="51440" xr:uid="{00000000-0005-0000-0000-0000DC120000}"/>
    <cellStyle name="20% - Accent3 3 2 3 2 5 4" xfId="36941" xr:uid="{00000000-0005-0000-0000-0000DD120000}"/>
    <cellStyle name="20% - Accent3 3 2 3 2 6" xfId="8940" xr:uid="{00000000-0005-0000-0000-0000DE120000}"/>
    <cellStyle name="20% - Accent3 3 2 3 2 6 2" xfId="23474" xr:uid="{00000000-0005-0000-0000-0000DF120000}"/>
    <cellStyle name="20% - Accent3 3 2 3 2 6 2 2" xfId="52480" xr:uid="{00000000-0005-0000-0000-0000E0120000}"/>
    <cellStyle name="20% - Accent3 3 2 3 2 6 3" xfId="37981" xr:uid="{00000000-0005-0000-0000-0000E1120000}"/>
    <cellStyle name="20% - Accent3 3 2 3 2 7" xfId="16226" xr:uid="{00000000-0005-0000-0000-0000E2120000}"/>
    <cellStyle name="20% - Accent3 3 2 3 2 7 2" xfId="45232" xr:uid="{00000000-0005-0000-0000-0000E3120000}"/>
    <cellStyle name="20% - Accent3 3 2 3 2 8" xfId="30733" xr:uid="{00000000-0005-0000-0000-0000E4120000}"/>
    <cellStyle name="20% - Accent3 3 2 3 3" xfId="2196" xr:uid="{00000000-0005-0000-0000-0000E5120000}"/>
    <cellStyle name="20% - Accent3 3 2 3 3 2" xfId="5300" xr:uid="{00000000-0005-0000-0000-0000E6120000}"/>
    <cellStyle name="20% - Accent3 3 2 3 3 2 2" xfId="12572" xr:uid="{00000000-0005-0000-0000-0000E7120000}"/>
    <cellStyle name="20% - Accent3 3 2 3 3 2 2 2" xfId="27106" xr:uid="{00000000-0005-0000-0000-0000E8120000}"/>
    <cellStyle name="20% - Accent3 3 2 3 3 2 2 2 2" xfId="56112" xr:uid="{00000000-0005-0000-0000-0000E9120000}"/>
    <cellStyle name="20% - Accent3 3 2 3 3 2 2 3" xfId="41613" xr:uid="{00000000-0005-0000-0000-0000EA120000}"/>
    <cellStyle name="20% - Accent3 3 2 3 3 2 3" xfId="19858" xr:uid="{00000000-0005-0000-0000-0000EB120000}"/>
    <cellStyle name="20% - Accent3 3 2 3 3 2 3 2" xfId="48864" xr:uid="{00000000-0005-0000-0000-0000EC120000}"/>
    <cellStyle name="20% - Accent3 3 2 3 3 2 4" xfId="34365" xr:uid="{00000000-0005-0000-0000-0000ED120000}"/>
    <cellStyle name="20% - Accent3 3 2 3 3 3" xfId="9468" xr:uid="{00000000-0005-0000-0000-0000EE120000}"/>
    <cellStyle name="20% - Accent3 3 2 3 3 3 2" xfId="24002" xr:uid="{00000000-0005-0000-0000-0000EF120000}"/>
    <cellStyle name="20% - Accent3 3 2 3 3 3 2 2" xfId="53008" xr:uid="{00000000-0005-0000-0000-0000F0120000}"/>
    <cellStyle name="20% - Accent3 3 2 3 3 3 3" xfId="38509" xr:uid="{00000000-0005-0000-0000-0000F1120000}"/>
    <cellStyle name="20% - Accent3 3 2 3 3 4" xfId="16754" xr:uid="{00000000-0005-0000-0000-0000F2120000}"/>
    <cellStyle name="20% - Accent3 3 2 3 3 4 2" xfId="45760" xr:uid="{00000000-0005-0000-0000-0000F3120000}"/>
    <cellStyle name="20% - Accent3 3 2 3 3 5" xfId="31261" xr:uid="{00000000-0005-0000-0000-0000F4120000}"/>
    <cellStyle name="20% - Accent3 3 2 3 4" xfId="3228" xr:uid="{00000000-0005-0000-0000-0000F5120000}"/>
    <cellStyle name="20% - Accent3 3 2 3 4 2" xfId="6332" xr:uid="{00000000-0005-0000-0000-0000F6120000}"/>
    <cellStyle name="20% - Accent3 3 2 3 4 2 2" xfId="13604" xr:uid="{00000000-0005-0000-0000-0000F7120000}"/>
    <cellStyle name="20% - Accent3 3 2 3 4 2 2 2" xfId="28138" xr:uid="{00000000-0005-0000-0000-0000F8120000}"/>
    <cellStyle name="20% - Accent3 3 2 3 4 2 2 2 2" xfId="57144" xr:uid="{00000000-0005-0000-0000-0000F9120000}"/>
    <cellStyle name="20% - Accent3 3 2 3 4 2 2 3" xfId="42645" xr:uid="{00000000-0005-0000-0000-0000FA120000}"/>
    <cellStyle name="20% - Accent3 3 2 3 4 2 3" xfId="20890" xr:uid="{00000000-0005-0000-0000-0000FB120000}"/>
    <cellStyle name="20% - Accent3 3 2 3 4 2 3 2" xfId="49896" xr:uid="{00000000-0005-0000-0000-0000FC120000}"/>
    <cellStyle name="20% - Accent3 3 2 3 4 2 4" xfId="35397" xr:uid="{00000000-0005-0000-0000-0000FD120000}"/>
    <cellStyle name="20% - Accent3 3 2 3 4 3" xfId="10500" xr:uid="{00000000-0005-0000-0000-0000FE120000}"/>
    <cellStyle name="20% - Accent3 3 2 3 4 3 2" xfId="25034" xr:uid="{00000000-0005-0000-0000-0000FF120000}"/>
    <cellStyle name="20% - Accent3 3 2 3 4 3 2 2" xfId="54040" xr:uid="{00000000-0005-0000-0000-000000130000}"/>
    <cellStyle name="20% - Accent3 3 2 3 4 3 3" xfId="39541" xr:uid="{00000000-0005-0000-0000-000001130000}"/>
    <cellStyle name="20% - Accent3 3 2 3 4 4" xfId="17786" xr:uid="{00000000-0005-0000-0000-000002130000}"/>
    <cellStyle name="20% - Accent3 3 2 3 4 4 2" xfId="46792" xr:uid="{00000000-0005-0000-0000-000003130000}"/>
    <cellStyle name="20% - Accent3 3 2 3 4 5" xfId="32293" xr:uid="{00000000-0005-0000-0000-000004130000}"/>
    <cellStyle name="20% - Accent3 3 2 3 5" xfId="4260" xr:uid="{00000000-0005-0000-0000-000005130000}"/>
    <cellStyle name="20% - Accent3 3 2 3 5 2" xfId="11532" xr:uid="{00000000-0005-0000-0000-000006130000}"/>
    <cellStyle name="20% - Accent3 3 2 3 5 2 2" xfId="26066" xr:uid="{00000000-0005-0000-0000-000007130000}"/>
    <cellStyle name="20% - Accent3 3 2 3 5 2 2 2" xfId="55072" xr:uid="{00000000-0005-0000-0000-000008130000}"/>
    <cellStyle name="20% - Accent3 3 2 3 5 2 3" xfId="40573" xr:uid="{00000000-0005-0000-0000-000009130000}"/>
    <cellStyle name="20% - Accent3 3 2 3 5 3" xfId="18818" xr:uid="{00000000-0005-0000-0000-00000A130000}"/>
    <cellStyle name="20% - Accent3 3 2 3 5 3 2" xfId="47824" xr:uid="{00000000-0005-0000-0000-00000B130000}"/>
    <cellStyle name="20% - Accent3 3 2 3 5 4" xfId="33325" xr:uid="{00000000-0005-0000-0000-00000C130000}"/>
    <cellStyle name="20% - Accent3 3 2 3 6" xfId="7364" xr:uid="{00000000-0005-0000-0000-00000D130000}"/>
    <cellStyle name="20% - Accent3 3 2 3 6 2" xfId="14636" xr:uid="{00000000-0005-0000-0000-00000E130000}"/>
    <cellStyle name="20% - Accent3 3 2 3 6 2 2" xfId="29170" xr:uid="{00000000-0005-0000-0000-00000F130000}"/>
    <cellStyle name="20% - Accent3 3 2 3 6 2 2 2" xfId="58176" xr:uid="{00000000-0005-0000-0000-000010130000}"/>
    <cellStyle name="20% - Accent3 3 2 3 6 2 3" xfId="43677" xr:uid="{00000000-0005-0000-0000-000011130000}"/>
    <cellStyle name="20% - Accent3 3 2 3 6 3" xfId="21922" xr:uid="{00000000-0005-0000-0000-000012130000}"/>
    <cellStyle name="20% - Accent3 3 2 3 6 3 2" xfId="50928" xr:uid="{00000000-0005-0000-0000-000013130000}"/>
    <cellStyle name="20% - Accent3 3 2 3 6 4" xfId="36429" xr:uid="{00000000-0005-0000-0000-000014130000}"/>
    <cellStyle name="20% - Accent3 3 2 3 7" xfId="8428" xr:uid="{00000000-0005-0000-0000-000015130000}"/>
    <cellStyle name="20% - Accent3 3 2 3 7 2" xfId="22962" xr:uid="{00000000-0005-0000-0000-000016130000}"/>
    <cellStyle name="20% - Accent3 3 2 3 7 2 2" xfId="51968" xr:uid="{00000000-0005-0000-0000-000017130000}"/>
    <cellStyle name="20% - Accent3 3 2 3 7 3" xfId="37469" xr:uid="{00000000-0005-0000-0000-000018130000}"/>
    <cellStyle name="20% - Accent3 3 2 3 8" xfId="15714" xr:uid="{00000000-0005-0000-0000-000019130000}"/>
    <cellStyle name="20% - Accent3 3 2 3 8 2" xfId="44720" xr:uid="{00000000-0005-0000-0000-00001A130000}"/>
    <cellStyle name="20% - Accent3 3 2 3 9" xfId="30221" xr:uid="{00000000-0005-0000-0000-00001B130000}"/>
    <cellStyle name="20% - Accent3 3 2 4" xfId="1059" xr:uid="{00000000-0005-0000-0000-00001C130000}"/>
    <cellStyle name="20% - Accent3 3 2 4 2" xfId="1550" xr:uid="{00000000-0005-0000-0000-00001D130000}"/>
    <cellStyle name="20% - Accent3 3 2 4 2 2" xfId="2608" xr:uid="{00000000-0005-0000-0000-00001E130000}"/>
    <cellStyle name="20% - Accent3 3 2 4 2 2 2" xfId="5712" xr:uid="{00000000-0005-0000-0000-00001F130000}"/>
    <cellStyle name="20% - Accent3 3 2 4 2 2 2 2" xfId="12984" xr:uid="{00000000-0005-0000-0000-000020130000}"/>
    <cellStyle name="20% - Accent3 3 2 4 2 2 2 2 2" xfId="27518" xr:uid="{00000000-0005-0000-0000-000021130000}"/>
    <cellStyle name="20% - Accent3 3 2 4 2 2 2 2 2 2" xfId="56524" xr:uid="{00000000-0005-0000-0000-000022130000}"/>
    <cellStyle name="20% - Accent3 3 2 4 2 2 2 2 3" xfId="42025" xr:uid="{00000000-0005-0000-0000-000023130000}"/>
    <cellStyle name="20% - Accent3 3 2 4 2 2 2 3" xfId="20270" xr:uid="{00000000-0005-0000-0000-000024130000}"/>
    <cellStyle name="20% - Accent3 3 2 4 2 2 2 3 2" xfId="49276" xr:uid="{00000000-0005-0000-0000-000025130000}"/>
    <cellStyle name="20% - Accent3 3 2 4 2 2 2 4" xfId="34777" xr:uid="{00000000-0005-0000-0000-000026130000}"/>
    <cellStyle name="20% - Accent3 3 2 4 2 2 3" xfId="9880" xr:uid="{00000000-0005-0000-0000-000027130000}"/>
    <cellStyle name="20% - Accent3 3 2 4 2 2 3 2" xfId="24414" xr:uid="{00000000-0005-0000-0000-000028130000}"/>
    <cellStyle name="20% - Accent3 3 2 4 2 2 3 2 2" xfId="53420" xr:uid="{00000000-0005-0000-0000-000029130000}"/>
    <cellStyle name="20% - Accent3 3 2 4 2 2 3 3" xfId="38921" xr:uid="{00000000-0005-0000-0000-00002A130000}"/>
    <cellStyle name="20% - Accent3 3 2 4 2 2 4" xfId="17166" xr:uid="{00000000-0005-0000-0000-00002B130000}"/>
    <cellStyle name="20% - Accent3 3 2 4 2 2 4 2" xfId="46172" xr:uid="{00000000-0005-0000-0000-00002C130000}"/>
    <cellStyle name="20% - Accent3 3 2 4 2 2 5" xfId="31673" xr:uid="{00000000-0005-0000-0000-00002D130000}"/>
    <cellStyle name="20% - Accent3 3 2 4 2 3" xfId="3640" xr:uid="{00000000-0005-0000-0000-00002E130000}"/>
    <cellStyle name="20% - Accent3 3 2 4 2 3 2" xfId="6744" xr:uid="{00000000-0005-0000-0000-00002F130000}"/>
    <cellStyle name="20% - Accent3 3 2 4 2 3 2 2" xfId="14016" xr:uid="{00000000-0005-0000-0000-000030130000}"/>
    <cellStyle name="20% - Accent3 3 2 4 2 3 2 2 2" xfId="28550" xr:uid="{00000000-0005-0000-0000-000031130000}"/>
    <cellStyle name="20% - Accent3 3 2 4 2 3 2 2 2 2" xfId="57556" xr:uid="{00000000-0005-0000-0000-000032130000}"/>
    <cellStyle name="20% - Accent3 3 2 4 2 3 2 2 3" xfId="43057" xr:uid="{00000000-0005-0000-0000-000033130000}"/>
    <cellStyle name="20% - Accent3 3 2 4 2 3 2 3" xfId="21302" xr:uid="{00000000-0005-0000-0000-000034130000}"/>
    <cellStyle name="20% - Accent3 3 2 4 2 3 2 3 2" xfId="50308" xr:uid="{00000000-0005-0000-0000-000035130000}"/>
    <cellStyle name="20% - Accent3 3 2 4 2 3 2 4" xfId="35809" xr:uid="{00000000-0005-0000-0000-000036130000}"/>
    <cellStyle name="20% - Accent3 3 2 4 2 3 3" xfId="10912" xr:uid="{00000000-0005-0000-0000-000037130000}"/>
    <cellStyle name="20% - Accent3 3 2 4 2 3 3 2" xfId="25446" xr:uid="{00000000-0005-0000-0000-000038130000}"/>
    <cellStyle name="20% - Accent3 3 2 4 2 3 3 2 2" xfId="54452" xr:uid="{00000000-0005-0000-0000-000039130000}"/>
    <cellStyle name="20% - Accent3 3 2 4 2 3 3 3" xfId="39953" xr:uid="{00000000-0005-0000-0000-00003A130000}"/>
    <cellStyle name="20% - Accent3 3 2 4 2 3 4" xfId="18198" xr:uid="{00000000-0005-0000-0000-00003B130000}"/>
    <cellStyle name="20% - Accent3 3 2 4 2 3 4 2" xfId="47204" xr:uid="{00000000-0005-0000-0000-00003C130000}"/>
    <cellStyle name="20% - Accent3 3 2 4 2 3 5" xfId="32705" xr:uid="{00000000-0005-0000-0000-00003D130000}"/>
    <cellStyle name="20% - Accent3 3 2 4 2 4" xfId="4672" xr:uid="{00000000-0005-0000-0000-00003E130000}"/>
    <cellStyle name="20% - Accent3 3 2 4 2 4 2" xfId="11944" xr:uid="{00000000-0005-0000-0000-00003F130000}"/>
    <cellStyle name="20% - Accent3 3 2 4 2 4 2 2" xfId="26478" xr:uid="{00000000-0005-0000-0000-000040130000}"/>
    <cellStyle name="20% - Accent3 3 2 4 2 4 2 2 2" xfId="55484" xr:uid="{00000000-0005-0000-0000-000041130000}"/>
    <cellStyle name="20% - Accent3 3 2 4 2 4 2 3" xfId="40985" xr:uid="{00000000-0005-0000-0000-000042130000}"/>
    <cellStyle name="20% - Accent3 3 2 4 2 4 3" xfId="19230" xr:uid="{00000000-0005-0000-0000-000043130000}"/>
    <cellStyle name="20% - Accent3 3 2 4 2 4 3 2" xfId="48236" xr:uid="{00000000-0005-0000-0000-000044130000}"/>
    <cellStyle name="20% - Accent3 3 2 4 2 4 4" xfId="33737" xr:uid="{00000000-0005-0000-0000-000045130000}"/>
    <cellStyle name="20% - Accent3 3 2 4 2 5" xfId="7776" xr:uid="{00000000-0005-0000-0000-000046130000}"/>
    <cellStyle name="20% - Accent3 3 2 4 2 5 2" xfId="15048" xr:uid="{00000000-0005-0000-0000-000047130000}"/>
    <cellStyle name="20% - Accent3 3 2 4 2 5 2 2" xfId="29582" xr:uid="{00000000-0005-0000-0000-000048130000}"/>
    <cellStyle name="20% - Accent3 3 2 4 2 5 2 2 2" xfId="58588" xr:uid="{00000000-0005-0000-0000-000049130000}"/>
    <cellStyle name="20% - Accent3 3 2 4 2 5 2 3" xfId="44089" xr:uid="{00000000-0005-0000-0000-00004A130000}"/>
    <cellStyle name="20% - Accent3 3 2 4 2 5 3" xfId="22334" xr:uid="{00000000-0005-0000-0000-00004B130000}"/>
    <cellStyle name="20% - Accent3 3 2 4 2 5 3 2" xfId="51340" xr:uid="{00000000-0005-0000-0000-00004C130000}"/>
    <cellStyle name="20% - Accent3 3 2 4 2 5 4" xfId="36841" xr:uid="{00000000-0005-0000-0000-00004D130000}"/>
    <cellStyle name="20% - Accent3 3 2 4 2 6" xfId="8840" xr:uid="{00000000-0005-0000-0000-00004E130000}"/>
    <cellStyle name="20% - Accent3 3 2 4 2 6 2" xfId="23374" xr:uid="{00000000-0005-0000-0000-00004F130000}"/>
    <cellStyle name="20% - Accent3 3 2 4 2 6 2 2" xfId="52380" xr:uid="{00000000-0005-0000-0000-000050130000}"/>
    <cellStyle name="20% - Accent3 3 2 4 2 6 3" xfId="37881" xr:uid="{00000000-0005-0000-0000-000051130000}"/>
    <cellStyle name="20% - Accent3 3 2 4 2 7" xfId="16126" xr:uid="{00000000-0005-0000-0000-000052130000}"/>
    <cellStyle name="20% - Accent3 3 2 4 2 7 2" xfId="45132" xr:uid="{00000000-0005-0000-0000-000053130000}"/>
    <cellStyle name="20% - Accent3 3 2 4 2 8" xfId="30633" xr:uid="{00000000-0005-0000-0000-000054130000}"/>
    <cellStyle name="20% - Accent3 3 2 4 3" xfId="2096" xr:uid="{00000000-0005-0000-0000-000055130000}"/>
    <cellStyle name="20% - Accent3 3 2 4 3 2" xfId="5200" xr:uid="{00000000-0005-0000-0000-000056130000}"/>
    <cellStyle name="20% - Accent3 3 2 4 3 2 2" xfId="12472" xr:uid="{00000000-0005-0000-0000-000057130000}"/>
    <cellStyle name="20% - Accent3 3 2 4 3 2 2 2" xfId="27006" xr:uid="{00000000-0005-0000-0000-000058130000}"/>
    <cellStyle name="20% - Accent3 3 2 4 3 2 2 2 2" xfId="56012" xr:uid="{00000000-0005-0000-0000-000059130000}"/>
    <cellStyle name="20% - Accent3 3 2 4 3 2 2 3" xfId="41513" xr:uid="{00000000-0005-0000-0000-00005A130000}"/>
    <cellStyle name="20% - Accent3 3 2 4 3 2 3" xfId="19758" xr:uid="{00000000-0005-0000-0000-00005B130000}"/>
    <cellStyle name="20% - Accent3 3 2 4 3 2 3 2" xfId="48764" xr:uid="{00000000-0005-0000-0000-00005C130000}"/>
    <cellStyle name="20% - Accent3 3 2 4 3 2 4" xfId="34265" xr:uid="{00000000-0005-0000-0000-00005D130000}"/>
    <cellStyle name="20% - Accent3 3 2 4 3 3" xfId="9368" xr:uid="{00000000-0005-0000-0000-00005E130000}"/>
    <cellStyle name="20% - Accent3 3 2 4 3 3 2" xfId="23902" xr:uid="{00000000-0005-0000-0000-00005F130000}"/>
    <cellStyle name="20% - Accent3 3 2 4 3 3 2 2" xfId="52908" xr:uid="{00000000-0005-0000-0000-000060130000}"/>
    <cellStyle name="20% - Accent3 3 2 4 3 3 3" xfId="38409" xr:uid="{00000000-0005-0000-0000-000061130000}"/>
    <cellStyle name="20% - Accent3 3 2 4 3 4" xfId="16654" xr:uid="{00000000-0005-0000-0000-000062130000}"/>
    <cellStyle name="20% - Accent3 3 2 4 3 4 2" xfId="45660" xr:uid="{00000000-0005-0000-0000-000063130000}"/>
    <cellStyle name="20% - Accent3 3 2 4 3 5" xfId="31161" xr:uid="{00000000-0005-0000-0000-000064130000}"/>
    <cellStyle name="20% - Accent3 3 2 4 4" xfId="3128" xr:uid="{00000000-0005-0000-0000-000065130000}"/>
    <cellStyle name="20% - Accent3 3 2 4 4 2" xfId="6232" xr:uid="{00000000-0005-0000-0000-000066130000}"/>
    <cellStyle name="20% - Accent3 3 2 4 4 2 2" xfId="13504" xr:uid="{00000000-0005-0000-0000-000067130000}"/>
    <cellStyle name="20% - Accent3 3 2 4 4 2 2 2" xfId="28038" xr:uid="{00000000-0005-0000-0000-000068130000}"/>
    <cellStyle name="20% - Accent3 3 2 4 4 2 2 2 2" xfId="57044" xr:uid="{00000000-0005-0000-0000-000069130000}"/>
    <cellStyle name="20% - Accent3 3 2 4 4 2 2 3" xfId="42545" xr:uid="{00000000-0005-0000-0000-00006A130000}"/>
    <cellStyle name="20% - Accent3 3 2 4 4 2 3" xfId="20790" xr:uid="{00000000-0005-0000-0000-00006B130000}"/>
    <cellStyle name="20% - Accent3 3 2 4 4 2 3 2" xfId="49796" xr:uid="{00000000-0005-0000-0000-00006C130000}"/>
    <cellStyle name="20% - Accent3 3 2 4 4 2 4" xfId="35297" xr:uid="{00000000-0005-0000-0000-00006D130000}"/>
    <cellStyle name="20% - Accent3 3 2 4 4 3" xfId="10400" xr:uid="{00000000-0005-0000-0000-00006E130000}"/>
    <cellStyle name="20% - Accent3 3 2 4 4 3 2" xfId="24934" xr:uid="{00000000-0005-0000-0000-00006F130000}"/>
    <cellStyle name="20% - Accent3 3 2 4 4 3 2 2" xfId="53940" xr:uid="{00000000-0005-0000-0000-000070130000}"/>
    <cellStyle name="20% - Accent3 3 2 4 4 3 3" xfId="39441" xr:uid="{00000000-0005-0000-0000-000071130000}"/>
    <cellStyle name="20% - Accent3 3 2 4 4 4" xfId="17686" xr:uid="{00000000-0005-0000-0000-000072130000}"/>
    <cellStyle name="20% - Accent3 3 2 4 4 4 2" xfId="46692" xr:uid="{00000000-0005-0000-0000-000073130000}"/>
    <cellStyle name="20% - Accent3 3 2 4 4 5" xfId="32193" xr:uid="{00000000-0005-0000-0000-000074130000}"/>
    <cellStyle name="20% - Accent3 3 2 4 5" xfId="4160" xr:uid="{00000000-0005-0000-0000-000075130000}"/>
    <cellStyle name="20% - Accent3 3 2 4 5 2" xfId="11432" xr:uid="{00000000-0005-0000-0000-000076130000}"/>
    <cellStyle name="20% - Accent3 3 2 4 5 2 2" xfId="25966" xr:uid="{00000000-0005-0000-0000-000077130000}"/>
    <cellStyle name="20% - Accent3 3 2 4 5 2 2 2" xfId="54972" xr:uid="{00000000-0005-0000-0000-000078130000}"/>
    <cellStyle name="20% - Accent3 3 2 4 5 2 3" xfId="40473" xr:uid="{00000000-0005-0000-0000-000079130000}"/>
    <cellStyle name="20% - Accent3 3 2 4 5 3" xfId="18718" xr:uid="{00000000-0005-0000-0000-00007A130000}"/>
    <cellStyle name="20% - Accent3 3 2 4 5 3 2" xfId="47724" xr:uid="{00000000-0005-0000-0000-00007B130000}"/>
    <cellStyle name="20% - Accent3 3 2 4 5 4" xfId="33225" xr:uid="{00000000-0005-0000-0000-00007C130000}"/>
    <cellStyle name="20% - Accent3 3 2 4 6" xfId="7264" xr:uid="{00000000-0005-0000-0000-00007D130000}"/>
    <cellStyle name="20% - Accent3 3 2 4 6 2" xfId="14536" xr:uid="{00000000-0005-0000-0000-00007E130000}"/>
    <cellStyle name="20% - Accent3 3 2 4 6 2 2" xfId="29070" xr:uid="{00000000-0005-0000-0000-00007F130000}"/>
    <cellStyle name="20% - Accent3 3 2 4 6 2 2 2" xfId="58076" xr:uid="{00000000-0005-0000-0000-000080130000}"/>
    <cellStyle name="20% - Accent3 3 2 4 6 2 3" xfId="43577" xr:uid="{00000000-0005-0000-0000-000081130000}"/>
    <cellStyle name="20% - Accent3 3 2 4 6 3" xfId="21822" xr:uid="{00000000-0005-0000-0000-000082130000}"/>
    <cellStyle name="20% - Accent3 3 2 4 6 3 2" xfId="50828" xr:uid="{00000000-0005-0000-0000-000083130000}"/>
    <cellStyle name="20% - Accent3 3 2 4 6 4" xfId="36329" xr:uid="{00000000-0005-0000-0000-000084130000}"/>
    <cellStyle name="20% - Accent3 3 2 4 7" xfId="8328" xr:uid="{00000000-0005-0000-0000-000085130000}"/>
    <cellStyle name="20% - Accent3 3 2 4 7 2" xfId="22862" xr:uid="{00000000-0005-0000-0000-000086130000}"/>
    <cellStyle name="20% - Accent3 3 2 4 7 2 2" xfId="51868" xr:uid="{00000000-0005-0000-0000-000087130000}"/>
    <cellStyle name="20% - Accent3 3 2 4 7 3" xfId="37369" xr:uid="{00000000-0005-0000-0000-000088130000}"/>
    <cellStyle name="20% - Accent3 3 2 4 8" xfId="15614" xr:uid="{00000000-0005-0000-0000-000089130000}"/>
    <cellStyle name="20% - Accent3 3 2 4 8 2" xfId="44620" xr:uid="{00000000-0005-0000-0000-00008A130000}"/>
    <cellStyle name="20% - Accent3 3 2 4 9" xfId="30121" xr:uid="{00000000-0005-0000-0000-00008B130000}"/>
    <cellStyle name="20% - Accent3 3 2 5" xfId="1345" xr:uid="{00000000-0005-0000-0000-00008C130000}"/>
    <cellStyle name="20% - Accent3 3 2 5 2" xfId="2402" xr:uid="{00000000-0005-0000-0000-00008D130000}"/>
    <cellStyle name="20% - Accent3 3 2 5 2 2" xfId="5506" xr:uid="{00000000-0005-0000-0000-00008E130000}"/>
    <cellStyle name="20% - Accent3 3 2 5 2 2 2" xfId="12778" xr:uid="{00000000-0005-0000-0000-00008F130000}"/>
    <cellStyle name="20% - Accent3 3 2 5 2 2 2 2" xfId="27312" xr:uid="{00000000-0005-0000-0000-000090130000}"/>
    <cellStyle name="20% - Accent3 3 2 5 2 2 2 2 2" xfId="56318" xr:uid="{00000000-0005-0000-0000-000091130000}"/>
    <cellStyle name="20% - Accent3 3 2 5 2 2 2 3" xfId="41819" xr:uid="{00000000-0005-0000-0000-000092130000}"/>
    <cellStyle name="20% - Accent3 3 2 5 2 2 3" xfId="20064" xr:uid="{00000000-0005-0000-0000-000093130000}"/>
    <cellStyle name="20% - Accent3 3 2 5 2 2 3 2" xfId="49070" xr:uid="{00000000-0005-0000-0000-000094130000}"/>
    <cellStyle name="20% - Accent3 3 2 5 2 2 4" xfId="34571" xr:uid="{00000000-0005-0000-0000-000095130000}"/>
    <cellStyle name="20% - Accent3 3 2 5 2 3" xfId="9674" xr:uid="{00000000-0005-0000-0000-000096130000}"/>
    <cellStyle name="20% - Accent3 3 2 5 2 3 2" xfId="24208" xr:uid="{00000000-0005-0000-0000-000097130000}"/>
    <cellStyle name="20% - Accent3 3 2 5 2 3 2 2" xfId="53214" xr:uid="{00000000-0005-0000-0000-000098130000}"/>
    <cellStyle name="20% - Accent3 3 2 5 2 3 3" xfId="38715" xr:uid="{00000000-0005-0000-0000-000099130000}"/>
    <cellStyle name="20% - Accent3 3 2 5 2 4" xfId="16960" xr:uid="{00000000-0005-0000-0000-00009A130000}"/>
    <cellStyle name="20% - Accent3 3 2 5 2 4 2" xfId="45966" xr:uid="{00000000-0005-0000-0000-00009B130000}"/>
    <cellStyle name="20% - Accent3 3 2 5 2 5" xfId="31467" xr:uid="{00000000-0005-0000-0000-00009C130000}"/>
    <cellStyle name="20% - Accent3 3 2 5 3" xfId="3434" xr:uid="{00000000-0005-0000-0000-00009D130000}"/>
    <cellStyle name="20% - Accent3 3 2 5 3 2" xfId="6538" xr:uid="{00000000-0005-0000-0000-00009E130000}"/>
    <cellStyle name="20% - Accent3 3 2 5 3 2 2" xfId="13810" xr:uid="{00000000-0005-0000-0000-00009F130000}"/>
    <cellStyle name="20% - Accent3 3 2 5 3 2 2 2" xfId="28344" xr:uid="{00000000-0005-0000-0000-0000A0130000}"/>
    <cellStyle name="20% - Accent3 3 2 5 3 2 2 2 2" xfId="57350" xr:uid="{00000000-0005-0000-0000-0000A1130000}"/>
    <cellStyle name="20% - Accent3 3 2 5 3 2 2 3" xfId="42851" xr:uid="{00000000-0005-0000-0000-0000A2130000}"/>
    <cellStyle name="20% - Accent3 3 2 5 3 2 3" xfId="21096" xr:uid="{00000000-0005-0000-0000-0000A3130000}"/>
    <cellStyle name="20% - Accent3 3 2 5 3 2 3 2" xfId="50102" xr:uid="{00000000-0005-0000-0000-0000A4130000}"/>
    <cellStyle name="20% - Accent3 3 2 5 3 2 4" xfId="35603" xr:uid="{00000000-0005-0000-0000-0000A5130000}"/>
    <cellStyle name="20% - Accent3 3 2 5 3 3" xfId="10706" xr:uid="{00000000-0005-0000-0000-0000A6130000}"/>
    <cellStyle name="20% - Accent3 3 2 5 3 3 2" xfId="25240" xr:uid="{00000000-0005-0000-0000-0000A7130000}"/>
    <cellStyle name="20% - Accent3 3 2 5 3 3 2 2" xfId="54246" xr:uid="{00000000-0005-0000-0000-0000A8130000}"/>
    <cellStyle name="20% - Accent3 3 2 5 3 3 3" xfId="39747" xr:uid="{00000000-0005-0000-0000-0000A9130000}"/>
    <cellStyle name="20% - Accent3 3 2 5 3 4" xfId="17992" xr:uid="{00000000-0005-0000-0000-0000AA130000}"/>
    <cellStyle name="20% - Accent3 3 2 5 3 4 2" xfId="46998" xr:uid="{00000000-0005-0000-0000-0000AB130000}"/>
    <cellStyle name="20% - Accent3 3 2 5 3 5" xfId="32499" xr:uid="{00000000-0005-0000-0000-0000AC130000}"/>
    <cellStyle name="20% - Accent3 3 2 5 4" xfId="4466" xr:uid="{00000000-0005-0000-0000-0000AD130000}"/>
    <cellStyle name="20% - Accent3 3 2 5 4 2" xfId="11738" xr:uid="{00000000-0005-0000-0000-0000AE130000}"/>
    <cellStyle name="20% - Accent3 3 2 5 4 2 2" xfId="26272" xr:uid="{00000000-0005-0000-0000-0000AF130000}"/>
    <cellStyle name="20% - Accent3 3 2 5 4 2 2 2" xfId="55278" xr:uid="{00000000-0005-0000-0000-0000B0130000}"/>
    <cellStyle name="20% - Accent3 3 2 5 4 2 3" xfId="40779" xr:uid="{00000000-0005-0000-0000-0000B1130000}"/>
    <cellStyle name="20% - Accent3 3 2 5 4 3" xfId="19024" xr:uid="{00000000-0005-0000-0000-0000B2130000}"/>
    <cellStyle name="20% - Accent3 3 2 5 4 3 2" xfId="48030" xr:uid="{00000000-0005-0000-0000-0000B3130000}"/>
    <cellStyle name="20% - Accent3 3 2 5 4 4" xfId="33531" xr:uid="{00000000-0005-0000-0000-0000B4130000}"/>
    <cellStyle name="20% - Accent3 3 2 5 5" xfId="7570" xr:uid="{00000000-0005-0000-0000-0000B5130000}"/>
    <cellStyle name="20% - Accent3 3 2 5 5 2" xfId="14842" xr:uid="{00000000-0005-0000-0000-0000B6130000}"/>
    <cellStyle name="20% - Accent3 3 2 5 5 2 2" xfId="29376" xr:uid="{00000000-0005-0000-0000-0000B7130000}"/>
    <cellStyle name="20% - Accent3 3 2 5 5 2 2 2" xfId="58382" xr:uid="{00000000-0005-0000-0000-0000B8130000}"/>
    <cellStyle name="20% - Accent3 3 2 5 5 2 3" xfId="43883" xr:uid="{00000000-0005-0000-0000-0000B9130000}"/>
    <cellStyle name="20% - Accent3 3 2 5 5 3" xfId="22128" xr:uid="{00000000-0005-0000-0000-0000BA130000}"/>
    <cellStyle name="20% - Accent3 3 2 5 5 3 2" xfId="51134" xr:uid="{00000000-0005-0000-0000-0000BB130000}"/>
    <cellStyle name="20% - Accent3 3 2 5 5 4" xfId="36635" xr:uid="{00000000-0005-0000-0000-0000BC130000}"/>
    <cellStyle name="20% - Accent3 3 2 5 6" xfId="8634" xr:uid="{00000000-0005-0000-0000-0000BD130000}"/>
    <cellStyle name="20% - Accent3 3 2 5 6 2" xfId="23168" xr:uid="{00000000-0005-0000-0000-0000BE130000}"/>
    <cellStyle name="20% - Accent3 3 2 5 6 2 2" xfId="52174" xr:uid="{00000000-0005-0000-0000-0000BF130000}"/>
    <cellStyle name="20% - Accent3 3 2 5 6 3" xfId="37675" xr:uid="{00000000-0005-0000-0000-0000C0130000}"/>
    <cellStyle name="20% - Accent3 3 2 5 7" xfId="15920" xr:uid="{00000000-0005-0000-0000-0000C1130000}"/>
    <cellStyle name="20% - Accent3 3 2 5 7 2" xfId="44926" xr:uid="{00000000-0005-0000-0000-0000C2130000}"/>
    <cellStyle name="20% - Accent3 3 2 5 8" xfId="30427" xr:uid="{00000000-0005-0000-0000-0000C3130000}"/>
    <cellStyle name="20% - Accent3 3 2 6" xfId="1890" xr:uid="{00000000-0005-0000-0000-0000C4130000}"/>
    <cellStyle name="20% - Accent3 3 2 6 2" xfId="4994" xr:uid="{00000000-0005-0000-0000-0000C5130000}"/>
    <cellStyle name="20% - Accent3 3 2 6 2 2" xfId="12266" xr:uid="{00000000-0005-0000-0000-0000C6130000}"/>
    <cellStyle name="20% - Accent3 3 2 6 2 2 2" xfId="26800" xr:uid="{00000000-0005-0000-0000-0000C7130000}"/>
    <cellStyle name="20% - Accent3 3 2 6 2 2 2 2" xfId="55806" xr:uid="{00000000-0005-0000-0000-0000C8130000}"/>
    <cellStyle name="20% - Accent3 3 2 6 2 2 3" xfId="41307" xr:uid="{00000000-0005-0000-0000-0000C9130000}"/>
    <cellStyle name="20% - Accent3 3 2 6 2 3" xfId="19552" xr:uid="{00000000-0005-0000-0000-0000CA130000}"/>
    <cellStyle name="20% - Accent3 3 2 6 2 3 2" xfId="48558" xr:uid="{00000000-0005-0000-0000-0000CB130000}"/>
    <cellStyle name="20% - Accent3 3 2 6 2 4" xfId="34059" xr:uid="{00000000-0005-0000-0000-0000CC130000}"/>
    <cellStyle name="20% - Accent3 3 2 6 3" xfId="9162" xr:uid="{00000000-0005-0000-0000-0000CD130000}"/>
    <cellStyle name="20% - Accent3 3 2 6 3 2" xfId="23696" xr:uid="{00000000-0005-0000-0000-0000CE130000}"/>
    <cellStyle name="20% - Accent3 3 2 6 3 2 2" xfId="52702" xr:uid="{00000000-0005-0000-0000-0000CF130000}"/>
    <cellStyle name="20% - Accent3 3 2 6 3 3" xfId="38203" xr:uid="{00000000-0005-0000-0000-0000D0130000}"/>
    <cellStyle name="20% - Accent3 3 2 6 4" xfId="16448" xr:uid="{00000000-0005-0000-0000-0000D1130000}"/>
    <cellStyle name="20% - Accent3 3 2 6 4 2" xfId="45454" xr:uid="{00000000-0005-0000-0000-0000D2130000}"/>
    <cellStyle name="20% - Accent3 3 2 6 5" xfId="30955" xr:uid="{00000000-0005-0000-0000-0000D3130000}"/>
    <cellStyle name="20% - Accent3 3 2 7" xfId="2922" xr:uid="{00000000-0005-0000-0000-0000D4130000}"/>
    <cellStyle name="20% - Accent3 3 2 7 2" xfId="6026" xr:uid="{00000000-0005-0000-0000-0000D5130000}"/>
    <cellStyle name="20% - Accent3 3 2 7 2 2" xfId="13298" xr:uid="{00000000-0005-0000-0000-0000D6130000}"/>
    <cellStyle name="20% - Accent3 3 2 7 2 2 2" xfId="27832" xr:uid="{00000000-0005-0000-0000-0000D7130000}"/>
    <cellStyle name="20% - Accent3 3 2 7 2 2 2 2" xfId="56838" xr:uid="{00000000-0005-0000-0000-0000D8130000}"/>
    <cellStyle name="20% - Accent3 3 2 7 2 2 3" xfId="42339" xr:uid="{00000000-0005-0000-0000-0000D9130000}"/>
    <cellStyle name="20% - Accent3 3 2 7 2 3" xfId="20584" xr:uid="{00000000-0005-0000-0000-0000DA130000}"/>
    <cellStyle name="20% - Accent3 3 2 7 2 3 2" xfId="49590" xr:uid="{00000000-0005-0000-0000-0000DB130000}"/>
    <cellStyle name="20% - Accent3 3 2 7 2 4" xfId="35091" xr:uid="{00000000-0005-0000-0000-0000DC130000}"/>
    <cellStyle name="20% - Accent3 3 2 7 3" xfId="10194" xr:uid="{00000000-0005-0000-0000-0000DD130000}"/>
    <cellStyle name="20% - Accent3 3 2 7 3 2" xfId="24728" xr:uid="{00000000-0005-0000-0000-0000DE130000}"/>
    <cellStyle name="20% - Accent3 3 2 7 3 2 2" xfId="53734" xr:uid="{00000000-0005-0000-0000-0000DF130000}"/>
    <cellStyle name="20% - Accent3 3 2 7 3 3" xfId="39235" xr:uid="{00000000-0005-0000-0000-0000E0130000}"/>
    <cellStyle name="20% - Accent3 3 2 7 4" xfId="17480" xr:uid="{00000000-0005-0000-0000-0000E1130000}"/>
    <cellStyle name="20% - Accent3 3 2 7 4 2" xfId="46486" xr:uid="{00000000-0005-0000-0000-0000E2130000}"/>
    <cellStyle name="20% - Accent3 3 2 7 5" xfId="31987" xr:uid="{00000000-0005-0000-0000-0000E3130000}"/>
    <cellStyle name="20% - Accent3 3 2 8" xfId="3954" xr:uid="{00000000-0005-0000-0000-0000E4130000}"/>
    <cellStyle name="20% - Accent3 3 2 8 2" xfId="11226" xr:uid="{00000000-0005-0000-0000-0000E5130000}"/>
    <cellStyle name="20% - Accent3 3 2 8 2 2" xfId="25760" xr:uid="{00000000-0005-0000-0000-0000E6130000}"/>
    <cellStyle name="20% - Accent3 3 2 8 2 2 2" xfId="54766" xr:uid="{00000000-0005-0000-0000-0000E7130000}"/>
    <cellStyle name="20% - Accent3 3 2 8 2 3" xfId="40267" xr:uid="{00000000-0005-0000-0000-0000E8130000}"/>
    <cellStyle name="20% - Accent3 3 2 8 3" xfId="18512" xr:uid="{00000000-0005-0000-0000-0000E9130000}"/>
    <cellStyle name="20% - Accent3 3 2 8 3 2" xfId="47518" xr:uid="{00000000-0005-0000-0000-0000EA130000}"/>
    <cellStyle name="20% - Accent3 3 2 8 4" xfId="33019" xr:uid="{00000000-0005-0000-0000-0000EB130000}"/>
    <cellStyle name="20% - Accent3 3 2 9" xfId="7058" xr:uid="{00000000-0005-0000-0000-0000EC130000}"/>
    <cellStyle name="20% - Accent3 3 2 9 2" xfId="14330" xr:uid="{00000000-0005-0000-0000-0000ED130000}"/>
    <cellStyle name="20% - Accent3 3 2 9 2 2" xfId="28864" xr:uid="{00000000-0005-0000-0000-0000EE130000}"/>
    <cellStyle name="20% - Accent3 3 2 9 2 2 2" xfId="57870" xr:uid="{00000000-0005-0000-0000-0000EF130000}"/>
    <cellStyle name="20% - Accent3 3 2 9 2 3" xfId="43371" xr:uid="{00000000-0005-0000-0000-0000F0130000}"/>
    <cellStyle name="20% - Accent3 3 2 9 3" xfId="21616" xr:uid="{00000000-0005-0000-0000-0000F1130000}"/>
    <cellStyle name="20% - Accent3 3 2 9 3 2" xfId="50622" xr:uid="{00000000-0005-0000-0000-0000F2130000}"/>
    <cellStyle name="20% - Accent3 3 2 9 4" xfId="36123" xr:uid="{00000000-0005-0000-0000-0000F3130000}"/>
    <cellStyle name="20% - Accent3 3 3" xfId="925" xr:uid="{00000000-0005-0000-0000-0000F4130000}"/>
    <cellStyle name="20% - Accent3 3 3 10" xfId="29966" xr:uid="{00000000-0005-0000-0000-0000F5130000}"/>
    <cellStyle name="20% - Accent3 3 3 2" xfId="1197" xr:uid="{00000000-0005-0000-0000-0000F6130000}"/>
    <cellStyle name="20% - Accent3 3 3 2 2" xfId="1700" xr:uid="{00000000-0005-0000-0000-0000F7130000}"/>
    <cellStyle name="20% - Accent3 3 3 2 2 2" xfId="2759" xr:uid="{00000000-0005-0000-0000-0000F8130000}"/>
    <cellStyle name="20% - Accent3 3 3 2 2 2 2" xfId="5863" xr:uid="{00000000-0005-0000-0000-0000F9130000}"/>
    <cellStyle name="20% - Accent3 3 3 2 2 2 2 2" xfId="13135" xr:uid="{00000000-0005-0000-0000-0000FA130000}"/>
    <cellStyle name="20% - Accent3 3 3 2 2 2 2 2 2" xfId="27669" xr:uid="{00000000-0005-0000-0000-0000FB130000}"/>
    <cellStyle name="20% - Accent3 3 3 2 2 2 2 2 2 2" xfId="56675" xr:uid="{00000000-0005-0000-0000-0000FC130000}"/>
    <cellStyle name="20% - Accent3 3 3 2 2 2 2 2 3" xfId="42176" xr:uid="{00000000-0005-0000-0000-0000FD130000}"/>
    <cellStyle name="20% - Accent3 3 3 2 2 2 2 3" xfId="20421" xr:uid="{00000000-0005-0000-0000-0000FE130000}"/>
    <cellStyle name="20% - Accent3 3 3 2 2 2 2 3 2" xfId="49427" xr:uid="{00000000-0005-0000-0000-0000FF130000}"/>
    <cellStyle name="20% - Accent3 3 3 2 2 2 2 4" xfId="34928" xr:uid="{00000000-0005-0000-0000-000000140000}"/>
    <cellStyle name="20% - Accent3 3 3 2 2 2 3" xfId="10031" xr:uid="{00000000-0005-0000-0000-000001140000}"/>
    <cellStyle name="20% - Accent3 3 3 2 2 2 3 2" xfId="24565" xr:uid="{00000000-0005-0000-0000-000002140000}"/>
    <cellStyle name="20% - Accent3 3 3 2 2 2 3 2 2" xfId="53571" xr:uid="{00000000-0005-0000-0000-000003140000}"/>
    <cellStyle name="20% - Accent3 3 3 2 2 2 3 3" xfId="39072" xr:uid="{00000000-0005-0000-0000-000004140000}"/>
    <cellStyle name="20% - Accent3 3 3 2 2 2 4" xfId="17317" xr:uid="{00000000-0005-0000-0000-000005140000}"/>
    <cellStyle name="20% - Accent3 3 3 2 2 2 4 2" xfId="46323" xr:uid="{00000000-0005-0000-0000-000006140000}"/>
    <cellStyle name="20% - Accent3 3 3 2 2 2 5" xfId="31824" xr:uid="{00000000-0005-0000-0000-000007140000}"/>
    <cellStyle name="20% - Accent3 3 3 2 2 3" xfId="3791" xr:uid="{00000000-0005-0000-0000-000008140000}"/>
    <cellStyle name="20% - Accent3 3 3 2 2 3 2" xfId="6895" xr:uid="{00000000-0005-0000-0000-000009140000}"/>
    <cellStyle name="20% - Accent3 3 3 2 2 3 2 2" xfId="14167" xr:uid="{00000000-0005-0000-0000-00000A140000}"/>
    <cellStyle name="20% - Accent3 3 3 2 2 3 2 2 2" xfId="28701" xr:uid="{00000000-0005-0000-0000-00000B140000}"/>
    <cellStyle name="20% - Accent3 3 3 2 2 3 2 2 2 2" xfId="57707" xr:uid="{00000000-0005-0000-0000-00000C140000}"/>
    <cellStyle name="20% - Accent3 3 3 2 2 3 2 2 3" xfId="43208" xr:uid="{00000000-0005-0000-0000-00000D140000}"/>
    <cellStyle name="20% - Accent3 3 3 2 2 3 2 3" xfId="21453" xr:uid="{00000000-0005-0000-0000-00000E140000}"/>
    <cellStyle name="20% - Accent3 3 3 2 2 3 2 3 2" xfId="50459" xr:uid="{00000000-0005-0000-0000-00000F140000}"/>
    <cellStyle name="20% - Accent3 3 3 2 2 3 2 4" xfId="35960" xr:uid="{00000000-0005-0000-0000-000010140000}"/>
    <cellStyle name="20% - Accent3 3 3 2 2 3 3" xfId="11063" xr:uid="{00000000-0005-0000-0000-000011140000}"/>
    <cellStyle name="20% - Accent3 3 3 2 2 3 3 2" xfId="25597" xr:uid="{00000000-0005-0000-0000-000012140000}"/>
    <cellStyle name="20% - Accent3 3 3 2 2 3 3 2 2" xfId="54603" xr:uid="{00000000-0005-0000-0000-000013140000}"/>
    <cellStyle name="20% - Accent3 3 3 2 2 3 3 3" xfId="40104" xr:uid="{00000000-0005-0000-0000-000014140000}"/>
    <cellStyle name="20% - Accent3 3 3 2 2 3 4" xfId="18349" xr:uid="{00000000-0005-0000-0000-000015140000}"/>
    <cellStyle name="20% - Accent3 3 3 2 2 3 4 2" xfId="47355" xr:uid="{00000000-0005-0000-0000-000016140000}"/>
    <cellStyle name="20% - Accent3 3 3 2 2 3 5" xfId="32856" xr:uid="{00000000-0005-0000-0000-000017140000}"/>
    <cellStyle name="20% - Accent3 3 3 2 2 4" xfId="4823" xr:uid="{00000000-0005-0000-0000-000018140000}"/>
    <cellStyle name="20% - Accent3 3 3 2 2 4 2" xfId="12095" xr:uid="{00000000-0005-0000-0000-000019140000}"/>
    <cellStyle name="20% - Accent3 3 3 2 2 4 2 2" xfId="26629" xr:uid="{00000000-0005-0000-0000-00001A140000}"/>
    <cellStyle name="20% - Accent3 3 3 2 2 4 2 2 2" xfId="55635" xr:uid="{00000000-0005-0000-0000-00001B140000}"/>
    <cellStyle name="20% - Accent3 3 3 2 2 4 2 3" xfId="41136" xr:uid="{00000000-0005-0000-0000-00001C140000}"/>
    <cellStyle name="20% - Accent3 3 3 2 2 4 3" xfId="19381" xr:uid="{00000000-0005-0000-0000-00001D140000}"/>
    <cellStyle name="20% - Accent3 3 3 2 2 4 3 2" xfId="48387" xr:uid="{00000000-0005-0000-0000-00001E140000}"/>
    <cellStyle name="20% - Accent3 3 3 2 2 4 4" xfId="33888" xr:uid="{00000000-0005-0000-0000-00001F140000}"/>
    <cellStyle name="20% - Accent3 3 3 2 2 5" xfId="7927" xr:uid="{00000000-0005-0000-0000-000020140000}"/>
    <cellStyle name="20% - Accent3 3 3 2 2 5 2" xfId="15199" xr:uid="{00000000-0005-0000-0000-000021140000}"/>
    <cellStyle name="20% - Accent3 3 3 2 2 5 2 2" xfId="29733" xr:uid="{00000000-0005-0000-0000-000022140000}"/>
    <cellStyle name="20% - Accent3 3 3 2 2 5 2 2 2" xfId="58739" xr:uid="{00000000-0005-0000-0000-000023140000}"/>
    <cellStyle name="20% - Accent3 3 3 2 2 5 2 3" xfId="44240" xr:uid="{00000000-0005-0000-0000-000024140000}"/>
    <cellStyle name="20% - Accent3 3 3 2 2 5 3" xfId="22485" xr:uid="{00000000-0005-0000-0000-000025140000}"/>
    <cellStyle name="20% - Accent3 3 3 2 2 5 3 2" xfId="51491" xr:uid="{00000000-0005-0000-0000-000026140000}"/>
    <cellStyle name="20% - Accent3 3 3 2 2 5 4" xfId="36992" xr:uid="{00000000-0005-0000-0000-000027140000}"/>
    <cellStyle name="20% - Accent3 3 3 2 2 6" xfId="8991" xr:uid="{00000000-0005-0000-0000-000028140000}"/>
    <cellStyle name="20% - Accent3 3 3 2 2 6 2" xfId="23525" xr:uid="{00000000-0005-0000-0000-000029140000}"/>
    <cellStyle name="20% - Accent3 3 3 2 2 6 2 2" xfId="52531" xr:uid="{00000000-0005-0000-0000-00002A140000}"/>
    <cellStyle name="20% - Accent3 3 3 2 2 6 3" xfId="38032" xr:uid="{00000000-0005-0000-0000-00002B140000}"/>
    <cellStyle name="20% - Accent3 3 3 2 2 7" xfId="16277" xr:uid="{00000000-0005-0000-0000-00002C140000}"/>
    <cellStyle name="20% - Accent3 3 3 2 2 7 2" xfId="45283" xr:uid="{00000000-0005-0000-0000-00002D140000}"/>
    <cellStyle name="20% - Accent3 3 3 2 2 8" xfId="30784" xr:uid="{00000000-0005-0000-0000-00002E140000}"/>
    <cellStyle name="20% - Accent3 3 3 2 3" xfId="2247" xr:uid="{00000000-0005-0000-0000-00002F140000}"/>
    <cellStyle name="20% - Accent3 3 3 2 3 2" xfId="5351" xr:uid="{00000000-0005-0000-0000-000030140000}"/>
    <cellStyle name="20% - Accent3 3 3 2 3 2 2" xfId="12623" xr:uid="{00000000-0005-0000-0000-000031140000}"/>
    <cellStyle name="20% - Accent3 3 3 2 3 2 2 2" xfId="27157" xr:uid="{00000000-0005-0000-0000-000032140000}"/>
    <cellStyle name="20% - Accent3 3 3 2 3 2 2 2 2" xfId="56163" xr:uid="{00000000-0005-0000-0000-000033140000}"/>
    <cellStyle name="20% - Accent3 3 3 2 3 2 2 3" xfId="41664" xr:uid="{00000000-0005-0000-0000-000034140000}"/>
    <cellStyle name="20% - Accent3 3 3 2 3 2 3" xfId="19909" xr:uid="{00000000-0005-0000-0000-000035140000}"/>
    <cellStyle name="20% - Accent3 3 3 2 3 2 3 2" xfId="48915" xr:uid="{00000000-0005-0000-0000-000036140000}"/>
    <cellStyle name="20% - Accent3 3 3 2 3 2 4" xfId="34416" xr:uid="{00000000-0005-0000-0000-000037140000}"/>
    <cellStyle name="20% - Accent3 3 3 2 3 3" xfId="9519" xr:uid="{00000000-0005-0000-0000-000038140000}"/>
    <cellStyle name="20% - Accent3 3 3 2 3 3 2" xfId="24053" xr:uid="{00000000-0005-0000-0000-000039140000}"/>
    <cellStyle name="20% - Accent3 3 3 2 3 3 2 2" xfId="53059" xr:uid="{00000000-0005-0000-0000-00003A140000}"/>
    <cellStyle name="20% - Accent3 3 3 2 3 3 3" xfId="38560" xr:uid="{00000000-0005-0000-0000-00003B140000}"/>
    <cellStyle name="20% - Accent3 3 3 2 3 4" xfId="16805" xr:uid="{00000000-0005-0000-0000-00003C140000}"/>
    <cellStyle name="20% - Accent3 3 3 2 3 4 2" xfId="45811" xr:uid="{00000000-0005-0000-0000-00003D140000}"/>
    <cellStyle name="20% - Accent3 3 3 2 3 5" xfId="31312" xr:uid="{00000000-0005-0000-0000-00003E140000}"/>
    <cellStyle name="20% - Accent3 3 3 2 4" xfId="3279" xr:uid="{00000000-0005-0000-0000-00003F140000}"/>
    <cellStyle name="20% - Accent3 3 3 2 4 2" xfId="6383" xr:uid="{00000000-0005-0000-0000-000040140000}"/>
    <cellStyle name="20% - Accent3 3 3 2 4 2 2" xfId="13655" xr:uid="{00000000-0005-0000-0000-000041140000}"/>
    <cellStyle name="20% - Accent3 3 3 2 4 2 2 2" xfId="28189" xr:uid="{00000000-0005-0000-0000-000042140000}"/>
    <cellStyle name="20% - Accent3 3 3 2 4 2 2 2 2" xfId="57195" xr:uid="{00000000-0005-0000-0000-000043140000}"/>
    <cellStyle name="20% - Accent3 3 3 2 4 2 2 3" xfId="42696" xr:uid="{00000000-0005-0000-0000-000044140000}"/>
    <cellStyle name="20% - Accent3 3 3 2 4 2 3" xfId="20941" xr:uid="{00000000-0005-0000-0000-000045140000}"/>
    <cellStyle name="20% - Accent3 3 3 2 4 2 3 2" xfId="49947" xr:uid="{00000000-0005-0000-0000-000046140000}"/>
    <cellStyle name="20% - Accent3 3 3 2 4 2 4" xfId="35448" xr:uid="{00000000-0005-0000-0000-000047140000}"/>
    <cellStyle name="20% - Accent3 3 3 2 4 3" xfId="10551" xr:uid="{00000000-0005-0000-0000-000048140000}"/>
    <cellStyle name="20% - Accent3 3 3 2 4 3 2" xfId="25085" xr:uid="{00000000-0005-0000-0000-000049140000}"/>
    <cellStyle name="20% - Accent3 3 3 2 4 3 2 2" xfId="54091" xr:uid="{00000000-0005-0000-0000-00004A140000}"/>
    <cellStyle name="20% - Accent3 3 3 2 4 3 3" xfId="39592" xr:uid="{00000000-0005-0000-0000-00004B140000}"/>
    <cellStyle name="20% - Accent3 3 3 2 4 4" xfId="17837" xr:uid="{00000000-0005-0000-0000-00004C140000}"/>
    <cellStyle name="20% - Accent3 3 3 2 4 4 2" xfId="46843" xr:uid="{00000000-0005-0000-0000-00004D140000}"/>
    <cellStyle name="20% - Accent3 3 3 2 4 5" xfId="32344" xr:uid="{00000000-0005-0000-0000-00004E140000}"/>
    <cellStyle name="20% - Accent3 3 3 2 5" xfId="4311" xr:uid="{00000000-0005-0000-0000-00004F140000}"/>
    <cellStyle name="20% - Accent3 3 3 2 5 2" xfId="11583" xr:uid="{00000000-0005-0000-0000-000050140000}"/>
    <cellStyle name="20% - Accent3 3 3 2 5 2 2" xfId="26117" xr:uid="{00000000-0005-0000-0000-000051140000}"/>
    <cellStyle name="20% - Accent3 3 3 2 5 2 2 2" xfId="55123" xr:uid="{00000000-0005-0000-0000-000052140000}"/>
    <cellStyle name="20% - Accent3 3 3 2 5 2 3" xfId="40624" xr:uid="{00000000-0005-0000-0000-000053140000}"/>
    <cellStyle name="20% - Accent3 3 3 2 5 3" xfId="18869" xr:uid="{00000000-0005-0000-0000-000054140000}"/>
    <cellStyle name="20% - Accent3 3 3 2 5 3 2" xfId="47875" xr:uid="{00000000-0005-0000-0000-000055140000}"/>
    <cellStyle name="20% - Accent3 3 3 2 5 4" xfId="33376" xr:uid="{00000000-0005-0000-0000-000056140000}"/>
    <cellStyle name="20% - Accent3 3 3 2 6" xfId="7415" xr:uid="{00000000-0005-0000-0000-000057140000}"/>
    <cellStyle name="20% - Accent3 3 3 2 6 2" xfId="14687" xr:uid="{00000000-0005-0000-0000-000058140000}"/>
    <cellStyle name="20% - Accent3 3 3 2 6 2 2" xfId="29221" xr:uid="{00000000-0005-0000-0000-000059140000}"/>
    <cellStyle name="20% - Accent3 3 3 2 6 2 2 2" xfId="58227" xr:uid="{00000000-0005-0000-0000-00005A140000}"/>
    <cellStyle name="20% - Accent3 3 3 2 6 2 3" xfId="43728" xr:uid="{00000000-0005-0000-0000-00005B140000}"/>
    <cellStyle name="20% - Accent3 3 3 2 6 3" xfId="21973" xr:uid="{00000000-0005-0000-0000-00005C140000}"/>
    <cellStyle name="20% - Accent3 3 3 2 6 3 2" xfId="50979" xr:uid="{00000000-0005-0000-0000-00005D140000}"/>
    <cellStyle name="20% - Accent3 3 3 2 6 4" xfId="36480" xr:uid="{00000000-0005-0000-0000-00005E140000}"/>
    <cellStyle name="20% - Accent3 3 3 2 7" xfId="8479" xr:uid="{00000000-0005-0000-0000-00005F140000}"/>
    <cellStyle name="20% - Accent3 3 3 2 7 2" xfId="23013" xr:uid="{00000000-0005-0000-0000-000060140000}"/>
    <cellStyle name="20% - Accent3 3 3 2 7 2 2" xfId="52019" xr:uid="{00000000-0005-0000-0000-000061140000}"/>
    <cellStyle name="20% - Accent3 3 3 2 7 3" xfId="37520" xr:uid="{00000000-0005-0000-0000-000062140000}"/>
    <cellStyle name="20% - Accent3 3 3 2 8" xfId="15765" xr:uid="{00000000-0005-0000-0000-000063140000}"/>
    <cellStyle name="20% - Accent3 3 3 2 8 2" xfId="44771" xr:uid="{00000000-0005-0000-0000-000064140000}"/>
    <cellStyle name="20% - Accent3 3 3 2 9" xfId="30272" xr:uid="{00000000-0005-0000-0000-000065140000}"/>
    <cellStyle name="20% - Accent3 3 3 3" xfId="1395" xr:uid="{00000000-0005-0000-0000-000066140000}"/>
    <cellStyle name="20% - Accent3 3 3 3 2" xfId="2453" xr:uid="{00000000-0005-0000-0000-000067140000}"/>
    <cellStyle name="20% - Accent3 3 3 3 2 2" xfId="5557" xr:uid="{00000000-0005-0000-0000-000068140000}"/>
    <cellStyle name="20% - Accent3 3 3 3 2 2 2" xfId="12829" xr:uid="{00000000-0005-0000-0000-000069140000}"/>
    <cellStyle name="20% - Accent3 3 3 3 2 2 2 2" xfId="27363" xr:uid="{00000000-0005-0000-0000-00006A140000}"/>
    <cellStyle name="20% - Accent3 3 3 3 2 2 2 2 2" xfId="56369" xr:uid="{00000000-0005-0000-0000-00006B140000}"/>
    <cellStyle name="20% - Accent3 3 3 3 2 2 2 3" xfId="41870" xr:uid="{00000000-0005-0000-0000-00006C140000}"/>
    <cellStyle name="20% - Accent3 3 3 3 2 2 3" xfId="20115" xr:uid="{00000000-0005-0000-0000-00006D140000}"/>
    <cellStyle name="20% - Accent3 3 3 3 2 2 3 2" xfId="49121" xr:uid="{00000000-0005-0000-0000-00006E140000}"/>
    <cellStyle name="20% - Accent3 3 3 3 2 2 4" xfId="34622" xr:uid="{00000000-0005-0000-0000-00006F140000}"/>
    <cellStyle name="20% - Accent3 3 3 3 2 3" xfId="9725" xr:uid="{00000000-0005-0000-0000-000070140000}"/>
    <cellStyle name="20% - Accent3 3 3 3 2 3 2" xfId="24259" xr:uid="{00000000-0005-0000-0000-000071140000}"/>
    <cellStyle name="20% - Accent3 3 3 3 2 3 2 2" xfId="53265" xr:uid="{00000000-0005-0000-0000-000072140000}"/>
    <cellStyle name="20% - Accent3 3 3 3 2 3 3" xfId="38766" xr:uid="{00000000-0005-0000-0000-000073140000}"/>
    <cellStyle name="20% - Accent3 3 3 3 2 4" xfId="17011" xr:uid="{00000000-0005-0000-0000-000074140000}"/>
    <cellStyle name="20% - Accent3 3 3 3 2 4 2" xfId="46017" xr:uid="{00000000-0005-0000-0000-000075140000}"/>
    <cellStyle name="20% - Accent3 3 3 3 2 5" xfId="31518" xr:uid="{00000000-0005-0000-0000-000076140000}"/>
    <cellStyle name="20% - Accent3 3 3 3 3" xfId="3485" xr:uid="{00000000-0005-0000-0000-000077140000}"/>
    <cellStyle name="20% - Accent3 3 3 3 3 2" xfId="6589" xr:uid="{00000000-0005-0000-0000-000078140000}"/>
    <cellStyle name="20% - Accent3 3 3 3 3 2 2" xfId="13861" xr:uid="{00000000-0005-0000-0000-000079140000}"/>
    <cellStyle name="20% - Accent3 3 3 3 3 2 2 2" xfId="28395" xr:uid="{00000000-0005-0000-0000-00007A140000}"/>
    <cellStyle name="20% - Accent3 3 3 3 3 2 2 2 2" xfId="57401" xr:uid="{00000000-0005-0000-0000-00007B140000}"/>
    <cellStyle name="20% - Accent3 3 3 3 3 2 2 3" xfId="42902" xr:uid="{00000000-0005-0000-0000-00007C140000}"/>
    <cellStyle name="20% - Accent3 3 3 3 3 2 3" xfId="21147" xr:uid="{00000000-0005-0000-0000-00007D140000}"/>
    <cellStyle name="20% - Accent3 3 3 3 3 2 3 2" xfId="50153" xr:uid="{00000000-0005-0000-0000-00007E140000}"/>
    <cellStyle name="20% - Accent3 3 3 3 3 2 4" xfId="35654" xr:uid="{00000000-0005-0000-0000-00007F140000}"/>
    <cellStyle name="20% - Accent3 3 3 3 3 3" xfId="10757" xr:uid="{00000000-0005-0000-0000-000080140000}"/>
    <cellStyle name="20% - Accent3 3 3 3 3 3 2" xfId="25291" xr:uid="{00000000-0005-0000-0000-000081140000}"/>
    <cellStyle name="20% - Accent3 3 3 3 3 3 2 2" xfId="54297" xr:uid="{00000000-0005-0000-0000-000082140000}"/>
    <cellStyle name="20% - Accent3 3 3 3 3 3 3" xfId="39798" xr:uid="{00000000-0005-0000-0000-000083140000}"/>
    <cellStyle name="20% - Accent3 3 3 3 3 4" xfId="18043" xr:uid="{00000000-0005-0000-0000-000084140000}"/>
    <cellStyle name="20% - Accent3 3 3 3 3 4 2" xfId="47049" xr:uid="{00000000-0005-0000-0000-000085140000}"/>
    <cellStyle name="20% - Accent3 3 3 3 3 5" xfId="32550" xr:uid="{00000000-0005-0000-0000-000086140000}"/>
    <cellStyle name="20% - Accent3 3 3 3 4" xfId="4517" xr:uid="{00000000-0005-0000-0000-000087140000}"/>
    <cellStyle name="20% - Accent3 3 3 3 4 2" xfId="11789" xr:uid="{00000000-0005-0000-0000-000088140000}"/>
    <cellStyle name="20% - Accent3 3 3 3 4 2 2" xfId="26323" xr:uid="{00000000-0005-0000-0000-000089140000}"/>
    <cellStyle name="20% - Accent3 3 3 3 4 2 2 2" xfId="55329" xr:uid="{00000000-0005-0000-0000-00008A140000}"/>
    <cellStyle name="20% - Accent3 3 3 3 4 2 3" xfId="40830" xr:uid="{00000000-0005-0000-0000-00008B140000}"/>
    <cellStyle name="20% - Accent3 3 3 3 4 3" xfId="19075" xr:uid="{00000000-0005-0000-0000-00008C140000}"/>
    <cellStyle name="20% - Accent3 3 3 3 4 3 2" xfId="48081" xr:uid="{00000000-0005-0000-0000-00008D140000}"/>
    <cellStyle name="20% - Accent3 3 3 3 4 4" xfId="33582" xr:uid="{00000000-0005-0000-0000-00008E140000}"/>
    <cellStyle name="20% - Accent3 3 3 3 5" xfId="7621" xr:uid="{00000000-0005-0000-0000-00008F140000}"/>
    <cellStyle name="20% - Accent3 3 3 3 5 2" xfId="14893" xr:uid="{00000000-0005-0000-0000-000090140000}"/>
    <cellStyle name="20% - Accent3 3 3 3 5 2 2" xfId="29427" xr:uid="{00000000-0005-0000-0000-000091140000}"/>
    <cellStyle name="20% - Accent3 3 3 3 5 2 2 2" xfId="58433" xr:uid="{00000000-0005-0000-0000-000092140000}"/>
    <cellStyle name="20% - Accent3 3 3 3 5 2 3" xfId="43934" xr:uid="{00000000-0005-0000-0000-000093140000}"/>
    <cellStyle name="20% - Accent3 3 3 3 5 3" xfId="22179" xr:uid="{00000000-0005-0000-0000-000094140000}"/>
    <cellStyle name="20% - Accent3 3 3 3 5 3 2" xfId="51185" xr:uid="{00000000-0005-0000-0000-000095140000}"/>
    <cellStyle name="20% - Accent3 3 3 3 5 4" xfId="36686" xr:uid="{00000000-0005-0000-0000-000096140000}"/>
    <cellStyle name="20% - Accent3 3 3 3 6" xfId="8685" xr:uid="{00000000-0005-0000-0000-000097140000}"/>
    <cellStyle name="20% - Accent3 3 3 3 6 2" xfId="23219" xr:uid="{00000000-0005-0000-0000-000098140000}"/>
    <cellStyle name="20% - Accent3 3 3 3 6 2 2" xfId="52225" xr:uid="{00000000-0005-0000-0000-000099140000}"/>
    <cellStyle name="20% - Accent3 3 3 3 6 3" xfId="37726" xr:uid="{00000000-0005-0000-0000-00009A140000}"/>
    <cellStyle name="20% - Accent3 3 3 3 7" xfId="15971" xr:uid="{00000000-0005-0000-0000-00009B140000}"/>
    <cellStyle name="20% - Accent3 3 3 3 7 2" xfId="44977" xr:uid="{00000000-0005-0000-0000-00009C140000}"/>
    <cellStyle name="20% - Accent3 3 3 3 8" xfId="30478" xr:uid="{00000000-0005-0000-0000-00009D140000}"/>
    <cellStyle name="20% - Accent3 3 3 4" xfId="1941" xr:uid="{00000000-0005-0000-0000-00009E140000}"/>
    <cellStyle name="20% - Accent3 3 3 4 2" xfId="5045" xr:uid="{00000000-0005-0000-0000-00009F140000}"/>
    <cellStyle name="20% - Accent3 3 3 4 2 2" xfId="12317" xr:uid="{00000000-0005-0000-0000-0000A0140000}"/>
    <cellStyle name="20% - Accent3 3 3 4 2 2 2" xfId="26851" xr:uid="{00000000-0005-0000-0000-0000A1140000}"/>
    <cellStyle name="20% - Accent3 3 3 4 2 2 2 2" xfId="55857" xr:uid="{00000000-0005-0000-0000-0000A2140000}"/>
    <cellStyle name="20% - Accent3 3 3 4 2 2 3" xfId="41358" xr:uid="{00000000-0005-0000-0000-0000A3140000}"/>
    <cellStyle name="20% - Accent3 3 3 4 2 3" xfId="19603" xr:uid="{00000000-0005-0000-0000-0000A4140000}"/>
    <cellStyle name="20% - Accent3 3 3 4 2 3 2" xfId="48609" xr:uid="{00000000-0005-0000-0000-0000A5140000}"/>
    <cellStyle name="20% - Accent3 3 3 4 2 4" xfId="34110" xr:uid="{00000000-0005-0000-0000-0000A6140000}"/>
    <cellStyle name="20% - Accent3 3 3 4 3" xfId="9213" xr:uid="{00000000-0005-0000-0000-0000A7140000}"/>
    <cellStyle name="20% - Accent3 3 3 4 3 2" xfId="23747" xr:uid="{00000000-0005-0000-0000-0000A8140000}"/>
    <cellStyle name="20% - Accent3 3 3 4 3 2 2" xfId="52753" xr:uid="{00000000-0005-0000-0000-0000A9140000}"/>
    <cellStyle name="20% - Accent3 3 3 4 3 3" xfId="38254" xr:uid="{00000000-0005-0000-0000-0000AA140000}"/>
    <cellStyle name="20% - Accent3 3 3 4 4" xfId="16499" xr:uid="{00000000-0005-0000-0000-0000AB140000}"/>
    <cellStyle name="20% - Accent3 3 3 4 4 2" xfId="45505" xr:uid="{00000000-0005-0000-0000-0000AC140000}"/>
    <cellStyle name="20% - Accent3 3 3 4 5" xfId="31006" xr:uid="{00000000-0005-0000-0000-0000AD140000}"/>
    <cellStyle name="20% - Accent3 3 3 5" xfId="2973" xr:uid="{00000000-0005-0000-0000-0000AE140000}"/>
    <cellStyle name="20% - Accent3 3 3 5 2" xfId="6077" xr:uid="{00000000-0005-0000-0000-0000AF140000}"/>
    <cellStyle name="20% - Accent3 3 3 5 2 2" xfId="13349" xr:uid="{00000000-0005-0000-0000-0000B0140000}"/>
    <cellStyle name="20% - Accent3 3 3 5 2 2 2" xfId="27883" xr:uid="{00000000-0005-0000-0000-0000B1140000}"/>
    <cellStyle name="20% - Accent3 3 3 5 2 2 2 2" xfId="56889" xr:uid="{00000000-0005-0000-0000-0000B2140000}"/>
    <cellStyle name="20% - Accent3 3 3 5 2 2 3" xfId="42390" xr:uid="{00000000-0005-0000-0000-0000B3140000}"/>
    <cellStyle name="20% - Accent3 3 3 5 2 3" xfId="20635" xr:uid="{00000000-0005-0000-0000-0000B4140000}"/>
    <cellStyle name="20% - Accent3 3 3 5 2 3 2" xfId="49641" xr:uid="{00000000-0005-0000-0000-0000B5140000}"/>
    <cellStyle name="20% - Accent3 3 3 5 2 4" xfId="35142" xr:uid="{00000000-0005-0000-0000-0000B6140000}"/>
    <cellStyle name="20% - Accent3 3 3 5 3" xfId="10245" xr:uid="{00000000-0005-0000-0000-0000B7140000}"/>
    <cellStyle name="20% - Accent3 3 3 5 3 2" xfId="24779" xr:uid="{00000000-0005-0000-0000-0000B8140000}"/>
    <cellStyle name="20% - Accent3 3 3 5 3 2 2" xfId="53785" xr:uid="{00000000-0005-0000-0000-0000B9140000}"/>
    <cellStyle name="20% - Accent3 3 3 5 3 3" xfId="39286" xr:uid="{00000000-0005-0000-0000-0000BA140000}"/>
    <cellStyle name="20% - Accent3 3 3 5 4" xfId="17531" xr:uid="{00000000-0005-0000-0000-0000BB140000}"/>
    <cellStyle name="20% - Accent3 3 3 5 4 2" xfId="46537" xr:uid="{00000000-0005-0000-0000-0000BC140000}"/>
    <cellStyle name="20% - Accent3 3 3 5 5" xfId="32038" xr:uid="{00000000-0005-0000-0000-0000BD140000}"/>
    <cellStyle name="20% - Accent3 3 3 6" xfId="4005" xr:uid="{00000000-0005-0000-0000-0000BE140000}"/>
    <cellStyle name="20% - Accent3 3 3 6 2" xfId="11277" xr:uid="{00000000-0005-0000-0000-0000BF140000}"/>
    <cellStyle name="20% - Accent3 3 3 6 2 2" xfId="25811" xr:uid="{00000000-0005-0000-0000-0000C0140000}"/>
    <cellStyle name="20% - Accent3 3 3 6 2 2 2" xfId="54817" xr:uid="{00000000-0005-0000-0000-0000C1140000}"/>
    <cellStyle name="20% - Accent3 3 3 6 2 3" xfId="40318" xr:uid="{00000000-0005-0000-0000-0000C2140000}"/>
    <cellStyle name="20% - Accent3 3 3 6 3" xfId="18563" xr:uid="{00000000-0005-0000-0000-0000C3140000}"/>
    <cellStyle name="20% - Accent3 3 3 6 3 2" xfId="47569" xr:uid="{00000000-0005-0000-0000-0000C4140000}"/>
    <cellStyle name="20% - Accent3 3 3 6 4" xfId="33070" xr:uid="{00000000-0005-0000-0000-0000C5140000}"/>
    <cellStyle name="20% - Accent3 3 3 7" xfId="7109" xr:uid="{00000000-0005-0000-0000-0000C6140000}"/>
    <cellStyle name="20% - Accent3 3 3 7 2" xfId="14381" xr:uid="{00000000-0005-0000-0000-0000C7140000}"/>
    <cellStyle name="20% - Accent3 3 3 7 2 2" xfId="28915" xr:uid="{00000000-0005-0000-0000-0000C8140000}"/>
    <cellStyle name="20% - Accent3 3 3 7 2 2 2" xfId="57921" xr:uid="{00000000-0005-0000-0000-0000C9140000}"/>
    <cellStyle name="20% - Accent3 3 3 7 2 3" xfId="43422" xr:uid="{00000000-0005-0000-0000-0000CA140000}"/>
    <cellStyle name="20% - Accent3 3 3 7 3" xfId="21667" xr:uid="{00000000-0005-0000-0000-0000CB140000}"/>
    <cellStyle name="20% - Accent3 3 3 7 3 2" xfId="50673" xr:uid="{00000000-0005-0000-0000-0000CC140000}"/>
    <cellStyle name="20% - Accent3 3 3 7 4" xfId="36174" xr:uid="{00000000-0005-0000-0000-0000CD140000}"/>
    <cellStyle name="20% - Accent3 3 3 8" xfId="8173" xr:uid="{00000000-0005-0000-0000-0000CE140000}"/>
    <cellStyle name="20% - Accent3 3 3 8 2" xfId="22707" xr:uid="{00000000-0005-0000-0000-0000CF140000}"/>
    <cellStyle name="20% - Accent3 3 3 8 2 2" xfId="51713" xr:uid="{00000000-0005-0000-0000-0000D0140000}"/>
    <cellStyle name="20% - Accent3 3 3 8 3" xfId="37214" xr:uid="{00000000-0005-0000-0000-0000D1140000}"/>
    <cellStyle name="20% - Accent3 3 3 9" xfId="15459" xr:uid="{00000000-0005-0000-0000-0000D2140000}"/>
    <cellStyle name="20% - Accent3 3 3 9 2" xfId="44465" xr:uid="{00000000-0005-0000-0000-0000D3140000}"/>
    <cellStyle name="20% - Accent3 3 4" xfId="1100" xr:uid="{00000000-0005-0000-0000-0000D4140000}"/>
    <cellStyle name="20% - Accent3 3 4 2" xfId="1597" xr:uid="{00000000-0005-0000-0000-0000D5140000}"/>
    <cellStyle name="20% - Accent3 3 4 2 2" xfId="2656" xr:uid="{00000000-0005-0000-0000-0000D6140000}"/>
    <cellStyle name="20% - Accent3 3 4 2 2 2" xfId="5760" xr:uid="{00000000-0005-0000-0000-0000D7140000}"/>
    <cellStyle name="20% - Accent3 3 4 2 2 2 2" xfId="13032" xr:uid="{00000000-0005-0000-0000-0000D8140000}"/>
    <cellStyle name="20% - Accent3 3 4 2 2 2 2 2" xfId="27566" xr:uid="{00000000-0005-0000-0000-0000D9140000}"/>
    <cellStyle name="20% - Accent3 3 4 2 2 2 2 2 2" xfId="56572" xr:uid="{00000000-0005-0000-0000-0000DA140000}"/>
    <cellStyle name="20% - Accent3 3 4 2 2 2 2 3" xfId="42073" xr:uid="{00000000-0005-0000-0000-0000DB140000}"/>
    <cellStyle name="20% - Accent3 3 4 2 2 2 3" xfId="20318" xr:uid="{00000000-0005-0000-0000-0000DC140000}"/>
    <cellStyle name="20% - Accent3 3 4 2 2 2 3 2" xfId="49324" xr:uid="{00000000-0005-0000-0000-0000DD140000}"/>
    <cellStyle name="20% - Accent3 3 4 2 2 2 4" xfId="34825" xr:uid="{00000000-0005-0000-0000-0000DE140000}"/>
    <cellStyle name="20% - Accent3 3 4 2 2 3" xfId="9928" xr:uid="{00000000-0005-0000-0000-0000DF140000}"/>
    <cellStyle name="20% - Accent3 3 4 2 2 3 2" xfId="24462" xr:uid="{00000000-0005-0000-0000-0000E0140000}"/>
    <cellStyle name="20% - Accent3 3 4 2 2 3 2 2" xfId="53468" xr:uid="{00000000-0005-0000-0000-0000E1140000}"/>
    <cellStyle name="20% - Accent3 3 4 2 2 3 3" xfId="38969" xr:uid="{00000000-0005-0000-0000-0000E2140000}"/>
    <cellStyle name="20% - Accent3 3 4 2 2 4" xfId="17214" xr:uid="{00000000-0005-0000-0000-0000E3140000}"/>
    <cellStyle name="20% - Accent3 3 4 2 2 4 2" xfId="46220" xr:uid="{00000000-0005-0000-0000-0000E4140000}"/>
    <cellStyle name="20% - Accent3 3 4 2 2 5" xfId="31721" xr:uid="{00000000-0005-0000-0000-0000E5140000}"/>
    <cellStyle name="20% - Accent3 3 4 2 3" xfId="3688" xr:uid="{00000000-0005-0000-0000-0000E6140000}"/>
    <cellStyle name="20% - Accent3 3 4 2 3 2" xfId="6792" xr:uid="{00000000-0005-0000-0000-0000E7140000}"/>
    <cellStyle name="20% - Accent3 3 4 2 3 2 2" xfId="14064" xr:uid="{00000000-0005-0000-0000-0000E8140000}"/>
    <cellStyle name="20% - Accent3 3 4 2 3 2 2 2" xfId="28598" xr:uid="{00000000-0005-0000-0000-0000E9140000}"/>
    <cellStyle name="20% - Accent3 3 4 2 3 2 2 2 2" xfId="57604" xr:uid="{00000000-0005-0000-0000-0000EA140000}"/>
    <cellStyle name="20% - Accent3 3 4 2 3 2 2 3" xfId="43105" xr:uid="{00000000-0005-0000-0000-0000EB140000}"/>
    <cellStyle name="20% - Accent3 3 4 2 3 2 3" xfId="21350" xr:uid="{00000000-0005-0000-0000-0000EC140000}"/>
    <cellStyle name="20% - Accent3 3 4 2 3 2 3 2" xfId="50356" xr:uid="{00000000-0005-0000-0000-0000ED140000}"/>
    <cellStyle name="20% - Accent3 3 4 2 3 2 4" xfId="35857" xr:uid="{00000000-0005-0000-0000-0000EE140000}"/>
    <cellStyle name="20% - Accent3 3 4 2 3 3" xfId="10960" xr:uid="{00000000-0005-0000-0000-0000EF140000}"/>
    <cellStyle name="20% - Accent3 3 4 2 3 3 2" xfId="25494" xr:uid="{00000000-0005-0000-0000-0000F0140000}"/>
    <cellStyle name="20% - Accent3 3 4 2 3 3 2 2" xfId="54500" xr:uid="{00000000-0005-0000-0000-0000F1140000}"/>
    <cellStyle name="20% - Accent3 3 4 2 3 3 3" xfId="40001" xr:uid="{00000000-0005-0000-0000-0000F2140000}"/>
    <cellStyle name="20% - Accent3 3 4 2 3 4" xfId="18246" xr:uid="{00000000-0005-0000-0000-0000F3140000}"/>
    <cellStyle name="20% - Accent3 3 4 2 3 4 2" xfId="47252" xr:uid="{00000000-0005-0000-0000-0000F4140000}"/>
    <cellStyle name="20% - Accent3 3 4 2 3 5" xfId="32753" xr:uid="{00000000-0005-0000-0000-0000F5140000}"/>
    <cellStyle name="20% - Accent3 3 4 2 4" xfId="4720" xr:uid="{00000000-0005-0000-0000-0000F6140000}"/>
    <cellStyle name="20% - Accent3 3 4 2 4 2" xfId="11992" xr:uid="{00000000-0005-0000-0000-0000F7140000}"/>
    <cellStyle name="20% - Accent3 3 4 2 4 2 2" xfId="26526" xr:uid="{00000000-0005-0000-0000-0000F8140000}"/>
    <cellStyle name="20% - Accent3 3 4 2 4 2 2 2" xfId="55532" xr:uid="{00000000-0005-0000-0000-0000F9140000}"/>
    <cellStyle name="20% - Accent3 3 4 2 4 2 3" xfId="41033" xr:uid="{00000000-0005-0000-0000-0000FA140000}"/>
    <cellStyle name="20% - Accent3 3 4 2 4 3" xfId="19278" xr:uid="{00000000-0005-0000-0000-0000FB140000}"/>
    <cellStyle name="20% - Accent3 3 4 2 4 3 2" xfId="48284" xr:uid="{00000000-0005-0000-0000-0000FC140000}"/>
    <cellStyle name="20% - Accent3 3 4 2 4 4" xfId="33785" xr:uid="{00000000-0005-0000-0000-0000FD140000}"/>
    <cellStyle name="20% - Accent3 3 4 2 5" xfId="7824" xr:uid="{00000000-0005-0000-0000-0000FE140000}"/>
    <cellStyle name="20% - Accent3 3 4 2 5 2" xfId="15096" xr:uid="{00000000-0005-0000-0000-0000FF140000}"/>
    <cellStyle name="20% - Accent3 3 4 2 5 2 2" xfId="29630" xr:uid="{00000000-0005-0000-0000-000000150000}"/>
    <cellStyle name="20% - Accent3 3 4 2 5 2 2 2" xfId="58636" xr:uid="{00000000-0005-0000-0000-000001150000}"/>
    <cellStyle name="20% - Accent3 3 4 2 5 2 3" xfId="44137" xr:uid="{00000000-0005-0000-0000-000002150000}"/>
    <cellStyle name="20% - Accent3 3 4 2 5 3" xfId="22382" xr:uid="{00000000-0005-0000-0000-000003150000}"/>
    <cellStyle name="20% - Accent3 3 4 2 5 3 2" xfId="51388" xr:uid="{00000000-0005-0000-0000-000004150000}"/>
    <cellStyle name="20% - Accent3 3 4 2 5 4" xfId="36889" xr:uid="{00000000-0005-0000-0000-000005150000}"/>
    <cellStyle name="20% - Accent3 3 4 2 6" xfId="8888" xr:uid="{00000000-0005-0000-0000-000006150000}"/>
    <cellStyle name="20% - Accent3 3 4 2 6 2" xfId="23422" xr:uid="{00000000-0005-0000-0000-000007150000}"/>
    <cellStyle name="20% - Accent3 3 4 2 6 2 2" xfId="52428" xr:uid="{00000000-0005-0000-0000-000008150000}"/>
    <cellStyle name="20% - Accent3 3 4 2 6 3" xfId="37929" xr:uid="{00000000-0005-0000-0000-000009150000}"/>
    <cellStyle name="20% - Accent3 3 4 2 7" xfId="16174" xr:uid="{00000000-0005-0000-0000-00000A150000}"/>
    <cellStyle name="20% - Accent3 3 4 2 7 2" xfId="45180" xr:uid="{00000000-0005-0000-0000-00000B150000}"/>
    <cellStyle name="20% - Accent3 3 4 2 8" xfId="30681" xr:uid="{00000000-0005-0000-0000-00000C150000}"/>
    <cellStyle name="20% - Accent3 3 4 3" xfId="2144" xr:uid="{00000000-0005-0000-0000-00000D150000}"/>
    <cellStyle name="20% - Accent3 3 4 3 2" xfId="5248" xr:uid="{00000000-0005-0000-0000-00000E150000}"/>
    <cellStyle name="20% - Accent3 3 4 3 2 2" xfId="12520" xr:uid="{00000000-0005-0000-0000-00000F150000}"/>
    <cellStyle name="20% - Accent3 3 4 3 2 2 2" xfId="27054" xr:uid="{00000000-0005-0000-0000-000010150000}"/>
    <cellStyle name="20% - Accent3 3 4 3 2 2 2 2" xfId="56060" xr:uid="{00000000-0005-0000-0000-000011150000}"/>
    <cellStyle name="20% - Accent3 3 4 3 2 2 3" xfId="41561" xr:uid="{00000000-0005-0000-0000-000012150000}"/>
    <cellStyle name="20% - Accent3 3 4 3 2 3" xfId="19806" xr:uid="{00000000-0005-0000-0000-000013150000}"/>
    <cellStyle name="20% - Accent3 3 4 3 2 3 2" xfId="48812" xr:uid="{00000000-0005-0000-0000-000014150000}"/>
    <cellStyle name="20% - Accent3 3 4 3 2 4" xfId="34313" xr:uid="{00000000-0005-0000-0000-000015150000}"/>
    <cellStyle name="20% - Accent3 3 4 3 3" xfId="9416" xr:uid="{00000000-0005-0000-0000-000016150000}"/>
    <cellStyle name="20% - Accent3 3 4 3 3 2" xfId="23950" xr:uid="{00000000-0005-0000-0000-000017150000}"/>
    <cellStyle name="20% - Accent3 3 4 3 3 2 2" xfId="52956" xr:uid="{00000000-0005-0000-0000-000018150000}"/>
    <cellStyle name="20% - Accent3 3 4 3 3 3" xfId="38457" xr:uid="{00000000-0005-0000-0000-000019150000}"/>
    <cellStyle name="20% - Accent3 3 4 3 4" xfId="16702" xr:uid="{00000000-0005-0000-0000-00001A150000}"/>
    <cellStyle name="20% - Accent3 3 4 3 4 2" xfId="45708" xr:uid="{00000000-0005-0000-0000-00001B150000}"/>
    <cellStyle name="20% - Accent3 3 4 3 5" xfId="31209" xr:uid="{00000000-0005-0000-0000-00001C150000}"/>
    <cellStyle name="20% - Accent3 3 4 4" xfId="3176" xr:uid="{00000000-0005-0000-0000-00001D150000}"/>
    <cellStyle name="20% - Accent3 3 4 4 2" xfId="6280" xr:uid="{00000000-0005-0000-0000-00001E150000}"/>
    <cellStyle name="20% - Accent3 3 4 4 2 2" xfId="13552" xr:uid="{00000000-0005-0000-0000-00001F150000}"/>
    <cellStyle name="20% - Accent3 3 4 4 2 2 2" xfId="28086" xr:uid="{00000000-0005-0000-0000-000020150000}"/>
    <cellStyle name="20% - Accent3 3 4 4 2 2 2 2" xfId="57092" xr:uid="{00000000-0005-0000-0000-000021150000}"/>
    <cellStyle name="20% - Accent3 3 4 4 2 2 3" xfId="42593" xr:uid="{00000000-0005-0000-0000-000022150000}"/>
    <cellStyle name="20% - Accent3 3 4 4 2 3" xfId="20838" xr:uid="{00000000-0005-0000-0000-000023150000}"/>
    <cellStyle name="20% - Accent3 3 4 4 2 3 2" xfId="49844" xr:uid="{00000000-0005-0000-0000-000024150000}"/>
    <cellStyle name="20% - Accent3 3 4 4 2 4" xfId="35345" xr:uid="{00000000-0005-0000-0000-000025150000}"/>
    <cellStyle name="20% - Accent3 3 4 4 3" xfId="10448" xr:uid="{00000000-0005-0000-0000-000026150000}"/>
    <cellStyle name="20% - Accent3 3 4 4 3 2" xfId="24982" xr:uid="{00000000-0005-0000-0000-000027150000}"/>
    <cellStyle name="20% - Accent3 3 4 4 3 2 2" xfId="53988" xr:uid="{00000000-0005-0000-0000-000028150000}"/>
    <cellStyle name="20% - Accent3 3 4 4 3 3" xfId="39489" xr:uid="{00000000-0005-0000-0000-000029150000}"/>
    <cellStyle name="20% - Accent3 3 4 4 4" xfId="17734" xr:uid="{00000000-0005-0000-0000-00002A150000}"/>
    <cellStyle name="20% - Accent3 3 4 4 4 2" xfId="46740" xr:uid="{00000000-0005-0000-0000-00002B150000}"/>
    <cellStyle name="20% - Accent3 3 4 4 5" xfId="32241" xr:uid="{00000000-0005-0000-0000-00002C150000}"/>
    <cellStyle name="20% - Accent3 3 4 5" xfId="4208" xr:uid="{00000000-0005-0000-0000-00002D150000}"/>
    <cellStyle name="20% - Accent3 3 4 5 2" xfId="11480" xr:uid="{00000000-0005-0000-0000-00002E150000}"/>
    <cellStyle name="20% - Accent3 3 4 5 2 2" xfId="26014" xr:uid="{00000000-0005-0000-0000-00002F150000}"/>
    <cellStyle name="20% - Accent3 3 4 5 2 2 2" xfId="55020" xr:uid="{00000000-0005-0000-0000-000030150000}"/>
    <cellStyle name="20% - Accent3 3 4 5 2 3" xfId="40521" xr:uid="{00000000-0005-0000-0000-000031150000}"/>
    <cellStyle name="20% - Accent3 3 4 5 3" xfId="18766" xr:uid="{00000000-0005-0000-0000-000032150000}"/>
    <cellStyle name="20% - Accent3 3 4 5 3 2" xfId="47772" xr:uid="{00000000-0005-0000-0000-000033150000}"/>
    <cellStyle name="20% - Accent3 3 4 5 4" xfId="33273" xr:uid="{00000000-0005-0000-0000-000034150000}"/>
    <cellStyle name="20% - Accent3 3 4 6" xfId="7312" xr:uid="{00000000-0005-0000-0000-000035150000}"/>
    <cellStyle name="20% - Accent3 3 4 6 2" xfId="14584" xr:uid="{00000000-0005-0000-0000-000036150000}"/>
    <cellStyle name="20% - Accent3 3 4 6 2 2" xfId="29118" xr:uid="{00000000-0005-0000-0000-000037150000}"/>
    <cellStyle name="20% - Accent3 3 4 6 2 2 2" xfId="58124" xr:uid="{00000000-0005-0000-0000-000038150000}"/>
    <cellStyle name="20% - Accent3 3 4 6 2 3" xfId="43625" xr:uid="{00000000-0005-0000-0000-000039150000}"/>
    <cellStyle name="20% - Accent3 3 4 6 3" xfId="21870" xr:uid="{00000000-0005-0000-0000-00003A150000}"/>
    <cellStyle name="20% - Accent3 3 4 6 3 2" xfId="50876" xr:uid="{00000000-0005-0000-0000-00003B150000}"/>
    <cellStyle name="20% - Accent3 3 4 6 4" xfId="36377" xr:uid="{00000000-0005-0000-0000-00003C150000}"/>
    <cellStyle name="20% - Accent3 3 4 7" xfId="8376" xr:uid="{00000000-0005-0000-0000-00003D150000}"/>
    <cellStyle name="20% - Accent3 3 4 7 2" xfId="22910" xr:uid="{00000000-0005-0000-0000-00003E150000}"/>
    <cellStyle name="20% - Accent3 3 4 7 2 2" xfId="51916" xr:uid="{00000000-0005-0000-0000-00003F150000}"/>
    <cellStyle name="20% - Accent3 3 4 7 3" xfId="37417" xr:uid="{00000000-0005-0000-0000-000040150000}"/>
    <cellStyle name="20% - Accent3 3 4 8" xfId="15662" xr:uid="{00000000-0005-0000-0000-000041150000}"/>
    <cellStyle name="20% - Accent3 3 4 8 2" xfId="44668" xr:uid="{00000000-0005-0000-0000-000042150000}"/>
    <cellStyle name="20% - Accent3 3 4 9" xfId="30169" xr:uid="{00000000-0005-0000-0000-000043150000}"/>
    <cellStyle name="20% - Accent3 3 5" xfId="1010" xr:uid="{00000000-0005-0000-0000-000044150000}"/>
    <cellStyle name="20% - Accent3 3 5 2" xfId="1498" xr:uid="{00000000-0005-0000-0000-000045150000}"/>
    <cellStyle name="20% - Accent3 3 5 2 2" xfId="2556" xr:uid="{00000000-0005-0000-0000-000046150000}"/>
    <cellStyle name="20% - Accent3 3 5 2 2 2" xfId="5660" xr:uid="{00000000-0005-0000-0000-000047150000}"/>
    <cellStyle name="20% - Accent3 3 5 2 2 2 2" xfId="12932" xr:uid="{00000000-0005-0000-0000-000048150000}"/>
    <cellStyle name="20% - Accent3 3 5 2 2 2 2 2" xfId="27466" xr:uid="{00000000-0005-0000-0000-000049150000}"/>
    <cellStyle name="20% - Accent3 3 5 2 2 2 2 2 2" xfId="56472" xr:uid="{00000000-0005-0000-0000-00004A150000}"/>
    <cellStyle name="20% - Accent3 3 5 2 2 2 2 3" xfId="41973" xr:uid="{00000000-0005-0000-0000-00004B150000}"/>
    <cellStyle name="20% - Accent3 3 5 2 2 2 3" xfId="20218" xr:uid="{00000000-0005-0000-0000-00004C150000}"/>
    <cellStyle name="20% - Accent3 3 5 2 2 2 3 2" xfId="49224" xr:uid="{00000000-0005-0000-0000-00004D150000}"/>
    <cellStyle name="20% - Accent3 3 5 2 2 2 4" xfId="34725" xr:uid="{00000000-0005-0000-0000-00004E150000}"/>
    <cellStyle name="20% - Accent3 3 5 2 2 3" xfId="9828" xr:uid="{00000000-0005-0000-0000-00004F150000}"/>
    <cellStyle name="20% - Accent3 3 5 2 2 3 2" xfId="24362" xr:uid="{00000000-0005-0000-0000-000050150000}"/>
    <cellStyle name="20% - Accent3 3 5 2 2 3 2 2" xfId="53368" xr:uid="{00000000-0005-0000-0000-000051150000}"/>
    <cellStyle name="20% - Accent3 3 5 2 2 3 3" xfId="38869" xr:uid="{00000000-0005-0000-0000-000052150000}"/>
    <cellStyle name="20% - Accent3 3 5 2 2 4" xfId="17114" xr:uid="{00000000-0005-0000-0000-000053150000}"/>
    <cellStyle name="20% - Accent3 3 5 2 2 4 2" xfId="46120" xr:uid="{00000000-0005-0000-0000-000054150000}"/>
    <cellStyle name="20% - Accent3 3 5 2 2 5" xfId="31621" xr:uid="{00000000-0005-0000-0000-000055150000}"/>
    <cellStyle name="20% - Accent3 3 5 2 3" xfId="3588" xr:uid="{00000000-0005-0000-0000-000056150000}"/>
    <cellStyle name="20% - Accent3 3 5 2 3 2" xfId="6692" xr:uid="{00000000-0005-0000-0000-000057150000}"/>
    <cellStyle name="20% - Accent3 3 5 2 3 2 2" xfId="13964" xr:uid="{00000000-0005-0000-0000-000058150000}"/>
    <cellStyle name="20% - Accent3 3 5 2 3 2 2 2" xfId="28498" xr:uid="{00000000-0005-0000-0000-000059150000}"/>
    <cellStyle name="20% - Accent3 3 5 2 3 2 2 2 2" xfId="57504" xr:uid="{00000000-0005-0000-0000-00005A150000}"/>
    <cellStyle name="20% - Accent3 3 5 2 3 2 2 3" xfId="43005" xr:uid="{00000000-0005-0000-0000-00005B150000}"/>
    <cellStyle name="20% - Accent3 3 5 2 3 2 3" xfId="21250" xr:uid="{00000000-0005-0000-0000-00005C150000}"/>
    <cellStyle name="20% - Accent3 3 5 2 3 2 3 2" xfId="50256" xr:uid="{00000000-0005-0000-0000-00005D150000}"/>
    <cellStyle name="20% - Accent3 3 5 2 3 2 4" xfId="35757" xr:uid="{00000000-0005-0000-0000-00005E150000}"/>
    <cellStyle name="20% - Accent3 3 5 2 3 3" xfId="10860" xr:uid="{00000000-0005-0000-0000-00005F150000}"/>
    <cellStyle name="20% - Accent3 3 5 2 3 3 2" xfId="25394" xr:uid="{00000000-0005-0000-0000-000060150000}"/>
    <cellStyle name="20% - Accent3 3 5 2 3 3 2 2" xfId="54400" xr:uid="{00000000-0005-0000-0000-000061150000}"/>
    <cellStyle name="20% - Accent3 3 5 2 3 3 3" xfId="39901" xr:uid="{00000000-0005-0000-0000-000062150000}"/>
    <cellStyle name="20% - Accent3 3 5 2 3 4" xfId="18146" xr:uid="{00000000-0005-0000-0000-000063150000}"/>
    <cellStyle name="20% - Accent3 3 5 2 3 4 2" xfId="47152" xr:uid="{00000000-0005-0000-0000-000064150000}"/>
    <cellStyle name="20% - Accent3 3 5 2 3 5" xfId="32653" xr:uid="{00000000-0005-0000-0000-000065150000}"/>
    <cellStyle name="20% - Accent3 3 5 2 4" xfId="4620" xr:uid="{00000000-0005-0000-0000-000066150000}"/>
    <cellStyle name="20% - Accent3 3 5 2 4 2" xfId="11892" xr:uid="{00000000-0005-0000-0000-000067150000}"/>
    <cellStyle name="20% - Accent3 3 5 2 4 2 2" xfId="26426" xr:uid="{00000000-0005-0000-0000-000068150000}"/>
    <cellStyle name="20% - Accent3 3 5 2 4 2 2 2" xfId="55432" xr:uid="{00000000-0005-0000-0000-000069150000}"/>
    <cellStyle name="20% - Accent3 3 5 2 4 2 3" xfId="40933" xr:uid="{00000000-0005-0000-0000-00006A150000}"/>
    <cellStyle name="20% - Accent3 3 5 2 4 3" xfId="19178" xr:uid="{00000000-0005-0000-0000-00006B150000}"/>
    <cellStyle name="20% - Accent3 3 5 2 4 3 2" xfId="48184" xr:uid="{00000000-0005-0000-0000-00006C150000}"/>
    <cellStyle name="20% - Accent3 3 5 2 4 4" xfId="33685" xr:uid="{00000000-0005-0000-0000-00006D150000}"/>
    <cellStyle name="20% - Accent3 3 5 2 5" xfId="7724" xr:uid="{00000000-0005-0000-0000-00006E150000}"/>
    <cellStyle name="20% - Accent3 3 5 2 5 2" xfId="14996" xr:uid="{00000000-0005-0000-0000-00006F150000}"/>
    <cellStyle name="20% - Accent3 3 5 2 5 2 2" xfId="29530" xr:uid="{00000000-0005-0000-0000-000070150000}"/>
    <cellStyle name="20% - Accent3 3 5 2 5 2 2 2" xfId="58536" xr:uid="{00000000-0005-0000-0000-000071150000}"/>
    <cellStyle name="20% - Accent3 3 5 2 5 2 3" xfId="44037" xr:uid="{00000000-0005-0000-0000-000072150000}"/>
    <cellStyle name="20% - Accent3 3 5 2 5 3" xfId="22282" xr:uid="{00000000-0005-0000-0000-000073150000}"/>
    <cellStyle name="20% - Accent3 3 5 2 5 3 2" xfId="51288" xr:uid="{00000000-0005-0000-0000-000074150000}"/>
    <cellStyle name="20% - Accent3 3 5 2 5 4" xfId="36789" xr:uid="{00000000-0005-0000-0000-000075150000}"/>
    <cellStyle name="20% - Accent3 3 5 2 6" xfId="8788" xr:uid="{00000000-0005-0000-0000-000076150000}"/>
    <cellStyle name="20% - Accent3 3 5 2 6 2" xfId="23322" xr:uid="{00000000-0005-0000-0000-000077150000}"/>
    <cellStyle name="20% - Accent3 3 5 2 6 2 2" xfId="52328" xr:uid="{00000000-0005-0000-0000-000078150000}"/>
    <cellStyle name="20% - Accent3 3 5 2 6 3" xfId="37829" xr:uid="{00000000-0005-0000-0000-000079150000}"/>
    <cellStyle name="20% - Accent3 3 5 2 7" xfId="16074" xr:uid="{00000000-0005-0000-0000-00007A150000}"/>
    <cellStyle name="20% - Accent3 3 5 2 7 2" xfId="45080" xr:uid="{00000000-0005-0000-0000-00007B150000}"/>
    <cellStyle name="20% - Accent3 3 5 2 8" xfId="30581" xr:uid="{00000000-0005-0000-0000-00007C150000}"/>
    <cellStyle name="20% - Accent3 3 5 3" xfId="2044" xr:uid="{00000000-0005-0000-0000-00007D150000}"/>
    <cellStyle name="20% - Accent3 3 5 3 2" xfId="5148" xr:uid="{00000000-0005-0000-0000-00007E150000}"/>
    <cellStyle name="20% - Accent3 3 5 3 2 2" xfId="12420" xr:uid="{00000000-0005-0000-0000-00007F150000}"/>
    <cellStyle name="20% - Accent3 3 5 3 2 2 2" xfId="26954" xr:uid="{00000000-0005-0000-0000-000080150000}"/>
    <cellStyle name="20% - Accent3 3 5 3 2 2 2 2" xfId="55960" xr:uid="{00000000-0005-0000-0000-000081150000}"/>
    <cellStyle name="20% - Accent3 3 5 3 2 2 3" xfId="41461" xr:uid="{00000000-0005-0000-0000-000082150000}"/>
    <cellStyle name="20% - Accent3 3 5 3 2 3" xfId="19706" xr:uid="{00000000-0005-0000-0000-000083150000}"/>
    <cellStyle name="20% - Accent3 3 5 3 2 3 2" xfId="48712" xr:uid="{00000000-0005-0000-0000-000084150000}"/>
    <cellStyle name="20% - Accent3 3 5 3 2 4" xfId="34213" xr:uid="{00000000-0005-0000-0000-000085150000}"/>
    <cellStyle name="20% - Accent3 3 5 3 3" xfId="9316" xr:uid="{00000000-0005-0000-0000-000086150000}"/>
    <cellStyle name="20% - Accent3 3 5 3 3 2" xfId="23850" xr:uid="{00000000-0005-0000-0000-000087150000}"/>
    <cellStyle name="20% - Accent3 3 5 3 3 2 2" xfId="52856" xr:uid="{00000000-0005-0000-0000-000088150000}"/>
    <cellStyle name="20% - Accent3 3 5 3 3 3" xfId="38357" xr:uid="{00000000-0005-0000-0000-000089150000}"/>
    <cellStyle name="20% - Accent3 3 5 3 4" xfId="16602" xr:uid="{00000000-0005-0000-0000-00008A150000}"/>
    <cellStyle name="20% - Accent3 3 5 3 4 2" xfId="45608" xr:uid="{00000000-0005-0000-0000-00008B150000}"/>
    <cellStyle name="20% - Accent3 3 5 3 5" xfId="31109" xr:uid="{00000000-0005-0000-0000-00008C150000}"/>
    <cellStyle name="20% - Accent3 3 5 4" xfId="3076" xr:uid="{00000000-0005-0000-0000-00008D150000}"/>
    <cellStyle name="20% - Accent3 3 5 4 2" xfId="6180" xr:uid="{00000000-0005-0000-0000-00008E150000}"/>
    <cellStyle name="20% - Accent3 3 5 4 2 2" xfId="13452" xr:uid="{00000000-0005-0000-0000-00008F150000}"/>
    <cellStyle name="20% - Accent3 3 5 4 2 2 2" xfId="27986" xr:uid="{00000000-0005-0000-0000-000090150000}"/>
    <cellStyle name="20% - Accent3 3 5 4 2 2 2 2" xfId="56992" xr:uid="{00000000-0005-0000-0000-000091150000}"/>
    <cellStyle name="20% - Accent3 3 5 4 2 2 3" xfId="42493" xr:uid="{00000000-0005-0000-0000-000092150000}"/>
    <cellStyle name="20% - Accent3 3 5 4 2 3" xfId="20738" xr:uid="{00000000-0005-0000-0000-000093150000}"/>
    <cellStyle name="20% - Accent3 3 5 4 2 3 2" xfId="49744" xr:uid="{00000000-0005-0000-0000-000094150000}"/>
    <cellStyle name="20% - Accent3 3 5 4 2 4" xfId="35245" xr:uid="{00000000-0005-0000-0000-000095150000}"/>
    <cellStyle name="20% - Accent3 3 5 4 3" xfId="10348" xr:uid="{00000000-0005-0000-0000-000096150000}"/>
    <cellStyle name="20% - Accent3 3 5 4 3 2" xfId="24882" xr:uid="{00000000-0005-0000-0000-000097150000}"/>
    <cellStyle name="20% - Accent3 3 5 4 3 2 2" xfId="53888" xr:uid="{00000000-0005-0000-0000-000098150000}"/>
    <cellStyle name="20% - Accent3 3 5 4 3 3" xfId="39389" xr:uid="{00000000-0005-0000-0000-000099150000}"/>
    <cellStyle name="20% - Accent3 3 5 4 4" xfId="17634" xr:uid="{00000000-0005-0000-0000-00009A150000}"/>
    <cellStyle name="20% - Accent3 3 5 4 4 2" xfId="46640" xr:uid="{00000000-0005-0000-0000-00009B150000}"/>
    <cellStyle name="20% - Accent3 3 5 4 5" xfId="32141" xr:uid="{00000000-0005-0000-0000-00009C150000}"/>
    <cellStyle name="20% - Accent3 3 5 5" xfId="4108" xr:uid="{00000000-0005-0000-0000-00009D150000}"/>
    <cellStyle name="20% - Accent3 3 5 5 2" xfId="11380" xr:uid="{00000000-0005-0000-0000-00009E150000}"/>
    <cellStyle name="20% - Accent3 3 5 5 2 2" xfId="25914" xr:uid="{00000000-0005-0000-0000-00009F150000}"/>
    <cellStyle name="20% - Accent3 3 5 5 2 2 2" xfId="54920" xr:uid="{00000000-0005-0000-0000-0000A0150000}"/>
    <cellStyle name="20% - Accent3 3 5 5 2 3" xfId="40421" xr:uid="{00000000-0005-0000-0000-0000A1150000}"/>
    <cellStyle name="20% - Accent3 3 5 5 3" xfId="18666" xr:uid="{00000000-0005-0000-0000-0000A2150000}"/>
    <cellStyle name="20% - Accent3 3 5 5 3 2" xfId="47672" xr:uid="{00000000-0005-0000-0000-0000A3150000}"/>
    <cellStyle name="20% - Accent3 3 5 5 4" xfId="33173" xr:uid="{00000000-0005-0000-0000-0000A4150000}"/>
    <cellStyle name="20% - Accent3 3 5 6" xfId="7212" xr:uid="{00000000-0005-0000-0000-0000A5150000}"/>
    <cellStyle name="20% - Accent3 3 5 6 2" xfId="14484" xr:uid="{00000000-0005-0000-0000-0000A6150000}"/>
    <cellStyle name="20% - Accent3 3 5 6 2 2" xfId="29018" xr:uid="{00000000-0005-0000-0000-0000A7150000}"/>
    <cellStyle name="20% - Accent3 3 5 6 2 2 2" xfId="58024" xr:uid="{00000000-0005-0000-0000-0000A8150000}"/>
    <cellStyle name="20% - Accent3 3 5 6 2 3" xfId="43525" xr:uid="{00000000-0005-0000-0000-0000A9150000}"/>
    <cellStyle name="20% - Accent3 3 5 6 3" xfId="21770" xr:uid="{00000000-0005-0000-0000-0000AA150000}"/>
    <cellStyle name="20% - Accent3 3 5 6 3 2" xfId="50776" xr:uid="{00000000-0005-0000-0000-0000AB150000}"/>
    <cellStyle name="20% - Accent3 3 5 6 4" xfId="36277" xr:uid="{00000000-0005-0000-0000-0000AC150000}"/>
    <cellStyle name="20% - Accent3 3 5 7" xfId="8276" xr:uid="{00000000-0005-0000-0000-0000AD150000}"/>
    <cellStyle name="20% - Accent3 3 5 7 2" xfId="22810" xr:uid="{00000000-0005-0000-0000-0000AE150000}"/>
    <cellStyle name="20% - Accent3 3 5 7 2 2" xfId="51816" xr:uid="{00000000-0005-0000-0000-0000AF150000}"/>
    <cellStyle name="20% - Accent3 3 5 7 3" xfId="37317" xr:uid="{00000000-0005-0000-0000-0000B0150000}"/>
    <cellStyle name="20% - Accent3 3 5 8" xfId="15562" xr:uid="{00000000-0005-0000-0000-0000B1150000}"/>
    <cellStyle name="20% - Accent3 3 5 8 2" xfId="44568" xr:uid="{00000000-0005-0000-0000-0000B2150000}"/>
    <cellStyle name="20% - Accent3 3 5 9" xfId="30069" xr:uid="{00000000-0005-0000-0000-0000B3150000}"/>
    <cellStyle name="20% - Accent3 3 6" xfId="1294" xr:uid="{00000000-0005-0000-0000-0000B4150000}"/>
    <cellStyle name="20% - Accent3 3 6 2" xfId="2350" xr:uid="{00000000-0005-0000-0000-0000B5150000}"/>
    <cellStyle name="20% - Accent3 3 6 2 2" xfId="5454" xr:uid="{00000000-0005-0000-0000-0000B6150000}"/>
    <cellStyle name="20% - Accent3 3 6 2 2 2" xfId="12726" xr:uid="{00000000-0005-0000-0000-0000B7150000}"/>
    <cellStyle name="20% - Accent3 3 6 2 2 2 2" xfId="27260" xr:uid="{00000000-0005-0000-0000-0000B8150000}"/>
    <cellStyle name="20% - Accent3 3 6 2 2 2 2 2" xfId="56266" xr:uid="{00000000-0005-0000-0000-0000B9150000}"/>
    <cellStyle name="20% - Accent3 3 6 2 2 2 3" xfId="41767" xr:uid="{00000000-0005-0000-0000-0000BA150000}"/>
    <cellStyle name="20% - Accent3 3 6 2 2 3" xfId="20012" xr:uid="{00000000-0005-0000-0000-0000BB150000}"/>
    <cellStyle name="20% - Accent3 3 6 2 2 3 2" xfId="49018" xr:uid="{00000000-0005-0000-0000-0000BC150000}"/>
    <cellStyle name="20% - Accent3 3 6 2 2 4" xfId="34519" xr:uid="{00000000-0005-0000-0000-0000BD150000}"/>
    <cellStyle name="20% - Accent3 3 6 2 3" xfId="9622" xr:uid="{00000000-0005-0000-0000-0000BE150000}"/>
    <cellStyle name="20% - Accent3 3 6 2 3 2" xfId="24156" xr:uid="{00000000-0005-0000-0000-0000BF150000}"/>
    <cellStyle name="20% - Accent3 3 6 2 3 2 2" xfId="53162" xr:uid="{00000000-0005-0000-0000-0000C0150000}"/>
    <cellStyle name="20% - Accent3 3 6 2 3 3" xfId="38663" xr:uid="{00000000-0005-0000-0000-0000C1150000}"/>
    <cellStyle name="20% - Accent3 3 6 2 4" xfId="16908" xr:uid="{00000000-0005-0000-0000-0000C2150000}"/>
    <cellStyle name="20% - Accent3 3 6 2 4 2" xfId="45914" xr:uid="{00000000-0005-0000-0000-0000C3150000}"/>
    <cellStyle name="20% - Accent3 3 6 2 5" xfId="31415" xr:uid="{00000000-0005-0000-0000-0000C4150000}"/>
    <cellStyle name="20% - Accent3 3 6 3" xfId="3382" xr:uid="{00000000-0005-0000-0000-0000C5150000}"/>
    <cellStyle name="20% - Accent3 3 6 3 2" xfId="6486" xr:uid="{00000000-0005-0000-0000-0000C6150000}"/>
    <cellStyle name="20% - Accent3 3 6 3 2 2" xfId="13758" xr:uid="{00000000-0005-0000-0000-0000C7150000}"/>
    <cellStyle name="20% - Accent3 3 6 3 2 2 2" xfId="28292" xr:uid="{00000000-0005-0000-0000-0000C8150000}"/>
    <cellStyle name="20% - Accent3 3 6 3 2 2 2 2" xfId="57298" xr:uid="{00000000-0005-0000-0000-0000C9150000}"/>
    <cellStyle name="20% - Accent3 3 6 3 2 2 3" xfId="42799" xr:uid="{00000000-0005-0000-0000-0000CA150000}"/>
    <cellStyle name="20% - Accent3 3 6 3 2 3" xfId="21044" xr:uid="{00000000-0005-0000-0000-0000CB150000}"/>
    <cellStyle name="20% - Accent3 3 6 3 2 3 2" xfId="50050" xr:uid="{00000000-0005-0000-0000-0000CC150000}"/>
    <cellStyle name="20% - Accent3 3 6 3 2 4" xfId="35551" xr:uid="{00000000-0005-0000-0000-0000CD150000}"/>
    <cellStyle name="20% - Accent3 3 6 3 3" xfId="10654" xr:uid="{00000000-0005-0000-0000-0000CE150000}"/>
    <cellStyle name="20% - Accent3 3 6 3 3 2" xfId="25188" xr:uid="{00000000-0005-0000-0000-0000CF150000}"/>
    <cellStyle name="20% - Accent3 3 6 3 3 2 2" xfId="54194" xr:uid="{00000000-0005-0000-0000-0000D0150000}"/>
    <cellStyle name="20% - Accent3 3 6 3 3 3" xfId="39695" xr:uid="{00000000-0005-0000-0000-0000D1150000}"/>
    <cellStyle name="20% - Accent3 3 6 3 4" xfId="17940" xr:uid="{00000000-0005-0000-0000-0000D2150000}"/>
    <cellStyle name="20% - Accent3 3 6 3 4 2" xfId="46946" xr:uid="{00000000-0005-0000-0000-0000D3150000}"/>
    <cellStyle name="20% - Accent3 3 6 3 5" xfId="32447" xr:uid="{00000000-0005-0000-0000-0000D4150000}"/>
    <cellStyle name="20% - Accent3 3 6 4" xfId="4414" xr:uid="{00000000-0005-0000-0000-0000D5150000}"/>
    <cellStyle name="20% - Accent3 3 6 4 2" xfId="11686" xr:uid="{00000000-0005-0000-0000-0000D6150000}"/>
    <cellStyle name="20% - Accent3 3 6 4 2 2" xfId="26220" xr:uid="{00000000-0005-0000-0000-0000D7150000}"/>
    <cellStyle name="20% - Accent3 3 6 4 2 2 2" xfId="55226" xr:uid="{00000000-0005-0000-0000-0000D8150000}"/>
    <cellStyle name="20% - Accent3 3 6 4 2 3" xfId="40727" xr:uid="{00000000-0005-0000-0000-0000D9150000}"/>
    <cellStyle name="20% - Accent3 3 6 4 3" xfId="18972" xr:uid="{00000000-0005-0000-0000-0000DA150000}"/>
    <cellStyle name="20% - Accent3 3 6 4 3 2" xfId="47978" xr:uid="{00000000-0005-0000-0000-0000DB150000}"/>
    <cellStyle name="20% - Accent3 3 6 4 4" xfId="33479" xr:uid="{00000000-0005-0000-0000-0000DC150000}"/>
    <cellStyle name="20% - Accent3 3 6 5" xfId="7518" xr:uid="{00000000-0005-0000-0000-0000DD150000}"/>
    <cellStyle name="20% - Accent3 3 6 5 2" xfId="14790" xr:uid="{00000000-0005-0000-0000-0000DE150000}"/>
    <cellStyle name="20% - Accent3 3 6 5 2 2" xfId="29324" xr:uid="{00000000-0005-0000-0000-0000DF150000}"/>
    <cellStyle name="20% - Accent3 3 6 5 2 2 2" xfId="58330" xr:uid="{00000000-0005-0000-0000-0000E0150000}"/>
    <cellStyle name="20% - Accent3 3 6 5 2 3" xfId="43831" xr:uid="{00000000-0005-0000-0000-0000E1150000}"/>
    <cellStyle name="20% - Accent3 3 6 5 3" xfId="22076" xr:uid="{00000000-0005-0000-0000-0000E2150000}"/>
    <cellStyle name="20% - Accent3 3 6 5 3 2" xfId="51082" xr:uid="{00000000-0005-0000-0000-0000E3150000}"/>
    <cellStyle name="20% - Accent3 3 6 5 4" xfId="36583" xr:uid="{00000000-0005-0000-0000-0000E4150000}"/>
    <cellStyle name="20% - Accent3 3 6 6" xfId="8582" xr:uid="{00000000-0005-0000-0000-0000E5150000}"/>
    <cellStyle name="20% - Accent3 3 6 6 2" xfId="23116" xr:uid="{00000000-0005-0000-0000-0000E6150000}"/>
    <cellStyle name="20% - Accent3 3 6 6 2 2" xfId="52122" xr:uid="{00000000-0005-0000-0000-0000E7150000}"/>
    <cellStyle name="20% - Accent3 3 6 6 3" xfId="37623" xr:uid="{00000000-0005-0000-0000-0000E8150000}"/>
    <cellStyle name="20% - Accent3 3 6 7" xfId="15868" xr:uid="{00000000-0005-0000-0000-0000E9150000}"/>
    <cellStyle name="20% - Accent3 3 6 7 2" xfId="44874" xr:uid="{00000000-0005-0000-0000-0000EA150000}"/>
    <cellStyle name="20% - Accent3 3 6 8" xfId="30375" xr:uid="{00000000-0005-0000-0000-0000EB150000}"/>
    <cellStyle name="20% - Accent3 3 7" xfId="1838" xr:uid="{00000000-0005-0000-0000-0000EC150000}"/>
    <cellStyle name="20% - Accent3 3 7 2" xfId="4942" xr:uid="{00000000-0005-0000-0000-0000ED150000}"/>
    <cellStyle name="20% - Accent3 3 7 2 2" xfId="12214" xr:uid="{00000000-0005-0000-0000-0000EE150000}"/>
    <cellStyle name="20% - Accent3 3 7 2 2 2" xfId="26748" xr:uid="{00000000-0005-0000-0000-0000EF150000}"/>
    <cellStyle name="20% - Accent3 3 7 2 2 2 2" xfId="55754" xr:uid="{00000000-0005-0000-0000-0000F0150000}"/>
    <cellStyle name="20% - Accent3 3 7 2 2 3" xfId="41255" xr:uid="{00000000-0005-0000-0000-0000F1150000}"/>
    <cellStyle name="20% - Accent3 3 7 2 3" xfId="19500" xr:uid="{00000000-0005-0000-0000-0000F2150000}"/>
    <cellStyle name="20% - Accent3 3 7 2 3 2" xfId="48506" xr:uid="{00000000-0005-0000-0000-0000F3150000}"/>
    <cellStyle name="20% - Accent3 3 7 2 4" xfId="34007" xr:uid="{00000000-0005-0000-0000-0000F4150000}"/>
    <cellStyle name="20% - Accent3 3 7 3" xfId="9110" xr:uid="{00000000-0005-0000-0000-0000F5150000}"/>
    <cellStyle name="20% - Accent3 3 7 3 2" xfId="23644" xr:uid="{00000000-0005-0000-0000-0000F6150000}"/>
    <cellStyle name="20% - Accent3 3 7 3 2 2" xfId="52650" xr:uid="{00000000-0005-0000-0000-0000F7150000}"/>
    <cellStyle name="20% - Accent3 3 7 3 3" xfId="38151" xr:uid="{00000000-0005-0000-0000-0000F8150000}"/>
    <cellStyle name="20% - Accent3 3 7 4" xfId="16396" xr:uid="{00000000-0005-0000-0000-0000F9150000}"/>
    <cellStyle name="20% - Accent3 3 7 4 2" xfId="45402" xr:uid="{00000000-0005-0000-0000-0000FA150000}"/>
    <cellStyle name="20% - Accent3 3 7 5" xfId="30903" xr:uid="{00000000-0005-0000-0000-0000FB150000}"/>
    <cellStyle name="20% - Accent3 3 8" xfId="2870" xr:uid="{00000000-0005-0000-0000-0000FC150000}"/>
    <cellStyle name="20% - Accent3 3 8 2" xfId="5974" xr:uid="{00000000-0005-0000-0000-0000FD150000}"/>
    <cellStyle name="20% - Accent3 3 8 2 2" xfId="13246" xr:uid="{00000000-0005-0000-0000-0000FE150000}"/>
    <cellStyle name="20% - Accent3 3 8 2 2 2" xfId="27780" xr:uid="{00000000-0005-0000-0000-0000FF150000}"/>
    <cellStyle name="20% - Accent3 3 8 2 2 2 2" xfId="56786" xr:uid="{00000000-0005-0000-0000-000000160000}"/>
    <cellStyle name="20% - Accent3 3 8 2 2 3" xfId="42287" xr:uid="{00000000-0005-0000-0000-000001160000}"/>
    <cellStyle name="20% - Accent3 3 8 2 3" xfId="20532" xr:uid="{00000000-0005-0000-0000-000002160000}"/>
    <cellStyle name="20% - Accent3 3 8 2 3 2" xfId="49538" xr:uid="{00000000-0005-0000-0000-000003160000}"/>
    <cellStyle name="20% - Accent3 3 8 2 4" xfId="35039" xr:uid="{00000000-0005-0000-0000-000004160000}"/>
    <cellStyle name="20% - Accent3 3 8 3" xfId="10142" xr:uid="{00000000-0005-0000-0000-000005160000}"/>
    <cellStyle name="20% - Accent3 3 8 3 2" xfId="24676" xr:uid="{00000000-0005-0000-0000-000006160000}"/>
    <cellStyle name="20% - Accent3 3 8 3 2 2" xfId="53682" xr:uid="{00000000-0005-0000-0000-000007160000}"/>
    <cellStyle name="20% - Accent3 3 8 3 3" xfId="39183" xr:uid="{00000000-0005-0000-0000-000008160000}"/>
    <cellStyle name="20% - Accent3 3 8 4" xfId="17428" xr:uid="{00000000-0005-0000-0000-000009160000}"/>
    <cellStyle name="20% - Accent3 3 8 4 2" xfId="46434" xr:uid="{00000000-0005-0000-0000-00000A160000}"/>
    <cellStyle name="20% - Accent3 3 8 5" xfId="31935" xr:uid="{00000000-0005-0000-0000-00000B160000}"/>
    <cellStyle name="20% - Accent3 3 9" xfId="3902" xr:uid="{00000000-0005-0000-0000-00000C160000}"/>
    <cellStyle name="20% - Accent3 3 9 2" xfId="11174" xr:uid="{00000000-0005-0000-0000-00000D160000}"/>
    <cellStyle name="20% - Accent3 3 9 2 2" xfId="25708" xr:uid="{00000000-0005-0000-0000-00000E160000}"/>
    <cellStyle name="20% - Accent3 3 9 2 2 2" xfId="54714" xr:uid="{00000000-0005-0000-0000-00000F160000}"/>
    <cellStyle name="20% - Accent3 3 9 2 3" xfId="40215" xr:uid="{00000000-0005-0000-0000-000010160000}"/>
    <cellStyle name="20% - Accent3 3 9 3" xfId="18460" xr:uid="{00000000-0005-0000-0000-000011160000}"/>
    <cellStyle name="20% - Accent3 3 9 3 2" xfId="47466" xr:uid="{00000000-0005-0000-0000-000012160000}"/>
    <cellStyle name="20% - Accent3 3 9 4" xfId="32967" xr:uid="{00000000-0005-0000-0000-000013160000}"/>
    <cellStyle name="20% - Accent3 4" xfId="868" xr:uid="{00000000-0005-0000-0000-000014160000}"/>
    <cellStyle name="20% - Accent3 4 10" xfId="8098" xr:uid="{00000000-0005-0000-0000-000015160000}"/>
    <cellStyle name="20% - Accent3 4 10 2" xfId="22632" xr:uid="{00000000-0005-0000-0000-000016160000}"/>
    <cellStyle name="20% - Accent3 4 10 2 2" xfId="51638" xr:uid="{00000000-0005-0000-0000-000017160000}"/>
    <cellStyle name="20% - Accent3 4 10 3" xfId="37139" xr:uid="{00000000-0005-0000-0000-000018160000}"/>
    <cellStyle name="20% - Accent3 4 11" xfId="15384" xr:uid="{00000000-0005-0000-0000-000019160000}"/>
    <cellStyle name="20% - Accent3 4 11 2" xfId="44390" xr:uid="{00000000-0005-0000-0000-00001A160000}"/>
    <cellStyle name="20% - Accent3 4 12" xfId="29891" xr:uid="{00000000-0005-0000-0000-00001B160000}"/>
    <cellStyle name="20% - Accent3 4 2" xfId="948" xr:uid="{00000000-0005-0000-0000-00001C160000}"/>
    <cellStyle name="20% - Accent3 4 2 10" xfId="29994" xr:uid="{00000000-0005-0000-0000-00001D160000}"/>
    <cellStyle name="20% - Accent3 4 2 2" xfId="1223" xr:uid="{00000000-0005-0000-0000-00001E160000}"/>
    <cellStyle name="20% - Accent3 4 2 2 2" xfId="1728" xr:uid="{00000000-0005-0000-0000-00001F160000}"/>
    <cellStyle name="20% - Accent3 4 2 2 2 2" xfId="2787" xr:uid="{00000000-0005-0000-0000-000020160000}"/>
    <cellStyle name="20% - Accent3 4 2 2 2 2 2" xfId="5891" xr:uid="{00000000-0005-0000-0000-000021160000}"/>
    <cellStyle name="20% - Accent3 4 2 2 2 2 2 2" xfId="13163" xr:uid="{00000000-0005-0000-0000-000022160000}"/>
    <cellStyle name="20% - Accent3 4 2 2 2 2 2 2 2" xfId="27697" xr:uid="{00000000-0005-0000-0000-000023160000}"/>
    <cellStyle name="20% - Accent3 4 2 2 2 2 2 2 2 2" xfId="56703" xr:uid="{00000000-0005-0000-0000-000024160000}"/>
    <cellStyle name="20% - Accent3 4 2 2 2 2 2 2 3" xfId="42204" xr:uid="{00000000-0005-0000-0000-000025160000}"/>
    <cellStyle name="20% - Accent3 4 2 2 2 2 2 3" xfId="20449" xr:uid="{00000000-0005-0000-0000-000026160000}"/>
    <cellStyle name="20% - Accent3 4 2 2 2 2 2 3 2" xfId="49455" xr:uid="{00000000-0005-0000-0000-000027160000}"/>
    <cellStyle name="20% - Accent3 4 2 2 2 2 2 4" xfId="34956" xr:uid="{00000000-0005-0000-0000-000028160000}"/>
    <cellStyle name="20% - Accent3 4 2 2 2 2 3" xfId="10059" xr:uid="{00000000-0005-0000-0000-000029160000}"/>
    <cellStyle name="20% - Accent3 4 2 2 2 2 3 2" xfId="24593" xr:uid="{00000000-0005-0000-0000-00002A160000}"/>
    <cellStyle name="20% - Accent3 4 2 2 2 2 3 2 2" xfId="53599" xr:uid="{00000000-0005-0000-0000-00002B160000}"/>
    <cellStyle name="20% - Accent3 4 2 2 2 2 3 3" xfId="39100" xr:uid="{00000000-0005-0000-0000-00002C160000}"/>
    <cellStyle name="20% - Accent3 4 2 2 2 2 4" xfId="17345" xr:uid="{00000000-0005-0000-0000-00002D160000}"/>
    <cellStyle name="20% - Accent3 4 2 2 2 2 4 2" xfId="46351" xr:uid="{00000000-0005-0000-0000-00002E160000}"/>
    <cellStyle name="20% - Accent3 4 2 2 2 2 5" xfId="31852" xr:uid="{00000000-0005-0000-0000-00002F160000}"/>
    <cellStyle name="20% - Accent3 4 2 2 2 3" xfId="3819" xr:uid="{00000000-0005-0000-0000-000030160000}"/>
    <cellStyle name="20% - Accent3 4 2 2 2 3 2" xfId="6923" xr:uid="{00000000-0005-0000-0000-000031160000}"/>
    <cellStyle name="20% - Accent3 4 2 2 2 3 2 2" xfId="14195" xr:uid="{00000000-0005-0000-0000-000032160000}"/>
    <cellStyle name="20% - Accent3 4 2 2 2 3 2 2 2" xfId="28729" xr:uid="{00000000-0005-0000-0000-000033160000}"/>
    <cellStyle name="20% - Accent3 4 2 2 2 3 2 2 2 2" xfId="57735" xr:uid="{00000000-0005-0000-0000-000034160000}"/>
    <cellStyle name="20% - Accent3 4 2 2 2 3 2 2 3" xfId="43236" xr:uid="{00000000-0005-0000-0000-000035160000}"/>
    <cellStyle name="20% - Accent3 4 2 2 2 3 2 3" xfId="21481" xr:uid="{00000000-0005-0000-0000-000036160000}"/>
    <cellStyle name="20% - Accent3 4 2 2 2 3 2 3 2" xfId="50487" xr:uid="{00000000-0005-0000-0000-000037160000}"/>
    <cellStyle name="20% - Accent3 4 2 2 2 3 2 4" xfId="35988" xr:uid="{00000000-0005-0000-0000-000038160000}"/>
    <cellStyle name="20% - Accent3 4 2 2 2 3 3" xfId="11091" xr:uid="{00000000-0005-0000-0000-000039160000}"/>
    <cellStyle name="20% - Accent3 4 2 2 2 3 3 2" xfId="25625" xr:uid="{00000000-0005-0000-0000-00003A160000}"/>
    <cellStyle name="20% - Accent3 4 2 2 2 3 3 2 2" xfId="54631" xr:uid="{00000000-0005-0000-0000-00003B160000}"/>
    <cellStyle name="20% - Accent3 4 2 2 2 3 3 3" xfId="40132" xr:uid="{00000000-0005-0000-0000-00003C160000}"/>
    <cellStyle name="20% - Accent3 4 2 2 2 3 4" xfId="18377" xr:uid="{00000000-0005-0000-0000-00003D160000}"/>
    <cellStyle name="20% - Accent3 4 2 2 2 3 4 2" xfId="47383" xr:uid="{00000000-0005-0000-0000-00003E160000}"/>
    <cellStyle name="20% - Accent3 4 2 2 2 3 5" xfId="32884" xr:uid="{00000000-0005-0000-0000-00003F160000}"/>
    <cellStyle name="20% - Accent3 4 2 2 2 4" xfId="4851" xr:uid="{00000000-0005-0000-0000-000040160000}"/>
    <cellStyle name="20% - Accent3 4 2 2 2 4 2" xfId="12123" xr:uid="{00000000-0005-0000-0000-000041160000}"/>
    <cellStyle name="20% - Accent3 4 2 2 2 4 2 2" xfId="26657" xr:uid="{00000000-0005-0000-0000-000042160000}"/>
    <cellStyle name="20% - Accent3 4 2 2 2 4 2 2 2" xfId="55663" xr:uid="{00000000-0005-0000-0000-000043160000}"/>
    <cellStyle name="20% - Accent3 4 2 2 2 4 2 3" xfId="41164" xr:uid="{00000000-0005-0000-0000-000044160000}"/>
    <cellStyle name="20% - Accent3 4 2 2 2 4 3" xfId="19409" xr:uid="{00000000-0005-0000-0000-000045160000}"/>
    <cellStyle name="20% - Accent3 4 2 2 2 4 3 2" xfId="48415" xr:uid="{00000000-0005-0000-0000-000046160000}"/>
    <cellStyle name="20% - Accent3 4 2 2 2 4 4" xfId="33916" xr:uid="{00000000-0005-0000-0000-000047160000}"/>
    <cellStyle name="20% - Accent3 4 2 2 2 5" xfId="7955" xr:uid="{00000000-0005-0000-0000-000048160000}"/>
    <cellStyle name="20% - Accent3 4 2 2 2 5 2" xfId="15227" xr:uid="{00000000-0005-0000-0000-000049160000}"/>
    <cellStyle name="20% - Accent3 4 2 2 2 5 2 2" xfId="29761" xr:uid="{00000000-0005-0000-0000-00004A160000}"/>
    <cellStyle name="20% - Accent3 4 2 2 2 5 2 2 2" xfId="58767" xr:uid="{00000000-0005-0000-0000-00004B160000}"/>
    <cellStyle name="20% - Accent3 4 2 2 2 5 2 3" xfId="44268" xr:uid="{00000000-0005-0000-0000-00004C160000}"/>
    <cellStyle name="20% - Accent3 4 2 2 2 5 3" xfId="22513" xr:uid="{00000000-0005-0000-0000-00004D160000}"/>
    <cellStyle name="20% - Accent3 4 2 2 2 5 3 2" xfId="51519" xr:uid="{00000000-0005-0000-0000-00004E160000}"/>
    <cellStyle name="20% - Accent3 4 2 2 2 5 4" xfId="37020" xr:uid="{00000000-0005-0000-0000-00004F160000}"/>
    <cellStyle name="20% - Accent3 4 2 2 2 6" xfId="9019" xr:uid="{00000000-0005-0000-0000-000050160000}"/>
    <cellStyle name="20% - Accent3 4 2 2 2 6 2" xfId="23553" xr:uid="{00000000-0005-0000-0000-000051160000}"/>
    <cellStyle name="20% - Accent3 4 2 2 2 6 2 2" xfId="52559" xr:uid="{00000000-0005-0000-0000-000052160000}"/>
    <cellStyle name="20% - Accent3 4 2 2 2 6 3" xfId="38060" xr:uid="{00000000-0005-0000-0000-000053160000}"/>
    <cellStyle name="20% - Accent3 4 2 2 2 7" xfId="16305" xr:uid="{00000000-0005-0000-0000-000054160000}"/>
    <cellStyle name="20% - Accent3 4 2 2 2 7 2" xfId="45311" xr:uid="{00000000-0005-0000-0000-000055160000}"/>
    <cellStyle name="20% - Accent3 4 2 2 2 8" xfId="30812" xr:uid="{00000000-0005-0000-0000-000056160000}"/>
    <cellStyle name="20% - Accent3 4 2 2 3" xfId="2275" xr:uid="{00000000-0005-0000-0000-000057160000}"/>
    <cellStyle name="20% - Accent3 4 2 2 3 2" xfId="5379" xr:uid="{00000000-0005-0000-0000-000058160000}"/>
    <cellStyle name="20% - Accent3 4 2 2 3 2 2" xfId="12651" xr:uid="{00000000-0005-0000-0000-000059160000}"/>
    <cellStyle name="20% - Accent3 4 2 2 3 2 2 2" xfId="27185" xr:uid="{00000000-0005-0000-0000-00005A160000}"/>
    <cellStyle name="20% - Accent3 4 2 2 3 2 2 2 2" xfId="56191" xr:uid="{00000000-0005-0000-0000-00005B160000}"/>
    <cellStyle name="20% - Accent3 4 2 2 3 2 2 3" xfId="41692" xr:uid="{00000000-0005-0000-0000-00005C160000}"/>
    <cellStyle name="20% - Accent3 4 2 2 3 2 3" xfId="19937" xr:uid="{00000000-0005-0000-0000-00005D160000}"/>
    <cellStyle name="20% - Accent3 4 2 2 3 2 3 2" xfId="48943" xr:uid="{00000000-0005-0000-0000-00005E160000}"/>
    <cellStyle name="20% - Accent3 4 2 2 3 2 4" xfId="34444" xr:uid="{00000000-0005-0000-0000-00005F160000}"/>
    <cellStyle name="20% - Accent3 4 2 2 3 3" xfId="9547" xr:uid="{00000000-0005-0000-0000-000060160000}"/>
    <cellStyle name="20% - Accent3 4 2 2 3 3 2" xfId="24081" xr:uid="{00000000-0005-0000-0000-000061160000}"/>
    <cellStyle name="20% - Accent3 4 2 2 3 3 2 2" xfId="53087" xr:uid="{00000000-0005-0000-0000-000062160000}"/>
    <cellStyle name="20% - Accent3 4 2 2 3 3 3" xfId="38588" xr:uid="{00000000-0005-0000-0000-000063160000}"/>
    <cellStyle name="20% - Accent3 4 2 2 3 4" xfId="16833" xr:uid="{00000000-0005-0000-0000-000064160000}"/>
    <cellStyle name="20% - Accent3 4 2 2 3 4 2" xfId="45839" xr:uid="{00000000-0005-0000-0000-000065160000}"/>
    <cellStyle name="20% - Accent3 4 2 2 3 5" xfId="31340" xr:uid="{00000000-0005-0000-0000-000066160000}"/>
    <cellStyle name="20% - Accent3 4 2 2 4" xfId="3307" xr:uid="{00000000-0005-0000-0000-000067160000}"/>
    <cellStyle name="20% - Accent3 4 2 2 4 2" xfId="6411" xr:uid="{00000000-0005-0000-0000-000068160000}"/>
    <cellStyle name="20% - Accent3 4 2 2 4 2 2" xfId="13683" xr:uid="{00000000-0005-0000-0000-000069160000}"/>
    <cellStyle name="20% - Accent3 4 2 2 4 2 2 2" xfId="28217" xr:uid="{00000000-0005-0000-0000-00006A160000}"/>
    <cellStyle name="20% - Accent3 4 2 2 4 2 2 2 2" xfId="57223" xr:uid="{00000000-0005-0000-0000-00006B160000}"/>
    <cellStyle name="20% - Accent3 4 2 2 4 2 2 3" xfId="42724" xr:uid="{00000000-0005-0000-0000-00006C160000}"/>
    <cellStyle name="20% - Accent3 4 2 2 4 2 3" xfId="20969" xr:uid="{00000000-0005-0000-0000-00006D160000}"/>
    <cellStyle name="20% - Accent3 4 2 2 4 2 3 2" xfId="49975" xr:uid="{00000000-0005-0000-0000-00006E160000}"/>
    <cellStyle name="20% - Accent3 4 2 2 4 2 4" xfId="35476" xr:uid="{00000000-0005-0000-0000-00006F160000}"/>
    <cellStyle name="20% - Accent3 4 2 2 4 3" xfId="10579" xr:uid="{00000000-0005-0000-0000-000070160000}"/>
    <cellStyle name="20% - Accent3 4 2 2 4 3 2" xfId="25113" xr:uid="{00000000-0005-0000-0000-000071160000}"/>
    <cellStyle name="20% - Accent3 4 2 2 4 3 2 2" xfId="54119" xr:uid="{00000000-0005-0000-0000-000072160000}"/>
    <cellStyle name="20% - Accent3 4 2 2 4 3 3" xfId="39620" xr:uid="{00000000-0005-0000-0000-000073160000}"/>
    <cellStyle name="20% - Accent3 4 2 2 4 4" xfId="17865" xr:uid="{00000000-0005-0000-0000-000074160000}"/>
    <cellStyle name="20% - Accent3 4 2 2 4 4 2" xfId="46871" xr:uid="{00000000-0005-0000-0000-000075160000}"/>
    <cellStyle name="20% - Accent3 4 2 2 4 5" xfId="32372" xr:uid="{00000000-0005-0000-0000-000076160000}"/>
    <cellStyle name="20% - Accent3 4 2 2 5" xfId="4339" xr:uid="{00000000-0005-0000-0000-000077160000}"/>
    <cellStyle name="20% - Accent3 4 2 2 5 2" xfId="11611" xr:uid="{00000000-0005-0000-0000-000078160000}"/>
    <cellStyle name="20% - Accent3 4 2 2 5 2 2" xfId="26145" xr:uid="{00000000-0005-0000-0000-000079160000}"/>
    <cellStyle name="20% - Accent3 4 2 2 5 2 2 2" xfId="55151" xr:uid="{00000000-0005-0000-0000-00007A160000}"/>
    <cellStyle name="20% - Accent3 4 2 2 5 2 3" xfId="40652" xr:uid="{00000000-0005-0000-0000-00007B160000}"/>
    <cellStyle name="20% - Accent3 4 2 2 5 3" xfId="18897" xr:uid="{00000000-0005-0000-0000-00007C160000}"/>
    <cellStyle name="20% - Accent3 4 2 2 5 3 2" xfId="47903" xr:uid="{00000000-0005-0000-0000-00007D160000}"/>
    <cellStyle name="20% - Accent3 4 2 2 5 4" xfId="33404" xr:uid="{00000000-0005-0000-0000-00007E160000}"/>
    <cellStyle name="20% - Accent3 4 2 2 6" xfId="7443" xr:uid="{00000000-0005-0000-0000-00007F160000}"/>
    <cellStyle name="20% - Accent3 4 2 2 6 2" xfId="14715" xr:uid="{00000000-0005-0000-0000-000080160000}"/>
    <cellStyle name="20% - Accent3 4 2 2 6 2 2" xfId="29249" xr:uid="{00000000-0005-0000-0000-000081160000}"/>
    <cellStyle name="20% - Accent3 4 2 2 6 2 2 2" xfId="58255" xr:uid="{00000000-0005-0000-0000-000082160000}"/>
    <cellStyle name="20% - Accent3 4 2 2 6 2 3" xfId="43756" xr:uid="{00000000-0005-0000-0000-000083160000}"/>
    <cellStyle name="20% - Accent3 4 2 2 6 3" xfId="22001" xr:uid="{00000000-0005-0000-0000-000084160000}"/>
    <cellStyle name="20% - Accent3 4 2 2 6 3 2" xfId="51007" xr:uid="{00000000-0005-0000-0000-000085160000}"/>
    <cellStyle name="20% - Accent3 4 2 2 6 4" xfId="36508" xr:uid="{00000000-0005-0000-0000-000086160000}"/>
    <cellStyle name="20% - Accent3 4 2 2 7" xfId="8507" xr:uid="{00000000-0005-0000-0000-000087160000}"/>
    <cellStyle name="20% - Accent3 4 2 2 7 2" xfId="23041" xr:uid="{00000000-0005-0000-0000-000088160000}"/>
    <cellStyle name="20% - Accent3 4 2 2 7 2 2" xfId="52047" xr:uid="{00000000-0005-0000-0000-000089160000}"/>
    <cellStyle name="20% - Accent3 4 2 2 7 3" xfId="37548" xr:uid="{00000000-0005-0000-0000-00008A160000}"/>
    <cellStyle name="20% - Accent3 4 2 2 8" xfId="15793" xr:uid="{00000000-0005-0000-0000-00008B160000}"/>
    <cellStyle name="20% - Accent3 4 2 2 8 2" xfId="44799" xr:uid="{00000000-0005-0000-0000-00008C160000}"/>
    <cellStyle name="20% - Accent3 4 2 2 9" xfId="30300" xr:uid="{00000000-0005-0000-0000-00008D160000}"/>
    <cellStyle name="20% - Accent3 4 2 3" xfId="1423" xr:uid="{00000000-0005-0000-0000-00008E160000}"/>
    <cellStyle name="20% - Accent3 4 2 3 2" xfId="2481" xr:uid="{00000000-0005-0000-0000-00008F160000}"/>
    <cellStyle name="20% - Accent3 4 2 3 2 2" xfId="5585" xr:uid="{00000000-0005-0000-0000-000090160000}"/>
    <cellStyle name="20% - Accent3 4 2 3 2 2 2" xfId="12857" xr:uid="{00000000-0005-0000-0000-000091160000}"/>
    <cellStyle name="20% - Accent3 4 2 3 2 2 2 2" xfId="27391" xr:uid="{00000000-0005-0000-0000-000092160000}"/>
    <cellStyle name="20% - Accent3 4 2 3 2 2 2 2 2" xfId="56397" xr:uid="{00000000-0005-0000-0000-000093160000}"/>
    <cellStyle name="20% - Accent3 4 2 3 2 2 2 3" xfId="41898" xr:uid="{00000000-0005-0000-0000-000094160000}"/>
    <cellStyle name="20% - Accent3 4 2 3 2 2 3" xfId="20143" xr:uid="{00000000-0005-0000-0000-000095160000}"/>
    <cellStyle name="20% - Accent3 4 2 3 2 2 3 2" xfId="49149" xr:uid="{00000000-0005-0000-0000-000096160000}"/>
    <cellStyle name="20% - Accent3 4 2 3 2 2 4" xfId="34650" xr:uid="{00000000-0005-0000-0000-000097160000}"/>
    <cellStyle name="20% - Accent3 4 2 3 2 3" xfId="9753" xr:uid="{00000000-0005-0000-0000-000098160000}"/>
    <cellStyle name="20% - Accent3 4 2 3 2 3 2" xfId="24287" xr:uid="{00000000-0005-0000-0000-000099160000}"/>
    <cellStyle name="20% - Accent3 4 2 3 2 3 2 2" xfId="53293" xr:uid="{00000000-0005-0000-0000-00009A160000}"/>
    <cellStyle name="20% - Accent3 4 2 3 2 3 3" xfId="38794" xr:uid="{00000000-0005-0000-0000-00009B160000}"/>
    <cellStyle name="20% - Accent3 4 2 3 2 4" xfId="17039" xr:uid="{00000000-0005-0000-0000-00009C160000}"/>
    <cellStyle name="20% - Accent3 4 2 3 2 4 2" xfId="46045" xr:uid="{00000000-0005-0000-0000-00009D160000}"/>
    <cellStyle name="20% - Accent3 4 2 3 2 5" xfId="31546" xr:uid="{00000000-0005-0000-0000-00009E160000}"/>
    <cellStyle name="20% - Accent3 4 2 3 3" xfId="3513" xr:uid="{00000000-0005-0000-0000-00009F160000}"/>
    <cellStyle name="20% - Accent3 4 2 3 3 2" xfId="6617" xr:uid="{00000000-0005-0000-0000-0000A0160000}"/>
    <cellStyle name="20% - Accent3 4 2 3 3 2 2" xfId="13889" xr:uid="{00000000-0005-0000-0000-0000A1160000}"/>
    <cellStyle name="20% - Accent3 4 2 3 3 2 2 2" xfId="28423" xr:uid="{00000000-0005-0000-0000-0000A2160000}"/>
    <cellStyle name="20% - Accent3 4 2 3 3 2 2 2 2" xfId="57429" xr:uid="{00000000-0005-0000-0000-0000A3160000}"/>
    <cellStyle name="20% - Accent3 4 2 3 3 2 2 3" xfId="42930" xr:uid="{00000000-0005-0000-0000-0000A4160000}"/>
    <cellStyle name="20% - Accent3 4 2 3 3 2 3" xfId="21175" xr:uid="{00000000-0005-0000-0000-0000A5160000}"/>
    <cellStyle name="20% - Accent3 4 2 3 3 2 3 2" xfId="50181" xr:uid="{00000000-0005-0000-0000-0000A6160000}"/>
    <cellStyle name="20% - Accent3 4 2 3 3 2 4" xfId="35682" xr:uid="{00000000-0005-0000-0000-0000A7160000}"/>
    <cellStyle name="20% - Accent3 4 2 3 3 3" xfId="10785" xr:uid="{00000000-0005-0000-0000-0000A8160000}"/>
    <cellStyle name="20% - Accent3 4 2 3 3 3 2" xfId="25319" xr:uid="{00000000-0005-0000-0000-0000A9160000}"/>
    <cellStyle name="20% - Accent3 4 2 3 3 3 2 2" xfId="54325" xr:uid="{00000000-0005-0000-0000-0000AA160000}"/>
    <cellStyle name="20% - Accent3 4 2 3 3 3 3" xfId="39826" xr:uid="{00000000-0005-0000-0000-0000AB160000}"/>
    <cellStyle name="20% - Accent3 4 2 3 3 4" xfId="18071" xr:uid="{00000000-0005-0000-0000-0000AC160000}"/>
    <cellStyle name="20% - Accent3 4 2 3 3 4 2" xfId="47077" xr:uid="{00000000-0005-0000-0000-0000AD160000}"/>
    <cellStyle name="20% - Accent3 4 2 3 3 5" xfId="32578" xr:uid="{00000000-0005-0000-0000-0000AE160000}"/>
    <cellStyle name="20% - Accent3 4 2 3 4" xfId="4545" xr:uid="{00000000-0005-0000-0000-0000AF160000}"/>
    <cellStyle name="20% - Accent3 4 2 3 4 2" xfId="11817" xr:uid="{00000000-0005-0000-0000-0000B0160000}"/>
    <cellStyle name="20% - Accent3 4 2 3 4 2 2" xfId="26351" xr:uid="{00000000-0005-0000-0000-0000B1160000}"/>
    <cellStyle name="20% - Accent3 4 2 3 4 2 2 2" xfId="55357" xr:uid="{00000000-0005-0000-0000-0000B2160000}"/>
    <cellStyle name="20% - Accent3 4 2 3 4 2 3" xfId="40858" xr:uid="{00000000-0005-0000-0000-0000B3160000}"/>
    <cellStyle name="20% - Accent3 4 2 3 4 3" xfId="19103" xr:uid="{00000000-0005-0000-0000-0000B4160000}"/>
    <cellStyle name="20% - Accent3 4 2 3 4 3 2" xfId="48109" xr:uid="{00000000-0005-0000-0000-0000B5160000}"/>
    <cellStyle name="20% - Accent3 4 2 3 4 4" xfId="33610" xr:uid="{00000000-0005-0000-0000-0000B6160000}"/>
    <cellStyle name="20% - Accent3 4 2 3 5" xfId="7649" xr:uid="{00000000-0005-0000-0000-0000B7160000}"/>
    <cellStyle name="20% - Accent3 4 2 3 5 2" xfId="14921" xr:uid="{00000000-0005-0000-0000-0000B8160000}"/>
    <cellStyle name="20% - Accent3 4 2 3 5 2 2" xfId="29455" xr:uid="{00000000-0005-0000-0000-0000B9160000}"/>
    <cellStyle name="20% - Accent3 4 2 3 5 2 2 2" xfId="58461" xr:uid="{00000000-0005-0000-0000-0000BA160000}"/>
    <cellStyle name="20% - Accent3 4 2 3 5 2 3" xfId="43962" xr:uid="{00000000-0005-0000-0000-0000BB160000}"/>
    <cellStyle name="20% - Accent3 4 2 3 5 3" xfId="22207" xr:uid="{00000000-0005-0000-0000-0000BC160000}"/>
    <cellStyle name="20% - Accent3 4 2 3 5 3 2" xfId="51213" xr:uid="{00000000-0005-0000-0000-0000BD160000}"/>
    <cellStyle name="20% - Accent3 4 2 3 5 4" xfId="36714" xr:uid="{00000000-0005-0000-0000-0000BE160000}"/>
    <cellStyle name="20% - Accent3 4 2 3 6" xfId="8713" xr:uid="{00000000-0005-0000-0000-0000BF160000}"/>
    <cellStyle name="20% - Accent3 4 2 3 6 2" xfId="23247" xr:uid="{00000000-0005-0000-0000-0000C0160000}"/>
    <cellStyle name="20% - Accent3 4 2 3 6 2 2" xfId="52253" xr:uid="{00000000-0005-0000-0000-0000C1160000}"/>
    <cellStyle name="20% - Accent3 4 2 3 6 3" xfId="37754" xr:uid="{00000000-0005-0000-0000-0000C2160000}"/>
    <cellStyle name="20% - Accent3 4 2 3 7" xfId="15999" xr:uid="{00000000-0005-0000-0000-0000C3160000}"/>
    <cellStyle name="20% - Accent3 4 2 3 7 2" xfId="45005" xr:uid="{00000000-0005-0000-0000-0000C4160000}"/>
    <cellStyle name="20% - Accent3 4 2 3 8" xfId="30506" xr:uid="{00000000-0005-0000-0000-0000C5160000}"/>
    <cellStyle name="20% - Accent3 4 2 4" xfId="1969" xr:uid="{00000000-0005-0000-0000-0000C6160000}"/>
    <cellStyle name="20% - Accent3 4 2 4 2" xfId="5073" xr:uid="{00000000-0005-0000-0000-0000C7160000}"/>
    <cellStyle name="20% - Accent3 4 2 4 2 2" xfId="12345" xr:uid="{00000000-0005-0000-0000-0000C8160000}"/>
    <cellStyle name="20% - Accent3 4 2 4 2 2 2" xfId="26879" xr:uid="{00000000-0005-0000-0000-0000C9160000}"/>
    <cellStyle name="20% - Accent3 4 2 4 2 2 2 2" xfId="55885" xr:uid="{00000000-0005-0000-0000-0000CA160000}"/>
    <cellStyle name="20% - Accent3 4 2 4 2 2 3" xfId="41386" xr:uid="{00000000-0005-0000-0000-0000CB160000}"/>
    <cellStyle name="20% - Accent3 4 2 4 2 3" xfId="19631" xr:uid="{00000000-0005-0000-0000-0000CC160000}"/>
    <cellStyle name="20% - Accent3 4 2 4 2 3 2" xfId="48637" xr:uid="{00000000-0005-0000-0000-0000CD160000}"/>
    <cellStyle name="20% - Accent3 4 2 4 2 4" xfId="34138" xr:uid="{00000000-0005-0000-0000-0000CE160000}"/>
    <cellStyle name="20% - Accent3 4 2 4 3" xfId="9241" xr:uid="{00000000-0005-0000-0000-0000CF160000}"/>
    <cellStyle name="20% - Accent3 4 2 4 3 2" xfId="23775" xr:uid="{00000000-0005-0000-0000-0000D0160000}"/>
    <cellStyle name="20% - Accent3 4 2 4 3 2 2" xfId="52781" xr:uid="{00000000-0005-0000-0000-0000D1160000}"/>
    <cellStyle name="20% - Accent3 4 2 4 3 3" xfId="38282" xr:uid="{00000000-0005-0000-0000-0000D2160000}"/>
    <cellStyle name="20% - Accent3 4 2 4 4" xfId="16527" xr:uid="{00000000-0005-0000-0000-0000D3160000}"/>
    <cellStyle name="20% - Accent3 4 2 4 4 2" xfId="45533" xr:uid="{00000000-0005-0000-0000-0000D4160000}"/>
    <cellStyle name="20% - Accent3 4 2 4 5" xfId="31034" xr:uid="{00000000-0005-0000-0000-0000D5160000}"/>
    <cellStyle name="20% - Accent3 4 2 5" xfId="3001" xr:uid="{00000000-0005-0000-0000-0000D6160000}"/>
    <cellStyle name="20% - Accent3 4 2 5 2" xfId="6105" xr:uid="{00000000-0005-0000-0000-0000D7160000}"/>
    <cellStyle name="20% - Accent3 4 2 5 2 2" xfId="13377" xr:uid="{00000000-0005-0000-0000-0000D8160000}"/>
    <cellStyle name="20% - Accent3 4 2 5 2 2 2" xfId="27911" xr:uid="{00000000-0005-0000-0000-0000D9160000}"/>
    <cellStyle name="20% - Accent3 4 2 5 2 2 2 2" xfId="56917" xr:uid="{00000000-0005-0000-0000-0000DA160000}"/>
    <cellStyle name="20% - Accent3 4 2 5 2 2 3" xfId="42418" xr:uid="{00000000-0005-0000-0000-0000DB160000}"/>
    <cellStyle name="20% - Accent3 4 2 5 2 3" xfId="20663" xr:uid="{00000000-0005-0000-0000-0000DC160000}"/>
    <cellStyle name="20% - Accent3 4 2 5 2 3 2" xfId="49669" xr:uid="{00000000-0005-0000-0000-0000DD160000}"/>
    <cellStyle name="20% - Accent3 4 2 5 2 4" xfId="35170" xr:uid="{00000000-0005-0000-0000-0000DE160000}"/>
    <cellStyle name="20% - Accent3 4 2 5 3" xfId="10273" xr:uid="{00000000-0005-0000-0000-0000DF160000}"/>
    <cellStyle name="20% - Accent3 4 2 5 3 2" xfId="24807" xr:uid="{00000000-0005-0000-0000-0000E0160000}"/>
    <cellStyle name="20% - Accent3 4 2 5 3 2 2" xfId="53813" xr:uid="{00000000-0005-0000-0000-0000E1160000}"/>
    <cellStyle name="20% - Accent3 4 2 5 3 3" xfId="39314" xr:uid="{00000000-0005-0000-0000-0000E2160000}"/>
    <cellStyle name="20% - Accent3 4 2 5 4" xfId="17559" xr:uid="{00000000-0005-0000-0000-0000E3160000}"/>
    <cellStyle name="20% - Accent3 4 2 5 4 2" xfId="46565" xr:uid="{00000000-0005-0000-0000-0000E4160000}"/>
    <cellStyle name="20% - Accent3 4 2 5 5" xfId="32066" xr:uid="{00000000-0005-0000-0000-0000E5160000}"/>
    <cellStyle name="20% - Accent3 4 2 6" xfId="4033" xr:uid="{00000000-0005-0000-0000-0000E6160000}"/>
    <cellStyle name="20% - Accent3 4 2 6 2" xfId="11305" xr:uid="{00000000-0005-0000-0000-0000E7160000}"/>
    <cellStyle name="20% - Accent3 4 2 6 2 2" xfId="25839" xr:uid="{00000000-0005-0000-0000-0000E8160000}"/>
    <cellStyle name="20% - Accent3 4 2 6 2 2 2" xfId="54845" xr:uid="{00000000-0005-0000-0000-0000E9160000}"/>
    <cellStyle name="20% - Accent3 4 2 6 2 3" xfId="40346" xr:uid="{00000000-0005-0000-0000-0000EA160000}"/>
    <cellStyle name="20% - Accent3 4 2 6 3" xfId="18591" xr:uid="{00000000-0005-0000-0000-0000EB160000}"/>
    <cellStyle name="20% - Accent3 4 2 6 3 2" xfId="47597" xr:uid="{00000000-0005-0000-0000-0000EC160000}"/>
    <cellStyle name="20% - Accent3 4 2 6 4" xfId="33098" xr:uid="{00000000-0005-0000-0000-0000ED160000}"/>
    <cellStyle name="20% - Accent3 4 2 7" xfId="7137" xr:uid="{00000000-0005-0000-0000-0000EE160000}"/>
    <cellStyle name="20% - Accent3 4 2 7 2" xfId="14409" xr:uid="{00000000-0005-0000-0000-0000EF160000}"/>
    <cellStyle name="20% - Accent3 4 2 7 2 2" xfId="28943" xr:uid="{00000000-0005-0000-0000-0000F0160000}"/>
    <cellStyle name="20% - Accent3 4 2 7 2 2 2" xfId="57949" xr:uid="{00000000-0005-0000-0000-0000F1160000}"/>
    <cellStyle name="20% - Accent3 4 2 7 2 3" xfId="43450" xr:uid="{00000000-0005-0000-0000-0000F2160000}"/>
    <cellStyle name="20% - Accent3 4 2 7 3" xfId="21695" xr:uid="{00000000-0005-0000-0000-0000F3160000}"/>
    <cellStyle name="20% - Accent3 4 2 7 3 2" xfId="50701" xr:uid="{00000000-0005-0000-0000-0000F4160000}"/>
    <cellStyle name="20% - Accent3 4 2 7 4" xfId="36202" xr:uid="{00000000-0005-0000-0000-0000F5160000}"/>
    <cellStyle name="20% - Accent3 4 2 8" xfId="8201" xr:uid="{00000000-0005-0000-0000-0000F6160000}"/>
    <cellStyle name="20% - Accent3 4 2 8 2" xfId="22735" xr:uid="{00000000-0005-0000-0000-0000F7160000}"/>
    <cellStyle name="20% - Accent3 4 2 8 2 2" xfId="51741" xr:uid="{00000000-0005-0000-0000-0000F8160000}"/>
    <cellStyle name="20% - Accent3 4 2 8 3" xfId="37242" xr:uid="{00000000-0005-0000-0000-0000F9160000}"/>
    <cellStyle name="20% - Accent3 4 2 9" xfId="15487" xr:uid="{00000000-0005-0000-0000-0000FA160000}"/>
    <cellStyle name="20% - Accent3 4 2 9 2" xfId="44493" xr:uid="{00000000-0005-0000-0000-0000FB160000}"/>
    <cellStyle name="20% - Accent3 4 3" xfId="1127" xr:uid="{00000000-0005-0000-0000-0000FC160000}"/>
    <cellStyle name="20% - Accent3 4 3 2" xfId="1625" xr:uid="{00000000-0005-0000-0000-0000FD160000}"/>
    <cellStyle name="20% - Accent3 4 3 2 2" xfId="2684" xr:uid="{00000000-0005-0000-0000-0000FE160000}"/>
    <cellStyle name="20% - Accent3 4 3 2 2 2" xfId="5788" xr:uid="{00000000-0005-0000-0000-0000FF160000}"/>
    <cellStyle name="20% - Accent3 4 3 2 2 2 2" xfId="13060" xr:uid="{00000000-0005-0000-0000-000000170000}"/>
    <cellStyle name="20% - Accent3 4 3 2 2 2 2 2" xfId="27594" xr:uid="{00000000-0005-0000-0000-000001170000}"/>
    <cellStyle name="20% - Accent3 4 3 2 2 2 2 2 2" xfId="56600" xr:uid="{00000000-0005-0000-0000-000002170000}"/>
    <cellStyle name="20% - Accent3 4 3 2 2 2 2 3" xfId="42101" xr:uid="{00000000-0005-0000-0000-000003170000}"/>
    <cellStyle name="20% - Accent3 4 3 2 2 2 3" xfId="20346" xr:uid="{00000000-0005-0000-0000-000004170000}"/>
    <cellStyle name="20% - Accent3 4 3 2 2 2 3 2" xfId="49352" xr:uid="{00000000-0005-0000-0000-000005170000}"/>
    <cellStyle name="20% - Accent3 4 3 2 2 2 4" xfId="34853" xr:uid="{00000000-0005-0000-0000-000006170000}"/>
    <cellStyle name="20% - Accent3 4 3 2 2 3" xfId="9956" xr:uid="{00000000-0005-0000-0000-000007170000}"/>
    <cellStyle name="20% - Accent3 4 3 2 2 3 2" xfId="24490" xr:uid="{00000000-0005-0000-0000-000008170000}"/>
    <cellStyle name="20% - Accent3 4 3 2 2 3 2 2" xfId="53496" xr:uid="{00000000-0005-0000-0000-000009170000}"/>
    <cellStyle name="20% - Accent3 4 3 2 2 3 3" xfId="38997" xr:uid="{00000000-0005-0000-0000-00000A170000}"/>
    <cellStyle name="20% - Accent3 4 3 2 2 4" xfId="17242" xr:uid="{00000000-0005-0000-0000-00000B170000}"/>
    <cellStyle name="20% - Accent3 4 3 2 2 4 2" xfId="46248" xr:uid="{00000000-0005-0000-0000-00000C170000}"/>
    <cellStyle name="20% - Accent3 4 3 2 2 5" xfId="31749" xr:uid="{00000000-0005-0000-0000-00000D170000}"/>
    <cellStyle name="20% - Accent3 4 3 2 3" xfId="3716" xr:uid="{00000000-0005-0000-0000-00000E170000}"/>
    <cellStyle name="20% - Accent3 4 3 2 3 2" xfId="6820" xr:uid="{00000000-0005-0000-0000-00000F170000}"/>
    <cellStyle name="20% - Accent3 4 3 2 3 2 2" xfId="14092" xr:uid="{00000000-0005-0000-0000-000010170000}"/>
    <cellStyle name="20% - Accent3 4 3 2 3 2 2 2" xfId="28626" xr:uid="{00000000-0005-0000-0000-000011170000}"/>
    <cellStyle name="20% - Accent3 4 3 2 3 2 2 2 2" xfId="57632" xr:uid="{00000000-0005-0000-0000-000012170000}"/>
    <cellStyle name="20% - Accent3 4 3 2 3 2 2 3" xfId="43133" xr:uid="{00000000-0005-0000-0000-000013170000}"/>
    <cellStyle name="20% - Accent3 4 3 2 3 2 3" xfId="21378" xr:uid="{00000000-0005-0000-0000-000014170000}"/>
    <cellStyle name="20% - Accent3 4 3 2 3 2 3 2" xfId="50384" xr:uid="{00000000-0005-0000-0000-000015170000}"/>
    <cellStyle name="20% - Accent3 4 3 2 3 2 4" xfId="35885" xr:uid="{00000000-0005-0000-0000-000016170000}"/>
    <cellStyle name="20% - Accent3 4 3 2 3 3" xfId="10988" xr:uid="{00000000-0005-0000-0000-000017170000}"/>
    <cellStyle name="20% - Accent3 4 3 2 3 3 2" xfId="25522" xr:uid="{00000000-0005-0000-0000-000018170000}"/>
    <cellStyle name="20% - Accent3 4 3 2 3 3 2 2" xfId="54528" xr:uid="{00000000-0005-0000-0000-000019170000}"/>
    <cellStyle name="20% - Accent3 4 3 2 3 3 3" xfId="40029" xr:uid="{00000000-0005-0000-0000-00001A170000}"/>
    <cellStyle name="20% - Accent3 4 3 2 3 4" xfId="18274" xr:uid="{00000000-0005-0000-0000-00001B170000}"/>
    <cellStyle name="20% - Accent3 4 3 2 3 4 2" xfId="47280" xr:uid="{00000000-0005-0000-0000-00001C170000}"/>
    <cellStyle name="20% - Accent3 4 3 2 3 5" xfId="32781" xr:uid="{00000000-0005-0000-0000-00001D170000}"/>
    <cellStyle name="20% - Accent3 4 3 2 4" xfId="4748" xr:uid="{00000000-0005-0000-0000-00001E170000}"/>
    <cellStyle name="20% - Accent3 4 3 2 4 2" xfId="12020" xr:uid="{00000000-0005-0000-0000-00001F170000}"/>
    <cellStyle name="20% - Accent3 4 3 2 4 2 2" xfId="26554" xr:uid="{00000000-0005-0000-0000-000020170000}"/>
    <cellStyle name="20% - Accent3 4 3 2 4 2 2 2" xfId="55560" xr:uid="{00000000-0005-0000-0000-000021170000}"/>
    <cellStyle name="20% - Accent3 4 3 2 4 2 3" xfId="41061" xr:uid="{00000000-0005-0000-0000-000022170000}"/>
    <cellStyle name="20% - Accent3 4 3 2 4 3" xfId="19306" xr:uid="{00000000-0005-0000-0000-000023170000}"/>
    <cellStyle name="20% - Accent3 4 3 2 4 3 2" xfId="48312" xr:uid="{00000000-0005-0000-0000-000024170000}"/>
    <cellStyle name="20% - Accent3 4 3 2 4 4" xfId="33813" xr:uid="{00000000-0005-0000-0000-000025170000}"/>
    <cellStyle name="20% - Accent3 4 3 2 5" xfId="7852" xr:uid="{00000000-0005-0000-0000-000026170000}"/>
    <cellStyle name="20% - Accent3 4 3 2 5 2" xfId="15124" xr:uid="{00000000-0005-0000-0000-000027170000}"/>
    <cellStyle name="20% - Accent3 4 3 2 5 2 2" xfId="29658" xr:uid="{00000000-0005-0000-0000-000028170000}"/>
    <cellStyle name="20% - Accent3 4 3 2 5 2 2 2" xfId="58664" xr:uid="{00000000-0005-0000-0000-000029170000}"/>
    <cellStyle name="20% - Accent3 4 3 2 5 2 3" xfId="44165" xr:uid="{00000000-0005-0000-0000-00002A170000}"/>
    <cellStyle name="20% - Accent3 4 3 2 5 3" xfId="22410" xr:uid="{00000000-0005-0000-0000-00002B170000}"/>
    <cellStyle name="20% - Accent3 4 3 2 5 3 2" xfId="51416" xr:uid="{00000000-0005-0000-0000-00002C170000}"/>
    <cellStyle name="20% - Accent3 4 3 2 5 4" xfId="36917" xr:uid="{00000000-0005-0000-0000-00002D170000}"/>
    <cellStyle name="20% - Accent3 4 3 2 6" xfId="8916" xr:uid="{00000000-0005-0000-0000-00002E170000}"/>
    <cellStyle name="20% - Accent3 4 3 2 6 2" xfId="23450" xr:uid="{00000000-0005-0000-0000-00002F170000}"/>
    <cellStyle name="20% - Accent3 4 3 2 6 2 2" xfId="52456" xr:uid="{00000000-0005-0000-0000-000030170000}"/>
    <cellStyle name="20% - Accent3 4 3 2 6 3" xfId="37957" xr:uid="{00000000-0005-0000-0000-000031170000}"/>
    <cellStyle name="20% - Accent3 4 3 2 7" xfId="16202" xr:uid="{00000000-0005-0000-0000-000032170000}"/>
    <cellStyle name="20% - Accent3 4 3 2 7 2" xfId="45208" xr:uid="{00000000-0005-0000-0000-000033170000}"/>
    <cellStyle name="20% - Accent3 4 3 2 8" xfId="30709" xr:uid="{00000000-0005-0000-0000-000034170000}"/>
    <cellStyle name="20% - Accent3 4 3 3" xfId="2172" xr:uid="{00000000-0005-0000-0000-000035170000}"/>
    <cellStyle name="20% - Accent3 4 3 3 2" xfId="5276" xr:uid="{00000000-0005-0000-0000-000036170000}"/>
    <cellStyle name="20% - Accent3 4 3 3 2 2" xfId="12548" xr:uid="{00000000-0005-0000-0000-000037170000}"/>
    <cellStyle name="20% - Accent3 4 3 3 2 2 2" xfId="27082" xr:uid="{00000000-0005-0000-0000-000038170000}"/>
    <cellStyle name="20% - Accent3 4 3 3 2 2 2 2" xfId="56088" xr:uid="{00000000-0005-0000-0000-000039170000}"/>
    <cellStyle name="20% - Accent3 4 3 3 2 2 3" xfId="41589" xr:uid="{00000000-0005-0000-0000-00003A170000}"/>
    <cellStyle name="20% - Accent3 4 3 3 2 3" xfId="19834" xr:uid="{00000000-0005-0000-0000-00003B170000}"/>
    <cellStyle name="20% - Accent3 4 3 3 2 3 2" xfId="48840" xr:uid="{00000000-0005-0000-0000-00003C170000}"/>
    <cellStyle name="20% - Accent3 4 3 3 2 4" xfId="34341" xr:uid="{00000000-0005-0000-0000-00003D170000}"/>
    <cellStyle name="20% - Accent3 4 3 3 3" xfId="9444" xr:uid="{00000000-0005-0000-0000-00003E170000}"/>
    <cellStyle name="20% - Accent3 4 3 3 3 2" xfId="23978" xr:uid="{00000000-0005-0000-0000-00003F170000}"/>
    <cellStyle name="20% - Accent3 4 3 3 3 2 2" xfId="52984" xr:uid="{00000000-0005-0000-0000-000040170000}"/>
    <cellStyle name="20% - Accent3 4 3 3 3 3" xfId="38485" xr:uid="{00000000-0005-0000-0000-000041170000}"/>
    <cellStyle name="20% - Accent3 4 3 3 4" xfId="16730" xr:uid="{00000000-0005-0000-0000-000042170000}"/>
    <cellStyle name="20% - Accent3 4 3 3 4 2" xfId="45736" xr:uid="{00000000-0005-0000-0000-000043170000}"/>
    <cellStyle name="20% - Accent3 4 3 3 5" xfId="31237" xr:uid="{00000000-0005-0000-0000-000044170000}"/>
    <cellStyle name="20% - Accent3 4 3 4" xfId="3204" xr:uid="{00000000-0005-0000-0000-000045170000}"/>
    <cellStyle name="20% - Accent3 4 3 4 2" xfId="6308" xr:uid="{00000000-0005-0000-0000-000046170000}"/>
    <cellStyle name="20% - Accent3 4 3 4 2 2" xfId="13580" xr:uid="{00000000-0005-0000-0000-000047170000}"/>
    <cellStyle name="20% - Accent3 4 3 4 2 2 2" xfId="28114" xr:uid="{00000000-0005-0000-0000-000048170000}"/>
    <cellStyle name="20% - Accent3 4 3 4 2 2 2 2" xfId="57120" xr:uid="{00000000-0005-0000-0000-000049170000}"/>
    <cellStyle name="20% - Accent3 4 3 4 2 2 3" xfId="42621" xr:uid="{00000000-0005-0000-0000-00004A170000}"/>
    <cellStyle name="20% - Accent3 4 3 4 2 3" xfId="20866" xr:uid="{00000000-0005-0000-0000-00004B170000}"/>
    <cellStyle name="20% - Accent3 4 3 4 2 3 2" xfId="49872" xr:uid="{00000000-0005-0000-0000-00004C170000}"/>
    <cellStyle name="20% - Accent3 4 3 4 2 4" xfId="35373" xr:uid="{00000000-0005-0000-0000-00004D170000}"/>
    <cellStyle name="20% - Accent3 4 3 4 3" xfId="10476" xr:uid="{00000000-0005-0000-0000-00004E170000}"/>
    <cellStyle name="20% - Accent3 4 3 4 3 2" xfId="25010" xr:uid="{00000000-0005-0000-0000-00004F170000}"/>
    <cellStyle name="20% - Accent3 4 3 4 3 2 2" xfId="54016" xr:uid="{00000000-0005-0000-0000-000050170000}"/>
    <cellStyle name="20% - Accent3 4 3 4 3 3" xfId="39517" xr:uid="{00000000-0005-0000-0000-000051170000}"/>
    <cellStyle name="20% - Accent3 4 3 4 4" xfId="17762" xr:uid="{00000000-0005-0000-0000-000052170000}"/>
    <cellStyle name="20% - Accent3 4 3 4 4 2" xfId="46768" xr:uid="{00000000-0005-0000-0000-000053170000}"/>
    <cellStyle name="20% - Accent3 4 3 4 5" xfId="32269" xr:uid="{00000000-0005-0000-0000-000054170000}"/>
    <cellStyle name="20% - Accent3 4 3 5" xfId="4236" xr:uid="{00000000-0005-0000-0000-000055170000}"/>
    <cellStyle name="20% - Accent3 4 3 5 2" xfId="11508" xr:uid="{00000000-0005-0000-0000-000056170000}"/>
    <cellStyle name="20% - Accent3 4 3 5 2 2" xfId="26042" xr:uid="{00000000-0005-0000-0000-000057170000}"/>
    <cellStyle name="20% - Accent3 4 3 5 2 2 2" xfId="55048" xr:uid="{00000000-0005-0000-0000-000058170000}"/>
    <cellStyle name="20% - Accent3 4 3 5 2 3" xfId="40549" xr:uid="{00000000-0005-0000-0000-000059170000}"/>
    <cellStyle name="20% - Accent3 4 3 5 3" xfId="18794" xr:uid="{00000000-0005-0000-0000-00005A170000}"/>
    <cellStyle name="20% - Accent3 4 3 5 3 2" xfId="47800" xr:uid="{00000000-0005-0000-0000-00005B170000}"/>
    <cellStyle name="20% - Accent3 4 3 5 4" xfId="33301" xr:uid="{00000000-0005-0000-0000-00005C170000}"/>
    <cellStyle name="20% - Accent3 4 3 6" xfId="7340" xr:uid="{00000000-0005-0000-0000-00005D170000}"/>
    <cellStyle name="20% - Accent3 4 3 6 2" xfId="14612" xr:uid="{00000000-0005-0000-0000-00005E170000}"/>
    <cellStyle name="20% - Accent3 4 3 6 2 2" xfId="29146" xr:uid="{00000000-0005-0000-0000-00005F170000}"/>
    <cellStyle name="20% - Accent3 4 3 6 2 2 2" xfId="58152" xr:uid="{00000000-0005-0000-0000-000060170000}"/>
    <cellStyle name="20% - Accent3 4 3 6 2 3" xfId="43653" xr:uid="{00000000-0005-0000-0000-000061170000}"/>
    <cellStyle name="20% - Accent3 4 3 6 3" xfId="21898" xr:uid="{00000000-0005-0000-0000-000062170000}"/>
    <cellStyle name="20% - Accent3 4 3 6 3 2" xfId="50904" xr:uid="{00000000-0005-0000-0000-000063170000}"/>
    <cellStyle name="20% - Accent3 4 3 6 4" xfId="36405" xr:uid="{00000000-0005-0000-0000-000064170000}"/>
    <cellStyle name="20% - Accent3 4 3 7" xfId="8404" xr:uid="{00000000-0005-0000-0000-000065170000}"/>
    <cellStyle name="20% - Accent3 4 3 7 2" xfId="22938" xr:uid="{00000000-0005-0000-0000-000066170000}"/>
    <cellStyle name="20% - Accent3 4 3 7 2 2" xfId="51944" xr:uid="{00000000-0005-0000-0000-000067170000}"/>
    <cellStyle name="20% - Accent3 4 3 7 3" xfId="37445" xr:uid="{00000000-0005-0000-0000-000068170000}"/>
    <cellStyle name="20% - Accent3 4 3 8" xfId="15690" xr:uid="{00000000-0005-0000-0000-000069170000}"/>
    <cellStyle name="20% - Accent3 4 3 8 2" xfId="44696" xr:uid="{00000000-0005-0000-0000-00006A170000}"/>
    <cellStyle name="20% - Accent3 4 3 9" xfId="30197" xr:uid="{00000000-0005-0000-0000-00006B170000}"/>
    <cellStyle name="20% - Accent3 4 4" xfId="1036" xr:uid="{00000000-0005-0000-0000-00006C170000}"/>
    <cellStyle name="20% - Accent3 4 4 2" xfId="1526" xr:uid="{00000000-0005-0000-0000-00006D170000}"/>
    <cellStyle name="20% - Accent3 4 4 2 2" xfId="2584" xr:uid="{00000000-0005-0000-0000-00006E170000}"/>
    <cellStyle name="20% - Accent3 4 4 2 2 2" xfId="5688" xr:uid="{00000000-0005-0000-0000-00006F170000}"/>
    <cellStyle name="20% - Accent3 4 4 2 2 2 2" xfId="12960" xr:uid="{00000000-0005-0000-0000-000070170000}"/>
    <cellStyle name="20% - Accent3 4 4 2 2 2 2 2" xfId="27494" xr:uid="{00000000-0005-0000-0000-000071170000}"/>
    <cellStyle name="20% - Accent3 4 4 2 2 2 2 2 2" xfId="56500" xr:uid="{00000000-0005-0000-0000-000072170000}"/>
    <cellStyle name="20% - Accent3 4 4 2 2 2 2 3" xfId="42001" xr:uid="{00000000-0005-0000-0000-000073170000}"/>
    <cellStyle name="20% - Accent3 4 4 2 2 2 3" xfId="20246" xr:uid="{00000000-0005-0000-0000-000074170000}"/>
    <cellStyle name="20% - Accent3 4 4 2 2 2 3 2" xfId="49252" xr:uid="{00000000-0005-0000-0000-000075170000}"/>
    <cellStyle name="20% - Accent3 4 4 2 2 2 4" xfId="34753" xr:uid="{00000000-0005-0000-0000-000076170000}"/>
    <cellStyle name="20% - Accent3 4 4 2 2 3" xfId="9856" xr:uid="{00000000-0005-0000-0000-000077170000}"/>
    <cellStyle name="20% - Accent3 4 4 2 2 3 2" xfId="24390" xr:uid="{00000000-0005-0000-0000-000078170000}"/>
    <cellStyle name="20% - Accent3 4 4 2 2 3 2 2" xfId="53396" xr:uid="{00000000-0005-0000-0000-000079170000}"/>
    <cellStyle name="20% - Accent3 4 4 2 2 3 3" xfId="38897" xr:uid="{00000000-0005-0000-0000-00007A170000}"/>
    <cellStyle name="20% - Accent3 4 4 2 2 4" xfId="17142" xr:uid="{00000000-0005-0000-0000-00007B170000}"/>
    <cellStyle name="20% - Accent3 4 4 2 2 4 2" xfId="46148" xr:uid="{00000000-0005-0000-0000-00007C170000}"/>
    <cellStyle name="20% - Accent3 4 4 2 2 5" xfId="31649" xr:uid="{00000000-0005-0000-0000-00007D170000}"/>
    <cellStyle name="20% - Accent3 4 4 2 3" xfId="3616" xr:uid="{00000000-0005-0000-0000-00007E170000}"/>
    <cellStyle name="20% - Accent3 4 4 2 3 2" xfId="6720" xr:uid="{00000000-0005-0000-0000-00007F170000}"/>
    <cellStyle name="20% - Accent3 4 4 2 3 2 2" xfId="13992" xr:uid="{00000000-0005-0000-0000-000080170000}"/>
    <cellStyle name="20% - Accent3 4 4 2 3 2 2 2" xfId="28526" xr:uid="{00000000-0005-0000-0000-000081170000}"/>
    <cellStyle name="20% - Accent3 4 4 2 3 2 2 2 2" xfId="57532" xr:uid="{00000000-0005-0000-0000-000082170000}"/>
    <cellStyle name="20% - Accent3 4 4 2 3 2 2 3" xfId="43033" xr:uid="{00000000-0005-0000-0000-000083170000}"/>
    <cellStyle name="20% - Accent3 4 4 2 3 2 3" xfId="21278" xr:uid="{00000000-0005-0000-0000-000084170000}"/>
    <cellStyle name="20% - Accent3 4 4 2 3 2 3 2" xfId="50284" xr:uid="{00000000-0005-0000-0000-000085170000}"/>
    <cellStyle name="20% - Accent3 4 4 2 3 2 4" xfId="35785" xr:uid="{00000000-0005-0000-0000-000086170000}"/>
    <cellStyle name="20% - Accent3 4 4 2 3 3" xfId="10888" xr:uid="{00000000-0005-0000-0000-000087170000}"/>
    <cellStyle name="20% - Accent3 4 4 2 3 3 2" xfId="25422" xr:uid="{00000000-0005-0000-0000-000088170000}"/>
    <cellStyle name="20% - Accent3 4 4 2 3 3 2 2" xfId="54428" xr:uid="{00000000-0005-0000-0000-000089170000}"/>
    <cellStyle name="20% - Accent3 4 4 2 3 3 3" xfId="39929" xr:uid="{00000000-0005-0000-0000-00008A170000}"/>
    <cellStyle name="20% - Accent3 4 4 2 3 4" xfId="18174" xr:uid="{00000000-0005-0000-0000-00008B170000}"/>
    <cellStyle name="20% - Accent3 4 4 2 3 4 2" xfId="47180" xr:uid="{00000000-0005-0000-0000-00008C170000}"/>
    <cellStyle name="20% - Accent3 4 4 2 3 5" xfId="32681" xr:uid="{00000000-0005-0000-0000-00008D170000}"/>
    <cellStyle name="20% - Accent3 4 4 2 4" xfId="4648" xr:uid="{00000000-0005-0000-0000-00008E170000}"/>
    <cellStyle name="20% - Accent3 4 4 2 4 2" xfId="11920" xr:uid="{00000000-0005-0000-0000-00008F170000}"/>
    <cellStyle name="20% - Accent3 4 4 2 4 2 2" xfId="26454" xr:uid="{00000000-0005-0000-0000-000090170000}"/>
    <cellStyle name="20% - Accent3 4 4 2 4 2 2 2" xfId="55460" xr:uid="{00000000-0005-0000-0000-000091170000}"/>
    <cellStyle name="20% - Accent3 4 4 2 4 2 3" xfId="40961" xr:uid="{00000000-0005-0000-0000-000092170000}"/>
    <cellStyle name="20% - Accent3 4 4 2 4 3" xfId="19206" xr:uid="{00000000-0005-0000-0000-000093170000}"/>
    <cellStyle name="20% - Accent3 4 4 2 4 3 2" xfId="48212" xr:uid="{00000000-0005-0000-0000-000094170000}"/>
    <cellStyle name="20% - Accent3 4 4 2 4 4" xfId="33713" xr:uid="{00000000-0005-0000-0000-000095170000}"/>
    <cellStyle name="20% - Accent3 4 4 2 5" xfId="7752" xr:uid="{00000000-0005-0000-0000-000096170000}"/>
    <cellStyle name="20% - Accent3 4 4 2 5 2" xfId="15024" xr:uid="{00000000-0005-0000-0000-000097170000}"/>
    <cellStyle name="20% - Accent3 4 4 2 5 2 2" xfId="29558" xr:uid="{00000000-0005-0000-0000-000098170000}"/>
    <cellStyle name="20% - Accent3 4 4 2 5 2 2 2" xfId="58564" xr:uid="{00000000-0005-0000-0000-000099170000}"/>
    <cellStyle name="20% - Accent3 4 4 2 5 2 3" xfId="44065" xr:uid="{00000000-0005-0000-0000-00009A170000}"/>
    <cellStyle name="20% - Accent3 4 4 2 5 3" xfId="22310" xr:uid="{00000000-0005-0000-0000-00009B170000}"/>
    <cellStyle name="20% - Accent3 4 4 2 5 3 2" xfId="51316" xr:uid="{00000000-0005-0000-0000-00009C170000}"/>
    <cellStyle name="20% - Accent3 4 4 2 5 4" xfId="36817" xr:uid="{00000000-0005-0000-0000-00009D170000}"/>
    <cellStyle name="20% - Accent3 4 4 2 6" xfId="8816" xr:uid="{00000000-0005-0000-0000-00009E170000}"/>
    <cellStyle name="20% - Accent3 4 4 2 6 2" xfId="23350" xr:uid="{00000000-0005-0000-0000-00009F170000}"/>
    <cellStyle name="20% - Accent3 4 4 2 6 2 2" xfId="52356" xr:uid="{00000000-0005-0000-0000-0000A0170000}"/>
    <cellStyle name="20% - Accent3 4 4 2 6 3" xfId="37857" xr:uid="{00000000-0005-0000-0000-0000A1170000}"/>
    <cellStyle name="20% - Accent3 4 4 2 7" xfId="16102" xr:uid="{00000000-0005-0000-0000-0000A2170000}"/>
    <cellStyle name="20% - Accent3 4 4 2 7 2" xfId="45108" xr:uid="{00000000-0005-0000-0000-0000A3170000}"/>
    <cellStyle name="20% - Accent3 4 4 2 8" xfId="30609" xr:uid="{00000000-0005-0000-0000-0000A4170000}"/>
    <cellStyle name="20% - Accent3 4 4 3" xfId="2072" xr:uid="{00000000-0005-0000-0000-0000A5170000}"/>
    <cellStyle name="20% - Accent3 4 4 3 2" xfId="5176" xr:uid="{00000000-0005-0000-0000-0000A6170000}"/>
    <cellStyle name="20% - Accent3 4 4 3 2 2" xfId="12448" xr:uid="{00000000-0005-0000-0000-0000A7170000}"/>
    <cellStyle name="20% - Accent3 4 4 3 2 2 2" xfId="26982" xr:uid="{00000000-0005-0000-0000-0000A8170000}"/>
    <cellStyle name="20% - Accent3 4 4 3 2 2 2 2" xfId="55988" xr:uid="{00000000-0005-0000-0000-0000A9170000}"/>
    <cellStyle name="20% - Accent3 4 4 3 2 2 3" xfId="41489" xr:uid="{00000000-0005-0000-0000-0000AA170000}"/>
    <cellStyle name="20% - Accent3 4 4 3 2 3" xfId="19734" xr:uid="{00000000-0005-0000-0000-0000AB170000}"/>
    <cellStyle name="20% - Accent3 4 4 3 2 3 2" xfId="48740" xr:uid="{00000000-0005-0000-0000-0000AC170000}"/>
    <cellStyle name="20% - Accent3 4 4 3 2 4" xfId="34241" xr:uid="{00000000-0005-0000-0000-0000AD170000}"/>
    <cellStyle name="20% - Accent3 4 4 3 3" xfId="9344" xr:uid="{00000000-0005-0000-0000-0000AE170000}"/>
    <cellStyle name="20% - Accent3 4 4 3 3 2" xfId="23878" xr:uid="{00000000-0005-0000-0000-0000AF170000}"/>
    <cellStyle name="20% - Accent3 4 4 3 3 2 2" xfId="52884" xr:uid="{00000000-0005-0000-0000-0000B0170000}"/>
    <cellStyle name="20% - Accent3 4 4 3 3 3" xfId="38385" xr:uid="{00000000-0005-0000-0000-0000B1170000}"/>
    <cellStyle name="20% - Accent3 4 4 3 4" xfId="16630" xr:uid="{00000000-0005-0000-0000-0000B2170000}"/>
    <cellStyle name="20% - Accent3 4 4 3 4 2" xfId="45636" xr:uid="{00000000-0005-0000-0000-0000B3170000}"/>
    <cellStyle name="20% - Accent3 4 4 3 5" xfId="31137" xr:uid="{00000000-0005-0000-0000-0000B4170000}"/>
    <cellStyle name="20% - Accent3 4 4 4" xfId="3104" xr:uid="{00000000-0005-0000-0000-0000B5170000}"/>
    <cellStyle name="20% - Accent3 4 4 4 2" xfId="6208" xr:uid="{00000000-0005-0000-0000-0000B6170000}"/>
    <cellStyle name="20% - Accent3 4 4 4 2 2" xfId="13480" xr:uid="{00000000-0005-0000-0000-0000B7170000}"/>
    <cellStyle name="20% - Accent3 4 4 4 2 2 2" xfId="28014" xr:uid="{00000000-0005-0000-0000-0000B8170000}"/>
    <cellStyle name="20% - Accent3 4 4 4 2 2 2 2" xfId="57020" xr:uid="{00000000-0005-0000-0000-0000B9170000}"/>
    <cellStyle name="20% - Accent3 4 4 4 2 2 3" xfId="42521" xr:uid="{00000000-0005-0000-0000-0000BA170000}"/>
    <cellStyle name="20% - Accent3 4 4 4 2 3" xfId="20766" xr:uid="{00000000-0005-0000-0000-0000BB170000}"/>
    <cellStyle name="20% - Accent3 4 4 4 2 3 2" xfId="49772" xr:uid="{00000000-0005-0000-0000-0000BC170000}"/>
    <cellStyle name="20% - Accent3 4 4 4 2 4" xfId="35273" xr:uid="{00000000-0005-0000-0000-0000BD170000}"/>
    <cellStyle name="20% - Accent3 4 4 4 3" xfId="10376" xr:uid="{00000000-0005-0000-0000-0000BE170000}"/>
    <cellStyle name="20% - Accent3 4 4 4 3 2" xfId="24910" xr:uid="{00000000-0005-0000-0000-0000BF170000}"/>
    <cellStyle name="20% - Accent3 4 4 4 3 2 2" xfId="53916" xr:uid="{00000000-0005-0000-0000-0000C0170000}"/>
    <cellStyle name="20% - Accent3 4 4 4 3 3" xfId="39417" xr:uid="{00000000-0005-0000-0000-0000C1170000}"/>
    <cellStyle name="20% - Accent3 4 4 4 4" xfId="17662" xr:uid="{00000000-0005-0000-0000-0000C2170000}"/>
    <cellStyle name="20% - Accent3 4 4 4 4 2" xfId="46668" xr:uid="{00000000-0005-0000-0000-0000C3170000}"/>
    <cellStyle name="20% - Accent3 4 4 4 5" xfId="32169" xr:uid="{00000000-0005-0000-0000-0000C4170000}"/>
    <cellStyle name="20% - Accent3 4 4 5" xfId="4136" xr:uid="{00000000-0005-0000-0000-0000C5170000}"/>
    <cellStyle name="20% - Accent3 4 4 5 2" xfId="11408" xr:uid="{00000000-0005-0000-0000-0000C6170000}"/>
    <cellStyle name="20% - Accent3 4 4 5 2 2" xfId="25942" xr:uid="{00000000-0005-0000-0000-0000C7170000}"/>
    <cellStyle name="20% - Accent3 4 4 5 2 2 2" xfId="54948" xr:uid="{00000000-0005-0000-0000-0000C8170000}"/>
    <cellStyle name="20% - Accent3 4 4 5 2 3" xfId="40449" xr:uid="{00000000-0005-0000-0000-0000C9170000}"/>
    <cellStyle name="20% - Accent3 4 4 5 3" xfId="18694" xr:uid="{00000000-0005-0000-0000-0000CA170000}"/>
    <cellStyle name="20% - Accent3 4 4 5 3 2" xfId="47700" xr:uid="{00000000-0005-0000-0000-0000CB170000}"/>
    <cellStyle name="20% - Accent3 4 4 5 4" xfId="33201" xr:uid="{00000000-0005-0000-0000-0000CC170000}"/>
    <cellStyle name="20% - Accent3 4 4 6" xfId="7240" xr:uid="{00000000-0005-0000-0000-0000CD170000}"/>
    <cellStyle name="20% - Accent3 4 4 6 2" xfId="14512" xr:uid="{00000000-0005-0000-0000-0000CE170000}"/>
    <cellStyle name="20% - Accent3 4 4 6 2 2" xfId="29046" xr:uid="{00000000-0005-0000-0000-0000CF170000}"/>
    <cellStyle name="20% - Accent3 4 4 6 2 2 2" xfId="58052" xr:uid="{00000000-0005-0000-0000-0000D0170000}"/>
    <cellStyle name="20% - Accent3 4 4 6 2 3" xfId="43553" xr:uid="{00000000-0005-0000-0000-0000D1170000}"/>
    <cellStyle name="20% - Accent3 4 4 6 3" xfId="21798" xr:uid="{00000000-0005-0000-0000-0000D2170000}"/>
    <cellStyle name="20% - Accent3 4 4 6 3 2" xfId="50804" xr:uid="{00000000-0005-0000-0000-0000D3170000}"/>
    <cellStyle name="20% - Accent3 4 4 6 4" xfId="36305" xr:uid="{00000000-0005-0000-0000-0000D4170000}"/>
    <cellStyle name="20% - Accent3 4 4 7" xfId="8304" xr:uid="{00000000-0005-0000-0000-0000D5170000}"/>
    <cellStyle name="20% - Accent3 4 4 7 2" xfId="22838" xr:uid="{00000000-0005-0000-0000-0000D6170000}"/>
    <cellStyle name="20% - Accent3 4 4 7 2 2" xfId="51844" xr:uid="{00000000-0005-0000-0000-0000D7170000}"/>
    <cellStyle name="20% - Accent3 4 4 7 3" xfId="37345" xr:uid="{00000000-0005-0000-0000-0000D8170000}"/>
    <cellStyle name="20% - Accent3 4 4 8" xfId="15590" xr:uid="{00000000-0005-0000-0000-0000D9170000}"/>
    <cellStyle name="20% - Accent3 4 4 8 2" xfId="44596" xr:uid="{00000000-0005-0000-0000-0000DA170000}"/>
    <cellStyle name="20% - Accent3 4 4 9" xfId="30097" xr:uid="{00000000-0005-0000-0000-0000DB170000}"/>
    <cellStyle name="20% - Accent3 4 5" xfId="1321" xr:uid="{00000000-0005-0000-0000-0000DC170000}"/>
    <cellStyle name="20% - Accent3 4 5 2" xfId="2378" xr:uid="{00000000-0005-0000-0000-0000DD170000}"/>
    <cellStyle name="20% - Accent3 4 5 2 2" xfId="5482" xr:uid="{00000000-0005-0000-0000-0000DE170000}"/>
    <cellStyle name="20% - Accent3 4 5 2 2 2" xfId="12754" xr:uid="{00000000-0005-0000-0000-0000DF170000}"/>
    <cellStyle name="20% - Accent3 4 5 2 2 2 2" xfId="27288" xr:uid="{00000000-0005-0000-0000-0000E0170000}"/>
    <cellStyle name="20% - Accent3 4 5 2 2 2 2 2" xfId="56294" xr:uid="{00000000-0005-0000-0000-0000E1170000}"/>
    <cellStyle name="20% - Accent3 4 5 2 2 2 3" xfId="41795" xr:uid="{00000000-0005-0000-0000-0000E2170000}"/>
    <cellStyle name="20% - Accent3 4 5 2 2 3" xfId="20040" xr:uid="{00000000-0005-0000-0000-0000E3170000}"/>
    <cellStyle name="20% - Accent3 4 5 2 2 3 2" xfId="49046" xr:uid="{00000000-0005-0000-0000-0000E4170000}"/>
    <cellStyle name="20% - Accent3 4 5 2 2 4" xfId="34547" xr:uid="{00000000-0005-0000-0000-0000E5170000}"/>
    <cellStyle name="20% - Accent3 4 5 2 3" xfId="9650" xr:uid="{00000000-0005-0000-0000-0000E6170000}"/>
    <cellStyle name="20% - Accent3 4 5 2 3 2" xfId="24184" xr:uid="{00000000-0005-0000-0000-0000E7170000}"/>
    <cellStyle name="20% - Accent3 4 5 2 3 2 2" xfId="53190" xr:uid="{00000000-0005-0000-0000-0000E8170000}"/>
    <cellStyle name="20% - Accent3 4 5 2 3 3" xfId="38691" xr:uid="{00000000-0005-0000-0000-0000E9170000}"/>
    <cellStyle name="20% - Accent3 4 5 2 4" xfId="16936" xr:uid="{00000000-0005-0000-0000-0000EA170000}"/>
    <cellStyle name="20% - Accent3 4 5 2 4 2" xfId="45942" xr:uid="{00000000-0005-0000-0000-0000EB170000}"/>
    <cellStyle name="20% - Accent3 4 5 2 5" xfId="31443" xr:uid="{00000000-0005-0000-0000-0000EC170000}"/>
    <cellStyle name="20% - Accent3 4 5 3" xfId="3410" xr:uid="{00000000-0005-0000-0000-0000ED170000}"/>
    <cellStyle name="20% - Accent3 4 5 3 2" xfId="6514" xr:uid="{00000000-0005-0000-0000-0000EE170000}"/>
    <cellStyle name="20% - Accent3 4 5 3 2 2" xfId="13786" xr:uid="{00000000-0005-0000-0000-0000EF170000}"/>
    <cellStyle name="20% - Accent3 4 5 3 2 2 2" xfId="28320" xr:uid="{00000000-0005-0000-0000-0000F0170000}"/>
    <cellStyle name="20% - Accent3 4 5 3 2 2 2 2" xfId="57326" xr:uid="{00000000-0005-0000-0000-0000F1170000}"/>
    <cellStyle name="20% - Accent3 4 5 3 2 2 3" xfId="42827" xr:uid="{00000000-0005-0000-0000-0000F2170000}"/>
    <cellStyle name="20% - Accent3 4 5 3 2 3" xfId="21072" xr:uid="{00000000-0005-0000-0000-0000F3170000}"/>
    <cellStyle name="20% - Accent3 4 5 3 2 3 2" xfId="50078" xr:uid="{00000000-0005-0000-0000-0000F4170000}"/>
    <cellStyle name="20% - Accent3 4 5 3 2 4" xfId="35579" xr:uid="{00000000-0005-0000-0000-0000F5170000}"/>
    <cellStyle name="20% - Accent3 4 5 3 3" xfId="10682" xr:uid="{00000000-0005-0000-0000-0000F6170000}"/>
    <cellStyle name="20% - Accent3 4 5 3 3 2" xfId="25216" xr:uid="{00000000-0005-0000-0000-0000F7170000}"/>
    <cellStyle name="20% - Accent3 4 5 3 3 2 2" xfId="54222" xr:uid="{00000000-0005-0000-0000-0000F8170000}"/>
    <cellStyle name="20% - Accent3 4 5 3 3 3" xfId="39723" xr:uid="{00000000-0005-0000-0000-0000F9170000}"/>
    <cellStyle name="20% - Accent3 4 5 3 4" xfId="17968" xr:uid="{00000000-0005-0000-0000-0000FA170000}"/>
    <cellStyle name="20% - Accent3 4 5 3 4 2" xfId="46974" xr:uid="{00000000-0005-0000-0000-0000FB170000}"/>
    <cellStyle name="20% - Accent3 4 5 3 5" xfId="32475" xr:uid="{00000000-0005-0000-0000-0000FC170000}"/>
    <cellStyle name="20% - Accent3 4 5 4" xfId="4442" xr:uid="{00000000-0005-0000-0000-0000FD170000}"/>
    <cellStyle name="20% - Accent3 4 5 4 2" xfId="11714" xr:uid="{00000000-0005-0000-0000-0000FE170000}"/>
    <cellStyle name="20% - Accent3 4 5 4 2 2" xfId="26248" xr:uid="{00000000-0005-0000-0000-0000FF170000}"/>
    <cellStyle name="20% - Accent3 4 5 4 2 2 2" xfId="55254" xr:uid="{00000000-0005-0000-0000-000000180000}"/>
    <cellStyle name="20% - Accent3 4 5 4 2 3" xfId="40755" xr:uid="{00000000-0005-0000-0000-000001180000}"/>
    <cellStyle name="20% - Accent3 4 5 4 3" xfId="19000" xr:uid="{00000000-0005-0000-0000-000002180000}"/>
    <cellStyle name="20% - Accent3 4 5 4 3 2" xfId="48006" xr:uid="{00000000-0005-0000-0000-000003180000}"/>
    <cellStyle name="20% - Accent3 4 5 4 4" xfId="33507" xr:uid="{00000000-0005-0000-0000-000004180000}"/>
    <cellStyle name="20% - Accent3 4 5 5" xfId="7546" xr:uid="{00000000-0005-0000-0000-000005180000}"/>
    <cellStyle name="20% - Accent3 4 5 5 2" xfId="14818" xr:uid="{00000000-0005-0000-0000-000006180000}"/>
    <cellStyle name="20% - Accent3 4 5 5 2 2" xfId="29352" xr:uid="{00000000-0005-0000-0000-000007180000}"/>
    <cellStyle name="20% - Accent3 4 5 5 2 2 2" xfId="58358" xr:uid="{00000000-0005-0000-0000-000008180000}"/>
    <cellStyle name="20% - Accent3 4 5 5 2 3" xfId="43859" xr:uid="{00000000-0005-0000-0000-000009180000}"/>
    <cellStyle name="20% - Accent3 4 5 5 3" xfId="22104" xr:uid="{00000000-0005-0000-0000-00000A180000}"/>
    <cellStyle name="20% - Accent3 4 5 5 3 2" xfId="51110" xr:uid="{00000000-0005-0000-0000-00000B180000}"/>
    <cellStyle name="20% - Accent3 4 5 5 4" xfId="36611" xr:uid="{00000000-0005-0000-0000-00000C180000}"/>
    <cellStyle name="20% - Accent3 4 5 6" xfId="8610" xr:uid="{00000000-0005-0000-0000-00000D180000}"/>
    <cellStyle name="20% - Accent3 4 5 6 2" xfId="23144" xr:uid="{00000000-0005-0000-0000-00000E180000}"/>
    <cellStyle name="20% - Accent3 4 5 6 2 2" xfId="52150" xr:uid="{00000000-0005-0000-0000-00000F180000}"/>
    <cellStyle name="20% - Accent3 4 5 6 3" xfId="37651" xr:uid="{00000000-0005-0000-0000-000010180000}"/>
    <cellStyle name="20% - Accent3 4 5 7" xfId="15896" xr:uid="{00000000-0005-0000-0000-000011180000}"/>
    <cellStyle name="20% - Accent3 4 5 7 2" xfId="44902" xr:uid="{00000000-0005-0000-0000-000012180000}"/>
    <cellStyle name="20% - Accent3 4 5 8" xfId="30403" xr:uid="{00000000-0005-0000-0000-000013180000}"/>
    <cellStyle name="20% - Accent3 4 6" xfId="1866" xr:uid="{00000000-0005-0000-0000-000014180000}"/>
    <cellStyle name="20% - Accent3 4 6 2" xfId="4970" xr:uid="{00000000-0005-0000-0000-000015180000}"/>
    <cellStyle name="20% - Accent3 4 6 2 2" xfId="12242" xr:uid="{00000000-0005-0000-0000-000016180000}"/>
    <cellStyle name="20% - Accent3 4 6 2 2 2" xfId="26776" xr:uid="{00000000-0005-0000-0000-000017180000}"/>
    <cellStyle name="20% - Accent3 4 6 2 2 2 2" xfId="55782" xr:uid="{00000000-0005-0000-0000-000018180000}"/>
    <cellStyle name="20% - Accent3 4 6 2 2 3" xfId="41283" xr:uid="{00000000-0005-0000-0000-000019180000}"/>
    <cellStyle name="20% - Accent3 4 6 2 3" xfId="19528" xr:uid="{00000000-0005-0000-0000-00001A180000}"/>
    <cellStyle name="20% - Accent3 4 6 2 3 2" xfId="48534" xr:uid="{00000000-0005-0000-0000-00001B180000}"/>
    <cellStyle name="20% - Accent3 4 6 2 4" xfId="34035" xr:uid="{00000000-0005-0000-0000-00001C180000}"/>
    <cellStyle name="20% - Accent3 4 6 3" xfId="9138" xr:uid="{00000000-0005-0000-0000-00001D180000}"/>
    <cellStyle name="20% - Accent3 4 6 3 2" xfId="23672" xr:uid="{00000000-0005-0000-0000-00001E180000}"/>
    <cellStyle name="20% - Accent3 4 6 3 2 2" xfId="52678" xr:uid="{00000000-0005-0000-0000-00001F180000}"/>
    <cellStyle name="20% - Accent3 4 6 3 3" xfId="38179" xr:uid="{00000000-0005-0000-0000-000020180000}"/>
    <cellStyle name="20% - Accent3 4 6 4" xfId="16424" xr:uid="{00000000-0005-0000-0000-000021180000}"/>
    <cellStyle name="20% - Accent3 4 6 4 2" xfId="45430" xr:uid="{00000000-0005-0000-0000-000022180000}"/>
    <cellStyle name="20% - Accent3 4 6 5" xfId="30931" xr:uid="{00000000-0005-0000-0000-000023180000}"/>
    <cellStyle name="20% - Accent3 4 7" xfId="2898" xr:uid="{00000000-0005-0000-0000-000024180000}"/>
    <cellStyle name="20% - Accent3 4 7 2" xfId="6002" xr:uid="{00000000-0005-0000-0000-000025180000}"/>
    <cellStyle name="20% - Accent3 4 7 2 2" xfId="13274" xr:uid="{00000000-0005-0000-0000-000026180000}"/>
    <cellStyle name="20% - Accent3 4 7 2 2 2" xfId="27808" xr:uid="{00000000-0005-0000-0000-000027180000}"/>
    <cellStyle name="20% - Accent3 4 7 2 2 2 2" xfId="56814" xr:uid="{00000000-0005-0000-0000-000028180000}"/>
    <cellStyle name="20% - Accent3 4 7 2 2 3" xfId="42315" xr:uid="{00000000-0005-0000-0000-000029180000}"/>
    <cellStyle name="20% - Accent3 4 7 2 3" xfId="20560" xr:uid="{00000000-0005-0000-0000-00002A180000}"/>
    <cellStyle name="20% - Accent3 4 7 2 3 2" xfId="49566" xr:uid="{00000000-0005-0000-0000-00002B180000}"/>
    <cellStyle name="20% - Accent3 4 7 2 4" xfId="35067" xr:uid="{00000000-0005-0000-0000-00002C180000}"/>
    <cellStyle name="20% - Accent3 4 7 3" xfId="10170" xr:uid="{00000000-0005-0000-0000-00002D180000}"/>
    <cellStyle name="20% - Accent3 4 7 3 2" xfId="24704" xr:uid="{00000000-0005-0000-0000-00002E180000}"/>
    <cellStyle name="20% - Accent3 4 7 3 2 2" xfId="53710" xr:uid="{00000000-0005-0000-0000-00002F180000}"/>
    <cellStyle name="20% - Accent3 4 7 3 3" xfId="39211" xr:uid="{00000000-0005-0000-0000-000030180000}"/>
    <cellStyle name="20% - Accent3 4 7 4" xfId="17456" xr:uid="{00000000-0005-0000-0000-000031180000}"/>
    <cellStyle name="20% - Accent3 4 7 4 2" xfId="46462" xr:uid="{00000000-0005-0000-0000-000032180000}"/>
    <cellStyle name="20% - Accent3 4 7 5" xfId="31963" xr:uid="{00000000-0005-0000-0000-000033180000}"/>
    <cellStyle name="20% - Accent3 4 8" xfId="3930" xr:uid="{00000000-0005-0000-0000-000034180000}"/>
    <cellStyle name="20% - Accent3 4 8 2" xfId="11202" xr:uid="{00000000-0005-0000-0000-000035180000}"/>
    <cellStyle name="20% - Accent3 4 8 2 2" xfId="25736" xr:uid="{00000000-0005-0000-0000-000036180000}"/>
    <cellStyle name="20% - Accent3 4 8 2 2 2" xfId="54742" xr:uid="{00000000-0005-0000-0000-000037180000}"/>
    <cellStyle name="20% - Accent3 4 8 2 3" xfId="40243" xr:uid="{00000000-0005-0000-0000-000038180000}"/>
    <cellStyle name="20% - Accent3 4 8 3" xfId="18488" xr:uid="{00000000-0005-0000-0000-000039180000}"/>
    <cellStyle name="20% - Accent3 4 8 3 2" xfId="47494" xr:uid="{00000000-0005-0000-0000-00003A180000}"/>
    <cellStyle name="20% - Accent3 4 8 4" xfId="32995" xr:uid="{00000000-0005-0000-0000-00003B180000}"/>
    <cellStyle name="20% - Accent3 4 9" xfId="7034" xr:uid="{00000000-0005-0000-0000-00003C180000}"/>
    <cellStyle name="20% - Accent3 4 9 2" xfId="14306" xr:uid="{00000000-0005-0000-0000-00003D180000}"/>
    <cellStyle name="20% - Accent3 4 9 2 2" xfId="28840" xr:uid="{00000000-0005-0000-0000-00003E180000}"/>
    <cellStyle name="20% - Accent3 4 9 2 2 2" xfId="57846" xr:uid="{00000000-0005-0000-0000-00003F180000}"/>
    <cellStyle name="20% - Accent3 4 9 2 3" xfId="43347" xr:uid="{00000000-0005-0000-0000-000040180000}"/>
    <cellStyle name="20% - Accent3 4 9 3" xfId="21592" xr:uid="{00000000-0005-0000-0000-000041180000}"/>
    <cellStyle name="20% - Accent3 4 9 3 2" xfId="50598" xr:uid="{00000000-0005-0000-0000-000042180000}"/>
    <cellStyle name="20% - Accent3 4 9 4" xfId="36099" xr:uid="{00000000-0005-0000-0000-000043180000}"/>
    <cellStyle name="20% - Accent3 5" xfId="907" xr:uid="{00000000-0005-0000-0000-000044180000}"/>
    <cellStyle name="20% - Accent3 5 10" xfId="29942" xr:uid="{00000000-0005-0000-0000-000045180000}"/>
    <cellStyle name="20% - Accent3 5 2" xfId="1175" xr:uid="{00000000-0005-0000-0000-000046180000}"/>
    <cellStyle name="20% - Accent3 5 2 2" xfId="1676" xr:uid="{00000000-0005-0000-0000-000047180000}"/>
    <cellStyle name="20% - Accent3 5 2 2 2" xfId="2735" xr:uid="{00000000-0005-0000-0000-000048180000}"/>
    <cellStyle name="20% - Accent3 5 2 2 2 2" xfId="5839" xr:uid="{00000000-0005-0000-0000-000049180000}"/>
    <cellStyle name="20% - Accent3 5 2 2 2 2 2" xfId="13111" xr:uid="{00000000-0005-0000-0000-00004A180000}"/>
    <cellStyle name="20% - Accent3 5 2 2 2 2 2 2" xfId="27645" xr:uid="{00000000-0005-0000-0000-00004B180000}"/>
    <cellStyle name="20% - Accent3 5 2 2 2 2 2 2 2" xfId="56651" xr:uid="{00000000-0005-0000-0000-00004C180000}"/>
    <cellStyle name="20% - Accent3 5 2 2 2 2 2 3" xfId="42152" xr:uid="{00000000-0005-0000-0000-00004D180000}"/>
    <cellStyle name="20% - Accent3 5 2 2 2 2 3" xfId="20397" xr:uid="{00000000-0005-0000-0000-00004E180000}"/>
    <cellStyle name="20% - Accent3 5 2 2 2 2 3 2" xfId="49403" xr:uid="{00000000-0005-0000-0000-00004F180000}"/>
    <cellStyle name="20% - Accent3 5 2 2 2 2 4" xfId="34904" xr:uid="{00000000-0005-0000-0000-000050180000}"/>
    <cellStyle name="20% - Accent3 5 2 2 2 3" xfId="10007" xr:uid="{00000000-0005-0000-0000-000051180000}"/>
    <cellStyle name="20% - Accent3 5 2 2 2 3 2" xfId="24541" xr:uid="{00000000-0005-0000-0000-000052180000}"/>
    <cellStyle name="20% - Accent3 5 2 2 2 3 2 2" xfId="53547" xr:uid="{00000000-0005-0000-0000-000053180000}"/>
    <cellStyle name="20% - Accent3 5 2 2 2 3 3" xfId="39048" xr:uid="{00000000-0005-0000-0000-000054180000}"/>
    <cellStyle name="20% - Accent3 5 2 2 2 4" xfId="17293" xr:uid="{00000000-0005-0000-0000-000055180000}"/>
    <cellStyle name="20% - Accent3 5 2 2 2 4 2" xfId="46299" xr:uid="{00000000-0005-0000-0000-000056180000}"/>
    <cellStyle name="20% - Accent3 5 2 2 2 5" xfId="31800" xr:uid="{00000000-0005-0000-0000-000057180000}"/>
    <cellStyle name="20% - Accent3 5 2 2 3" xfId="3767" xr:uid="{00000000-0005-0000-0000-000058180000}"/>
    <cellStyle name="20% - Accent3 5 2 2 3 2" xfId="6871" xr:uid="{00000000-0005-0000-0000-000059180000}"/>
    <cellStyle name="20% - Accent3 5 2 2 3 2 2" xfId="14143" xr:uid="{00000000-0005-0000-0000-00005A180000}"/>
    <cellStyle name="20% - Accent3 5 2 2 3 2 2 2" xfId="28677" xr:uid="{00000000-0005-0000-0000-00005B180000}"/>
    <cellStyle name="20% - Accent3 5 2 2 3 2 2 2 2" xfId="57683" xr:uid="{00000000-0005-0000-0000-00005C180000}"/>
    <cellStyle name="20% - Accent3 5 2 2 3 2 2 3" xfId="43184" xr:uid="{00000000-0005-0000-0000-00005D180000}"/>
    <cellStyle name="20% - Accent3 5 2 2 3 2 3" xfId="21429" xr:uid="{00000000-0005-0000-0000-00005E180000}"/>
    <cellStyle name="20% - Accent3 5 2 2 3 2 3 2" xfId="50435" xr:uid="{00000000-0005-0000-0000-00005F180000}"/>
    <cellStyle name="20% - Accent3 5 2 2 3 2 4" xfId="35936" xr:uid="{00000000-0005-0000-0000-000060180000}"/>
    <cellStyle name="20% - Accent3 5 2 2 3 3" xfId="11039" xr:uid="{00000000-0005-0000-0000-000061180000}"/>
    <cellStyle name="20% - Accent3 5 2 2 3 3 2" xfId="25573" xr:uid="{00000000-0005-0000-0000-000062180000}"/>
    <cellStyle name="20% - Accent3 5 2 2 3 3 2 2" xfId="54579" xr:uid="{00000000-0005-0000-0000-000063180000}"/>
    <cellStyle name="20% - Accent3 5 2 2 3 3 3" xfId="40080" xr:uid="{00000000-0005-0000-0000-000064180000}"/>
    <cellStyle name="20% - Accent3 5 2 2 3 4" xfId="18325" xr:uid="{00000000-0005-0000-0000-000065180000}"/>
    <cellStyle name="20% - Accent3 5 2 2 3 4 2" xfId="47331" xr:uid="{00000000-0005-0000-0000-000066180000}"/>
    <cellStyle name="20% - Accent3 5 2 2 3 5" xfId="32832" xr:uid="{00000000-0005-0000-0000-000067180000}"/>
    <cellStyle name="20% - Accent3 5 2 2 4" xfId="4799" xr:uid="{00000000-0005-0000-0000-000068180000}"/>
    <cellStyle name="20% - Accent3 5 2 2 4 2" xfId="12071" xr:uid="{00000000-0005-0000-0000-000069180000}"/>
    <cellStyle name="20% - Accent3 5 2 2 4 2 2" xfId="26605" xr:uid="{00000000-0005-0000-0000-00006A180000}"/>
    <cellStyle name="20% - Accent3 5 2 2 4 2 2 2" xfId="55611" xr:uid="{00000000-0005-0000-0000-00006B180000}"/>
    <cellStyle name="20% - Accent3 5 2 2 4 2 3" xfId="41112" xr:uid="{00000000-0005-0000-0000-00006C180000}"/>
    <cellStyle name="20% - Accent3 5 2 2 4 3" xfId="19357" xr:uid="{00000000-0005-0000-0000-00006D180000}"/>
    <cellStyle name="20% - Accent3 5 2 2 4 3 2" xfId="48363" xr:uid="{00000000-0005-0000-0000-00006E180000}"/>
    <cellStyle name="20% - Accent3 5 2 2 4 4" xfId="33864" xr:uid="{00000000-0005-0000-0000-00006F180000}"/>
    <cellStyle name="20% - Accent3 5 2 2 5" xfId="7903" xr:uid="{00000000-0005-0000-0000-000070180000}"/>
    <cellStyle name="20% - Accent3 5 2 2 5 2" xfId="15175" xr:uid="{00000000-0005-0000-0000-000071180000}"/>
    <cellStyle name="20% - Accent3 5 2 2 5 2 2" xfId="29709" xr:uid="{00000000-0005-0000-0000-000072180000}"/>
    <cellStyle name="20% - Accent3 5 2 2 5 2 2 2" xfId="58715" xr:uid="{00000000-0005-0000-0000-000073180000}"/>
    <cellStyle name="20% - Accent3 5 2 2 5 2 3" xfId="44216" xr:uid="{00000000-0005-0000-0000-000074180000}"/>
    <cellStyle name="20% - Accent3 5 2 2 5 3" xfId="22461" xr:uid="{00000000-0005-0000-0000-000075180000}"/>
    <cellStyle name="20% - Accent3 5 2 2 5 3 2" xfId="51467" xr:uid="{00000000-0005-0000-0000-000076180000}"/>
    <cellStyle name="20% - Accent3 5 2 2 5 4" xfId="36968" xr:uid="{00000000-0005-0000-0000-000077180000}"/>
    <cellStyle name="20% - Accent3 5 2 2 6" xfId="8967" xr:uid="{00000000-0005-0000-0000-000078180000}"/>
    <cellStyle name="20% - Accent3 5 2 2 6 2" xfId="23501" xr:uid="{00000000-0005-0000-0000-000079180000}"/>
    <cellStyle name="20% - Accent3 5 2 2 6 2 2" xfId="52507" xr:uid="{00000000-0005-0000-0000-00007A180000}"/>
    <cellStyle name="20% - Accent3 5 2 2 6 3" xfId="38008" xr:uid="{00000000-0005-0000-0000-00007B180000}"/>
    <cellStyle name="20% - Accent3 5 2 2 7" xfId="16253" xr:uid="{00000000-0005-0000-0000-00007C180000}"/>
    <cellStyle name="20% - Accent3 5 2 2 7 2" xfId="45259" xr:uid="{00000000-0005-0000-0000-00007D180000}"/>
    <cellStyle name="20% - Accent3 5 2 2 8" xfId="30760" xr:uid="{00000000-0005-0000-0000-00007E180000}"/>
    <cellStyle name="20% - Accent3 5 2 3" xfId="2223" xr:uid="{00000000-0005-0000-0000-00007F180000}"/>
    <cellStyle name="20% - Accent3 5 2 3 2" xfId="5327" xr:uid="{00000000-0005-0000-0000-000080180000}"/>
    <cellStyle name="20% - Accent3 5 2 3 2 2" xfId="12599" xr:uid="{00000000-0005-0000-0000-000081180000}"/>
    <cellStyle name="20% - Accent3 5 2 3 2 2 2" xfId="27133" xr:uid="{00000000-0005-0000-0000-000082180000}"/>
    <cellStyle name="20% - Accent3 5 2 3 2 2 2 2" xfId="56139" xr:uid="{00000000-0005-0000-0000-000083180000}"/>
    <cellStyle name="20% - Accent3 5 2 3 2 2 3" xfId="41640" xr:uid="{00000000-0005-0000-0000-000084180000}"/>
    <cellStyle name="20% - Accent3 5 2 3 2 3" xfId="19885" xr:uid="{00000000-0005-0000-0000-000085180000}"/>
    <cellStyle name="20% - Accent3 5 2 3 2 3 2" xfId="48891" xr:uid="{00000000-0005-0000-0000-000086180000}"/>
    <cellStyle name="20% - Accent3 5 2 3 2 4" xfId="34392" xr:uid="{00000000-0005-0000-0000-000087180000}"/>
    <cellStyle name="20% - Accent3 5 2 3 3" xfId="9495" xr:uid="{00000000-0005-0000-0000-000088180000}"/>
    <cellStyle name="20% - Accent3 5 2 3 3 2" xfId="24029" xr:uid="{00000000-0005-0000-0000-000089180000}"/>
    <cellStyle name="20% - Accent3 5 2 3 3 2 2" xfId="53035" xr:uid="{00000000-0005-0000-0000-00008A180000}"/>
    <cellStyle name="20% - Accent3 5 2 3 3 3" xfId="38536" xr:uid="{00000000-0005-0000-0000-00008B180000}"/>
    <cellStyle name="20% - Accent3 5 2 3 4" xfId="16781" xr:uid="{00000000-0005-0000-0000-00008C180000}"/>
    <cellStyle name="20% - Accent3 5 2 3 4 2" xfId="45787" xr:uid="{00000000-0005-0000-0000-00008D180000}"/>
    <cellStyle name="20% - Accent3 5 2 3 5" xfId="31288" xr:uid="{00000000-0005-0000-0000-00008E180000}"/>
    <cellStyle name="20% - Accent3 5 2 4" xfId="3255" xr:uid="{00000000-0005-0000-0000-00008F180000}"/>
    <cellStyle name="20% - Accent3 5 2 4 2" xfId="6359" xr:uid="{00000000-0005-0000-0000-000090180000}"/>
    <cellStyle name="20% - Accent3 5 2 4 2 2" xfId="13631" xr:uid="{00000000-0005-0000-0000-000091180000}"/>
    <cellStyle name="20% - Accent3 5 2 4 2 2 2" xfId="28165" xr:uid="{00000000-0005-0000-0000-000092180000}"/>
    <cellStyle name="20% - Accent3 5 2 4 2 2 2 2" xfId="57171" xr:uid="{00000000-0005-0000-0000-000093180000}"/>
    <cellStyle name="20% - Accent3 5 2 4 2 2 3" xfId="42672" xr:uid="{00000000-0005-0000-0000-000094180000}"/>
    <cellStyle name="20% - Accent3 5 2 4 2 3" xfId="20917" xr:uid="{00000000-0005-0000-0000-000095180000}"/>
    <cellStyle name="20% - Accent3 5 2 4 2 3 2" xfId="49923" xr:uid="{00000000-0005-0000-0000-000096180000}"/>
    <cellStyle name="20% - Accent3 5 2 4 2 4" xfId="35424" xr:uid="{00000000-0005-0000-0000-000097180000}"/>
    <cellStyle name="20% - Accent3 5 2 4 3" xfId="10527" xr:uid="{00000000-0005-0000-0000-000098180000}"/>
    <cellStyle name="20% - Accent3 5 2 4 3 2" xfId="25061" xr:uid="{00000000-0005-0000-0000-000099180000}"/>
    <cellStyle name="20% - Accent3 5 2 4 3 2 2" xfId="54067" xr:uid="{00000000-0005-0000-0000-00009A180000}"/>
    <cellStyle name="20% - Accent3 5 2 4 3 3" xfId="39568" xr:uid="{00000000-0005-0000-0000-00009B180000}"/>
    <cellStyle name="20% - Accent3 5 2 4 4" xfId="17813" xr:uid="{00000000-0005-0000-0000-00009C180000}"/>
    <cellStyle name="20% - Accent3 5 2 4 4 2" xfId="46819" xr:uid="{00000000-0005-0000-0000-00009D180000}"/>
    <cellStyle name="20% - Accent3 5 2 4 5" xfId="32320" xr:uid="{00000000-0005-0000-0000-00009E180000}"/>
    <cellStyle name="20% - Accent3 5 2 5" xfId="4287" xr:uid="{00000000-0005-0000-0000-00009F180000}"/>
    <cellStyle name="20% - Accent3 5 2 5 2" xfId="11559" xr:uid="{00000000-0005-0000-0000-0000A0180000}"/>
    <cellStyle name="20% - Accent3 5 2 5 2 2" xfId="26093" xr:uid="{00000000-0005-0000-0000-0000A1180000}"/>
    <cellStyle name="20% - Accent3 5 2 5 2 2 2" xfId="55099" xr:uid="{00000000-0005-0000-0000-0000A2180000}"/>
    <cellStyle name="20% - Accent3 5 2 5 2 3" xfId="40600" xr:uid="{00000000-0005-0000-0000-0000A3180000}"/>
    <cellStyle name="20% - Accent3 5 2 5 3" xfId="18845" xr:uid="{00000000-0005-0000-0000-0000A4180000}"/>
    <cellStyle name="20% - Accent3 5 2 5 3 2" xfId="47851" xr:uid="{00000000-0005-0000-0000-0000A5180000}"/>
    <cellStyle name="20% - Accent3 5 2 5 4" xfId="33352" xr:uid="{00000000-0005-0000-0000-0000A6180000}"/>
    <cellStyle name="20% - Accent3 5 2 6" xfId="7391" xr:uid="{00000000-0005-0000-0000-0000A7180000}"/>
    <cellStyle name="20% - Accent3 5 2 6 2" xfId="14663" xr:uid="{00000000-0005-0000-0000-0000A8180000}"/>
    <cellStyle name="20% - Accent3 5 2 6 2 2" xfId="29197" xr:uid="{00000000-0005-0000-0000-0000A9180000}"/>
    <cellStyle name="20% - Accent3 5 2 6 2 2 2" xfId="58203" xr:uid="{00000000-0005-0000-0000-0000AA180000}"/>
    <cellStyle name="20% - Accent3 5 2 6 2 3" xfId="43704" xr:uid="{00000000-0005-0000-0000-0000AB180000}"/>
    <cellStyle name="20% - Accent3 5 2 6 3" xfId="21949" xr:uid="{00000000-0005-0000-0000-0000AC180000}"/>
    <cellStyle name="20% - Accent3 5 2 6 3 2" xfId="50955" xr:uid="{00000000-0005-0000-0000-0000AD180000}"/>
    <cellStyle name="20% - Accent3 5 2 6 4" xfId="36456" xr:uid="{00000000-0005-0000-0000-0000AE180000}"/>
    <cellStyle name="20% - Accent3 5 2 7" xfId="8455" xr:uid="{00000000-0005-0000-0000-0000AF180000}"/>
    <cellStyle name="20% - Accent3 5 2 7 2" xfId="22989" xr:uid="{00000000-0005-0000-0000-0000B0180000}"/>
    <cellStyle name="20% - Accent3 5 2 7 2 2" xfId="51995" xr:uid="{00000000-0005-0000-0000-0000B1180000}"/>
    <cellStyle name="20% - Accent3 5 2 7 3" xfId="37496" xr:uid="{00000000-0005-0000-0000-0000B2180000}"/>
    <cellStyle name="20% - Accent3 5 2 8" xfId="15741" xr:uid="{00000000-0005-0000-0000-0000B3180000}"/>
    <cellStyle name="20% - Accent3 5 2 8 2" xfId="44747" xr:uid="{00000000-0005-0000-0000-0000B4180000}"/>
    <cellStyle name="20% - Accent3 5 2 9" xfId="30248" xr:uid="{00000000-0005-0000-0000-0000B5180000}"/>
    <cellStyle name="20% - Accent3 5 3" xfId="1372" xr:uid="{00000000-0005-0000-0000-0000B6180000}"/>
    <cellStyle name="20% - Accent3 5 3 2" xfId="2429" xr:uid="{00000000-0005-0000-0000-0000B7180000}"/>
    <cellStyle name="20% - Accent3 5 3 2 2" xfId="5533" xr:uid="{00000000-0005-0000-0000-0000B8180000}"/>
    <cellStyle name="20% - Accent3 5 3 2 2 2" xfId="12805" xr:uid="{00000000-0005-0000-0000-0000B9180000}"/>
    <cellStyle name="20% - Accent3 5 3 2 2 2 2" xfId="27339" xr:uid="{00000000-0005-0000-0000-0000BA180000}"/>
    <cellStyle name="20% - Accent3 5 3 2 2 2 2 2" xfId="56345" xr:uid="{00000000-0005-0000-0000-0000BB180000}"/>
    <cellStyle name="20% - Accent3 5 3 2 2 2 3" xfId="41846" xr:uid="{00000000-0005-0000-0000-0000BC180000}"/>
    <cellStyle name="20% - Accent3 5 3 2 2 3" xfId="20091" xr:uid="{00000000-0005-0000-0000-0000BD180000}"/>
    <cellStyle name="20% - Accent3 5 3 2 2 3 2" xfId="49097" xr:uid="{00000000-0005-0000-0000-0000BE180000}"/>
    <cellStyle name="20% - Accent3 5 3 2 2 4" xfId="34598" xr:uid="{00000000-0005-0000-0000-0000BF180000}"/>
    <cellStyle name="20% - Accent3 5 3 2 3" xfId="9701" xr:uid="{00000000-0005-0000-0000-0000C0180000}"/>
    <cellStyle name="20% - Accent3 5 3 2 3 2" xfId="24235" xr:uid="{00000000-0005-0000-0000-0000C1180000}"/>
    <cellStyle name="20% - Accent3 5 3 2 3 2 2" xfId="53241" xr:uid="{00000000-0005-0000-0000-0000C2180000}"/>
    <cellStyle name="20% - Accent3 5 3 2 3 3" xfId="38742" xr:uid="{00000000-0005-0000-0000-0000C3180000}"/>
    <cellStyle name="20% - Accent3 5 3 2 4" xfId="16987" xr:uid="{00000000-0005-0000-0000-0000C4180000}"/>
    <cellStyle name="20% - Accent3 5 3 2 4 2" xfId="45993" xr:uid="{00000000-0005-0000-0000-0000C5180000}"/>
    <cellStyle name="20% - Accent3 5 3 2 5" xfId="31494" xr:uid="{00000000-0005-0000-0000-0000C6180000}"/>
    <cellStyle name="20% - Accent3 5 3 3" xfId="3461" xr:uid="{00000000-0005-0000-0000-0000C7180000}"/>
    <cellStyle name="20% - Accent3 5 3 3 2" xfId="6565" xr:uid="{00000000-0005-0000-0000-0000C8180000}"/>
    <cellStyle name="20% - Accent3 5 3 3 2 2" xfId="13837" xr:uid="{00000000-0005-0000-0000-0000C9180000}"/>
    <cellStyle name="20% - Accent3 5 3 3 2 2 2" xfId="28371" xr:uid="{00000000-0005-0000-0000-0000CA180000}"/>
    <cellStyle name="20% - Accent3 5 3 3 2 2 2 2" xfId="57377" xr:uid="{00000000-0005-0000-0000-0000CB180000}"/>
    <cellStyle name="20% - Accent3 5 3 3 2 2 3" xfId="42878" xr:uid="{00000000-0005-0000-0000-0000CC180000}"/>
    <cellStyle name="20% - Accent3 5 3 3 2 3" xfId="21123" xr:uid="{00000000-0005-0000-0000-0000CD180000}"/>
    <cellStyle name="20% - Accent3 5 3 3 2 3 2" xfId="50129" xr:uid="{00000000-0005-0000-0000-0000CE180000}"/>
    <cellStyle name="20% - Accent3 5 3 3 2 4" xfId="35630" xr:uid="{00000000-0005-0000-0000-0000CF180000}"/>
    <cellStyle name="20% - Accent3 5 3 3 3" xfId="10733" xr:uid="{00000000-0005-0000-0000-0000D0180000}"/>
    <cellStyle name="20% - Accent3 5 3 3 3 2" xfId="25267" xr:uid="{00000000-0005-0000-0000-0000D1180000}"/>
    <cellStyle name="20% - Accent3 5 3 3 3 2 2" xfId="54273" xr:uid="{00000000-0005-0000-0000-0000D2180000}"/>
    <cellStyle name="20% - Accent3 5 3 3 3 3" xfId="39774" xr:uid="{00000000-0005-0000-0000-0000D3180000}"/>
    <cellStyle name="20% - Accent3 5 3 3 4" xfId="18019" xr:uid="{00000000-0005-0000-0000-0000D4180000}"/>
    <cellStyle name="20% - Accent3 5 3 3 4 2" xfId="47025" xr:uid="{00000000-0005-0000-0000-0000D5180000}"/>
    <cellStyle name="20% - Accent3 5 3 3 5" xfId="32526" xr:uid="{00000000-0005-0000-0000-0000D6180000}"/>
    <cellStyle name="20% - Accent3 5 3 4" xfId="4493" xr:uid="{00000000-0005-0000-0000-0000D7180000}"/>
    <cellStyle name="20% - Accent3 5 3 4 2" xfId="11765" xr:uid="{00000000-0005-0000-0000-0000D8180000}"/>
    <cellStyle name="20% - Accent3 5 3 4 2 2" xfId="26299" xr:uid="{00000000-0005-0000-0000-0000D9180000}"/>
    <cellStyle name="20% - Accent3 5 3 4 2 2 2" xfId="55305" xr:uid="{00000000-0005-0000-0000-0000DA180000}"/>
    <cellStyle name="20% - Accent3 5 3 4 2 3" xfId="40806" xr:uid="{00000000-0005-0000-0000-0000DB180000}"/>
    <cellStyle name="20% - Accent3 5 3 4 3" xfId="19051" xr:uid="{00000000-0005-0000-0000-0000DC180000}"/>
    <cellStyle name="20% - Accent3 5 3 4 3 2" xfId="48057" xr:uid="{00000000-0005-0000-0000-0000DD180000}"/>
    <cellStyle name="20% - Accent3 5 3 4 4" xfId="33558" xr:uid="{00000000-0005-0000-0000-0000DE180000}"/>
    <cellStyle name="20% - Accent3 5 3 5" xfId="7597" xr:uid="{00000000-0005-0000-0000-0000DF180000}"/>
    <cellStyle name="20% - Accent3 5 3 5 2" xfId="14869" xr:uid="{00000000-0005-0000-0000-0000E0180000}"/>
    <cellStyle name="20% - Accent3 5 3 5 2 2" xfId="29403" xr:uid="{00000000-0005-0000-0000-0000E1180000}"/>
    <cellStyle name="20% - Accent3 5 3 5 2 2 2" xfId="58409" xr:uid="{00000000-0005-0000-0000-0000E2180000}"/>
    <cellStyle name="20% - Accent3 5 3 5 2 3" xfId="43910" xr:uid="{00000000-0005-0000-0000-0000E3180000}"/>
    <cellStyle name="20% - Accent3 5 3 5 3" xfId="22155" xr:uid="{00000000-0005-0000-0000-0000E4180000}"/>
    <cellStyle name="20% - Accent3 5 3 5 3 2" xfId="51161" xr:uid="{00000000-0005-0000-0000-0000E5180000}"/>
    <cellStyle name="20% - Accent3 5 3 5 4" xfId="36662" xr:uid="{00000000-0005-0000-0000-0000E6180000}"/>
    <cellStyle name="20% - Accent3 5 3 6" xfId="8661" xr:uid="{00000000-0005-0000-0000-0000E7180000}"/>
    <cellStyle name="20% - Accent3 5 3 6 2" xfId="23195" xr:uid="{00000000-0005-0000-0000-0000E8180000}"/>
    <cellStyle name="20% - Accent3 5 3 6 2 2" xfId="52201" xr:uid="{00000000-0005-0000-0000-0000E9180000}"/>
    <cellStyle name="20% - Accent3 5 3 6 3" xfId="37702" xr:uid="{00000000-0005-0000-0000-0000EA180000}"/>
    <cellStyle name="20% - Accent3 5 3 7" xfId="15947" xr:uid="{00000000-0005-0000-0000-0000EB180000}"/>
    <cellStyle name="20% - Accent3 5 3 7 2" xfId="44953" xr:uid="{00000000-0005-0000-0000-0000EC180000}"/>
    <cellStyle name="20% - Accent3 5 3 8" xfId="30454" xr:uid="{00000000-0005-0000-0000-0000ED180000}"/>
    <cellStyle name="20% - Accent3 5 4" xfId="1917" xr:uid="{00000000-0005-0000-0000-0000EE180000}"/>
    <cellStyle name="20% - Accent3 5 4 2" xfId="5021" xr:uid="{00000000-0005-0000-0000-0000EF180000}"/>
    <cellStyle name="20% - Accent3 5 4 2 2" xfId="12293" xr:uid="{00000000-0005-0000-0000-0000F0180000}"/>
    <cellStyle name="20% - Accent3 5 4 2 2 2" xfId="26827" xr:uid="{00000000-0005-0000-0000-0000F1180000}"/>
    <cellStyle name="20% - Accent3 5 4 2 2 2 2" xfId="55833" xr:uid="{00000000-0005-0000-0000-0000F2180000}"/>
    <cellStyle name="20% - Accent3 5 4 2 2 3" xfId="41334" xr:uid="{00000000-0005-0000-0000-0000F3180000}"/>
    <cellStyle name="20% - Accent3 5 4 2 3" xfId="19579" xr:uid="{00000000-0005-0000-0000-0000F4180000}"/>
    <cellStyle name="20% - Accent3 5 4 2 3 2" xfId="48585" xr:uid="{00000000-0005-0000-0000-0000F5180000}"/>
    <cellStyle name="20% - Accent3 5 4 2 4" xfId="34086" xr:uid="{00000000-0005-0000-0000-0000F6180000}"/>
    <cellStyle name="20% - Accent3 5 4 3" xfId="9189" xr:uid="{00000000-0005-0000-0000-0000F7180000}"/>
    <cellStyle name="20% - Accent3 5 4 3 2" xfId="23723" xr:uid="{00000000-0005-0000-0000-0000F8180000}"/>
    <cellStyle name="20% - Accent3 5 4 3 2 2" xfId="52729" xr:uid="{00000000-0005-0000-0000-0000F9180000}"/>
    <cellStyle name="20% - Accent3 5 4 3 3" xfId="38230" xr:uid="{00000000-0005-0000-0000-0000FA180000}"/>
    <cellStyle name="20% - Accent3 5 4 4" xfId="16475" xr:uid="{00000000-0005-0000-0000-0000FB180000}"/>
    <cellStyle name="20% - Accent3 5 4 4 2" xfId="45481" xr:uid="{00000000-0005-0000-0000-0000FC180000}"/>
    <cellStyle name="20% - Accent3 5 4 5" xfId="30982" xr:uid="{00000000-0005-0000-0000-0000FD180000}"/>
    <cellStyle name="20% - Accent3 5 5" xfId="2949" xr:uid="{00000000-0005-0000-0000-0000FE180000}"/>
    <cellStyle name="20% - Accent3 5 5 2" xfId="6053" xr:uid="{00000000-0005-0000-0000-0000FF180000}"/>
    <cellStyle name="20% - Accent3 5 5 2 2" xfId="13325" xr:uid="{00000000-0005-0000-0000-000000190000}"/>
    <cellStyle name="20% - Accent3 5 5 2 2 2" xfId="27859" xr:uid="{00000000-0005-0000-0000-000001190000}"/>
    <cellStyle name="20% - Accent3 5 5 2 2 2 2" xfId="56865" xr:uid="{00000000-0005-0000-0000-000002190000}"/>
    <cellStyle name="20% - Accent3 5 5 2 2 3" xfId="42366" xr:uid="{00000000-0005-0000-0000-000003190000}"/>
    <cellStyle name="20% - Accent3 5 5 2 3" xfId="20611" xr:uid="{00000000-0005-0000-0000-000004190000}"/>
    <cellStyle name="20% - Accent3 5 5 2 3 2" xfId="49617" xr:uid="{00000000-0005-0000-0000-000005190000}"/>
    <cellStyle name="20% - Accent3 5 5 2 4" xfId="35118" xr:uid="{00000000-0005-0000-0000-000006190000}"/>
    <cellStyle name="20% - Accent3 5 5 3" xfId="10221" xr:uid="{00000000-0005-0000-0000-000007190000}"/>
    <cellStyle name="20% - Accent3 5 5 3 2" xfId="24755" xr:uid="{00000000-0005-0000-0000-000008190000}"/>
    <cellStyle name="20% - Accent3 5 5 3 2 2" xfId="53761" xr:uid="{00000000-0005-0000-0000-000009190000}"/>
    <cellStyle name="20% - Accent3 5 5 3 3" xfId="39262" xr:uid="{00000000-0005-0000-0000-00000A190000}"/>
    <cellStyle name="20% - Accent3 5 5 4" xfId="17507" xr:uid="{00000000-0005-0000-0000-00000B190000}"/>
    <cellStyle name="20% - Accent3 5 5 4 2" xfId="46513" xr:uid="{00000000-0005-0000-0000-00000C190000}"/>
    <cellStyle name="20% - Accent3 5 5 5" xfId="32014" xr:uid="{00000000-0005-0000-0000-00000D190000}"/>
    <cellStyle name="20% - Accent3 5 6" xfId="3981" xr:uid="{00000000-0005-0000-0000-00000E190000}"/>
    <cellStyle name="20% - Accent3 5 6 2" xfId="11253" xr:uid="{00000000-0005-0000-0000-00000F190000}"/>
    <cellStyle name="20% - Accent3 5 6 2 2" xfId="25787" xr:uid="{00000000-0005-0000-0000-000010190000}"/>
    <cellStyle name="20% - Accent3 5 6 2 2 2" xfId="54793" xr:uid="{00000000-0005-0000-0000-000011190000}"/>
    <cellStyle name="20% - Accent3 5 6 2 3" xfId="40294" xr:uid="{00000000-0005-0000-0000-000012190000}"/>
    <cellStyle name="20% - Accent3 5 6 3" xfId="18539" xr:uid="{00000000-0005-0000-0000-000013190000}"/>
    <cellStyle name="20% - Accent3 5 6 3 2" xfId="47545" xr:uid="{00000000-0005-0000-0000-000014190000}"/>
    <cellStyle name="20% - Accent3 5 6 4" xfId="33046" xr:uid="{00000000-0005-0000-0000-000015190000}"/>
    <cellStyle name="20% - Accent3 5 7" xfId="7085" xr:uid="{00000000-0005-0000-0000-000016190000}"/>
    <cellStyle name="20% - Accent3 5 7 2" xfId="14357" xr:uid="{00000000-0005-0000-0000-000017190000}"/>
    <cellStyle name="20% - Accent3 5 7 2 2" xfId="28891" xr:uid="{00000000-0005-0000-0000-000018190000}"/>
    <cellStyle name="20% - Accent3 5 7 2 2 2" xfId="57897" xr:uid="{00000000-0005-0000-0000-000019190000}"/>
    <cellStyle name="20% - Accent3 5 7 2 3" xfId="43398" xr:uid="{00000000-0005-0000-0000-00001A190000}"/>
    <cellStyle name="20% - Accent3 5 7 3" xfId="21643" xr:uid="{00000000-0005-0000-0000-00001B190000}"/>
    <cellStyle name="20% - Accent3 5 7 3 2" xfId="50649" xr:uid="{00000000-0005-0000-0000-00001C190000}"/>
    <cellStyle name="20% - Accent3 5 7 4" xfId="36150" xr:uid="{00000000-0005-0000-0000-00001D190000}"/>
    <cellStyle name="20% - Accent3 5 8" xfId="8149" xr:uid="{00000000-0005-0000-0000-00001E190000}"/>
    <cellStyle name="20% - Accent3 5 8 2" xfId="22683" xr:uid="{00000000-0005-0000-0000-00001F190000}"/>
    <cellStyle name="20% - Accent3 5 8 2 2" xfId="51689" xr:uid="{00000000-0005-0000-0000-000020190000}"/>
    <cellStyle name="20% - Accent3 5 8 3" xfId="37190" xr:uid="{00000000-0005-0000-0000-000021190000}"/>
    <cellStyle name="20% - Accent3 5 9" xfId="15435" xr:uid="{00000000-0005-0000-0000-000022190000}"/>
    <cellStyle name="20% - Accent3 5 9 2" xfId="44441" xr:uid="{00000000-0005-0000-0000-000023190000}"/>
    <cellStyle name="20% - Accent3 6" xfId="1081" xr:uid="{00000000-0005-0000-0000-000024190000}"/>
    <cellStyle name="20% - Accent3 6 2" xfId="1573" xr:uid="{00000000-0005-0000-0000-000025190000}"/>
    <cellStyle name="20% - Accent3 6 2 2" xfId="2632" xr:uid="{00000000-0005-0000-0000-000026190000}"/>
    <cellStyle name="20% - Accent3 6 2 2 2" xfId="5736" xr:uid="{00000000-0005-0000-0000-000027190000}"/>
    <cellStyle name="20% - Accent3 6 2 2 2 2" xfId="13008" xr:uid="{00000000-0005-0000-0000-000028190000}"/>
    <cellStyle name="20% - Accent3 6 2 2 2 2 2" xfId="27542" xr:uid="{00000000-0005-0000-0000-000029190000}"/>
    <cellStyle name="20% - Accent3 6 2 2 2 2 2 2" xfId="56548" xr:uid="{00000000-0005-0000-0000-00002A190000}"/>
    <cellStyle name="20% - Accent3 6 2 2 2 2 3" xfId="42049" xr:uid="{00000000-0005-0000-0000-00002B190000}"/>
    <cellStyle name="20% - Accent3 6 2 2 2 3" xfId="20294" xr:uid="{00000000-0005-0000-0000-00002C190000}"/>
    <cellStyle name="20% - Accent3 6 2 2 2 3 2" xfId="49300" xr:uid="{00000000-0005-0000-0000-00002D190000}"/>
    <cellStyle name="20% - Accent3 6 2 2 2 4" xfId="34801" xr:uid="{00000000-0005-0000-0000-00002E190000}"/>
    <cellStyle name="20% - Accent3 6 2 2 3" xfId="9904" xr:uid="{00000000-0005-0000-0000-00002F190000}"/>
    <cellStyle name="20% - Accent3 6 2 2 3 2" xfId="24438" xr:uid="{00000000-0005-0000-0000-000030190000}"/>
    <cellStyle name="20% - Accent3 6 2 2 3 2 2" xfId="53444" xr:uid="{00000000-0005-0000-0000-000031190000}"/>
    <cellStyle name="20% - Accent3 6 2 2 3 3" xfId="38945" xr:uid="{00000000-0005-0000-0000-000032190000}"/>
    <cellStyle name="20% - Accent3 6 2 2 4" xfId="17190" xr:uid="{00000000-0005-0000-0000-000033190000}"/>
    <cellStyle name="20% - Accent3 6 2 2 4 2" xfId="46196" xr:uid="{00000000-0005-0000-0000-000034190000}"/>
    <cellStyle name="20% - Accent3 6 2 2 5" xfId="31697" xr:uid="{00000000-0005-0000-0000-000035190000}"/>
    <cellStyle name="20% - Accent3 6 2 3" xfId="3664" xr:uid="{00000000-0005-0000-0000-000036190000}"/>
    <cellStyle name="20% - Accent3 6 2 3 2" xfId="6768" xr:uid="{00000000-0005-0000-0000-000037190000}"/>
    <cellStyle name="20% - Accent3 6 2 3 2 2" xfId="14040" xr:uid="{00000000-0005-0000-0000-000038190000}"/>
    <cellStyle name="20% - Accent3 6 2 3 2 2 2" xfId="28574" xr:uid="{00000000-0005-0000-0000-000039190000}"/>
    <cellStyle name="20% - Accent3 6 2 3 2 2 2 2" xfId="57580" xr:uid="{00000000-0005-0000-0000-00003A190000}"/>
    <cellStyle name="20% - Accent3 6 2 3 2 2 3" xfId="43081" xr:uid="{00000000-0005-0000-0000-00003B190000}"/>
    <cellStyle name="20% - Accent3 6 2 3 2 3" xfId="21326" xr:uid="{00000000-0005-0000-0000-00003C190000}"/>
    <cellStyle name="20% - Accent3 6 2 3 2 3 2" xfId="50332" xr:uid="{00000000-0005-0000-0000-00003D190000}"/>
    <cellStyle name="20% - Accent3 6 2 3 2 4" xfId="35833" xr:uid="{00000000-0005-0000-0000-00003E190000}"/>
    <cellStyle name="20% - Accent3 6 2 3 3" xfId="10936" xr:uid="{00000000-0005-0000-0000-00003F190000}"/>
    <cellStyle name="20% - Accent3 6 2 3 3 2" xfId="25470" xr:uid="{00000000-0005-0000-0000-000040190000}"/>
    <cellStyle name="20% - Accent3 6 2 3 3 2 2" xfId="54476" xr:uid="{00000000-0005-0000-0000-000041190000}"/>
    <cellStyle name="20% - Accent3 6 2 3 3 3" xfId="39977" xr:uid="{00000000-0005-0000-0000-000042190000}"/>
    <cellStyle name="20% - Accent3 6 2 3 4" xfId="18222" xr:uid="{00000000-0005-0000-0000-000043190000}"/>
    <cellStyle name="20% - Accent3 6 2 3 4 2" xfId="47228" xr:uid="{00000000-0005-0000-0000-000044190000}"/>
    <cellStyle name="20% - Accent3 6 2 3 5" xfId="32729" xr:uid="{00000000-0005-0000-0000-000045190000}"/>
    <cellStyle name="20% - Accent3 6 2 4" xfId="4696" xr:uid="{00000000-0005-0000-0000-000046190000}"/>
    <cellStyle name="20% - Accent3 6 2 4 2" xfId="11968" xr:uid="{00000000-0005-0000-0000-000047190000}"/>
    <cellStyle name="20% - Accent3 6 2 4 2 2" xfId="26502" xr:uid="{00000000-0005-0000-0000-000048190000}"/>
    <cellStyle name="20% - Accent3 6 2 4 2 2 2" xfId="55508" xr:uid="{00000000-0005-0000-0000-000049190000}"/>
    <cellStyle name="20% - Accent3 6 2 4 2 3" xfId="41009" xr:uid="{00000000-0005-0000-0000-00004A190000}"/>
    <cellStyle name="20% - Accent3 6 2 4 3" xfId="19254" xr:uid="{00000000-0005-0000-0000-00004B190000}"/>
    <cellStyle name="20% - Accent3 6 2 4 3 2" xfId="48260" xr:uid="{00000000-0005-0000-0000-00004C190000}"/>
    <cellStyle name="20% - Accent3 6 2 4 4" xfId="33761" xr:uid="{00000000-0005-0000-0000-00004D190000}"/>
    <cellStyle name="20% - Accent3 6 2 5" xfId="7800" xr:uid="{00000000-0005-0000-0000-00004E190000}"/>
    <cellStyle name="20% - Accent3 6 2 5 2" xfId="15072" xr:uid="{00000000-0005-0000-0000-00004F190000}"/>
    <cellStyle name="20% - Accent3 6 2 5 2 2" xfId="29606" xr:uid="{00000000-0005-0000-0000-000050190000}"/>
    <cellStyle name="20% - Accent3 6 2 5 2 2 2" xfId="58612" xr:uid="{00000000-0005-0000-0000-000051190000}"/>
    <cellStyle name="20% - Accent3 6 2 5 2 3" xfId="44113" xr:uid="{00000000-0005-0000-0000-000052190000}"/>
    <cellStyle name="20% - Accent3 6 2 5 3" xfId="22358" xr:uid="{00000000-0005-0000-0000-000053190000}"/>
    <cellStyle name="20% - Accent3 6 2 5 3 2" xfId="51364" xr:uid="{00000000-0005-0000-0000-000054190000}"/>
    <cellStyle name="20% - Accent3 6 2 5 4" xfId="36865" xr:uid="{00000000-0005-0000-0000-000055190000}"/>
    <cellStyle name="20% - Accent3 6 2 6" xfId="8864" xr:uid="{00000000-0005-0000-0000-000056190000}"/>
    <cellStyle name="20% - Accent3 6 2 6 2" xfId="23398" xr:uid="{00000000-0005-0000-0000-000057190000}"/>
    <cellStyle name="20% - Accent3 6 2 6 2 2" xfId="52404" xr:uid="{00000000-0005-0000-0000-000058190000}"/>
    <cellStyle name="20% - Accent3 6 2 6 3" xfId="37905" xr:uid="{00000000-0005-0000-0000-000059190000}"/>
    <cellStyle name="20% - Accent3 6 2 7" xfId="16150" xr:uid="{00000000-0005-0000-0000-00005A190000}"/>
    <cellStyle name="20% - Accent3 6 2 7 2" xfId="45156" xr:uid="{00000000-0005-0000-0000-00005B190000}"/>
    <cellStyle name="20% - Accent3 6 2 8" xfId="30657" xr:uid="{00000000-0005-0000-0000-00005C190000}"/>
    <cellStyle name="20% - Accent3 6 3" xfId="2120" xr:uid="{00000000-0005-0000-0000-00005D190000}"/>
    <cellStyle name="20% - Accent3 6 3 2" xfId="5224" xr:uid="{00000000-0005-0000-0000-00005E190000}"/>
    <cellStyle name="20% - Accent3 6 3 2 2" xfId="12496" xr:uid="{00000000-0005-0000-0000-00005F190000}"/>
    <cellStyle name="20% - Accent3 6 3 2 2 2" xfId="27030" xr:uid="{00000000-0005-0000-0000-000060190000}"/>
    <cellStyle name="20% - Accent3 6 3 2 2 2 2" xfId="56036" xr:uid="{00000000-0005-0000-0000-000061190000}"/>
    <cellStyle name="20% - Accent3 6 3 2 2 3" xfId="41537" xr:uid="{00000000-0005-0000-0000-000062190000}"/>
    <cellStyle name="20% - Accent3 6 3 2 3" xfId="19782" xr:uid="{00000000-0005-0000-0000-000063190000}"/>
    <cellStyle name="20% - Accent3 6 3 2 3 2" xfId="48788" xr:uid="{00000000-0005-0000-0000-000064190000}"/>
    <cellStyle name="20% - Accent3 6 3 2 4" xfId="34289" xr:uid="{00000000-0005-0000-0000-000065190000}"/>
    <cellStyle name="20% - Accent3 6 3 3" xfId="9392" xr:uid="{00000000-0005-0000-0000-000066190000}"/>
    <cellStyle name="20% - Accent3 6 3 3 2" xfId="23926" xr:uid="{00000000-0005-0000-0000-000067190000}"/>
    <cellStyle name="20% - Accent3 6 3 3 2 2" xfId="52932" xr:uid="{00000000-0005-0000-0000-000068190000}"/>
    <cellStyle name="20% - Accent3 6 3 3 3" xfId="38433" xr:uid="{00000000-0005-0000-0000-000069190000}"/>
    <cellStyle name="20% - Accent3 6 3 4" xfId="16678" xr:uid="{00000000-0005-0000-0000-00006A190000}"/>
    <cellStyle name="20% - Accent3 6 3 4 2" xfId="45684" xr:uid="{00000000-0005-0000-0000-00006B190000}"/>
    <cellStyle name="20% - Accent3 6 3 5" xfId="31185" xr:uid="{00000000-0005-0000-0000-00006C190000}"/>
    <cellStyle name="20% - Accent3 6 4" xfId="3152" xr:uid="{00000000-0005-0000-0000-00006D190000}"/>
    <cellStyle name="20% - Accent3 6 4 2" xfId="6256" xr:uid="{00000000-0005-0000-0000-00006E190000}"/>
    <cellStyle name="20% - Accent3 6 4 2 2" xfId="13528" xr:uid="{00000000-0005-0000-0000-00006F190000}"/>
    <cellStyle name="20% - Accent3 6 4 2 2 2" xfId="28062" xr:uid="{00000000-0005-0000-0000-000070190000}"/>
    <cellStyle name="20% - Accent3 6 4 2 2 2 2" xfId="57068" xr:uid="{00000000-0005-0000-0000-000071190000}"/>
    <cellStyle name="20% - Accent3 6 4 2 2 3" xfId="42569" xr:uid="{00000000-0005-0000-0000-000072190000}"/>
    <cellStyle name="20% - Accent3 6 4 2 3" xfId="20814" xr:uid="{00000000-0005-0000-0000-000073190000}"/>
    <cellStyle name="20% - Accent3 6 4 2 3 2" xfId="49820" xr:uid="{00000000-0005-0000-0000-000074190000}"/>
    <cellStyle name="20% - Accent3 6 4 2 4" xfId="35321" xr:uid="{00000000-0005-0000-0000-000075190000}"/>
    <cellStyle name="20% - Accent3 6 4 3" xfId="10424" xr:uid="{00000000-0005-0000-0000-000076190000}"/>
    <cellStyle name="20% - Accent3 6 4 3 2" xfId="24958" xr:uid="{00000000-0005-0000-0000-000077190000}"/>
    <cellStyle name="20% - Accent3 6 4 3 2 2" xfId="53964" xr:uid="{00000000-0005-0000-0000-000078190000}"/>
    <cellStyle name="20% - Accent3 6 4 3 3" xfId="39465" xr:uid="{00000000-0005-0000-0000-000079190000}"/>
    <cellStyle name="20% - Accent3 6 4 4" xfId="17710" xr:uid="{00000000-0005-0000-0000-00007A190000}"/>
    <cellStyle name="20% - Accent3 6 4 4 2" xfId="46716" xr:uid="{00000000-0005-0000-0000-00007B190000}"/>
    <cellStyle name="20% - Accent3 6 4 5" xfId="32217" xr:uid="{00000000-0005-0000-0000-00007C190000}"/>
    <cellStyle name="20% - Accent3 6 5" xfId="4184" xr:uid="{00000000-0005-0000-0000-00007D190000}"/>
    <cellStyle name="20% - Accent3 6 5 2" xfId="11456" xr:uid="{00000000-0005-0000-0000-00007E190000}"/>
    <cellStyle name="20% - Accent3 6 5 2 2" xfId="25990" xr:uid="{00000000-0005-0000-0000-00007F190000}"/>
    <cellStyle name="20% - Accent3 6 5 2 2 2" xfId="54996" xr:uid="{00000000-0005-0000-0000-000080190000}"/>
    <cellStyle name="20% - Accent3 6 5 2 3" xfId="40497" xr:uid="{00000000-0005-0000-0000-000081190000}"/>
    <cellStyle name="20% - Accent3 6 5 3" xfId="18742" xr:uid="{00000000-0005-0000-0000-000082190000}"/>
    <cellStyle name="20% - Accent3 6 5 3 2" xfId="47748" xr:uid="{00000000-0005-0000-0000-000083190000}"/>
    <cellStyle name="20% - Accent3 6 5 4" xfId="33249" xr:uid="{00000000-0005-0000-0000-000084190000}"/>
    <cellStyle name="20% - Accent3 6 6" xfId="7288" xr:uid="{00000000-0005-0000-0000-000085190000}"/>
    <cellStyle name="20% - Accent3 6 6 2" xfId="14560" xr:uid="{00000000-0005-0000-0000-000086190000}"/>
    <cellStyle name="20% - Accent3 6 6 2 2" xfId="29094" xr:uid="{00000000-0005-0000-0000-000087190000}"/>
    <cellStyle name="20% - Accent3 6 6 2 2 2" xfId="58100" xr:uid="{00000000-0005-0000-0000-000088190000}"/>
    <cellStyle name="20% - Accent3 6 6 2 3" xfId="43601" xr:uid="{00000000-0005-0000-0000-000089190000}"/>
    <cellStyle name="20% - Accent3 6 6 3" xfId="21846" xr:uid="{00000000-0005-0000-0000-00008A190000}"/>
    <cellStyle name="20% - Accent3 6 6 3 2" xfId="50852" xr:uid="{00000000-0005-0000-0000-00008B190000}"/>
    <cellStyle name="20% - Accent3 6 6 4" xfId="36353" xr:uid="{00000000-0005-0000-0000-00008C190000}"/>
    <cellStyle name="20% - Accent3 6 7" xfId="8352" xr:uid="{00000000-0005-0000-0000-00008D190000}"/>
    <cellStyle name="20% - Accent3 6 7 2" xfId="22886" xr:uid="{00000000-0005-0000-0000-00008E190000}"/>
    <cellStyle name="20% - Accent3 6 7 2 2" xfId="51892" xr:uid="{00000000-0005-0000-0000-00008F190000}"/>
    <cellStyle name="20% - Accent3 6 7 3" xfId="37393" xr:uid="{00000000-0005-0000-0000-000090190000}"/>
    <cellStyle name="20% - Accent3 6 8" xfId="15638" xr:uid="{00000000-0005-0000-0000-000091190000}"/>
    <cellStyle name="20% - Accent3 6 8 2" xfId="44644" xr:uid="{00000000-0005-0000-0000-000092190000}"/>
    <cellStyle name="20% - Accent3 6 9" xfId="30145" xr:uid="{00000000-0005-0000-0000-000093190000}"/>
    <cellStyle name="20% - Accent3 7" xfId="989" xr:uid="{00000000-0005-0000-0000-000094190000}"/>
    <cellStyle name="20% - Accent3 7 2" xfId="1474" xr:uid="{00000000-0005-0000-0000-000095190000}"/>
    <cellStyle name="20% - Accent3 7 2 2" xfId="2532" xr:uid="{00000000-0005-0000-0000-000096190000}"/>
    <cellStyle name="20% - Accent3 7 2 2 2" xfId="5636" xr:uid="{00000000-0005-0000-0000-000097190000}"/>
    <cellStyle name="20% - Accent3 7 2 2 2 2" xfId="12908" xr:uid="{00000000-0005-0000-0000-000098190000}"/>
    <cellStyle name="20% - Accent3 7 2 2 2 2 2" xfId="27442" xr:uid="{00000000-0005-0000-0000-000099190000}"/>
    <cellStyle name="20% - Accent3 7 2 2 2 2 2 2" xfId="56448" xr:uid="{00000000-0005-0000-0000-00009A190000}"/>
    <cellStyle name="20% - Accent3 7 2 2 2 2 3" xfId="41949" xr:uid="{00000000-0005-0000-0000-00009B190000}"/>
    <cellStyle name="20% - Accent3 7 2 2 2 3" xfId="20194" xr:uid="{00000000-0005-0000-0000-00009C190000}"/>
    <cellStyle name="20% - Accent3 7 2 2 2 3 2" xfId="49200" xr:uid="{00000000-0005-0000-0000-00009D190000}"/>
    <cellStyle name="20% - Accent3 7 2 2 2 4" xfId="34701" xr:uid="{00000000-0005-0000-0000-00009E190000}"/>
    <cellStyle name="20% - Accent3 7 2 2 3" xfId="9804" xr:uid="{00000000-0005-0000-0000-00009F190000}"/>
    <cellStyle name="20% - Accent3 7 2 2 3 2" xfId="24338" xr:uid="{00000000-0005-0000-0000-0000A0190000}"/>
    <cellStyle name="20% - Accent3 7 2 2 3 2 2" xfId="53344" xr:uid="{00000000-0005-0000-0000-0000A1190000}"/>
    <cellStyle name="20% - Accent3 7 2 2 3 3" xfId="38845" xr:uid="{00000000-0005-0000-0000-0000A2190000}"/>
    <cellStyle name="20% - Accent3 7 2 2 4" xfId="17090" xr:uid="{00000000-0005-0000-0000-0000A3190000}"/>
    <cellStyle name="20% - Accent3 7 2 2 4 2" xfId="46096" xr:uid="{00000000-0005-0000-0000-0000A4190000}"/>
    <cellStyle name="20% - Accent3 7 2 2 5" xfId="31597" xr:uid="{00000000-0005-0000-0000-0000A5190000}"/>
    <cellStyle name="20% - Accent3 7 2 3" xfId="3564" xr:uid="{00000000-0005-0000-0000-0000A6190000}"/>
    <cellStyle name="20% - Accent3 7 2 3 2" xfId="6668" xr:uid="{00000000-0005-0000-0000-0000A7190000}"/>
    <cellStyle name="20% - Accent3 7 2 3 2 2" xfId="13940" xr:uid="{00000000-0005-0000-0000-0000A8190000}"/>
    <cellStyle name="20% - Accent3 7 2 3 2 2 2" xfId="28474" xr:uid="{00000000-0005-0000-0000-0000A9190000}"/>
    <cellStyle name="20% - Accent3 7 2 3 2 2 2 2" xfId="57480" xr:uid="{00000000-0005-0000-0000-0000AA190000}"/>
    <cellStyle name="20% - Accent3 7 2 3 2 2 3" xfId="42981" xr:uid="{00000000-0005-0000-0000-0000AB190000}"/>
    <cellStyle name="20% - Accent3 7 2 3 2 3" xfId="21226" xr:uid="{00000000-0005-0000-0000-0000AC190000}"/>
    <cellStyle name="20% - Accent3 7 2 3 2 3 2" xfId="50232" xr:uid="{00000000-0005-0000-0000-0000AD190000}"/>
    <cellStyle name="20% - Accent3 7 2 3 2 4" xfId="35733" xr:uid="{00000000-0005-0000-0000-0000AE190000}"/>
    <cellStyle name="20% - Accent3 7 2 3 3" xfId="10836" xr:uid="{00000000-0005-0000-0000-0000AF190000}"/>
    <cellStyle name="20% - Accent3 7 2 3 3 2" xfId="25370" xr:uid="{00000000-0005-0000-0000-0000B0190000}"/>
    <cellStyle name="20% - Accent3 7 2 3 3 2 2" xfId="54376" xr:uid="{00000000-0005-0000-0000-0000B1190000}"/>
    <cellStyle name="20% - Accent3 7 2 3 3 3" xfId="39877" xr:uid="{00000000-0005-0000-0000-0000B2190000}"/>
    <cellStyle name="20% - Accent3 7 2 3 4" xfId="18122" xr:uid="{00000000-0005-0000-0000-0000B3190000}"/>
    <cellStyle name="20% - Accent3 7 2 3 4 2" xfId="47128" xr:uid="{00000000-0005-0000-0000-0000B4190000}"/>
    <cellStyle name="20% - Accent3 7 2 3 5" xfId="32629" xr:uid="{00000000-0005-0000-0000-0000B5190000}"/>
    <cellStyle name="20% - Accent3 7 2 4" xfId="4596" xr:uid="{00000000-0005-0000-0000-0000B6190000}"/>
    <cellStyle name="20% - Accent3 7 2 4 2" xfId="11868" xr:uid="{00000000-0005-0000-0000-0000B7190000}"/>
    <cellStyle name="20% - Accent3 7 2 4 2 2" xfId="26402" xr:uid="{00000000-0005-0000-0000-0000B8190000}"/>
    <cellStyle name="20% - Accent3 7 2 4 2 2 2" xfId="55408" xr:uid="{00000000-0005-0000-0000-0000B9190000}"/>
    <cellStyle name="20% - Accent3 7 2 4 2 3" xfId="40909" xr:uid="{00000000-0005-0000-0000-0000BA190000}"/>
    <cellStyle name="20% - Accent3 7 2 4 3" xfId="19154" xr:uid="{00000000-0005-0000-0000-0000BB190000}"/>
    <cellStyle name="20% - Accent3 7 2 4 3 2" xfId="48160" xr:uid="{00000000-0005-0000-0000-0000BC190000}"/>
    <cellStyle name="20% - Accent3 7 2 4 4" xfId="33661" xr:uid="{00000000-0005-0000-0000-0000BD190000}"/>
    <cellStyle name="20% - Accent3 7 2 5" xfId="7700" xr:uid="{00000000-0005-0000-0000-0000BE190000}"/>
    <cellStyle name="20% - Accent3 7 2 5 2" xfId="14972" xr:uid="{00000000-0005-0000-0000-0000BF190000}"/>
    <cellStyle name="20% - Accent3 7 2 5 2 2" xfId="29506" xr:uid="{00000000-0005-0000-0000-0000C0190000}"/>
    <cellStyle name="20% - Accent3 7 2 5 2 2 2" xfId="58512" xr:uid="{00000000-0005-0000-0000-0000C1190000}"/>
    <cellStyle name="20% - Accent3 7 2 5 2 3" xfId="44013" xr:uid="{00000000-0005-0000-0000-0000C2190000}"/>
    <cellStyle name="20% - Accent3 7 2 5 3" xfId="22258" xr:uid="{00000000-0005-0000-0000-0000C3190000}"/>
    <cellStyle name="20% - Accent3 7 2 5 3 2" xfId="51264" xr:uid="{00000000-0005-0000-0000-0000C4190000}"/>
    <cellStyle name="20% - Accent3 7 2 5 4" xfId="36765" xr:uid="{00000000-0005-0000-0000-0000C5190000}"/>
    <cellStyle name="20% - Accent3 7 2 6" xfId="8764" xr:uid="{00000000-0005-0000-0000-0000C6190000}"/>
    <cellStyle name="20% - Accent3 7 2 6 2" xfId="23298" xr:uid="{00000000-0005-0000-0000-0000C7190000}"/>
    <cellStyle name="20% - Accent3 7 2 6 2 2" xfId="52304" xr:uid="{00000000-0005-0000-0000-0000C8190000}"/>
    <cellStyle name="20% - Accent3 7 2 6 3" xfId="37805" xr:uid="{00000000-0005-0000-0000-0000C9190000}"/>
    <cellStyle name="20% - Accent3 7 2 7" xfId="16050" xr:uid="{00000000-0005-0000-0000-0000CA190000}"/>
    <cellStyle name="20% - Accent3 7 2 7 2" xfId="45056" xr:uid="{00000000-0005-0000-0000-0000CB190000}"/>
    <cellStyle name="20% - Accent3 7 2 8" xfId="30557" xr:uid="{00000000-0005-0000-0000-0000CC190000}"/>
    <cellStyle name="20% - Accent3 7 3" xfId="2020" xr:uid="{00000000-0005-0000-0000-0000CD190000}"/>
    <cellStyle name="20% - Accent3 7 3 2" xfId="5124" xr:uid="{00000000-0005-0000-0000-0000CE190000}"/>
    <cellStyle name="20% - Accent3 7 3 2 2" xfId="12396" xr:uid="{00000000-0005-0000-0000-0000CF190000}"/>
    <cellStyle name="20% - Accent3 7 3 2 2 2" xfId="26930" xr:uid="{00000000-0005-0000-0000-0000D0190000}"/>
    <cellStyle name="20% - Accent3 7 3 2 2 2 2" xfId="55936" xr:uid="{00000000-0005-0000-0000-0000D1190000}"/>
    <cellStyle name="20% - Accent3 7 3 2 2 3" xfId="41437" xr:uid="{00000000-0005-0000-0000-0000D2190000}"/>
    <cellStyle name="20% - Accent3 7 3 2 3" xfId="19682" xr:uid="{00000000-0005-0000-0000-0000D3190000}"/>
    <cellStyle name="20% - Accent3 7 3 2 3 2" xfId="48688" xr:uid="{00000000-0005-0000-0000-0000D4190000}"/>
    <cellStyle name="20% - Accent3 7 3 2 4" xfId="34189" xr:uid="{00000000-0005-0000-0000-0000D5190000}"/>
    <cellStyle name="20% - Accent3 7 3 3" xfId="9292" xr:uid="{00000000-0005-0000-0000-0000D6190000}"/>
    <cellStyle name="20% - Accent3 7 3 3 2" xfId="23826" xr:uid="{00000000-0005-0000-0000-0000D7190000}"/>
    <cellStyle name="20% - Accent3 7 3 3 2 2" xfId="52832" xr:uid="{00000000-0005-0000-0000-0000D8190000}"/>
    <cellStyle name="20% - Accent3 7 3 3 3" xfId="38333" xr:uid="{00000000-0005-0000-0000-0000D9190000}"/>
    <cellStyle name="20% - Accent3 7 3 4" xfId="16578" xr:uid="{00000000-0005-0000-0000-0000DA190000}"/>
    <cellStyle name="20% - Accent3 7 3 4 2" xfId="45584" xr:uid="{00000000-0005-0000-0000-0000DB190000}"/>
    <cellStyle name="20% - Accent3 7 3 5" xfId="31085" xr:uid="{00000000-0005-0000-0000-0000DC190000}"/>
    <cellStyle name="20% - Accent3 7 4" xfId="3052" xr:uid="{00000000-0005-0000-0000-0000DD190000}"/>
    <cellStyle name="20% - Accent3 7 4 2" xfId="6156" xr:uid="{00000000-0005-0000-0000-0000DE190000}"/>
    <cellStyle name="20% - Accent3 7 4 2 2" xfId="13428" xr:uid="{00000000-0005-0000-0000-0000DF190000}"/>
    <cellStyle name="20% - Accent3 7 4 2 2 2" xfId="27962" xr:uid="{00000000-0005-0000-0000-0000E0190000}"/>
    <cellStyle name="20% - Accent3 7 4 2 2 2 2" xfId="56968" xr:uid="{00000000-0005-0000-0000-0000E1190000}"/>
    <cellStyle name="20% - Accent3 7 4 2 2 3" xfId="42469" xr:uid="{00000000-0005-0000-0000-0000E2190000}"/>
    <cellStyle name="20% - Accent3 7 4 2 3" xfId="20714" xr:uid="{00000000-0005-0000-0000-0000E3190000}"/>
    <cellStyle name="20% - Accent3 7 4 2 3 2" xfId="49720" xr:uid="{00000000-0005-0000-0000-0000E4190000}"/>
    <cellStyle name="20% - Accent3 7 4 2 4" xfId="35221" xr:uid="{00000000-0005-0000-0000-0000E5190000}"/>
    <cellStyle name="20% - Accent3 7 4 3" xfId="10324" xr:uid="{00000000-0005-0000-0000-0000E6190000}"/>
    <cellStyle name="20% - Accent3 7 4 3 2" xfId="24858" xr:uid="{00000000-0005-0000-0000-0000E7190000}"/>
    <cellStyle name="20% - Accent3 7 4 3 2 2" xfId="53864" xr:uid="{00000000-0005-0000-0000-0000E8190000}"/>
    <cellStyle name="20% - Accent3 7 4 3 3" xfId="39365" xr:uid="{00000000-0005-0000-0000-0000E9190000}"/>
    <cellStyle name="20% - Accent3 7 4 4" xfId="17610" xr:uid="{00000000-0005-0000-0000-0000EA190000}"/>
    <cellStyle name="20% - Accent3 7 4 4 2" xfId="46616" xr:uid="{00000000-0005-0000-0000-0000EB190000}"/>
    <cellStyle name="20% - Accent3 7 4 5" xfId="32117" xr:uid="{00000000-0005-0000-0000-0000EC190000}"/>
    <cellStyle name="20% - Accent3 7 5" xfId="4084" xr:uid="{00000000-0005-0000-0000-0000ED190000}"/>
    <cellStyle name="20% - Accent3 7 5 2" xfId="11356" xr:uid="{00000000-0005-0000-0000-0000EE190000}"/>
    <cellStyle name="20% - Accent3 7 5 2 2" xfId="25890" xr:uid="{00000000-0005-0000-0000-0000EF190000}"/>
    <cellStyle name="20% - Accent3 7 5 2 2 2" xfId="54896" xr:uid="{00000000-0005-0000-0000-0000F0190000}"/>
    <cellStyle name="20% - Accent3 7 5 2 3" xfId="40397" xr:uid="{00000000-0005-0000-0000-0000F1190000}"/>
    <cellStyle name="20% - Accent3 7 5 3" xfId="18642" xr:uid="{00000000-0005-0000-0000-0000F2190000}"/>
    <cellStyle name="20% - Accent3 7 5 3 2" xfId="47648" xr:uid="{00000000-0005-0000-0000-0000F3190000}"/>
    <cellStyle name="20% - Accent3 7 5 4" xfId="33149" xr:uid="{00000000-0005-0000-0000-0000F4190000}"/>
    <cellStyle name="20% - Accent3 7 6" xfId="7188" xr:uid="{00000000-0005-0000-0000-0000F5190000}"/>
    <cellStyle name="20% - Accent3 7 6 2" xfId="14460" xr:uid="{00000000-0005-0000-0000-0000F6190000}"/>
    <cellStyle name="20% - Accent3 7 6 2 2" xfId="28994" xr:uid="{00000000-0005-0000-0000-0000F7190000}"/>
    <cellStyle name="20% - Accent3 7 6 2 2 2" xfId="58000" xr:uid="{00000000-0005-0000-0000-0000F8190000}"/>
    <cellStyle name="20% - Accent3 7 6 2 3" xfId="43501" xr:uid="{00000000-0005-0000-0000-0000F9190000}"/>
    <cellStyle name="20% - Accent3 7 6 3" xfId="21746" xr:uid="{00000000-0005-0000-0000-0000FA190000}"/>
    <cellStyle name="20% - Accent3 7 6 3 2" xfId="50752" xr:uid="{00000000-0005-0000-0000-0000FB190000}"/>
    <cellStyle name="20% - Accent3 7 6 4" xfId="36253" xr:uid="{00000000-0005-0000-0000-0000FC190000}"/>
    <cellStyle name="20% - Accent3 7 7" xfId="8252" xr:uid="{00000000-0005-0000-0000-0000FD190000}"/>
    <cellStyle name="20% - Accent3 7 7 2" xfId="22786" xr:uid="{00000000-0005-0000-0000-0000FE190000}"/>
    <cellStyle name="20% - Accent3 7 7 2 2" xfId="51792" xr:uid="{00000000-0005-0000-0000-0000FF190000}"/>
    <cellStyle name="20% - Accent3 7 7 3" xfId="37293" xr:uid="{00000000-0005-0000-0000-0000001A0000}"/>
    <cellStyle name="20% - Accent3 7 8" xfId="15538" xr:uid="{00000000-0005-0000-0000-0000011A0000}"/>
    <cellStyle name="20% - Accent3 7 8 2" xfId="44544" xr:uid="{00000000-0005-0000-0000-0000021A0000}"/>
    <cellStyle name="20% - Accent3 7 9" xfId="30045" xr:uid="{00000000-0005-0000-0000-0000031A0000}"/>
    <cellStyle name="20% - Accent3 8" xfId="1271" xr:uid="{00000000-0005-0000-0000-0000041A0000}"/>
    <cellStyle name="20% - Accent3 8 2" xfId="2326" xr:uid="{00000000-0005-0000-0000-0000051A0000}"/>
    <cellStyle name="20% - Accent3 8 2 2" xfId="5430" xr:uid="{00000000-0005-0000-0000-0000061A0000}"/>
    <cellStyle name="20% - Accent3 8 2 2 2" xfId="12702" xr:uid="{00000000-0005-0000-0000-0000071A0000}"/>
    <cellStyle name="20% - Accent3 8 2 2 2 2" xfId="27236" xr:uid="{00000000-0005-0000-0000-0000081A0000}"/>
    <cellStyle name="20% - Accent3 8 2 2 2 2 2" xfId="56242" xr:uid="{00000000-0005-0000-0000-0000091A0000}"/>
    <cellStyle name="20% - Accent3 8 2 2 2 3" xfId="41743" xr:uid="{00000000-0005-0000-0000-00000A1A0000}"/>
    <cellStyle name="20% - Accent3 8 2 2 3" xfId="19988" xr:uid="{00000000-0005-0000-0000-00000B1A0000}"/>
    <cellStyle name="20% - Accent3 8 2 2 3 2" xfId="48994" xr:uid="{00000000-0005-0000-0000-00000C1A0000}"/>
    <cellStyle name="20% - Accent3 8 2 2 4" xfId="34495" xr:uid="{00000000-0005-0000-0000-00000D1A0000}"/>
    <cellStyle name="20% - Accent3 8 2 3" xfId="9598" xr:uid="{00000000-0005-0000-0000-00000E1A0000}"/>
    <cellStyle name="20% - Accent3 8 2 3 2" xfId="24132" xr:uid="{00000000-0005-0000-0000-00000F1A0000}"/>
    <cellStyle name="20% - Accent3 8 2 3 2 2" xfId="53138" xr:uid="{00000000-0005-0000-0000-0000101A0000}"/>
    <cellStyle name="20% - Accent3 8 2 3 3" xfId="38639" xr:uid="{00000000-0005-0000-0000-0000111A0000}"/>
    <cellStyle name="20% - Accent3 8 2 4" xfId="16884" xr:uid="{00000000-0005-0000-0000-0000121A0000}"/>
    <cellStyle name="20% - Accent3 8 2 4 2" xfId="45890" xr:uid="{00000000-0005-0000-0000-0000131A0000}"/>
    <cellStyle name="20% - Accent3 8 2 5" xfId="31391" xr:uid="{00000000-0005-0000-0000-0000141A0000}"/>
    <cellStyle name="20% - Accent3 8 3" xfId="3358" xr:uid="{00000000-0005-0000-0000-0000151A0000}"/>
    <cellStyle name="20% - Accent3 8 3 2" xfId="6462" xr:uid="{00000000-0005-0000-0000-0000161A0000}"/>
    <cellStyle name="20% - Accent3 8 3 2 2" xfId="13734" xr:uid="{00000000-0005-0000-0000-0000171A0000}"/>
    <cellStyle name="20% - Accent3 8 3 2 2 2" xfId="28268" xr:uid="{00000000-0005-0000-0000-0000181A0000}"/>
    <cellStyle name="20% - Accent3 8 3 2 2 2 2" xfId="57274" xr:uid="{00000000-0005-0000-0000-0000191A0000}"/>
    <cellStyle name="20% - Accent3 8 3 2 2 3" xfId="42775" xr:uid="{00000000-0005-0000-0000-00001A1A0000}"/>
    <cellStyle name="20% - Accent3 8 3 2 3" xfId="21020" xr:uid="{00000000-0005-0000-0000-00001B1A0000}"/>
    <cellStyle name="20% - Accent3 8 3 2 3 2" xfId="50026" xr:uid="{00000000-0005-0000-0000-00001C1A0000}"/>
    <cellStyle name="20% - Accent3 8 3 2 4" xfId="35527" xr:uid="{00000000-0005-0000-0000-00001D1A0000}"/>
    <cellStyle name="20% - Accent3 8 3 3" xfId="10630" xr:uid="{00000000-0005-0000-0000-00001E1A0000}"/>
    <cellStyle name="20% - Accent3 8 3 3 2" xfId="25164" xr:uid="{00000000-0005-0000-0000-00001F1A0000}"/>
    <cellStyle name="20% - Accent3 8 3 3 2 2" xfId="54170" xr:uid="{00000000-0005-0000-0000-0000201A0000}"/>
    <cellStyle name="20% - Accent3 8 3 3 3" xfId="39671" xr:uid="{00000000-0005-0000-0000-0000211A0000}"/>
    <cellStyle name="20% - Accent3 8 3 4" xfId="17916" xr:uid="{00000000-0005-0000-0000-0000221A0000}"/>
    <cellStyle name="20% - Accent3 8 3 4 2" xfId="46922" xr:uid="{00000000-0005-0000-0000-0000231A0000}"/>
    <cellStyle name="20% - Accent3 8 3 5" xfId="32423" xr:uid="{00000000-0005-0000-0000-0000241A0000}"/>
    <cellStyle name="20% - Accent3 8 4" xfId="4390" xr:uid="{00000000-0005-0000-0000-0000251A0000}"/>
    <cellStyle name="20% - Accent3 8 4 2" xfId="11662" xr:uid="{00000000-0005-0000-0000-0000261A0000}"/>
    <cellStyle name="20% - Accent3 8 4 2 2" xfId="26196" xr:uid="{00000000-0005-0000-0000-0000271A0000}"/>
    <cellStyle name="20% - Accent3 8 4 2 2 2" xfId="55202" xr:uid="{00000000-0005-0000-0000-0000281A0000}"/>
    <cellStyle name="20% - Accent3 8 4 2 3" xfId="40703" xr:uid="{00000000-0005-0000-0000-0000291A0000}"/>
    <cellStyle name="20% - Accent3 8 4 3" xfId="18948" xr:uid="{00000000-0005-0000-0000-00002A1A0000}"/>
    <cellStyle name="20% - Accent3 8 4 3 2" xfId="47954" xr:uid="{00000000-0005-0000-0000-00002B1A0000}"/>
    <cellStyle name="20% - Accent3 8 4 4" xfId="33455" xr:uid="{00000000-0005-0000-0000-00002C1A0000}"/>
    <cellStyle name="20% - Accent3 8 5" xfId="7494" xr:uid="{00000000-0005-0000-0000-00002D1A0000}"/>
    <cellStyle name="20% - Accent3 8 5 2" xfId="14766" xr:uid="{00000000-0005-0000-0000-00002E1A0000}"/>
    <cellStyle name="20% - Accent3 8 5 2 2" xfId="29300" xr:uid="{00000000-0005-0000-0000-00002F1A0000}"/>
    <cellStyle name="20% - Accent3 8 5 2 2 2" xfId="58306" xr:uid="{00000000-0005-0000-0000-0000301A0000}"/>
    <cellStyle name="20% - Accent3 8 5 2 3" xfId="43807" xr:uid="{00000000-0005-0000-0000-0000311A0000}"/>
    <cellStyle name="20% - Accent3 8 5 3" xfId="22052" xr:uid="{00000000-0005-0000-0000-0000321A0000}"/>
    <cellStyle name="20% - Accent3 8 5 3 2" xfId="51058" xr:uid="{00000000-0005-0000-0000-0000331A0000}"/>
    <cellStyle name="20% - Accent3 8 5 4" xfId="36559" xr:uid="{00000000-0005-0000-0000-0000341A0000}"/>
    <cellStyle name="20% - Accent3 8 6" xfId="8558" xr:uid="{00000000-0005-0000-0000-0000351A0000}"/>
    <cellStyle name="20% - Accent3 8 6 2" xfId="23092" xr:uid="{00000000-0005-0000-0000-0000361A0000}"/>
    <cellStyle name="20% - Accent3 8 6 2 2" xfId="52098" xr:uid="{00000000-0005-0000-0000-0000371A0000}"/>
    <cellStyle name="20% - Accent3 8 6 3" xfId="37599" xr:uid="{00000000-0005-0000-0000-0000381A0000}"/>
    <cellStyle name="20% - Accent3 8 7" xfId="15844" xr:uid="{00000000-0005-0000-0000-0000391A0000}"/>
    <cellStyle name="20% - Accent3 8 7 2" xfId="44850" xr:uid="{00000000-0005-0000-0000-00003A1A0000}"/>
    <cellStyle name="20% - Accent3 8 8" xfId="30351" xr:uid="{00000000-0005-0000-0000-00003B1A0000}"/>
    <cellStyle name="20% - Accent3 9" xfId="1814" xr:uid="{00000000-0005-0000-0000-00003C1A0000}"/>
    <cellStyle name="20% - Accent3 9 2" xfId="4918" xr:uid="{00000000-0005-0000-0000-00003D1A0000}"/>
    <cellStyle name="20% - Accent3 9 2 2" xfId="12190" xr:uid="{00000000-0005-0000-0000-00003E1A0000}"/>
    <cellStyle name="20% - Accent3 9 2 2 2" xfId="26724" xr:uid="{00000000-0005-0000-0000-00003F1A0000}"/>
    <cellStyle name="20% - Accent3 9 2 2 2 2" xfId="55730" xr:uid="{00000000-0005-0000-0000-0000401A0000}"/>
    <cellStyle name="20% - Accent3 9 2 2 3" xfId="41231" xr:uid="{00000000-0005-0000-0000-0000411A0000}"/>
    <cellStyle name="20% - Accent3 9 2 3" xfId="19476" xr:uid="{00000000-0005-0000-0000-0000421A0000}"/>
    <cellStyle name="20% - Accent3 9 2 3 2" xfId="48482" xr:uid="{00000000-0005-0000-0000-0000431A0000}"/>
    <cellStyle name="20% - Accent3 9 2 4" xfId="33983" xr:uid="{00000000-0005-0000-0000-0000441A0000}"/>
    <cellStyle name="20% - Accent3 9 3" xfId="9086" xr:uid="{00000000-0005-0000-0000-0000451A0000}"/>
    <cellStyle name="20% - Accent3 9 3 2" xfId="23620" xr:uid="{00000000-0005-0000-0000-0000461A0000}"/>
    <cellStyle name="20% - Accent3 9 3 2 2" xfId="52626" xr:uid="{00000000-0005-0000-0000-0000471A0000}"/>
    <cellStyle name="20% - Accent3 9 3 3" xfId="38127" xr:uid="{00000000-0005-0000-0000-0000481A0000}"/>
    <cellStyle name="20% - Accent3 9 4" xfId="16372" xr:uid="{00000000-0005-0000-0000-0000491A0000}"/>
    <cellStyle name="20% - Accent3 9 4 2" xfId="45378" xr:uid="{00000000-0005-0000-0000-00004A1A0000}"/>
    <cellStyle name="20% - Accent3 9 5" xfId="30879" xr:uid="{00000000-0005-0000-0000-00004B1A0000}"/>
    <cellStyle name="20% - Accent4" xfId="74" builtinId="42" customBuiltin="1"/>
    <cellStyle name="20% - Accent4 10" xfId="2848" xr:uid="{00000000-0005-0000-0000-00004D1A0000}"/>
    <cellStyle name="20% - Accent4 10 2" xfId="5952" xr:uid="{00000000-0005-0000-0000-00004E1A0000}"/>
    <cellStyle name="20% - Accent4 10 2 2" xfId="13224" xr:uid="{00000000-0005-0000-0000-00004F1A0000}"/>
    <cellStyle name="20% - Accent4 10 2 2 2" xfId="27758" xr:uid="{00000000-0005-0000-0000-0000501A0000}"/>
    <cellStyle name="20% - Accent4 10 2 2 2 2" xfId="56764" xr:uid="{00000000-0005-0000-0000-0000511A0000}"/>
    <cellStyle name="20% - Accent4 10 2 2 3" xfId="42265" xr:uid="{00000000-0005-0000-0000-0000521A0000}"/>
    <cellStyle name="20% - Accent4 10 2 3" xfId="20510" xr:uid="{00000000-0005-0000-0000-0000531A0000}"/>
    <cellStyle name="20% - Accent4 10 2 3 2" xfId="49516" xr:uid="{00000000-0005-0000-0000-0000541A0000}"/>
    <cellStyle name="20% - Accent4 10 2 4" xfId="35017" xr:uid="{00000000-0005-0000-0000-0000551A0000}"/>
    <cellStyle name="20% - Accent4 10 3" xfId="10120" xr:uid="{00000000-0005-0000-0000-0000561A0000}"/>
    <cellStyle name="20% - Accent4 10 3 2" xfId="24654" xr:uid="{00000000-0005-0000-0000-0000571A0000}"/>
    <cellStyle name="20% - Accent4 10 3 2 2" xfId="53660" xr:uid="{00000000-0005-0000-0000-0000581A0000}"/>
    <cellStyle name="20% - Accent4 10 3 3" xfId="39161" xr:uid="{00000000-0005-0000-0000-0000591A0000}"/>
    <cellStyle name="20% - Accent4 10 4" xfId="17406" xr:uid="{00000000-0005-0000-0000-00005A1A0000}"/>
    <cellStyle name="20% - Accent4 10 4 2" xfId="46412" xr:uid="{00000000-0005-0000-0000-00005B1A0000}"/>
    <cellStyle name="20% - Accent4 10 5" xfId="31913" xr:uid="{00000000-0005-0000-0000-00005C1A0000}"/>
    <cellStyle name="20% - Accent4 11" xfId="3880" xr:uid="{00000000-0005-0000-0000-00005D1A0000}"/>
    <cellStyle name="20% - Accent4 11 2" xfId="11152" xr:uid="{00000000-0005-0000-0000-00005E1A0000}"/>
    <cellStyle name="20% - Accent4 11 2 2" xfId="25686" xr:uid="{00000000-0005-0000-0000-00005F1A0000}"/>
    <cellStyle name="20% - Accent4 11 2 2 2" xfId="54692" xr:uid="{00000000-0005-0000-0000-0000601A0000}"/>
    <cellStyle name="20% - Accent4 11 2 3" xfId="40193" xr:uid="{00000000-0005-0000-0000-0000611A0000}"/>
    <cellStyle name="20% - Accent4 11 3" xfId="18438" xr:uid="{00000000-0005-0000-0000-0000621A0000}"/>
    <cellStyle name="20% - Accent4 11 3 2" xfId="47444" xr:uid="{00000000-0005-0000-0000-0000631A0000}"/>
    <cellStyle name="20% - Accent4 11 4" xfId="32945" xr:uid="{00000000-0005-0000-0000-0000641A0000}"/>
    <cellStyle name="20% - Accent4 12" xfId="6984" xr:uid="{00000000-0005-0000-0000-0000651A0000}"/>
    <cellStyle name="20% - Accent4 12 2" xfId="14256" xr:uid="{00000000-0005-0000-0000-0000661A0000}"/>
    <cellStyle name="20% - Accent4 12 2 2" xfId="28790" xr:uid="{00000000-0005-0000-0000-0000671A0000}"/>
    <cellStyle name="20% - Accent4 12 2 2 2" xfId="57796" xr:uid="{00000000-0005-0000-0000-0000681A0000}"/>
    <cellStyle name="20% - Accent4 12 2 3" xfId="43297" xr:uid="{00000000-0005-0000-0000-0000691A0000}"/>
    <cellStyle name="20% - Accent4 12 3" xfId="21542" xr:uid="{00000000-0005-0000-0000-00006A1A0000}"/>
    <cellStyle name="20% - Accent4 12 3 2" xfId="50548" xr:uid="{00000000-0005-0000-0000-00006B1A0000}"/>
    <cellStyle name="20% - Accent4 12 4" xfId="36049" xr:uid="{00000000-0005-0000-0000-00006C1A0000}"/>
    <cellStyle name="20% - Accent4 13" xfId="8048" xr:uid="{00000000-0005-0000-0000-00006D1A0000}"/>
    <cellStyle name="20% - Accent4 13 2" xfId="22582" xr:uid="{00000000-0005-0000-0000-00006E1A0000}"/>
    <cellStyle name="20% - Accent4 13 2 2" xfId="51588" xr:uid="{00000000-0005-0000-0000-00006F1A0000}"/>
    <cellStyle name="20% - Accent4 13 3" xfId="37089" xr:uid="{00000000-0005-0000-0000-0000701A0000}"/>
    <cellStyle name="20% - Accent4 14" xfId="15328" xr:uid="{00000000-0005-0000-0000-0000711A0000}"/>
    <cellStyle name="20% - Accent4 14 2" xfId="44334" xr:uid="{00000000-0005-0000-0000-0000721A0000}"/>
    <cellStyle name="20% - Accent4 15" xfId="29834" xr:uid="{00000000-0005-0000-0000-0000731A0000}"/>
    <cellStyle name="20% - Accent4 16" xfId="265" xr:uid="{00000000-0005-0000-0000-0000741A0000}"/>
    <cellStyle name="20% - Accent4 17" xfId="58833" xr:uid="{00000000-0005-0000-0000-0000751A0000}"/>
    <cellStyle name="20% - Accent4 2" xfId="398" xr:uid="{00000000-0005-0000-0000-0000761A0000}"/>
    <cellStyle name="20% - Accent4 2 2" xfId="383" xr:uid="{00000000-0005-0000-0000-0000771A0000}"/>
    <cellStyle name="20% - Accent4 3" xfId="846" xr:uid="{00000000-0005-0000-0000-0000781A0000}"/>
    <cellStyle name="20% - Accent4 3 10" xfId="7008" xr:uid="{00000000-0005-0000-0000-0000791A0000}"/>
    <cellStyle name="20% - Accent4 3 10 2" xfId="14280" xr:uid="{00000000-0005-0000-0000-00007A1A0000}"/>
    <cellStyle name="20% - Accent4 3 10 2 2" xfId="28814" xr:uid="{00000000-0005-0000-0000-00007B1A0000}"/>
    <cellStyle name="20% - Accent4 3 10 2 2 2" xfId="57820" xr:uid="{00000000-0005-0000-0000-00007C1A0000}"/>
    <cellStyle name="20% - Accent4 3 10 2 3" xfId="43321" xr:uid="{00000000-0005-0000-0000-00007D1A0000}"/>
    <cellStyle name="20% - Accent4 3 10 3" xfId="21566" xr:uid="{00000000-0005-0000-0000-00007E1A0000}"/>
    <cellStyle name="20% - Accent4 3 10 3 2" xfId="50572" xr:uid="{00000000-0005-0000-0000-00007F1A0000}"/>
    <cellStyle name="20% - Accent4 3 10 4" xfId="36073" xr:uid="{00000000-0005-0000-0000-0000801A0000}"/>
    <cellStyle name="20% - Accent4 3 11" xfId="8072" xr:uid="{00000000-0005-0000-0000-0000811A0000}"/>
    <cellStyle name="20% - Accent4 3 11 2" xfId="22606" xr:uid="{00000000-0005-0000-0000-0000821A0000}"/>
    <cellStyle name="20% - Accent4 3 11 2 2" xfId="51612" xr:uid="{00000000-0005-0000-0000-0000831A0000}"/>
    <cellStyle name="20% - Accent4 3 11 3" xfId="37113" xr:uid="{00000000-0005-0000-0000-0000841A0000}"/>
    <cellStyle name="20% - Accent4 3 12" xfId="15358" xr:uid="{00000000-0005-0000-0000-0000851A0000}"/>
    <cellStyle name="20% - Accent4 3 12 2" xfId="44364" xr:uid="{00000000-0005-0000-0000-0000861A0000}"/>
    <cellStyle name="20% - Accent4 3 13" xfId="29865" xr:uid="{00000000-0005-0000-0000-0000871A0000}"/>
    <cellStyle name="20% - Accent4 3 2" xfId="889" xr:uid="{00000000-0005-0000-0000-0000881A0000}"/>
    <cellStyle name="20% - Accent4 3 2 10" xfId="8124" xr:uid="{00000000-0005-0000-0000-0000891A0000}"/>
    <cellStyle name="20% - Accent4 3 2 10 2" xfId="22658" xr:uid="{00000000-0005-0000-0000-00008A1A0000}"/>
    <cellStyle name="20% - Accent4 3 2 10 2 2" xfId="51664" xr:uid="{00000000-0005-0000-0000-00008B1A0000}"/>
    <cellStyle name="20% - Accent4 3 2 10 3" xfId="37165" xr:uid="{00000000-0005-0000-0000-00008C1A0000}"/>
    <cellStyle name="20% - Accent4 3 2 11" xfId="15410" xr:uid="{00000000-0005-0000-0000-00008D1A0000}"/>
    <cellStyle name="20% - Accent4 3 2 11 2" xfId="44416" xr:uid="{00000000-0005-0000-0000-00008E1A0000}"/>
    <cellStyle name="20% - Accent4 3 2 12" xfId="29917" xr:uid="{00000000-0005-0000-0000-00008F1A0000}"/>
    <cellStyle name="20% - Accent4 3 2 2" xfId="969" xr:uid="{00000000-0005-0000-0000-0000901A0000}"/>
    <cellStyle name="20% - Accent4 3 2 2 10" xfId="30020" xr:uid="{00000000-0005-0000-0000-0000911A0000}"/>
    <cellStyle name="20% - Accent4 3 2 2 2" xfId="1248" xr:uid="{00000000-0005-0000-0000-0000921A0000}"/>
    <cellStyle name="20% - Accent4 3 2 2 2 2" xfId="1754" xr:uid="{00000000-0005-0000-0000-0000931A0000}"/>
    <cellStyle name="20% - Accent4 3 2 2 2 2 2" xfId="2813" xr:uid="{00000000-0005-0000-0000-0000941A0000}"/>
    <cellStyle name="20% - Accent4 3 2 2 2 2 2 2" xfId="5917" xr:uid="{00000000-0005-0000-0000-0000951A0000}"/>
    <cellStyle name="20% - Accent4 3 2 2 2 2 2 2 2" xfId="13189" xr:uid="{00000000-0005-0000-0000-0000961A0000}"/>
    <cellStyle name="20% - Accent4 3 2 2 2 2 2 2 2 2" xfId="27723" xr:uid="{00000000-0005-0000-0000-0000971A0000}"/>
    <cellStyle name="20% - Accent4 3 2 2 2 2 2 2 2 2 2" xfId="56729" xr:uid="{00000000-0005-0000-0000-0000981A0000}"/>
    <cellStyle name="20% - Accent4 3 2 2 2 2 2 2 2 3" xfId="42230" xr:uid="{00000000-0005-0000-0000-0000991A0000}"/>
    <cellStyle name="20% - Accent4 3 2 2 2 2 2 2 3" xfId="20475" xr:uid="{00000000-0005-0000-0000-00009A1A0000}"/>
    <cellStyle name="20% - Accent4 3 2 2 2 2 2 2 3 2" xfId="49481" xr:uid="{00000000-0005-0000-0000-00009B1A0000}"/>
    <cellStyle name="20% - Accent4 3 2 2 2 2 2 2 4" xfId="34982" xr:uid="{00000000-0005-0000-0000-00009C1A0000}"/>
    <cellStyle name="20% - Accent4 3 2 2 2 2 2 3" xfId="10085" xr:uid="{00000000-0005-0000-0000-00009D1A0000}"/>
    <cellStyle name="20% - Accent4 3 2 2 2 2 2 3 2" xfId="24619" xr:uid="{00000000-0005-0000-0000-00009E1A0000}"/>
    <cellStyle name="20% - Accent4 3 2 2 2 2 2 3 2 2" xfId="53625" xr:uid="{00000000-0005-0000-0000-00009F1A0000}"/>
    <cellStyle name="20% - Accent4 3 2 2 2 2 2 3 3" xfId="39126" xr:uid="{00000000-0005-0000-0000-0000A01A0000}"/>
    <cellStyle name="20% - Accent4 3 2 2 2 2 2 4" xfId="17371" xr:uid="{00000000-0005-0000-0000-0000A11A0000}"/>
    <cellStyle name="20% - Accent4 3 2 2 2 2 2 4 2" xfId="46377" xr:uid="{00000000-0005-0000-0000-0000A21A0000}"/>
    <cellStyle name="20% - Accent4 3 2 2 2 2 2 5" xfId="31878" xr:uid="{00000000-0005-0000-0000-0000A31A0000}"/>
    <cellStyle name="20% - Accent4 3 2 2 2 2 3" xfId="3845" xr:uid="{00000000-0005-0000-0000-0000A41A0000}"/>
    <cellStyle name="20% - Accent4 3 2 2 2 2 3 2" xfId="6949" xr:uid="{00000000-0005-0000-0000-0000A51A0000}"/>
    <cellStyle name="20% - Accent4 3 2 2 2 2 3 2 2" xfId="14221" xr:uid="{00000000-0005-0000-0000-0000A61A0000}"/>
    <cellStyle name="20% - Accent4 3 2 2 2 2 3 2 2 2" xfId="28755" xr:uid="{00000000-0005-0000-0000-0000A71A0000}"/>
    <cellStyle name="20% - Accent4 3 2 2 2 2 3 2 2 2 2" xfId="57761" xr:uid="{00000000-0005-0000-0000-0000A81A0000}"/>
    <cellStyle name="20% - Accent4 3 2 2 2 2 3 2 2 3" xfId="43262" xr:uid="{00000000-0005-0000-0000-0000A91A0000}"/>
    <cellStyle name="20% - Accent4 3 2 2 2 2 3 2 3" xfId="21507" xr:uid="{00000000-0005-0000-0000-0000AA1A0000}"/>
    <cellStyle name="20% - Accent4 3 2 2 2 2 3 2 3 2" xfId="50513" xr:uid="{00000000-0005-0000-0000-0000AB1A0000}"/>
    <cellStyle name="20% - Accent4 3 2 2 2 2 3 2 4" xfId="36014" xr:uid="{00000000-0005-0000-0000-0000AC1A0000}"/>
    <cellStyle name="20% - Accent4 3 2 2 2 2 3 3" xfId="11117" xr:uid="{00000000-0005-0000-0000-0000AD1A0000}"/>
    <cellStyle name="20% - Accent4 3 2 2 2 2 3 3 2" xfId="25651" xr:uid="{00000000-0005-0000-0000-0000AE1A0000}"/>
    <cellStyle name="20% - Accent4 3 2 2 2 2 3 3 2 2" xfId="54657" xr:uid="{00000000-0005-0000-0000-0000AF1A0000}"/>
    <cellStyle name="20% - Accent4 3 2 2 2 2 3 3 3" xfId="40158" xr:uid="{00000000-0005-0000-0000-0000B01A0000}"/>
    <cellStyle name="20% - Accent4 3 2 2 2 2 3 4" xfId="18403" xr:uid="{00000000-0005-0000-0000-0000B11A0000}"/>
    <cellStyle name="20% - Accent4 3 2 2 2 2 3 4 2" xfId="47409" xr:uid="{00000000-0005-0000-0000-0000B21A0000}"/>
    <cellStyle name="20% - Accent4 3 2 2 2 2 3 5" xfId="32910" xr:uid="{00000000-0005-0000-0000-0000B31A0000}"/>
    <cellStyle name="20% - Accent4 3 2 2 2 2 4" xfId="4877" xr:uid="{00000000-0005-0000-0000-0000B41A0000}"/>
    <cellStyle name="20% - Accent4 3 2 2 2 2 4 2" xfId="12149" xr:uid="{00000000-0005-0000-0000-0000B51A0000}"/>
    <cellStyle name="20% - Accent4 3 2 2 2 2 4 2 2" xfId="26683" xr:uid="{00000000-0005-0000-0000-0000B61A0000}"/>
    <cellStyle name="20% - Accent4 3 2 2 2 2 4 2 2 2" xfId="55689" xr:uid="{00000000-0005-0000-0000-0000B71A0000}"/>
    <cellStyle name="20% - Accent4 3 2 2 2 2 4 2 3" xfId="41190" xr:uid="{00000000-0005-0000-0000-0000B81A0000}"/>
    <cellStyle name="20% - Accent4 3 2 2 2 2 4 3" xfId="19435" xr:uid="{00000000-0005-0000-0000-0000B91A0000}"/>
    <cellStyle name="20% - Accent4 3 2 2 2 2 4 3 2" xfId="48441" xr:uid="{00000000-0005-0000-0000-0000BA1A0000}"/>
    <cellStyle name="20% - Accent4 3 2 2 2 2 4 4" xfId="33942" xr:uid="{00000000-0005-0000-0000-0000BB1A0000}"/>
    <cellStyle name="20% - Accent4 3 2 2 2 2 5" xfId="7981" xr:uid="{00000000-0005-0000-0000-0000BC1A0000}"/>
    <cellStyle name="20% - Accent4 3 2 2 2 2 5 2" xfId="15253" xr:uid="{00000000-0005-0000-0000-0000BD1A0000}"/>
    <cellStyle name="20% - Accent4 3 2 2 2 2 5 2 2" xfId="29787" xr:uid="{00000000-0005-0000-0000-0000BE1A0000}"/>
    <cellStyle name="20% - Accent4 3 2 2 2 2 5 2 2 2" xfId="58793" xr:uid="{00000000-0005-0000-0000-0000BF1A0000}"/>
    <cellStyle name="20% - Accent4 3 2 2 2 2 5 2 3" xfId="44294" xr:uid="{00000000-0005-0000-0000-0000C01A0000}"/>
    <cellStyle name="20% - Accent4 3 2 2 2 2 5 3" xfId="22539" xr:uid="{00000000-0005-0000-0000-0000C11A0000}"/>
    <cellStyle name="20% - Accent4 3 2 2 2 2 5 3 2" xfId="51545" xr:uid="{00000000-0005-0000-0000-0000C21A0000}"/>
    <cellStyle name="20% - Accent4 3 2 2 2 2 5 4" xfId="37046" xr:uid="{00000000-0005-0000-0000-0000C31A0000}"/>
    <cellStyle name="20% - Accent4 3 2 2 2 2 6" xfId="9045" xr:uid="{00000000-0005-0000-0000-0000C41A0000}"/>
    <cellStyle name="20% - Accent4 3 2 2 2 2 6 2" xfId="23579" xr:uid="{00000000-0005-0000-0000-0000C51A0000}"/>
    <cellStyle name="20% - Accent4 3 2 2 2 2 6 2 2" xfId="52585" xr:uid="{00000000-0005-0000-0000-0000C61A0000}"/>
    <cellStyle name="20% - Accent4 3 2 2 2 2 6 3" xfId="38086" xr:uid="{00000000-0005-0000-0000-0000C71A0000}"/>
    <cellStyle name="20% - Accent4 3 2 2 2 2 7" xfId="16331" xr:uid="{00000000-0005-0000-0000-0000C81A0000}"/>
    <cellStyle name="20% - Accent4 3 2 2 2 2 7 2" xfId="45337" xr:uid="{00000000-0005-0000-0000-0000C91A0000}"/>
    <cellStyle name="20% - Accent4 3 2 2 2 2 8" xfId="30838" xr:uid="{00000000-0005-0000-0000-0000CA1A0000}"/>
    <cellStyle name="20% - Accent4 3 2 2 2 3" xfId="2301" xr:uid="{00000000-0005-0000-0000-0000CB1A0000}"/>
    <cellStyle name="20% - Accent4 3 2 2 2 3 2" xfId="5405" xr:uid="{00000000-0005-0000-0000-0000CC1A0000}"/>
    <cellStyle name="20% - Accent4 3 2 2 2 3 2 2" xfId="12677" xr:uid="{00000000-0005-0000-0000-0000CD1A0000}"/>
    <cellStyle name="20% - Accent4 3 2 2 2 3 2 2 2" xfId="27211" xr:uid="{00000000-0005-0000-0000-0000CE1A0000}"/>
    <cellStyle name="20% - Accent4 3 2 2 2 3 2 2 2 2" xfId="56217" xr:uid="{00000000-0005-0000-0000-0000CF1A0000}"/>
    <cellStyle name="20% - Accent4 3 2 2 2 3 2 2 3" xfId="41718" xr:uid="{00000000-0005-0000-0000-0000D01A0000}"/>
    <cellStyle name="20% - Accent4 3 2 2 2 3 2 3" xfId="19963" xr:uid="{00000000-0005-0000-0000-0000D11A0000}"/>
    <cellStyle name="20% - Accent4 3 2 2 2 3 2 3 2" xfId="48969" xr:uid="{00000000-0005-0000-0000-0000D21A0000}"/>
    <cellStyle name="20% - Accent4 3 2 2 2 3 2 4" xfId="34470" xr:uid="{00000000-0005-0000-0000-0000D31A0000}"/>
    <cellStyle name="20% - Accent4 3 2 2 2 3 3" xfId="9573" xr:uid="{00000000-0005-0000-0000-0000D41A0000}"/>
    <cellStyle name="20% - Accent4 3 2 2 2 3 3 2" xfId="24107" xr:uid="{00000000-0005-0000-0000-0000D51A0000}"/>
    <cellStyle name="20% - Accent4 3 2 2 2 3 3 2 2" xfId="53113" xr:uid="{00000000-0005-0000-0000-0000D61A0000}"/>
    <cellStyle name="20% - Accent4 3 2 2 2 3 3 3" xfId="38614" xr:uid="{00000000-0005-0000-0000-0000D71A0000}"/>
    <cellStyle name="20% - Accent4 3 2 2 2 3 4" xfId="16859" xr:uid="{00000000-0005-0000-0000-0000D81A0000}"/>
    <cellStyle name="20% - Accent4 3 2 2 2 3 4 2" xfId="45865" xr:uid="{00000000-0005-0000-0000-0000D91A0000}"/>
    <cellStyle name="20% - Accent4 3 2 2 2 3 5" xfId="31366" xr:uid="{00000000-0005-0000-0000-0000DA1A0000}"/>
    <cellStyle name="20% - Accent4 3 2 2 2 4" xfId="3333" xr:uid="{00000000-0005-0000-0000-0000DB1A0000}"/>
    <cellStyle name="20% - Accent4 3 2 2 2 4 2" xfId="6437" xr:uid="{00000000-0005-0000-0000-0000DC1A0000}"/>
    <cellStyle name="20% - Accent4 3 2 2 2 4 2 2" xfId="13709" xr:uid="{00000000-0005-0000-0000-0000DD1A0000}"/>
    <cellStyle name="20% - Accent4 3 2 2 2 4 2 2 2" xfId="28243" xr:uid="{00000000-0005-0000-0000-0000DE1A0000}"/>
    <cellStyle name="20% - Accent4 3 2 2 2 4 2 2 2 2" xfId="57249" xr:uid="{00000000-0005-0000-0000-0000DF1A0000}"/>
    <cellStyle name="20% - Accent4 3 2 2 2 4 2 2 3" xfId="42750" xr:uid="{00000000-0005-0000-0000-0000E01A0000}"/>
    <cellStyle name="20% - Accent4 3 2 2 2 4 2 3" xfId="20995" xr:uid="{00000000-0005-0000-0000-0000E11A0000}"/>
    <cellStyle name="20% - Accent4 3 2 2 2 4 2 3 2" xfId="50001" xr:uid="{00000000-0005-0000-0000-0000E21A0000}"/>
    <cellStyle name="20% - Accent4 3 2 2 2 4 2 4" xfId="35502" xr:uid="{00000000-0005-0000-0000-0000E31A0000}"/>
    <cellStyle name="20% - Accent4 3 2 2 2 4 3" xfId="10605" xr:uid="{00000000-0005-0000-0000-0000E41A0000}"/>
    <cellStyle name="20% - Accent4 3 2 2 2 4 3 2" xfId="25139" xr:uid="{00000000-0005-0000-0000-0000E51A0000}"/>
    <cellStyle name="20% - Accent4 3 2 2 2 4 3 2 2" xfId="54145" xr:uid="{00000000-0005-0000-0000-0000E61A0000}"/>
    <cellStyle name="20% - Accent4 3 2 2 2 4 3 3" xfId="39646" xr:uid="{00000000-0005-0000-0000-0000E71A0000}"/>
    <cellStyle name="20% - Accent4 3 2 2 2 4 4" xfId="17891" xr:uid="{00000000-0005-0000-0000-0000E81A0000}"/>
    <cellStyle name="20% - Accent4 3 2 2 2 4 4 2" xfId="46897" xr:uid="{00000000-0005-0000-0000-0000E91A0000}"/>
    <cellStyle name="20% - Accent4 3 2 2 2 4 5" xfId="32398" xr:uid="{00000000-0005-0000-0000-0000EA1A0000}"/>
    <cellStyle name="20% - Accent4 3 2 2 2 5" xfId="4365" xr:uid="{00000000-0005-0000-0000-0000EB1A0000}"/>
    <cellStyle name="20% - Accent4 3 2 2 2 5 2" xfId="11637" xr:uid="{00000000-0005-0000-0000-0000EC1A0000}"/>
    <cellStyle name="20% - Accent4 3 2 2 2 5 2 2" xfId="26171" xr:uid="{00000000-0005-0000-0000-0000ED1A0000}"/>
    <cellStyle name="20% - Accent4 3 2 2 2 5 2 2 2" xfId="55177" xr:uid="{00000000-0005-0000-0000-0000EE1A0000}"/>
    <cellStyle name="20% - Accent4 3 2 2 2 5 2 3" xfId="40678" xr:uid="{00000000-0005-0000-0000-0000EF1A0000}"/>
    <cellStyle name="20% - Accent4 3 2 2 2 5 3" xfId="18923" xr:uid="{00000000-0005-0000-0000-0000F01A0000}"/>
    <cellStyle name="20% - Accent4 3 2 2 2 5 3 2" xfId="47929" xr:uid="{00000000-0005-0000-0000-0000F11A0000}"/>
    <cellStyle name="20% - Accent4 3 2 2 2 5 4" xfId="33430" xr:uid="{00000000-0005-0000-0000-0000F21A0000}"/>
    <cellStyle name="20% - Accent4 3 2 2 2 6" xfId="7469" xr:uid="{00000000-0005-0000-0000-0000F31A0000}"/>
    <cellStyle name="20% - Accent4 3 2 2 2 6 2" xfId="14741" xr:uid="{00000000-0005-0000-0000-0000F41A0000}"/>
    <cellStyle name="20% - Accent4 3 2 2 2 6 2 2" xfId="29275" xr:uid="{00000000-0005-0000-0000-0000F51A0000}"/>
    <cellStyle name="20% - Accent4 3 2 2 2 6 2 2 2" xfId="58281" xr:uid="{00000000-0005-0000-0000-0000F61A0000}"/>
    <cellStyle name="20% - Accent4 3 2 2 2 6 2 3" xfId="43782" xr:uid="{00000000-0005-0000-0000-0000F71A0000}"/>
    <cellStyle name="20% - Accent4 3 2 2 2 6 3" xfId="22027" xr:uid="{00000000-0005-0000-0000-0000F81A0000}"/>
    <cellStyle name="20% - Accent4 3 2 2 2 6 3 2" xfId="51033" xr:uid="{00000000-0005-0000-0000-0000F91A0000}"/>
    <cellStyle name="20% - Accent4 3 2 2 2 6 4" xfId="36534" xr:uid="{00000000-0005-0000-0000-0000FA1A0000}"/>
    <cellStyle name="20% - Accent4 3 2 2 2 7" xfId="8533" xr:uid="{00000000-0005-0000-0000-0000FB1A0000}"/>
    <cellStyle name="20% - Accent4 3 2 2 2 7 2" xfId="23067" xr:uid="{00000000-0005-0000-0000-0000FC1A0000}"/>
    <cellStyle name="20% - Accent4 3 2 2 2 7 2 2" xfId="52073" xr:uid="{00000000-0005-0000-0000-0000FD1A0000}"/>
    <cellStyle name="20% - Accent4 3 2 2 2 7 3" xfId="37574" xr:uid="{00000000-0005-0000-0000-0000FE1A0000}"/>
    <cellStyle name="20% - Accent4 3 2 2 2 8" xfId="15819" xr:uid="{00000000-0005-0000-0000-0000FF1A0000}"/>
    <cellStyle name="20% - Accent4 3 2 2 2 8 2" xfId="44825" xr:uid="{00000000-0005-0000-0000-0000001B0000}"/>
    <cellStyle name="20% - Accent4 3 2 2 2 9" xfId="30326" xr:uid="{00000000-0005-0000-0000-0000011B0000}"/>
    <cellStyle name="20% - Accent4 3 2 2 3" xfId="1449" xr:uid="{00000000-0005-0000-0000-0000021B0000}"/>
    <cellStyle name="20% - Accent4 3 2 2 3 2" xfId="2507" xr:uid="{00000000-0005-0000-0000-0000031B0000}"/>
    <cellStyle name="20% - Accent4 3 2 2 3 2 2" xfId="5611" xr:uid="{00000000-0005-0000-0000-0000041B0000}"/>
    <cellStyle name="20% - Accent4 3 2 2 3 2 2 2" xfId="12883" xr:uid="{00000000-0005-0000-0000-0000051B0000}"/>
    <cellStyle name="20% - Accent4 3 2 2 3 2 2 2 2" xfId="27417" xr:uid="{00000000-0005-0000-0000-0000061B0000}"/>
    <cellStyle name="20% - Accent4 3 2 2 3 2 2 2 2 2" xfId="56423" xr:uid="{00000000-0005-0000-0000-0000071B0000}"/>
    <cellStyle name="20% - Accent4 3 2 2 3 2 2 2 3" xfId="41924" xr:uid="{00000000-0005-0000-0000-0000081B0000}"/>
    <cellStyle name="20% - Accent4 3 2 2 3 2 2 3" xfId="20169" xr:uid="{00000000-0005-0000-0000-0000091B0000}"/>
    <cellStyle name="20% - Accent4 3 2 2 3 2 2 3 2" xfId="49175" xr:uid="{00000000-0005-0000-0000-00000A1B0000}"/>
    <cellStyle name="20% - Accent4 3 2 2 3 2 2 4" xfId="34676" xr:uid="{00000000-0005-0000-0000-00000B1B0000}"/>
    <cellStyle name="20% - Accent4 3 2 2 3 2 3" xfId="9779" xr:uid="{00000000-0005-0000-0000-00000C1B0000}"/>
    <cellStyle name="20% - Accent4 3 2 2 3 2 3 2" xfId="24313" xr:uid="{00000000-0005-0000-0000-00000D1B0000}"/>
    <cellStyle name="20% - Accent4 3 2 2 3 2 3 2 2" xfId="53319" xr:uid="{00000000-0005-0000-0000-00000E1B0000}"/>
    <cellStyle name="20% - Accent4 3 2 2 3 2 3 3" xfId="38820" xr:uid="{00000000-0005-0000-0000-00000F1B0000}"/>
    <cellStyle name="20% - Accent4 3 2 2 3 2 4" xfId="17065" xr:uid="{00000000-0005-0000-0000-0000101B0000}"/>
    <cellStyle name="20% - Accent4 3 2 2 3 2 4 2" xfId="46071" xr:uid="{00000000-0005-0000-0000-0000111B0000}"/>
    <cellStyle name="20% - Accent4 3 2 2 3 2 5" xfId="31572" xr:uid="{00000000-0005-0000-0000-0000121B0000}"/>
    <cellStyle name="20% - Accent4 3 2 2 3 3" xfId="3539" xr:uid="{00000000-0005-0000-0000-0000131B0000}"/>
    <cellStyle name="20% - Accent4 3 2 2 3 3 2" xfId="6643" xr:uid="{00000000-0005-0000-0000-0000141B0000}"/>
    <cellStyle name="20% - Accent4 3 2 2 3 3 2 2" xfId="13915" xr:uid="{00000000-0005-0000-0000-0000151B0000}"/>
    <cellStyle name="20% - Accent4 3 2 2 3 3 2 2 2" xfId="28449" xr:uid="{00000000-0005-0000-0000-0000161B0000}"/>
    <cellStyle name="20% - Accent4 3 2 2 3 3 2 2 2 2" xfId="57455" xr:uid="{00000000-0005-0000-0000-0000171B0000}"/>
    <cellStyle name="20% - Accent4 3 2 2 3 3 2 2 3" xfId="42956" xr:uid="{00000000-0005-0000-0000-0000181B0000}"/>
    <cellStyle name="20% - Accent4 3 2 2 3 3 2 3" xfId="21201" xr:uid="{00000000-0005-0000-0000-0000191B0000}"/>
    <cellStyle name="20% - Accent4 3 2 2 3 3 2 3 2" xfId="50207" xr:uid="{00000000-0005-0000-0000-00001A1B0000}"/>
    <cellStyle name="20% - Accent4 3 2 2 3 3 2 4" xfId="35708" xr:uid="{00000000-0005-0000-0000-00001B1B0000}"/>
    <cellStyle name="20% - Accent4 3 2 2 3 3 3" xfId="10811" xr:uid="{00000000-0005-0000-0000-00001C1B0000}"/>
    <cellStyle name="20% - Accent4 3 2 2 3 3 3 2" xfId="25345" xr:uid="{00000000-0005-0000-0000-00001D1B0000}"/>
    <cellStyle name="20% - Accent4 3 2 2 3 3 3 2 2" xfId="54351" xr:uid="{00000000-0005-0000-0000-00001E1B0000}"/>
    <cellStyle name="20% - Accent4 3 2 2 3 3 3 3" xfId="39852" xr:uid="{00000000-0005-0000-0000-00001F1B0000}"/>
    <cellStyle name="20% - Accent4 3 2 2 3 3 4" xfId="18097" xr:uid="{00000000-0005-0000-0000-0000201B0000}"/>
    <cellStyle name="20% - Accent4 3 2 2 3 3 4 2" xfId="47103" xr:uid="{00000000-0005-0000-0000-0000211B0000}"/>
    <cellStyle name="20% - Accent4 3 2 2 3 3 5" xfId="32604" xr:uid="{00000000-0005-0000-0000-0000221B0000}"/>
    <cellStyle name="20% - Accent4 3 2 2 3 4" xfId="4571" xr:uid="{00000000-0005-0000-0000-0000231B0000}"/>
    <cellStyle name="20% - Accent4 3 2 2 3 4 2" xfId="11843" xr:uid="{00000000-0005-0000-0000-0000241B0000}"/>
    <cellStyle name="20% - Accent4 3 2 2 3 4 2 2" xfId="26377" xr:uid="{00000000-0005-0000-0000-0000251B0000}"/>
    <cellStyle name="20% - Accent4 3 2 2 3 4 2 2 2" xfId="55383" xr:uid="{00000000-0005-0000-0000-0000261B0000}"/>
    <cellStyle name="20% - Accent4 3 2 2 3 4 2 3" xfId="40884" xr:uid="{00000000-0005-0000-0000-0000271B0000}"/>
    <cellStyle name="20% - Accent4 3 2 2 3 4 3" xfId="19129" xr:uid="{00000000-0005-0000-0000-0000281B0000}"/>
    <cellStyle name="20% - Accent4 3 2 2 3 4 3 2" xfId="48135" xr:uid="{00000000-0005-0000-0000-0000291B0000}"/>
    <cellStyle name="20% - Accent4 3 2 2 3 4 4" xfId="33636" xr:uid="{00000000-0005-0000-0000-00002A1B0000}"/>
    <cellStyle name="20% - Accent4 3 2 2 3 5" xfId="7675" xr:uid="{00000000-0005-0000-0000-00002B1B0000}"/>
    <cellStyle name="20% - Accent4 3 2 2 3 5 2" xfId="14947" xr:uid="{00000000-0005-0000-0000-00002C1B0000}"/>
    <cellStyle name="20% - Accent4 3 2 2 3 5 2 2" xfId="29481" xr:uid="{00000000-0005-0000-0000-00002D1B0000}"/>
    <cellStyle name="20% - Accent4 3 2 2 3 5 2 2 2" xfId="58487" xr:uid="{00000000-0005-0000-0000-00002E1B0000}"/>
    <cellStyle name="20% - Accent4 3 2 2 3 5 2 3" xfId="43988" xr:uid="{00000000-0005-0000-0000-00002F1B0000}"/>
    <cellStyle name="20% - Accent4 3 2 2 3 5 3" xfId="22233" xr:uid="{00000000-0005-0000-0000-0000301B0000}"/>
    <cellStyle name="20% - Accent4 3 2 2 3 5 3 2" xfId="51239" xr:uid="{00000000-0005-0000-0000-0000311B0000}"/>
    <cellStyle name="20% - Accent4 3 2 2 3 5 4" xfId="36740" xr:uid="{00000000-0005-0000-0000-0000321B0000}"/>
    <cellStyle name="20% - Accent4 3 2 2 3 6" xfId="8739" xr:uid="{00000000-0005-0000-0000-0000331B0000}"/>
    <cellStyle name="20% - Accent4 3 2 2 3 6 2" xfId="23273" xr:uid="{00000000-0005-0000-0000-0000341B0000}"/>
    <cellStyle name="20% - Accent4 3 2 2 3 6 2 2" xfId="52279" xr:uid="{00000000-0005-0000-0000-0000351B0000}"/>
    <cellStyle name="20% - Accent4 3 2 2 3 6 3" xfId="37780" xr:uid="{00000000-0005-0000-0000-0000361B0000}"/>
    <cellStyle name="20% - Accent4 3 2 2 3 7" xfId="16025" xr:uid="{00000000-0005-0000-0000-0000371B0000}"/>
    <cellStyle name="20% - Accent4 3 2 2 3 7 2" xfId="45031" xr:uid="{00000000-0005-0000-0000-0000381B0000}"/>
    <cellStyle name="20% - Accent4 3 2 2 3 8" xfId="30532" xr:uid="{00000000-0005-0000-0000-0000391B0000}"/>
    <cellStyle name="20% - Accent4 3 2 2 4" xfId="1995" xr:uid="{00000000-0005-0000-0000-00003A1B0000}"/>
    <cellStyle name="20% - Accent4 3 2 2 4 2" xfId="5099" xr:uid="{00000000-0005-0000-0000-00003B1B0000}"/>
    <cellStyle name="20% - Accent4 3 2 2 4 2 2" xfId="12371" xr:uid="{00000000-0005-0000-0000-00003C1B0000}"/>
    <cellStyle name="20% - Accent4 3 2 2 4 2 2 2" xfId="26905" xr:uid="{00000000-0005-0000-0000-00003D1B0000}"/>
    <cellStyle name="20% - Accent4 3 2 2 4 2 2 2 2" xfId="55911" xr:uid="{00000000-0005-0000-0000-00003E1B0000}"/>
    <cellStyle name="20% - Accent4 3 2 2 4 2 2 3" xfId="41412" xr:uid="{00000000-0005-0000-0000-00003F1B0000}"/>
    <cellStyle name="20% - Accent4 3 2 2 4 2 3" xfId="19657" xr:uid="{00000000-0005-0000-0000-0000401B0000}"/>
    <cellStyle name="20% - Accent4 3 2 2 4 2 3 2" xfId="48663" xr:uid="{00000000-0005-0000-0000-0000411B0000}"/>
    <cellStyle name="20% - Accent4 3 2 2 4 2 4" xfId="34164" xr:uid="{00000000-0005-0000-0000-0000421B0000}"/>
    <cellStyle name="20% - Accent4 3 2 2 4 3" xfId="9267" xr:uid="{00000000-0005-0000-0000-0000431B0000}"/>
    <cellStyle name="20% - Accent4 3 2 2 4 3 2" xfId="23801" xr:uid="{00000000-0005-0000-0000-0000441B0000}"/>
    <cellStyle name="20% - Accent4 3 2 2 4 3 2 2" xfId="52807" xr:uid="{00000000-0005-0000-0000-0000451B0000}"/>
    <cellStyle name="20% - Accent4 3 2 2 4 3 3" xfId="38308" xr:uid="{00000000-0005-0000-0000-0000461B0000}"/>
    <cellStyle name="20% - Accent4 3 2 2 4 4" xfId="16553" xr:uid="{00000000-0005-0000-0000-0000471B0000}"/>
    <cellStyle name="20% - Accent4 3 2 2 4 4 2" xfId="45559" xr:uid="{00000000-0005-0000-0000-0000481B0000}"/>
    <cellStyle name="20% - Accent4 3 2 2 4 5" xfId="31060" xr:uid="{00000000-0005-0000-0000-0000491B0000}"/>
    <cellStyle name="20% - Accent4 3 2 2 5" xfId="3027" xr:uid="{00000000-0005-0000-0000-00004A1B0000}"/>
    <cellStyle name="20% - Accent4 3 2 2 5 2" xfId="6131" xr:uid="{00000000-0005-0000-0000-00004B1B0000}"/>
    <cellStyle name="20% - Accent4 3 2 2 5 2 2" xfId="13403" xr:uid="{00000000-0005-0000-0000-00004C1B0000}"/>
    <cellStyle name="20% - Accent4 3 2 2 5 2 2 2" xfId="27937" xr:uid="{00000000-0005-0000-0000-00004D1B0000}"/>
    <cellStyle name="20% - Accent4 3 2 2 5 2 2 2 2" xfId="56943" xr:uid="{00000000-0005-0000-0000-00004E1B0000}"/>
    <cellStyle name="20% - Accent4 3 2 2 5 2 2 3" xfId="42444" xr:uid="{00000000-0005-0000-0000-00004F1B0000}"/>
    <cellStyle name="20% - Accent4 3 2 2 5 2 3" xfId="20689" xr:uid="{00000000-0005-0000-0000-0000501B0000}"/>
    <cellStyle name="20% - Accent4 3 2 2 5 2 3 2" xfId="49695" xr:uid="{00000000-0005-0000-0000-0000511B0000}"/>
    <cellStyle name="20% - Accent4 3 2 2 5 2 4" xfId="35196" xr:uid="{00000000-0005-0000-0000-0000521B0000}"/>
    <cellStyle name="20% - Accent4 3 2 2 5 3" xfId="10299" xr:uid="{00000000-0005-0000-0000-0000531B0000}"/>
    <cellStyle name="20% - Accent4 3 2 2 5 3 2" xfId="24833" xr:uid="{00000000-0005-0000-0000-0000541B0000}"/>
    <cellStyle name="20% - Accent4 3 2 2 5 3 2 2" xfId="53839" xr:uid="{00000000-0005-0000-0000-0000551B0000}"/>
    <cellStyle name="20% - Accent4 3 2 2 5 3 3" xfId="39340" xr:uid="{00000000-0005-0000-0000-0000561B0000}"/>
    <cellStyle name="20% - Accent4 3 2 2 5 4" xfId="17585" xr:uid="{00000000-0005-0000-0000-0000571B0000}"/>
    <cellStyle name="20% - Accent4 3 2 2 5 4 2" xfId="46591" xr:uid="{00000000-0005-0000-0000-0000581B0000}"/>
    <cellStyle name="20% - Accent4 3 2 2 5 5" xfId="32092" xr:uid="{00000000-0005-0000-0000-0000591B0000}"/>
    <cellStyle name="20% - Accent4 3 2 2 6" xfId="4059" xr:uid="{00000000-0005-0000-0000-00005A1B0000}"/>
    <cellStyle name="20% - Accent4 3 2 2 6 2" xfId="11331" xr:uid="{00000000-0005-0000-0000-00005B1B0000}"/>
    <cellStyle name="20% - Accent4 3 2 2 6 2 2" xfId="25865" xr:uid="{00000000-0005-0000-0000-00005C1B0000}"/>
    <cellStyle name="20% - Accent4 3 2 2 6 2 2 2" xfId="54871" xr:uid="{00000000-0005-0000-0000-00005D1B0000}"/>
    <cellStyle name="20% - Accent4 3 2 2 6 2 3" xfId="40372" xr:uid="{00000000-0005-0000-0000-00005E1B0000}"/>
    <cellStyle name="20% - Accent4 3 2 2 6 3" xfId="18617" xr:uid="{00000000-0005-0000-0000-00005F1B0000}"/>
    <cellStyle name="20% - Accent4 3 2 2 6 3 2" xfId="47623" xr:uid="{00000000-0005-0000-0000-0000601B0000}"/>
    <cellStyle name="20% - Accent4 3 2 2 6 4" xfId="33124" xr:uid="{00000000-0005-0000-0000-0000611B0000}"/>
    <cellStyle name="20% - Accent4 3 2 2 7" xfId="7163" xr:uid="{00000000-0005-0000-0000-0000621B0000}"/>
    <cellStyle name="20% - Accent4 3 2 2 7 2" xfId="14435" xr:uid="{00000000-0005-0000-0000-0000631B0000}"/>
    <cellStyle name="20% - Accent4 3 2 2 7 2 2" xfId="28969" xr:uid="{00000000-0005-0000-0000-0000641B0000}"/>
    <cellStyle name="20% - Accent4 3 2 2 7 2 2 2" xfId="57975" xr:uid="{00000000-0005-0000-0000-0000651B0000}"/>
    <cellStyle name="20% - Accent4 3 2 2 7 2 3" xfId="43476" xr:uid="{00000000-0005-0000-0000-0000661B0000}"/>
    <cellStyle name="20% - Accent4 3 2 2 7 3" xfId="21721" xr:uid="{00000000-0005-0000-0000-0000671B0000}"/>
    <cellStyle name="20% - Accent4 3 2 2 7 3 2" xfId="50727" xr:uid="{00000000-0005-0000-0000-0000681B0000}"/>
    <cellStyle name="20% - Accent4 3 2 2 7 4" xfId="36228" xr:uid="{00000000-0005-0000-0000-0000691B0000}"/>
    <cellStyle name="20% - Accent4 3 2 2 8" xfId="8227" xr:uid="{00000000-0005-0000-0000-00006A1B0000}"/>
    <cellStyle name="20% - Accent4 3 2 2 8 2" xfId="22761" xr:uid="{00000000-0005-0000-0000-00006B1B0000}"/>
    <cellStyle name="20% - Accent4 3 2 2 8 2 2" xfId="51767" xr:uid="{00000000-0005-0000-0000-00006C1B0000}"/>
    <cellStyle name="20% - Accent4 3 2 2 8 3" xfId="37268" xr:uid="{00000000-0005-0000-0000-00006D1B0000}"/>
    <cellStyle name="20% - Accent4 3 2 2 9" xfId="15513" xr:uid="{00000000-0005-0000-0000-00006E1B0000}"/>
    <cellStyle name="20% - Accent4 3 2 2 9 2" xfId="44519" xr:uid="{00000000-0005-0000-0000-00006F1B0000}"/>
    <cellStyle name="20% - Accent4 3 2 3" xfId="1152" xr:uid="{00000000-0005-0000-0000-0000701B0000}"/>
    <cellStyle name="20% - Accent4 3 2 3 2" xfId="1651" xr:uid="{00000000-0005-0000-0000-0000711B0000}"/>
    <cellStyle name="20% - Accent4 3 2 3 2 2" xfId="2710" xr:uid="{00000000-0005-0000-0000-0000721B0000}"/>
    <cellStyle name="20% - Accent4 3 2 3 2 2 2" xfId="5814" xr:uid="{00000000-0005-0000-0000-0000731B0000}"/>
    <cellStyle name="20% - Accent4 3 2 3 2 2 2 2" xfId="13086" xr:uid="{00000000-0005-0000-0000-0000741B0000}"/>
    <cellStyle name="20% - Accent4 3 2 3 2 2 2 2 2" xfId="27620" xr:uid="{00000000-0005-0000-0000-0000751B0000}"/>
    <cellStyle name="20% - Accent4 3 2 3 2 2 2 2 2 2" xfId="56626" xr:uid="{00000000-0005-0000-0000-0000761B0000}"/>
    <cellStyle name="20% - Accent4 3 2 3 2 2 2 2 3" xfId="42127" xr:uid="{00000000-0005-0000-0000-0000771B0000}"/>
    <cellStyle name="20% - Accent4 3 2 3 2 2 2 3" xfId="20372" xr:uid="{00000000-0005-0000-0000-0000781B0000}"/>
    <cellStyle name="20% - Accent4 3 2 3 2 2 2 3 2" xfId="49378" xr:uid="{00000000-0005-0000-0000-0000791B0000}"/>
    <cellStyle name="20% - Accent4 3 2 3 2 2 2 4" xfId="34879" xr:uid="{00000000-0005-0000-0000-00007A1B0000}"/>
    <cellStyle name="20% - Accent4 3 2 3 2 2 3" xfId="9982" xr:uid="{00000000-0005-0000-0000-00007B1B0000}"/>
    <cellStyle name="20% - Accent4 3 2 3 2 2 3 2" xfId="24516" xr:uid="{00000000-0005-0000-0000-00007C1B0000}"/>
    <cellStyle name="20% - Accent4 3 2 3 2 2 3 2 2" xfId="53522" xr:uid="{00000000-0005-0000-0000-00007D1B0000}"/>
    <cellStyle name="20% - Accent4 3 2 3 2 2 3 3" xfId="39023" xr:uid="{00000000-0005-0000-0000-00007E1B0000}"/>
    <cellStyle name="20% - Accent4 3 2 3 2 2 4" xfId="17268" xr:uid="{00000000-0005-0000-0000-00007F1B0000}"/>
    <cellStyle name="20% - Accent4 3 2 3 2 2 4 2" xfId="46274" xr:uid="{00000000-0005-0000-0000-0000801B0000}"/>
    <cellStyle name="20% - Accent4 3 2 3 2 2 5" xfId="31775" xr:uid="{00000000-0005-0000-0000-0000811B0000}"/>
    <cellStyle name="20% - Accent4 3 2 3 2 3" xfId="3742" xr:uid="{00000000-0005-0000-0000-0000821B0000}"/>
    <cellStyle name="20% - Accent4 3 2 3 2 3 2" xfId="6846" xr:uid="{00000000-0005-0000-0000-0000831B0000}"/>
    <cellStyle name="20% - Accent4 3 2 3 2 3 2 2" xfId="14118" xr:uid="{00000000-0005-0000-0000-0000841B0000}"/>
    <cellStyle name="20% - Accent4 3 2 3 2 3 2 2 2" xfId="28652" xr:uid="{00000000-0005-0000-0000-0000851B0000}"/>
    <cellStyle name="20% - Accent4 3 2 3 2 3 2 2 2 2" xfId="57658" xr:uid="{00000000-0005-0000-0000-0000861B0000}"/>
    <cellStyle name="20% - Accent4 3 2 3 2 3 2 2 3" xfId="43159" xr:uid="{00000000-0005-0000-0000-0000871B0000}"/>
    <cellStyle name="20% - Accent4 3 2 3 2 3 2 3" xfId="21404" xr:uid="{00000000-0005-0000-0000-0000881B0000}"/>
    <cellStyle name="20% - Accent4 3 2 3 2 3 2 3 2" xfId="50410" xr:uid="{00000000-0005-0000-0000-0000891B0000}"/>
    <cellStyle name="20% - Accent4 3 2 3 2 3 2 4" xfId="35911" xr:uid="{00000000-0005-0000-0000-00008A1B0000}"/>
    <cellStyle name="20% - Accent4 3 2 3 2 3 3" xfId="11014" xr:uid="{00000000-0005-0000-0000-00008B1B0000}"/>
    <cellStyle name="20% - Accent4 3 2 3 2 3 3 2" xfId="25548" xr:uid="{00000000-0005-0000-0000-00008C1B0000}"/>
    <cellStyle name="20% - Accent4 3 2 3 2 3 3 2 2" xfId="54554" xr:uid="{00000000-0005-0000-0000-00008D1B0000}"/>
    <cellStyle name="20% - Accent4 3 2 3 2 3 3 3" xfId="40055" xr:uid="{00000000-0005-0000-0000-00008E1B0000}"/>
    <cellStyle name="20% - Accent4 3 2 3 2 3 4" xfId="18300" xr:uid="{00000000-0005-0000-0000-00008F1B0000}"/>
    <cellStyle name="20% - Accent4 3 2 3 2 3 4 2" xfId="47306" xr:uid="{00000000-0005-0000-0000-0000901B0000}"/>
    <cellStyle name="20% - Accent4 3 2 3 2 3 5" xfId="32807" xr:uid="{00000000-0005-0000-0000-0000911B0000}"/>
    <cellStyle name="20% - Accent4 3 2 3 2 4" xfId="4774" xr:uid="{00000000-0005-0000-0000-0000921B0000}"/>
    <cellStyle name="20% - Accent4 3 2 3 2 4 2" xfId="12046" xr:uid="{00000000-0005-0000-0000-0000931B0000}"/>
    <cellStyle name="20% - Accent4 3 2 3 2 4 2 2" xfId="26580" xr:uid="{00000000-0005-0000-0000-0000941B0000}"/>
    <cellStyle name="20% - Accent4 3 2 3 2 4 2 2 2" xfId="55586" xr:uid="{00000000-0005-0000-0000-0000951B0000}"/>
    <cellStyle name="20% - Accent4 3 2 3 2 4 2 3" xfId="41087" xr:uid="{00000000-0005-0000-0000-0000961B0000}"/>
    <cellStyle name="20% - Accent4 3 2 3 2 4 3" xfId="19332" xr:uid="{00000000-0005-0000-0000-0000971B0000}"/>
    <cellStyle name="20% - Accent4 3 2 3 2 4 3 2" xfId="48338" xr:uid="{00000000-0005-0000-0000-0000981B0000}"/>
    <cellStyle name="20% - Accent4 3 2 3 2 4 4" xfId="33839" xr:uid="{00000000-0005-0000-0000-0000991B0000}"/>
    <cellStyle name="20% - Accent4 3 2 3 2 5" xfId="7878" xr:uid="{00000000-0005-0000-0000-00009A1B0000}"/>
    <cellStyle name="20% - Accent4 3 2 3 2 5 2" xfId="15150" xr:uid="{00000000-0005-0000-0000-00009B1B0000}"/>
    <cellStyle name="20% - Accent4 3 2 3 2 5 2 2" xfId="29684" xr:uid="{00000000-0005-0000-0000-00009C1B0000}"/>
    <cellStyle name="20% - Accent4 3 2 3 2 5 2 2 2" xfId="58690" xr:uid="{00000000-0005-0000-0000-00009D1B0000}"/>
    <cellStyle name="20% - Accent4 3 2 3 2 5 2 3" xfId="44191" xr:uid="{00000000-0005-0000-0000-00009E1B0000}"/>
    <cellStyle name="20% - Accent4 3 2 3 2 5 3" xfId="22436" xr:uid="{00000000-0005-0000-0000-00009F1B0000}"/>
    <cellStyle name="20% - Accent4 3 2 3 2 5 3 2" xfId="51442" xr:uid="{00000000-0005-0000-0000-0000A01B0000}"/>
    <cellStyle name="20% - Accent4 3 2 3 2 5 4" xfId="36943" xr:uid="{00000000-0005-0000-0000-0000A11B0000}"/>
    <cellStyle name="20% - Accent4 3 2 3 2 6" xfId="8942" xr:uid="{00000000-0005-0000-0000-0000A21B0000}"/>
    <cellStyle name="20% - Accent4 3 2 3 2 6 2" xfId="23476" xr:uid="{00000000-0005-0000-0000-0000A31B0000}"/>
    <cellStyle name="20% - Accent4 3 2 3 2 6 2 2" xfId="52482" xr:uid="{00000000-0005-0000-0000-0000A41B0000}"/>
    <cellStyle name="20% - Accent4 3 2 3 2 6 3" xfId="37983" xr:uid="{00000000-0005-0000-0000-0000A51B0000}"/>
    <cellStyle name="20% - Accent4 3 2 3 2 7" xfId="16228" xr:uid="{00000000-0005-0000-0000-0000A61B0000}"/>
    <cellStyle name="20% - Accent4 3 2 3 2 7 2" xfId="45234" xr:uid="{00000000-0005-0000-0000-0000A71B0000}"/>
    <cellStyle name="20% - Accent4 3 2 3 2 8" xfId="30735" xr:uid="{00000000-0005-0000-0000-0000A81B0000}"/>
    <cellStyle name="20% - Accent4 3 2 3 3" xfId="2198" xr:uid="{00000000-0005-0000-0000-0000A91B0000}"/>
    <cellStyle name="20% - Accent4 3 2 3 3 2" xfId="5302" xr:uid="{00000000-0005-0000-0000-0000AA1B0000}"/>
    <cellStyle name="20% - Accent4 3 2 3 3 2 2" xfId="12574" xr:uid="{00000000-0005-0000-0000-0000AB1B0000}"/>
    <cellStyle name="20% - Accent4 3 2 3 3 2 2 2" xfId="27108" xr:uid="{00000000-0005-0000-0000-0000AC1B0000}"/>
    <cellStyle name="20% - Accent4 3 2 3 3 2 2 2 2" xfId="56114" xr:uid="{00000000-0005-0000-0000-0000AD1B0000}"/>
    <cellStyle name="20% - Accent4 3 2 3 3 2 2 3" xfId="41615" xr:uid="{00000000-0005-0000-0000-0000AE1B0000}"/>
    <cellStyle name="20% - Accent4 3 2 3 3 2 3" xfId="19860" xr:uid="{00000000-0005-0000-0000-0000AF1B0000}"/>
    <cellStyle name="20% - Accent4 3 2 3 3 2 3 2" xfId="48866" xr:uid="{00000000-0005-0000-0000-0000B01B0000}"/>
    <cellStyle name="20% - Accent4 3 2 3 3 2 4" xfId="34367" xr:uid="{00000000-0005-0000-0000-0000B11B0000}"/>
    <cellStyle name="20% - Accent4 3 2 3 3 3" xfId="9470" xr:uid="{00000000-0005-0000-0000-0000B21B0000}"/>
    <cellStyle name="20% - Accent4 3 2 3 3 3 2" xfId="24004" xr:uid="{00000000-0005-0000-0000-0000B31B0000}"/>
    <cellStyle name="20% - Accent4 3 2 3 3 3 2 2" xfId="53010" xr:uid="{00000000-0005-0000-0000-0000B41B0000}"/>
    <cellStyle name="20% - Accent4 3 2 3 3 3 3" xfId="38511" xr:uid="{00000000-0005-0000-0000-0000B51B0000}"/>
    <cellStyle name="20% - Accent4 3 2 3 3 4" xfId="16756" xr:uid="{00000000-0005-0000-0000-0000B61B0000}"/>
    <cellStyle name="20% - Accent4 3 2 3 3 4 2" xfId="45762" xr:uid="{00000000-0005-0000-0000-0000B71B0000}"/>
    <cellStyle name="20% - Accent4 3 2 3 3 5" xfId="31263" xr:uid="{00000000-0005-0000-0000-0000B81B0000}"/>
    <cellStyle name="20% - Accent4 3 2 3 4" xfId="3230" xr:uid="{00000000-0005-0000-0000-0000B91B0000}"/>
    <cellStyle name="20% - Accent4 3 2 3 4 2" xfId="6334" xr:uid="{00000000-0005-0000-0000-0000BA1B0000}"/>
    <cellStyle name="20% - Accent4 3 2 3 4 2 2" xfId="13606" xr:uid="{00000000-0005-0000-0000-0000BB1B0000}"/>
    <cellStyle name="20% - Accent4 3 2 3 4 2 2 2" xfId="28140" xr:uid="{00000000-0005-0000-0000-0000BC1B0000}"/>
    <cellStyle name="20% - Accent4 3 2 3 4 2 2 2 2" xfId="57146" xr:uid="{00000000-0005-0000-0000-0000BD1B0000}"/>
    <cellStyle name="20% - Accent4 3 2 3 4 2 2 3" xfId="42647" xr:uid="{00000000-0005-0000-0000-0000BE1B0000}"/>
    <cellStyle name="20% - Accent4 3 2 3 4 2 3" xfId="20892" xr:uid="{00000000-0005-0000-0000-0000BF1B0000}"/>
    <cellStyle name="20% - Accent4 3 2 3 4 2 3 2" xfId="49898" xr:uid="{00000000-0005-0000-0000-0000C01B0000}"/>
    <cellStyle name="20% - Accent4 3 2 3 4 2 4" xfId="35399" xr:uid="{00000000-0005-0000-0000-0000C11B0000}"/>
    <cellStyle name="20% - Accent4 3 2 3 4 3" xfId="10502" xr:uid="{00000000-0005-0000-0000-0000C21B0000}"/>
    <cellStyle name="20% - Accent4 3 2 3 4 3 2" xfId="25036" xr:uid="{00000000-0005-0000-0000-0000C31B0000}"/>
    <cellStyle name="20% - Accent4 3 2 3 4 3 2 2" xfId="54042" xr:uid="{00000000-0005-0000-0000-0000C41B0000}"/>
    <cellStyle name="20% - Accent4 3 2 3 4 3 3" xfId="39543" xr:uid="{00000000-0005-0000-0000-0000C51B0000}"/>
    <cellStyle name="20% - Accent4 3 2 3 4 4" xfId="17788" xr:uid="{00000000-0005-0000-0000-0000C61B0000}"/>
    <cellStyle name="20% - Accent4 3 2 3 4 4 2" xfId="46794" xr:uid="{00000000-0005-0000-0000-0000C71B0000}"/>
    <cellStyle name="20% - Accent4 3 2 3 4 5" xfId="32295" xr:uid="{00000000-0005-0000-0000-0000C81B0000}"/>
    <cellStyle name="20% - Accent4 3 2 3 5" xfId="4262" xr:uid="{00000000-0005-0000-0000-0000C91B0000}"/>
    <cellStyle name="20% - Accent4 3 2 3 5 2" xfId="11534" xr:uid="{00000000-0005-0000-0000-0000CA1B0000}"/>
    <cellStyle name="20% - Accent4 3 2 3 5 2 2" xfId="26068" xr:uid="{00000000-0005-0000-0000-0000CB1B0000}"/>
    <cellStyle name="20% - Accent4 3 2 3 5 2 2 2" xfId="55074" xr:uid="{00000000-0005-0000-0000-0000CC1B0000}"/>
    <cellStyle name="20% - Accent4 3 2 3 5 2 3" xfId="40575" xr:uid="{00000000-0005-0000-0000-0000CD1B0000}"/>
    <cellStyle name="20% - Accent4 3 2 3 5 3" xfId="18820" xr:uid="{00000000-0005-0000-0000-0000CE1B0000}"/>
    <cellStyle name="20% - Accent4 3 2 3 5 3 2" xfId="47826" xr:uid="{00000000-0005-0000-0000-0000CF1B0000}"/>
    <cellStyle name="20% - Accent4 3 2 3 5 4" xfId="33327" xr:uid="{00000000-0005-0000-0000-0000D01B0000}"/>
    <cellStyle name="20% - Accent4 3 2 3 6" xfId="7366" xr:uid="{00000000-0005-0000-0000-0000D11B0000}"/>
    <cellStyle name="20% - Accent4 3 2 3 6 2" xfId="14638" xr:uid="{00000000-0005-0000-0000-0000D21B0000}"/>
    <cellStyle name="20% - Accent4 3 2 3 6 2 2" xfId="29172" xr:uid="{00000000-0005-0000-0000-0000D31B0000}"/>
    <cellStyle name="20% - Accent4 3 2 3 6 2 2 2" xfId="58178" xr:uid="{00000000-0005-0000-0000-0000D41B0000}"/>
    <cellStyle name="20% - Accent4 3 2 3 6 2 3" xfId="43679" xr:uid="{00000000-0005-0000-0000-0000D51B0000}"/>
    <cellStyle name="20% - Accent4 3 2 3 6 3" xfId="21924" xr:uid="{00000000-0005-0000-0000-0000D61B0000}"/>
    <cellStyle name="20% - Accent4 3 2 3 6 3 2" xfId="50930" xr:uid="{00000000-0005-0000-0000-0000D71B0000}"/>
    <cellStyle name="20% - Accent4 3 2 3 6 4" xfId="36431" xr:uid="{00000000-0005-0000-0000-0000D81B0000}"/>
    <cellStyle name="20% - Accent4 3 2 3 7" xfId="8430" xr:uid="{00000000-0005-0000-0000-0000D91B0000}"/>
    <cellStyle name="20% - Accent4 3 2 3 7 2" xfId="22964" xr:uid="{00000000-0005-0000-0000-0000DA1B0000}"/>
    <cellStyle name="20% - Accent4 3 2 3 7 2 2" xfId="51970" xr:uid="{00000000-0005-0000-0000-0000DB1B0000}"/>
    <cellStyle name="20% - Accent4 3 2 3 7 3" xfId="37471" xr:uid="{00000000-0005-0000-0000-0000DC1B0000}"/>
    <cellStyle name="20% - Accent4 3 2 3 8" xfId="15716" xr:uid="{00000000-0005-0000-0000-0000DD1B0000}"/>
    <cellStyle name="20% - Accent4 3 2 3 8 2" xfId="44722" xr:uid="{00000000-0005-0000-0000-0000DE1B0000}"/>
    <cellStyle name="20% - Accent4 3 2 3 9" xfId="30223" xr:uid="{00000000-0005-0000-0000-0000DF1B0000}"/>
    <cellStyle name="20% - Accent4 3 2 4" xfId="1061" xr:uid="{00000000-0005-0000-0000-0000E01B0000}"/>
    <cellStyle name="20% - Accent4 3 2 4 2" xfId="1552" xr:uid="{00000000-0005-0000-0000-0000E11B0000}"/>
    <cellStyle name="20% - Accent4 3 2 4 2 2" xfId="2610" xr:uid="{00000000-0005-0000-0000-0000E21B0000}"/>
    <cellStyle name="20% - Accent4 3 2 4 2 2 2" xfId="5714" xr:uid="{00000000-0005-0000-0000-0000E31B0000}"/>
    <cellStyle name="20% - Accent4 3 2 4 2 2 2 2" xfId="12986" xr:uid="{00000000-0005-0000-0000-0000E41B0000}"/>
    <cellStyle name="20% - Accent4 3 2 4 2 2 2 2 2" xfId="27520" xr:uid="{00000000-0005-0000-0000-0000E51B0000}"/>
    <cellStyle name="20% - Accent4 3 2 4 2 2 2 2 2 2" xfId="56526" xr:uid="{00000000-0005-0000-0000-0000E61B0000}"/>
    <cellStyle name="20% - Accent4 3 2 4 2 2 2 2 3" xfId="42027" xr:uid="{00000000-0005-0000-0000-0000E71B0000}"/>
    <cellStyle name="20% - Accent4 3 2 4 2 2 2 3" xfId="20272" xr:uid="{00000000-0005-0000-0000-0000E81B0000}"/>
    <cellStyle name="20% - Accent4 3 2 4 2 2 2 3 2" xfId="49278" xr:uid="{00000000-0005-0000-0000-0000E91B0000}"/>
    <cellStyle name="20% - Accent4 3 2 4 2 2 2 4" xfId="34779" xr:uid="{00000000-0005-0000-0000-0000EA1B0000}"/>
    <cellStyle name="20% - Accent4 3 2 4 2 2 3" xfId="9882" xr:uid="{00000000-0005-0000-0000-0000EB1B0000}"/>
    <cellStyle name="20% - Accent4 3 2 4 2 2 3 2" xfId="24416" xr:uid="{00000000-0005-0000-0000-0000EC1B0000}"/>
    <cellStyle name="20% - Accent4 3 2 4 2 2 3 2 2" xfId="53422" xr:uid="{00000000-0005-0000-0000-0000ED1B0000}"/>
    <cellStyle name="20% - Accent4 3 2 4 2 2 3 3" xfId="38923" xr:uid="{00000000-0005-0000-0000-0000EE1B0000}"/>
    <cellStyle name="20% - Accent4 3 2 4 2 2 4" xfId="17168" xr:uid="{00000000-0005-0000-0000-0000EF1B0000}"/>
    <cellStyle name="20% - Accent4 3 2 4 2 2 4 2" xfId="46174" xr:uid="{00000000-0005-0000-0000-0000F01B0000}"/>
    <cellStyle name="20% - Accent4 3 2 4 2 2 5" xfId="31675" xr:uid="{00000000-0005-0000-0000-0000F11B0000}"/>
    <cellStyle name="20% - Accent4 3 2 4 2 3" xfId="3642" xr:uid="{00000000-0005-0000-0000-0000F21B0000}"/>
    <cellStyle name="20% - Accent4 3 2 4 2 3 2" xfId="6746" xr:uid="{00000000-0005-0000-0000-0000F31B0000}"/>
    <cellStyle name="20% - Accent4 3 2 4 2 3 2 2" xfId="14018" xr:uid="{00000000-0005-0000-0000-0000F41B0000}"/>
    <cellStyle name="20% - Accent4 3 2 4 2 3 2 2 2" xfId="28552" xr:uid="{00000000-0005-0000-0000-0000F51B0000}"/>
    <cellStyle name="20% - Accent4 3 2 4 2 3 2 2 2 2" xfId="57558" xr:uid="{00000000-0005-0000-0000-0000F61B0000}"/>
    <cellStyle name="20% - Accent4 3 2 4 2 3 2 2 3" xfId="43059" xr:uid="{00000000-0005-0000-0000-0000F71B0000}"/>
    <cellStyle name="20% - Accent4 3 2 4 2 3 2 3" xfId="21304" xr:uid="{00000000-0005-0000-0000-0000F81B0000}"/>
    <cellStyle name="20% - Accent4 3 2 4 2 3 2 3 2" xfId="50310" xr:uid="{00000000-0005-0000-0000-0000F91B0000}"/>
    <cellStyle name="20% - Accent4 3 2 4 2 3 2 4" xfId="35811" xr:uid="{00000000-0005-0000-0000-0000FA1B0000}"/>
    <cellStyle name="20% - Accent4 3 2 4 2 3 3" xfId="10914" xr:uid="{00000000-0005-0000-0000-0000FB1B0000}"/>
    <cellStyle name="20% - Accent4 3 2 4 2 3 3 2" xfId="25448" xr:uid="{00000000-0005-0000-0000-0000FC1B0000}"/>
    <cellStyle name="20% - Accent4 3 2 4 2 3 3 2 2" xfId="54454" xr:uid="{00000000-0005-0000-0000-0000FD1B0000}"/>
    <cellStyle name="20% - Accent4 3 2 4 2 3 3 3" xfId="39955" xr:uid="{00000000-0005-0000-0000-0000FE1B0000}"/>
    <cellStyle name="20% - Accent4 3 2 4 2 3 4" xfId="18200" xr:uid="{00000000-0005-0000-0000-0000FF1B0000}"/>
    <cellStyle name="20% - Accent4 3 2 4 2 3 4 2" xfId="47206" xr:uid="{00000000-0005-0000-0000-0000001C0000}"/>
    <cellStyle name="20% - Accent4 3 2 4 2 3 5" xfId="32707" xr:uid="{00000000-0005-0000-0000-0000011C0000}"/>
    <cellStyle name="20% - Accent4 3 2 4 2 4" xfId="4674" xr:uid="{00000000-0005-0000-0000-0000021C0000}"/>
    <cellStyle name="20% - Accent4 3 2 4 2 4 2" xfId="11946" xr:uid="{00000000-0005-0000-0000-0000031C0000}"/>
    <cellStyle name="20% - Accent4 3 2 4 2 4 2 2" xfId="26480" xr:uid="{00000000-0005-0000-0000-0000041C0000}"/>
    <cellStyle name="20% - Accent4 3 2 4 2 4 2 2 2" xfId="55486" xr:uid="{00000000-0005-0000-0000-0000051C0000}"/>
    <cellStyle name="20% - Accent4 3 2 4 2 4 2 3" xfId="40987" xr:uid="{00000000-0005-0000-0000-0000061C0000}"/>
    <cellStyle name="20% - Accent4 3 2 4 2 4 3" xfId="19232" xr:uid="{00000000-0005-0000-0000-0000071C0000}"/>
    <cellStyle name="20% - Accent4 3 2 4 2 4 3 2" xfId="48238" xr:uid="{00000000-0005-0000-0000-0000081C0000}"/>
    <cellStyle name="20% - Accent4 3 2 4 2 4 4" xfId="33739" xr:uid="{00000000-0005-0000-0000-0000091C0000}"/>
    <cellStyle name="20% - Accent4 3 2 4 2 5" xfId="7778" xr:uid="{00000000-0005-0000-0000-00000A1C0000}"/>
    <cellStyle name="20% - Accent4 3 2 4 2 5 2" xfId="15050" xr:uid="{00000000-0005-0000-0000-00000B1C0000}"/>
    <cellStyle name="20% - Accent4 3 2 4 2 5 2 2" xfId="29584" xr:uid="{00000000-0005-0000-0000-00000C1C0000}"/>
    <cellStyle name="20% - Accent4 3 2 4 2 5 2 2 2" xfId="58590" xr:uid="{00000000-0005-0000-0000-00000D1C0000}"/>
    <cellStyle name="20% - Accent4 3 2 4 2 5 2 3" xfId="44091" xr:uid="{00000000-0005-0000-0000-00000E1C0000}"/>
    <cellStyle name="20% - Accent4 3 2 4 2 5 3" xfId="22336" xr:uid="{00000000-0005-0000-0000-00000F1C0000}"/>
    <cellStyle name="20% - Accent4 3 2 4 2 5 3 2" xfId="51342" xr:uid="{00000000-0005-0000-0000-0000101C0000}"/>
    <cellStyle name="20% - Accent4 3 2 4 2 5 4" xfId="36843" xr:uid="{00000000-0005-0000-0000-0000111C0000}"/>
    <cellStyle name="20% - Accent4 3 2 4 2 6" xfId="8842" xr:uid="{00000000-0005-0000-0000-0000121C0000}"/>
    <cellStyle name="20% - Accent4 3 2 4 2 6 2" xfId="23376" xr:uid="{00000000-0005-0000-0000-0000131C0000}"/>
    <cellStyle name="20% - Accent4 3 2 4 2 6 2 2" xfId="52382" xr:uid="{00000000-0005-0000-0000-0000141C0000}"/>
    <cellStyle name="20% - Accent4 3 2 4 2 6 3" xfId="37883" xr:uid="{00000000-0005-0000-0000-0000151C0000}"/>
    <cellStyle name="20% - Accent4 3 2 4 2 7" xfId="16128" xr:uid="{00000000-0005-0000-0000-0000161C0000}"/>
    <cellStyle name="20% - Accent4 3 2 4 2 7 2" xfId="45134" xr:uid="{00000000-0005-0000-0000-0000171C0000}"/>
    <cellStyle name="20% - Accent4 3 2 4 2 8" xfId="30635" xr:uid="{00000000-0005-0000-0000-0000181C0000}"/>
    <cellStyle name="20% - Accent4 3 2 4 3" xfId="2098" xr:uid="{00000000-0005-0000-0000-0000191C0000}"/>
    <cellStyle name="20% - Accent4 3 2 4 3 2" xfId="5202" xr:uid="{00000000-0005-0000-0000-00001A1C0000}"/>
    <cellStyle name="20% - Accent4 3 2 4 3 2 2" xfId="12474" xr:uid="{00000000-0005-0000-0000-00001B1C0000}"/>
    <cellStyle name="20% - Accent4 3 2 4 3 2 2 2" xfId="27008" xr:uid="{00000000-0005-0000-0000-00001C1C0000}"/>
    <cellStyle name="20% - Accent4 3 2 4 3 2 2 2 2" xfId="56014" xr:uid="{00000000-0005-0000-0000-00001D1C0000}"/>
    <cellStyle name="20% - Accent4 3 2 4 3 2 2 3" xfId="41515" xr:uid="{00000000-0005-0000-0000-00001E1C0000}"/>
    <cellStyle name="20% - Accent4 3 2 4 3 2 3" xfId="19760" xr:uid="{00000000-0005-0000-0000-00001F1C0000}"/>
    <cellStyle name="20% - Accent4 3 2 4 3 2 3 2" xfId="48766" xr:uid="{00000000-0005-0000-0000-0000201C0000}"/>
    <cellStyle name="20% - Accent4 3 2 4 3 2 4" xfId="34267" xr:uid="{00000000-0005-0000-0000-0000211C0000}"/>
    <cellStyle name="20% - Accent4 3 2 4 3 3" xfId="9370" xr:uid="{00000000-0005-0000-0000-0000221C0000}"/>
    <cellStyle name="20% - Accent4 3 2 4 3 3 2" xfId="23904" xr:uid="{00000000-0005-0000-0000-0000231C0000}"/>
    <cellStyle name="20% - Accent4 3 2 4 3 3 2 2" xfId="52910" xr:uid="{00000000-0005-0000-0000-0000241C0000}"/>
    <cellStyle name="20% - Accent4 3 2 4 3 3 3" xfId="38411" xr:uid="{00000000-0005-0000-0000-0000251C0000}"/>
    <cellStyle name="20% - Accent4 3 2 4 3 4" xfId="16656" xr:uid="{00000000-0005-0000-0000-0000261C0000}"/>
    <cellStyle name="20% - Accent4 3 2 4 3 4 2" xfId="45662" xr:uid="{00000000-0005-0000-0000-0000271C0000}"/>
    <cellStyle name="20% - Accent4 3 2 4 3 5" xfId="31163" xr:uid="{00000000-0005-0000-0000-0000281C0000}"/>
    <cellStyle name="20% - Accent4 3 2 4 4" xfId="3130" xr:uid="{00000000-0005-0000-0000-0000291C0000}"/>
    <cellStyle name="20% - Accent4 3 2 4 4 2" xfId="6234" xr:uid="{00000000-0005-0000-0000-00002A1C0000}"/>
    <cellStyle name="20% - Accent4 3 2 4 4 2 2" xfId="13506" xr:uid="{00000000-0005-0000-0000-00002B1C0000}"/>
    <cellStyle name="20% - Accent4 3 2 4 4 2 2 2" xfId="28040" xr:uid="{00000000-0005-0000-0000-00002C1C0000}"/>
    <cellStyle name="20% - Accent4 3 2 4 4 2 2 2 2" xfId="57046" xr:uid="{00000000-0005-0000-0000-00002D1C0000}"/>
    <cellStyle name="20% - Accent4 3 2 4 4 2 2 3" xfId="42547" xr:uid="{00000000-0005-0000-0000-00002E1C0000}"/>
    <cellStyle name="20% - Accent4 3 2 4 4 2 3" xfId="20792" xr:uid="{00000000-0005-0000-0000-00002F1C0000}"/>
    <cellStyle name="20% - Accent4 3 2 4 4 2 3 2" xfId="49798" xr:uid="{00000000-0005-0000-0000-0000301C0000}"/>
    <cellStyle name="20% - Accent4 3 2 4 4 2 4" xfId="35299" xr:uid="{00000000-0005-0000-0000-0000311C0000}"/>
    <cellStyle name="20% - Accent4 3 2 4 4 3" xfId="10402" xr:uid="{00000000-0005-0000-0000-0000321C0000}"/>
    <cellStyle name="20% - Accent4 3 2 4 4 3 2" xfId="24936" xr:uid="{00000000-0005-0000-0000-0000331C0000}"/>
    <cellStyle name="20% - Accent4 3 2 4 4 3 2 2" xfId="53942" xr:uid="{00000000-0005-0000-0000-0000341C0000}"/>
    <cellStyle name="20% - Accent4 3 2 4 4 3 3" xfId="39443" xr:uid="{00000000-0005-0000-0000-0000351C0000}"/>
    <cellStyle name="20% - Accent4 3 2 4 4 4" xfId="17688" xr:uid="{00000000-0005-0000-0000-0000361C0000}"/>
    <cellStyle name="20% - Accent4 3 2 4 4 4 2" xfId="46694" xr:uid="{00000000-0005-0000-0000-0000371C0000}"/>
    <cellStyle name="20% - Accent4 3 2 4 4 5" xfId="32195" xr:uid="{00000000-0005-0000-0000-0000381C0000}"/>
    <cellStyle name="20% - Accent4 3 2 4 5" xfId="4162" xr:uid="{00000000-0005-0000-0000-0000391C0000}"/>
    <cellStyle name="20% - Accent4 3 2 4 5 2" xfId="11434" xr:uid="{00000000-0005-0000-0000-00003A1C0000}"/>
    <cellStyle name="20% - Accent4 3 2 4 5 2 2" xfId="25968" xr:uid="{00000000-0005-0000-0000-00003B1C0000}"/>
    <cellStyle name="20% - Accent4 3 2 4 5 2 2 2" xfId="54974" xr:uid="{00000000-0005-0000-0000-00003C1C0000}"/>
    <cellStyle name="20% - Accent4 3 2 4 5 2 3" xfId="40475" xr:uid="{00000000-0005-0000-0000-00003D1C0000}"/>
    <cellStyle name="20% - Accent4 3 2 4 5 3" xfId="18720" xr:uid="{00000000-0005-0000-0000-00003E1C0000}"/>
    <cellStyle name="20% - Accent4 3 2 4 5 3 2" xfId="47726" xr:uid="{00000000-0005-0000-0000-00003F1C0000}"/>
    <cellStyle name="20% - Accent4 3 2 4 5 4" xfId="33227" xr:uid="{00000000-0005-0000-0000-0000401C0000}"/>
    <cellStyle name="20% - Accent4 3 2 4 6" xfId="7266" xr:uid="{00000000-0005-0000-0000-0000411C0000}"/>
    <cellStyle name="20% - Accent4 3 2 4 6 2" xfId="14538" xr:uid="{00000000-0005-0000-0000-0000421C0000}"/>
    <cellStyle name="20% - Accent4 3 2 4 6 2 2" xfId="29072" xr:uid="{00000000-0005-0000-0000-0000431C0000}"/>
    <cellStyle name="20% - Accent4 3 2 4 6 2 2 2" xfId="58078" xr:uid="{00000000-0005-0000-0000-0000441C0000}"/>
    <cellStyle name="20% - Accent4 3 2 4 6 2 3" xfId="43579" xr:uid="{00000000-0005-0000-0000-0000451C0000}"/>
    <cellStyle name="20% - Accent4 3 2 4 6 3" xfId="21824" xr:uid="{00000000-0005-0000-0000-0000461C0000}"/>
    <cellStyle name="20% - Accent4 3 2 4 6 3 2" xfId="50830" xr:uid="{00000000-0005-0000-0000-0000471C0000}"/>
    <cellStyle name="20% - Accent4 3 2 4 6 4" xfId="36331" xr:uid="{00000000-0005-0000-0000-0000481C0000}"/>
    <cellStyle name="20% - Accent4 3 2 4 7" xfId="8330" xr:uid="{00000000-0005-0000-0000-0000491C0000}"/>
    <cellStyle name="20% - Accent4 3 2 4 7 2" xfId="22864" xr:uid="{00000000-0005-0000-0000-00004A1C0000}"/>
    <cellStyle name="20% - Accent4 3 2 4 7 2 2" xfId="51870" xr:uid="{00000000-0005-0000-0000-00004B1C0000}"/>
    <cellStyle name="20% - Accent4 3 2 4 7 3" xfId="37371" xr:uid="{00000000-0005-0000-0000-00004C1C0000}"/>
    <cellStyle name="20% - Accent4 3 2 4 8" xfId="15616" xr:uid="{00000000-0005-0000-0000-00004D1C0000}"/>
    <cellStyle name="20% - Accent4 3 2 4 8 2" xfId="44622" xr:uid="{00000000-0005-0000-0000-00004E1C0000}"/>
    <cellStyle name="20% - Accent4 3 2 4 9" xfId="30123" xr:uid="{00000000-0005-0000-0000-00004F1C0000}"/>
    <cellStyle name="20% - Accent4 3 2 5" xfId="1347" xr:uid="{00000000-0005-0000-0000-0000501C0000}"/>
    <cellStyle name="20% - Accent4 3 2 5 2" xfId="2404" xr:uid="{00000000-0005-0000-0000-0000511C0000}"/>
    <cellStyle name="20% - Accent4 3 2 5 2 2" xfId="5508" xr:uid="{00000000-0005-0000-0000-0000521C0000}"/>
    <cellStyle name="20% - Accent4 3 2 5 2 2 2" xfId="12780" xr:uid="{00000000-0005-0000-0000-0000531C0000}"/>
    <cellStyle name="20% - Accent4 3 2 5 2 2 2 2" xfId="27314" xr:uid="{00000000-0005-0000-0000-0000541C0000}"/>
    <cellStyle name="20% - Accent4 3 2 5 2 2 2 2 2" xfId="56320" xr:uid="{00000000-0005-0000-0000-0000551C0000}"/>
    <cellStyle name="20% - Accent4 3 2 5 2 2 2 3" xfId="41821" xr:uid="{00000000-0005-0000-0000-0000561C0000}"/>
    <cellStyle name="20% - Accent4 3 2 5 2 2 3" xfId="20066" xr:uid="{00000000-0005-0000-0000-0000571C0000}"/>
    <cellStyle name="20% - Accent4 3 2 5 2 2 3 2" xfId="49072" xr:uid="{00000000-0005-0000-0000-0000581C0000}"/>
    <cellStyle name="20% - Accent4 3 2 5 2 2 4" xfId="34573" xr:uid="{00000000-0005-0000-0000-0000591C0000}"/>
    <cellStyle name="20% - Accent4 3 2 5 2 3" xfId="9676" xr:uid="{00000000-0005-0000-0000-00005A1C0000}"/>
    <cellStyle name="20% - Accent4 3 2 5 2 3 2" xfId="24210" xr:uid="{00000000-0005-0000-0000-00005B1C0000}"/>
    <cellStyle name="20% - Accent4 3 2 5 2 3 2 2" xfId="53216" xr:uid="{00000000-0005-0000-0000-00005C1C0000}"/>
    <cellStyle name="20% - Accent4 3 2 5 2 3 3" xfId="38717" xr:uid="{00000000-0005-0000-0000-00005D1C0000}"/>
    <cellStyle name="20% - Accent4 3 2 5 2 4" xfId="16962" xr:uid="{00000000-0005-0000-0000-00005E1C0000}"/>
    <cellStyle name="20% - Accent4 3 2 5 2 4 2" xfId="45968" xr:uid="{00000000-0005-0000-0000-00005F1C0000}"/>
    <cellStyle name="20% - Accent4 3 2 5 2 5" xfId="31469" xr:uid="{00000000-0005-0000-0000-0000601C0000}"/>
    <cellStyle name="20% - Accent4 3 2 5 3" xfId="3436" xr:uid="{00000000-0005-0000-0000-0000611C0000}"/>
    <cellStyle name="20% - Accent4 3 2 5 3 2" xfId="6540" xr:uid="{00000000-0005-0000-0000-0000621C0000}"/>
    <cellStyle name="20% - Accent4 3 2 5 3 2 2" xfId="13812" xr:uid="{00000000-0005-0000-0000-0000631C0000}"/>
    <cellStyle name="20% - Accent4 3 2 5 3 2 2 2" xfId="28346" xr:uid="{00000000-0005-0000-0000-0000641C0000}"/>
    <cellStyle name="20% - Accent4 3 2 5 3 2 2 2 2" xfId="57352" xr:uid="{00000000-0005-0000-0000-0000651C0000}"/>
    <cellStyle name="20% - Accent4 3 2 5 3 2 2 3" xfId="42853" xr:uid="{00000000-0005-0000-0000-0000661C0000}"/>
    <cellStyle name="20% - Accent4 3 2 5 3 2 3" xfId="21098" xr:uid="{00000000-0005-0000-0000-0000671C0000}"/>
    <cellStyle name="20% - Accent4 3 2 5 3 2 3 2" xfId="50104" xr:uid="{00000000-0005-0000-0000-0000681C0000}"/>
    <cellStyle name="20% - Accent4 3 2 5 3 2 4" xfId="35605" xr:uid="{00000000-0005-0000-0000-0000691C0000}"/>
    <cellStyle name="20% - Accent4 3 2 5 3 3" xfId="10708" xr:uid="{00000000-0005-0000-0000-00006A1C0000}"/>
    <cellStyle name="20% - Accent4 3 2 5 3 3 2" xfId="25242" xr:uid="{00000000-0005-0000-0000-00006B1C0000}"/>
    <cellStyle name="20% - Accent4 3 2 5 3 3 2 2" xfId="54248" xr:uid="{00000000-0005-0000-0000-00006C1C0000}"/>
    <cellStyle name="20% - Accent4 3 2 5 3 3 3" xfId="39749" xr:uid="{00000000-0005-0000-0000-00006D1C0000}"/>
    <cellStyle name="20% - Accent4 3 2 5 3 4" xfId="17994" xr:uid="{00000000-0005-0000-0000-00006E1C0000}"/>
    <cellStyle name="20% - Accent4 3 2 5 3 4 2" xfId="47000" xr:uid="{00000000-0005-0000-0000-00006F1C0000}"/>
    <cellStyle name="20% - Accent4 3 2 5 3 5" xfId="32501" xr:uid="{00000000-0005-0000-0000-0000701C0000}"/>
    <cellStyle name="20% - Accent4 3 2 5 4" xfId="4468" xr:uid="{00000000-0005-0000-0000-0000711C0000}"/>
    <cellStyle name="20% - Accent4 3 2 5 4 2" xfId="11740" xr:uid="{00000000-0005-0000-0000-0000721C0000}"/>
    <cellStyle name="20% - Accent4 3 2 5 4 2 2" xfId="26274" xr:uid="{00000000-0005-0000-0000-0000731C0000}"/>
    <cellStyle name="20% - Accent4 3 2 5 4 2 2 2" xfId="55280" xr:uid="{00000000-0005-0000-0000-0000741C0000}"/>
    <cellStyle name="20% - Accent4 3 2 5 4 2 3" xfId="40781" xr:uid="{00000000-0005-0000-0000-0000751C0000}"/>
    <cellStyle name="20% - Accent4 3 2 5 4 3" xfId="19026" xr:uid="{00000000-0005-0000-0000-0000761C0000}"/>
    <cellStyle name="20% - Accent4 3 2 5 4 3 2" xfId="48032" xr:uid="{00000000-0005-0000-0000-0000771C0000}"/>
    <cellStyle name="20% - Accent4 3 2 5 4 4" xfId="33533" xr:uid="{00000000-0005-0000-0000-0000781C0000}"/>
    <cellStyle name="20% - Accent4 3 2 5 5" xfId="7572" xr:uid="{00000000-0005-0000-0000-0000791C0000}"/>
    <cellStyle name="20% - Accent4 3 2 5 5 2" xfId="14844" xr:uid="{00000000-0005-0000-0000-00007A1C0000}"/>
    <cellStyle name="20% - Accent4 3 2 5 5 2 2" xfId="29378" xr:uid="{00000000-0005-0000-0000-00007B1C0000}"/>
    <cellStyle name="20% - Accent4 3 2 5 5 2 2 2" xfId="58384" xr:uid="{00000000-0005-0000-0000-00007C1C0000}"/>
    <cellStyle name="20% - Accent4 3 2 5 5 2 3" xfId="43885" xr:uid="{00000000-0005-0000-0000-00007D1C0000}"/>
    <cellStyle name="20% - Accent4 3 2 5 5 3" xfId="22130" xr:uid="{00000000-0005-0000-0000-00007E1C0000}"/>
    <cellStyle name="20% - Accent4 3 2 5 5 3 2" xfId="51136" xr:uid="{00000000-0005-0000-0000-00007F1C0000}"/>
    <cellStyle name="20% - Accent4 3 2 5 5 4" xfId="36637" xr:uid="{00000000-0005-0000-0000-0000801C0000}"/>
    <cellStyle name="20% - Accent4 3 2 5 6" xfId="8636" xr:uid="{00000000-0005-0000-0000-0000811C0000}"/>
    <cellStyle name="20% - Accent4 3 2 5 6 2" xfId="23170" xr:uid="{00000000-0005-0000-0000-0000821C0000}"/>
    <cellStyle name="20% - Accent4 3 2 5 6 2 2" xfId="52176" xr:uid="{00000000-0005-0000-0000-0000831C0000}"/>
    <cellStyle name="20% - Accent4 3 2 5 6 3" xfId="37677" xr:uid="{00000000-0005-0000-0000-0000841C0000}"/>
    <cellStyle name="20% - Accent4 3 2 5 7" xfId="15922" xr:uid="{00000000-0005-0000-0000-0000851C0000}"/>
    <cellStyle name="20% - Accent4 3 2 5 7 2" xfId="44928" xr:uid="{00000000-0005-0000-0000-0000861C0000}"/>
    <cellStyle name="20% - Accent4 3 2 5 8" xfId="30429" xr:uid="{00000000-0005-0000-0000-0000871C0000}"/>
    <cellStyle name="20% - Accent4 3 2 6" xfId="1892" xr:uid="{00000000-0005-0000-0000-0000881C0000}"/>
    <cellStyle name="20% - Accent4 3 2 6 2" xfId="4996" xr:uid="{00000000-0005-0000-0000-0000891C0000}"/>
    <cellStyle name="20% - Accent4 3 2 6 2 2" xfId="12268" xr:uid="{00000000-0005-0000-0000-00008A1C0000}"/>
    <cellStyle name="20% - Accent4 3 2 6 2 2 2" xfId="26802" xr:uid="{00000000-0005-0000-0000-00008B1C0000}"/>
    <cellStyle name="20% - Accent4 3 2 6 2 2 2 2" xfId="55808" xr:uid="{00000000-0005-0000-0000-00008C1C0000}"/>
    <cellStyle name="20% - Accent4 3 2 6 2 2 3" xfId="41309" xr:uid="{00000000-0005-0000-0000-00008D1C0000}"/>
    <cellStyle name="20% - Accent4 3 2 6 2 3" xfId="19554" xr:uid="{00000000-0005-0000-0000-00008E1C0000}"/>
    <cellStyle name="20% - Accent4 3 2 6 2 3 2" xfId="48560" xr:uid="{00000000-0005-0000-0000-00008F1C0000}"/>
    <cellStyle name="20% - Accent4 3 2 6 2 4" xfId="34061" xr:uid="{00000000-0005-0000-0000-0000901C0000}"/>
    <cellStyle name="20% - Accent4 3 2 6 3" xfId="9164" xr:uid="{00000000-0005-0000-0000-0000911C0000}"/>
    <cellStyle name="20% - Accent4 3 2 6 3 2" xfId="23698" xr:uid="{00000000-0005-0000-0000-0000921C0000}"/>
    <cellStyle name="20% - Accent4 3 2 6 3 2 2" xfId="52704" xr:uid="{00000000-0005-0000-0000-0000931C0000}"/>
    <cellStyle name="20% - Accent4 3 2 6 3 3" xfId="38205" xr:uid="{00000000-0005-0000-0000-0000941C0000}"/>
    <cellStyle name="20% - Accent4 3 2 6 4" xfId="16450" xr:uid="{00000000-0005-0000-0000-0000951C0000}"/>
    <cellStyle name="20% - Accent4 3 2 6 4 2" xfId="45456" xr:uid="{00000000-0005-0000-0000-0000961C0000}"/>
    <cellStyle name="20% - Accent4 3 2 6 5" xfId="30957" xr:uid="{00000000-0005-0000-0000-0000971C0000}"/>
    <cellStyle name="20% - Accent4 3 2 7" xfId="2924" xr:uid="{00000000-0005-0000-0000-0000981C0000}"/>
    <cellStyle name="20% - Accent4 3 2 7 2" xfId="6028" xr:uid="{00000000-0005-0000-0000-0000991C0000}"/>
    <cellStyle name="20% - Accent4 3 2 7 2 2" xfId="13300" xr:uid="{00000000-0005-0000-0000-00009A1C0000}"/>
    <cellStyle name="20% - Accent4 3 2 7 2 2 2" xfId="27834" xr:uid="{00000000-0005-0000-0000-00009B1C0000}"/>
    <cellStyle name="20% - Accent4 3 2 7 2 2 2 2" xfId="56840" xr:uid="{00000000-0005-0000-0000-00009C1C0000}"/>
    <cellStyle name="20% - Accent4 3 2 7 2 2 3" xfId="42341" xr:uid="{00000000-0005-0000-0000-00009D1C0000}"/>
    <cellStyle name="20% - Accent4 3 2 7 2 3" xfId="20586" xr:uid="{00000000-0005-0000-0000-00009E1C0000}"/>
    <cellStyle name="20% - Accent4 3 2 7 2 3 2" xfId="49592" xr:uid="{00000000-0005-0000-0000-00009F1C0000}"/>
    <cellStyle name="20% - Accent4 3 2 7 2 4" xfId="35093" xr:uid="{00000000-0005-0000-0000-0000A01C0000}"/>
    <cellStyle name="20% - Accent4 3 2 7 3" xfId="10196" xr:uid="{00000000-0005-0000-0000-0000A11C0000}"/>
    <cellStyle name="20% - Accent4 3 2 7 3 2" xfId="24730" xr:uid="{00000000-0005-0000-0000-0000A21C0000}"/>
    <cellStyle name="20% - Accent4 3 2 7 3 2 2" xfId="53736" xr:uid="{00000000-0005-0000-0000-0000A31C0000}"/>
    <cellStyle name="20% - Accent4 3 2 7 3 3" xfId="39237" xr:uid="{00000000-0005-0000-0000-0000A41C0000}"/>
    <cellStyle name="20% - Accent4 3 2 7 4" xfId="17482" xr:uid="{00000000-0005-0000-0000-0000A51C0000}"/>
    <cellStyle name="20% - Accent4 3 2 7 4 2" xfId="46488" xr:uid="{00000000-0005-0000-0000-0000A61C0000}"/>
    <cellStyle name="20% - Accent4 3 2 7 5" xfId="31989" xr:uid="{00000000-0005-0000-0000-0000A71C0000}"/>
    <cellStyle name="20% - Accent4 3 2 8" xfId="3956" xr:uid="{00000000-0005-0000-0000-0000A81C0000}"/>
    <cellStyle name="20% - Accent4 3 2 8 2" xfId="11228" xr:uid="{00000000-0005-0000-0000-0000A91C0000}"/>
    <cellStyle name="20% - Accent4 3 2 8 2 2" xfId="25762" xr:uid="{00000000-0005-0000-0000-0000AA1C0000}"/>
    <cellStyle name="20% - Accent4 3 2 8 2 2 2" xfId="54768" xr:uid="{00000000-0005-0000-0000-0000AB1C0000}"/>
    <cellStyle name="20% - Accent4 3 2 8 2 3" xfId="40269" xr:uid="{00000000-0005-0000-0000-0000AC1C0000}"/>
    <cellStyle name="20% - Accent4 3 2 8 3" xfId="18514" xr:uid="{00000000-0005-0000-0000-0000AD1C0000}"/>
    <cellStyle name="20% - Accent4 3 2 8 3 2" xfId="47520" xr:uid="{00000000-0005-0000-0000-0000AE1C0000}"/>
    <cellStyle name="20% - Accent4 3 2 8 4" xfId="33021" xr:uid="{00000000-0005-0000-0000-0000AF1C0000}"/>
    <cellStyle name="20% - Accent4 3 2 9" xfId="7060" xr:uid="{00000000-0005-0000-0000-0000B01C0000}"/>
    <cellStyle name="20% - Accent4 3 2 9 2" xfId="14332" xr:uid="{00000000-0005-0000-0000-0000B11C0000}"/>
    <cellStyle name="20% - Accent4 3 2 9 2 2" xfId="28866" xr:uid="{00000000-0005-0000-0000-0000B21C0000}"/>
    <cellStyle name="20% - Accent4 3 2 9 2 2 2" xfId="57872" xr:uid="{00000000-0005-0000-0000-0000B31C0000}"/>
    <cellStyle name="20% - Accent4 3 2 9 2 3" xfId="43373" xr:uid="{00000000-0005-0000-0000-0000B41C0000}"/>
    <cellStyle name="20% - Accent4 3 2 9 3" xfId="21618" xr:uid="{00000000-0005-0000-0000-0000B51C0000}"/>
    <cellStyle name="20% - Accent4 3 2 9 3 2" xfId="50624" xr:uid="{00000000-0005-0000-0000-0000B61C0000}"/>
    <cellStyle name="20% - Accent4 3 2 9 4" xfId="36125" xr:uid="{00000000-0005-0000-0000-0000B71C0000}"/>
    <cellStyle name="20% - Accent4 3 3" xfId="927" xr:uid="{00000000-0005-0000-0000-0000B81C0000}"/>
    <cellStyle name="20% - Accent4 3 3 10" xfId="29968" xr:uid="{00000000-0005-0000-0000-0000B91C0000}"/>
    <cellStyle name="20% - Accent4 3 3 2" xfId="1199" xr:uid="{00000000-0005-0000-0000-0000BA1C0000}"/>
    <cellStyle name="20% - Accent4 3 3 2 2" xfId="1702" xr:uid="{00000000-0005-0000-0000-0000BB1C0000}"/>
    <cellStyle name="20% - Accent4 3 3 2 2 2" xfId="2761" xr:uid="{00000000-0005-0000-0000-0000BC1C0000}"/>
    <cellStyle name="20% - Accent4 3 3 2 2 2 2" xfId="5865" xr:uid="{00000000-0005-0000-0000-0000BD1C0000}"/>
    <cellStyle name="20% - Accent4 3 3 2 2 2 2 2" xfId="13137" xr:uid="{00000000-0005-0000-0000-0000BE1C0000}"/>
    <cellStyle name="20% - Accent4 3 3 2 2 2 2 2 2" xfId="27671" xr:uid="{00000000-0005-0000-0000-0000BF1C0000}"/>
    <cellStyle name="20% - Accent4 3 3 2 2 2 2 2 2 2" xfId="56677" xr:uid="{00000000-0005-0000-0000-0000C01C0000}"/>
    <cellStyle name="20% - Accent4 3 3 2 2 2 2 2 3" xfId="42178" xr:uid="{00000000-0005-0000-0000-0000C11C0000}"/>
    <cellStyle name="20% - Accent4 3 3 2 2 2 2 3" xfId="20423" xr:uid="{00000000-0005-0000-0000-0000C21C0000}"/>
    <cellStyle name="20% - Accent4 3 3 2 2 2 2 3 2" xfId="49429" xr:uid="{00000000-0005-0000-0000-0000C31C0000}"/>
    <cellStyle name="20% - Accent4 3 3 2 2 2 2 4" xfId="34930" xr:uid="{00000000-0005-0000-0000-0000C41C0000}"/>
    <cellStyle name="20% - Accent4 3 3 2 2 2 3" xfId="10033" xr:uid="{00000000-0005-0000-0000-0000C51C0000}"/>
    <cellStyle name="20% - Accent4 3 3 2 2 2 3 2" xfId="24567" xr:uid="{00000000-0005-0000-0000-0000C61C0000}"/>
    <cellStyle name="20% - Accent4 3 3 2 2 2 3 2 2" xfId="53573" xr:uid="{00000000-0005-0000-0000-0000C71C0000}"/>
    <cellStyle name="20% - Accent4 3 3 2 2 2 3 3" xfId="39074" xr:uid="{00000000-0005-0000-0000-0000C81C0000}"/>
    <cellStyle name="20% - Accent4 3 3 2 2 2 4" xfId="17319" xr:uid="{00000000-0005-0000-0000-0000C91C0000}"/>
    <cellStyle name="20% - Accent4 3 3 2 2 2 4 2" xfId="46325" xr:uid="{00000000-0005-0000-0000-0000CA1C0000}"/>
    <cellStyle name="20% - Accent4 3 3 2 2 2 5" xfId="31826" xr:uid="{00000000-0005-0000-0000-0000CB1C0000}"/>
    <cellStyle name="20% - Accent4 3 3 2 2 3" xfId="3793" xr:uid="{00000000-0005-0000-0000-0000CC1C0000}"/>
    <cellStyle name="20% - Accent4 3 3 2 2 3 2" xfId="6897" xr:uid="{00000000-0005-0000-0000-0000CD1C0000}"/>
    <cellStyle name="20% - Accent4 3 3 2 2 3 2 2" xfId="14169" xr:uid="{00000000-0005-0000-0000-0000CE1C0000}"/>
    <cellStyle name="20% - Accent4 3 3 2 2 3 2 2 2" xfId="28703" xr:uid="{00000000-0005-0000-0000-0000CF1C0000}"/>
    <cellStyle name="20% - Accent4 3 3 2 2 3 2 2 2 2" xfId="57709" xr:uid="{00000000-0005-0000-0000-0000D01C0000}"/>
    <cellStyle name="20% - Accent4 3 3 2 2 3 2 2 3" xfId="43210" xr:uid="{00000000-0005-0000-0000-0000D11C0000}"/>
    <cellStyle name="20% - Accent4 3 3 2 2 3 2 3" xfId="21455" xr:uid="{00000000-0005-0000-0000-0000D21C0000}"/>
    <cellStyle name="20% - Accent4 3 3 2 2 3 2 3 2" xfId="50461" xr:uid="{00000000-0005-0000-0000-0000D31C0000}"/>
    <cellStyle name="20% - Accent4 3 3 2 2 3 2 4" xfId="35962" xr:uid="{00000000-0005-0000-0000-0000D41C0000}"/>
    <cellStyle name="20% - Accent4 3 3 2 2 3 3" xfId="11065" xr:uid="{00000000-0005-0000-0000-0000D51C0000}"/>
    <cellStyle name="20% - Accent4 3 3 2 2 3 3 2" xfId="25599" xr:uid="{00000000-0005-0000-0000-0000D61C0000}"/>
    <cellStyle name="20% - Accent4 3 3 2 2 3 3 2 2" xfId="54605" xr:uid="{00000000-0005-0000-0000-0000D71C0000}"/>
    <cellStyle name="20% - Accent4 3 3 2 2 3 3 3" xfId="40106" xr:uid="{00000000-0005-0000-0000-0000D81C0000}"/>
    <cellStyle name="20% - Accent4 3 3 2 2 3 4" xfId="18351" xr:uid="{00000000-0005-0000-0000-0000D91C0000}"/>
    <cellStyle name="20% - Accent4 3 3 2 2 3 4 2" xfId="47357" xr:uid="{00000000-0005-0000-0000-0000DA1C0000}"/>
    <cellStyle name="20% - Accent4 3 3 2 2 3 5" xfId="32858" xr:uid="{00000000-0005-0000-0000-0000DB1C0000}"/>
    <cellStyle name="20% - Accent4 3 3 2 2 4" xfId="4825" xr:uid="{00000000-0005-0000-0000-0000DC1C0000}"/>
    <cellStyle name="20% - Accent4 3 3 2 2 4 2" xfId="12097" xr:uid="{00000000-0005-0000-0000-0000DD1C0000}"/>
    <cellStyle name="20% - Accent4 3 3 2 2 4 2 2" xfId="26631" xr:uid="{00000000-0005-0000-0000-0000DE1C0000}"/>
    <cellStyle name="20% - Accent4 3 3 2 2 4 2 2 2" xfId="55637" xr:uid="{00000000-0005-0000-0000-0000DF1C0000}"/>
    <cellStyle name="20% - Accent4 3 3 2 2 4 2 3" xfId="41138" xr:uid="{00000000-0005-0000-0000-0000E01C0000}"/>
    <cellStyle name="20% - Accent4 3 3 2 2 4 3" xfId="19383" xr:uid="{00000000-0005-0000-0000-0000E11C0000}"/>
    <cellStyle name="20% - Accent4 3 3 2 2 4 3 2" xfId="48389" xr:uid="{00000000-0005-0000-0000-0000E21C0000}"/>
    <cellStyle name="20% - Accent4 3 3 2 2 4 4" xfId="33890" xr:uid="{00000000-0005-0000-0000-0000E31C0000}"/>
    <cellStyle name="20% - Accent4 3 3 2 2 5" xfId="7929" xr:uid="{00000000-0005-0000-0000-0000E41C0000}"/>
    <cellStyle name="20% - Accent4 3 3 2 2 5 2" xfId="15201" xr:uid="{00000000-0005-0000-0000-0000E51C0000}"/>
    <cellStyle name="20% - Accent4 3 3 2 2 5 2 2" xfId="29735" xr:uid="{00000000-0005-0000-0000-0000E61C0000}"/>
    <cellStyle name="20% - Accent4 3 3 2 2 5 2 2 2" xfId="58741" xr:uid="{00000000-0005-0000-0000-0000E71C0000}"/>
    <cellStyle name="20% - Accent4 3 3 2 2 5 2 3" xfId="44242" xr:uid="{00000000-0005-0000-0000-0000E81C0000}"/>
    <cellStyle name="20% - Accent4 3 3 2 2 5 3" xfId="22487" xr:uid="{00000000-0005-0000-0000-0000E91C0000}"/>
    <cellStyle name="20% - Accent4 3 3 2 2 5 3 2" xfId="51493" xr:uid="{00000000-0005-0000-0000-0000EA1C0000}"/>
    <cellStyle name="20% - Accent4 3 3 2 2 5 4" xfId="36994" xr:uid="{00000000-0005-0000-0000-0000EB1C0000}"/>
    <cellStyle name="20% - Accent4 3 3 2 2 6" xfId="8993" xr:uid="{00000000-0005-0000-0000-0000EC1C0000}"/>
    <cellStyle name="20% - Accent4 3 3 2 2 6 2" xfId="23527" xr:uid="{00000000-0005-0000-0000-0000ED1C0000}"/>
    <cellStyle name="20% - Accent4 3 3 2 2 6 2 2" xfId="52533" xr:uid="{00000000-0005-0000-0000-0000EE1C0000}"/>
    <cellStyle name="20% - Accent4 3 3 2 2 6 3" xfId="38034" xr:uid="{00000000-0005-0000-0000-0000EF1C0000}"/>
    <cellStyle name="20% - Accent4 3 3 2 2 7" xfId="16279" xr:uid="{00000000-0005-0000-0000-0000F01C0000}"/>
    <cellStyle name="20% - Accent4 3 3 2 2 7 2" xfId="45285" xr:uid="{00000000-0005-0000-0000-0000F11C0000}"/>
    <cellStyle name="20% - Accent4 3 3 2 2 8" xfId="30786" xr:uid="{00000000-0005-0000-0000-0000F21C0000}"/>
    <cellStyle name="20% - Accent4 3 3 2 3" xfId="2249" xr:uid="{00000000-0005-0000-0000-0000F31C0000}"/>
    <cellStyle name="20% - Accent4 3 3 2 3 2" xfId="5353" xr:uid="{00000000-0005-0000-0000-0000F41C0000}"/>
    <cellStyle name="20% - Accent4 3 3 2 3 2 2" xfId="12625" xr:uid="{00000000-0005-0000-0000-0000F51C0000}"/>
    <cellStyle name="20% - Accent4 3 3 2 3 2 2 2" xfId="27159" xr:uid="{00000000-0005-0000-0000-0000F61C0000}"/>
    <cellStyle name="20% - Accent4 3 3 2 3 2 2 2 2" xfId="56165" xr:uid="{00000000-0005-0000-0000-0000F71C0000}"/>
    <cellStyle name="20% - Accent4 3 3 2 3 2 2 3" xfId="41666" xr:uid="{00000000-0005-0000-0000-0000F81C0000}"/>
    <cellStyle name="20% - Accent4 3 3 2 3 2 3" xfId="19911" xr:uid="{00000000-0005-0000-0000-0000F91C0000}"/>
    <cellStyle name="20% - Accent4 3 3 2 3 2 3 2" xfId="48917" xr:uid="{00000000-0005-0000-0000-0000FA1C0000}"/>
    <cellStyle name="20% - Accent4 3 3 2 3 2 4" xfId="34418" xr:uid="{00000000-0005-0000-0000-0000FB1C0000}"/>
    <cellStyle name="20% - Accent4 3 3 2 3 3" xfId="9521" xr:uid="{00000000-0005-0000-0000-0000FC1C0000}"/>
    <cellStyle name="20% - Accent4 3 3 2 3 3 2" xfId="24055" xr:uid="{00000000-0005-0000-0000-0000FD1C0000}"/>
    <cellStyle name="20% - Accent4 3 3 2 3 3 2 2" xfId="53061" xr:uid="{00000000-0005-0000-0000-0000FE1C0000}"/>
    <cellStyle name="20% - Accent4 3 3 2 3 3 3" xfId="38562" xr:uid="{00000000-0005-0000-0000-0000FF1C0000}"/>
    <cellStyle name="20% - Accent4 3 3 2 3 4" xfId="16807" xr:uid="{00000000-0005-0000-0000-0000001D0000}"/>
    <cellStyle name="20% - Accent4 3 3 2 3 4 2" xfId="45813" xr:uid="{00000000-0005-0000-0000-0000011D0000}"/>
    <cellStyle name="20% - Accent4 3 3 2 3 5" xfId="31314" xr:uid="{00000000-0005-0000-0000-0000021D0000}"/>
    <cellStyle name="20% - Accent4 3 3 2 4" xfId="3281" xr:uid="{00000000-0005-0000-0000-0000031D0000}"/>
    <cellStyle name="20% - Accent4 3 3 2 4 2" xfId="6385" xr:uid="{00000000-0005-0000-0000-0000041D0000}"/>
    <cellStyle name="20% - Accent4 3 3 2 4 2 2" xfId="13657" xr:uid="{00000000-0005-0000-0000-0000051D0000}"/>
    <cellStyle name="20% - Accent4 3 3 2 4 2 2 2" xfId="28191" xr:uid="{00000000-0005-0000-0000-0000061D0000}"/>
    <cellStyle name="20% - Accent4 3 3 2 4 2 2 2 2" xfId="57197" xr:uid="{00000000-0005-0000-0000-0000071D0000}"/>
    <cellStyle name="20% - Accent4 3 3 2 4 2 2 3" xfId="42698" xr:uid="{00000000-0005-0000-0000-0000081D0000}"/>
    <cellStyle name="20% - Accent4 3 3 2 4 2 3" xfId="20943" xr:uid="{00000000-0005-0000-0000-0000091D0000}"/>
    <cellStyle name="20% - Accent4 3 3 2 4 2 3 2" xfId="49949" xr:uid="{00000000-0005-0000-0000-00000A1D0000}"/>
    <cellStyle name="20% - Accent4 3 3 2 4 2 4" xfId="35450" xr:uid="{00000000-0005-0000-0000-00000B1D0000}"/>
    <cellStyle name="20% - Accent4 3 3 2 4 3" xfId="10553" xr:uid="{00000000-0005-0000-0000-00000C1D0000}"/>
    <cellStyle name="20% - Accent4 3 3 2 4 3 2" xfId="25087" xr:uid="{00000000-0005-0000-0000-00000D1D0000}"/>
    <cellStyle name="20% - Accent4 3 3 2 4 3 2 2" xfId="54093" xr:uid="{00000000-0005-0000-0000-00000E1D0000}"/>
    <cellStyle name="20% - Accent4 3 3 2 4 3 3" xfId="39594" xr:uid="{00000000-0005-0000-0000-00000F1D0000}"/>
    <cellStyle name="20% - Accent4 3 3 2 4 4" xfId="17839" xr:uid="{00000000-0005-0000-0000-0000101D0000}"/>
    <cellStyle name="20% - Accent4 3 3 2 4 4 2" xfId="46845" xr:uid="{00000000-0005-0000-0000-0000111D0000}"/>
    <cellStyle name="20% - Accent4 3 3 2 4 5" xfId="32346" xr:uid="{00000000-0005-0000-0000-0000121D0000}"/>
    <cellStyle name="20% - Accent4 3 3 2 5" xfId="4313" xr:uid="{00000000-0005-0000-0000-0000131D0000}"/>
    <cellStyle name="20% - Accent4 3 3 2 5 2" xfId="11585" xr:uid="{00000000-0005-0000-0000-0000141D0000}"/>
    <cellStyle name="20% - Accent4 3 3 2 5 2 2" xfId="26119" xr:uid="{00000000-0005-0000-0000-0000151D0000}"/>
    <cellStyle name="20% - Accent4 3 3 2 5 2 2 2" xfId="55125" xr:uid="{00000000-0005-0000-0000-0000161D0000}"/>
    <cellStyle name="20% - Accent4 3 3 2 5 2 3" xfId="40626" xr:uid="{00000000-0005-0000-0000-0000171D0000}"/>
    <cellStyle name="20% - Accent4 3 3 2 5 3" xfId="18871" xr:uid="{00000000-0005-0000-0000-0000181D0000}"/>
    <cellStyle name="20% - Accent4 3 3 2 5 3 2" xfId="47877" xr:uid="{00000000-0005-0000-0000-0000191D0000}"/>
    <cellStyle name="20% - Accent4 3 3 2 5 4" xfId="33378" xr:uid="{00000000-0005-0000-0000-00001A1D0000}"/>
    <cellStyle name="20% - Accent4 3 3 2 6" xfId="7417" xr:uid="{00000000-0005-0000-0000-00001B1D0000}"/>
    <cellStyle name="20% - Accent4 3 3 2 6 2" xfId="14689" xr:uid="{00000000-0005-0000-0000-00001C1D0000}"/>
    <cellStyle name="20% - Accent4 3 3 2 6 2 2" xfId="29223" xr:uid="{00000000-0005-0000-0000-00001D1D0000}"/>
    <cellStyle name="20% - Accent4 3 3 2 6 2 2 2" xfId="58229" xr:uid="{00000000-0005-0000-0000-00001E1D0000}"/>
    <cellStyle name="20% - Accent4 3 3 2 6 2 3" xfId="43730" xr:uid="{00000000-0005-0000-0000-00001F1D0000}"/>
    <cellStyle name="20% - Accent4 3 3 2 6 3" xfId="21975" xr:uid="{00000000-0005-0000-0000-0000201D0000}"/>
    <cellStyle name="20% - Accent4 3 3 2 6 3 2" xfId="50981" xr:uid="{00000000-0005-0000-0000-0000211D0000}"/>
    <cellStyle name="20% - Accent4 3 3 2 6 4" xfId="36482" xr:uid="{00000000-0005-0000-0000-0000221D0000}"/>
    <cellStyle name="20% - Accent4 3 3 2 7" xfId="8481" xr:uid="{00000000-0005-0000-0000-0000231D0000}"/>
    <cellStyle name="20% - Accent4 3 3 2 7 2" xfId="23015" xr:uid="{00000000-0005-0000-0000-0000241D0000}"/>
    <cellStyle name="20% - Accent4 3 3 2 7 2 2" xfId="52021" xr:uid="{00000000-0005-0000-0000-0000251D0000}"/>
    <cellStyle name="20% - Accent4 3 3 2 7 3" xfId="37522" xr:uid="{00000000-0005-0000-0000-0000261D0000}"/>
    <cellStyle name="20% - Accent4 3 3 2 8" xfId="15767" xr:uid="{00000000-0005-0000-0000-0000271D0000}"/>
    <cellStyle name="20% - Accent4 3 3 2 8 2" xfId="44773" xr:uid="{00000000-0005-0000-0000-0000281D0000}"/>
    <cellStyle name="20% - Accent4 3 3 2 9" xfId="30274" xr:uid="{00000000-0005-0000-0000-0000291D0000}"/>
    <cellStyle name="20% - Accent4 3 3 3" xfId="1397" xr:uid="{00000000-0005-0000-0000-00002A1D0000}"/>
    <cellStyle name="20% - Accent4 3 3 3 2" xfId="2455" xr:uid="{00000000-0005-0000-0000-00002B1D0000}"/>
    <cellStyle name="20% - Accent4 3 3 3 2 2" xfId="5559" xr:uid="{00000000-0005-0000-0000-00002C1D0000}"/>
    <cellStyle name="20% - Accent4 3 3 3 2 2 2" xfId="12831" xr:uid="{00000000-0005-0000-0000-00002D1D0000}"/>
    <cellStyle name="20% - Accent4 3 3 3 2 2 2 2" xfId="27365" xr:uid="{00000000-0005-0000-0000-00002E1D0000}"/>
    <cellStyle name="20% - Accent4 3 3 3 2 2 2 2 2" xfId="56371" xr:uid="{00000000-0005-0000-0000-00002F1D0000}"/>
    <cellStyle name="20% - Accent4 3 3 3 2 2 2 3" xfId="41872" xr:uid="{00000000-0005-0000-0000-0000301D0000}"/>
    <cellStyle name="20% - Accent4 3 3 3 2 2 3" xfId="20117" xr:uid="{00000000-0005-0000-0000-0000311D0000}"/>
    <cellStyle name="20% - Accent4 3 3 3 2 2 3 2" xfId="49123" xr:uid="{00000000-0005-0000-0000-0000321D0000}"/>
    <cellStyle name="20% - Accent4 3 3 3 2 2 4" xfId="34624" xr:uid="{00000000-0005-0000-0000-0000331D0000}"/>
    <cellStyle name="20% - Accent4 3 3 3 2 3" xfId="9727" xr:uid="{00000000-0005-0000-0000-0000341D0000}"/>
    <cellStyle name="20% - Accent4 3 3 3 2 3 2" xfId="24261" xr:uid="{00000000-0005-0000-0000-0000351D0000}"/>
    <cellStyle name="20% - Accent4 3 3 3 2 3 2 2" xfId="53267" xr:uid="{00000000-0005-0000-0000-0000361D0000}"/>
    <cellStyle name="20% - Accent4 3 3 3 2 3 3" xfId="38768" xr:uid="{00000000-0005-0000-0000-0000371D0000}"/>
    <cellStyle name="20% - Accent4 3 3 3 2 4" xfId="17013" xr:uid="{00000000-0005-0000-0000-0000381D0000}"/>
    <cellStyle name="20% - Accent4 3 3 3 2 4 2" xfId="46019" xr:uid="{00000000-0005-0000-0000-0000391D0000}"/>
    <cellStyle name="20% - Accent4 3 3 3 2 5" xfId="31520" xr:uid="{00000000-0005-0000-0000-00003A1D0000}"/>
    <cellStyle name="20% - Accent4 3 3 3 3" xfId="3487" xr:uid="{00000000-0005-0000-0000-00003B1D0000}"/>
    <cellStyle name="20% - Accent4 3 3 3 3 2" xfId="6591" xr:uid="{00000000-0005-0000-0000-00003C1D0000}"/>
    <cellStyle name="20% - Accent4 3 3 3 3 2 2" xfId="13863" xr:uid="{00000000-0005-0000-0000-00003D1D0000}"/>
    <cellStyle name="20% - Accent4 3 3 3 3 2 2 2" xfId="28397" xr:uid="{00000000-0005-0000-0000-00003E1D0000}"/>
    <cellStyle name="20% - Accent4 3 3 3 3 2 2 2 2" xfId="57403" xr:uid="{00000000-0005-0000-0000-00003F1D0000}"/>
    <cellStyle name="20% - Accent4 3 3 3 3 2 2 3" xfId="42904" xr:uid="{00000000-0005-0000-0000-0000401D0000}"/>
    <cellStyle name="20% - Accent4 3 3 3 3 2 3" xfId="21149" xr:uid="{00000000-0005-0000-0000-0000411D0000}"/>
    <cellStyle name="20% - Accent4 3 3 3 3 2 3 2" xfId="50155" xr:uid="{00000000-0005-0000-0000-0000421D0000}"/>
    <cellStyle name="20% - Accent4 3 3 3 3 2 4" xfId="35656" xr:uid="{00000000-0005-0000-0000-0000431D0000}"/>
    <cellStyle name="20% - Accent4 3 3 3 3 3" xfId="10759" xr:uid="{00000000-0005-0000-0000-0000441D0000}"/>
    <cellStyle name="20% - Accent4 3 3 3 3 3 2" xfId="25293" xr:uid="{00000000-0005-0000-0000-0000451D0000}"/>
    <cellStyle name="20% - Accent4 3 3 3 3 3 2 2" xfId="54299" xr:uid="{00000000-0005-0000-0000-0000461D0000}"/>
    <cellStyle name="20% - Accent4 3 3 3 3 3 3" xfId="39800" xr:uid="{00000000-0005-0000-0000-0000471D0000}"/>
    <cellStyle name="20% - Accent4 3 3 3 3 4" xfId="18045" xr:uid="{00000000-0005-0000-0000-0000481D0000}"/>
    <cellStyle name="20% - Accent4 3 3 3 3 4 2" xfId="47051" xr:uid="{00000000-0005-0000-0000-0000491D0000}"/>
    <cellStyle name="20% - Accent4 3 3 3 3 5" xfId="32552" xr:uid="{00000000-0005-0000-0000-00004A1D0000}"/>
    <cellStyle name="20% - Accent4 3 3 3 4" xfId="4519" xr:uid="{00000000-0005-0000-0000-00004B1D0000}"/>
    <cellStyle name="20% - Accent4 3 3 3 4 2" xfId="11791" xr:uid="{00000000-0005-0000-0000-00004C1D0000}"/>
    <cellStyle name="20% - Accent4 3 3 3 4 2 2" xfId="26325" xr:uid="{00000000-0005-0000-0000-00004D1D0000}"/>
    <cellStyle name="20% - Accent4 3 3 3 4 2 2 2" xfId="55331" xr:uid="{00000000-0005-0000-0000-00004E1D0000}"/>
    <cellStyle name="20% - Accent4 3 3 3 4 2 3" xfId="40832" xr:uid="{00000000-0005-0000-0000-00004F1D0000}"/>
    <cellStyle name="20% - Accent4 3 3 3 4 3" xfId="19077" xr:uid="{00000000-0005-0000-0000-0000501D0000}"/>
    <cellStyle name="20% - Accent4 3 3 3 4 3 2" xfId="48083" xr:uid="{00000000-0005-0000-0000-0000511D0000}"/>
    <cellStyle name="20% - Accent4 3 3 3 4 4" xfId="33584" xr:uid="{00000000-0005-0000-0000-0000521D0000}"/>
    <cellStyle name="20% - Accent4 3 3 3 5" xfId="7623" xr:uid="{00000000-0005-0000-0000-0000531D0000}"/>
    <cellStyle name="20% - Accent4 3 3 3 5 2" xfId="14895" xr:uid="{00000000-0005-0000-0000-0000541D0000}"/>
    <cellStyle name="20% - Accent4 3 3 3 5 2 2" xfId="29429" xr:uid="{00000000-0005-0000-0000-0000551D0000}"/>
    <cellStyle name="20% - Accent4 3 3 3 5 2 2 2" xfId="58435" xr:uid="{00000000-0005-0000-0000-0000561D0000}"/>
    <cellStyle name="20% - Accent4 3 3 3 5 2 3" xfId="43936" xr:uid="{00000000-0005-0000-0000-0000571D0000}"/>
    <cellStyle name="20% - Accent4 3 3 3 5 3" xfId="22181" xr:uid="{00000000-0005-0000-0000-0000581D0000}"/>
    <cellStyle name="20% - Accent4 3 3 3 5 3 2" xfId="51187" xr:uid="{00000000-0005-0000-0000-0000591D0000}"/>
    <cellStyle name="20% - Accent4 3 3 3 5 4" xfId="36688" xr:uid="{00000000-0005-0000-0000-00005A1D0000}"/>
    <cellStyle name="20% - Accent4 3 3 3 6" xfId="8687" xr:uid="{00000000-0005-0000-0000-00005B1D0000}"/>
    <cellStyle name="20% - Accent4 3 3 3 6 2" xfId="23221" xr:uid="{00000000-0005-0000-0000-00005C1D0000}"/>
    <cellStyle name="20% - Accent4 3 3 3 6 2 2" xfId="52227" xr:uid="{00000000-0005-0000-0000-00005D1D0000}"/>
    <cellStyle name="20% - Accent4 3 3 3 6 3" xfId="37728" xr:uid="{00000000-0005-0000-0000-00005E1D0000}"/>
    <cellStyle name="20% - Accent4 3 3 3 7" xfId="15973" xr:uid="{00000000-0005-0000-0000-00005F1D0000}"/>
    <cellStyle name="20% - Accent4 3 3 3 7 2" xfId="44979" xr:uid="{00000000-0005-0000-0000-0000601D0000}"/>
    <cellStyle name="20% - Accent4 3 3 3 8" xfId="30480" xr:uid="{00000000-0005-0000-0000-0000611D0000}"/>
    <cellStyle name="20% - Accent4 3 3 4" xfId="1943" xr:uid="{00000000-0005-0000-0000-0000621D0000}"/>
    <cellStyle name="20% - Accent4 3 3 4 2" xfId="5047" xr:uid="{00000000-0005-0000-0000-0000631D0000}"/>
    <cellStyle name="20% - Accent4 3 3 4 2 2" xfId="12319" xr:uid="{00000000-0005-0000-0000-0000641D0000}"/>
    <cellStyle name="20% - Accent4 3 3 4 2 2 2" xfId="26853" xr:uid="{00000000-0005-0000-0000-0000651D0000}"/>
    <cellStyle name="20% - Accent4 3 3 4 2 2 2 2" xfId="55859" xr:uid="{00000000-0005-0000-0000-0000661D0000}"/>
    <cellStyle name="20% - Accent4 3 3 4 2 2 3" xfId="41360" xr:uid="{00000000-0005-0000-0000-0000671D0000}"/>
    <cellStyle name="20% - Accent4 3 3 4 2 3" xfId="19605" xr:uid="{00000000-0005-0000-0000-0000681D0000}"/>
    <cellStyle name="20% - Accent4 3 3 4 2 3 2" xfId="48611" xr:uid="{00000000-0005-0000-0000-0000691D0000}"/>
    <cellStyle name="20% - Accent4 3 3 4 2 4" xfId="34112" xr:uid="{00000000-0005-0000-0000-00006A1D0000}"/>
    <cellStyle name="20% - Accent4 3 3 4 3" xfId="9215" xr:uid="{00000000-0005-0000-0000-00006B1D0000}"/>
    <cellStyle name="20% - Accent4 3 3 4 3 2" xfId="23749" xr:uid="{00000000-0005-0000-0000-00006C1D0000}"/>
    <cellStyle name="20% - Accent4 3 3 4 3 2 2" xfId="52755" xr:uid="{00000000-0005-0000-0000-00006D1D0000}"/>
    <cellStyle name="20% - Accent4 3 3 4 3 3" xfId="38256" xr:uid="{00000000-0005-0000-0000-00006E1D0000}"/>
    <cellStyle name="20% - Accent4 3 3 4 4" xfId="16501" xr:uid="{00000000-0005-0000-0000-00006F1D0000}"/>
    <cellStyle name="20% - Accent4 3 3 4 4 2" xfId="45507" xr:uid="{00000000-0005-0000-0000-0000701D0000}"/>
    <cellStyle name="20% - Accent4 3 3 4 5" xfId="31008" xr:uid="{00000000-0005-0000-0000-0000711D0000}"/>
    <cellStyle name="20% - Accent4 3 3 5" xfId="2975" xr:uid="{00000000-0005-0000-0000-0000721D0000}"/>
    <cellStyle name="20% - Accent4 3 3 5 2" xfId="6079" xr:uid="{00000000-0005-0000-0000-0000731D0000}"/>
    <cellStyle name="20% - Accent4 3 3 5 2 2" xfId="13351" xr:uid="{00000000-0005-0000-0000-0000741D0000}"/>
    <cellStyle name="20% - Accent4 3 3 5 2 2 2" xfId="27885" xr:uid="{00000000-0005-0000-0000-0000751D0000}"/>
    <cellStyle name="20% - Accent4 3 3 5 2 2 2 2" xfId="56891" xr:uid="{00000000-0005-0000-0000-0000761D0000}"/>
    <cellStyle name="20% - Accent4 3 3 5 2 2 3" xfId="42392" xr:uid="{00000000-0005-0000-0000-0000771D0000}"/>
    <cellStyle name="20% - Accent4 3 3 5 2 3" xfId="20637" xr:uid="{00000000-0005-0000-0000-0000781D0000}"/>
    <cellStyle name="20% - Accent4 3 3 5 2 3 2" xfId="49643" xr:uid="{00000000-0005-0000-0000-0000791D0000}"/>
    <cellStyle name="20% - Accent4 3 3 5 2 4" xfId="35144" xr:uid="{00000000-0005-0000-0000-00007A1D0000}"/>
    <cellStyle name="20% - Accent4 3 3 5 3" xfId="10247" xr:uid="{00000000-0005-0000-0000-00007B1D0000}"/>
    <cellStyle name="20% - Accent4 3 3 5 3 2" xfId="24781" xr:uid="{00000000-0005-0000-0000-00007C1D0000}"/>
    <cellStyle name="20% - Accent4 3 3 5 3 2 2" xfId="53787" xr:uid="{00000000-0005-0000-0000-00007D1D0000}"/>
    <cellStyle name="20% - Accent4 3 3 5 3 3" xfId="39288" xr:uid="{00000000-0005-0000-0000-00007E1D0000}"/>
    <cellStyle name="20% - Accent4 3 3 5 4" xfId="17533" xr:uid="{00000000-0005-0000-0000-00007F1D0000}"/>
    <cellStyle name="20% - Accent4 3 3 5 4 2" xfId="46539" xr:uid="{00000000-0005-0000-0000-0000801D0000}"/>
    <cellStyle name="20% - Accent4 3 3 5 5" xfId="32040" xr:uid="{00000000-0005-0000-0000-0000811D0000}"/>
    <cellStyle name="20% - Accent4 3 3 6" xfId="4007" xr:uid="{00000000-0005-0000-0000-0000821D0000}"/>
    <cellStyle name="20% - Accent4 3 3 6 2" xfId="11279" xr:uid="{00000000-0005-0000-0000-0000831D0000}"/>
    <cellStyle name="20% - Accent4 3 3 6 2 2" xfId="25813" xr:uid="{00000000-0005-0000-0000-0000841D0000}"/>
    <cellStyle name="20% - Accent4 3 3 6 2 2 2" xfId="54819" xr:uid="{00000000-0005-0000-0000-0000851D0000}"/>
    <cellStyle name="20% - Accent4 3 3 6 2 3" xfId="40320" xr:uid="{00000000-0005-0000-0000-0000861D0000}"/>
    <cellStyle name="20% - Accent4 3 3 6 3" xfId="18565" xr:uid="{00000000-0005-0000-0000-0000871D0000}"/>
    <cellStyle name="20% - Accent4 3 3 6 3 2" xfId="47571" xr:uid="{00000000-0005-0000-0000-0000881D0000}"/>
    <cellStyle name="20% - Accent4 3 3 6 4" xfId="33072" xr:uid="{00000000-0005-0000-0000-0000891D0000}"/>
    <cellStyle name="20% - Accent4 3 3 7" xfId="7111" xr:uid="{00000000-0005-0000-0000-00008A1D0000}"/>
    <cellStyle name="20% - Accent4 3 3 7 2" xfId="14383" xr:uid="{00000000-0005-0000-0000-00008B1D0000}"/>
    <cellStyle name="20% - Accent4 3 3 7 2 2" xfId="28917" xr:uid="{00000000-0005-0000-0000-00008C1D0000}"/>
    <cellStyle name="20% - Accent4 3 3 7 2 2 2" xfId="57923" xr:uid="{00000000-0005-0000-0000-00008D1D0000}"/>
    <cellStyle name="20% - Accent4 3 3 7 2 3" xfId="43424" xr:uid="{00000000-0005-0000-0000-00008E1D0000}"/>
    <cellStyle name="20% - Accent4 3 3 7 3" xfId="21669" xr:uid="{00000000-0005-0000-0000-00008F1D0000}"/>
    <cellStyle name="20% - Accent4 3 3 7 3 2" xfId="50675" xr:uid="{00000000-0005-0000-0000-0000901D0000}"/>
    <cellStyle name="20% - Accent4 3 3 7 4" xfId="36176" xr:uid="{00000000-0005-0000-0000-0000911D0000}"/>
    <cellStyle name="20% - Accent4 3 3 8" xfId="8175" xr:uid="{00000000-0005-0000-0000-0000921D0000}"/>
    <cellStyle name="20% - Accent4 3 3 8 2" xfId="22709" xr:uid="{00000000-0005-0000-0000-0000931D0000}"/>
    <cellStyle name="20% - Accent4 3 3 8 2 2" xfId="51715" xr:uid="{00000000-0005-0000-0000-0000941D0000}"/>
    <cellStyle name="20% - Accent4 3 3 8 3" xfId="37216" xr:uid="{00000000-0005-0000-0000-0000951D0000}"/>
    <cellStyle name="20% - Accent4 3 3 9" xfId="15461" xr:uid="{00000000-0005-0000-0000-0000961D0000}"/>
    <cellStyle name="20% - Accent4 3 3 9 2" xfId="44467" xr:uid="{00000000-0005-0000-0000-0000971D0000}"/>
    <cellStyle name="20% - Accent4 3 4" xfId="1102" xr:uid="{00000000-0005-0000-0000-0000981D0000}"/>
    <cellStyle name="20% - Accent4 3 4 2" xfId="1599" xr:uid="{00000000-0005-0000-0000-0000991D0000}"/>
    <cellStyle name="20% - Accent4 3 4 2 2" xfId="2658" xr:uid="{00000000-0005-0000-0000-00009A1D0000}"/>
    <cellStyle name="20% - Accent4 3 4 2 2 2" xfId="5762" xr:uid="{00000000-0005-0000-0000-00009B1D0000}"/>
    <cellStyle name="20% - Accent4 3 4 2 2 2 2" xfId="13034" xr:uid="{00000000-0005-0000-0000-00009C1D0000}"/>
    <cellStyle name="20% - Accent4 3 4 2 2 2 2 2" xfId="27568" xr:uid="{00000000-0005-0000-0000-00009D1D0000}"/>
    <cellStyle name="20% - Accent4 3 4 2 2 2 2 2 2" xfId="56574" xr:uid="{00000000-0005-0000-0000-00009E1D0000}"/>
    <cellStyle name="20% - Accent4 3 4 2 2 2 2 3" xfId="42075" xr:uid="{00000000-0005-0000-0000-00009F1D0000}"/>
    <cellStyle name="20% - Accent4 3 4 2 2 2 3" xfId="20320" xr:uid="{00000000-0005-0000-0000-0000A01D0000}"/>
    <cellStyle name="20% - Accent4 3 4 2 2 2 3 2" xfId="49326" xr:uid="{00000000-0005-0000-0000-0000A11D0000}"/>
    <cellStyle name="20% - Accent4 3 4 2 2 2 4" xfId="34827" xr:uid="{00000000-0005-0000-0000-0000A21D0000}"/>
    <cellStyle name="20% - Accent4 3 4 2 2 3" xfId="9930" xr:uid="{00000000-0005-0000-0000-0000A31D0000}"/>
    <cellStyle name="20% - Accent4 3 4 2 2 3 2" xfId="24464" xr:uid="{00000000-0005-0000-0000-0000A41D0000}"/>
    <cellStyle name="20% - Accent4 3 4 2 2 3 2 2" xfId="53470" xr:uid="{00000000-0005-0000-0000-0000A51D0000}"/>
    <cellStyle name="20% - Accent4 3 4 2 2 3 3" xfId="38971" xr:uid="{00000000-0005-0000-0000-0000A61D0000}"/>
    <cellStyle name="20% - Accent4 3 4 2 2 4" xfId="17216" xr:uid="{00000000-0005-0000-0000-0000A71D0000}"/>
    <cellStyle name="20% - Accent4 3 4 2 2 4 2" xfId="46222" xr:uid="{00000000-0005-0000-0000-0000A81D0000}"/>
    <cellStyle name="20% - Accent4 3 4 2 2 5" xfId="31723" xr:uid="{00000000-0005-0000-0000-0000A91D0000}"/>
    <cellStyle name="20% - Accent4 3 4 2 3" xfId="3690" xr:uid="{00000000-0005-0000-0000-0000AA1D0000}"/>
    <cellStyle name="20% - Accent4 3 4 2 3 2" xfId="6794" xr:uid="{00000000-0005-0000-0000-0000AB1D0000}"/>
    <cellStyle name="20% - Accent4 3 4 2 3 2 2" xfId="14066" xr:uid="{00000000-0005-0000-0000-0000AC1D0000}"/>
    <cellStyle name="20% - Accent4 3 4 2 3 2 2 2" xfId="28600" xr:uid="{00000000-0005-0000-0000-0000AD1D0000}"/>
    <cellStyle name="20% - Accent4 3 4 2 3 2 2 2 2" xfId="57606" xr:uid="{00000000-0005-0000-0000-0000AE1D0000}"/>
    <cellStyle name="20% - Accent4 3 4 2 3 2 2 3" xfId="43107" xr:uid="{00000000-0005-0000-0000-0000AF1D0000}"/>
    <cellStyle name="20% - Accent4 3 4 2 3 2 3" xfId="21352" xr:uid="{00000000-0005-0000-0000-0000B01D0000}"/>
    <cellStyle name="20% - Accent4 3 4 2 3 2 3 2" xfId="50358" xr:uid="{00000000-0005-0000-0000-0000B11D0000}"/>
    <cellStyle name="20% - Accent4 3 4 2 3 2 4" xfId="35859" xr:uid="{00000000-0005-0000-0000-0000B21D0000}"/>
    <cellStyle name="20% - Accent4 3 4 2 3 3" xfId="10962" xr:uid="{00000000-0005-0000-0000-0000B31D0000}"/>
    <cellStyle name="20% - Accent4 3 4 2 3 3 2" xfId="25496" xr:uid="{00000000-0005-0000-0000-0000B41D0000}"/>
    <cellStyle name="20% - Accent4 3 4 2 3 3 2 2" xfId="54502" xr:uid="{00000000-0005-0000-0000-0000B51D0000}"/>
    <cellStyle name="20% - Accent4 3 4 2 3 3 3" xfId="40003" xr:uid="{00000000-0005-0000-0000-0000B61D0000}"/>
    <cellStyle name="20% - Accent4 3 4 2 3 4" xfId="18248" xr:uid="{00000000-0005-0000-0000-0000B71D0000}"/>
    <cellStyle name="20% - Accent4 3 4 2 3 4 2" xfId="47254" xr:uid="{00000000-0005-0000-0000-0000B81D0000}"/>
    <cellStyle name="20% - Accent4 3 4 2 3 5" xfId="32755" xr:uid="{00000000-0005-0000-0000-0000B91D0000}"/>
    <cellStyle name="20% - Accent4 3 4 2 4" xfId="4722" xr:uid="{00000000-0005-0000-0000-0000BA1D0000}"/>
    <cellStyle name="20% - Accent4 3 4 2 4 2" xfId="11994" xr:uid="{00000000-0005-0000-0000-0000BB1D0000}"/>
    <cellStyle name="20% - Accent4 3 4 2 4 2 2" xfId="26528" xr:uid="{00000000-0005-0000-0000-0000BC1D0000}"/>
    <cellStyle name="20% - Accent4 3 4 2 4 2 2 2" xfId="55534" xr:uid="{00000000-0005-0000-0000-0000BD1D0000}"/>
    <cellStyle name="20% - Accent4 3 4 2 4 2 3" xfId="41035" xr:uid="{00000000-0005-0000-0000-0000BE1D0000}"/>
    <cellStyle name="20% - Accent4 3 4 2 4 3" xfId="19280" xr:uid="{00000000-0005-0000-0000-0000BF1D0000}"/>
    <cellStyle name="20% - Accent4 3 4 2 4 3 2" xfId="48286" xr:uid="{00000000-0005-0000-0000-0000C01D0000}"/>
    <cellStyle name="20% - Accent4 3 4 2 4 4" xfId="33787" xr:uid="{00000000-0005-0000-0000-0000C11D0000}"/>
    <cellStyle name="20% - Accent4 3 4 2 5" xfId="7826" xr:uid="{00000000-0005-0000-0000-0000C21D0000}"/>
    <cellStyle name="20% - Accent4 3 4 2 5 2" xfId="15098" xr:uid="{00000000-0005-0000-0000-0000C31D0000}"/>
    <cellStyle name="20% - Accent4 3 4 2 5 2 2" xfId="29632" xr:uid="{00000000-0005-0000-0000-0000C41D0000}"/>
    <cellStyle name="20% - Accent4 3 4 2 5 2 2 2" xfId="58638" xr:uid="{00000000-0005-0000-0000-0000C51D0000}"/>
    <cellStyle name="20% - Accent4 3 4 2 5 2 3" xfId="44139" xr:uid="{00000000-0005-0000-0000-0000C61D0000}"/>
    <cellStyle name="20% - Accent4 3 4 2 5 3" xfId="22384" xr:uid="{00000000-0005-0000-0000-0000C71D0000}"/>
    <cellStyle name="20% - Accent4 3 4 2 5 3 2" xfId="51390" xr:uid="{00000000-0005-0000-0000-0000C81D0000}"/>
    <cellStyle name="20% - Accent4 3 4 2 5 4" xfId="36891" xr:uid="{00000000-0005-0000-0000-0000C91D0000}"/>
    <cellStyle name="20% - Accent4 3 4 2 6" xfId="8890" xr:uid="{00000000-0005-0000-0000-0000CA1D0000}"/>
    <cellStyle name="20% - Accent4 3 4 2 6 2" xfId="23424" xr:uid="{00000000-0005-0000-0000-0000CB1D0000}"/>
    <cellStyle name="20% - Accent4 3 4 2 6 2 2" xfId="52430" xr:uid="{00000000-0005-0000-0000-0000CC1D0000}"/>
    <cellStyle name="20% - Accent4 3 4 2 6 3" xfId="37931" xr:uid="{00000000-0005-0000-0000-0000CD1D0000}"/>
    <cellStyle name="20% - Accent4 3 4 2 7" xfId="16176" xr:uid="{00000000-0005-0000-0000-0000CE1D0000}"/>
    <cellStyle name="20% - Accent4 3 4 2 7 2" xfId="45182" xr:uid="{00000000-0005-0000-0000-0000CF1D0000}"/>
    <cellStyle name="20% - Accent4 3 4 2 8" xfId="30683" xr:uid="{00000000-0005-0000-0000-0000D01D0000}"/>
    <cellStyle name="20% - Accent4 3 4 3" xfId="2146" xr:uid="{00000000-0005-0000-0000-0000D11D0000}"/>
    <cellStyle name="20% - Accent4 3 4 3 2" xfId="5250" xr:uid="{00000000-0005-0000-0000-0000D21D0000}"/>
    <cellStyle name="20% - Accent4 3 4 3 2 2" xfId="12522" xr:uid="{00000000-0005-0000-0000-0000D31D0000}"/>
    <cellStyle name="20% - Accent4 3 4 3 2 2 2" xfId="27056" xr:uid="{00000000-0005-0000-0000-0000D41D0000}"/>
    <cellStyle name="20% - Accent4 3 4 3 2 2 2 2" xfId="56062" xr:uid="{00000000-0005-0000-0000-0000D51D0000}"/>
    <cellStyle name="20% - Accent4 3 4 3 2 2 3" xfId="41563" xr:uid="{00000000-0005-0000-0000-0000D61D0000}"/>
    <cellStyle name="20% - Accent4 3 4 3 2 3" xfId="19808" xr:uid="{00000000-0005-0000-0000-0000D71D0000}"/>
    <cellStyle name="20% - Accent4 3 4 3 2 3 2" xfId="48814" xr:uid="{00000000-0005-0000-0000-0000D81D0000}"/>
    <cellStyle name="20% - Accent4 3 4 3 2 4" xfId="34315" xr:uid="{00000000-0005-0000-0000-0000D91D0000}"/>
    <cellStyle name="20% - Accent4 3 4 3 3" xfId="9418" xr:uid="{00000000-0005-0000-0000-0000DA1D0000}"/>
    <cellStyle name="20% - Accent4 3 4 3 3 2" xfId="23952" xr:uid="{00000000-0005-0000-0000-0000DB1D0000}"/>
    <cellStyle name="20% - Accent4 3 4 3 3 2 2" xfId="52958" xr:uid="{00000000-0005-0000-0000-0000DC1D0000}"/>
    <cellStyle name="20% - Accent4 3 4 3 3 3" xfId="38459" xr:uid="{00000000-0005-0000-0000-0000DD1D0000}"/>
    <cellStyle name="20% - Accent4 3 4 3 4" xfId="16704" xr:uid="{00000000-0005-0000-0000-0000DE1D0000}"/>
    <cellStyle name="20% - Accent4 3 4 3 4 2" xfId="45710" xr:uid="{00000000-0005-0000-0000-0000DF1D0000}"/>
    <cellStyle name="20% - Accent4 3 4 3 5" xfId="31211" xr:uid="{00000000-0005-0000-0000-0000E01D0000}"/>
    <cellStyle name="20% - Accent4 3 4 4" xfId="3178" xr:uid="{00000000-0005-0000-0000-0000E11D0000}"/>
    <cellStyle name="20% - Accent4 3 4 4 2" xfId="6282" xr:uid="{00000000-0005-0000-0000-0000E21D0000}"/>
    <cellStyle name="20% - Accent4 3 4 4 2 2" xfId="13554" xr:uid="{00000000-0005-0000-0000-0000E31D0000}"/>
    <cellStyle name="20% - Accent4 3 4 4 2 2 2" xfId="28088" xr:uid="{00000000-0005-0000-0000-0000E41D0000}"/>
    <cellStyle name="20% - Accent4 3 4 4 2 2 2 2" xfId="57094" xr:uid="{00000000-0005-0000-0000-0000E51D0000}"/>
    <cellStyle name="20% - Accent4 3 4 4 2 2 3" xfId="42595" xr:uid="{00000000-0005-0000-0000-0000E61D0000}"/>
    <cellStyle name="20% - Accent4 3 4 4 2 3" xfId="20840" xr:uid="{00000000-0005-0000-0000-0000E71D0000}"/>
    <cellStyle name="20% - Accent4 3 4 4 2 3 2" xfId="49846" xr:uid="{00000000-0005-0000-0000-0000E81D0000}"/>
    <cellStyle name="20% - Accent4 3 4 4 2 4" xfId="35347" xr:uid="{00000000-0005-0000-0000-0000E91D0000}"/>
    <cellStyle name="20% - Accent4 3 4 4 3" xfId="10450" xr:uid="{00000000-0005-0000-0000-0000EA1D0000}"/>
    <cellStyle name="20% - Accent4 3 4 4 3 2" xfId="24984" xr:uid="{00000000-0005-0000-0000-0000EB1D0000}"/>
    <cellStyle name="20% - Accent4 3 4 4 3 2 2" xfId="53990" xr:uid="{00000000-0005-0000-0000-0000EC1D0000}"/>
    <cellStyle name="20% - Accent4 3 4 4 3 3" xfId="39491" xr:uid="{00000000-0005-0000-0000-0000ED1D0000}"/>
    <cellStyle name="20% - Accent4 3 4 4 4" xfId="17736" xr:uid="{00000000-0005-0000-0000-0000EE1D0000}"/>
    <cellStyle name="20% - Accent4 3 4 4 4 2" xfId="46742" xr:uid="{00000000-0005-0000-0000-0000EF1D0000}"/>
    <cellStyle name="20% - Accent4 3 4 4 5" xfId="32243" xr:uid="{00000000-0005-0000-0000-0000F01D0000}"/>
    <cellStyle name="20% - Accent4 3 4 5" xfId="4210" xr:uid="{00000000-0005-0000-0000-0000F11D0000}"/>
    <cellStyle name="20% - Accent4 3 4 5 2" xfId="11482" xr:uid="{00000000-0005-0000-0000-0000F21D0000}"/>
    <cellStyle name="20% - Accent4 3 4 5 2 2" xfId="26016" xr:uid="{00000000-0005-0000-0000-0000F31D0000}"/>
    <cellStyle name="20% - Accent4 3 4 5 2 2 2" xfId="55022" xr:uid="{00000000-0005-0000-0000-0000F41D0000}"/>
    <cellStyle name="20% - Accent4 3 4 5 2 3" xfId="40523" xr:uid="{00000000-0005-0000-0000-0000F51D0000}"/>
    <cellStyle name="20% - Accent4 3 4 5 3" xfId="18768" xr:uid="{00000000-0005-0000-0000-0000F61D0000}"/>
    <cellStyle name="20% - Accent4 3 4 5 3 2" xfId="47774" xr:uid="{00000000-0005-0000-0000-0000F71D0000}"/>
    <cellStyle name="20% - Accent4 3 4 5 4" xfId="33275" xr:uid="{00000000-0005-0000-0000-0000F81D0000}"/>
    <cellStyle name="20% - Accent4 3 4 6" xfId="7314" xr:uid="{00000000-0005-0000-0000-0000F91D0000}"/>
    <cellStyle name="20% - Accent4 3 4 6 2" xfId="14586" xr:uid="{00000000-0005-0000-0000-0000FA1D0000}"/>
    <cellStyle name="20% - Accent4 3 4 6 2 2" xfId="29120" xr:uid="{00000000-0005-0000-0000-0000FB1D0000}"/>
    <cellStyle name="20% - Accent4 3 4 6 2 2 2" xfId="58126" xr:uid="{00000000-0005-0000-0000-0000FC1D0000}"/>
    <cellStyle name="20% - Accent4 3 4 6 2 3" xfId="43627" xr:uid="{00000000-0005-0000-0000-0000FD1D0000}"/>
    <cellStyle name="20% - Accent4 3 4 6 3" xfId="21872" xr:uid="{00000000-0005-0000-0000-0000FE1D0000}"/>
    <cellStyle name="20% - Accent4 3 4 6 3 2" xfId="50878" xr:uid="{00000000-0005-0000-0000-0000FF1D0000}"/>
    <cellStyle name="20% - Accent4 3 4 6 4" xfId="36379" xr:uid="{00000000-0005-0000-0000-0000001E0000}"/>
    <cellStyle name="20% - Accent4 3 4 7" xfId="8378" xr:uid="{00000000-0005-0000-0000-0000011E0000}"/>
    <cellStyle name="20% - Accent4 3 4 7 2" xfId="22912" xr:uid="{00000000-0005-0000-0000-0000021E0000}"/>
    <cellStyle name="20% - Accent4 3 4 7 2 2" xfId="51918" xr:uid="{00000000-0005-0000-0000-0000031E0000}"/>
    <cellStyle name="20% - Accent4 3 4 7 3" xfId="37419" xr:uid="{00000000-0005-0000-0000-0000041E0000}"/>
    <cellStyle name="20% - Accent4 3 4 8" xfId="15664" xr:uid="{00000000-0005-0000-0000-0000051E0000}"/>
    <cellStyle name="20% - Accent4 3 4 8 2" xfId="44670" xr:uid="{00000000-0005-0000-0000-0000061E0000}"/>
    <cellStyle name="20% - Accent4 3 4 9" xfId="30171" xr:uid="{00000000-0005-0000-0000-0000071E0000}"/>
    <cellStyle name="20% - Accent4 3 5" xfId="1012" xr:uid="{00000000-0005-0000-0000-0000081E0000}"/>
    <cellStyle name="20% - Accent4 3 5 2" xfId="1500" xr:uid="{00000000-0005-0000-0000-0000091E0000}"/>
    <cellStyle name="20% - Accent4 3 5 2 2" xfId="2558" xr:uid="{00000000-0005-0000-0000-00000A1E0000}"/>
    <cellStyle name="20% - Accent4 3 5 2 2 2" xfId="5662" xr:uid="{00000000-0005-0000-0000-00000B1E0000}"/>
    <cellStyle name="20% - Accent4 3 5 2 2 2 2" xfId="12934" xr:uid="{00000000-0005-0000-0000-00000C1E0000}"/>
    <cellStyle name="20% - Accent4 3 5 2 2 2 2 2" xfId="27468" xr:uid="{00000000-0005-0000-0000-00000D1E0000}"/>
    <cellStyle name="20% - Accent4 3 5 2 2 2 2 2 2" xfId="56474" xr:uid="{00000000-0005-0000-0000-00000E1E0000}"/>
    <cellStyle name="20% - Accent4 3 5 2 2 2 2 3" xfId="41975" xr:uid="{00000000-0005-0000-0000-00000F1E0000}"/>
    <cellStyle name="20% - Accent4 3 5 2 2 2 3" xfId="20220" xr:uid="{00000000-0005-0000-0000-0000101E0000}"/>
    <cellStyle name="20% - Accent4 3 5 2 2 2 3 2" xfId="49226" xr:uid="{00000000-0005-0000-0000-0000111E0000}"/>
    <cellStyle name="20% - Accent4 3 5 2 2 2 4" xfId="34727" xr:uid="{00000000-0005-0000-0000-0000121E0000}"/>
    <cellStyle name="20% - Accent4 3 5 2 2 3" xfId="9830" xr:uid="{00000000-0005-0000-0000-0000131E0000}"/>
    <cellStyle name="20% - Accent4 3 5 2 2 3 2" xfId="24364" xr:uid="{00000000-0005-0000-0000-0000141E0000}"/>
    <cellStyle name="20% - Accent4 3 5 2 2 3 2 2" xfId="53370" xr:uid="{00000000-0005-0000-0000-0000151E0000}"/>
    <cellStyle name="20% - Accent4 3 5 2 2 3 3" xfId="38871" xr:uid="{00000000-0005-0000-0000-0000161E0000}"/>
    <cellStyle name="20% - Accent4 3 5 2 2 4" xfId="17116" xr:uid="{00000000-0005-0000-0000-0000171E0000}"/>
    <cellStyle name="20% - Accent4 3 5 2 2 4 2" xfId="46122" xr:uid="{00000000-0005-0000-0000-0000181E0000}"/>
    <cellStyle name="20% - Accent4 3 5 2 2 5" xfId="31623" xr:uid="{00000000-0005-0000-0000-0000191E0000}"/>
    <cellStyle name="20% - Accent4 3 5 2 3" xfId="3590" xr:uid="{00000000-0005-0000-0000-00001A1E0000}"/>
    <cellStyle name="20% - Accent4 3 5 2 3 2" xfId="6694" xr:uid="{00000000-0005-0000-0000-00001B1E0000}"/>
    <cellStyle name="20% - Accent4 3 5 2 3 2 2" xfId="13966" xr:uid="{00000000-0005-0000-0000-00001C1E0000}"/>
    <cellStyle name="20% - Accent4 3 5 2 3 2 2 2" xfId="28500" xr:uid="{00000000-0005-0000-0000-00001D1E0000}"/>
    <cellStyle name="20% - Accent4 3 5 2 3 2 2 2 2" xfId="57506" xr:uid="{00000000-0005-0000-0000-00001E1E0000}"/>
    <cellStyle name="20% - Accent4 3 5 2 3 2 2 3" xfId="43007" xr:uid="{00000000-0005-0000-0000-00001F1E0000}"/>
    <cellStyle name="20% - Accent4 3 5 2 3 2 3" xfId="21252" xr:uid="{00000000-0005-0000-0000-0000201E0000}"/>
    <cellStyle name="20% - Accent4 3 5 2 3 2 3 2" xfId="50258" xr:uid="{00000000-0005-0000-0000-0000211E0000}"/>
    <cellStyle name="20% - Accent4 3 5 2 3 2 4" xfId="35759" xr:uid="{00000000-0005-0000-0000-0000221E0000}"/>
    <cellStyle name="20% - Accent4 3 5 2 3 3" xfId="10862" xr:uid="{00000000-0005-0000-0000-0000231E0000}"/>
    <cellStyle name="20% - Accent4 3 5 2 3 3 2" xfId="25396" xr:uid="{00000000-0005-0000-0000-0000241E0000}"/>
    <cellStyle name="20% - Accent4 3 5 2 3 3 2 2" xfId="54402" xr:uid="{00000000-0005-0000-0000-0000251E0000}"/>
    <cellStyle name="20% - Accent4 3 5 2 3 3 3" xfId="39903" xr:uid="{00000000-0005-0000-0000-0000261E0000}"/>
    <cellStyle name="20% - Accent4 3 5 2 3 4" xfId="18148" xr:uid="{00000000-0005-0000-0000-0000271E0000}"/>
    <cellStyle name="20% - Accent4 3 5 2 3 4 2" xfId="47154" xr:uid="{00000000-0005-0000-0000-0000281E0000}"/>
    <cellStyle name="20% - Accent4 3 5 2 3 5" xfId="32655" xr:uid="{00000000-0005-0000-0000-0000291E0000}"/>
    <cellStyle name="20% - Accent4 3 5 2 4" xfId="4622" xr:uid="{00000000-0005-0000-0000-00002A1E0000}"/>
    <cellStyle name="20% - Accent4 3 5 2 4 2" xfId="11894" xr:uid="{00000000-0005-0000-0000-00002B1E0000}"/>
    <cellStyle name="20% - Accent4 3 5 2 4 2 2" xfId="26428" xr:uid="{00000000-0005-0000-0000-00002C1E0000}"/>
    <cellStyle name="20% - Accent4 3 5 2 4 2 2 2" xfId="55434" xr:uid="{00000000-0005-0000-0000-00002D1E0000}"/>
    <cellStyle name="20% - Accent4 3 5 2 4 2 3" xfId="40935" xr:uid="{00000000-0005-0000-0000-00002E1E0000}"/>
    <cellStyle name="20% - Accent4 3 5 2 4 3" xfId="19180" xr:uid="{00000000-0005-0000-0000-00002F1E0000}"/>
    <cellStyle name="20% - Accent4 3 5 2 4 3 2" xfId="48186" xr:uid="{00000000-0005-0000-0000-0000301E0000}"/>
    <cellStyle name="20% - Accent4 3 5 2 4 4" xfId="33687" xr:uid="{00000000-0005-0000-0000-0000311E0000}"/>
    <cellStyle name="20% - Accent4 3 5 2 5" xfId="7726" xr:uid="{00000000-0005-0000-0000-0000321E0000}"/>
    <cellStyle name="20% - Accent4 3 5 2 5 2" xfId="14998" xr:uid="{00000000-0005-0000-0000-0000331E0000}"/>
    <cellStyle name="20% - Accent4 3 5 2 5 2 2" xfId="29532" xr:uid="{00000000-0005-0000-0000-0000341E0000}"/>
    <cellStyle name="20% - Accent4 3 5 2 5 2 2 2" xfId="58538" xr:uid="{00000000-0005-0000-0000-0000351E0000}"/>
    <cellStyle name="20% - Accent4 3 5 2 5 2 3" xfId="44039" xr:uid="{00000000-0005-0000-0000-0000361E0000}"/>
    <cellStyle name="20% - Accent4 3 5 2 5 3" xfId="22284" xr:uid="{00000000-0005-0000-0000-0000371E0000}"/>
    <cellStyle name="20% - Accent4 3 5 2 5 3 2" xfId="51290" xr:uid="{00000000-0005-0000-0000-0000381E0000}"/>
    <cellStyle name="20% - Accent4 3 5 2 5 4" xfId="36791" xr:uid="{00000000-0005-0000-0000-0000391E0000}"/>
    <cellStyle name="20% - Accent4 3 5 2 6" xfId="8790" xr:uid="{00000000-0005-0000-0000-00003A1E0000}"/>
    <cellStyle name="20% - Accent4 3 5 2 6 2" xfId="23324" xr:uid="{00000000-0005-0000-0000-00003B1E0000}"/>
    <cellStyle name="20% - Accent4 3 5 2 6 2 2" xfId="52330" xr:uid="{00000000-0005-0000-0000-00003C1E0000}"/>
    <cellStyle name="20% - Accent4 3 5 2 6 3" xfId="37831" xr:uid="{00000000-0005-0000-0000-00003D1E0000}"/>
    <cellStyle name="20% - Accent4 3 5 2 7" xfId="16076" xr:uid="{00000000-0005-0000-0000-00003E1E0000}"/>
    <cellStyle name="20% - Accent4 3 5 2 7 2" xfId="45082" xr:uid="{00000000-0005-0000-0000-00003F1E0000}"/>
    <cellStyle name="20% - Accent4 3 5 2 8" xfId="30583" xr:uid="{00000000-0005-0000-0000-0000401E0000}"/>
    <cellStyle name="20% - Accent4 3 5 3" xfId="2046" xr:uid="{00000000-0005-0000-0000-0000411E0000}"/>
    <cellStyle name="20% - Accent4 3 5 3 2" xfId="5150" xr:uid="{00000000-0005-0000-0000-0000421E0000}"/>
    <cellStyle name="20% - Accent4 3 5 3 2 2" xfId="12422" xr:uid="{00000000-0005-0000-0000-0000431E0000}"/>
    <cellStyle name="20% - Accent4 3 5 3 2 2 2" xfId="26956" xr:uid="{00000000-0005-0000-0000-0000441E0000}"/>
    <cellStyle name="20% - Accent4 3 5 3 2 2 2 2" xfId="55962" xr:uid="{00000000-0005-0000-0000-0000451E0000}"/>
    <cellStyle name="20% - Accent4 3 5 3 2 2 3" xfId="41463" xr:uid="{00000000-0005-0000-0000-0000461E0000}"/>
    <cellStyle name="20% - Accent4 3 5 3 2 3" xfId="19708" xr:uid="{00000000-0005-0000-0000-0000471E0000}"/>
    <cellStyle name="20% - Accent4 3 5 3 2 3 2" xfId="48714" xr:uid="{00000000-0005-0000-0000-0000481E0000}"/>
    <cellStyle name="20% - Accent4 3 5 3 2 4" xfId="34215" xr:uid="{00000000-0005-0000-0000-0000491E0000}"/>
    <cellStyle name="20% - Accent4 3 5 3 3" xfId="9318" xr:uid="{00000000-0005-0000-0000-00004A1E0000}"/>
    <cellStyle name="20% - Accent4 3 5 3 3 2" xfId="23852" xr:uid="{00000000-0005-0000-0000-00004B1E0000}"/>
    <cellStyle name="20% - Accent4 3 5 3 3 2 2" xfId="52858" xr:uid="{00000000-0005-0000-0000-00004C1E0000}"/>
    <cellStyle name="20% - Accent4 3 5 3 3 3" xfId="38359" xr:uid="{00000000-0005-0000-0000-00004D1E0000}"/>
    <cellStyle name="20% - Accent4 3 5 3 4" xfId="16604" xr:uid="{00000000-0005-0000-0000-00004E1E0000}"/>
    <cellStyle name="20% - Accent4 3 5 3 4 2" xfId="45610" xr:uid="{00000000-0005-0000-0000-00004F1E0000}"/>
    <cellStyle name="20% - Accent4 3 5 3 5" xfId="31111" xr:uid="{00000000-0005-0000-0000-0000501E0000}"/>
    <cellStyle name="20% - Accent4 3 5 4" xfId="3078" xr:uid="{00000000-0005-0000-0000-0000511E0000}"/>
    <cellStyle name="20% - Accent4 3 5 4 2" xfId="6182" xr:uid="{00000000-0005-0000-0000-0000521E0000}"/>
    <cellStyle name="20% - Accent4 3 5 4 2 2" xfId="13454" xr:uid="{00000000-0005-0000-0000-0000531E0000}"/>
    <cellStyle name="20% - Accent4 3 5 4 2 2 2" xfId="27988" xr:uid="{00000000-0005-0000-0000-0000541E0000}"/>
    <cellStyle name="20% - Accent4 3 5 4 2 2 2 2" xfId="56994" xr:uid="{00000000-0005-0000-0000-0000551E0000}"/>
    <cellStyle name="20% - Accent4 3 5 4 2 2 3" xfId="42495" xr:uid="{00000000-0005-0000-0000-0000561E0000}"/>
    <cellStyle name="20% - Accent4 3 5 4 2 3" xfId="20740" xr:uid="{00000000-0005-0000-0000-0000571E0000}"/>
    <cellStyle name="20% - Accent4 3 5 4 2 3 2" xfId="49746" xr:uid="{00000000-0005-0000-0000-0000581E0000}"/>
    <cellStyle name="20% - Accent4 3 5 4 2 4" xfId="35247" xr:uid="{00000000-0005-0000-0000-0000591E0000}"/>
    <cellStyle name="20% - Accent4 3 5 4 3" xfId="10350" xr:uid="{00000000-0005-0000-0000-00005A1E0000}"/>
    <cellStyle name="20% - Accent4 3 5 4 3 2" xfId="24884" xr:uid="{00000000-0005-0000-0000-00005B1E0000}"/>
    <cellStyle name="20% - Accent4 3 5 4 3 2 2" xfId="53890" xr:uid="{00000000-0005-0000-0000-00005C1E0000}"/>
    <cellStyle name="20% - Accent4 3 5 4 3 3" xfId="39391" xr:uid="{00000000-0005-0000-0000-00005D1E0000}"/>
    <cellStyle name="20% - Accent4 3 5 4 4" xfId="17636" xr:uid="{00000000-0005-0000-0000-00005E1E0000}"/>
    <cellStyle name="20% - Accent4 3 5 4 4 2" xfId="46642" xr:uid="{00000000-0005-0000-0000-00005F1E0000}"/>
    <cellStyle name="20% - Accent4 3 5 4 5" xfId="32143" xr:uid="{00000000-0005-0000-0000-0000601E0000}"/>
    <cellStyle name="20% - Accent4 3 5 5" xfId="4110" xr:uid="{00000000-0005-0000-0000-0000611E0000}"/>
    <cellStyle name="20% - Accent4 3 5 5 2" xfId="11382" xr:uid="{00000000-0005-0000-0000-0000621E0000}"/>
    <cellStyle name="20% - Accent4 3 5 5 2 2" xfId="25916" xr:uid="{00000000-0005-0000-0000-0000631E0000}"/>
    <cellStyle name="20% - Accent4 3 5 5 2 2 2" xfId="54922" xr:uid="{00000000-0005-0000-0000-0000641E0000}"/>
    <cellStyle name="20% - Accent4 3 5 5 2 3" xfId="40423" xr:uid="{00000000-0005-0000-0000-0000651E0000}"/>
    <cellStyle name="20% - Accent4 3 5 5 3" xfId="18668" xr:uid="{00000000-0005-0000-0000-0000661E0000}"/>
    <cellStyle name="20% - Accent4 3 5 5 3 2" xfId="47674" xr:uid="{00000000-0005-0000-0000-0000671E0000}"/>
    <cellStyle name="20% - Accent4 3 5 5 4" xfId="33175" xr:uid="{00000000-0005-0000-0000-0000681E0000}"/>
    <cellStyle name="20% - Accent4 3 5 6" xfId="7214" xr:uid="{00000000-0005-0000-0000-0000691E0000}"/>
    <cellStyle name="20% - Accent4 3 5 6 2" xfId="14486" xr:uid="{00000000-0005-0000-0000-00006A1E0000}"/>
    <cellStyle name="20% - Accent4 3 5 6 2 2" xfId="29020" xr:uid="{00000000-0005-0000-0000-00006B1E0000}"/>
    <cellStyle name="20% - Accent4 3 5 6 2 2 2" xfId="58026" xr:uid="{00000000-0005-0000-0000-00006C1E0000}"/>
    <cellStyle name="20% - Accent4 3 5 6 2 3" xfId="43527" xr:uid="{00000000-0005-0000-0000-00006D1E0000}"/>
    <cellStyle name="20% - Accent4 3 5 6 3" xfId="21772" xr:uid="{00000000-0005-0000-0000-00006E1E0000}"/>
    <cellStyle name="20% - Accent4 3 5 6 3 2" xfId="50778" xr:uid="{00000000-0005-0000-0000-00006F1E0000}"/>
    <cellStyle name="20% - Accent4 3 5 6 4" xfId="36279" xr:uid="{00000000-0005-0000-0000-0000701E0000}"/>
    <cellStyle name="20% - Accent4 3 5 7" xfId="8278" xr:uid="{00000000-0005-0000-0000-0000711E0000}"/>
    <cellStyle name="20% - Accent4 3 5 7 2" xfId="22812" xr:uid="{00000000-0005-0000-0000-0000721E0000}"/>
    <cellStyle name="20% - Accent4 3 5 7 2 2" xfId="51818" xr:uid="{00000000-0005-0000-0000-0000731E0000}"/>
    <cellStyle name="20% - Accent4 3 5 7 3" xfId="37319" xr:uid="{00000000-0005-0000-0000-0000741E0000}"/>
    <cellStyle name="20% - Accent4 3 5 8" xfId="15564" xr:uid="{00000000-0005-0000-0000-0000751E0000}"/>
    <cellStyle name="20% - Accent4 3 5 8 2" xfId="44570" xr:uid="{00000000-0005-0000-0000-0000761E0000}"/>
    <cellStyle name="20% - Accent4 3 5 9" xfId="30071" xr:uid="{00000000-0005-0000-0000-0000771E0000}"/>
    <cellStyle name="20% - Accent4 3 6" xfId="1296" xr:uid="{00000000-0005-0000-0000-0000781E0000}"/>
    <cellStyle name="20% - Accent4 3 6 2" xfId="2352" xr:uid="{00000000-0005-0000-0000-0000791E0000}"/>
    <cellStyle name="20% - Accent4 3 6 2 2" xfId="5456" xr:uid="{00000000-0005-0000-0000-00007A1E0000}"/>
    <cellStyle name="20% - Accent4 3 6 2 2 2" xfId="12728" xr:uid="{00000000-0005-0000-0000-00007B1E0000}"/>
    <cellStyle name="20% - Accent4 3 6 2 2 2 2" xfId="27262" xr:uid="{00000000-0005-0000-0000-00007C1E0000}"/>
    <cellStyle name="20% - Accent4 3 6 2 2 2 2 2" xfId="56268" xr:uid="{00000000-0005-0000-0000-00007D1E0000}"/>
    <cellStyle name="20% - Accent4 3 6 2 2 2 3" xfId="41769" xr:uid="{00000000-0005-0000-0000-00007E1E0000}"/>
    <cellStyle name="20% - Accent4 3 6 2 2 3" xfId="20014" xr:uid="{00000000-0005-0000-0000-00007F1E0000}"/>
    <cellStyle name="20% - Accent4 3 6 2 2 3 2" xfId="49020" xr:uid="{00000000-0005-0000-0000-0000801E0000}"/>
    <cellStyle name="20% - Accent4 3 6 2 2 4" xfId="34521" xr:uid="{00000000-0005-0000-0000-0000811E0000}"/>
    <cellStyle name="20% - Accent4 3 6 2 3" xfId="9624" xr:uid="{00000000-0005-0000-0000-0000821E0000}"/>
    <cellStyle name="20% - Accent4 3 6 2 3 2" xfId="24158" xr:uid="{00000000-0005-0000-0000-0000831E0000}"/>
    <cellStyle name="20% - Accent4 3 6 2 3 2 2" xfId="53164" xr:uid="{00000000-0005-0000-0000-0000841E0000}"/>
    <cellStyle name="20% - Accent4 3 6 2 3 3" xfId="38665" xr:uid="{00000000-0005-0000-0000-0000851E0000}"/>
    <cellStyle name="20% - Accent4 3 6 2 4" xfId="16910" xr:uid="{00000000-0005-0000-0000-0000861E0000}"/>
    <cellStyle name="20% - Accent4 3 6 2 4 2" xfId="45916" xr:uid="{00000000-0005-0000-0000-0000871E0000}"/>
    <cellStyle name="20% - Accent4 3 6 2 5" xfId="31417" xr:uid="{00000000-0005-0000-0000-0000881E0000}"/>
    <cellStyle name="20% - Accent4 3 6 3" xfId="3384" xr:uid="{00000000-0005-0000-0000-0000891E0000}"/>
    <cellStyle name="20% - Accent4 3 6 3 2" xfId="6488" xr:uid="{00000000-0005-0000-0000-00008A1E0000}"/>
    <cellStyle name="20% - Accent4 3 6 3 2 2" xfId="13760" xr:uid="{00000000-0005-0000-0000-00008B1E0000}"/>
    <cellStyle name="20% - Accent4 3 6 3 2 2 2" xfId="28294" xr:uid="{00000000-0005-0000-0000-00008C1E0000}"/>
    <cellStyle name="20% - Accent4 3 6 3 2 2 2 2" xfId="57300" xr:uid="{00000000-0005-0000-0000-00008D1E0000}"/>
    <cellStyle name="20% - Accent4 3 6 3 2 2 3" xfId="42801" xr:uid="{00000000-0005-0000-0000-00008E1E0000}"/>
    <cellStyle name="20% - Accent4 3 6 3 2 3" xfId="21046" xr:uid="{00000000-0005-0000-0000-00008F1E0000}"/>
    <cellStyle name="20% - Accent4 3 6 3 2 3 2" xfId="50052" xr:uid="{00000000-0005-0000-0000-0000901E0000}"/>
    <cellStyle name="20% - Accent4 3 6 3 2 4" xfId="35553" xr:uid="{00000000-0005-0000-0000-0000911E0000}"/>
    <cellStyle name="20% - Accent4 3 6 3 3" xfId="10656" xr:uid="{00000000-0005-0000-0000-0000921E0000}"/>
    <cellStyle name="20% - Accent4 3 6 3 3 2" xfId="25190" xr:uid="{00000000-0005-0000-0000-0000931E0000}"/>
    <cellStyle name="20% - Accent4 3 6 3 3 2 2" xfId="54196" xr:uid="{00000000-0005-0000-0000-0000941E0000}"/>
    <cellStyle name="20% - Accent4 3 6 3 3 3" xfId="39697" xr:uid="{00000000-0005-0000-0000-0000951E0000}"/>
    <cellStyle name="20% - Accent4 3 6 3 4" xfId="17942" xr:uid="{00000000-0005-0000-0000-0000961E0000}"/>
    <cellStyle name="20% - Accent4 3 6 3 4 2" xfId="46948" xr:uid="{00000000-0005-0000-0000-0000971E0000}"/>
    <cellStyle name="20% - Accent4 3 6 3 5" xfId="32449" xr:uid="{00000000-0005-0000-0000-0000981E0000}"/>
    <cellStyle name="20% - Accent4 3 6 4" xfId="4416" xr:uid="{00000000-0005-0000-0000-0000991E0000}"/>
    <cellStyle name="20% - Accent4 3 6 4 2" xfId="11688" xr:uid="{00000000-0005-0000-0000-00009A1E0000}"/>
    <cellStyle name="20% - Accent4 3 6 4 2 2" xfId="26222" xr:uid="{00000000-0005-0000-0000-00009B1E0000}"/>
    <cellStyle name="20% - Accent4 3 6 4 2 2 2" xfId="55228" xr:uid="{00000000-0005-0000-0000-00009C1E0000}"/>
    <cellStyle name="20% - Accent4 3 6 4 2 3" xfId="40729" xr:uid="{00000000-0005-0000-0000-00009D1E0000}"/>
    <cellStyle name="20% - Accent4 3 6 4 3" xfId="18974" xr:uid="{00000000-0005-0000-0000-00009E1E0000}"/>
    <cellStyle name="20% - Accent4 3 6 4 3 2" xfId="47980" xr:uid="{00000000-0005-0000-0000-00009F1E0000}"/>
    <cellStyle name="20% - Accent4 3 6 4 4" xfId="33481" xr:uid="{00000000-0005-0000-0000-0000A01E0000}"/>
    <cellStyle name="20% - Accent4 3 6 5" xfId="7520" xr:uid="{00000000-0005-0000-0000-0000A11E0000}"/>
    <cellStyle name="20% - Accent4 3 6 5 2" xfId="14792" xr:uid="{00000000-0005-0000-0000-0000A21E0000}"/>
    <cellStyle name="20% - Accent4 3 6 5 2 2" xfId="29326" xr:uid="{00000000-0005-0000-0000-0000A31E0000}"/>
    <cellStyle name="20% - Accent4 3 6 5 2 2 2" xfId="58332" xr:uid="{00000000-0005-0000-0000-0000A41E0000}"/>
    <cellStyle name="20% - Accent4 3 6 5 2 3" xfId="43833" xr:uid="{00000000-0005-0000-0000-0000A51E0000}"/>
    <cellStyle name="20% - Accent4 3 6 5 3" xfId="22078" xr:uid="{00000000-0005-0000-0000-0000A61E0000}"/>
    <cellStyle name="20% - Accent4 3 6 5 3 2" xfId="51084" xr:uid="{00000000-0005-0000-0000-0000A71E0000}"/>
    <cellStyle name="20% - Accent4 3 6 5 4" xfId="36585" xr:uid="{00000000-0005-0000-0000-0000A81E0000}"/>
    <cellStyle name="20% - Accent4 3 6 6" xfId="8584" xr:uid="{00000000-0005-0000-0000-0000A91E0000}"/>
    <cellStyle name="20% - Accent4 3 6 6 2" xfId="23118" xr:uid="{00000000-0005-0000-0000-0000AA1E0000}"/>
    <cellStyle name="20% - Accent4 3 6 6 2 2" xfId="52124" xr:uid="{00000000-0005-0000-0000-0000AB1E0000}"/>
    <cellStyle name="20% - Accent4 3 6 6 3" xfId="37625" xr:uid="{00000000-0005-0000-0000-0000AC1E0000}"/>
    <cellStyle name="20% - Accent4 3 6 7" xfId="15870" xr:uid="{00000000-0005-0000-0000-0000AD1E0000}"/>
    <cellStyle name="20% - Accent4 3 6 7 2" xfId="44876" xr:uid="{00000000-0005-0000-0000-0000AE1E0000}"/>
    <cellStyle name="20% - Accent4 3 6 8" xfId="30377" xr:uid="{00000000-0005-0000-0000-0000AF1E0000}"/>
    <cellStyle name="20% - Accent4 3 7" xfId="1840" xr:uid="{00000000-0005-0000-0000-0000B01E0000}"/>
    <cellStyle name="20% - Accent4 3 7 2" xfId="4944" xr:uid="{00000000-0005-0000-0000-0000B11E0000}"/>
    <cellStyle name="20% - Accent4 3 7 2 2" xfId="12216" xr:uid="{00000000-0005-0000-0000-0000B21E0000}"/>
    <cellStyle name="20% - Accent4 3 7 2 2 2" xfId="26750" xr:uid="{00000000-0005-0000-0000-0000B31E0000}"/>
    <cellStyle name="20% - Accent4 3 7 2 2 2 2" xfId="55756" xr:uid="{00000000-0005-0000-0000-0000B41E0000}"/>
    <cellStyle name="20% - Accent4 3 7 2 2 3" xfId="41257" xr:uid="{00000000-0005-0000-0000-0000B51E0000}"/>
    <cellStyle name="20% - Accent4 3 7 2 3" xfId="19502" xr:uid="{00000000-0005-0000-0000-0000B61E0000}"/>
    <cellStyle name="20% - Accent4 3 7 2 3 2" xfId="48508" xr:uid="{00000000-0005-0000-0000-0000B71E0000}"/>
    <cellStyle name="20% - Accent4 3 7 2 4" xfId="34009" xr:uid="{00000000-0005-0000-0000-0000B81E0000}"/>
    <cellStyle name="20% - Accent4 3 7 3" xfId="9112" xr:uid="{00000000-0005-0000-0000-0000B91E0000}"/>
    <cellStyle name="20% - Accent4 3 7 3 2" xfId="23646" xr:uid="{00000000-0005-0000-0000-0000BA1E0000}"/>
    <cellStyle name="20% - Accent4 3 7 3 2 2" xfId="52652" xr:uid="{00000000-0005-0000-0000-0000BB1E0000}"/>
    <cellStyle name="20% - Accent4 3 7 3 3" xfId="38153" xr:uid="{00000000-0005-0000-0000-0000BC1E0000}"/>
    <cellStyle name="20% - Accent4 3 7 4" xfId="16398" xr:uid="{00000000-0005-0000-0000-0000BD1E0000}"/>
    <cellStyle name="20% - Accent4 3 7 4 2" xfId="45404" xr:uid="{00000000-0005-0000-0000-0000BE1E0000}"/>
    <cellStyle name="20% - Accent4 3 7 5" xfId="30905" xr:uid="{00000000-0005-0000-0000-0000BF1E0000}"/>
    <cellStyle name="20% - Accent4 3 8" xfId="2872" xr:uid="{00000000-0005-0000-0000-0000C01E0000}"/>
    <cellStyle name="20% - Accent4 3 8 2" xfId="5976" xr:uid="{00000000-0005-0000-0000-0000C11E0000}"/>
    <cellStyle name="20% - Accent4 3 8 2 2" xfId="13248" xr:uid="{00000000-0005-0000-0000-0000C21E0000}"/>
    <cellStyle name="20% - Accent4 3 8 2 2 2" xfId="27782" xr:uid="{00000000-0005-0000-0000-0000C31E0000}"/>
    <cellStyle name="20% - Accent4 3 8 2 2 2 2" xfId="56788" xr:uid="{00000000-0005-0000-0000-0000C41E0000}"/>
    <cellStyle name="20% - Accent4 3 8 2 2 3" xfId="42289" xr:uid="{00000000-0005-0000-0000-0000C51E0000}"/>
    <cellStyle name="20% - Accent4 3 8 2 3" xfId="20534" xr:uid="{00000000-0005-0000-0000-0000C61E0000}"/>
    <cellStyle name="20% - Accent4 3 8 2 3 2" xfId="49540" xr:uid="{00000000-0005-0000-0000-0000C71E0000}"/>
    <cellStyle name="20% - Accent4 3 8 2 4" xfId="35041" xr:uid="{00000000-0005-0000-0000-0000C81E0000}"/>
    <cellStyle name="20% - Accent4 3 8 3" xfId="10144" xr:uid="{00000000-0005-0000-0000-0000C91E0000}"/>
    <cellStyle name="20% - Accent4 3 8 3 2" xfId="24678" xr:uid="{00000000-0005-0000-0000-0000CA1E0000}"/>
    <cellStyle name="20% - Accent4 3 8 3 2 2" xfId="53684" xr:uid="{00000000-0005-0000-0000-0000CB1E0000}"/>
    <cellStyle name="20% - Accent4 3 8 3 3" xfId="39185" xr:uid="{00000000-0005-0000-0000-0000CC1E0000}"/>
    <cellStyle name="20% - Accent4 3 8 4" xfId="17430" xr:uid="{00000000-0005-0000-0000-0000CD1E0000}"/>
    <cellStyle name="20% - Accent4 3 8 4 2" xfId="46436" xr:uid="{00000000-0005-0000-0000-0000CE1E0000}"/>
    <cellStyle name="20% - Accent4 3 8 5" xfId="31937" xr:uid="{00000000-0005-0000-0000-0000CF1E0000}"/>
    <cellStyle name="20% - Accent4 3 9" xfId="3904" xr:uid="{00000000-0005-0000-0000-0000D01E0000}"/>
    <cellStyle name="20% - Accent4 3 9 2" xfId="11176" xr:uid="{00000000-0005-0000-0000-0000D11E0000}"/>
    <cellStyle name="20% - Accent4 3 9 2 2" xfId="25710" xr:uid="{00000000-0005-0000-0000-0000D21E0000}"/>
    <cellStyle name="20% - Accent4 3 9 2 2 2" xfId="54716" xr:uid="{00000000-0005-0000-0000-0000D31E0000}"/>
    <cellStyle name="20% - Accent4 3 9 2 3" xfId="40217" xr:uid="{00000000-0005-0000-0000-0000D41E0000}"/>
    <cellStyle name="20% - Accent4 3 9 3" xfId="18462" xr:uid="{00000000-0005-0000-0000-0000D51E0000}"/>
    <cellStyle name="20% - Accent4 3 9 3 2" xfId="47468" xr:uid="{00000000-0005-0000-0000-0000D61E0000}"/>
    <cellStyle name="20% - Accent4 3 9 4" xfId="32969" xr:uid="{00000000-0005-0000-0000-0000D71E0000}"/>
    <cellStyle name="20% - Accent4 4" xfId="870" xr:uid="{00000000-0005-0000-0000-0000D81E0000}"/>
    <cellStyle name="20% - Accent4 4 10" xfId="8100" xr:uid="{00000000-0005-0000-0000-0000D91E0000}"/>
    <cellStyle name="20% - Accent4 4 10 2" xfId="22634" xr:uid="{00000000-0005-0000-0000-0000DA1E0000}"/>
    <cellStyle name="20% - Accent4 4 10 2 2" xfId="51640" xr:uid="{00000000-0005-0000-0000-0000DB1E0000}"/>
    <cellStyle name="20% - Accent4 4 10 3" xfId="37141" xr:uid="{00000000-0005-0000-0000-0000DC1E0000}"/>
    <cellStyle name="20% - Accent4 4 11" xfId="15386" xr:uid="{00000000-0005-0000-0000-0000DD1E0000}"/>
    <cellStyle name="20% - Accent4 4 11 2" xfId="44392" xr:uid="{00000000-0005-0000-0000-0000DE1E0000}"/>
    <cellStyle name="20% - Accent4 4 12" xfId="29893" xr:uid="{00000000-0005-0000-0000-0000DF1E0000}"/>
    <cellStyle name="20% - Accent4 4 2" xfId="950" xr:uid="{00000000-0005-0000-0000-0000E01E0000}"/>
    <cellStyle name="20% - Accent4 4 2 10" xfId="29996" xr:uid="{00000000-0005-0000-0000-0000E11E0000}"/>
    <cellStyle name="20% - Accent4 4 2 2" xfId="1225" xr:uid="{00000000-0005-0000-0000-0000E21E0000}"/>
    <cellStyle name="20% - Accent4 4 2 2 2" xfId="1730" xr:uid="{00000000-0005-0000-0000-0000E31E0000}"/>
    <cellStyle name="20% - Accent4 4 2 2 2 2" xfId="2789" xr:uid="{00000000-0005-0000-0000-0000E41E0000}"/>
    <cellStyle name="20% - Accent4 4 2 2 2 2 2" xfId="5893" xr:uid="{00000000-0005-0000-0000-0000E51E0000}"/>
    <cellStyle name="20% - Accent4 4 2 2 2 2 2 2" xfId="13165" xr:uid="{00000000-0005-0000-0000-0000E61E0000}"/>
    <cellStyle name="20% - Accent4 4 2 2 2 2 2 2 2" xfId="27699" xr:uid="{00000000-0005-0000-0000-0000E71E0000}"/>
    <cellStyle name="20% - Accent4 4 2 2 2 2 2 2 2 2" xfId="56705" xr:uid="{00000000-0005-0000-0000-0000E81E0000}"/>
    <cellStyle name="20% - Accent4 4 2 2 2 2 2 2 3" xfId="42206" xr:uid="{00000000-0005-0000-0000-0000E91E0000}"/>
    <cellStyle name="20% - Accent4 4 2 2 2 2 2 3" xfId="20451" xr:uid="{00000000-0005-0000-0000-0000EA1E0000}"/>
    <cellStyle name="20% - Accent4 4 2 2 2 2 2 3 2" xfId="49457" xr:uid="{00000000-0005-0000-0000-0000EB1E0000}"/>
    <cellStyle name="20% - Accent4 4 2 2 2 2 2 4" xfId="34958" xr:uid="{00000000-0005-0000-0000-0000EC1E0000}"/>
    <cellStyle name="20% - Accent4 4 2 2 2 2 3" xfId="10061" xr:uid="{00000000-0005-0000-0000-0000ED1E0000}"/>
    <cellStyle name="20% - Accent4 4 2 2 2 2 3 2" xfId="24595" xr:uid="{00000000-0005-0000-0000-0000EE1E0000}"/>
    <cellStyle name="20% - Accent4 4 2 2 2 2 3 2 2" xfId="53601" xr:uid="{00000000-0005-0000-0000-0000EF1E0000}"/>
    <cellStyle name="20% - Accent4 4 2 2 2 2 3 3" xfId="39102" xr:uid="{00000000-0005-0000-0000-0000F01E0000}"/>
    <cellStyle name="20% - Accent4 4 2 2 2 2 4" xfId="17347" xr:uid="{00000000-0005-0000-0000-0000F11E0000}"/>
    <cellStyle name="20% - Accent4 4 2 2 2 2 4 2" xfId="46353" xr:uid="{00000000-0005-0000-0000-0000F21E0000}"/>
    <cellStyle name="20% - Accent4 4 2 2 2 2 5" xfId="31854" xr:uid="{00000000-0005-0000-0000-0000F31E0000}"/>
    <cellStyle name="20% - Accent4 4 2 2 2 3" xfId="3821" xr:uid="{00000000-0005-0000-0000-0000F41E0000}"/>
    <cellStyle name="20% - Accent4 4 2 2 2 3 2" xfId="6925" xr:uid="{00000000-0005-0000-0000-0000F51E0000}"/>
    <cellStyle name="20% - Accent4 4 2 2 2 3 2 2" xfId="14197" xr:uid="{00000000-0005-0000-0000-0000F61E0000}"/>
    <cellStyle name="20% - Accent4 4 2 2 2 3 2 2 2" xfId="28731" xr:uid="{00000000-0005-0000-0000-0000F71E0000}"/>
    <cellStyle name="20% - Accent4 4 2 2 2 3 2 2 2 2" xfId="57737" xr:uid="{00000000-0005-0000-0000-0000F81E0000}"/>
    <cellStyle name="20% - Accent4 4 2 2 2 3 2 2 3" xfId="43238" xr:uid="{00000000-0005-0000-0000-0000F91E0000}"/>
    <cellStyle name="20% - Accent4 4 2 2 2 3 2 3" xfId="21483" xr:uid="{00000000-0005-0000-0000-0000FA1E0000}"/>
    <cellStyle name="20% - Accent4 4 2 2 2 3 2 3 2" xfId="50489" xr:uid="{00000000-0005-0000-0000-0000FB1E0000}"/>
    <cellStyle name="20% - Accent4 4 2 2 2 3 2 4" xfId="35990" xr:uid="{00000000-0005-0000-0000-0000FC1E0000}"/>
    <cellStyle name="20% - Accent4 4 2 2 2 3 3" xfId="11093" xr:uid="{00000000-0005-0000-0000-0000FD1E0000}"/>
    <cellStyle name="20% - Accent4 4 2 2 2 3 3 2" xfId="25627" xr:uid="{00000000-0005-0000-0000-0000FE1E0000}"/>
    <cellStyle name="20% - Accent4 4 2 2 2 3 3 2 2" xfId="54633" xr:uid="{00000000-0005-0000-0000-0000FF1E0000}"/>
    <cellStyle name="20% - Accent4 4 2 2 2 3 3 3" xfId="40134" xr:uid="{00000000-0005-0000-0000-0000001F0000}"/>
    <cellStyle name="20% - Accent4 4 2 2 2 3 4" xfId="18379" xr:uid="{00000000-0005-0000-0000-0000011F0000}"/>
    <cellStyle name="20% - Accent4 4 2 2 2 3 4 2" xfId="47385" xr:uid="{00000000-0005-0000-0000-0000021F0000}"/>
    <cellStyle name="20% - Accent4 4 2 2 2 3 5" xfId="32886" xr:uid="{00000000-0005-0000-0000-0000031F0000}"/>
    <cellStyle name="20% - Accent4 4 2 2 2 4" xfId="4853" xr:uid="{00000000-0005-0000-0000-0000041F0000}"/>
    <cellStyle name="20% - Accent4 4 2 2 2 4 2" xfId="12125" xr:uid="{00000000-0005-0000-0000-0000051F0000}"/>
    <cellStyle name="20% - Accent4 4 2 2 2 4 2 2" xfId="26659" xr:uid="{00000000-0005-0000-0000-0000061F0000}"/>
    <cellStyle name="20% - Accent4 4 2 2 2 4 2 2 2" xfId="55665" xr:uid="{00000000-0005-0000-0000-0000071F0000}"/>
    <cellStyle name="20% - Accent4 4 2 2 2 4 2 3" xfId="41166" xr:uid="{00000000-0005-0000-0000-0000081F0000}"/>
    <cellStyle name="20% - Accent4 4 2 2 2 4 3" xfId="19411" xr:uid="{00000000-0005-0000-0000-0000091F0000}"/>
    <cellStyle name="20% - Accent4 4 2 2 2 4 3 2" xfId="48417" xr:uid="{00000000-0005-0000-0000-00000A1F0000}"/>
    <cellStyle name="20% - Accent4 4 2 2 2 4 4" xfId="33918" xr:uid="{00000000-0005-0000-0000-00000B1F0000}"/>
    <cellStyle name="20% - Accent4 4 2 2 2 5" xfId="7957" xr:uid="{00000000-0005-0000-0000-00000C1F0000}"/>
    <cellStyle name="20% - Accent4 4 2 2 2 5 2" xfId="15229" xr:uid="{00000000-0005-0000-0000-00000D1F0000}"/>
    <cellStyle name="20% - Accent4 4 2 2 2 5 2 2" xfId="29763" xr:uid="{00000000-0005-0000-0000-00000E1F0000}"/>
    <cellStyle name="20% - Accent4 4 2 2 2 5 2 2 2" xfId="58769" xr:uid="{00000000-0005-0000-0000-00000F1F0000}"/>
    <cellStyle name="20% - Accent4 4 2 2 2 5 2 3" xfId="44270" xr:uid="{00000000-0005-0000-0000-0000101F0000}"/>
    <cellStyle name="20% - Accent4 4 2 2 2 5 3" xfId="22515" xr:uid="{00000000-0005-0000-0000-0000111F0000}"/>
    <cellStyle name="20% - Accent4 4 2 2 2 5 3 2" xfId="51521" xr:uid="{00000000-0005-0000-0000-0000121F0000}"/>
    <cellStyle name="20% - Accent4 4 2 2 2 5 4" xfId="37022" xr:uid="{00000000-0005-0000-0000-0000131F0000}"/>
    <cellStyle name="20% - Accent4 4 2 2 2 6" xfId="9021" xr:uid="{00000000-0005-0000-0000-0000141F0000}"/>
    <cellStyle name="20% - Accent4 4 2 2 2 6 2" xfId="23555" xr:uid="{00000000-0005-0000-0000-0000151F0000}"/>
    <cellStyle name="20% - Accent4 4 2 2 2 6 2 2" xfId="52561" xr:uid="{00000000-0005-0000-0000-0000161F0000}"/>
    <cellStyle name="20% - Accent4 4 2 2 2 6 3" xfId="38062" xr:uid="{00000000-0005-0000-0000-0000171F0000}"/>
    <cellStyle name="20% - Accent4 4 2 2 2 7" xfId="16307" xr:uid="{00000000-0005-0000-0000-0000181F0000}"/>
    <cellStyle name="20% - Accent4 4 2 2 2 7 2" xfId="45313" xr:uid="{00000000-0005-0000-0000-0000191F0000}"/>
    <cellStyle name="20% - Accent4 4 2 2 2 8" xfId="30814" xr:uid="{00000000-0005-0000-0000-00001A1F0000}"/>
    <cellStyle name="20% - Accent4 4 2 2 3" xfId="2277" xr:uid="{00000000-0005-0000-0000-00001B1F0000}"/>
    <cellStyle name="20% - Accent4 4 2 2 3 2" xfId="5381" xr:uid="{00000000-0005-0000-0000-00001C1F0000}"/>
    <cellStyle name="20% - Accent4 4 2 2 3 2 2" xfId="12653" xr:uid="{00000000-0005-0000-0000-00001D1F0000}"/>
    <cellStyle name="20% - Accent4 4 2 2 3 2 2 2" xfId="27187" xr:uid="{00000000-0005-0000-0000-00001E1F0000}"/>
    <cellStyle name="20% - Accent4 4 2 2 3 2 2 2 2" xfId="56193" xr:uid="{00000000-0005-0000-0000-00001F1F0000}"/>
    <cellStyle name="20% - Accent4 4 2 2 3 2 2 3" xfId="41694" xr:uid="{00000000-0005-0000-0000-0000201F0000}"/>
    <cellStyle name="20% - Accent4 4 2 2 3 2 3" xfId="19939" xr:uid="{00000000-0005-0000-0000-0000211F0000}"/>
    <cellStyle name="20% - Accent4 4 2 2 3 2 3 2" xfId="48945" xr:uid="{00000000-0005-0000-0000-0000221F0000}"/>
    <cellStyle name="20% - Accent4 4 2 2 3 2 4" xfId="34446" xr:uid="{00000000-0005-0000-0000-0000231F0000}"/>
    <cellStyle name="20% - Accent4 4 2 2 3 3" xfId="9549" xr:uid="{00000000-0005-0000-0000-0000241F0000}"/>
    <cellStyle name="20% - Accent4 4 2 2 3 3 2" xfId="24083" xr:uid="{00000000-0005-0000-0000-0000251F0000}"/>
    <cellStyle name="20% - Accent4 4 2 2 3 3 2 2" xfId="53089" xr:uid="{00000000-0005-0000-0000-0000261F0000}"/>
    <cellStyle name="20% - Accent4 4 2 2 3 3 3" xfId="38590" xr:uid="{00000000-0005-0000-0000-0000271F0000}"/>
    <cellStyle name="20% - Accent4 4 2 2 3 4" xfId="16835" xr:uid="{00000000-0005-0000-0000-0000281F0000}"/>
    <cellStyle name="20% - Accent4 4 2 2 3 4 2" xfId="45841" xr:uid="{00000000-0005-0000-0000-0000291F0000}"/>
    <cellStyle name="20% - Accent4 4 2 2 3 5" xfId="31342" xr:uid="{00000000-0005-0000-0000-00002A1F0000}"/>
    <cellStyle name="20% - Accent4 4 2 2 4" xfId="3309" xr:uid="{00000000-0005-0000-0000-00002B1F0000}"/>
    <cellStyle name="20% - Accent4 4 2 2 4 2" xfId="6413" xr:uid="{00000000-0005-0000-0000-00002C1F0000}"/>
    <cellStyle name="20% - Accent4 4 2 2 4 2 2" xfId="13685" xr:uid="{00000000-0005-0000-0000-00002D1F0000}"/>
    <cellStyle name="20% - Accent4 4 2 2 4 2 2 2" xfId="28219" xr:uid="{00000000-0005-0000-0000-00002E1F0000}"/>
    <cellStyle name="20% - Accent4 4 2 2 4 2 2 2 2" xfId="57225" xr:uid="{00000000-0005-0000-0000-00002F1F0000}"/>
    <cellStyle name="20% - Accent4 4 2 2 4 2 2 3" xfId="42726" xr:uid="{00000000-0005-0000-0000-0000301F0000}"/>
    <cellStyle name="20% - Accent4 4 2 2 4 2 3" xfId="20971" xr:uid="{00000000-0005-0000-0000-0000311F0000}"/>
    <cellStyle name="20% - Accent4 4 2 2 4 2 3 2" xfId="49977" xr:uid="{00000000-0005-0000-0000-0000321F0000}"/>
    <cellStyle name="20% - Accent4 4 2 2 4 2 4" xfId="35478" xr:uid="{00000000-0005-0000-0000-0000331F0000}"/>
    <cellStyle name="20% - Accent4 4 2 2 4 3" xfId="10581" xr:uid="{00000000-0005-0000-0000-0000341F0000}"/>
    <cellStyle name="20% - Accent4 4 2 2 4 3 2" xfId="25115" xr:uid="{00000000-0005-0000-0000-0000351F0000}"/>
    <cellStyle name="20% - Accent4 4 2 2 4 3 2 2" xfId="54121" xr:uid="{00000000-0005-0000-0000-0000361F0000}"/>
    <cellStyle name="20% - Accent4 4 2 2 4 3 3" xfId="39622" xr:uid="{00000000-0005-0000-0000-0000371F0000}"/>
    <cellStyle name="20% - Accent4 4 2 2 4 4" xfId="17867" xr:uid="{00000000-0005-0000-0000-0000381F0000}"/>
    <cellStyle name="20% - Accent4 4 2 2 4 4 2" xfId="46873" xr:uid="{00000000-0005-0000-0000-0000391F0000}"/>
    <cellStyle name="20% - Accent4 4 2 2 4 5" xfId="32374" xr:uid="{00000000-0005-0000-0000-00003A1F0000}"/>
    <cellStyle name="20% - Accent4 4 2 2 5" xfId="4341" xr:uid="{00000000-0005-0000-0000-00003B1F0000}"/>
    <cellStyle name="20% - Accent4 4 2 2 5 2" xfId="11613" xr:uid="{00000000-0005-0000-0000-00003C1F0000}"/>
    <cellStyle name="20% - Accent4 4 2 2 5 2 2" xfId="26147" xr:uid="{00000000-0005-0000-0000-00003D1F0000}"/>
    <cellStyle name="20% - Accent4 4 2 2 5 2 2 2" xfId="55153" xr:uid="{00000000-0005-0000-0000-00003E1F0000}"/>
    <cellStyle name="20% - Accent4 4 2 2 5 2 3" xfId="40654" xr:uid="{00000000-0005-0000-0000-00003F1F0000}"/>
    <cellStyle name="20% - Accent4 4 2 2 5 3" xfId="18899" xr:uid="{00000000-0005-0000-0000-0000401F0000}"/>
    <cellStyle name="20% - Accent4 4 2 2 5 3 2" xfId="47905" xr:uid="{00000000-0005-0000-0000-0000411F0000}"/>
    <cellStyle name="20% - Accent4 4 2 2 5 4" xfId="33406" xr:uid="{00000000-0005-0000-0000-0000421F0000}"/>
    <cellStyle name="20% - Accent4 4 2 2 6" xfId="7445" xr:uid="{00000000-0005-0000-0000-0000431F0000}"/>
    <cellStyle name="20% - Accent4 4 2 2 6 2" xfId="14717" xr:uid="{00000000-0005-0000-0000-0000441F0000}"/>
    <cellStyle name="20% - Accent4 4 2 2 6 2 2" xfId="29251" xr:uid="{00000000-0005-0000-0000-0000451F0000}"/>
    <cellStyle name="20% - Accent4 4 2 2 6 2 2 2" xfId="58257" xr:uid="{00000000-0005-0000-0000-0000461F0000}"/>
    <cellStyle name="20% - Accent4 4 2 2 6 2 3" xfId="43758" xr:uid="{00000000-0005-0000-0000-0000471F0000}"/>
    <cellStyle name="20% - Accent4 4 2 2 6 3" xfId="22003" xr:uid="{00000000-0005-0000-0000-0000481F0000}"/>
    <cellStyle name="20% - Accent4 4 2 2 6 3 2" xfId="51009" xr:uid="{00000000-0005-0000-0000-0000491F0000}"/>
    <cellStyle name="20% - Accent4 4 2 2 6 4" xfId="36510" xr:uid="{00000000-0005-0000-0000-00004A1F0000}"/>
    <cellStyle name="20% - Accent4 4 2 2 7" xfId="8509" xr:uid="{00000000-0005-0000-0000-00004B1F0000}"/>
    <cellStyle name="20% - Accent4 4 2 2 7 2" xfId="23043" xr:uid="{00000000-0005-0000-0000-00004C1F0000}"/>
    <cellStyle name="20% - Accent4 4 2 2 7 2 2" xfId="52049" xr:uid="{00000000-0005-0000-0000-00004D1F0000}"/>
    <cellStyle name="20% - Accent4 4 2 2 7 3" xfId="37550" xr:uid="{00000000-0005-0000-0000-00004E1F0000}"/>
    <cellStyle name="20% - Accent4 4 2 2 8" xfId="15795" xr:uid="{00000000-0005-0000-0000-00004F1F0000}"/>
    <cellStyle name="20% - Accent4 4 2 2 8 2" xfId="44801" xr:uid="{00000000-0005-0000-0000-0000501F0000}"/>
    <cellStyle name="20% - Accent4 4 2 2 9" xfId="30302" xr:uid="{00000000-0005-0000-0000-0000511F0000}"/>
    <cellStyle name="20% - Accent4 4 2 3" xfId="1425" xr:uid="{00000000-0005-0000-0000-0000521F0000}"/>
    <cellStyle name="20% - Accent4 4 2 3 2" xfId="2483" xr:uid="{00000000-0005-0000-0000-0000531F0000}"/>
    <cellStyle name="20% - Accent4 4 2 3 2 2" xfId="5587" xr:uid="{00000000-0005-0000-0000-0000541F0000}"/>
    <cellStyle name="20% - Accent4 4 2 3 2 2 2" xfId="12859" xr:uid="{00000000-0005-0000-0000-0000551F0000}"/>
    <cellStyle name="20% - Accent4 4 2 3 2 2 2 2" xfId="27393" xr:uid="{00000000-0005-0000-0000-0000561F0000}"/>
    <cellStyle name="20% - Accent4 4 2 3 2 2 2 2 2" xfId="56399" xr:uid="{00000000-0005-0000-0000-0000571F0000}"/>
    <cellStyle name="20% - Accent4 4 2 3 2 2 2 3" xfId="41900" xr:uid="{00000000-0005-0000-0000-0000581F0000}"/>
    <cellStyle name="20% - Accent4 4 2 3 2 2 3" xfId="20145" xr:uid="{00000000-0005-0000-0000-0000591F0000}"/>
    <cellStyle name="20% - Accent4 4 2 3 2 2 3 2" xfId="49151" xr:uid="{00000000-0005-0000-0000-00005A1F0000}"/>
    <cellStyle name="20% - Accent4 4 2 3 2 2 4" xfId="34652" xr:uid="{00000000-0005-0000-0000-00005B1F0000}"/>
    <cellStyle name="20% - Accent4 4 2 3 2 3" xfId="9755" xr:uid="{00000000-0005-0000-0000-00005C1F0000}"/>
    <cellStyle name="20% - Accent4 4 2 3 2 3 2" xfId="24289" xr:uid="{00000000-0005-0000-0000-00005D1F0000}"/>
    <cellStyle name="20% - Accent4 4 2 3 2 3 2 2" xfId="53295" xr:uid="{00000000-0005-0000-0000-00005E1F0000}"/>
    <cellStyle name="20% - Accent4 4 2 3 2 3 3" xfId="38796" xr:uid="{00000000-0005-0000-0000-00005F1F0000}"/>
    <cellStyle name="20% - Accent4 4 2 3 2 4" xfId="17041" xr:uid="{00000000-0005-0000-0000-0000601F0000}"/>
    <cellStyle name="20% - Accent4 4 2 3 2 4 2" xfId="46047" xr:uid="{00000000-0005-0000-0000-0000611F0000}"/>
    <cellStyle name="20% - Accent4 4 2 3 2 5" xfId="31548" xr:uid="{00000000-0005-0000-0000-0000621F0000}"/>
    <cellStyle name="20% - Accent4 4 2 3 3" xfId="3515" xr:uid="{00000000-0005-0000-0000-0000631F0000}"/>
    <cellStyle name="20% - Accent4 4 2 3 3 2" xfId="6619" xr:uid="{00000000-0005-0000-0000-0000641F0000}"/>
    <cellStyle name="20% - Accent4 4 2 3 3 2 2" xfId="13891" xr:uid="{00000000-0005-0000-0000-0000651F0000}"/>
    <cellStyle name="20% - Accent4 4 2 3 3 2 2 2" xfId="28425" xr:uid="{00000000-0005-0000-0000-0000661F0000}"/>
    <cellStyle name="20% - Accent4 4 2 3 3 2 2 2 2" xfId="57431" xr:uid="{00000000-0005-0000-0000-0000671F0000}"/>
    <cellStyle name="20% - Accent4 4 2 3 3 2 2 3" xfId="42932" xr:uid="{00000000-0005-0000-0000-0000681F0000}"/>
    <cellStyle name="20% - Accent4 4 2 3 3 2 3" xfId="21177" xr:uid="{00000000-0005-0000-0000-0000691F0000}"/>
    <cellStyle name="20% - Accent4 4 2 3 3 2 3 2" xfId="50183" xr:uid="{00000000-0005-0000-0000-00006A1F0000}"/>
    <cellStyle name="20% - Accent4 4 2 3 3 2 4" xfId="35684" xr:uid="{00000000-0005-0000-0000-00006B1F0000}"/>
    <cellStyle name="20% - Accent4 4 2 3 3 3" xfId="10787" xr:uid="{00000000-0005-0000-0000-00006C1F0000}"/>
    <cellStyle name="20% - Accent4 4 2 3 3 3 2" xfId="25321" xr:uid="{00000000-0005-0000-0000-00006D1F0000}"/>
    <cellStyle name="20% - Accent4 4 2 3 3 3 2 2" xfId="54327" xr:uid="{00000000-0005-0000-0000-00006E1F0000}"/>
    <cellStyle name="20% - Accent4 4 2 3 3 3 3" xfId="39828" xr:uid="{00000000-0005-0000-0000-00006F1F0000}"/>
    <cellStyle name="20% - Accent4 4 2 3 3 4" xfId="18073" xr:uid="{00000000-0005-0000-0000-0000701F0000}"/>
    <cellStyle name="20% - Accent4 4 2 3 3 4 2" xfId="47079" xr:uid="{00000000-0005-0000-0000-0000711F0000}"/>
    <cellStyle name="20% - Accent4 4 2 3 3 5" xfId="32580" xr:uid="{00000000-0005-0000-0000-0000721F0000}"/>
    <cellStyle name="20% - Accent4 4 2 3 4" xfId="4547" xr:uid="{00000000-0005-0000-0000-0000731F0000}"/>
    <cellStyle name="20% - Accent4 4 2 3 4 2" xfId="11819" xr:uid="{00000000-0005-0000-0000-0000741F0000}"/>
    <cellStyle name="20% - Accent4 4 2 3 4 2 2" xfId="26353" xr:uid="{00000000-0005-0000-0000-0000751F0000}"/>
    <cellStyle name="20% - Accent4 4 2 3 4 2 2 2" xfId="55359" xr:uid="{00000000-0005-0000-0000-0000761F0000}"/>
    <cellStyle name="20% - Accent4 4 2 3 4 2 3" xfId="40860" xr:uid="{00000000-0005-0000-0000-0000771F0000}"/>
    <cellStyle name="20% - Accent4 4 2 3 4 3" xfId="19105" xr:uid="{00000000-0005-0000-0000-0000781F0000}"/>
    <cellStyle name="20% - Accent4 4 2 3 4 3 2" xfId="48111" xr:uid="{00000000-0005-0000-0000-0000791F0000}"/>
    <cellStyle name="20% - Accent4 4 2 3 4 4" xfId="33612" xr:uid="{00000000-0005-0000-0000-00007A1F0000}"/>
    <cellStyle name="20% - Accent4 4 2 3 5" xfId="7651" xr:uid="{00000000-0005-0000-0000-00007B1F0000}"/>
    <cellStyle name="20% - Accent4 4 2 3 5 2" xfId="14923" xr:uid="{00000000-0005-0000-0000-00007C1F0000}"/>
    <cellStyle name="20% - Accent4 4 2 3 5 2 2" xfId="29457" xr:uid="{00000000-0005-0000-0000-00007D1F0000}"/>
    <cellStyle name="20% - Accent4 4 2 3 5 2 2 2" xfId="58463" xr:uid="{00000000-0005-0000-0000-00007E1F0000}"/>
    <cellStyle name="20% - Accent4 4 2 3 5 2 3" xfId="43964" xr:uid="{00000000-0005-0000-0000-00007F1F0000}"/>
    <cellStyle name="20% - Accent4 4 2 3 5 3" xfId="22209" xr:uid="{00000000-0005-0000-0000-0000801F0000}"/>
    <cellStyle name="20% - Accent4 4 2 3 5 3 2" xfId="51215" xr:uid="{00000000-0005-0000-0000-0000811F0000}"/>
    <cellStyle name="20% - Accent4 4 2 3 5 4" xfId="36716" xr:uid="{00000000-0005-0000-0000-0000821F0000}"/>
    <cellStyle name="20% - Accent4 4 2 3 6" xfId="8715" xr:uid="{00000000-0005-0000-0000-0000831F0000}"/>
    <cellStyle name="20% - Accent4 4 2 3 6 2" xfId="23249" xr:uid="{00000000-0005-0000-0000-0000841F0000}"/>
    <cellStyle name="20% - Accent4 4 2 3 6 2 2" xfId="52255" xr:uid="{00000000-0005-0000-0000-0000851F0000}"/>
    <cellStyle name="20% - Accent4 4 2 3 6 3" xfId="37756" xr:uid="{00000000-0005-0000-0000-0000861F0000}"/>
    <cellStyle name="20% - Accent4 4 2 3 7" xfId="16001" xr:uid="{00000000-0005-0000-0000-0000871F0000}"/>
    <cellStyle name="20% - Accent4 4 2 3 7 2" xfId="45007" xr:uid="{00000000-0005-0000-0000-0000881F0000}"/>
    <cellStyle name="20% - Accent4 4 2 3 8" xfId="30508" xr:uid="{00000000-0005-0000-0000-0000891F0000}"/>
    <cellStyle name="20% - Accent4 4 2 4" xfId="1971" xr:uid="{00000000-0005-0000-0000-00008A1F0000}"/>
    <cellStyle name="20% - Accent4 4 2 4 2" xfId="5075" xr:uid="{00000000-0005-0000-0000-00008B1F0000}"/>
    <cellStyle name="20% - Accent4 4 2 4 2 2" xfId="12347" xr:uid="{00000000-0005-0000-0000-00008C1F0000}"/>
    <cellStyle name="20% - Accent4 4 2 4 2 2 2" xfId="26881" xr:uid="{00000000-0005-0000-0000-00008D1F0000}"/>
    <cellStyle name="20% - Accent4 4 2 4 2 2 2 2" xfId="55887" xr:uid="{00000000-0005-0000-0000-00008E1F0000}"/>
    <cellStyle name="20% - Accent4 4 2 4 2 2 3" xfId="41388" xr:uid="{00000000-0005-0000-0000-00008F1F0000}"/>
    <cellStyle name="20% - Accent4 4 2 4 2 3" xfId="19633" xr:uid="{00000000-0005-0000-0000-0000901F0000}"/>
    <cellStyle name="20% - Accent4 4 2 4 2 3 2" xfId="48639" xr:uid="{00000000-0005-0000-0000-0000911F0000}"/>
    <cellStyle name="20% - Accent4 4 2 4 2 4" xfId="34140" xr:uid="{00000000-0005-0000-0000-0000921F0000}"/>
    <cellStyle name="20% - Accent4 4 2 4 3" xfId="9243" xr:uid="{00000000-0005-0000-0000-0000931F0000}"/>
    <cellStyle name="20% - Accent4 4 2 4 3 2" xfId="23777" xr:uid="{00000000-0005-0000-0000-0000941F0000}"/>
    <cellStyle name="20% - Accent4 4 2 4 3 2 2" xfId="52783" xr:uid="{00000000-0005-0000-0000-0000951F0000}"/>
    <cellStyle name="20% - Accent4 4 2 4 3 3" xfId="38284" xr:uid="{00000000-0005-0000-0000-0000961F0000}"/>
    <cellStyle name="20% - Accent4 4 2 4 4" xfId="16529" xr:uid="{00000000-0005-0000-0000-0000971F0000}"/>
    <cellStyle name="20% - Accent4 4 2 4 4 2" xfId="45535" xr:uid="{00000000-0005-0000-0000-0000981F0000}"/>
    <cellStyle name="20% - Accent4 4 2 4 5" xfId="31036" xr:uid="{00000000-0005-0000-0000-0000991F0000}"/>
    <cellStyle name="20% - Accent4 4 2 5" xfId="3003" xr:uid="{00000000-0005-0000-0000-00009A1F0000}"/>
    <cellStyle name="20% - Accent4 4 2 5 2" xfId="6107" xr:uid="{00000000-0005-0000-0000-00009B1F0000}"/>
    <cellStyle name="20% - Accent4 4 2 5 2 2" xfId="13379" xr:uid="{00000000-0005-0000-0000-00009C1F0000}"/>
    <cellStyle name="20% - Accent4 4 2 5 2 2 2" xfId="27913" xr:uid="{00000000-0005-0000-0000-00009D1F0000}"/>
    <cellStyle name="20% - Accent4 4 2 5 2 2 2 2" xfId="56919" xr:uid="{00000000-0005-0000-0000-00009E1F0000}"/>
    <cellStyle name="20% - Accent4 4 2 5 2 2 3" xfId="42420" xr:uid="{00000000-0005-0000-0000-00009F1F0000}"/>
    <cellStyle name="20% - Accent4 4 2 5 2 3" xfId="20665" xr:uid="{00000000-0005-0000-0000-0000A01F0000}"/>
    <cellStyle name="20% - Accent4 4 2 5 2 3 2" xfId="49671" xr:uid="{00000000-0005-0000-0000-0000A11F0000}"/>
    <cellStyle name="20% - Accent4 4 2 5 2 4" xfId="35172" xr:uid="{00000000-0005-0000-0000-0000A21F0000}"/>
    <cellStyle name="20% - Accent4 4 2 5 3" xfId="10275" xr:uid="{00000000-0005-0000-0000-0000A31F0000}"/>
    <cellStyle name="20% - Accent4 4 2 5 3 2" xfId="24809" xr:uid="{00000000-0005-0000-0000-0000A41F0000}"/>
    <cellStyle name="20% - Accent4 4 2 5 3 2 2" xfId="53815" xr:uid="{00000000-0005-0000-0000-0000A51F0000}"/>
    <cellStyle name="20% - Accent4 4 2 5 3 3" xfId="39316" xr:uid="{00000000-0005-0000-0000-0000A61F0000}"/>
    <cellStyle name="20% - Accent4 4 2 5 4" xfId="17561" xr:uid="{00000000-0005-0000-0000-0000A71F0000}"/>
    <cellStyle name="20% - Accent4 4 2 5 4 2" xfId="46567" xr:uid="{00000000-0005-0000-0000-0000A81F0000}"/>
    <cellStyle name="20% - Accent4 4 2 5 5" xfId="32068" xr:uid="{00000000-0005-0000-0000-0000A91F0000}"/>
    <cellStyle name="20% - Accent4 4 2 6" xfId="4035" xr:uid="{00000000-0005-0000-0000-0000AA1F0000}"/>
    <cellStyle name="20% - Accent4 4 2 6 2" xfId="11307" xr:uid="{00000000-0005-0000-0000-0000AB1F0000}"/>
    <cellStyle name="20% - Accent4 4 2 6 2 2" xfId="25841" xr:uid="{00000000-0005-0000-0000-0000AC1F0000}"/>
    <cellStyle name="20% - Accent4 4 2 6 2 2 2" xfId="54847" xr:uid="{00000000-0005-0000-0000-0000AD1F0000}"/>
    <cellStyle name="20% - Accent4 4 2 6 2 3" xfId="40348" xr:uid="{00000000-0005-0000-0000-0000AE1F0000}"/>
    <cellStyle name="20% - Accent4 4 2 6 3" xfId="18593" xr:uid="{00000000-0005-0000-0000-0000AF1F0000}"/>
    <cellStyle name="20% - Accent4 4 2 6 3 2" xfId="47599" xr:uid="{00000000-0005-0000-0000-0000B01F0000}"/>
    <cellStyle name="20% - Accent4 4 2 6 4" xfId="33100" xr:uid="{00000000-0005-0000-0000-0000B11F0000}"/>
    <cellStyle name="20% - Accent4 4 2 7" xfId="7139" xr:uid="{00000000-0005-0000-0000-0000B21F0000}"/>
    <cellStyle name="20% - Accent4 4 2 7 2" xfId="14411" xr:uid="{00000000-0005-0000-0000-0000B31F0000}"/>
    <cellStyle name="20% - Accent4 4 2 7 2 2" xfId="28945" xr:uid="{00000000-0005-0000-0000-0000B41F0000}"/>
    <cellStyle name="20% - Accent4 4 2 7 2 2 2" xfId="57951" xr:uid="{00000000-0005-0000-0000-0000B51F0000}"/>
    <cellStyle name="20% - Accent4 4 2 7 2 3" xfId="43452" xr:uid="{00000000-0005-0000-0000-0000B61F0000}"/>
    <cellStyle name="20% - Accent4 4 2 7 3" xfId="21697" xr:uid="{00000000-0005-0000-0000-0000B71F0000}"/>
    <cellStyle name="20% - Accent4 4 2 7 3 2" xfId="50703" xr:uid="{00000000-0005-0000-0000-0000B81F0000}"/>
    <cellStyle name="20% - Accent4 4 2 7 4" xfId="36204" xr:uid="{00000000-0005-0000-0000-0000B91F0000}"/>
    <cellStyle name="20% - Accent4 4 2 8" xfId="8203" xr:uid="{00000000-0005-0000-0000-0000BA1F0000}"/>
    <cellStyle name="20% - Accent4 4 2 8 2" xfId="22737" xr:uid="{00000000-0005-0000-0000-0000BB1F0000}"/>
    <cellStyle name="20% - Accent4 4 2 8 2 2" xfId="51743" xr:uid="{00000000-0005-0000-0000-0000BC1F0000}"/>
    <cellStyle name="20% - Accent4 4 2 8 3" xfId="37244" xr:uid="{00000000-0005-0000-0000-0000BD1F0000}"/>
    <cellStyle name="20% - Accent4 4 2 9" xfId="15489" xr:uid="{00000000-0005-0000-0000-0000BE1F0000}"/>
    <cellStyle name="20% - Accent4 4 2 9 2" xfId="44495" xr:uid="{00000000-0005-0000-0000-0000BF1F0000}"/>
    <cellStyle name="20% - Accent4 4 3" xfId="1129" xr:uid="{00000000-0005-0000-0000-0000C01F0000}"/>
    <cellStyle name="20% - Accent4 4 3 2" xfId="1627" xr:uid="{00000000-0005-0000-0000-0000C11F0000}"/>
    <cellStyle name="20% - Accent4 4 3 2 2" xfId="2686" xr:uid="{00000000-0005-0000-0000-0000C21F0000}"/>
    <cellStyle name="20% - Accent4 4 3 2 2 2" xfId="5790" xr:uid="{00000000-0005-0000-0000-0000C31F0000}"/>
    <cellStyle name="20% - Accent4 4 3 2 2 2 2" xfId="13062" xr:uid="{00000000-0005-0000-0000-0000C41F0000}"/>
    <cellStyle name="20% - Accent4 4 3 2 2 2 2 2" xfId="27596" xr:uid="{00000000-0005-0000-0000-0000C51F0000}"/>
    <cellStyle name="20% - Accent4 4 3 2 2 2 2 2 2" xfId="56602" xr:uid="{00000000-0005-0000-0000-0000C61F0000}"/>
    <cellStyle name="20% - Accent4 4 3 2 2 2 2 3" xfId="42103" xr:uid="{00000000-0005-0000-0000-0000C71F0000}"/>
    <cellStyle name="20% - Accent4 4 3 2 2 2 3" xfId="20348" xr:uid="{00000000-0005-0000-0000-0000C81F0000}"/>
    <cellStyle name="20% - Accent4 4 3 2 2 2 3 2" xfId="49354" xr:uid="{00000000-0005-0000-0000-0000C91F0000}"/>
    <cellStyle name="20% - Accent4 4 3 2 2 2 4" xfId="34855" xr:uid="{00000000-0005-0000-0000-0000CA1F0000}"/>
    <cellStyle name="20% - Accent4 4 3 2 2 3" xfId="9958" xr:uid="{00000000-0005-0000-0000-0000CB1F0000}"/>
    <cellStyle name="20% - Accent4 4 3 2 2 3 2" xfId="24492" xr:uid="{00000000-0005-0000-0000-0000CC1F0000}"/>
    <cellStyle name="20% - Accent4 4 3 2 2 3 2 2" xfId="53498" xr:uid="{00000000-0005-0000-0000-0000CD1F0000}"/>
    <cellStyle name="20% - Accent4 4 3 2 2 3 3" xfId="38999" xr:uid="{00000000-0005-0000-0000-0000CE1F0000}"/>
    <cellStyle name="20% - Accent4 4 3 2 2 4" xfId="17244" xr:uid="{00000000-0005-0000-0000-0000CF1F0000}"/>
    <cellStyle name="20% - Accent4 4 3 2 2 4 2" xfId="46250" xr:uid="{00000000-0005-0000-0000-0000D01F0000}"/>
    <cellStyle name="20% - Accent4 4 3 2 2 5" xfId="31751" xr:uid="{00000000-0005-0000-0000-0000D11F0000}"/>
    <cellStyle name="20% - Accent4 4 3 2 3" xfId="3718" xr:uid="{00000000-0005-0000-0000-0000D21F0000}"/>
    <cellStyle name="20% - Accent4 4 3 2 3 2" xfId="6822" xr:uid="{00000000-0005-0000-0000-0000D31F0000}"/>
    <cellStyle name="20% - Accent4 4 3 2 3 2 2" xfId="14094" xr:uid="{00000000-0005-0000-0000-0000D41F0000}"/>
    <cellStyle name="20% - Accent4 4 3 2 3 2 2 2" xfId="28628" xr:uid="{00000000-0005-0000-0000-0000D51F0000}"/>
    <cellStyle name="20% - Accent4 4 3 2 3 2 2 2 2" xfId="57634" xr:uid="{00000000-0005-0000-0000-0000D61F0000}"/>
    <cellStyle name="20% - Accent4 4 3 2 3 2 2 3" xfId="43135" xr:uid="{00000000-0005-0000-0000-0000D71F0000}"/>
    <cellStyle name="20% - Accent4 4 3 2 3 2 3" xfId="21380" xr:uid="{00000000-0005-0000-0000-0000D81F0000}"/>
    <cellStyle name="20% - Accent4 4 3 2 3 2 3 2" xfId="50386" xr:uid="{00000000-0005-0000-0000-0000D91F0000}"/>
    <cellStyle name="20% - Accent4 4 3 2 3 2 4" xfId="35887" xr:uid="{00000000-0005-0000-0000-0000DA1F0000}"/>
    <cellStyle name="20% - Accent4 4 3 2 3 3" xfId="10990" xr:uid="{00000000-0005-0000-0000-0000DB1F0000}"/>
    <cellStyle name="20% - Accent4 4 3 2 3 3 2" xfId="25524" xr:uid="{00000000-0005-0000-0000-0000DC1F0000}"/>
    <cellStyle name="20% - Accent4 4 3 2 3 3 2 2" xfId="54530" xr:uid="{00000000-0005-0000-0000-0000DD1F0000}"/>
    <cellStyle name="20% - Accent4 4 3 2 3 3 3" xfId="40031" xr:uid="{00000000-0005-0000-0000-0000DE1F0000}"/>
    <cellStyle name="20% - Accent4 4 3 2 3 4" xfId="18276" xr:uid="{00000000-0005-0000-0000-0000DF1F0000}"/>
    <cellStyle name="20% - Accent4 4 3 2 3 4 2" xfId="47282" xr:uid="{00000000-0005-0000-0000-0000E01F0000}"/>
    <cellStyle name="20% - Accent4 4 3 2 3 5" xfId="32783" xr:uid="{00000000-0005-0000-0000-0000E11F0000}"/>
    <cellStyle name="20% - Accent4 4 3 2 4" xfId="4750" xr:uid="{00000000-0005-0000-0000-0000E21F0000}"/>
    <cellStyle name="20% - Accent4 4 3 2 4 2" xfId="12022" xr:uid="{00000000-0005-0000-0000-0000E31F0000}"/>
    <cellStyle name="20% - Accent4 4 3 2 4 2 2" xfId="26556" xr:uid="{00000000-0005-0000-0000-0000E41F0000}"/>
    <cellStyle name="20% - Accent4 4 3 2 4 2 2 2" xfId="55562" xr:uid="{00000000-0005-0000-0000-0000E51F0000}"/>
    <cellStyle name="20% - Accent4 4 3 2 4 2 3" xfId="41063" xr:uid="{00000000-0005-0000-0000-0000E61F0000}"/>
    <cellStyle name="20% - Accent4 4 3 2 4 3" xfId="19308" xr:uid="{00000000-0005-0000-0000-0000E71F0000}"/>
    <cellStyle name="20% - Accent4 4 3 2 4 3 2" xfId="48314" xr:uid="{00000000-0005-0000-0000-0000E81F0000}"/>
    <cellStyle name="20% - Accent4 4 3 2 4 4" xfId="33815" xr:uid="{00000000-0005-0000-0000-0000E91F0000}"/>
    <cellStyle name="20% - Accent4 4 3 2 5" xfId="7854" xr:uid="{00000000-0005-0000-0000-0000EA1F0000}"/>
    <cellStyle name="20% - Accent4 4 3 2 5 2" xfId="15126" xr:uid="{00000000-0005-0000-0000-0000EB1F0000}"/>
    <cellStyle name="20% - Accent4 4 3 2 5 2 2" xfId="29660" xr:uid="{00000000-0005-0000-0000-0000EC1F0000}"/>
    <cellStyle name="20% - Accent4 4 3 2 5 2 2 2" xfId="58666" xr:uid="{00000000-0005-0000-0000-0000ED1F0000}"/>
    <cellStyle name="20% - Accent4 4 3 2 5 2 3" xfId="44167" xr:uid="{00000000-0005-0000-0000-0000EE1F0000}"/>
    <cellStyle name="20% - Accent4 4 3 2 5 3" xfId="22412" xr:uid="{00000000-0005-0000-0000-0000EF1F0000}"/>
    <cellStyle name="20% - Accent4 4 3 2 5 3 2" xfId="51418" xr:uid="{00000000-0005-0000-0000-0000F01F0000}"/>
    <cellStyle name="20% - Accent4 4 3 2 5 4" xfId="36919" xr:uid="{00000000-0005-0000-0000-0000F11F0000}"/>
    <cellStyle name="20% - Accent4 4 3 2 6" xfId="8918" xr:uid="{00000000-0005-0000-0000-0000F21F0000}"/>
    <cellStyle name="20% - Accent4 4 3 2 6 2" xfId="23452" xr:uid="{00000000-0005-0000-0000-0000F31F0000}"/>
    <cellStyle name="20% - Accent4 4 3 2 6 2 2" xfId="52458" xr:uid="{00000000-0005-0000-0000-0000F41F0000}"/>
    <cellStyle name="20% - Accent4 4 3 2 6 3" xfId="37959" xr:uid="{00000000-0005-0000-0000-0000F51F0000}"/>
    <cellStyle name="20% - Accent4 4 3 2 7" xfId="16204" xr:uid="{00000000-0005-0000-0000-0000F61F0000}"/>
    <cellStyle name="20% - Accent4 4 3 2 7 2" xfId="45210" xr:uid="{00000000-0005-0000-0000-0000F71F0000}"/>
    <cellStyle name="20% - Accent4 4 3 2 8" xfId="30711" xr:uid="{00000000-0005-0000-0000-0000F81F0000}"/>
    <cellStyle name="20% - Accent4 4 3 3" xfId="2174" xr:uid="{00000000-0005-0000-0000-0000F91F0000}"/>
    <cellStyle name="20% - Accent4 4 3 3 2" xfId="5278" xr:uid="{00000000-0005-0000-0000-0000FA1F0000}"/>
    <cellStyle name="20% - Accent4 4 3 3 2 2" xfId="12550" xr:uid="{00000000-0005-0000-0000-0000FB1F0000}"/>
    <cellStyle name="20% - Accent4 4 3 3 2 2 2" xfId="27084" xr:uid="{00000000-0005-0000-0000-0000FC1F0000}"/>
    <cellStyle name="20% - Accent4 4 3 3 2 2 2 2" xfId="56090" xr:uid="{00000000-0005-0000-0000-0000FD1F0000}"/>
    <cellStyle name="20% - Accent4 4 3 3 2 2 3" xfId="41591" xr:uid="{00000000-0005-0000-0000-0000FE1F0000}"/>
    <cellStyle name="20% - Accent4 4 3 3 2 3" xfId="19836" xr:uid="{00000000-0005-0000-0000-0000FF1F0000}"/>
    <cellStyle name="20% - Accent4 4 3 3 2 3 2" xfId="48842" xr:uid="{00000000-0005-0000-0000-000000200000}"/>
    <cellStyle name="20% - Accent4 4 3 3 2 4" xfId="34343" xr:uid="{00000000-0005-0000-0000-000001200000}"/>
    <cellStyle name="20% - Accent4 4 3 3 3" xfId="9446" xr:uid="{00000000-0005-0000-0000-000002200000}"/>
    <cellStyle name="20% - Accent4 4 3 3 3 2" xfId="23980" xr:uid="{00000000-0005-0000-0000-000003200000}"/>
    <cellStyle name="20% - Accent4 4 3 3 3 2 2" xfId="52986" xr:uid="{00000000-0005-0000-0000-000004200000}"/>
    <cellStyle name="20% - Accent4 4 3 3 3 3" xfId="38487" xr:uid="{00000000-0005-0000-0000-000005200000}"/>
    <cellStyle name="20% - Accent4 4 3 3 4" xfId="16732" xr:uid="{00000000-0005-0000-0000-000006200000}"/>
    <cellStyle name="20% - Accent4 4 3 3 4 2" xfId="45738" xr:uid="{00000000-0005-0000-0000-000007200000}"/>
    <cellStyle name="20% - Accent4 4 3 3 5" xfId="31239" xr:uid="{00000000-0005-0000-0000-000008200000}"/>
    <cellStyle name="20% - Accent4 4 3 4" xfId="3206" xr:uid="{00000000-0005-0000-0000-000009200000}"/>
    <cellStyle name="20% - Accent4 4 3 4 2" xfId="6310" xr:uid="{00000000-0005-0000-0000-00000A200000}"/>
    <cellStyle name="20% - Accent4 4 3 4 2 2" xfId="13582" xr:uid="{00000000-0005-0000-0000-00000B200000}"/>
    <cellStyle name="20% - Accent4 4 3 4 2 2 2" xfId="28116" xr:uid="{00000000-0005-0000-0000-00000C200000}"/>
    <cellStyle name="20% - Accent4 4 3 4 2 2 2 2" xfId="57122" xr:uid="{00000000-0005-0000-0000-00000D200000}"/>
    <cellStyle name="20% - Accent4 4 3 4 2 2 3" xfId="42623" xr:uid="{00000000-0005-0000-0000-00000E200000}"/>
    <cellStyle name="20% - Accent4 4 3 4 2 3" xfId="20868" xr:uid="{00000000-0005-0000-0000-00000F200000}"/>
    <cellStyle name="20% - Accent4 4 3 4 2 3 2" xfId="49874" xr:uid="{00000000-0005-0000-0000-000010200000}"/>
    <cellStyle name="20% - Accent4 4 3 4 2 4" xfId="35375" xr:uid="{00000000-0005-0000-0000-000011200000}"/>
    <cellStyle name="20% - Accent4 4 3 4 3" xfId="10478" xr:uid="{00000000-0005-0000-0000-000012200000}"/>
    <cellStyle name="20% - Accent4 4 3 4 3 2" xfId="25012" xr:uid="{00000000-0005-0000-0000-000013200000}"/>
    <cellStyle name="20% - Accent4 4 3 4 3 2 2" xfId="54018" xr:uid="{00000000-0005-0000-0000-000014200000}"/>
    <cellStyle name="20% - Accent4 4 3 4 3 3" xfId="39519" xr:uid="{00000000-0005-0000-0000-000015200000}"/>
    <cellStyle name="20% - Accent4 4 3 4 4" xfId="17764" xr:uid="{00000000-0005-0000-0000-000016200000}"/>
    <cellStyle name="20% - Accent4 4 3 4 4 2" xfId="46770" xr:uid="{00000000-0005-0000-0000-000017200000}"/>
    <cellStyle name="20% - Accent4 4 3 4 5" xfId="32271" xr:uid="{00000000-0005-0000-0000-000018200000}"/>
    <cellStyle name="20% - Accent4 4 3 5" xfId="4238" xr:uid="{00000000-0005-0000-0000-000019200000}"/>
    <cellStyle name="20% - Accent4 4 3 5 2" xfId="11510" xr:uid="{00000000-0005-0000-0000-00001A200000}"/>
    <cellStyle name="20% - Accent4 4 3 5 2 2" xfId="26044" xr:uid="{00000000-0005-0000-0000-00001B200000}"/>
    <cellStyle name="20% - Accent4 4 3 5 2 2 2" xfId="55050" xr:uid="{00000000-0005-0000-0000-00001C200000}"/>
    <cellStyle name="20% - Accent4 4 3 5 2 3" xfId="40551" xr:uid="{00000000-0005-0000-0000-00001D200000}"/>
    <cellStyle name="20% - Accent4 4 3 5 3" xfId="18796" xr:uid="{00000000-0005-0000-0000-00001E200000}"/>
    <cellStyle name="20% - Accent4 4 3 5 3 2" xfId="47802" xr:uid="{00000000-0005-0000-0000-00001F200000}"/>
    <cellStyle name="20% - Accent4 4 3 5 4" xfId="33303" xr:uid="{00000000-0005-0000-0000-000020200000}"/>
    <cellStyle name="20% - Accent4 4 3 6" xfId="7342" xr:uid="{00000000-0005-0000-0000-000021200000}"/>
    <cellStyle name="20% - Accent4 4 3 6 2" xfId="14614" xr:uid="{00000000-0005-0000-0000-000022200000}"/>
    <cellStyle name="20% - Accent4 4 3 6 2 2" xfId="29148" xr:uid="{00000000-0005-0000-0000-000023200000}"/>
    <cellStyle name="20% - Accent4 4 3 6 2 2 2" xfId="58154" xr:uid="{00000000-0005-0000-0000-000024200000}"/>
    <cellStyle name="20% - Accent4 4 3 6 2 3" xfId="43655" xr:uid="{00000000-0005-0000-0000-000025200000}"/>
    <cellStyle name="20% - Accent4 4 3 6 3" xfId="21900" xr:uid="{00000000-0005-0000-0000-000026200000}"/>
    <cellStyle name="20% - Accent4 4 3 6 3 2" xfId="50906" xr:uid="{00000000-0005-0000-0000-000027200000}"/>
    <cellStyle name="20% - Accent4 4 3 6 4" xfId="36407" xr:uid="{00000000-0005-0000-0000-000028200000}"/>
    <cellStyle name="20% - Accent4 4 3 7" xfId="8406" xr:uid="{00000000-0005-0000-0000-000029200000}"/>
    <cellStyle name="20% - Accent4 4 3 7 2" xfId="22940" xr:uid="{00000000-0005-0000-0000-00002A200000}"/>
    <cellStyle name="20% - Accent4 4 3 7 2 2" xfId="51946" xr:uid="{00000000-0005-0000-0000-00002B200000}"/>
    <cellStyle name="20% - Accent4 4 3 7 3" xfId="37447" xr:uid="{00000000-0005-0000-0000-00002C200000}"/>
    <cellStyle name="20% - Accent4 4 3 8" xfId="15692" xr:uid="{00000000-0005-0000-0000-00002D200000}"/>
    <cellStyle name="20% - Accent4 4 3 8 2" xfId="44698" xr:uid="{00000000-0005-0000-0000-00002E200000}"/>
    <cellStyle name="20% - Accent4 4 3 9" xfId="30199" xr:uid="{00000000-0005-0000-0000-00002F200000}"/>
    <cellStyle name="20% - Accent4 4 4" xfId="1038" xr:uid="{00000000-0005-0000-0000-000030200000}"/>
    <cellStyle name="20% - Accent4 4 4 2" xfId="1528" xr:uid="{00000000-0005-0000-0000-000031200000}"/>
    <cellStyle name="20% - Accent4 4 4 2 2" xfId="2586" xr:uid="{00000000-0005-0000-0000-000032200000}"/>
    <cellStyle name="20% - Accent4 4 4 2 2 2" xfId="5690" xr:uid="{00000000-0005-0000-0000-000033200000}"/>
    <cellStyle name="20% - Accent4 4 4 2 2 2 2" xfId="12962" xr:uid="{00000000-0005-0000-0000-000034200000}"/>
    <cellStyle name="20% - Accent4 4 4 2 2 2 2 2" xfId="27496" xr:uid="{00000000-0005-0000-0000-000035200000}"/>
    <cellStyle name="20% - Accent4 4 4 2 2 2 2 2 2" xfId="56502" xr:uid="{00000000-0005-0000-0000-000036200000}"/>
    <cellStyle name="20% - Accent4 4 4 2 2 2 2 3" xfId="42003" xr:uid="{00000000-0005-0000-0000-000037200000}"/>
    <cellStyle name="20% - Accent4 4 4 2 2 2 3" xfId="20248" xr:uid="{00000000-0005-0000-0000-000038200000}"/>
    <cellStyle name="20% - Accent4 4 4 2 2 2 3 2" xfId="49254" xr:uid="{00000000-0005-0000-0000-000039200000}"/>
    <cellStyle name="20% - Accent4 4 4 2 2 2 4" xfId="34755" xr:uid="{00000000-0005-0000-0000-00003A200000}"/>
    <cellStyle name="20% - Accent4 4 4 2 2 3" xfId="9858" xr:uid="{00000000-0005-0000-0000-00003B200000}"/>
    <cellStyle name="20% - Accent4 4 4 2 2 3 2" xfId="24392" xr:uid="{00000000-0005-0000-0000-00003C200000}"/>
    <cellStyle name="20% - Accent4 4 4 2 2 3 2 2" xfId="53398" xr:uid="{00000000-0005-0000-0000-00003D200000}"/>
    <cellStyle name="20% - Accent4 4 4 2 2 3 3" xfId="38899" xr:uid="{00000000-0005-0000-0000-00003E200000}"/>
    <cellStyle name="20% - Accent4 4 4 2 2 4" xfId="17144" xr:uid="{00000000-0005-0000-0000-00003F200000}"/>
    <cellStyle name="20% - Accent4 4 4 2 2 4 2" xfId="46150" xr:uid="{00000000-0005-0000-0000-000040200000}"/>
    <cellStyle name="20% - Accent4 4 4 2 2 5" xfId="31651" xr:uid="{00000000-0005-0000-0000-000041200000}"/>
    <cellStyle name="20% - Accent4 4 4 2 3" xfId="3618" xr:uid="{00000000-0005-0000-0000-000042200000}"/>
    <cellStyle name="20% - Accent4 4 4 2 3 2" xfId="6722" xr:uid="{00000000-0005-0000-0000-000043200000}"/>
    <cellStyle name="20% - Accent4 4 4 2 3 2 2" xfId="13994" xr:uid="{00000000-0005-0000-0000-000044200000}"/>
    <cellStyle name="20% - Accent4 4 4 2 3 2 2 2" xfId="28528" xr:uid="{00000000-0005-0000-0000-000045200000}"/>
    <cellStyle name="20% - Accent4 4 4 2 3 2 2 2 2" xfId="57534" xr:uid="{00000000-0005-0000-0000-000046200000}"/>
    <cellStyle name="20% - Accent4 4 4 2 3 2 2 3" xfId="43035" xr:uid="{00000000-0005-0000-0000-000047200000}"/>
    <cellStyle name="20% - Accent4 4 4 2 3 2 3" xfId="21280" xr:uid="{00000000-0005-0000-0000-000048200000}"/>
    <cellStyle name="20% - Accent4 4 4 2 3 2 3 2" xfId="50286" xr:uid="{00000000-0005-0000-0000-000049200000}"/>
    <cellStyle name="20% - Accent4 4 4 2 3 2 4" xfId="35787" xr:uid="{00000000-0005-0000-0000-00004A200000}"/>
    <cellStyle name="20% - Accent4 4 4 2 3 3" xfId="10890" xr:uid="{00000000-0005-0000-0000-00004B200000}"/>
    <cellStyle name="20% - Accent4 4 4 2 3 3 2" xfId="25424" xr:uid="{00000000-0005-0000-0000-00004C200000}"/>
    <cellStyle name="20% - Accent4 4 4 2 3 3 2 2" xfId="54430" xr:uid="{00000000-0005-0000-0000-00004D200000}"/>
    <cellStyle name="20% - Accent4 4 4 2 3 3 3" xfId="39931" xr:uid="{00000000-0005-0000-0000-00004E200000}"/>
    <cellStyle name="20% - Accent4 4 4 2 3 4" xfId="18176" xr:uid="{00000000-0005-0000-0000-00004F200000}"/>
    <cellStyle name="20% - Accent4 4 4 2 3 4 2" xfId="47182" xr:uid="{00000000-0005-0000-0000-000050200000}"/>
    <cellStyle name="20% - Accent4 4 4 2 3 5" xfId="32683" xr:uid="{00000000-0005-0000-0000-000051200000}"/>
    <cellStyle name="20% - Accent4 4 4 2 4" xfId="4650" xr:uid="{00000000-0005-0000-0000-000052200000}"/>
    <cellStyle name="20% - Accent4 4 4 2 4 2" xfId="11922" xr:uid="{00000000-0005-0000-0000-000053200000}"/>
    <cellStyle name="20% - Accent4 4 4 2 4 2 2" xfId="26456" xr:uid="{00000000-0005-0000-0000-000054200000}"/>
    <cellStyle name="20% - Accent4 4 4 2 4 2 2 2" xfId="55462" xr:uid="{00000000-0005-0000-0000-000055200000}"/>
    <cellStyle name="20% - Accent4 4 4 2 4 2 3" xfId="40963" xr:uid="{00000000-0005-0000-0000-000056200000}"/>
    <cellStyle name="20% - Accent4 4 4 2 4 3" xfId="19208" xr:uid="{00000000-0005-0000-0000-000057200000}"/>
    <cellStyle name="20% - Accent4 4 4 2 4 3 2" xfId="48214" xr:uid="{00000000-0005-0000-0000-000058200000}"/>
    <cellStyle name="20% - Accent4 4 4 2 4 4" xfId="33715" xr:uid="{00000000-0005-0000-0000-000059200000}"/>
    <cellStyle name="20% - Accent4 4 4 2 5" xfId="7754" xr:uid="{00000000-0005-0000-0000-00005A200000}"/>
    <cellStyle name="20% - Accent4 4 4 2 5 2" xfId="15026" xr:uid="{00000000-0005-0000-0000-00005B200000}"/>
    <cellStyle name="20% - Accent4 4 4 2 5 2 2" xfId="29560" xr:uid="{00000000-0005-0000-0000-00005C200000}"/>
    <cellStyle name="20% - Accent4 4 4 2 5 2 2 2" xfId="58566" xr:uid="{00000000-0005-0000-0000-00005D200000}"/>
    <cellStyle name="20% - Accent4 4 4 2 5 2 3" xfId="44067" xr:uid="{00000000-0005-0000-0000-00005E200000}"/>
    <cellStyle name="20% - Accent4 4 4 2 5 3" xfId="22312" xr:uid="{00000000-0005-0000-0000-00005F200000}"/>
    <cellStyle name="20% - Accent4 4 4 2 5 3 2" xfId="51318" xr:uid="{00000000-0005-0000-0000-000060200000}"/>
    <cellStyle name="20% - Accent4 4 4 2 5 4" xfId="36819" xr:uid="{00000000-0005-0000-0000-000061200000}"/>
    <cellStyle name="20% - Accent4 4 4 2 6" xfId="8818" xr:uid="{00000000-0005-0000-0000-000062200000}"/>
    <cellStyle name="20% - Accent4 4 4 2 6 2" xfId="23352" xr:uid="{00000000-0005-0000-0000-000063200000}"/>
    <cellStyle name="20% - Accent4 4 4 2 6 2 2" xfId="52358" xr:uid="{00000000-0005-0000-0000-000064200000}"/>
    <cellStyle name="20% - Accent4 4 4 2 6 3" xfId="37859" xr:uid="{00000000-0005-0000-0000-000065200000}"/>
    <cellStyle name="20% - Accent4 4 4 2 7" xfId="16104" xr:uid="{00000000-0005-0000-0000-000066200000}"/>
    <cellStyle name="20% - Accent4 4 4 2 7 2" xfId="45110" xr:uid="{00000000-0005-0000-0000-000067200000}"/>
    <cellStyle name="20% - Accent4 4 4 2 8" xfId="30611" xr:uid="{00000000-0005-0000-0000-000068200000}"/>
    <cellStyle name="20% - Accent4 4 4 3" xfId="2074" xr:uid="{00000000-0005-0000-0000-000069200000}"/>
    <cellStyle name="20% - Accent4 4 4 3 2" xfId="5178" xr:uid="{00000000-0005-0000-0000-00006A200000}"/>
    <cellStyle name="20% - Accent4 4 4 3 2 2" xfId="12450" xr:uid="{00000000-0005-0000-0000-00006B200000}"/>
    <cellStyle name="20% - Accent4 4 4 3 2 2 2" xfId="26984" xr:uid="{00000000-0005-0000-0000-00006C200000}"/>
    <cellStyle name="20% - Accent4 4 4 3 2 2 2 2" xfId="55990" xr:uid="{00000000-0005-0000-0000-00006D200000}"/>
    <cellStyle name="20% - Accent4 4 4 3 2 2 3" xfId="41491" xr:uid="{00000000-0005-0000-0000-00006E200000}"/>
    <cellStyle name="20% - Accent4 4 4 3 2 3" xfId="19736" xr:uid="{00000000-0005-0000-0000-00006F200000}"/>
    <cellStyle name="20% - Accent4 4 4 3 2 3 2" xfId="48742" xr:uid="{00000000-0005-0000-0000-000070200000}"/>
    <cellStyle name="20% - Accent4 4 4 3 2 4" xfId="34243" xr:uid="{00000000-0005-0000-0000-000071200000}"/>
    <cellStyle name="20% - Accent4 4 4 3 3" xfId="9346" xr:uid="{00000000-0005-0000-0000-000072200000}"/>
    <cellStyle name="20% - Accent4 4 4 3 3 2" xfId="23880" xr:uid="{00000000-0005-0000-0000-000073200000}"/>
    <cellStyle name="20% - Accent4 4 4 3 3 2 2" xfId="52886" xr:uid="{00000000-0005-0000-0000-000074200000}"/>
    <cellStyle name="20% - Accent4 4 4 3 3 3" xfId="38387" xr:uid="{00000000-0005-0000-0000-000075200000}"/>
    <cellStyle name="20% - Accent4 4 4 3 4" xfId="16632" xr:uid="{00000000-0005-0000-0000-000076200000}"/>
    <cellStyle name="20% - Accent4 4 4 3 4 2" xfId="45638" xr:uid="{00000000-0005-0000-0000-000077200000}"/>
    <cellStyle name="20% - Accent4 4 4 3 5" xfId="31139" xr:uid="{00000000-0005-0000-0000-000078200000}"/>
    <cellStyle name="20% - Accent4 4 4 4" xfId="3106" xr:uid="{00000000-0005-0000-0000-000079200000}"/>
    <cellStyle name="20% - Accent4 4 4 4 2" xfId="6210" xr:uid="{00000000-0005-0000-0000-00007A200000}"/>
    <cellStyle name="20% - Accent4 4 4 4 2 2" xfId="13482" xr:uid="{00000000-0005-0000-0000-00007B200000}"/>
    <cellStyle name="20% - Accent4 4 4 4 2 2 2" xfId="28016" xr:uid="{00000000-0005-0000-0000-00007C200000}"/>
    <cellStyle name="20% - Accent4 4 4 4 2 2 2 2" xfId="57022" xr:uid="{00000000-0005-0000-0000-00007D200000}"/>
    <cellStyle name="20% - Accent4 4 4 4 2 2 3" xfId="42523" xr:uid="{00000000-0005-0000-0000-00007E200000}"/>
    <cellStyle name="20% - Accent4 4 4 4 2 3" xfId="20768" xr:uid="{00000000-0005-0000-0000-00007F200000}"/>
    <cellStyle name="20% - Accent4 4 4 4 2 3 2" xfId="49774" xr:uid="{00000000-0005-0000-0000-000080200000}"/>
    <cellStyle name="20% - Accent4 4 4 4 2 4" xfId="35275" xr:uid="{00000000-0005-0000-0000-000081200000}"/>
    <cellStyle name="20% - Accent4 4 4 4 3" xfId="10378" xr:uid="{00000000-0005-0000-0000-000082200000}"/>
    <cellStyle name="20% - Accent4 4 4 4 3 2" xfId="24912" xr:uid="{00000000-0005-0000-0000-000083200000}"/>
    <cellStyle name="20% - Accent4 4 4 4 3 2 2" xfId="53918" xr:uid="{00000000-0005-0000-0000-000084200000}"/>
    <cellStyle name="20% - Accent4 4 4 4 3 3" xfId="39419" xr:uid="{00000000-0005-0000-0000-000085200000}"/>
    <cellStyle name="20% - Accent4 4 4 4 4" xfId="17664" xr:uid="{00000000-0005-0000-0000-000086200000}"/>
    <cellStyle name="20% - Accent4 4 4 4 4 2" xfId="46670" xr:uid="{00000000-0005-0000-0000-000087200000}"/>
    <cellStyle name="20% - Accent4 4 4 4 5" xfId="32171" xr:uid="{00000000-0005-0000-0000-000088200000}"/>
    <cellStyle name="20% - Accent4 4 4 5" xfId="4138" xr:uid="{00000000-0005-0000-0000-000089200000}"/>
    <cellStyle name="20% - Accent4 4 4 5 2" xfId="11410" xr:uid="{00000000-0005-0000-0000-00008A200000}"/>
    <cellStyle name="20% - Accent4 4 4 5 2 2" xfId="25944" xr:uid="{00000000-0005-0000-0000-00008B200000}"/>
    <cellStyle name="20% - Accent4 4 4 5 2 2 2" xfId="54950" xr:uid="{00000000-0005-0000-0000-00008C200000}"/>
    <cellStyle name="20% - Accent4 4 4 5 2 3" xfId="40451" xr:uid="{00000000-0005-0000-0000-00008D200000}"/>
    <cellStyle name="20% - Accent4 4 4 5 3" xfId="18696" xr:uid="{00000000-0005-0000-0000-00008E200000}"/>
    <cellStyle name="20% - Accent4 4 4 5 3 2" xfId="47702" xr:uid="{00000000-0005-0000-0000-00008F200000}"/>
    <cellStyle name="20% - Accent4 4 4 5 4" xfId="33203" xr:uid="{00000000-0005-0000-0000-000090200000}"/>
    <cellStyle name="20% - Accent4 4 4 6" xfId="7242" xr:uid="{00000000-0005-0000-0000-000091200000}"/>
    <cellStyle name="20% - Accent4 4 4 6 2" xfId="14514" xr:uid="{00000000-0005-0000-0000-000092200000}"/>
    <cellStyle name="20% - Accent4 4 4 6 2 2" xfId="29048" xr:uid="{00000000-0005-0000-0000-000093200000}"/>
    <cellStyle name="20% - Accent4 4 4 6 2 2 2" xfId="58054" xr:uid="{00000000-0005-0000-0000-000094200000}"/>
    <cellStyle name="20% - Accent4 4 4 6 2 3" xfId="43555" xr:uid="{00000000-0005-0000-0000-000095200000}"/>
    <cellStyle name="20% - Accent4 4 4 6 3" xfId="21800" xr:uid="{00000000-0005-0000-0000-000096200000}"/>
    <cellStyle name="20% - Accent4 4 4 6 3 2" xfId="50806" xr:uid="{00000000-0005-0000-0000-000097200000}"/>
    <cellStyle name="20% - Accent4 4 4 6 4" xfId="36307" xr:uid="{00000000-0005-0000-0000-000098200000}"/>
    <cellStyle name="20% - Accent4 4 4 7" xfId="8306" xr:uid="{00000000-0005-0000-0000-000099200000}"/>
    <cellStyle name="20% - Accent4 4 4 7 2" xfId="22840" xr:uid="{00000000-0005-0000-0000-00009A200000}"/>
    <cellStyle name="20% - Accent4 4 4 7 2 2" xfId="51846" xr:uid="{00000000-0005-0000-0000-00009B200000}"/>
    <cellStyle name="20% - Accent4 4 4 7 3" xfId="37347" xr:uid="{00000000-0005-0000-0000-00009C200000}"/>
    <cellStyle name="20% - Accent4 4 4 8" xfId="15592" xr:uid="{00000000-0005-0000-0000-00009D200000}"/>
    <cellStyle name="20% - Accent4 4 4 8 2" xfId="44598" xr:uid="{00000000-0005-0000-0000-00009E200000}"/>
    <cellStyle name="20% - Accent4 4 4 9" xfId="30099" xr:uid="{00000000-0005-0000-0000-00009F200000}"/>
    <cellStyle name="20% - Accent4 4 5" xfId="1323" xr:uid="{00000000-0005-0000-0000-0000A0200000}"/>
    <cellStyle name="20% - Accent4 4 5 2" xfId="2380" xr:uid="{00000000-0005-0000-0000-0000A1200000}"/>
    <cellStyle name="20% - Accent4 4 5 2 2" xfId="5484" xr:uid="{00000000-0005-0000-0000-0000A2200000}"/>
    <cellStyle name="20% - Accent4 4 5 2 2 2" xfId="12756" xr:uid="{00000000-0005-0000-0000-0000A3200000}"/>
    <cellStyle name="20% - Accent4 4 5 2 2 2 2" xfId="27290" xr:uid="{00000000-0005-0000-0000-0000A4200000}"/>
    <cellStyle name="20% - Accent4 4 5 2 2 2 2 2" xfId="56296" xr:uid="{00000000-0005-0000-0000-0000A5200000}"/>
    <cellStyle name="20% - Accent4 4 5 2 2 2 3" xfId="41797" xr:uid="{00000000-0005-0000-0000-0000A6200000}"/>
    <cellStyle name="20% - Accent4 4 5 2 2 3" xfId="20042" xr:uid="{00000000-0005-0000-0000-0000A7200000}"/>
    <cellStyle name="20% - Accent4 4 5 2 2 3 2" xfId="49048" xr:uid="{00000000-0005-0000-0000-0000A8200000}"/>
    <cellStyle name="20% - Accent4 4 5 2 2 4" xfId="34549" xr:uid="{00000000-0005-0000-0000-0000A9200000}"/>
    <cellStyle name="20% - Accent4 4 5 2 3" xfId="9652" xr:uid="{00000000-0005-0000-0000-0000AA200000}"/>
    <cellStyle name="20% - Accent4 4 5 2 3 2" xfId="24186" xr:uid="{00000000-0005-0000-0000-0000AB200000}"/>
    <cellStyle name="20% - Accent4 4 5 2 3 2 2" xfId="53192" xr:uid="{00000000-0005-0000-0000-0000AC200000}"/>
    <cellStyle name="20% - Accent4 4 5 2 3 3" xfId="38693" xr:uid="{00000000-0005-0000-0000-0000AD200000}"/>
    <cellStyle name="20% - Accent4 4 5 2 4" xfId="16938" xr:uid="{00000000-0005-0000-0000-0000AE200000}"/>
    <cellStyle name="20% - Accent4 4 5 2 4 2" xfId="45944" xr:uid="{00000000-0005-0000-0000-0000AF200000}"/>
    <cellStyle name="20% - Accent4 4 5 2 5" xfId="31445" xr:uid="{00000000-0005-0000-0000-0000B0200000}"/>
    <cellStyle name="20% - Accent4 4 5 3" xfId="3412" xr:uid="{00000000-0005-0000-0000-0000B1200000}"/>
    <cellStyle name="20% - Accent4 4 5 3 2" xfId="6516" xr:uid="{00000000-0005-0000-0000-0000B2200000}"/>
    <cellStyle name="20% - Accent4 4 5 3 2 2" xfId="13788" xr:uid="{00000000-0005-0000-0000-0000B3200000}"/>
    <cellStyle name="20% - Accent4 4 5 3 2 2 2" xfId="28322" xr:uid="{00000000-0005-0000-0000-0000B4200000}"/>
    <cellStyle name="20% - Accent4 4 5 3 2 2 2 2" xfId="57328" xr:uid="{00000000-0005-0000-0000-0000B5200000}"/>
    <cellStyle name="20% - Accent4 4 5 3 2 2 3" xfId="42829" xr:uid="{00000000-0005-0000-0000-0000B6200000}"/>
    <cellStyle name="20% - Accent4 4 5 3 2 3" xfId="21074" xr:uid="{00000000-0005-0000-0000-0000B7200000}"/>
    <cellStyle name="20% - Accent4 4 5 3 2 3 2" xfId="50080" xr:uid="{00000000-0005-0000-0000-0000B8200000}"/>
    <cellStyle name="20% - Accent4 4 5 3 2 4" xfId="35581" xr:uid="{00000000-0005-0000-0000-0000B9200000}"/>
    <cellStyle name="20% - Accent4 4 5 3 3" xfId="10684" xr:uid="{00000000-0005-0000-0000-0000BA200000}"/>
    <cellStyle name="20% - Accent4 4 5 3 3 2" xfId="25218" xr:uid="{00000000-0005-0000-0000-0000BB200000}"/>
    <cellStyle name="20% - Accent4 4 5 3 3 2 2" xfId="54224" xr:uid="{00000000-0005-0000-0000-0000BC200000}"/>
    <cellStyle name="20% - Accent4 4 5 3 3 3" xfId="39725" xr:uid="{00000000-0005-0000-0000-0000BD200000}"/>
    <cellStyle name="20% - Accent4 4 5 3 4" xfId="17970" xr:uid="{00000000-0005-0000-0000-0000BE200000}"/>
    <cellStyle name="20% - Accent4 4 5 3 4 2" xfId="46976" xr:uid="{00000000-0005-0000-0000-0000BF200000}"/>
    <cellStyle name="20% - Accent4 4 5 3 5" xfId="32477" xr:uid="{00000000-0005-0000-0000-0000C0200000}"/>
    <cellStyle name="20% - Accent4 4 5 4" xfId="4444" xr:uid="{00000000-0005-0000-0000-0000C1200000}"/>
    <cellStyle name="20% - Accent4 4 5 4 2" xfId="11716" xr:uid="{00000000-0005-0000-0000-0000C2200000}"/>
    <cellStyle name="20% - Accent4 4 5 4 2 2" xfId="26250" xr:uid="{00000000-0005-0000-0000-0000C3200000}"/>
    <cellStyle name="20% - Accent4 4 5 4 2 2 2" xfId="55256" xr:uid="{00000000-0005-0000-0000-0000C4200000}"/>
    <cellStyle name="20% - Accent4 4 5 4 2 3" xfId="40757" xr:uid="{00000000-0005-0000-0000-0000C5200000}"/>
    <cellStyle name="20% - Accent4 4 5 4 3" xfId="19002" xr:uid="{00000000-0005-0000-0000-0000C6200000}"/>
    <cellStyle name="20% - Accent4 4 5 4 3 2" xfId="48008" xr:uid="{00000000-0005-0000-0000-0000C7200000}"/>
    <cellStyle name="20% - Accent4 4 5 4 4" xfId="33509" xr:uid="{00000000-0005-0000-0000-0000C8200000}"/>
    <cellStyle name="20% - Accent4 4 5 5" xfId="7548" xr:uid="{00000000-0005-0000-0000-0000C9200000}"/>
    <cellStyle name="20% - Accent4 4 5 5 2" xfId="14820" xr:uid="{00000000-0005-0000-0000-0000CA200000}"/>
    <cellStyle name="20% - Accent4 4 5 5 2 2" xfId="29354" xr:uid="{00000000-0005-0000-0000-0000CB200000}"/>
    <cellStyle name="20% - Accent4 4 5 5 2 2 2" xfId="58360" xr:uid="{00000000-0005-0000-0000-0000CC200000}"/>
    <cellStyle name="20% - Accent4 4 5 5 2 3" xfId="43861" xr:uid="{00000000-0005-0000-0000-0000CD200000}"/>
    <cellStyle name="20% - Accent4 4 5 5 3" xfId="22106" xr:uid="{00000000-0005-0000-0000-0000CE200000}"/>
    <cellStyle name="20% - Accent4 4 5 5 3 2" xfId="51112" xr:uid="{00000000-0005-0000-0000-0000CF200000}"/>
    <cellStyle name="20% - Accent4 4 5 5 4" xfId="36613" xr:uid="{00000000-0005-0000-0000-0000D0200000}"/>
    <cellStyle name="20% - Accent4 4 5 6" xfId="8612" xr:uid="{00000000-0005-0000-0000-0000D1200000}"/>
    <cellStyle name="20% - Accent4 4 5 6 2" xfId="23146" xr:uid="{00000000-0005-0000-0000-0000D2200000}"/>
    <cellStyle name="20% - Accent4 4 5 6 2 2" xfId="52152" xr:uid="{00000000-0005-0000-0000-0000D3200000}"/>
    <cellStyle name="20% - Accent4 4 5 6 3" xfId="37653" xr:uid="{00000000-0005-0000-0000-0000D4200000}"/>
    <cellStyle name="20% - Accent4 4 5 7" xfId="15898" xr:uid="{00000000-0005-0000-0000-0000D5200000}"/>
    <cellStyle name="20% - Accent4 4 5 7 2" xfId="44904" xr:uid="{00000000-0005-0000-0000-0000D6200000}"/>
    <cellStyle name="20% - Accent4 4 5 8" xfId="30405" xr:uid="{00000000-0005-0000-0000-0000D7200000}"/>
    <cellStyle name="20% - Accent4 4 6" xfId="1868" xr:uid="{00000000-0005-0000-0000-0000D8200000}"/>
    <cellStyle name="20% - Accent4 4 6 2" xfId="4972" xr:uid="{00000000-0005-0000-0000-0000D9200000}"/>
    <cellStyle name="20% - Accent4 4 6 2 2" xfId="12244" xr:uid="{00000000-0005-0000-0000-0000DA200000}"/>
    <cellStyle name="20% - Accent4 4 6 2 2 2" xfId="26778" xr:uid="{00000000-0005-0000-0000-0000DB200000}"/>
    <cellStyle name="20% - Accent4 4 6 2 2 2 2" xfId="55784" xr:uid="{00000000-0005-0000-0000-0000DC200000}"/>
    <cellStyle name="20% - Accent4 4 6 2 2 3" xfId="41285" xr:uid="{00000000-0005-0000-0000-0000DD200000}"/>
    <cellStyle name="20% - Accent4 4 6 2 3" xfId="19530" xr:uid="{00000000-0005-0000-0000-0000DE200000}"/>
    <cellStyle name="20% - Accent4 4 6 2 3 2" xfId="48536" xr:uid="{00000000-0005-0000-0000-0000DF200000}"/>
    <cellStyle name="20% - Accent4 4 6 2 4" xfId="34037" xr:uid="{00000000-0005-0000-0000-0000E0200000}"/>
    <cellStyle name="20% - Accent4 4 6 3" xfId="9140" xr:uid="{00000000-0005-0000-0000-0000E1200000}"/>
    <cellStyle name="20% - Accent4 4 6 3 2" xfId="23674" xr:uid="{00000000-0005-0000-0000-0000E2200000}"/>
    <cellStyle name="20% - Accent4 4 6 3 2 2" xfId="52680" xr:uid="{00000000-0005-0000-0000-0000E3200000}"/>
    <cellStyle name="20% - Accent4 4 6 3 3" xfId="38181" xr:uid="{00000000-0005-0000-0000-0000E4200000}"/>
    <cellStyle name="20% - Accent4 4 6 4" xfId="16426" xr:uid="{00000000-0005-0000-0000-0000E5200000}"/>
    <cellStyle name="20% - Accent4 4 6 4 2" xfId="45432" xr:uid="{00000000-0005-0000-0000-0000E6200000}"/>
    <cellStyle name="20% - Accent4 4 6 5" xfId="30933" xr:uid="{00000000-0005-0000-0000-0000E7200000}"/>
    <cellStyle name="20% - Accent4 4 7" xfId="2900" xr:uid="{00000000-0005-0000-0000-0000E8200000}"/>
    <cellStyle name="20% - Accent4 4 7 2" xfId="6004" xr:uid="{00000000-0005-0000-0000-0000E9200000}"/>
    <cellStyle name="20% - Accent4 4 7 2 2" xfId="13276" xr:uid="{00000000-0005-0000-0000-0000EA200000}"/>
    <cellStyle name="20% - Accent4 4 7 2 2 2" xfId="27810" xr:uid="{00000000-0005-0000-0000-0000EB200000}"/>
    <cellStyle name="20% - Accent4 4 7 2 2 2 2" xfId="56816" xr:uid="{00000000-0005-0000-0000-0000EC200000}"/>
    <cellStyle name="20% - Accent4 4 7 2 2 3" xfId="42317" xr:uid="{00000000-0005-0000-0000-0000ED200000}"/>
    <cellStyle name="20% - Accent4 4 7 2 3" xfId="20562" xr:uid="{00000000-0005-0000-0000-0000EE200000}"/>
    <cellStyle name="20% - Accent4 4 7 2 3 2" xfId="49568" xr:uid="{00000000-0005-0000-0000-0000EF200000}"/>
    <cellStyle name="20% - Accent4 4 7 2 4" xfId="35069" xr:uid="{00000000-0005-0000-0000-0000F0200000}"/>
    <cellStyle name="20% - Accent4 4 7 3" xfId="10172" xr:uid="{00000000-0005-0000-0000-0000F1200000}"/>
    <cellStyle name="20% - Accent4 4 7 3 2" xfId="24706" xr:uid="{00000000-0005-0000-0000-0000F2200000}"/>
    <cellStyle name="20% - Accent4 4 7 3 2 2" xfId="53712" xr:uid="{00000000-0005-0000-0000-0000F3200000}"/>
    <cellStyle name="20% - Accent4 4 7 3 3" xfId="39213" xr:uid="{00000000-0005-0000-0000-0000F4200000}"/>
    <cellStyle name="20% - Accent4 4 7 4" xfId="17458" xr:uid="{00000000-0005-0000-0000-0000F5200000}"/>
    <cellStyle name="20% - Accent4 4 7 4 2" xfId="46464" xr:uid="{00000000-0005-0000-0000-0000F6200000}"/>
    <cellStyle name="20% - Accent4 4 7 5" xfId="31965" xr:uid="{00000000-0005-0000-0000-0000F7200000}"/>
    <cellStyle name="20% - Accent4 4 8" xfId="3932" xr:uid="{00000000-0005-0000-0000-0000F8200000}"/>
    <cellStyle name="20% - Accent4 4 8 2" xfId="11204" xr:uid="{00000000-0005-0000-0000-0000F9200000}"/>
    <cellStyle name="20% - Accent4 4 8 2 2" xfId="25738" xr:uid="{00000000-0005-0000-0000-0000FA200000}"/>
    <cellStyle name="20% - Accent4 4 8 2 2 2" xfId="54744" xr:uid="{00000000-0005-0000-0000-0000FB200000}"/>
    <cellStyle name="20% - Accent4 4 8 2 3" xfId="40245" xr:uid="{00000000-0005-0000-0000-0000FC200000}"/>
    <cellStyle name="20% - Accent4 4 8 3" xfId="18490" xr:uid="{00000000-0005-0000-0000-0000FD200000}"/>
    <cellStyle name="20% - Accent4 4 8 3 2" xfId="47496" xr:uid="{00000000-0005-0000-0000-0000FE200000}"/>
    <cellStyle name="20% - Accent4 4 8 4" xfId="32997" xr:uid="{00000000-0005-0000-0000-0000FF200000}"/>
    <cellStyle name="20% - Accent4 4 9" xfId="7036" xr:uid="{00000000-0005-0000-0000-000000210000}"/>
    <cellStyle name="20% - Accent4 4 9 2" xfId="14308" xr:uid="{00000000-0005-0000-0000-000001210000}"/>
    <cellStyle name="20% - Accent4 4 9 2 2" xfId="28842" xr:uid="{00000000-0005-0000-0000-000002210000}"/>
    <cellStyle name="20% - Accent4 4 9 2 2 2" xfId="57848" xr:uid="{00000000-0005-0000-0000-000003210000}"/>
    <cellStyle name="20% - Accent4 4 9 2 3" xfId="43349" xr:uid="{00000000-0005-0000-0000-000004210000}"/>
    <cellStyle name="20% - Accent4 4 9 3" xfId="21594" xr:uid="{00000000-0005-0000-0000-000005210000}"/>
    <cellStyle name="20% - Accent4 4 9 3 2" xfId="50600" xr:uid="{00000000-0005-0000-0000-000006210000}"/>
    <cellStyle name="20% - Accent4 4 9 4" xfId="36101" xr:uid="{00000000-0005-0000-0000-000007210000}"/>
    <cellStyle name="20% - Accent4 5" xfId="909" xr:uid="{00000000-0005-0000-0000-000008210000}"/>
    <cellStyle name="20% - Accent4 5 10" xfId="29944" xr:uid="{00000000-0005-0000-0000-000009210000}"/>
    <cellStyle name="20% - Accent4 5 2" xfId="1177" xr:uid="{00000000-0005-0000-0000-00000A210000}"/>
    <cellStyle name="20% - Accent4 5 2 2" xfId="1678" xr:uid="{00000000-0005-0000-0000-00000B210000}"/>
    <cellStyle name="20% - Accent4 5 2 2 2" xfId="2737" xr:uid="{00000000-0005-0000-0000-00000C210000}"/>
    <cellStyle name="20% - Accent4 5 2 2 2 2" xfId="5841" xr:uid="{00000000-0005-0000-0000-00000D210000}"/>
    <cellStyle name="20% - Accent4 5 2 2 2 2 2" xfId="13113" xr:uid="{00000000-0005-0000-0000-00000E210000}"/>
    <cellStyle name="20% - Accent4 5 2 2 2 2 2 2" xfId="27647" xr:uid="{00000000-0005-0000-0000-00000F210000}"/>
    <cellStyle name="20% - Accent4 5 2 2 2 2 2 2 2" xfId="56653" xr:uid="{00000000-0005-0000-0000-000010210000}"/>
    <cellStyle name="20% - Accent4 5 2 2 2 2 2 3" xfId="42154" xr:uid="{00000000-0005-0000-0000-000011210000}"/>
    <cellStyle name="20% - Accent4 5 2 2 2 2 3" xfId="20399" xr:uid="{00000000-0005-0000-0000-000012210000}"/>
    <cellStyle name="20% - Accent4 5 2 2 2 2 3 2" xfId="49405" xr:uid="{00000000-0005-0000-0000-000013210000}"/>
    <cellStyle name="20% - Accent4 5 2 2 2 2 4" xfId="34906" xr:uid="{00000000-0005-0000-0000-000014210000}"/>
    <cellStyle name="20% - Accent4 5 2 2 2 3" xfId="10009" xr:uid="{00000000-0005-0000-0000-000015210000}"/>
    <cellStyle name="20% - Accent4 5 2 2 2 3 2" xfId="24543" xr:uid="{00000000-0005-0000-0000-000016210000}"/>
    <cellStyle name="20% - Accent4 5 2 2 2 3 2 2" xfId="53549" xr:uid="{00000000-0005-0000-0000-000017210000}"/>
    <cellStyle name="20% - Accent4 5 2 2 2 3 3" xfId="39050" xr:uid="{00000000-0005-0000-0000-000018210000}"/>
    <cellStyle name="20% - Accent4 5 2 2 2 4" xfId="17295" xr:uid="{00000000-0005-0000-0000-000019210000}"/>
    <cellStyle name="20% - Accent4 5 2 2 2 4 2" xfId="46301" xr:uid="{00000000-0005-0000-0000-00001A210000}"/>
    <cellStyle name="20% - Accent4 5 2 2 2 5" xfId="31802" xr:uid="{00000000-0005-0000-0000-00001B210000}"/>
    <cellStyle name="20% - Accent4 5 2 2 3" xfId="3769" xr:uid="{00000000-0005-0000-0000-00001C210000}"/>
    <cellStyle name="20% - Accent4 5 2 2 3 2" xfId="6873" xr:uid="{00000000-0005-0000-0000-00001D210000}"/>
    <cellStyle name="20% - Accent4 5 2 2 3 2 2" xfId="14145" xr:uid="{00000000-0005-0000-0000-00001E210000}"/>
    <cellStyle name="20% - Accent4 5 2 2 3 2 2 2" xfId="28679" xr:uid="{00000000-0005-0000-0000-00001F210000}"/>
    <cellStyle name="20% - Accent4 5 2 2 3 2 2 2 2" xfId="57685" xr:uid="{00000000-0005-0000-0000-000020210000}"/>
    <cellStyle name="20% - Accent4 5 2 2 3 2 2 3" xfId="43186" xr:uid="{00000000-0005-0000-0000-000021210000}"/>
    <cellStyle name="20% - Accent4 5 2 2 3 2 3" xfId="21431" xr:uid="{00000000-0005-0000-0000-000022210000}"/>
    <cellStyle name="20% - Accent4 5 2 2 3 2 3 2" xfId="50437" xr:uid="{00000000-0005-0000-0000-000023210000}"/>
    <cellStyle name="20% - Accent4 5 2 2 3 2 4" xfId="35938" xr:uid="{00000000-0005-0000-0000-000024210000}"/>
    <cellStyle name="20% - Accent4 5 2 2 3 3" xfId="11041" xr:uid="{00000000-0005-0000-0000-000025210000}"/>
    <cellStyle name="20% - Accent4 5 2 2 3 3 2" xfId="25575" xr:uid="{00000000-0005-0000-0000-000026210000}"/>
    <cellStyle name="20% - Accent4 5 2 2 3 3 2 2" xfId="54581" xr:uid="{00000000-0005-0000-0000-000027210000}"/>
    <cellStyle name="20% - Accent4 5 2 2 3 3 3" xfId="40082" xr:uid="{00000000-0005-0000-0000-000028210000}"/>
    <cellStyle name="20% - Accent4 5 2 2 3 4" xfId="18327" xr:uid="{00000000-0005-0000-0000-000029210000}"/>
    <cellStyle name="20% - Accent4 5 2 2 3 4 2" xfId="47333" xr:uid="{00000000-0005-0000-0000-00002A210000}"/>
    <cellStyle name="20% - Accent4 5 2 2 3 5" xfId="32834" xr:uid="{00000000-0005-0000-0000-00002B210000}"/>
    <cellStyle name="20% - Accent4 5 2 2 4" xfId="4801" xr:uid="{00000000-0005-0000-0000-00002C210000}"/>
    <cellStyle name="20% - Accent4 5 2 2 4 2" xfId="12073" xr:uid="{00000000-0005-0000-0000-00002D210000}"/>
    <cellStyle name="20% - Accent4 5 2 2 4 2 2" xfId="26607" xr:uid="{00000000-0005-0000-0000-00002E210000}"/>
    <cellStyle name="20% - Accent4 5 2 2 4 2 2 2" xfId="55613" xr:uid="{00000000-0005-0000-0000-00002F210000}"/>
    <cellStyle name="20% - Accent4 5 2 2 4 2 3" xfId="41114" xr:uid="{00000000-0005-0000-0000-000030210000}"/>
    <cellStyle name="20% - Accent4 5 2 2 4 3" xfId="19359" xr:uid="{00000000-0005-0000-0000-000031210000}"/>
    <cellStyle name="20% - Accent4 5 2 2 4 3 2" xfId="48365" xr:uid="{00000000-0005-0000-0000-000032210000}"/>
    <cellStyle name="20% - Accent4 5 2 2 4 4" xfId="33866" xr:uid="{00000000-0005-0000-0000-000033210000}"/>
    <cellStyle name="20% - Accent4 5 2 2 5" xfId="7905" xr:uid="{00000000-0005-0000-0000-000034210000}"/>
    <cellStyle name="20% - Accent4 5 2 2 5 2" xfId="15177" xr:uid="{00000000-0005-0000-0000-000035210000}"/>
    <cellStyle name="20% - Accent4 5 2 2 5 2 2" xfId="29711" xr:uid="{00000000-0005-0000-0000-000036210000}"/>
    <cellStyle name="20% - Accent4 5 2 2 5 2 2 2" xfId="58717" xr:uid="{00000000-0005-0000-0000-000037210000}"/>
    <cellStyle name="20% - Accent4 5 2 2 5 2 3" xfId="44218" xr:uid="{00000000-0005-0000-0000-000038210000}"/>
    <cellStyle name="20% - Accent4 5 2 2 5 3" xfId="22463" xr:uid="{00000000-0005-0000-0000-000039210000}"/>
    <cellStyle name="20% - Accent4 5 2 2 5 3 2" xfId="51469" xr:uid="{00000000-0005-0000-0000-00003A210000}"/>
    <cellStyle name="20% - Accent4 5 2 2 5 4" xfId="36970" xr:uid="{00000000-0005-0000-0000-00003B210000}"/>
    <cellStyle name="20% - Accent4 5 2 2 6" xfId="8969" xr:uid="{00000000-0005-0000-0000-00003C210000}"/>
    <cellStyle name="20% - Accent4 5 2 2 6 2" xfId="23503" xr:uid="{00000000-0005-0000-0000-00003D210000}"/>
    <cellStyle name="20% - Accent4 5 2 2 6 2 2" xfId="52509" xr:uid="{00000000-0005-0000-0000-00003E210000}"/>
    <cellStyle name="20% - Accent4 5 2 2 6 3" xfId="38010" xr:uid="{00000000-0005-0000-0000-00003F210000}"/>
    <cellStyle name="20% - Accent4 5 2 2 7" xfId="16255" xr:uid="{00000000-0005-0000-0000-000040210000}"/>
    <cellStyle name="20% - Accent4 5 2 2 7 2" xfId="45261" xr:uid="{00000000-0005-0000-0000-000041210000}"/>
    <cellStyle name="20% - Accent4 5 2 2 8" xfId="30762" xr:uid="{00000000-0005-0000-0000-000042210000}"/>
    <cellStyle name="20% - Accent4 5 2 3" xfId="2225" xr:uid="{00000000-0005-0000-0000-000043210000}"/>
    <cellStyle name="20% - Accent4 5 2 3 2" xfId="5329" xr:uid="{00000000-0005-0000-0000-000044210000}"/>
    <cellStyle name="20% - Accent4 5 2 3 2 2" xfId="12601" xr:uid="{00000000-0005-0000-0000-000045210000}"/>
    <cellStyle name="20% - Accent4 5 2 3 2 2 2" xfId="27135" xr:uid="{00000000-0005-0000-0000-000046210000}"/>
    <cellStyle name="20% - Accent4 5 2 3 2 2 2 2" xfId="56141" xr:uid="{00000000-0005-0000-0000-000047210000}"/>
    <cellStyle name="20% - Accent4 5 2 3 2 2 3" xfId="41642" xr:uid="{00000000-0005-0000-0000-000048210000}"/>
    <cellStyle name="20% - Accent4 5 2 3 2 3" xfId="19887" xr:uid="{00000000-0005-0000-0000-000049210000}"/>
    <cellStyle name="20% - Accent4 5 2 3 2 3 2" xfId="48893" xr:uid="{00000000-0005-0000-0000-00004A210000}"/>
    <cellStyle name="20% - Accent4 5 2 3 2 4" xfId="34394" xr:uid="{00000000-0005-0000-0000-00004B210000}"/>
    <cellStyle name="20% - Accent4 5 2 3 3" xfId="9497" xr:uid="{00000000-0005-0000-0000-00004C210000}"/>
    <cellStyle name="20% - Accent4 5 2 3 3 2" xfId="24031" xr:uid="{00000000-0005-0000-0000-00004D210000}"/>
    <cellStyle name="20% - Accent4 5 2 3 3 2 2" xfId="53037" xr:uid="{00000000-0005-0000-0000-00004E210000}"/>
    <cellStyle name="20% - Accent4 5 2 3 3 3" xfId="38538" xr:uid="{00000000-0005-0000-0000-00004F210000}"/>
    <cellStyle name="20% - Accent4 5 2 3 4" xfId="16783" xr:uid="{00000000-0005-0000-0000-000050210000}"/>
    <cellStyle name="20% - Accent4 5 2 3 4 2" xfId="45789" xr:uid="{00000000-0005-0000-0000-000051210000}"/>
    <cellStyle name="20% - Accent4 5 2 3 5" xfId="31290" xr:uid="{00000000-0005-0000-0000-000052210000}"/>
    <cellStyle name="20% - Accent4 5 2 4" xfId="3257" xr:uid="{00000000-0005-0000-0000-000053210000}"/>
    <cellStyle name="20% - Accent4 5 2 4 2" xfId="6361" xr:uid="{00000000-0005-0000-0000-000054210000}"/>
    <cellStyle name="20% - Accent4 5 2 4 2 2" xfId="13633" xr:uid="{00000000-0005-0000-0000-000055210000}"/>
    <cellStyle name="20% - Accent4 5 2 4 2 2 2" xfId="28167" xr:uid="{00000000-0005-0000-0000-000056210000}"/>
    <cellStyle name="20% - Accent4 5 2 4 2 2 2 2" xfId="57173" xr:uid="{00000000-0005-0000-0000-000057210000}"/>
    <cellStyle name="20% - Accent4 5 2 4 2 2 3" xfId="42674" xr:uid="{00000000-0005-0000-0000-000058210000}"/>
    <cellStyle name="20% - Accent4 5 2 4 2 3" xfId="20919" xr:uid="{00000000-0005-0000-0000-000059210000}"/>
    <cellStyle name="20% - Accent4 5 2 4 2 3 2" xfId="49925" xr:uid="{00000000-0005-0000-0000-00005A210000}"/>
    <cellStyle name="20% - Accent4 5 2 4 2 4" xfId="35426" xr:uid="{00000000-0005-0000-0000-00005B210000}"/>
    <cellStyle name="20% - Accent4 5 2 4 3" xfId="10529" xr:uid="{00000000-0005-0000-0000-00005C210000}"/>
    <cellStyle name="20% - Accent4 5 2 4 3 2" xfId="25063" xr:uid="{00000000-0005-0000-0000-00005D210000}"/>
    <cellStyle name="20% - Accent4 5 2 4 3 2 2" xfId="54069" xr:uid="{00000000-0005-0000-0000-00005E210000}"/>
    <cellStyle name="20% - Accent4 5 2 4 3 3" xfId="39570" xr:uid="{00000000-0005-0000-0000-00005F210000}"/>
    <cellStyle name="20% - Accent4 5 2 4 4" xfId="17815" xr:uid="{00000000-0005-0000-0000-000060210000}"/>
    <cellStyle name="20% - Accent4 5 2 4 4 2" xfId="46821" xr:uid="{00000000-0005-0000-0000-000061210000}"/>
    <cellStyle name="20% - Accent4 5 2 4 5" xfId="32322" xr:uid="{00000000-0005-0000-0000-000062210000}"/>
    <cellStyle name="20% - Accent4 5 2 5" xfId="4289" xr:uid="{00000000-0005-0000-0000-000063210000}"/>
    <cellStyle name="20% - Accent4 5 2 5 2" xfId="11561" xr:uid="{00000000-0005-0000-0000-000064210000}"/>
    <cellStyle name="20% - Accent4 5 2 5 2 2" xfId="26095" xr:uid="{00000000-0005-0000-0000-000065210000}"/>
    <cellStyle name="20% - Accent4 5 2 5 2 2 2" xfId="55101" xr:uid="{00000000-0005-0000-0000-000066210000}"/>
    <cellStyle name="20% - Accent4 5 2 5 2 3" xfId="40602" xr:uid="{00000000-0005-0000-0000-000067210000}"/>
    <cellStyle name="20% - Accent4 5 2 5 3" xfId="18847" xr:uid="{00000000-0005-0000-0000-000068210000}"/>
    <cellStyle name="20% - Accent4 5 2 5 3 2" xfId="47853" xr:uid="{00000000-0005-0000-0000-000069210000}"/>
    <cellStyle name="20% - Accent4 5 2 5 4" xfId="33354" xr:uid="{00000000-0005-0000-0000-00006A210000}"/>
    <cellStyle name="20% - Accent4 5 2 6" xfId="7393" xr:uid="{00000000-0005-0000-0000-00006B210000}"/>
    <cellStyle name="20% - Accent4 5 2 6 2" xfId="14665" xr:uid="{00000000-0005-0000-0000-00006C210000}"/>
    <cellStyle name="20% - Accent4 5 2 6 2 2" xfId="29199" xr:uid="{00000000-0005-0000-0000-00006D210000}"/>
    <cellStyle name="20% - Accent4 5 2 6 2 2 2" xfId="58205" xr:uid="{00000000-0005-0000-0000-00006E210000}"/>
    <cellStyle name="20% - Accent4 5 2 6 2 3" xfId="43706" xr:uid="{00000000-0005-0000-0000-00006F210000}"/>
    <cellStyle name="20% - Accent4 5 2 6 3" xfId="21951" xr:uid="{00000000-0005-0000-0000-000070210000}"/>
    <cellStyle name="20% - Accent4 5 2 6 3 2" xfId="50957" xr:uid="{00000000-0005-0000-0000-000071210000}"/>
    <cellStyle name="20% - Accent4 5 2 6 4" xfId="36458" xr:uid="{00000000-0005-0000-0000-000072210000}"/>
    <cellStyle name="20% - Accent4 5 2 7" xfId="8457" xr:uid="{00000000-0005-0000-0000-000073210000}"/>
    <cellStyle name="20% - Accent4 5 2 7 2" xfId="22991" xr:uid="{00000000-0005-0000-0000-000074210000}"/>
    <cellStyle name="20% - Accent4 5 2 7 2 2" xfId="51997" xr:uid="{00000000-0005-0000-0000-000075210000}"/>
    <cellStyle name="20% - Accent4 5 2 7 3" xfId="37498" xr:uid="{00000000-0005-0000-0000-000076210000}"/>
    <cellStyle name="20% - Accent4 5 2 8" xfId="15743" xr:uid="{00000000-0005-0000-0000-000077210000}"/>
    <cellStyle name="20% - Accent4 5 2 8 2" xfId="44749" xr:uid="{00000000-0005-0000-0000-000078210000}"/>
    <cellStyle name="20% - Accent4 5 2 9" xfId="30250" xr:uid="{00000000-0005-0000-0000-000079210000}"/>
    <cellStyle name="20% - Accent4 5 3" xfId="1374" xr:uid="{00000000-0005-0000-0000-00007A210000}"/>
    <cellStyle name="20% - Accent4 5 3 2" xfId="2431" xr:uid="{00000000-0005-0000-0000-00007B210000}"/>
    <cellStyle name="20% - Accent4 5 3 2 2" xfId="5535" xr:uid="{00000000-0005-0000-0000-00007C210000}"/>
    <cellStyle name="20% - Accent4 5 3 2 2 2" xfId="12807" xr:uid="{00000000-0005-0000-0000-00007D210000}"/>
    <cellStyle name="20% - Accent4 5 3 2 2 2 2" xfId="27341" xr:uid="{00000000-0005-0000-0000-00007E210000}"/>
    <cellStyle name="20% - Accent4 5 3 2 2 2 2 2" xfId="56347" xr:uid="{00000000-0005-0000-0000-00007F210000}"/>
    <cellStyle name="20% - Accent4 5 3 2 2 2 3" xfId="41848" xr:uid="{00000000-0005-0000-0000-000080210000}"/>
    <cellStyle name="20% - Accent4 5 3 2 2 3" xfId="20093" xr:uid="{00000000-0005-0000-0000-000081210000}"/>
    <cellStyle name="20% - Accent4 5 3 2 2 3 2" xfId="49099" xr:uid="{00000000-0005-0000-0000-000082210000}"/>
    <cellStyle name="20% - Accent4 5 3 2 2 4" xfId="34600" xr:uid="{00000000-0005-0000-0000-000083210000}"/>
    <cellStyle name="20% - Accent4 5 3 2 3" xfId="9703" xr:uid="{00000000-0005-0000-0000-000084210000}"/>
    <cellStyle name="20% - Accent4 5 3 2 3 2" xfId="24237" xr:uid="{00000000-0005-0000-0000-000085210000}"/>
    <cellStyle name="20% - Accent4 5 3 2 3 2 2" xfId="53243" xr:uid="{00000000-0005-0000-0000-000086210000}"/>
    <cellStyle name="20% - Accent4 5 3 2 3 3" xfId="38744" xr:uid="{00000000-0005-0000-0000-000087210000}"/>
    <cellStyle name="20% - Accent4 5 3 2 4" xfId="16989" xr:uid="{00000000-0005-0000-0000-000088210000}"/>
    <cellStyle name="20% - Accent4 5 3 2 4 2" xfId="45995" xr:uid="{00000000-0005-0000-0000-000089210000}"/>
    <cellStyle name="20% - Accent4 5 3 2 5" xfId="31496" xr:uid="{00000000-0005-0000-0000-00008A210000}"/>
    <cellStyle name="20% - Accent4 5 3 3" xfId="3463" xr:uid="{00000000-0005-0000-0000-00008B210000}"/>
    <cellStyle name="20% - Accent4 5 3 3 2" xfId="6567" xr:uid="{00000000-0005-0000-0000-00008C210000}"/>
    <cellStyle name="20% - Accent4 5 3 3 2 2" xfId="13839" xr:uid="{00000000-0005-0000-0000-00008D210000}"/>
    <cellStyle name="20% - Accent4 5 3 3 2 2 2" xfId="28373" xr:uid="{00000000-0005-0000-0000-00008E210000}"/>
    <cellStyle name="20% - Accent4 5 3 3 2 2 2 2" xfId="57379" xr:uid="{00000000-0005-0000-0000-00008F210000}"/>
    <cellStyle name="20% - Accent4 5 3 3 2 2 3" xfId="42880" xr:uid="{00000000-0005-0000-0000-000090210000}"/>
    <cellStyle name="20% - Accent4 5 3 3 2 3" xfId="21125" xr:uid="{00000000-0005-0000-0000-000091210000}"/>
    <cellStyle name="20% - Accent4 5 3 3 2 3 2" xfId="50131" xr:uid="{00000000-0005-0000-0000-000092210000}"/>
    <cellStyle name="20% - Accent4 5 3 3 2 4" xfId="35632" xr:uid="{00000000-0005-0000-0000-000093210000}"/>
    <cellStyle name="20% - Accent4 5 3 3 3" xfId="10735" xr:uid="{00000000-0005-0000-0000-000094210000}"/>
    <cellStyle name="20% - Accent4 5 3 3 3 2" xfId="25269" xr:uid="{00000000-0005-0000-0000-000095210000}"/>
    <cellStyle name="20% - Accent4 5 3 3 3 2 2" xfId="54275" xr:uid="{00000000-0005-0000-0000-000096210000}"/>
    <cellStyle name="20% - Accent4 5 3 3 3 3" xfId="39776" xr:uid="{00000000-0005-0000-0000-000097210000}"/>
    <cellStyle name="20% - Accent4 5 3 3 4" xfId="18021" xr:uid="{00000000-0005-0000-0000-000098210000}"/>
    <cellStyle name="20% - Accent4 5 3 3 4 2" xfId="47027" xr:uid="{00000000-0005-0000-0000-000099210000}"/>
    <cellStyle name="20% - Accent4 5 3 3 5" xfId="32528" xr:uid="{00000000-0005-0000-0000-00009A210000}"/>
    <cellStyle name="20% - Accent4 5 3 4" xfId="4495" xr:uid="{00000000-0005-0000-0000-00009B210000}"/>
    <cellStyle name="20% - Accent4 5 3 4 2" xfId="11767" xr:uid="{00000000-0005-0000-0000-00009C210000}"/>
    <cellStyle name="20% - Accent4 5 3 4 2 2" xfId="26301" xr:uid="{00000000-0005-0000-0000-00009D210000}"/>
    <cellStyle name="20% - Accent4 5 3 4 2 2 2" xfId="55307" xr:uid="{00000000-0005-0000-0000-00009E210000}"/>
    <cellStyle name="20% - Accent4 5 3 4 2 3" xfId="40808" xr:uid="{00000000-0005-0000-0000-00009F210000}"/>
    <cellStyle name="20% - Accent4 5 3 4 3" xfId="19053" xr:uid="{00000000-0005-0000-0000-0000A0210000}"/>
    <cellStyle name="20% - Accent4 5 3 4 3 2" xfId="48059" xr:uid="{00000000-0005-0000-0000-0000A1210000}"/>
    <cellStyle name="20% - Accent4 5 3 4 4" xfId="33560" xr:uid="{00000000-0005-0000-0000-0000A2210000}"/>
    <cellStyle name="20% - Accent4 5 3 5" xfId="7599" xr:uid="{00000000-0005-0000-0000-0000A3210000}"/>
    <cellStyle name="20% - Accent4 5 3 5 2" xfId="14871" xr:uid="{00000000-0005-0000-0000-0000A4210000}"/>
    <cellStyle name="20% - Accent4 5 3 5 2 2" xfId="29405" xr:uid="{00000000-0005-0000-0000-0000A5210000}"/>
    <cellStyle name="20% - Accent4 5 3 5 2 2 2" xfId="58411" xr:uid="{00000000-0005-0000-0000-0000A6210000}"/>
    <cellStyle name="20% - Accent4 5 3 5 2 3" xfId="43912" xr:uid="{00000000-0005-0000-0000-0000A7210000}"/>
    <cellStyle name="20% - Accent4 5 3 5 3" xfId="22157" xr:uid="{00000000-0005-0000-0000-0000A8210000}"/>
    <cellStyle name="20% - Accent4 5 3 5 3 2" xfId="51163" xr:uid="{00000000-0005-0000-0000-0000A9210000}"/>
    <cellStyle name="20% - Accent4 5 3 5 4" xfId="36664" xr:uid="{00000000-0005-0000-0000-0000AA210000}"/>
    <cellStyle name="20% - Accent4 5 3 6" xfId="8663" xr:uid="{00000000-0005-0000-0000-0000AB210000}"/>
    <cellStyle name="20% - Accent4 5 3 6 2" xfId="23197" xr:uid="{00000000-0005-0000-0000-0000AC210000}"/>
    <cellStyle name="20% - Accent4 5 3 6 2 2" xfId="52203" xr:uid="{00000000-0005-0000-0000-0000AD210000}"/>
    <cellStyle name="20% - Accent4 5 3 6 3" xfId="37704" xr:uid="{00000000-0005-0000-0000-0000AE210000}"/>
    <cellStyle name="20% - Accent4 5 3 7" xfId="15949" xr:uid="{00000000-0005-0000-0000-0000AF210000}"/>
    <cellStyle name="20% - Accent4 5 3 7 2" xfId="44955" xr:uid="{00000000-0005-0000-0000-0000B0210000}"/>
    <cellStyle name="20% - Accent4 5 3 8" xfId="30456" xr:uid="{00000000-0005-0000-0000-0000B1210000}"/>
    <cellStyle name="20% - Accent4 5 4" xfId="1919" xr:uid="{00000000-0005-0000-0000-0000B2210000}"/>
    <cellStyle name="20% - Accent4 5 4 2" xfId="5023" xr:uid="{00000000-0005-0000-0000-0000B3210000}"/>
    <cellStyle name="20% - Accent4 5 4 2 2" xfId="12295" xr:uid="{00000000-0005-0000-0000-0000B4210000}"/>
    <cellStyle name="20% - Accent4 5 4 2 2 2" xfId="26829" xr:uid="{00000000-0005-0000-0000-0000B5210000}"/>
    <cellStyle name="20% - Accent4 5 4 2 2 2 2" xfId="55835" xr:uid="{00000000-0005-0000-0000-0000B6210000}"/>
    <cellStyle name="20% - Accent4 5 4 2 2 3" xfId="41336" xr:uid="{00000000-0005-0000-0000-0000B7210000}"/>
    <cellStyle name="20% - Accent4 5 4 2 3" xfId="19581" xr:uid="{00000000-0005-0000-0000-0000B8210000}"/>
    <cellStyle name="20% - Accent4 5 4 2 3 2" xfId="48587" xr:uid="{00000000-0005-0000-0000-0000B9210000}"/>
    <cellStyle name="20% - Accent4 5 4 2 4" xfId="34088" xr:uid="{00000000-0005-0000-0000-0000BA210000}"/>
    <cellStyle name="20% - Accent4 5 4 3" xfId="9191" xr:uid="{00000000-0005-0000-0000-0000BB210000}"/>
    <cellStyle name="20% - Accent4 5 4 3 2" xfId="23725" xr:uid="{00000000-0005-0000-0000-0000BC210000}"/>
    <cellStyle name="20% - Accent4 5 4 3 2 2" xfId="52731" xr:uid="{00000000-0005-0000-0000-0000BD210000}"/>
    <cellStyle name="20% - Accent4 5 4 3 3" xfId="38232" xr:uid="{00000000-0005-0000-0000-0000BE210000}"/>
    <cellStyle name="20% - Accent4 5 4 4" xfId="16477" xr:uid="{00000000-0005-0000-0000-0000BF210000}"/>
    <cellStyle name="20% - Accent4 5 4 4 2" xfId="45483" xr:uid="{00000000-0005-0000-0000-0000C0210000}"/>
    <cellStyle name="20% - Accent4 5 4 5" xfId="30984" xr:uid="{00000000-0005-0000-0000-0000C1210000}"/>
    <cellStyle name="20% - Accent4 5 5" xfId="2951" xr:uid="{00000000-0005-0000-0000-0000C2210000}"/>
    <cellStyle name="20% - Accent4 5 5 2" xfId="6055" xr:uid="{00000000-0005-0000-0000-0000C3210000}"/>
    <cellStyle name="20% - Accent4 5 5 2 2" xfId="13327" xr:uid="{00000000-0005-0000-0000-0000C4210000}"/>
    <cellStyle name="20% - Accent4 5 5 2 2 2" xfId="27861" xr:uid="{00000000-0005-0000-0000-0000C5210000}"/>
    <cellStyle name="20% - Accent4 5 5 2 2 2 2" xfId="56867" xr:uid="{00000000-0005-0000-0000-0000C6210000}"/>
    <cellStyle name="20% - Accent4 5 5 2 2 3" xfId="42368" xr:uid="{00000000-0005-0000-0000-0000C7210000}"/>
    <cellStyle name="20% - Accent4 5 5 2 3" xfId="20613" xr:uid="{00000000-0005-0000-0000-0000C8210000}"/>
    <cellStyle name="20% - Accent4 5 5 2 3 2" xfId="49619" xr:uid="{00000000-0005-0000-0000-0000C9210000}"/>
    <cellStyle name="20% - Accent4 5 5 2 4" xfId="35120" xr:uid="{00000000-0005-0000-0000-0000CA210000}"/>
    <cellStyle name="20% - Accent4 5 5 3" xfId="10223" xr:uid="{00000000-0005-0000-0000-0000CB210000}"/>
    <cellStyle name="20% - Accent4 5 5 3 2" xfId="24757" xr:uid="{00000000-0005-0000-0000-0000CC210000}"/>
    <cellStyle name="20% - Accent4 5 5 3 2 2" xfId="53763" xr:uid="{00000000-0005-0000-0000-0000CD210000}"/>
    <cellStyle name="20% - Accent4 5 5 3 3" xfId="39264" xr:uid="{00000000-0005-0000-0000-0000CE210000}"/>
    <cellStyle name="20% - Accent4 5 5 4" xfId="17509" xr:uid="{00000000-0005-0000-0000-0000CF210000}"/>
    <cellStyle name="20% - Accent4 5 5 4 2" xfId="46515" xr:uid="{00000000-0005-0000-0000-0000D0210000}"/>
    <cellStyle name="20% - Accent4 5 5 5" xfId="32016" xr:uid="{00000000-0005-0000-0000-0000D1210000}"/>
    <cellStyle name="20% - Accent4 5 6" xfId="3983" xr:uid="{00000000-0005-0000-0000-0000D2210000}"/>
    <cellStyle name="20% - Accent4 5 6 2" xfId="11255" xr:uid="{00000000-0005-0000-0000-0000D3210000}"/>
    <cellStyle name="20% - Accent4 5 6 2 2" xfId="25789" xr:uid="{00000000-0005-0000-0000-0000D4210000}"/>
    <cellStyle name="20% - Accent4 5 6 2 2 2" xfId="54795" xr:uid="{00000000-0005-0000-0000-0000D5210000}"/>
    <cellStyle name="20% - Accent4 5 6 2 3" xfId="40296" xr:uid="{00000000-0005-0000-0000-0000D6210000}"/>
    <cellStyle name="20% - Accent4 5 6 3" xfId="18541" xr:uid="{00000000-0005-0000-0000-0000D7210000}"/>
    <cellStyle name="20% - Accent4 5 6 3 2" xfId="47547" xr:uid="{00000000-0005-0000-0000-0000D8210000}"/>
    <cellStyle name="20% - Accent4 5 6 4" xfId="33048" xr:uid="{00000000-0005-0000-0000-0000D9210000}"/>
    <cellStyle name="20% - Accent4 5 7" xfId="7087" xr:uid="{00000000-0005-0000-0000-0000DA210000}"/>
    <cellStyle name="20% - Accent4 5 7 2" xfId="14359" xr:uid="{00000000-0005-0000-0000-0000DB210000}"/>
    <cellStyle name="20% - Accent4 5 7 2 2" xfId="28893" xr:uid="{00000000-0005-0000-0000-0000DC210000}"/>
    <cellStyle name="20% - Accent4 5 7 2 2 2" xfId="57899" xr:uid="{00000000-0005-0000-0000-0000DD210000}"/>
    <cellStyle name="20% - Accent4 5 7 2 3" xfId="43400" xr:uid="{00000000-0005-0000-0000-0000DE210000}"/>
    <cellStyle name="20% - Accent4 5 7 3" xfId="21645" xr:uid="{00000000-0005-0000-0000-0000DF210000}"/>
    <cellStyle name="20% - Accent4 5 7 3 2" xfId="50651" xr:uid="{00000000-0005-0000-0000-0000E0210000}"/>
    <cellStyle name="20% - Accent4 5 7 4" xfId="36152" xr:uid="{00000000-0005-0000-0000-0000E1210000}"/>
    <cellStyle name="20% - Accent4 5 8" xfId="8151" xr:uid="{00000000-0005-0000-0000-0000E2210000}"/>
    <cellStyle name="20% - Accent4 5 8 2" xfId="22685" xr:uid="{00000000-0005-0000-0000-0000E3210000}"/>
    <cellStyle name="20% - Accent4 5 8 2 2" xfId="51691" xr:uid="{00000000-0005-0000-0000-0000E4210000}"/>
    <cellStyle name="20% - Accent4 5 8 3" xfId="37192" xr:uid="{00000000-0005-0000-0000-0000E5210000}"/>
    <cellStyle name="20% - Accent4 5 9" xfId="15437" xr:uid="{00000000-0005-0000-0000-0000E6210000}"/>
    <cellStyle name="20% - Accent4 5 9 2" xfId="44443" xr:uid="{00000000-0005-0000-0000-0000E7210000}"/>
    <cellStyle name="20% - Accent4 6" xfId="1083" xr:uid="{00000000-0005-0000-0000-0000E8210000}"/>
    <cellStyle name="20% - Accent4 6 2" xfId="1575" xr:uid="{00000000-0005-0000-0000-0000E9210000}"/>
    <cellStyle name="20% - Accent4 6 2 2" xfId="2634" xr:uid="{00000000-0005-0000-0000-0000EA210000}"/>
    <cellStyle name="20% - Accent4 6 2 2 2" xfId="5738" xr:uid="{00000000-0005-0000-0000-0000EB210000}"/>
    <cellStyle name="20% - Accent4 6 2 2 2 2" xfId="13010" xr:uid="{00000000-0005-0000-0000-0000EC210000}"/>
    <cellStyle name="20% - Accent4 6 2 2 2 2 2" xfId="27544" xr:uid="{00000000-0005-0000-0000-0000ED210000}"/>
    <cellStyle name="20% - Accent4 6 2 2 2 2 2 2" xfId="56550" xr:uid="{00000000-0005-0000-0000-0000EE210000}"/>
    <cellStyle name="20% - Accent4 6 2 2 2 2 3" xfId="42051" xr:uid="{00000000-0005-0000-0000-0000EF210000}"/>
    <cellStyle name="20% - Accent4 6 2 2 2 3" xfId="20296" xr:uid="{00000000-0005-0000-0000-0000F0210000}"/>
    <cellStyle name="20% - Accent4 6 2 2 2 3 2" xfId="49302" xr:uid="{00000000-0005-0000-0000-0000F1210000}"/>
    <cellStyle name="20% - Accent4 6 2 2 2 4" xfId="34803" xr:uid="{00000000-0005-0000-0000-0000F2210000}"/>
    <cellStyle name="20% - Accent4 6 2 2 3" xfId="9906" xr:uid="{00000000-0005-0000-0000-0000F3210000}"/>
    <cellStyle name="20% - Accent4 6 2 2 3 2" xfId="24440" xr:uid="{00000000-0005-0000-0000-0000F4210000}"/>
    <cellStyle name="20% - Accent4 6 2 2 3 2 2" xfId="53446" xr:uid="{00000000-0005-0000-0000-0000F5210000}"/>
    <cellStyle name="20% - Accent4 6 2 2 3 3" xfId="38947" xr:uid="{00000000-0005-0000-0000-0000F6210000}"/>
    <cellStyle name="20% - Accent4 6 2 2 4" xfId="17192" xr:uid="{00000000-0005-0000-0000-0000F7210000}"/>
    <cellStyle name="20% - Accent4 6 2 2 4 2" xfId="46198" xr:uid="{00000000-0005-0000-0000-0000F8210000}"/>
    <cellStyle name="20% - Accent4 6 2 2 5" xfId="31699" xr:uid="{00000000-0005-0000-0000-0000F9210000}"/>
    <cellStyle name="20% - Accent4 6 2 3" xfId="3666" xr:uid="{00000000-0005-0000-0000-0000FA210000}"/>
    <cellStyle name="20% - Accent4 6 2 3 2" xfId="6770" xr:uid="{00000000-0005-0000-0000-0000FB210000}"/>
    <cellStyle name="20% - Accent4 6 2 3 2 2" xfId="14042" xr:uid="{00000000-0005-0000-0000-0000FC210000}"/>
    <cellStyle name="20% - Accent4 6 2 3 2 2 2" xfId="28576" xr:uid="{00000000-0005-0000-0000-0000FD210000}"/>
    <cellStyle name="20% - Accent4 6 2 3 2 2 2 2" xfId="57582" xr:uid="{00000000-0005-0000-0000-0000FE210000}"/>
    <cellStyle name="20% - Accent4 6 2 3 2 2 3" xfId="43083" xr:uid="{00000000-0005-0000-0000-0000FF210000}"/>
    <cellStyle name="20% - Accent4 6 2 3 2 3" xfId="21328" xr:uid="{00000000-0005-0000-0000-000000220000}"/>
    <cellStyle name="20% - Accent4 6 2 3 2 3 2" xfId="50334" xr:uid="{00000000-0005-0000-0000-000001220000}"/>
    <cellStyle name="20% - Accent4 6 2 3 2 4" xfId="35835" xr:uid="{00000000-0005-0000-0000-000002220000}"/>
    <cellStyle name="20% - Accent4 6 2 3 3" xfId="10938" xr:uid="{00000000-0005-0000-0000-000003220000}"/>
    <cellStyle name="20% - Accent4 6 2 3 3 2" xfId="25472" xr:uid="{00000000-0005-0000-0000-000004220000}"/>
    <cellStyle name="20% - Accent4 6 2 3 3 2 2" xfId="54478" xr:uid="{00000000-0005-0000-0000-000005220000}"/>
    <cellStyle name="20% - Accent4 6 2 3 3 3" xfId="39979" xr:uid="{00000000-0005-0000-0000-000006220000}"/>
    <cellStyle name="20% - Accent4 6 2 3 4" xfId="18224" xr:uid="{00000000-0005-0000-0000-000007220000}"/>
    <cellStyle name="20% - Accent4 6 2 3 4 2" xfId="47230" xr:uid="{00000000-0005-0000-0000-000008220000}"/>
    <cellStyle name="20% - Accent4 6 2 3 5" xfId="32731" xr:uid="{00000000-0005-0000-0000-000009220000}"/>
    <cellStyle name="20% - Accent4 6 2 4" xfId="4698" xr:uid="{00000000-0005-0000-0000-00000A220000}"/>
    <cellStyle name="20% - Accent4 6 2 4 2" xfId="11970" xr:uid="{00000000-0005-0000-0000-00000B220000}"/>
    <cellStyle name="20% - Accent4 6 2 4 2 2" xfId="26504" xr:uid="{00000000-0005-0000-0000-00000C220000}"/>
    <cellStyle name="20% - Accent4 6 2 4 2 2 2" xfId="55510" xr:uid="{00000000-0005-0000-0000-00000D220000}"/>
    <cellStyle name="20% - Accent4 6 2 4 2 3" xfId="41011" xr:uid="{00000000-0005-0000-0000-00000E220000}"/>
    <cellStyle name="20% - Accent4 6 2 4 3" xfId="19256" xr:uid="{00000000-0005-0000-0000-00000F220000}"/>
    <cellStyle name="20% - Accent4 6 2 4 3 2" xfId="48262" xr:uid="{00000000-0005-0000-0000-000010220000}"/>
    <cellStyle name="20% - Accent4 6 2 4 4" xfId="33763" xr:uid="{00000000-0005-0000-0000-000011220000}"/>
    <cellStyle name="20% - Accent4 6 2 5" xfId="7802" xr:uid="{00000000-0005-0000-0000-000012220000}"/>
    <cellStyle name="20% - Accent4 6 2 5 2" xfId="15074" xr:uid="{00000000-0005-0000-0000-000013220000}"/>
    <cellStyle name="20% - Accent4 6 2 5 2 2" xfId="29608" xr:uid="{00000000-0005-0000-0000-000014220000}"/>
    <cellStyle name="20% - Accent4 6 2 5 2 2 2" xfId="58614" xr:uid="{00000000-0005-0000-0000-000015220000}"/>
    <cellStyle name="20% - Accent4 6 2 5 2 3" xfId="44115" xr:uid="{00000000-0005-0000-0000-000016220000}"/>
    <cellStyle name="20% - Accent4 6 2 5 3" xfId="22360" xr:uid="{00000000-0005-0000-0000-000017220000}"/>
    <cellStyle name="20% - Accent4 6 2 5 3 2" xfId="51366" xr:uid="{00000000-0005-0000-0000-000018220000}"/>
    <cellStyle name="20% - Accent4 6 2 5 4" xfId="36867" xr:uid="{00000000-0005-0000-0000-000019220000}"/>
    <cellStyle name="20% - Accent4 6 2 6" xfId="8866" xr:uid="{00000000-0005-0000-0000-00001A220000}"/>
    <cellStyle name="20% - Accent4 6 2 6 2" xfId="23400" xr:uid="{00000000-0005-0000-0000-00001B220000}"/>
    <cellStyle name="20% - Accent4 6 2 6 2 2" xfId="52406" xr:uid="{00000000-0005-0000-0000-00001C220000}"/>
    <cellStyle name="20% - Accent4 6 2 6 3" xfId="37907" xr:uid="{00000000-0005-0000-0000-00001D220000}"/>
    <cellStyle name="20% - Accent4 6 2 7" xfId="16152" xr:uid="{00000000-0005-0000-0000-00001E220000}"/>
    <cellStyle name="20% - Accent4 6 2 7 2" xfId="45158" xr:uid="{00000000-0005-0000-0000-00001F220000}"/>
    <cellStyle name="20% - Accent4 6 2 8" xfId="30659" xr:uid="{00000000-0005-0000-0000-000020220000}"/>
    <cellStyle name="20% - Accent4 6 3" xfId="2122" xr:uid="{00000000-0005-0000-0000-000021220000}"/>
    <cellStyle name="20% - Accent4 6 3 2" xfId="5226" xr:uid="{00000000-0005-0000-0000-000022220000}"/>
    <cellStyle name="20% - Accent4 6 3 2 2" xfId="12498" xr:uid="{00000000-0005-0000-0000-000023220000}"/>
    <cellStyle name="20% - Accent4 6 3 2 2 2" xfId="27032" xr:uid="{00000000-0005-0000-0000-000024220000}"/>
    <cellStyle name="20% - Accent4 6 3 2 2 2 2" xfId="56038" xr:uid="{00000000-0005-0000-0000-000025220000}"/>
    <cellStyle name="20% - Accent4 6 3 2 2 3" xfId="41539" xr:uid="{00000000-0005-0000-0000-000026220000}"/>
    <cellStyle name="20% - Accent4 6 3 2 3" xfId="19784" xr:uid="{00000000-0005-0000-0000-000027220000}"/>
    <cellStyle name="20% - Accent4 6 3 2 3 2" xfId="48790" xr:uid="{00000000-0005-0000-0000-000028220000}"/>
    <cellStyle name="20% - Accent4 6 3 2 4" xfId="34291" xr:uid="{00000000-0005-0000-0000-000029220000}"/>
    <cellStyle name="20% - Accent4 6 3 3" xfId="9394" xr:uid="{00000000-0005-0000-0000-00002A220000}"/>
    <cellStyle name="20% - Accent4 6 3 3 2" xfId="23928" xr:uid="{00000000-0005-0000-0000-00002B220000}"/>
    <cellStyle name="20% - Accent4 6 3 3 2 2" xfId="52934" xr:uid="{00000000-0005-0000-0000-00002C220000}"/>
    <cellStyle name="20% - Accent4 6 3 3 3" xfId="38435" xr:uid="{00000000-0005-0000-0000-00002D220000}"/>
    <cellStyle name="20% - Accent4 6 3 4" xfId="16680" xr:uid="{00000000-0005-0000-0000-00002E220000}"/>
    <cellStyle name="20% - Accent4 6 3 4 2" xfId="45686" xr:uid="{00000000-0005-0000-0000-00002F220000}"/>
    <cellStyle name="20% - Accent4 6 3 5" xfId="31187" xr:uid="{00000000-0005-0000-0000-000030220000}"/>
    <cellStyle name="20% - Accent4 6 4" xfId="3154" xr:uid="{00000000-0005-0000-0000-000031220000}"/>
    <cellStyle name="20% - Accent4 6 4 2" xfId="6258" xr:uid="{00000000-0005-0000-0000-000032220000}"/>
    <cellStyle name="20% - Accent4 6 4 2 2" xfId="13530" xr:uid="{00000000-0005-0000-0000-000033220000}"/>
    <cellStyle name="20% - Accent4 6 4 2 2 2" xfId="28064" xr:uid="{00000000-0005-0000-0000-000034220000}"/>
    <cellStyle name="20% - Accent4 6 4 2 2 2 2" xfId="57070" xr:uid="{00000000-0005-0000-0000-000035220000}"/>
    <cellStyle name="20% - Accent4 6 4 2 2 3" xfId="42571" xr:uid="{00000000-0005-0000-0000-000036220000}"/>
    <cellStyle name="20% - Accent4 6 4 2 3" xfId="20816" xr:uid="{00000000-0005-0000-0000-000037220000}"/>
    <cellStyle name="20% - Accent4 6 4 2 3 2" xfId="49822" xr:uid="{00000000-0005-0000-0000-000038220000}"/>
    <cellStyle name="20% - Accent4 6 4 2 4" xfId="35323" xr:uid="{00000000-0005-0000-0000-000039220000}"/>
    <cellStyle name="20% - Accent4 6 4 3" xfId="10426" xr:uid="{00000000-0005-0000-0000-00003A220000}"/>
    <cellStyle name="20% - Accent4 6 4 3 2" xfId="24960" xr:uid="{00000000-0005-0000-0000-00003B220000}"/>
    <cellStyle name="20% - Accent4 6 4 3 2 2" xfId="53966" xr:uid="{00000000-0005-0000-0000-00003C220000}"/>
    <cellStyle name="20% - Accent4 6 4 3 3" xfId="39467" xr:uid="{00000000-0005-0000-0000-00003D220000}"/>
    <cellStyle name="20% - Accent4 6 4 4" xfId="17712" xr:uid="{00000000-0005-0000-0000-00003E220000}"/>
    <cellStyle name="20% - Accent4 6 4 4 2" xfId="46718" xr:uid="{00000000-0005-0000-0000-00003F220000}"/>
    <cellStyle name="20% - Accent4 6 4 5" xfId="32219" xr:uid="{00000000-0005-0000-0000-000040220000}"/>
    <cellStyle name="20% - Accent4 6 5" xfId="4186" xr:uid="{00000000-0005-0000-0000-000041220000}"/>
    <cellStyle name="20% - Accent4 6 5 2" xfId="11458" xr:uid="{00000000-0005-0000-0000-000042220000}"/>
    <cellStyle name="20% - Accent4 6 5 2 2" xfId="25992" xr:uid="{00000000-0005-0000-0000-000043220000}"/>
    <cellStyle name="20% - Accent4 6 5 2 2 2" xfId="54998" xr:uid="{00000000-0005-0000-0000-000044220000}"/>
    <cellStyle name="20% - Accent4 6 5 2 3" xfId="40499" xr:uid="{00000000-0005-0000-0000-000045220000}"/>
    <cellStyle name="20% - Accent4 6 5 3" xfId="18744" xr:uid="{00000000-0005-0000-0000-000046220000}"/>
    <cellStyle name="20% - Accent4 6 5 3 2" xfId="47750" xr:uid="{00000000-0005-0000-0000-000047220000}"/>
    <cellStyle name="20% - Accent4 6 5 4" xfId="33251" xr:uid="{00000000-0005-0000-0000-000048220000}"/>
    <cellStyle name="20% - Accent4 6 6" xfId="7290" xr:uid="{00000000-0005-0000-0000-000049220000}"/>
    <cellStyle name="20% - Accent4 6 6 2" xfId="14562" xr:uid="{00000000-0005-0000-0000-00004A220000}"/>
    <cellStyle name="20% - Accent4 6 6 2 2" xfId="29096" xr:uid="{00000000-0005-0000-0000-00004B220000}"/>
    <cellStyle name="20% - Accent4 6 6 2 2 2" xfId="58102" xr:uid="{00000000-0005-0000-0000-00004C220000}"/>
    <cellStyle name="20% - Accent4 6 6 2 3" xfId="43603" xr:uid="{00000000-0005-0000-0000-00004D220000}"/>
    <cellStyle name="20% - Accent4 6 6 3" xfId="21848" xr:uid="{00000000-0005-0000-0000-00004E220000}"/>
    <cellStyle name="20% - Accent4 6 6 3 2" xfId="50854" xr:uid="{00000000-0005-0000-0000-00004F220000}"/>
    <cellStyle name="20% - Accent4 6 6 4" xfId="36355" xr:uid="{00000000-0005-0000-0000-000050220000}"/>
    <cellStyle name="20% - Accent4 6 7" xfId="8354" xr:uid="{00000000-0005-0000-0000-000051220000}"/>
    <cellStyle name="20% - Accent4 6 7 2" xfId="22888" xr:uid="{00000000-0005-0000-0000-000052220000}"/>
    <cellStyle name="20% - Accent4 6 7 2 2" xfId="51894" xr:uid="{00000000-0005-0000-0000-000053220000}"/>
    <cellStyle name="20% - Accent4 6 7 3" xfId="37395" xr:uid="{00000000-0005-0000-0000-000054220000}"/>
    <cellStyle name="20% - Accent4 6 8" xfId="15640" xr:uid="{00000000-0005-0000-0000-000055220000}"/>
    <cellStyle name="20% - Accent4 6 8 2" xfId="44646" xr:uid="{00000000-0005-0000-0000-000056220000}"/>
    <cellStyle name="20% - Accent4 6 9" xfId="30147" xr:uid="{00000000-0005-0000-0000-000057220000}"/>
    <cellStyle name="20% - Accent4 7" xfId="991" xr:uid="{00000000-0005-0000-0000-000058220000}"/>
    <cellStyle name="20% - Accent4 7 2" xfId="1476" xr:uid="{00000000-0005-0000-0000-000059220000}"/>
    <cellStyle name="20% - Accent4 7 2 2" xfId="2534" xr:uid="{00000000-0005-0000-0000-00005A220000}"/>
    <cellStyle name="20% - Accent4 7 2 2 2" xfId="5638" xr:uid="{00000000-0005-0000-0000-00005B220000}"/>
    <cellStyle name="20% - Accent4 7 2 2 2 2" xfId="12910" xr:uid="{00000000-0005-0000-0000-00005C220000}"/>
    <cellStyle name="20% - Accent4 7 2 2 2 2 2" xfId="27444" xr:uid="{00000000-0005-0000-0000-00005D220000}"/>
    <cellStyle name="20% - Accent4 7 2 2 2 2 2 2" xfId="56450" xr:uid="{00000000-0005-0000-0000-00005E220000}"/>
    <cellStyle name="20% - Accent4 7 2 2 2 2 3" xfId="41951" xr:uid="{00000000-0005-0000-0000-00005F220000}"/>
    <cellStyle name="20% - Accent4 7 2 2 2 3" xfId="20196" xr:uid="{00000000-0005-0000-0000-000060220000}"/>
    <cellStyle name="20% - Accent4 7 2 2 2 3 2" xfId="49202" xr:uid="{00000000-0005-0000-0000-000061220000}"/>
    <cellStyle name="20% - Accent4 7 2 2 2 4" xfId="34703" xr:uid="{00000000-0005-0000-0000-000062220000}"/>
    <cellStyle name="20% - Accent4 7 2 2 3" xfId="9806" xr:uid="{00000000-0005-0000-0000-000063220000}"/>
    <cellStyle name="20% - Accent4 7 2 2 3 2" xfId="24340" xr:uid="{00000000-0005-0000-0000-000064220000}"/>
    <cellStyle name="20% - Accent4 7 2 2 3 2 2" xfId="53346" xr:uid="{00000000-0005-0000-0000-000065220000}"/>
    <cellStyle name="20% - Accent4 7 2 2 3 3" xfId="38847" xr:uid="{00000000-0005-0000-0000-000066220000}"/>
    <cellStyle name="20% - Accent4 7 2 2 4" xfId="17092" xr:uid="{00000000-0005-0000-0000-000067220000}"/>
    <cellStyle name="20% - Accent4 7 2 2 4 2" xfId="46098" xr:uid="{00000000-0005-0000-0000-000068220000}"/>
    <cellStyle name="20% - Accent4 7 2 2 5" xfId="31599" xr:uid="{00000000-0005-0000-0000-000069220000}"/>
    <cellStyle name="20% - Accent4 7 2 3" xfId="3566" xr:uid="{00000000-0005-0000-0000-00006A220000}"/>
    <cellStyle name="20% - Accent4 7 2 3 2" xfId="6670" xr:uid="{00000000-0005-0000-0000-00006B220000}"/>
    <cellStyle name="20% - Accent4 7 2 3 2 2" xfId="13942" xr:uid="{00000000-0005-0000-0000-00006C220000}"/>
    <cellStyle name="20% - Accent4 7 2 3 2 2 2" xfId="28476" xr:uid="{00000000-0005-0000-0000-00006D220000}"/>
    <cellStyle name="20% - Accent4 7 2 3 2 2 2 2" xfId="57482" xr:uid="{00000000-0005-0000-0000-00006E220000}"/>
    <cellStyle name="20% - Accent4 7 2 3 2 2 3" xfId="42983" xr:uid="{00000000-0005-0000-0000-00006F220000}"/>
    <cellStyle name="20% - Accent4 7 2 3 2 3" xfId="21228" xr:uid="{00000000-0005-0000-0000-000070220000}"/>
    <cellStyle name="20% - Accent4 7 2 3 2 3 2" xfId="50234" xr:uid="{00000000-0005-0000-0000-000071220000}"/>
    <cellStyle name="20% - Accent4 7 2 3 2 4" xfId="35735" xr:uid="{00000000-0005-0000-0000-000072220000}"/>
    <cellStyle name="20% - Accent4 7 2 3 3" xfId="10838" xr:uid="{00000000-0005-0000-0000-000073220000}"/>
    <cellStyle name="20% - Accent4 7 2 3 3 2" xfId="25372" xr:uid="{00000000-0005-0000-0000-000074220000}"/>
    <cellStyle name="20% - Accent4 7 2 3 3 2 2" xfId="54378" xr:uid="{00000000-0005-0000-0000-000075220000}"/>
    <cellStyle name="20% - Accent4 7 2 3 3 3" xfId="39879" xr:uid="{00000000-0005-0000-0000-000076220000}"/>
    <cellStyle name="20% - Accent4 7 2 3 4" xfId="18124" xr:uid="{00000000-0005-0000-0000-000077220000}"/>
    <cellStyle name="20% - Accent4 7 2 3 4 2" xfId="47130" xr:uid="{00000000-0005-0000-0000-000078220000}"/>
    <cellStyle name="20% - Accent4 7 2 3 5" xfId="32631" xr:uid="{00000000-0005-0000-0000-000079220000}"/>
    <cellStyle name="20% - Accent4 7 2 4" xfId="4598" xr:uid="{00000000-0005-0000-0000-00007A220000}"/>
    <cellStyle name="20% - Accent4 7 2 4 2" xfId="11870" xr:uid="{00000000-0005-0000-0000-00007B220000}"/>
    <cellStyle name="20% - Accent4 7 2 4 2 2" xfId="26404" xr:uid="{00000000-0005-0000-0000-00007C220000}"/>
    <cellStyle name="20% - Accent4 7 2 4 2 2 2" xfId="55410" xr:uid="{00000000-0005-0000-0000-00007D220000}"/>
    <cellStyle name="20% - Accent4 7 2 4 2 3" xfId="40911" xr:uid="{00000000-0005-0000-0000-00007E220000}"/>
    <cellStyle name="20% - Accent4 7 2 4 3" xfId="19156" xr:uid="{00000000-0005-0000-0000-00007F220000}"/>
    <cellStyle name="20% - Accent4 7 2 4 3 2" xfId="48162" xr:uid="{00000000-0005-0000-0000-000080220000}"/>
    <cellStyle name="20% - Accent4 7 2 4 4" xfId="33663" xr:uid="{00000000-0005-0000-0000-000081220000}"/>
    <cellStyle name="20% - Accent4 7 2 5" xfId="7702" xr:uid="{00000000-0005-0000-0000-000082220000}"/>
    <cellStyle name="20% - Accent4 7 2 5 2" xfId="14974" xr:uid="{00000000-0005-0000-0000-000083220000}"/>
    <cellStyle name="20% - Accent4 7 2 5 2 2" xfId="29508" xr:uid="{00000000-0005-0000-0000-000084220000}"/>
    <cellStyle name="20% - Accent4 7 2 5 2 2 2" xfId="58514" xr:uid="{00000000-0005-0000-0000-000085220000}"/>
    <cellStyle name="20% - Accent4 7 2 5 2 3" xfId="44015" xr:uid="{00000000-0005-0000-0000-000086220000}"/>
    <cellStyle name="20% - Accent4 7 2 5 3" xfId="22260" xr:uid="{00000000-0005-0000-0000-000087220000}"/>
    <cellStyle name="20% - Accent4 7 2 5 3 2" xfId="51266" xr:uid="{00000000-0005-0000-0000-000088220000}"/>
    <cellStyle name="20% - Accent4 7 2 5 4" xfId="36767" xr:uid="{00000000-0005-0000-0000-000089220000}"/>
    <cellStyle name="20% - Accent4 7 2 6" xfId="8766" xr:uid="{00000000-0005-0000-0000-00008A220000}"/>
    <cellStyle name="20% - Accent4 7 2 6 2" xfId="23300" xr:uid="{00000000-0005-0000-0000-00008B220000}"/>
    <cellStyle name="20% - Accent4 7 2 6 2 2" xfId="52306" xr:uid="{00000000-0005-0000-0000-00008C220000}"/>
    <cellStyle name="20% - Accent4 7 2 6 3" xfId="37807" xr:uid="{00000000-0005-0000-0000-00008D220000}"/>
    <cellStyle name="20% - Accent4 7 2 7" xfId="16052" xr:uid="{00000000-0005-0000-0000-00008E220000}"/>
    <cellStyle name="20% - Accent4 7 2 7 2" xfId="45058" xr:uid="{00000000-0005-0000-0000-00008F220000}"/>
    <cellStyle name="20% - Accent4 7 2 8" xfId="30559" xr:uid="{00000000-0005-0000-0000-000090220000}"/>
    <cellStyle name="20% - Accent4 7 3" xfId="2022" xr:uid="{00000000-0005-0000-0000-000091220000}"/>
    <cellStyle name="20% - Accent4 7 3 2" xfId="5126" xr:uid="{00000000-0005-0000-0000-000092220000}"/>
    <cellStyle name="20% - Accent4 7 3 2 2" xfId="12398" xr:uid="{00000000-0005-0000-0000-000093220000}"/>
    <cellStyle name="20% - Accent4 7 3 2 2 2" xfId="26932" xr:uid="{00000000-0005-0000-0000-000094220000}"/>
    <cellStyle name="20% - Accent4 7 3 2 2 2 2" xfId="55938" xr:uid="{00000000-0005-0000-0000-000095220000}"/>
    <cellStyle name="20% - Accent4 7 3 2 2 3" xfId="41439" xr:uid="{00000000-0005-0000-0000-000096220000}"/>
    <cellStyle name="20% - Accent4 7 3 2 3" xfId="19684" xr:uid="{00000000-0005-0000-0000-000097220000}"/>
    <cellStyle name="20% - Accent4 7 3 2 3 2" xfId="48690" xr:uid="{00000000-0005-0000-0000-000098220000}"/>
    <cellStyle name="20% - Accent4 7 3 2 4" xfId="34191" xr:uid="{00000000-0005-0000-0000-000099220000}"/>
    <cellStyle name="20% - Accent4 7 3 3" xfId="9294" xr:uid="{00000000-0005-0000-0000-00009A220000}"/>
    <cellStyle name="20% - Accent4 7 3 3 2" xfId="23828" xr:uid="{00000000-0005-0000-0000-00009B220000}"/>
    <cellStyle name="20% - Accent4 7 3 3 2 2" xfId="52834" xr:uid="{00000000-0005-0000-0000-00009C220000}"/>
    <cellStyle name="20% - Accent4 7 3 3 3" xfId="38335" xr:uid="{00000000-0005-0000-0000-00009D220000}"/>
    <cellStyle name="20% - Accent4 7 3 4" xfId="16580" xr:uid="{00000000-0005-0000-0000-00009E220000}"/>
    <cellStyle name="20% - Accent4 7 3 4 2" xfId="45586" xr:uid="{00000000-0005-0000-0000-00009F220000}"/>
    <cellStyle name="20% - Accent4 7 3 5" xfId="31087" xr:uid="{00000000-0005-0000-0000-0000A0220000}"/>
    <cellStyle name="20% - Accent4 7 4" xfId="3054" xr:uid="{00000000-0005-0000-0000-0000A1220000}"/>
    <cellStyle name="20% - Accent4 7 4 2" xfId="6158" xr:uid="{00000000-0005-0000-0000-0000A2220000}"/>
    <cellStyle name="20% - Accent4 7 4 2 2" xfId="13430" xr:uid="{00000000-0005-0000-0000-0000A3220000}"/>
    <cellStyle name="20% - Accent4 7 4 2 2 2" xfId="27964" xr:uid="{00000000-0005-0000-0000-0000A4220000}"/>
    <cellStyle name="20% - Accent4 7 4 2 2 2 2" xfId="56970" xr:uid="{00000000-0005-0000-0000-0000A5220000}"/>
    <cellStyle name="20% - Accent4 7 4 2 2 3" xfId="42471" xr:uid="{00000000-0005-0000-0000-0000A6220000}"/>
    <cellStyle name="20% - Accent4 7 4 2 3" xfId="20716" xr:uid="{00000000-0005-0000-0000-0000A7220000}"/>
    <cellStyle name="20% - Accent4 7 4 2 3 2" xfId="49722" xr:uid="{00000000-0005-0000-0000-0000A8220000}"/>
    <cellStyle name="20% - Accent4 7 4 2 4" xfId="35223" xr:uid="{00000000-0005-0000-0000-0000A9220000}"/>
    <cellStyle name="20% - Accent4 7 4 3" xfId="10326" xr:uid="{00000000-0005-0000-0000-0000AA220000}"/>
    <cellStyle name="20% - Accent4 7 4 3 2" xfId="24860" xr:uid="{00000000-0005-0000-0000-0000AB220000}"/>
    <cellStyle name="20% - Accent4 7 4 3 2 2" xfId="53866" xr:uid="{00000000-0005-0000-0000-0000AC220000}"/>
    <cellStyle name="20% - Accent4 7 4 3 3" xfId="39367" xr:uid="{00000000-0005-0000-0000-0000AD220000}"/>
    <cellStyle name="20% - Accent4 7 4 4" xfId="17612" xr:uid="{00000000-0005-0000-0000-0000AE220000}"/>
    <cellStyle name="20% - Accent4 7 4 4 2" xfId="46618" xr:uid="{00000000-0005-0000-0000-0000AF220000}"/>
    <cellStyle name="20% - Accent4 7 4 5" xfId="32119" xr:uid="{00000000-0005-0000-0000-0000B0220000}"/>
    <cellStyle name="20% - Accent4 7 5" xfId="4086" xr:uid="{00000000-0005-0000-0000-0000B1220000}"/>
    <cellStyle name="20% - Accent4 7 5 2" xfId="11358" xr:uid="{00000000-0005-0000-0000-0000B2220000}"/>
    <cellStyle name="20% - Accent4 7 5 2 2" xfId="25892" xr:uid="{00000000-0005-0000-0000-0000B3220000}"/>
    <cellStyle name="20% - Accent4 7 5 2 2 2" xfId="54898" xr:uid="{00000000-0005-0000-0000-0000B4220000}"/>
    <cellStyle name="20% - Accent4 7 5 2 3" xfId="40399" xr:uid="{00000000-0005-0000-0000-0000B5220000}"/>
    <cellStyle name="20% - Accent4 7 5 3" xfId="18644" xr:uid="{00000000-0005-0000-0000-0000B6220000}"/>
    <cellStyle name="20% - Accent4 7 5 3 2" xfId="47650" xr:uid="{00000000-0005-0000-0000-0000B7220000}"/>
    <cellStyle name="20% - Accent4 7 5 4" xfId="33151" xr:uid="{00000000-0005-0000-0000-0000B8220000}"/>
    <cellStyle name="20% - Accent4 7 6" xfId="7190" xr:uid="{00000000-0005-0000-0000-0000B9220000}"/>
    <cellStyle name="20% - Accent4 7 6 2" xfId="14462" xr:uid="{00000000-0005-0000-0000-0000BA220000}"/>
    <cellStyle name="20% - Accent4 7 6 2 2" xfId="28996" xr:uid="{00000000-0005-0000-0000-0000BB220000}"/>
    <cellStyle name="20% - Accent4 7 6 2 2 2" xfId="58002" xr:uid="{00000000-0005-0000-0000-0000BC220000}"/>
    <cellStyle name="20% - Accent4 7 6 2 3" xfId="43503" xr:uid="{00000000-0005-0000-0000-0000BD220000}"/>
    <cellStyle name="20% - Accent4 7 6 3" xfId="21748" xr:uid="{00000000-0005-0000-0000-0000BE220000}"/>
    <cellStyle name="20% - Accent4 7 6 3 2" xfId="50754" xr:uid="{00000000-0005-0000-0000-0000BF220000}"/>
    <cellStyle name="20% - Accent4 7 6 4" xfId="36255" xr:uid="{00000000-0005-0000-0000-0000C0220000}"/>
    <cellStyle name="20% - Accent4 7 7" xfId="8254" xr:uid="{00000000-0005-0000-0000-0000C1220000}"/>
    <cellStyle name="20% - Accent4 7 7 2" xfId="22788" xr:uid="{00000000-0005-0000-0000-0000C2220000}"/>
    <cellStyle name="20% - Accent4 7 7 2 2" xfId="51794" xr:uid="{00000000-0005-0000-0000-0000C3220000}"/>
    <cellStyle name="20% - Accent4 7 7 3" xfId="37295" xr:uid="{00000000-0005-0000-0000-0000C4220000}"/>
    <cellStyle name="20% - Accent4 7 8" xfId="15540" xr:uid="{00000000-0005-0000-0000-0000C5220000}"/>
    <cellStyle name="20% - Accent4 7 8 2" xfId="44546" xr:uid="{00000000-0005-0000-0000-0000C6220000}"/>
    <cellStyle name="20% - Accent4 7 9" xfId="30047" xr:uid="{00000000-0005-0000-0000-0000C7220000}"/>
    <cellStyle name="20% - Accent4 8" xfId="1273" xr:uid="{00000000-0005-0000-0000-0000C8220000}"/>
    <cellStyle name="20% - Accent4 8 2" xfId="2328" xr:uid="{00000000-0005-0000-0000-0000C9220000}"/>
    <cellStyle name="20% - Accent4 8 2 2" xfId="5432" xr:uid="{00000000-0005-0000-0000-0000CA220000}"/>
    <cellStyle name="20% - Accent4 8 2 2 2" xfId="12704" xr:uid="{00000000-0005-0000-0000-0000CB220000}"/>
    <cellStyle name="20% - Accent4 8 2 2 2 2" xfId="27238" xr:uid="{00000000-0005-0000-0000-0000CC220000}"/>
    <cellStyle name="20% - Accent4 8 2 2 2 2 2" xfId="56244" xr:uid="{00000000-0005-0000-0000-0000CD220000}"/>
    <cellStyle name="20% - Accent4 8 2 2 2 3" xfId="41745" xr:uid="{00000000-0005-0000-0000-0000CE220000}"/>
    <cellStyle name="20% - Accent4 8 2 2 3" xfId="19990" xr:uid="{00000000-0005-0000-0000-0000CF220000}"/>
    <cellStyle name="20% - Accent4 8 2 2 3 2" xfId="48996" xr:uid="{00000000-0005-0000-0000-0000D0220000}"/>
    <cellStyle name="20% - Accent4 8 2 2 4" xfId="34497" xr:uid="{00000000-0005-0000-0000-0000D1220000}"/>
    <cellStyle name="20% - Accent4 8 2 3" xfId="9600" xr:uid="{00000000-0005-0000-0000-0000D2220000}"/>
    <cellStyle name="20% - Accent4 8 2 3 2" xfId="24134" xr:uid="{00000000-0005-0000-0000-0000D3220000}"/>
    <cellStyle name="20% - Accent4 8 2 3 2 2" xfId="53140" xr:uid="{00000000-0005-0000-0000-0000D4220000}"/>
    <cellStyle name="20% - Accent4 8 2 3 3" xfId="38641" xr:uid="{00000000-0005-0000-0000-0000D5220000}"/>
    <cellStyle name="20% - Accent4 8 2 4" xfId="16886" xr:uid="{00000000-0005-0000-0000-0000D6220000}"/>
    <cellStyle name="20% - Accent4 8 2 4 2" xfId="45892" xr:uid="{00000000-0005-0000-0000-0000D7220000}"/>
    <cellStyle name="20% - Accent4 8 2 5" xfId="31393" xr:uid="{00000000-0005-0000-0000-0000D8220000}"/>
    <cellStyle name="20% - Accent4 8 3" xfId="3360" xr:uid="{00000000-0005-0000-0000-0000D9220000}"/>
    <cellStyle name="20% - Accent4 8 3 2" xfId="6464" xr:uid="{00000000-0005-0000-0000-0000DA220000}"/>
    <cellStyle name="20% - Accent4 8 3 2 2" xfId="13736" xr:uid="{00000000-0005-0000-0000-0000DB220000}"/>
    <cellStyle name="20% - Accent4 8 3 2 2 2" xfId="28270" xr:uid="{00000000-0005-0000-0000-0000DC220000}"/>
    <cellStyle name="20% - Accent4 8 3 2 2 2 2" xfId="57276" xr:uid="{00000000-0005-0000-0000-0000DD220000}"/>
    <cellStyle name="20% - Accent4 8 3 2 2 3" xfId="42777" xr:uid="{00000000-0005-0000-0000-0000DE220000}"/>
    <cellStyle name="20% - Accent4 8 3 2 3" xfId="21022" xr:uid="{00000000-0005-0000-0000-0000DF220000}"/>
    <cellStyle name="20% - Accent4 8 3 2 3 2" xfId="50028" xr:uid="{00000000-0005-0000-0000-0000E0220000}"/>
    <cellStyle name="20% - Accent4 8 3 2 4" xfId="35529" xr:uid="{00000000-0005-0000-0000-0000E1220000}"/>
    <cellStyle name="20% - Accent4 8 3 3" xfId="10632" xr:uid="{00000000-0005-0000-0000-0000E2220000}"/>
    <cellStyle name="20% - Accent4 8 3 3 2" xfId="25166" xr:uid="{00000000-0005-0000-0000-0000E3220000}"/>
    <cellStyle name="20% - Accent4 8 3 3 2 2" xfId="54172" xr:uid="{00000000-0005-0000-0000-0000E4220000}"/>
    <cellStyle name="20% - Accent4 8 3 3 3" xfId="39673" xr:uid="{00000000-0005-0000-0000-0000E5220000}"/>
    <cellStyle name="20% - Accent4 8 3 4" xfId="17918" xr:uid="{00000000-0005-0000-0000-0000E6220000}"/>
    <cellStyle name="20% - Accent4 8 3 4 2" xfId="46924" xr:uid="{00000000-0005-0000-0000-0000E7220000}"/>
    <cellStyle name="20% - Accent4 8 3 5" xfId="32425" xr:uid="{00000000-0005-0000-0000-0000E8220000}"/>
    <cellStyle name="20% - Accent4 8 4" xfId="4392" xr:uid="{00000000-0005-0000-0000-0000E9220000}"/>
    <cellStyle name="20% - Accent4 8 4 2" xfId="11664" xr:uid="{00000000-0005-0000-0000-0000EA220000}"/>
    <cellStyle name="20% - Accent4 8 4 2 2" xfId="26198" xr:uid="{00000000-0005-0000-0000-0000EB220000}"/>
    <cellStyle name="20% - Accent4 8 4 2 2 2" xfId="55204" xr:uid="{00000000-0005-0000-0000-0000EC220000}"/>
    <cellStyle name="20% - Accent4 8 4 2 3" xfId="40705" xr:uid="{00000000-0005-0000-0000-0000ED220000}"/>
    <cellStyle name="20% - Accent4 8 4 3" xfId="18950" xr:uid="{00000000-0005-0000-0000-0000EE220000}"/>
    <cellStyle name="20% - Accent4 8 4 3 2" xfId="47956" xr:uid="{00000000-0005-0000-0000-0000EF220000}"/>
    <cellStyle name="20% - Accent4 8 4 4" xfId="33457" xr:uid="{00000000-0005-0000-0000-0000F0220000}"/>
    <cellStyle name="20% - Accent4 8 5" xfId="7496" xr:uid="{00000000-0005-0000-0000-0000F1220000}"/>
    <cellStyle name="20% - Accent4 8 5 2" xfId="14768" xr:uid="{00000000-0005-0000-0000-0000F2220000}"/>
    <cellStyle name="20% - Accent4 8 5 2 2" xfId="29302" xr:uid="{00000000-0005-0000-0000-0000F3220000}"/>
    <cellStyle name="20% - Accent4 8 5 2 2 2" xfId="58308" xr:uid="{00000000-0005-0000-0000-0000F4220000}"/>
    <cellStyle name="20% - Accent4 8 5 2 3" xfId="43809" xr:uid="{00000000-0005-0000-0000-0000F5220000}"/>
    <cellStyle name="20% - Accent4 8 5 3" xfId="22054" xr:uid="{00000000-0005-0000-0000-0000F6220000}"/>
    <cellStyle name="20% - Accent4 8 5 3 2" xfId="51060" xr:uid="{00000000-0005-0000-0000-0000F7220000}"/>
    <cellStyle name="20% - Accent4 8 5 4" xfId="36561" xr:uid="{00000000-0005-0000-0000-0000F8220000}"/>
    <cellStyle name="20% - Accent4 8 6" xfId="8560" xr:uid="{00000000-0005-0000-0000-0000F9220000}"/>
    <cellStyle name="20% - Accent4 8 6 2" xfId="23094" xr:uid="{00000000-0005-0000-0000-0000FA220000}"/>
    <cellStyle name="20% - Accent4 8 6 2 2" xfId="52100" xr:uid="{00000000-0005-0000-0000-0000FB220000}"/>
    <cellStyle name="20% - Accent4 8 6 3" xfId="37601" xr:uid="{00000000-0005-0000-0000-0000FC220000}"/>
    <cellStyle name="20% - Accent4 8 7" xfId="15846" xr:uid="{00000000-0005-0000-0000-0000FD220000}"/>
    <cellStyle name="20% - Accent4 8 7 2" xfId="44852" xr:uid="{00000000-0005-0000-0000-0000FE220000}"/>
    <cellStyle name="20% - Accent4 8 8" xfId="30353" xr:uid="{00000000-0005-0000-0000-0000FF220000}"/>
    <cellStyle name="20% - Accent4 9" xfId="1816" xr:uid="{00000000-0005-0000-0000-000000230000}"/>
    <cellStyle name="20% - Accent4 9 2" xfId="4920" xr:uid="{00000000-0005-0000-0000-000001230000}"/>
    <cellStyle name="20% - Accent4 9 2 2" xfId="12192" xr:uid="{00000000-0005-0000-0000-000002230000}"/>
    <cellStyle name="20% - Accent4 9 2 2 2" xfId="26726" xr:uid="{00000000-0005-0000-0000-000003230000}"/>
    <cellStyle name="20% - Accent4 9 2 2 2 2" xfId="55732" xr:uid="{00000000-0005-0000-0000-000004230000}"/>
    <cellStyle name="20% - Accent4 9 2 2 3" xfId="41233" xr:uid="{00000000-0005-0000-0000-000005230000}"/>
    <cellStyle name="20% - Accent4 9 2 3" xfId="19478" xr:uid="{00000000-0005-0000-0000-000006230000}"/>
    <cellStyle name="20% - Accent4 9 2 3 2" xfId="48484" xr:uid="{00000000-0005-0000-0000-000007230000}"/>
    <cellStyle name="20% - Accent4 9 2 4" xfId="33985" xr:uid="{00000000-0005-0000-0000-000008230000}"/>
    <cellStyle name="20% - Accent4 9 3" xfId="9088" xr:uid="{00000000-0005-0000-0000-000009230000}"/>
    <cellStyle name="20% - Accent4 9 3 2" xfId="23622" xr:uid="{00000000-0005-0000-0000-00000A230000}"/>
    <cellStyle name="20% - Accent4 9 3 2 2" xfId="52628" xr:uid="{00000000-0005-0000-0000-00000B230000}"/>
    <cellStyle name="20% - Accent4 9 3 3" xfId="38129" xr:uid="{00000000-0005-0000-0000-00000C230000}"/>
    <cellStyle name="20% - Accent4 9 4" xfId="16374" xr:uid="{00000000-0005-0000-0000-00000D230000}"/>
    <cellStyle name="20% - Accent4 9 4 2" xfId="45380" xr:uid="{00000000-0005-0000-0000-00000E230000}"/>
    <cellStyle name="20% - Accent4 9 5" xfId="30881" xr:uid="{00000000-0005-0000-0000-00000F230000}"/>
    <cellStyle name="20% - Accent5" xfId="78" builtinId="46" customBuiltin="1"/>
    <cellStyle name="20% - Accent5 10" xfId="2850" xr:uid="{00000000-0005-0000-0000-000011230000}"/>
    <cellStyle name="20% - Accent5 10 2" xfId="5954" xr:uid="{00000000-0005-0000-0000-000012230000}"/>
    <cellStyle name="20% - Accent5 10 2 2" xfId="13226" xr:uid="{00000000-0005-0000-0000-000013230000}"/>
    <cellStyle name="20% - Accent5 10 2 2 2" xfId="27760" xr:uid="{00000000-0005-0000-0000-000014230000}"/>
    <cellStyle name="20% - Accent5 10 2 2 2 2" xfId="56766" xr:uid="{00000000-0005-0000-0000-000015230000}"/>
    <cellStyle name="20% - Accent5 10 2 2 3" xfId="42267" xr:uid="{00000000-0005-0000-0000-000016230000}"/>
    <cellStyle name="20% - Accent5 10 2 3" xfId="20512" xr:uid="{00000000-0005-0000-0000-000017230000}"/>
    <cellStyle name="20% - Accent5 10 2 3 2" xfId="49518" xr:uid="{00000000-0005-0000-0000-000018230000}"/>
    <cellStyle name="20% - Accent5 10 2 4" xfId="35019" xr:uid="{00000000-0005-0000-0000-000019230000}"/>
    <cellStyle name="20% - Accent5 10 3" xfId="10122" xr:uid="{00000000-0005-0000-0000-00001A230000}"/>
    <cellStyle name="20% - Accent5 10 3 2" xfId="24656" xr:uid="{00000000-0005-0000-0000-00001B230000}"/>
    <cellStyle name="20% - Accent5 10 3 2 2" xfId="53662" xr:uid="{00000000-0005-0000-0000-00001C230000}"/>
    <cellStyle name="20% - Accent5 10 3 3" xfId="39163" xr:uid="{00000000-0005-0000-0000-00001D230000}"/>
    <cellStyle name="20% - Accent5 10 4" xfId="17408" xr:uid="{00000000-0005-0000-0000-00001E230000}"/>
    <cellStyle name="20% - Accent5 10 4 2" xfId="46414" xr:uid="{00000000-0005-0000-0000-00001F230000}"/>
    <cellStyle name="20% - Accent5 10 5" xfId="31915" xr:uid="{00000000-0005-0000-0000-000020230000}"/>
    <cellStyle name="20% - Accent5 11" xfId="3882" xr:uid="{00000000-0005-0000-0000-000021230000}"/>
    <cellStyle name="20% - Accent5 11 2" xfId="11154" xr:uid="{00000000-0005-0000-0000-000022230000}"/>
    <cellStyle name="20% - Accent5 11 2 2" xfId="25688" xr:uid="{00000000-0005-0000-0000-000023230000}"/>
    <cellStyle name="20% - Accent5 11 2 2 2" xfId="54694" xr:uid="{00000000-0005-0000-0000-000024230000}"/>
    <cellStyle name="20% - Accent5 11 2 3" xfId="40195" xr:uid="{00000000-0005-0000-0000-000025230000}"/>
    <cellStyle name="20% - Accent5 11 3" xfId="18440" xr:uid="{00000000-0005-0000-0000-000026230000}"/>
    <cellStyle name="20% - Accent5 11 3 2" xfId="47446" xr:uid="{00000000-0005-0000-0000-000027230000}"/>
    <cellStyle name="20% - Accent5 11 4" xfId="32947" xr:uid="{00000000-0005-0000-0000-000028230000}"/>
    <cellStyle name="20% - Accent5 12" xfId="6986" xr:uid="{00000000-0005-0000-0000-000029230000}"/>
    <cellStyle name="20% - Accent5 12 2" xfId="14258" xr:uid="{00000000-0005-0000-0000-00002A230000}"/>
    <cellStyle name="20% - Accent5 12 2 2" xfId="28792" xr:uid="{00000000-0005-0000-0000-00002B230000}"/>
    <cellStyle name="20% - Accent5 12 2 2 2" xfId="57798" xr:uid="{00000000-0005-0000-0000-00002C230000}"/>
    <cellStyle name="20% - Accent5 12 2 3" xfId="43299" xr:uid="{00000000-0005-0000-0000-00002D230000}"/>
    <cellStyle name="20% - Accent5 12 3" xfId="21544" xr:uid="{00000000-0005-0000-0000-00002E230000}"/>
    <cellStyle name="20% - Accent5 12 3 2" xfId="50550" xr:uid="{00000000-0005-0000-0000-00002F230000}"/>
    <cellStyle name="20% - Accent5 12 4" xfId="36051" xr:uid="{00000000-0005-0000-0000-000030230000}"/>
    <cellStyle name="20% - Accent5 13" xfId="8050" xr:uid="{00000000-0005-0000-0000-000031230000}"/>
    <cellStyle name="20% - Accent5 13 2" xfId="22584" xr:uid="{00000000-0005-0000-0000-000032230000}"/>
    <cellStyle name="20% - Accent5 13 2 2" xfId="51590" xr:uid="{00000000-0005-0000-0000-000033230000}"/>
    <cellStyle name="20% - Accent5 13 3" xfId="37091" xr:uid="{00000000-0005-0000-0000-000034230000}"/>
    <cellStyle name="20% - Accent5 14" xfId="15330" xr:uid="{00000000-0005-0000-0000-000035230000}"/>
    <cellStyle name="20% - Accent5 14 2" xfId="44336" xr:uid="{00000000-0005-0000-0000-000036230000}"/>
    <cellStyle name="20% - Accent5 15" xfId="29836" xr:uid="{00000000-0005-0000-0000-000037230000}"/>
    <cellStyle name="20% - Accent5 16" xfId="452" xr:uid="{00000000-0005-0000-0000-000038230000}"/>
    <cellStyle name="20% - Accent5 17" xfId="58835" xr:uid="{00000000-0005-0000-0000-000039230000}"/>
    <cellStyle name="20% - Accent5 2" xfId="414" xr:uid="{00000000-0005-0000-0000-00003A230000}"/>
    <cellStyle name="20% - Accent5 2 2" xfId="404" xr:uid="{00000000-0005-0000-0000-00003B230000}"/>
    <cellStyle name="20% - Accent5 3" xfId="848" xr:uid="{00000000-0005-0000-0000-00003C230000}"/>
    <cellStyle name="20% - Accent5 3 10" xfId="7010" xr:uid="{00000000-0005-0000-0000-00003D230000}"/>
    <cellStyle name="20% - Accent5 3 10 2" xfId="14282" xr:uid="{00000000-0005-0000-0000-00003E230000}"/>
    <cellStyle name="20% - Accent5 3 10 2 2" xfId="28816" xr:uid="{00000000-0005-0000-0000-00003F230000}"/>
    <cellStyle name="20% - Accent5 3 10 2 2 2" xfId="57822" xr:uid="{00000000-0005-0000-0000-000040230000}"/>
    <cellStyle name="20% - Accent5 3 10 2 3" xfId="43323" xr:uid="{00000000-0005-0000-0000-000041230000}"/>
    <cellStyle name="20% - Accent5 3 10 3" xfId="21568" xr:uid="{00000000-0005-0000-0000-000042230000}"/>
    <cellStyle name="20% - Accent5 3 10 3 2" xfId="50574" xr:uid="{00000000-0005-0000-0000-000043230000}"/>
    <cellStyle name="20% - Accent5 3 10 4" xfId="36075" xr:uid="{00000000-0005-0000-0000-000044230000}"/>
    <cellStyle name="20% - Accent5 3 11" xfId="8074" xr:uid="{00000000-0005-0000-0000-000045230000}"/>
    <cellStyle name="20% - Accent5 3 11 2" xfId="22608" xr:uid="{00000000-0005-0000-0000-000046230000}"/>
    <cellStyle name="20% - Accent5 3 11 2 2" xfId="51614" xr:uid="{00000000-0005-0000-0000-000047230000}"/>
    <cellStyle name="20% - Accent5 3 11 3" xfId="37115" xr:uid="{00000000-0005-0000-0000-000048230000}"/>
    <cellStyle name="20% - Accent5 3 12" xfId="15360" xr:uid="{00000000-0005-0000-0000-000049230000}"/>
    <cellStyle name="20% - Accent5 3 12 2" xfId="44366" xr:uid="{00000000-0005-0000-0000-00004A230000}"/>
    <cellStyle name="20% - Accent5 3 13" xfId="29867" xr:uid="{00000000-0005-0000-0000-00004B230000}"/>
    <cellStyle name="20% - Accent5 3 2" xfId="891" xr:uid="{00000000-0005-0000-0000-00004C230000}"/>
    <cellStyle name="20% - Accent5 3 2 10" xfId="8126" xr:uid="{00000000-0005-0000-0000-00004D230000}"/>
    <cellStyle name="20% - Accent5 3 2 10 2" xfId="22660" xr:uid="{00000000-0005-0000-0000-00004E230000}"/>
    <cellStyle name="20% - Accent5 3 2 10 2 2" xfId="51666" xr:uid="{00000000-0005-0000-0000-00004F230000}"/>
    <cellStyle name="20% - Accent5 3 2 10 3" xfId="37167" xr:uid="{00000000-0005-0000-0000-000050230000}"/>
    <cellStyle name="20% - Accent5 3 2 11" xfId="15412" xr:uid="{00000000-0005-0000-0000-000051230000}"/>
    <cellStyle name="20% - Accent5 3 2 11 2" xfId="44418" xr:uid="{00000000-0005-0000-0000-000052230000}"/>
    <cellStyle name="20% - Accent5 3 2 12" xfId="29919" xr:uid="{00000000-0005-0000-0000-000053230000}"/>
    <cellStyle name="20% - Accent5 3 2 2" xfId="971" xr:uid="{00000000-0005-0000-0000-000054230000}"/>
    <cellStyle name="20% - Accent5 3 2 2 10" xfId="30022" xr:uid="{00000000-0005-0000-0000-000055230000}"/>
    <cellStyle name="20% - Accent5 3 2 2 2" xfId="1250" xr:uid="{00000000-0005-0000-0000-000056230000}"/>
    <cellStyle name="20% - Accent5 3 2 2 2 2" xfId="1756" xr:uid="{00000000-0005-0000-0000-000057230000}"/>
    <cellStyle name="20% - Accent5 3 2 2 2 2 2" xfId="2815" xr:uid="{00000000-0005-0000-0000-000058230000}"/>
    <cellStyle name="20% - Accent5 3 2 2 2 2 2 2" xfId="5919" xr:uid="{00000000-0005-0000-0000-000059230000}"/>
    <cellStyle name="20% - Accent5 3 2 2 2 2 2 2 2" xfId="13191" xr:uid="{00000000-0005-0000-0000-00005A230000}"/>
    <cellStyle name="20% - Accent5 3 2 2 2 2 2 2 2 2" xfId="27725" xr:uid="{00000000-0005-0000-0000-00005B230000}"/>
    <cellStyle name="20% - Accent5 3 2 2 2 2 2 2 2 2 2" xfId="56731" xr:uid="{00000000-0005-0000-0000-00005C230000}"/>
    <cellStyle name="20% - Accent5 3 2 2 2 2 2 2 2 3" xfId="42232" xr:uid="{00000000-0005-0000-0000-00005D230000}"/>
    <cellStyle name="20% - Accent5 3 2 2 2 2 2 2 3" xfId="20477" xr:uid="{00000000-0005-0000-0000-00005E230000}"/>
    <cellStyle name="20% - Accent5 3 2 2 2 2 2 2 3 2" xfId="49483" xr:uid="{00000000-0005-0000-0000-00005F230000}"/>
    <cellStyle name="20% - Accent5 3 2 2 2 2 2 2 4" xfId="34984" xr:uid="{00000000-0005-0000-0000-000060230000}"/>
    <cellStyle name="20% - Accent5 3 2 2 2 2 2 3" xfId="10087" xr:uid="{00000000-0005-0000-0000-000061230000}"/>
    <cellStyle name="20% - Accent5 3 2 2 2 2 2 3 2" xfId="24621" xr:uid="{00000000-0005-0000-0000-000062230000}"/>
    <cellStyle name="20% - Accent5 3 2 2 2 2 2 3 2 2" xfId="53627" xr:uid="{00000000-0005-0000-0000-000063230000}"/>
    <cellStyle name="20% - Accent5 3 2 2 2 2 2 3 3" xfId="39128" xr:uid="{00000000-0005-0000-0000-000064230000}"/>
    <cellStyle name="20% - Accent5 3 2 2 2 2 2 4" xfId="17373" xr:uid="{00000000-0005-0000-0000-000065230000}"/>
    <cellStyle name="20% - Accent5 3 2 2 2 2 2 4 2" xfId="46379" xr:uid="{00000000-0005-0000-0000-000066230000}"/>
    <cellStyle name="20% - Accent5 3 2 2 2 2 2 5" xfId="31880" xr:uid="{00000000-0005-0000-0000-000067230000}"/>
    <cellStyle name="20% - Accent5 3 2 2 2 2 3" xfId="3847" xr:uid="{00000000-0005-0000-0000-000068230000}"/>
    <cellStyle name="20% - Accent5 3 2 2 2 2 3 2" xfId="6951" xr:uid="{00000000-0005-0000-0000-000069230000}"/>
    <cellStyle name="20% - Accent5 3 2 2 2 2 3 2 2" xfId="14223" xr:uid="{00000000-0005-0000-0000-00006A230000}"/>
    <cellStyle name="20% - Accent5 3 2 2 2 2 3 2 2 2" xfId="28757" xr:uid="{00000000-0005-0000-0000-00006B230000}"/>
    <cellStyle name="20% - Accent5 3 2 2 2 2 3 2 2 2 2" xfId="57763" xr:uid="{00000000-0005-0000-0000-00006C230000}"/>
    <cellStyle name="20% - Accent5 3 2 2 2 2 3 2 2 3" xfId="43264" xr:uid="{00000000-0005-0000-0000-00006D230000}"/>
    <cellStyle name="20% - Accent5 3 2 2 2 2 3 2 3" xfId="21509" xr:uid="{00000000-0005-0000-0000-00006E230000}"/>
    <cellStyle name="20% - Accent5 3 2 2 2 2 3 2 3 2" xfId="50515" xr:uid="{00000000-0005-0000-0000-00006F230000}"/>
    <cellStyle name="20% - Accent5 3 2 2 2 2 3 2 4" xfId="36016" xr:uid="{00000000-0005-0000-0000-000070230000}"/>
    <cellStyle name="20% - Accent5 3 2 2 2 2 3 3" xfId="11119" xr:uid="{00000000-0005-0000-0000-000071230000}"/>
    <cellStyle name="20% - Accent5 3 2 2 2 2 3 3 2" xfId="25653" xr:uid="{00000000-0005-0000-0000-000072230000}"/>
    <cellStyle name="20% - Accent5 3 2 2 2 2 3 3 2 2" xfId="54659" xr:uid="{00000000-0005-0000-0000-000073230000}"/>
    <cellStyle name="20% - Accent5 3 2 2 2 2 3 3 3" xfId="40160" xr:uid="{00000000-0005-0000-0000-000074230000}"/>
    <cellStyle name="20% - Accent5 3 2 2 2 2 3 4" xfId="18405" xr:uid="{00000000-0005-0000-0000-000075230000}"/>
    <cellStyle name="20% - Accent5 3 2 2 2 2 3 4 2" xfId="47411" xr:uid="{00000000-0005-0000-0000-000076230000}"/>
    <cellStyle name="20% - Accent5 3 2 2 2 2 3 5" xfId="32912" xr:uid="{00000000-0005-0000-0000-000077230000}"/>
    <cellStyle name="20% - Accent5 3 2 2 2 2 4" xfId="4879" xr:uid="{00000000-0005-0000-0000-000078230000}"/>
    <cellStyle name="20% - Accent5 3 2 2 2 2 4 2" xfId="12151" xr:uid="{00000000-0005-0000-0000-000079230000}"/>
    <cellStyle name="20% - Accent5 3 2 2 2 2 4 2 2" xfId="26685" xr:uid="{00000000-0005-0000-0000-00007A230000}"/>
    <cellStyle name="20% - Accent5 3 2 2 2 2 4 2 2 2" xfId="55691" xr:uid="{00000000-0005-0000-0000-00007B230000}"/>
    <cellStyle name="20% - Accent5 3 2 2 2 2 4 2 3" xfId="41192" xr:uid="{00000000-0005-0000-0000-00007C230000}"/>
    <cellStyle name="20% - Accent5 3 2 2 2 2 4 3" xfId="19437" xr:uid="{00000000-0005-0000-0000-00007D230000}"/>
    <cellStyle name="20% - Accent5 3 2 2 2 2 4 3 2" xfId="48443" xr:uid="{00000000-0005-0000-0000-00007E230000}"/>
    <cellStyle name="20% - Accent5 3 2 2 2 2 4 4" xfId="33944" xr:uid="{00000000-0005-0000-0000-00007F230000}"/>
    <cellStyle name="20% - Accent5 3 2 2 2 2 5" xfId="7983" xr:uid="{00000000-0005-0000-0000-000080230000}"/>
    <cellStyle name="20% - Accent5 3 2 2 2 2 5 2" xfId="15255" xr:uid="{00000000-0005-0000-0000-000081230000}"/>
    <cellStyle name="20% - Accent5 3 2 2 2 2 5 2 2" xfId="29789" xr:uid="{00000000-0005-0000-0000-000082230000}"/>
    <cellStyle name="20% - Accent5 3 2 2 2 2 5 2 2 2" xfId="58795" xr:uid="{00000000-0005-0000-0000-000083230000}"/>
    <cellStyle name="20% - Accent5 3 2 2 2 2 5 2 3" xfId="44296" xr:uid="{00000000-0005-0000-0000-000084230000}"/>
    <cellStyle name="20% - Accent5 3 2 2 2 2 5 3" xfId="22541" xr:uid="{00000000-0005-0000-0000-000085230000}"/>
    <cellStyle name="20% - Accent5 3 2 2 2 2 5 3 2" xfId="51547" xr:uid="{00000000-0005-0000-0000-000086230000}"/>
    <cellStyle name="20% - Accent5 3 2 2 2 2 5 4" xfId="37048" xr:uid="{00000000-0005-0000-0000-000087230000}"/>
    <cellStyle name="20% - Accent5 3 2 2 2 2 6" xfId="9047" xr:uid="{00000000-0005-0000-0000-000088230000}"/>
    <cellStyle name="20% - Accent5 3 2 2 2 2 6 2" xfId="23581" xr:uid="{00000000-0005-0000-0000-000089230000}"/>
    <cellStyle name="20% - Accent5 3 2 2 2 2 6 2 2" xfId="52587" xr:uid="{00000000-0005-0000-0000-00008A230000}"/>
    <cellStyle name="20% - Accent5 3 2 2 2 2 6 3" xfId="38088" xr:uid="{00000000-0005-0000-0000-00008B230000}"/>
    <cellStyle name="20% - Accent5 3 2 2 2 2 7" xfId="16333" xr:uid="{00000000-0005-0000-0000-00008C230000}"/>
    <cellStyle name="20% - Accent5 3 2 2 2 2 7 2" xfId="45339" xr:uid="{00000000-0005-0000-0000-00008D230000}"/>
    <cellStyle name="20% - Accent5 3 2 2 2 2 8" xfId="30840" xr:uid="{00000000-0005-0000-0000-00008E230000}"/>
    <cellStyle name="20% - Accent5 3 2 2 2 3" xfId="2303" xr:uid="{00000000-0005-0000-0000-00008F230000}"/>
    <cellStyle name="20% - Accent5 3 2 2 2 3 2" xfId="5407" xr:uid="{00000000-0005-0000-0000-000090230000}"/>
    <cellStyle name="20% - Accent5 3 2 2 2 3 2 2" xfId="12679" xr:uid="{00000000-0005-0000-0000-000091230000}"/>
    <cellStyle name="20% - Accent5 3 2 2 2 3 2 2 2" xfId="27213" xr:uid="{00000000-0005-0000-0000-000092230000}"/>
    <cellStyle name="20% - Accent5 3 2 2 2 3 2 2 2 2" xfId="56219" xr:uid="{00000000-0005-0000-0000-000093230000}"/>
    <cellStyle name="20% - Accent5 3 2 2 2 3 2 2 3" xfId="41720" xr:uid="{00000000-0005-0000-0000-000094230000}"/>
    <cellStyle name="20% - Accent5 3 2 2 2 3 2 3" xfId="19965" xr:uid="{00000000-0005-0000-0000-000095230000}"/>
    <cellStyle name="20% - Accent5 3 2 2 2 3 2 3 2" xfId="48971" xr:uid="{00000000-0005-0000-0000-000096230000}"/>
    <cellStyle name="20% - Accent5 3 2 2 2 3 2 4" xfId="34472" xr:uid="{00000000-0005-0000-0000-000097230000}"/>
    <cellStyle name="20% - Accent5 3 2 2 2 3 3" xfId="9575" xr:uid="{00000000-0005-0000-0000-000098230000}"/>
    <cellStyle name="20% - Accent5 3 2 2 2 3 3 2" xfId="24109" xr:uid="{00000000-0005-0000-0000-000099230000}"/>
    <cellStyle name="20% - Accent5 3 2 2 2 3 3 2 2" xfId="53115" xr:uid="{00000000-0005-0000-0000-00009A230000}"/>
    <cellStyle name="20% - Accent5 3 2 2 2 3 3 3" xfId="38616" xr:uid="{00000000-0005-0000-0000-00009B230000}"/>
    <cellStyle name="20% - Accent5 3 2 2 2 3 4" xfId="16861" xr:uid="{00000000-0005-0000-0000-00009C230000}"/>
    <cellStyle name="20% - Accent5 3 2 2 2 3 4 2" xfId="45867" xr:uid="{00000000-0005-0000-0000-00009D230000}"/>
    <cellStyle name="20% - Accent5 3 2 2 2 3 5" xfId="31368" xr:uid="{00000000-0005-0000-0000-00009E230000}"/>
    <cellStyle name="20% - Accent5 3 2 2 2 4" xfId="3335" xr:uid="{00000000-0005-0000-0000-00009F230000}"/>
    <cellStyle name="20% - Accent5 3 2 2 2 4 2" xfId="6439" xr:uid="{00000000-0005-0000-0000-0000A0230000}"/>
    <cellStyle name="20% - Accent5 3 2 2 2 4 2 2" xfId="13711" xr:uid="{00000000-0005-0000-0000-0000A1230000}"/>
    <cellStyle name="20% - Accent5 3 2 2 2 4 2 2 2" xfId="28245" xr:uid="{00000000-0005-0000-0000-0000A2230000}"/>
    <cellStyle name="20% - Accent5 3 2 2 2 4 2 2 2 2" xfId="57251" xr:uid="{00000000-0005-0000-0000-0000A3230000}"/>
    <cellStyle name="20% - Accent5 3 2 2 2 4 2 2 3" xfId="42752" xr:uid="{00000000-0005-0000-0000-0000A4230000}"/>
    <cellStyle name="20% - Accent5 3 2 2 2 4 2 3" xfId="20997" xr:uid="{00000000-0005-0000-0000-0000A5230000}"/>
    <cellStyle name="20% - Accent5 3 2 2 2 4 2 3 2" xfId="50003" xr:uid="{00000000-0005-0000-0000-0000A6230000}"/>
    <cellStyle name="20% - Accent5 3 2 2 2 4 2 4" xfId="35504" xr:uid="{00000000-0005-0000-0000-0000A7230000}"/>
    <cellStyle name="20% - Accent5 3 2 2 2 4 3" xfId="10607" xr:uid="{00000000-0005-0000-0000-0000A8230000}"/>
    <cellStyle name="20% - Accent5 3 2 2 2 4 3 2" xfId="25141" xr:uid="{00000000-0005-0000-0000-0000A9230000}"/>
    <cellStyle name="20% - Accent5 3 2 2 2 4 3 2 2" xfId="54147" xr:uid="{00000000-0005-0000-0000-0000AA230000}"/>
    <cellStyle name="20% - Accent5 3 2 2 2 4 3 3" xfId="39648" xr:uid="{00000000-0005-0000-0000-0000AB230000}"/>
    <cellStyle name="20% - Accent5 3 2 2 2 4 4" xfId="17893" xr:uid="{00000000-0005-0000-0000-0000AC230000}"/>
    <cellStyle name="20% - Accent5 3 2 2 2 4 4 2" xfId="46899" xr:uid="{00000000-0005-0000-0000-0000AD230000}"/>
    <cellStyle name="20% - Accent5 3 2 2 2 4 5" xfId="32400" xr:uid="{00000000-0005-0000-0000-0000AE230000}"/>
    <cellStyle name="20% - Accent5 3 2 2 2 5" xfId="4367" xr:uid="{00000000-0005-0000-0000-0000AF230000}"/>
    <cellStyle name="20% - Accent5 3 2 2 2 5 2" xfId="11639" xr:uid="{00000000-0005-0000-0000-0000B0230000}"/>
    <cellStyle name="20% - Accent5 3 2 2 2 5 2 2" xfId="26173" xr:uid="{00000000-0005-0000-0000-0000B1230000}"/>
    <cellStyle name="20% - Accent5 3 2 2 2 5 2 2 2" xfId="55179" xr:uid="{00000000-0005-0000-0000-0000B2230000}"/>
    <cellStyle name="20% - Accent5 3 2 2 2 5 2 3" xfId="40680" xr:uid="{00000000-0005-0000-0000-0000B3230000}"/>
    <cellStyle name="20% - Accent5 3 2 2 2 5 3" xfId="18925" xr:uid="{00000000-0005-0000-0000-0000B4230000}"/>
    <cellStyle name="20% - Accent5 3 2 2 2 5 3 2" xfId="47931" xr:uid="{00000000-0005-0000-0000-0000B5230000}"/>
    <cellStyle name="20% - Accent5 3 2 2 2 5 4" xfId="33432" xr:uid="{00000000-0005-0000-0000-0000B6230000}"/>
    <cellStyle name="20% - Accent5 3 2 2 2 6" xfId="7471" xr:uid="{00000000-0005-0000-0000-0000B7230000}"/>
    <cellStyle name="20% - Accent5 3 2 2 2 6 2" xfId="14743" xr:uid="{00000000-0005-0000-0000-0000B8230000}"/>
    <cellStyle name="20% - Accent5 3 2 2 2 6 2 2" xfId="29277" xr:uid="{00000000-0005-0000-0000-0000B9230000}"/>
    <cellStyle name="20% - Accent5 3 2 2 2 6 2 2 2" xfId="58283" xr:uid="{00000000-0005-0000-0000-0000BA230000}"/>
    <cellStyle name="20% - Accent5 3 2 2 2 6 2 3" xfId="43784" xr:uid="{00000000-0005-0000-0000-0000BB230000}"/>
    <cellStyle name="20% - Accent5 3 2 2 2 6 3" xfId="22029" xr:uid="{00000000-0005-0000-0000-0000BC230000}"/>
    <cellStyle name="20% - Accent5 3 2 2 2 6 3 2" xfId="51035" xr:uid="{00000000-0005-0000-0000-0000BD230000}"/>
    <cellStyle name="20% - Accent5 3 2 2 2 6 4" xfId="36536" xr:uid="{00000000-0005-0000-0000-0000BE230000}"/>
    <cellStyle name="20% - Accent5 3 2 2 2 7" xfId="8535" xr:uid="{00000000-0005-0000-0000-0000BF230000}"/>
    <cellStyle name="20% - Accent5 3 2 2 2 7 2" xfId="23069" xr:uid="{00000000-0005-0000-0000-0000C0230000}"/>
    <cellStyle name="20% - Accent5 3 2 2 2 7 2 2" xfId="52075" xr:uid="{00000000-0005-0000-0000-0000C1230000}"/>
    <cellStyle name="20% - Accent5 3 2 2 2 7 3" xfId="37576" xr:uid="{00000000-0005-0000-0000-0000C2230000}"/>
    <cellStyle name="20% - Accent5 3 2 2 2 8" xfId="15821" xr:uid="{00000000-0005-0000-0000-0000C3230000}"/>
    <cellStyle name="20% - Accent5 3 2 2 2 8 2" xfId="44827" xr:uid="{00000000-0005-0000-0000-0000C4230000}"/>
    <cellStyle name="20% - Accent5 3 2 2 2 9" xfId="30328" xr:uid="{00000000-0005-0000-0000-0000C5230000}"/>
    <cellStyle name="20% - Accent5 3 2 2 3" xfId="1451" xr:uid="{00000000-0005-0000-0000-0000C6230000}"/>
    <cellStyle name="20% - Accent5 3 2 2 3 2" xfId="2509" xr:uid="{00000000-0005-0000-0000-0000C7230000}"/>
    <cellStyle name="20% - Accent5 3 2 2 3 2 2" xfId="5613" xr:uid="{00000000-0005-0000-0000-0000C8230000}"/>
    <cellStyle name="20% - Accent5 3 2 2 3 2 2 2" xfId="12885" xr:uid="{00000000-0005-0000-0000-0000C9230000}"/>
    <cellStyle name="20% - Accent5 3 2 2 3 2 2 2 2" xfId="27419" xr:uid="{00000000-0005-0000-0000-0000CA230000}"/>
    <cellStyle name="20% - Accent5 3 2 2 3 2 2 2 2 2" xfId="56425" xr:uid="{00000000-0005-0000-0000-0000CB230000}"/>
    <cellStyle name="20% - Accent5 3 2 2 3 2 2 2 3" xfId="41926" xr:uid="{00000000-0005-0000-0000-0000CC230000}"/>
    <cellStyle name="20% - Accent5 3 2 2 3 2 2 3" xfId="20171" xr:uid="{00000000-0005-0000-0000-0000CD230000}"/>
    <cellStyle name="20% - Accent5 3 2 2 3 2 2 3 2" xfId="49177" xr:uid="{00000000-0005-0000-0000-0000CE230000}"/>
    <cellStyle name="20% - Accent5 3 2 2 3 2 2 4" xfId="34678" xr:uid="{00000000-0005-0000-0000-0000CF230000}"/>
    <cellStyle name="20% - Accent5 3 2 2 3 2 3" xfId="9781" xr:uid="{00000000-0005-0000-0000-0000D0230000}"/>
    <cellStyle name="20% - Accent5 3 2 2 3 2 3 2" xfId="24315" xr:uid="{00000000-0005-0000-0000-0000D1230000}"/>
    <cellStyle name="20% - Accent5 3 2 2 3 2 3 2 2" xfId="53321" xr:uid="{00000000-0005-0000-0000-0000D2230000}"/>
    <cellStyle name="20% - Accent5 3 2 2 3 2 3 3" xfId="38822" xr:uid="{00000000-0005-0000-0000-0000D3230000}"/>
    <cellStyle name="20% - Accent5 3 2 2 3 2 4" xfId="17067" xr:uid="{00000000-0005-0000-0000-0000D4230000}"/>
    <cellStyle name="20% - Accent5 3 2 2 3 2 4 2" xfId="46073" xr:uid="{00000000-0005-0000-0000-0000D5230000}"/>
    <cellStyle name="20% - Accent5 3 2 2 3 2 5" xfId="31574" xr:uid="{00000000-0005-0000-0000-0000D6230000}"/>
    <cellStyle name="20% - Accent5 3 2 2 3 3" xfId="3541" xr:uid="{00000000-0005-0000-0000-0000D7230000}"/>
    <cellStyle name="20% - Accent5 3 2 2 3 3 2" xfId="6645" xr:uid="{00000000-0005-0000-0000-0000D8230000}"/>
    <cellStyle name="20% - Accent5 3 2 2 3 3 2 2" xfId="13917" xr:uid="{00000000-0005-0000-0000-0000D9230000}"/>
    <cellStyle name="20% - Accent5 3 2 2 3 3 2 2 2" xfId="28451" xr:uid="{00000000-0005-0000-0000-0000DA230000}"/>
    <cellStyle name="20% - Accent5 3 2 2 3 3 2 2 2 2" xfId="57457" xr:uid="{00000000-0005-0000-0000-0000DB230000}"/>
    <cellStyle name="20% - Accent5 3 2 2 3 3 2 2 3" xfId="42958" xr:uid="{00000000-0005-0000-0000-0000DC230000}"/>
    <cellStyle name="20% - Accent5 3 2 2 3 3 2 3" xfId="21203" xr:uid="{00000000-0005-0000-0000-0000DD230000}"/>
    <cellStyle name="20% - Accent5 3 2 2 3 3 2 3 2" xfId="50209" xr:uid="{00000000-0005-0000-0000-0000DE230000}"/>
    <cellStyle name="20% - Accent5 3 2 2 3 3 2 4" xfId="35710" xr:uid="{00000000-0005-0000-0000-0000DF230000}"/>
    <cellStyle name="20% - Accent5 3 2 2 3 3 3" xfId="10813" xr:uid="{00000000-0005-0000-0000-0000E0230000}"/>
    <cellStyle name="20% - Accent5 3 2 2 3 3 3 2" xfId="25347" xr:uid="{00000000-0005-0000-0000-0000E1230000}"/>
    <cellStyle name="20% - Accent5 3 2 2 3 3 3 2 2" xfId="54353" xr:uid="{00000000-0005-0000-0000-0000E2230000}"/>
    <cellStyle name="20% - Accent5 3 2 2 3 3 3 3" xfId="39854" xr:uid="{00000000-0005-0000-0000-0000E3230000}"/>
    <cellStyle name="20% - Accent5 3 2 2 3 3 4" xfId="18099" xr:uid="{00000000-0005-0000-0000-0000E4230000}"/>
    <cellStyle name="20% - Accent5 3 2 2 3 3 4 2" xfId="47105" xr:uid="{00000000-0005-0000-0000-0000E5230000}"/>
    <cellStyle name="20% - Accent5 3 2 2 3 3 5" xfId="32606" xr:uid="{00000000-0005-0000-0000-0000E6230000}"/>
    <cellStyle name="20% - Accent5 3 2 2 3 4" xfId="4573" xr:uid="{00000000-0005-0000-0000-0000E7230000}"/>
    <cellStyle name="20% - Accent5 3 2 2 3 4 2" xfId="11845" xr:uid="{00000000-0005-0000-0000-0000E8230000}"/>
    <cellStyle name="20% - Accent5 3 2 2 3 4 2 2" xfId="26379" xr:uid="{00000000-0005-0000-0000-0000E9230000}"/>
    <cellStyle name="20% - Accent5 3 2 2 3 4 2 2 2" xfId="55385" xr:uid="{00000000-0005-0000-0000-0000EA230000}"/>
    <cellStyle name="20% - Accent5 3 2 2 3 4 2 3" xfId="40886" xr:uid="{00000000-0005-0000-0000-0000EB230000}"/>
    <cellStyle name="20% - Accent5 3 2 2 3 4 3" xfId="19131" xr:uid="{00000000-0005-0000-0000-0000EC230000}"/>
    <cellStyle name="20% - Accent5 3 2 2 3 4 3 2" xfId="48137" xr:uid="{00000000-0005-0000-0000-0000ED230000}"/>
    <cellStyle name="20% - Accent5 3 2 2 3 4 4" xfId="33638" xr:uid="{00000000-0005-0000-0000-0000EE230000}"/>
    <cellStyle name="20% - Accent5 3 2 2 3 5" xfId="7677" xr:uid="{00000000-0005-0000-0000-0000EF230000}"/>
    <cellStyle name="20% - Accent5 3 2 2 3 5 2" xfId="14949" xr:uid="{00000000-0005-0000-0000-0000F0230000}"/>
    <cellStyle name="20% - Accent5 3 2 2 3 5 2 2" xfId="29483" xr:uid="{00000000-0005-0000-0000-0000F1230000}"/>
    <cellStyle name="20% - Accent5 3 2 2 3 5 2 2 2" xfId="58489" xr:uid="{00000000-0005-0000-0000-0000F2230000}"/>
    <cellStyle name="20% - Accent5 3 2 2 3 5 2 3" xfId="43990" xr:uid="{00000000-0005-0000-0000-0000F3230000}"/>
    <cellStyle name="20% - Accent5 3 2 2 3 5 3" xfId="22235" xr:uid="{00000000-0005-0000-0000-0000F4230000}"/>
    <cellStyle name="20% - Accent5 3 2 2 3 5 3 2" xfId="51241" xr:uid="{00000000-0005-0000-0000-0000F5230000}"/>
    <cellStyle name="20% - Accent5 3 2 2 3 5 4" xfId="36742" xr:uid="{00000000-0005-0000-0000-0000F6230000}"/>
    <cellStyle name="20% - Accent5 3 2 2 3 6" xfId="8741" xr:uid="{00000000-0005-0000-0000-0000F7230000}"/>
    <cellStyle name="20% - Accent5 3 2 2 3 6 2" xfId="23275" xr:uid="{00000000-0005-0000-0000-0000F8230000}"/>
    <cellStyle name="20% - Accent5 3 2 2 3 6 2 2" xfId="52281" xr:uid="{00000000-0005-0000-0000-0000F9230000}"/>
    <cellStyle name="20% - Accent5 3 2 2 3 6 3" xfId="37782" xr:uid="{00000000-0005-0000-0000-0000FA230000}"/>
    <cellStyle name="20% - Accent5 3 2 2 3 7" xfId="16027" xr:uid="{00000000-0005-0000-0000-0000FB230000}"/>
    <cellStyle name="20% - Accent5 3 2 2 3 7 2" xfId="45033" xr:uid="{00000000-0005-0000-0000-0000FC230000}"/>
    <cellStyle name="20% - Accent5 3 2 2 3 8" xfId="30534" xr:uid="{00000000-0005-0000-0000-0000FD230000}"/>
    <cellStyle name="20% - Accent5 3 2 2 4" xfId="1997" xr:uid="{00000000-0005-0000-0000-0000FE230000}"/>
    <cellStyle name="20% - Accent5 3 2 2 4 2" xfId="5101" xr:uid="{00000000-0005-0000-0000-0000FF230000}"/>
    <cellStyle name="20% - Accent5 3 2 2 4 2 2" xfId="12373" xr:uid="{00000000-0005-0000-0000-000000240000}"/>
    <cellStyle name="20% - Accent5 3 2 2 4 2 2 2" xfId="26907" xr:uid="{00000000-0005-0000-0000-000001240000}"/>
    <cellStyle name="20% - Accent5 3 2 2 4 2 2 2 2" xfId="55913" xr:uid="{00000000-0005-0000-0000-000002240000}"/>
    <cellStyle name="20% - Accent5 3 2 2 4 2 2 3" xfId="41414" xr:uid="{00000000-0005-0000-0000-000003240000}"/>
    <cellStyle name="20% - Accent5 3 2 2 4 2 3" xfId="19659" xr:uid="{00000000-0005-0000-0000-000004240000}"/>
    <cellStyle name="20% - Accent5 3 2 2 4 2 3 2" xfId="48665" xr:uid="{00000000-0005-0000-0000-000005240000}"/>
    <cellStyle name="20% - Accent5 3 2 2 4 2 4" xfId="34166" xr:uid="{00000000-0005-0000-0000-000006240000}"/>
    <cellStyle name="20% - Accent5 3 2 2 4 3" xfId="9269" xr:uid="{00000000-0005-0000-0000-000007240000}"/>
    <cellStyle name="20% - Accent5 3 2 2 4 3 2" xfId="23803" xr:uid="{00000000-0005-0000-0000-000008240000}"/>
    <cellStyle name="20% - Accent5 3 2 2 4 3 2 2" xfId="52809" xr:uid="{00000000-0005-0000-0000-000009240000}"/>
    <cellStyle name="20% - Accent5 3 2 2 4 3 3" xfId="38310" xr:uid="{00000000-0005-0000-0000-00000A240000}"/>
    <cellStyle name="20% - Accent5 3 2 2 4 4" xfId="16555" xr:uid="{00000000-0005-0000-0000-00000B240000}"/>
    <cellStyle name="20% - Accent5 3 2 2 4 4 2" xfId="45561" xr:uid="{00000000-0005-0000-0000-00000C240000}"/>
    <cellStyle name="20% - Accent5 3 2 2 4 5" xfId="31062" xr:uid="{00000000-0005-0000-0000-00000D240000}"/>
    <cellStyle name="20% - Accent5 3 2 2 5" xfId="3029" xr:uid="{00000000-0005-0000-0000-00000E240000}"/>
    <cellStyle name="20% - Accent5 3 2 2 5 2" xfId="6133" xr:uid="{00000000-0005-0000-0000-00000F240000}"/>
    <cellStyle name="20% - Accent5 3 2 2 5 2 2" xfId="13405" xr:uid="{00000000-0005-0000-0000-000010240000}"/>
    <cellStyle name="20% - Accent5 3 2 2 5 2 2 2" xfId="27939" xr:uid="{00000000-0005-0000-0000-000011240000}"/>
    <cellStyle name="20% - Accent5 3 2 2 5 2 2 2 2" xfId="56945" xr:uid="{00000000-0005-0000-0000-000012240000}"/>
    <cellStyle name="20% - Accent5 3 2 2 5 2 2 3" xfId="42446" xr:uid="{00000000-0005-0000-0000-000013240000}"/>
    <cellStyle name="20% - Accent5 3 2 2 5 2 3" xfId="20691" xr:uid="{00000000-0005-0000-0000-000014240000}"/>
    <cellStyle name="20% - Accent5 3 2 2 5 2 3 2" xfId="49697" xr:uid="{00000000-0005-0000-0000-000015240000}"/>
    <cellStyle name="20% - Accent5 3 2 2 5 2 4" xfId="35198" xr:uid="{00000000-0005-0000-0000-000016240000}"/>
    <cellStyle name="20% - Accent5 3 2 2 5 3" xfId="10301" xr:uid="{00000000-0005-0000-0000-000017240000}"/>
    <cellStyle name="20% - Accent5 3 2 2 5 3 2" xfId="24835" xr:uid="{00000000-0005-0000-0000-000018240000}"/>
    <cellStyle name="20% - Accent5 3 2 2 5 3 2 2" xfId="53841" xr:uid="{00000000-0005-0000-0000-000019240000}"/>
    <cellStyle name="20% - Accent5 3 2 2 5 3 3" xfId="39342" xr:uid="{00000000-0005-0000-0000-00001A240000}"/>
    <cellStyle name="20% - Accent5 3 2 2 5 4" xfId="17587" xr:uid="{00000000-0005-0000-0000-00001B240000}"/>
    <cellStyle name="20% - Accent5 3 2 2 5 4 2" xfId="46593" xr:uid="{00000000-0005-0000-0000-00001C240000}"/>
    <cellStyle name="20% - Accent5 3 2 2 5 5" xfId="32094" xr:uid="{00000000-0005-0000-0000-00001D240000}"/>
    <cellStyle name="20% - Accent5 3 2 2 6" xfId="4061" xr:uid="{00000000-0005-0000-0000-00001E240000}"/>
    <cellStyle name="20% - Accent5 3 2 2 6 2" xfId="11333" xr:uid="{00000000-0005-0000-0000-00001F240000}"/>
    <cellStyle name="20% - Accent5 3 2 2 6 2 2" xfId="25867" xr:uid="{00000000-0005-0000-0000-000020240000}"/>
    <cellStyle name="20% - Accent5 3 2 2 6 2 2 2" xfId="54873" xr:uid="{00000000-0005-0000-0000-000021240000}"/>
    <cellStyle name="20% - Accent5 3 2 2 6 2 3" xfId="40374" xr:uid="{00000000-0005-0000-0000-000022240000}"/>
    <cellStyle name="20% - Accent5 3 2 2 6 3" xfId="18619" xr:uid="{00000000-0005-0000-0000-000023240000}"/>
    <cellStyle name="20% - Accent5 3 2 2 6 3 2" xfId="47625" xr:uid="{00000000-0005-0000-0000-000024240000}"/>
    <cellStyle name="20% - Accent5 3 2 2 6 4" xfId="33126" xr:uid="{00000000-0005-0000-0000-000025240000}"/>
    <cellStyle name="20% - Accent5 3 2 2 7" xfId="7165" xr:uid="{00000000-0005-0000-0000-000026240000}"/>
    <cellStyle name="20% - Accent5 3 2 2 7 2" xfId="14437" xr:uid="{00000000-0005-0000-0000-000027240000}"/>
    <cellStyle name="20% - Accent5 3 2 2 7 2 2" xfId="28971" xr:uid="{00000000-0005-0000-0000-000028240000}"/>
    <cellStyle name="20% - Accent5 3 2 2 7 2 2 2" xfId="57977" xr:uid="{00000000-0005-0000-0000-000029240000}"/>
    <cellStyle name="20% - Accent5 3 2 2 7 2 3" xfId="43478" xr:uid="{00000000-0005-0000-0000-00002A240000}"/>
    <cellStyle name="20% - Accent5 3 2 2 7 3" xfId="21723" xr:uid="{00000000-0005-0000-0000-00002B240000}"/>
    <cellStyle name="20% - Accent5 3 2 2 7 3 2" xfId="50729" xr:uid="{00000000-0005-0000-0000-00002C240000}"/>
    <cellStyle name="20% - Accent5 3 2 2 7 4" xfId="36230" xr:uid="{00000000-0005-0000-0000-00002D240000}"/>
    <cellStyle name="20% - Accent5 3 2 2 8" xfId="8229" xr:uid="{00000000-0005-0000-0000-00002E240000}"/>
    <cellStyle name="20% - Accent5 3 2 2 8 2" xfId="22763" xr:uid="{00000000-0005-0000-0000-00002F240000}"/>
    <cellStyle name="20% - Accent5 3 2 2 8 2 2" xfId="51769" xr:uid="{00000000-0005-0000-0000-000030240000}"/>
    <cellStyle name="20% - Accent5 3 2 2 8 3" xfId="37270" xr:uid="{00000000-0005-0000-0000-000031240000}"/>
    <cellStyle name="20% - Accent5 3 2 2 9" xfId="15515" xr:uid="{00000000-0005-0000-0000-000032240000}"/>
    <cellStyle name="20% - Accent5 3 2 2 9 2" xfId="44521" xr:uid="{00000000-0005-0000-0000-000033240000}"/>
    <cellStyle name="20% - Accent5 3 2 3" xfId="1154" xr:uid="{00000000-0005-0000-0000-000034240000}"/>
    <cellStyle name="20% - Accent5 3 2 3 2" xfId="1653" xr:uid="{00000000-0005-0000-0000-000035240000}"/>
    <cellStyle name="20% - Accent5 3 2 3 2 2" xfId="2712" xr:uid="{00000000-0005-0000-0000-000036240000}"/>
    <cellStyle name="20% - Accent5 3 2 3 2 2 2" xfId="5816" xr:uid="{00000000-0005-0000-0000-000037240000}"/>
    <cellStyle name="20% - Accent5 3 2 3 2 2 2 2" xfId="13088" xr:uid="{00000000-0005-0000-0000-000038240000}"/>
    <cellStyle name="20% - Accent5 3 2 3 2 2 2 2 2" xfId="27622" xr:uid="{00000000-0005-0000-0000-000039240000}"/>
    <cellStyle name="20% - Accent5 3 2 3 2 2 2 2 2 2" xfId="56628" xr:uid="{00000000-0005-0000-0000-00003A240000}"/>
    <cellStyle name="20% - Accent5 3 2 3 2 2 2 2 3" xfId="42129" xr:uid="{00000000-0005-0000-0000-00003B240000}"/>
    <cellStyle name="20% - Accent5 3 2 3 2 2 2 3" xfId="20374" xr:uid="{00000000-0005-0000-0000-00003C240000}"/>
    <cellStyle name="20% - Accent5 3 2 3 2 2 2 3 2" xfId="49380" xr:uid="{00000000-0005-0000-0000-00003D240000}"/>
    <cellStyle name="20% - Accent5 3 2 3 2 2 2 4" xfId="34881" xr:uid="{00000000-0005-0000-0000-00003E240000}"/>
    <cellStyle name="20% - Accent5 3 2 3 2 2 3" xfId="9984" xr:uid="{00000000-0005-0000-0000-00003F240000}"/>
    <cellStyle name="20% - Accent5 3 2 3 2 2 3 2" xfId="24518" xr:uid="{00000000-0005-0000-0000-000040240000}"/>
    <cellStyle name="20% - Accent5 3 2 3 2 2 3 2 2" xfId="53524" xr:uid="{00000000-0005-0000-0000-000041240000}"/>
    <cellStyle name="20% - Accent5 3 2 3 2 2 3 3" xfId="39025" xr:uid="{00000000-0005-0000-0000-000042240000}"/>
    <cellStyle name="20% - Accent5 3 2 3 2 2 4" xfId="17270" xr:uid="{00000000-0005-0000-0000-000043240000}"/>
    <cellStyle name="20% - Accent5 3 2 3 2 2 4 2" xfId="46276" xr:uid="{00000000-0005-0000-0000-000044240000}"/>
    <cellStyle name="20% - Accent5 3 2 3 2 2 5" xfId="31777" xr:uid="{00000000-0005-0000-0000-000045240000}"/>
    <cellStyle name="20% - Accent5 3 2 3 2 3" xfId="3744" xr:uid="{00000000-0005-0000-0000-000046240000}"/>
    <cellStyle name="20% - Accent5 3 2 3 2 3 2" xfId="6848" xr:uid="{00000000-0005-0000-0000-000047240000}"/>
    <cellStyle name="20% - Accent5 3 2 3 2 3 2 2" xfId="14120" xr:uid="{00000000-0005-0000-0000-000048240000}"/>
    <cellStyle name="20% - Accent5 3 2 3 2 3 2 2 2" xfId="28654" xr:uid="{00000000-0005-0000-0000-000049240000}"/>
    <cellStyle name="20% - Accent5 3 2 3 2 3 2 2 2 2" xfId="57660" xr:uid="{00000000-0005-0000-0000-00004A240000}"/>
    <cellStyle name="20% - Accent5 3 2 3 2 3 2 2 3" xfId="43161" xr:uid="{00000000-0005-0000-0000-00004B240000}"/>
    <cellStyle name="20% - Accent5 3 2 3 2 3 2 3" xfId="21406" xr:uid="{00000000-0005-0000-0000-00004C240000}"/>
    <cellStyle name="20% - Accent5 3 2 3 2 3 2 3 2" xfId="50412" xr:uid="{00000000-0005-0000-0000-00004D240000}"/>
    <cellStyle name="20% - Accent5 3 2 3 2 3 2 4" xfId="35913" xr:uid="{00000000-0005-0000-0000-00004E240000}"/>
    <cellStyle name="20% - Accent5 3 2 3 2 3 3" xfId="11016" xr:uid="{00000000-0005-0000-0000-00004F240000}"/>
    <cellStyle name="20% - Accent5 3 2 3 2 3 3 2" xfId="25550" xr:uid="{00000000-0005-0000-0000-000050240000}"/>
    <cellStyle name="20% - Accent5 3 2 3 2 3 3 2 2" xfId="54556" xr:uid="{00000000-0005-0000-0000-000051240000}"/>
    <cellStyle name="20% - Accent5 3 2 3 2 3 3 3" xfId="40057" xr:uid="{00000000-0005-0000-0000-000052240000}"/>
    <cellStyle name="20% - Accent5 3 2 3 2 3 4" xfId="18302" xr:uid="{00000000-0005-0000-0000-000053240000}"/>
    <cellStyle name="20% - Accent5 3 2 3 2 3 4 2" xfId="47308" xr:uid="{00000000-0005-0000-0000-000054240000}"/>
    <cellStyle name="20% - Accent5 3 2 3 2 3 5" xfId="32809" xr:uid="{00000000-0005-0000-0000-000055240000}"/>
    <cellStyle name="20% - Accent5 3 2 3 2 4" xfId="4776" xr:uid="{00000000-0005-0000-0000-000056240000}"/>
    <cellStyle name="20% - Accent5 3 2 3 2 4 2" xfId="12048" xr:uid="{00000000-0005-0000-0000-000057240000}"/>
    <cellStyle name="20% - Accent5 3 2 3 2 4 2 2" xfId="26582" xr:uid="{00000000-0005-0000-0000-000058240000}"/>
    <cellStyle name="20% - Accent5 3 2 3 2 4 2 2 2" xfId="55588" xr:uid="{00000000-0005-0000-0000-000059240000}"/>
    <cellStyle name="20% - Accent5 3 2 3 2 4 2 3" xfId="41089" xr:uid="{00000000-0005-0000-0000-00005A240000}"/>
    <cellStyle name="20% - Accent5 3 2 3 2 4 3" xfId="19334" xr:uid="{00000000-0005-0000-0000-00005B240000}"/>
    <cellStyle name="20% - Accent5 3 2 3 2 4 3 2" xfId="48340" xr:uid="{00000000-0005-0000-0000-00005C240000}"/>
    <cellStyle name="20% - Accent5 3 2 3 2 4 4" xfId="33841" xr:uid="{00000000-0005-0000-0000-00005D240000}"/>
    <cellStyle name="20% - Accent5 3 2 3 2 5" xfId="7880" xr:uid="{00000000-0005-0000-0000-00005E240000}"/>
    <cellStyle name="20% - Accent5 3 2 3 2 5 2" xfId="15152" xr:uid="{00000000-0005-0000-0000-00005F240000}"/>
    <cellStyle name="20% - Accent5 3 2 3 2 5 2 2" xfId="29686" xr:uid="{00000000-0005-0000-0000-000060240000}"/>
    <cellStyle name="20% - Accent5 3 2 3 2 5 2 2 2" xfId="58692" xr:uid="{00000000-0005-0000-0000-000061240000}"/>
    <cellStyle name="20% - Accent5 3 2 3 2 5 2 3" xfId="44193" xr:uid="{00000000-0005-0000-0000-000062240000}"/>
    <cellStyle name="20% - Accent5 3 2 3 2 5 3" xfId="22438" xr:uid="{00000000-0005-0000-0000-000063240000}"/>
    <cellStyle name="20% - Accent5 3 2 3 2 5 3 2" xfId="51444" xr:uid="{00000000-0005-0000-0000-000064240000}"/>
    <cellStyle name="20% - Accent5 3 2 3 2 5 4" xfId="36945" xr:uid="{00000000-0005-0000-0000-000065240000}"/>
    <cellStyle name="20% - Accent5 3 2 3 2 6" xfId="8944" xr:uid="{00000000-0005-0000-0000-000066240000}"/>
    <cellStyle name="20% - Accent5 3 2 3 2 6 2" xfId="23478" xr:uid="{00000000-0005-0000-0000-000067240000}"/>
    <cellStyle name="20% - Accent5 3 2 3 2 6 2 2" xfId="52484" xr:uid="{00000000-0005-0000-0000-000068240000}"/>
    <cellStyle name="20% - Accent5 3 2 3 2 6 3" xfId="37985" xr:uid="{00000000-0005-0000-0000-000069240000}"/>
    <cellStyle name="20% - Accent5 3 2 3 2 7" xfId="16230" xr:uid="{00000000-0005-0000-0000-00006A240000}"/>
    <cellStyle name="20% - Accent5 3 2 3 2 7 2" xfId="45236" xr:uid="{00000000-0005-0000-0000-00006B240000}"/>
    <cellStyle name="20% - Accent5 3 2 3 2 8" xfId="30737" xr:uid="{00000000-0005-0000-0000-00006C240000}"/>
    <cellStyle name="20% - Accent5 3 2 3 3" xfId="2200" xr:uid="{00000000-0005-0000-0000-00006D240000}"/>
    <cellStyle name="20% - Accent5 3 2 3 3 2" xfId="5304" xr:uid="{00000000-0005-0000-0000-00006E240000}"/>
    <cellStyle name="20% - Accent5 3 2 3 3 2 2" xfId="12576" xr:uid="{00000000-0005-0000-0000-00006F240000}"/>
    <cellStyle name="20% - Accent5 3 2 3 3 2 2 2" xfId="27110" xr:uid="{00000000-0005-0000-0000-000070240000}"/>
    <cellStyle name="20% - Accent5 3 2 3 3 2 2 2 2" xfId="56116" xr:uid="{00000000-0005-0000-0000-000071240000}"/>
    <cellStyle name="20% - Accent5 3 2 3 3 2 2 3" xfId="41617" xr:uid="{00000000-0005-0000-0000-000072240000}"/>
    <cellStyle name="20% - Accent5 3 2 3 3 2 3" xfId="19862" xr:uid="{00000000-0005-0000-0000-000073240000}"/>
    <cellStyle name="20% - Accent5 3 2 3 3 2 3 2" xfId="48868" xr:uid="{00000000-0005-0000-0000-000074240000}"/>
    <cellStyle name="20% - Accent5 3 2 3 3 2 4" xfId="34369" xr:uid="{00000000-0005-0000-0000-000075240000}"/>
    <cellStyle name="20% - Accent5 3 2 3 3 3" xfId="9472" xr:uid="{00000000-0005-0000-0000-000076240000}"/>
    <cellStyle name="20% - Accent5 3 2 3 3 3 2" xfId="24006" xr:uid="{00000000-0005-0000-0000-000077240000}"/>
    <cellStyle name="20% - Accent5 3 2 3 3 3 2 2" xfId="53012" xr:uid="{00000000-0005-0000-0000-000078240000}"/>
    <cellStyle name="20% - Accent5 3 2 3 3 3 3" xfId="38513" xr:uid="{00000000-0005-0000-0000-000079240000}"/>
    <cellStyle name="20% - Accent5 3 2 3 3 4" xfId="16758" xr:uid="{00000000-0005-0000-0000-00007A240000}"/>
    <cellStyle name="20% - Accent5 3 2 3 3 4 2" xfId="45764" xr:uid="{00000000-0005-0000-0000-00007B240000}"/>
    <cellStyle name="20% - Accent5 3 2 3 3 5" xfId="31265" xr:uid="{00000000-0005-0000-0000-00007C240000}"/>
    <cellStyle name="20% - Accent5 3 2 3 4" xfId="3232" xr:uid="{00000000-0005-0000-0000-00007D240000}"/>
    <cellStyle name="20% - Accent5 3 2 3 4 2" xfId="6336" xr:uid="{00000000-0005-0000-0000-00007E240000}"/>
    <cellStyle name="20% - Accent5 3 2 3 4 2 2" xfId="13608" xr:uid="{00000000-0005-0000-0000-00007F240000}"/>
    <cellStyle name="20% - Accent5 3 2 3 4 2 2 2" xfId="28142" xr:uid="{00000000-0005-0000-0000-000080240000}"/>
    <cellStyle name="20% - Accent5 3 2 3 4 2 2 2 2" xfId="57148" xr:uid="{00000000-0005-0000-0000-000081240000}"/>
    <cellStyle name="20% - Accent5 3 2 3 4 2 2 3" xfId="42649" xr:uid="{00000000-0005-0000-0000-000082240000}"/>
    <cellStyle name="20% - Accent5 3 2 3 4 2 3" xfId="20894" xr:uid="{00000000-0005-0000-0000-000083240000}"/>
    <cellStyle name="20% - Accent5 3 2 3 4 2 3 2" xfId="49900" xr:uid="{00000000-0005-0000-0000-000084240000}"/>
    <cellStyle name="20% - Accent5 3 2 3 4 2 4" xfId="35401" xr:uid="{00000000-0005-0000-0000-000085240000}"/>
    <cellStyle name="20% - Accent5 3 2 3 4 3" xfId="10504" xr:uid="{00000000-0005-0000-0000-000086240000}"/>
    <cellStyle name="20% - Accent5 3 2 3 4 3 2" xfId="25038" xr:uid="{00000000-0005-0000-0000-000087240000}"/>
    <cellStyle name="20% - Accent5 3 2 3 4 3 2 2" xfId="54044" xr:uid="{00000000-0005-0000-0000-000088240000}"/>
    <cellStyle name="20% - Accent5 3 2 3 4 3 3" xfId="39545" xr:uid="{00000000-0005-0000-0000-000089240000}"/>
    <cellStyle name="20% - Accent5 3 2 3 4 4" xfId="17790" xr:uid="{00000000-0005-0000-0000-00008A240000}"/>
    <cellStyle name="20% - Accent5 3 2 3 4 4 2" xfId="46796" xr:uid="{00000000-0005-0000-0000-00008B240000}"/>
    <cellStyle name="20% - Accent5 3 2 3 4 5" xfId="32297" xr:uid="{00000000-0005-0000-0000-00008C240000}"/>
    <cellStyle name="20% - Accent5 3 2 3 5" xfId="4264" xr:uid="{00000000-0005-0000-0000-00008D240000}"/>
    <cellStyle name="20% - Accent5 3 2 3 5 2" xfId="11536" xr:uid="{00000000-0005-0000-0000-00008E240000}"/>
    <cellStyle name="20% - Accent5 3 2 3 5 2 2" xfId="26070" xr:uid="{00000000-0005-0000-0000-00008F240000}"/>
    <cellStyle name="20% - Accent5 3 2 3 5 2 2 2" xfId="55076" xr:uid="{00000000-0005-0000-0000-000090240000}"/>
    <cellStyle name="20% - Accent5 3 2 3 5 2 3" xfId="40577" xr:uid="{00000000-0005-0000-0000-000091240000}"/>
    <cellStyle name="20% - Accent5 3 2 3 5 3" xfId="18822" xr:uid="{00000000-0005-0000-0000-000092240000}"/>
    <cellStyle name="20% - Accent5 3 2 3 5 3 2" xfId="47828" xr:uid="{00000000-0005-0000-0000-000093240000}"/>
    <cellStyle name="20% - Accent5 3 2 3 5 4" xfId="33329" xr:uid="{00000000-0005-0000-0000-000094240000}"/>
    <cellStyle name="20% - Accent5 3 2 3 6" xfId="7368" xr:uid="{00000000-0005-0000-0000-000095240000}"/>
    <cellStyle name="20% - Accent5 3 2 3 6 2" xfId="14640" xr:uid="{00000000-0005-0000-0000-000096240000}"/>
    <cellStyle name="20% - Accent5 3 2 3 6 2 2" xfId="29174" xr:uid="{00000000-0005-0000-0000-000097240000}"/>
    <cellStyle name="20% - Accent5 3 2 3 6 2 2 2" xfId="58180" xr:uid="{00000000-0005-0000-0000-000098240000}"/>
    <cellStyle name="20% - Accent5 3 2 3 6 2 3" xfId="43681" xr:uid="{00000000-0005-0000-0000-000099240000}"/>
    <cellStyle name="20% - Accent5 3 2 3 6 3" xfId="21926" xr:uid="{00000000-0005-0000-0000-00009A240000}"/>
    <cellStyle name="20% - Accent5 3 2 3 6 3 2" xfId="50932" xr:uid="{00000000-0005-0000-0000-00009B240000}"/>
    <cellStyle name="20% - Accent5 3 2 3 6 4" xfId="36433" xr:uid="{00000000-0005-0000-0000-00009C240000}"/>
    <cellStyle name="20% - Accent5 3 2 3 7" xfId="8432" xr:uid="{00000000-0005-0000-0000-00009D240000}"/>
    <cellStyle name="20% - Accent5 3 2 3 7 2" xfId="22966" xr:uid="{00000000-0005-0000-0000-00009E240000}"/>
    <cellStyle name="20% - Accent5 3 2 3 7 2 2" xfId="51972" xr:uid="{00000000-0005-0000-0000-00009F240000}"/>
    <cellStyle name="20% - Accent5 3 2 3 7 3" xfId="37473" xr:uid="{00000000-0005-0000-0000-0000A0240000}"/>
    <cellStyle name="20% - Accent5 3 2 3 8" xfId="15718" xr:uid="{00000000-0005-0000-0000-0000A1240000}"/>
    <cellStyle name="20% - Accent5 3 2 3 8 2" xfId="44724" xr:uid="{00000000-0005-0000-0000-0000A2240000}"/>
    <cellStyle name="20% - Accent5 3 2 3 9" xfId="30225" xr:uid="{00000000-0005-0000-0000-0000A3240000}"/>
    <cellStyle name="20% - Accent5 3 2 4" xfId="1063" xr:uid="{00000000-0005-0000-0000-0000A4240000}"/>
    <cellStyle name="20% - Accent5 3 2 4 2" xfId="1554" xr:uid="{00000000-0005-0000-0000-0000A5240000}"/>
    <cellStyle name="20% - Accent5 3 2 4 2 2" xfId="2612" xr:uid="{00000000-0005-0000-0000-0000A6240000}"/>
    <cellStyle name="20% - Accent5 3 2 4 2 2 2" xfId="5716" xr:uid="{00000000-0005-0000-0000-0000A7240000}"/>
    <cellStyle name="20% - Accent5 3 2 4 2 2 2 2" xfId="12988" xr:uid="{00000000-0005-0000-0000-0000A8240000}"/>
    <cellStyle name="20% - Accent5 3 2 4 2 2 2 2 2" xfId="27522" xr:uid="{00000000-0005-0000-0000-0000A9240000}"/>
    <cellStyle name="20% - Accent5 3 2 4 2 2 2 2 2 2" xfId="56528" xr:uid="{00000000-0005-0000-0000-0000AA240000}"/>
    <cellStyle name="20% - Accent5 3 2 4 2 2 2 2 3" xfId="42029" xr:uid="{00000000-0005-0000-0000-0000AB240000}"/>
    <cellStyle name="20% - Accent5 3 2 4 2 2 2 3" xfId="20274" xr:uid="{00000000-0005-0000-0000-0000AC240000}"/>
    <cellStyle name="20% - Accent5 3 2 4 2 2 2 3 2" xfId="49280" xr:uid="{00000000-0005-0000-0000-0000AD240000}"/>
    <cellStyle name="20% - Accent5 3 2 4 2 2 2 4" xfId="34781" xr:uid="{00000000-0005-0000-0000-0000AE240000}"/>
    <cellStyle name="20% - Accent5 3 2 4 2 2 3" xfId="9884" xr:uid="{00000000-0005-0000-0000-0000AF240000}"/>
    <cellStyle name="20% - Accent5 3 2 4 2 2 3 2" xfId="24418" xr:uid="{00000000-0005-0000-0000-0000B0240000}"/>
    <cellStyle name="20% - Accent5 3 2 4 2 2 3 2 2" xfId="53424" xr:uid="{00000000-0005-0000-0000-0000B1240000}"/>
    <cellStyle name="20% - Accent5 3 2 4 2 2 3 3" xfId="38925" xr:uid="{00000000-0005-0000-0000-0000B2240000}"/>
    <cellStyle name="20% - Accent5 3 2 4 2 2 4" xfId="17170" xr:uid="{00000000-0005-0000-0000-0000B3240000}"/>
    <cellStyle name="20% - Accent5 3 2 4 2 2 4 2" xfId="46176" xr:uid="{00000000-0005-0000-0000-0000B4240000}"/>
    <cellStyle name="20% - Accent5 3 2 4 2 2 5" xfId="31677" xr:uid="{00000000-0005-0000-0000-0000B5240000}"/>
    <cellStyle name="20% - Accent5 3 2 4 2 3" xfId="3644" xr:uid="{00000000-0005-0000-0000-0000B6240000}"/>
    <cellStyle name="20% - Accent5 3 2 4 2 3 2" xfId="6748" xr:uid="{00000000-0005-0000-0000-0000B7240000}"/>
    <cellStyle name="20% - Accent5 3 2 4 2 3 2 2" xfId="14020" xr:uid="{00000000-0005-0000-0000-0000B8240000}"/>
    <cellStyle name="20% - Accent5 3 2 4 2 3 2 2 2" xfId="28554" xr:uid="{00000000-0005-0000-0000-0000B9240000}"/>
    <cellStyle name="20% - Accent5 3 2 4 2 3 2 2 2 2" xfId="57560" xr:uid="{00000000-0005-0000-0000-0000BA240000}"/>
    <cellStyle name="20% - Accent5 3 2 4 2 3 2 2 3" xfId="43061" xr:uid="{00000000-0005-0000-0000-0000BB240000}"/>
    <cellStyle name="20% - Accent5 3 2 4 2 3 2 3" xfId="21306" xr:uid="{00000000-0005-0000-0000-0000BC240000}"/>
    <cellStyle name="20% - Accent5 3 2 4 2 3 2 3 2" xfId="50312" xr:uid="{00000000-0005-0000-0000-0000BD240000}"/>
    <cellStyle name="20% - Accent5 3 2 4 2 3 2 4" xfId="35813" xr:uid="{00000000-0005-0000-0000-0000BE240000}"/>
    <cellStyle name="20% - Accent5 3 2 4 2 3 3" xfId="10916" xr:uid="{00000000-0005-0000-0000-0000BF240000}"/>
    <cellStyle name="20% - Accent5 3 2 4 2 3 3 2" xfId="25450" xr:uid="{00000000-0005-0000-0000-0000C0240000}"/>
    <cellStyle name="20% - Accent5 3 2 4 2 3 3 2 2" xfId="54456" xr:uid="{00000000-0005-0000-0000-0000C1240000}"/>
    <cellStyle name="20% - Accent5 3 2 4 2 3 3 3" xfId="39957" xr:uid="{00000000-0005-0000-0000-0000C2240000}"/>
    <cellStyle name="20% - Accent5 3 2 4 2 3 4" xfId="18202" xr:uid="{00000000-0005-0000-0000-0000C3240000}"/>
    <cellStyle name="20% - Accent5 3 2 4 2 3 4 2" xfId="47208" xr:uid="{00000000-0005-0000-0000-0000C4240000}"/>
    <cellStyle name="20% - Accent5 3 2 4 2 3 5" xfId="32709" xr:uid="{00000000-0005-0000-0000-0000C5240000}"/>
    <cellStyle name="20% - Accent5 3 2 4 2 4" xfId="4676" xr:uid="{00000000-0005-0000-0000-0000C6240000}"/>
    <cellStyle name="20% - Accent5 3 2 4 2 4 2" xfId="11948" xr:uid="{00000000-0005-0000-0000-0000C7240000}"/>
    <cellStyle name="20% - Accent5 3 2 4 2 4 2 2" xfId="26482" xr:uid="{00000000-0005-0000-0000-0000C8240000}"/>
    <cellStyle name="20% - Accent5 3 2 4 2 4 2 2 2" xfId="55488" xr:uid="{00000000-0005-0000-0000-0000C9240000}"/>
    <cellStyle name="20% - Accent5 3 2 4 2 4 2 3" xfId="40989" xr:uid="{00000000-0005-0000-0000-0000CA240000}"/>
    <cellStyle name="20% - Accent5 3 2 4 2 4 3" xfId="19234" xr:uid="{00000000-0005-0000-0000-0000CB240000}"/>
    <cellStyle name="20% - Accent5 3 2 4 2 4 3 2" xfId="48240" xr:uid="{00000000-0005-0000-0000-0000CC240000}"/>
    <cellStyle name="20% - Accent5 3 2 4 2 4 4" xfId="33741" xr:uid="{00000000-0005-0000-0000-0000CD240000}"/>
    <cellStyle name="20% - Accent5 3 2 4 2 5" xfId="7780" xr:uid="{00000000-0005-0000-0000-0000CE240000}"/>
    <cellStyle name="20% - Accent5 3 2 4 2 5 2" xfId="15052" xr:uid="{00000000-0005-0000-0000-0000CF240000}"/>
    <cellStyle name="20% - Accent5 3 2 4 2 5 2 2" xfId="29586" xr:uid="{00000000-0005-0000-0000-0000D0240000}"/>
    <cellStyle name="20% - Accent5 3 2 4 2 5 2 2 2" xfId="58592" xr:uid="{00000000-0005-0000-0000-0000D1240000}"/>
    <cellStyle name="20% - Accent5 3 2 4 2 5 2 3" xfId="44093" xr:uid="{00000000-0005-0000-0000-0000D2240000}"/>
    <cellStyle name="20% - Accent5 3 2 4 2 5 3" xfId="22338" xr:uid="{00000000-0005-0000-0000-0000D3240000}"/>
    <cellStyle name="20% - Accent5 3 2 4 2 5 3 2" xfId="51344" xr:uid="{00000000-0005-0000-0000-0000D4240000}"/>
    <cellStyle name="20% - Accent5 3 2 4 2 5 4" xfId="36845" xr:uid="{00000000-0005-0000-0000-0000D5240000}"/>
    <cellStyle name="20% - Accent5 3 2 4 2 6" xfId="8844" xr:uid="{00000000-0005-0000-0000-0000D6240000}"/>
    <cellStyle name="20% - Accent5 3 2 4 2 6 2" xfId="23378" xr:uid="{00000000-0005-0000-0000-0000D7240000}"/>
    <cellStyle name="20% - Accent5 3 2 4 2 6 2 2" xfId="52384" xr:uid="{00000000-0005-0000-0000-0000D8240000}"/>
    <cellStyle name="20% - Accent5 3 2 4 2 6 3" xfId="37885" xr:uid="{00000000-0005-0000-0000-0000D9240000}"/>
    <cellStyle name="20% - Accent5 3 2 4 2 7" xfId="16130" xr:uid="{00000000-0005-0000-0000-0000DA240000}"/>
    <cellStyle name="20% - Accent5 3 2 4 2 7 2" xfId="45136" xr:uid="{00000000-0005-0000-0000-0000DB240000}"/>
    <cellStyle name="20% - Accent5 3 2 4 2 8" xfId="30637" xr:uid="{00000000-0005-0000-0000-0000DC240000}"/>
    <cellStyle name="20% - Accent5 3 2 4 3" xfId="2100" xr:uid="{00000000-0005-0000-0000-0000DD240000}"/>
    <cellStyle name="20% - Accent5 3 2 4 3 2" xfId="5204" xr:uid="{00000000-0005-0000-0000-0000DE240000}"/>
    <cellStyle name="20% - Accent5 3 2 4 3 2 2" xfId="12476" xr:uid="{00000000-0005-0000-0000-0000DF240000}"/>
    <cellStyle name="20% - Accent5 3 2 4 3 2 2 2" xfId="27010" xr:uid="{00000000-0005-0000-0000-0000E0240000}"/>
    <cellStyle name="20% - Accent5 3 2 4 3 2 2 2 2" xfId="56016" xr:uid="{00000000-0005-0000-0000-0000E1240000}"/>
    <cellStyle name="20% - Accent5 3 2 4 3 2 2 3" xfId="41517" xr:uid="{00000000-0005-0000-0000-0000E2240000}"/>
    <cellStyle name="20% - Accent5 3 2 4 3 2 3" xfId="19762" xr:uid="{00000000-0005-0000-0000-0000E3240000}"/>
    <cellStyle name="20% - Accent5 3 2 4 3 2 3 2" xfId="48768" xr:uid="{00000000-0005-0000-0000-0000E4240000}"/>
    <cellStyle name="20% - Accent5 3 2 4 3 2 4" xfId="34269" xr:uid="{00000000-0005-0000-0000-0000E5240000}"/>
    <cellStyle name="20% - Accent5 3 2 4 3 3" xfId="9372" xr:uid="{00000000-0005-0000-0000-0000E6240000}"/>
    <cellStyle name="20% - Accent5 3 2 4 3 3 2" xfId="23906" xr:uid="{00000000-0005-0000-0000-0000E7240000}"/>
    <cellStyle name="20% - Accent5 3 2 4 3 3 2 2" xfId="52912" xr:uid="{00000000-0005-0000-0000-0000E8240000}"/>
    <cellStyle name="20% - Accent5 3 2 4 3 3 3" xfId="38413" xr:uid="{00000000-0005-0000-0000-0000E9240000}"/>
    <cellStyle name="20% - Accent5 3 2 4 3 4" xfId="16658" xr:uid="{00000000-0005-0000-0000-0000EA240000}"/>
    <cellStyle name="20% - Accent5 3 2 4 3 4 2" xfId="45664" xr:uid="{00000000-0005-0000-0000-0000EB240000}"/>
    <cellStyle name="20% - Accent5 3 2 4 3 5" xfId="31165" xr:uid="{00000000-0005-0000-0000-0000EC240000}"/>
    <cellStyle name="20% - Accent5 3 2 4 4" xfId="3132" xr:uid="{00000000-0005-0000-0000-0000ED240000}"/>
    <cellStyle name="20% - Accent5 3 2 4 4 2" xfId="6236" xr:uid="{00000000-0005-0000-0000-0000EE240000}"/>
    <cellStyle name="20% - Accent5 3 2 4 4 2 2" xfId="13508" xr:uid="{00000000-0005-0000-0000-0000EF240000}"/>
    <cellStyle name="20% - Accent5 3 2 4 4 2 2 2" xfId="28042" xr:uid="{00000000-0005-0000-0000-0000F0240000}"/>
    <cellStyle name="20% - Accent5 3 2 4 4 2 2 2 2" xfId="57048" xr:uid="{00000000-0005-0000-0000-0000F1240000}"/>
    <cellStyle name="20% - Accent5 3 2 4 4 2 2 3" xfId="42549" xr:uid="{00000000-0005-0000-0000-0000F2240000}"/>
    <cellStyle name="20% - Accent5 3 2 4 4 2 3" xfId="20794" xr:uid="{00000000-0005-0000-0000-0000F3240000}"/>
    <cellStyle name="20% - Accent5 3 2 4 4 2 3 2" xfId="49800" xr:uid="{00000000-0005-0000-0000-0000F4240000}"/>
    <cellStyle name="20% - Accent5 3 2 4 4 2 4" xfId="35301" xr:uid="{00000000-0005-0000-0000-0000F5240000}"/>
    <cellStyle name="20% - Accent5 3 2 4 4 3" xfId="10404" xr:uid="{00000000-0005-0000-0000-0000F6240000}"/>
    <cellStyle name="20% - Accent5 3 2 4 4 3 2" xfId="24938" xr:uid="{00000000-0005-0000-0000-0000F7240000}"/>
    <cellStyle name="20% - Accent5 3 2 4 4 3 2 2" xfId="53944" xr:uid="{00000000-0005-0000-0000-0000F8240000}"/>
    <cellStyle name="20% - Accent5 3 2 4 4 3 3" xfId="39445" xr:uid="{00000000-0005-0000-0000-0000F9240000}"/>
    <cellStyle name="20% - Accent5 3 2 4 4 4" xfId="17690" xr:uid="{00000000-0005-0000-0000-0000FA240000}"/>
    <cellStyle name="20% - Accent5 3 2 4 4 4 2" xfId="46696" xr:uid="{00000000-0005-0000-0000-0000FB240000}"/>
    <cellStyle name="20% - Accent5 3 2 4 4 5" xfId="32197" xr:uid="{00000000-0005-0000-0000-0000FC240000}"/>
    <cellStyle name="20% - Accent5 3 2 4 5" xfId="4164" xr:uid="{00000000-0005-0000-0000-0000FD240000}"/>
    <cellStyle name="20% - Accent5 3 2 4 5 2" xfId="11436" xr:uid="{00000000-0005-0000-0000-0000FE240000}"/>
    <cellStyle name="20% - Accent5 3 2 4 5 2 2" xfId="25970" xr:uid="{00000000-0005-0000-0000-0000FF240000}"/>
    <cellStyle name="20% - Accent5 3 2 4 5 2 2 2" xfId="54976" xr:uid="{00000000-0005-0000-0000-000000250000}"/>
    <cellStyle name="20% - Accent5 3 2 4 5 2 3" xfId="40477" xr:uid="{00000000-0005-0000-0000-000001250000}"/>
    <cellStyle name="20% - Accent5 3 2 4 5 3" xfId="18722" xr:uid="{00000000-0005-0000-0000-000002250000}"/>
    <cellStyle name="20% - Accent5 3 2 4 5 3 2" xfId="47728" xr:uid="{00000000-0005-0000-0000-000003250000}"/>
    <cellStyle name="20% - Accent5 3 2 4 5 4" xfId="33229" xr:uid="{00000000-0005-0000-0000-000004250000}"/>
    <cellStyle name="20% - Accent5 3 2 4 6" xfId="7268" xr:uid="{00000000-0005-0000-0000-000005250000}"/>
    <cellStyle name="20% - Accent5 3 2 4 6 2" xfId="14540" xr:uid="{00000000-0005-0000-0000-000006250000}"/>
    <cellStyle name="20% - Accent5 3 2 4 6 2 2" xfId="29074" xr:uid="{00000000-0005-0000-0000-000007250000}"/>
    <cellStyle name="20% - Accent5 3 2 4 6 2 2 2" xfId="58080" xr:uid="{00000000-0005-0000-0000-000008250000}"/>
    <cellStyle name="20% - Accent5 3 2 4 6 2 3" xfId="43581" xr:uid="{00000000-0005-0000-0000-000009250000}"/>
    <cellStyle name="20% - Accent5 3 2 4 6 3" xfId="21826" xr:uid="{00000000-0005-0000-0000-00000A250000}"/>
    <cellStyle name="20% - Accent5 3 2 4 6 3 2" xfId="50832" xr:uid="{00000000-0005-0000-0000-00000B250000}"/>
    <cellStyle name="20% - Accent5 3 2 4 6 4" xfId="36333" xr:uid="{00000000-0005-0000-0000-00000C250000}"/>
    <cellStyle name="20% - Accent5 3 2 4 7" xfId="8332" xr:uid="{00000000-0005-0000-0000-00000D250000}"/>
    <cellStyle name="20% - Accent5 3 2 4 7 2" xfId="22866" xr:uid="{00000000-0005-0000-0000-00000E250000}"/>
    <cellStyle name="20% - Accent5 3 2 4 7 2 2" xfId="51872" xr:uid="{00000000-0005-0000-0000-00000F250000}"/>
    <cellStyle name="20% - Accent5 3 2 4 7 3" xfId="37373" xr:uid="{00000000-0005-0000-0000-000010250000}"/>
    <cellStyle name="20% - Accent5 3 2 4 8" xfId="15618" xr:uid="{00000000-0005-0000-0000-000011250000}"/>
    <cellStyle name="20% - Accent5 3 2 4 8 2" xfId="44624" xr:uid="{00000000-0005-0000-0000-000012250000}"/>
    <cellStyle name="20% - Accent5 3 2 4 9" xfId="30125" xr:uid="{00000000-0005-0000-0000-000013250000}"/>
    <cellStyle name="20% - Accent5 3 2 5" xfId="1349" xr:uid="{00000000-0005-0000-0000-000014250000}"/>
    <cellStyle name="20% - Accent5 3 2 5 2" xfId="2406" xr:uid="{00000000-0005-0000-0000-000015250000}"/>
    <cellStyle name="20% - Accent5 3 2 5 2 2" xfId="5510" xr:uid="{00000000-0005-0000-0000-000016250000}"/>
    <cellStyle name="20% - Accent5 3 2 5 2 2 2" xfId="12782" xr:uid="{00000000-0005-0000-0000-000017250000}"/>
    <cellStyle name="20% - Accent5 3 2 5 2 2 2 2" xfId="27316" xr:uid="{00000000-0005-0000-0000-000018250000}"/>
    <cellStyle name="20% - Accent5 3 2 5 2 2 2 2 2" xfId="56322" xr:uid="{00000000-0005-0000-0000-000019250000}"/>
    <cellStyle name="20% - Accent5 3 2 5 2 2 2 3" xfId="41823" xr:uid="{00000000-0005-0000-0000-00001A250000}"/>
    <cellStyle name="20% - Accent5 3 2 5 2 2 3" xfId="20068" xr:uid="{00000000-0005-0000-0000-00001B250000}"/>
    <cellStyle name="20% - Accent5 3 2 5 2 2 3 2" xfId="49074" xr:uid="{00000000-0005-0000-0000-00001C250000}"/>
    <cellStyle name="20% - Accent5 3 2 5 2 2 4" xfId="34575" xr:uid="{00000000-0005-0000-0000-00001D250000}"/>
    <cellStyle name="20% - Accent5 3 2 5 2 3" xfId="9678" xr:uid="{00000000-0005-0000-0000-00001E250000}"/>
    <cellStyle name="20% - Accent5 3 2 5 2 3 2" xfId="24212" xr:uid="{00000000-0005-0000-0000-00001F250000}"/>
    <cellStyle name="20% - Accent5 3 2 5 2 3 2 2" xfId="53218" xr:uid="{00000000-0005-0000-0000-000020250000}"/>
    <cellStyle name="20% - Accent5 3 2 5 2 3 3" xfId="38719" xr:uid="{00000000-0005-0000-0000-000021250000}"/>
    <cellStyle name="20% - Accent5 3 2 5 2 4" xfId="16964" xr:uid="{00000000-0005-0000-0000-000022250000}"/>
    <cellStyle name="20% - Accent5 3 2 5 2 4 2" xfId="45970" xr:uid="{00000000-0005-0000-0000-000023250000}"/>
    <cellStyle name="20% - Accent5 3 2 5 2 5" xfId="31471" xr:uid="{00000000-0005-0000-0000-000024250000}"/>
    <cellStyle name="20% - Accent5 3 2 5 3" xfId="3438" xr:uid="{00000000-0005-0000-0000-000025250000}"/>
    <cellStyle name="20% - Accent5 3 2 5 3 2" xfId="6542" xr:uid="{00000000-0005-0000-0000-000026250000}"/>
    <cellStyle name="20% - Accent5 3 2 5 3 2 2" xfId="13814" xr:uid="{00000000-0005-0000-0000-000027250000}"/>
    <cellStyle name="20% - Accent5 3 2 5 3 2 2 2" xfId="28348" xr:uid="{00000000-0005-0000-0000-000028250000}"/>
    <cellStyle name="20% - Accent5 3 2 5 3 2 2 2 2" xfId="57354" xr:uid="{00000000-0005-0000-0000-000029250000}"/>
    <cellStyle name="20% - Accent5 3 2 5 3 2 2 3" xfId="42855" xr:uid="{00000000-0005-0000-0000-00002A250000}"/>
    <cellStyle name="20% - Accent5 3 2 5 3 2 3" xfId="21100" xr:uid="{00000000-0005-0000-0000-00002B250000}"/>
    <cellStyle name="20% - Accent5 3 2 5 3 2 3 2" xfId="50106" xr:uid="{00000000-0005-0000-0000-00002C250000}"/>
    <cellStyle name="20% - Accent5 3 2 5 3 2 4" xfId="35607" xr:uid="{00000000-0005-0000-0000-00002D250000}"/>
    <cellStyle name="20% - Accent5 3 2 5 3 3" xfId="10710" xr:uid="{00000000-0005-0000-0000-00002E250000}"/>
    <cellStyle name="20% - Accent5 3 2 5 3 3 2" xfId="25244" xr:uid="{00000000-0005-0000-0000-00002F250000}"/>
    <cellStyle name="20% - Accent5 3 2 5 3 3 2 2" xfId="54250" xr:uid="{00000000-0005-0000-0000-000030250000}"/>
    <cellStyle name="20% - Accent5 3 2 5 3 3 3" xfId="39751" xr:uid="{00000000-0005-0000-0000-000031250000}"/>
    <cellStyle name="20% - Accent5 3 2 5 3 4" xfId="17996" xr:uid="{00000000-0005-0000-0000-000032250000}"/>
    <cellStyle name="20% - Accent5 3 2 5 3 4 2" xfId="47002" xr:uid="{00000000-0005-0000-0000-000033250000}"/>
    <cellStyle name="20% - Accent5 3 2 5 3 5" xfId="32503" xr:uid="{00000000-0005-0000-0000-000034250000}"/>
    <cellStyle name="20% - Accent5 3 2 5 4" xfId="4470" xr:uid="{00000000-0005-0000-0000-000035250000}"/>
    <cellStyle name="20% - Accent5 3 2 5 4 2" xfId="11742" xr:uid="{00000000-0005-0000-0000-000036250000}"/>
    <cellStyle name="20% - Accent5 3 2 5 4 2 2" xfId="26276" xr:uid="{00000000-0005-0000-0000-000037250000}"/>
    <cellStyle name="20% - Accent5 3 2 5 4 2 2 2" xfId="55282" xr:uid="{00000000-0005-0000-0000-000038250000}"/>
    <cellStyle name="20% - Accent5 3 2 5 4 2 3" xfId="40783" xr:uid="{00000000-0005-0000-0000-000039250000}"/>
    <cellStyle name="20% - Accent5 3 2 5 4 3" xfId="19028" xr:uid="{00000000-0005-0000-0000-00003A250000}"/>
    <cellStyle name="20% - Accent5 3 2 5 4 3 2" xfId="48034" xr:uid="{00000000-0005-0000-0000-00003B250000}"/>
    <cellStyle name="20% - Accent5 3 2 5 4 4" xfId="33535" xr:uid="{00000000-0005-0000-0000-00003C250000}"/>
    <cellStyle name="20% - Accent5 3 2 5 5" xfId="7574" xr:uid="{00000000-0005-0000-0000-00003D250000}"/>
    <cellStyle name="20% - Accent5 3 2 5 5 2" xfId="14846" xr:uid="{00000000-0005-0000-0000-00003E250000}"/>
    <cellStyle name="20% - Accent5 3 2 5 5 2 2" xfId="29380" xr:uid="{00000000-0005-0000-0000-00003F250000}"/>
    <cellStyle name="20% - Accent5 3 2 5 5 2 2 2" xfId="58386" xr:uid="{00000000-0005-0000-0000-000040250000}"/>
    <cellStyle name="20% - Accent5 3 2 5 5 2 3" xfId="43887" xr:uid="{00000000-0005-0000-0000-000041250000}"/>
    <cellStyle name="20% - Accent5 3 2 5 5 3" xfId="22132" xr:uid="{00000000-0005-0000-0000-000042250000}"/>
    <cellStyle name="20% - Accent5 3 2 5 5 3 2" xfId="51138" xr:uid="{00000000-0005-0000-0000-000043250000}"/>
    <cellStyle name="20% - Accent5 3 2 5 5 4" xfId="36639" xr:uid="{00000000-0005-0000-0000-000044250000}"/>
    <cellStyle name="20% - Accent5 3 2 5 6" xfId="8638" xr:uid="{00000000-0005-0000-0000-000045250000}"/>
    <cellStyle name="20% - Accent5 3 2 5 6 2" xfId="23172" xr:uid="{00000000-0005-0000-0000-000046250000}"/>
    <cellStyle name="20% - Accent5 3 2 5 6 2 2" xfId="52178" xr:uid="{00000000-0005-0000-0000-000047250000}"/>
    <cellStyle name="20% - Accent5 3 2 5 6 3" xfId="37679" xr:uid="{00000000-0005-0000-0000-000048250000}"/>
    <cellStyle name="20% - Accent5 3 2 5 7" xfId="15924" xr:uid="{00000000-0005-0000-0000-000049250000}"/>
    <cellStyle name="20% - Accent5 3 2 5 7 2" xfId="44930" xr:uid="{00000000-0005-0000-0000-00004A250000}"/>
    <cellStyle name="20% - Accent5 3 2 5 8" xfId="30431" xr:uid="{00000000-0005-0000-0000-00004B250000}"/>
    <cellStyle name="20% - Accent5 3 2 6" xfId="1894" xr:uid="{00000000-0005-0000-0000-00004C250000}"/>
    <cellStyle name="20% - Accent5 3 2 6 2" xfId="4998" xr:uid="{00000000-0005-0000-0000-00004D250000}"/>
    <cellStyle name="20% - Accent5 3 2 6 2 2" xfId="12270" xr:uid="{00000000-0005-0000-0000-00004E250000}"/>
    <cellStyle name="20% - Accent5 3 2 6 2 2 2" xfId="26804" xr:uid="{00000000-0005-0000-0000-00004F250000}"/>
    <cellStyle name="20% - Accent5 3 2 6 2 2 2 2" xfId="55810" xr:uid="{00000000-0005-0000-0000-000050250000}"/>
    <cellStyle name="20% - Accent5 3 2 6 2 2 3" xfId="41311" xr:uid="{00000000-0005-0000-0000-000051250000}"/>
    <cellStyle name="20% - Accent5 3 2 6 2 3" xfId="19556" xr:uid="{00000000-0005-0000-0000-000052250000}"/>
    <cellStyle name="20% - Accent5 3 2 6 2 3 2" xfId="48562" xr:uid="{00000000-0005-0000-0000-000053250000}"/>
    <cellStyle name="20% - Accent5 3 2 6 2 4" xfId="34063" xr:uid="{00000000-0005-0000-0000-000054250000}"/>
    <cellStyle name="20% - Accent5 3 2 6 3" xfId="9166" xr:uid="{00000000-0005-0000-0000-000055250000}"/>
    <cellStyle name="20% - Accent5 3 2 6 3 2" xfId="23700" xr:uid="{00000000-0005-0000-0000-000056250000}"/>
    <cellStyle name="20% - Accent5 3 2 6 3 2 2" xfId="52706" xr:uid="{00000000-0005-0000-0000-000057250000}"/>
    <cellStyle name="20% - Accent5 3 2 6 3 3" xfId="38207" xr:uid="{00000000-0005-0000-0000-000058250000}"/>
    <cellStyle name="20% - Accent5 3 2 6 4" xfId="16452" xr:uid="{00000000-0005-0000-0000-000059250000}"/>
    <cellStyle name="20% - Accent5 3 2 6 4 2" xfId="45458" xr:uid="{00000000-0005-0000-0000-00005A250000}"/>
    <cellStyle name="20% - Accent5 3 2 6 5" xfId="30959" xr:uid="{00000000-0005-0000-0000-00005B250000}"/>
    <cellStyle name="20% - Accent5 3 2 7" xfId="2926" xr:uid="{00000000-0005-0000-0000-00005C250000}"/>
    <cellStyle name="20% - Accent5 3 2 7 2" xfId="6030" xr:uid="{00000000-0005-0000-0000-00005D250000}"/>
    <cellStyle name="20% - Accent5 3 2 7 2 2" xfId="13302" xr:uid="{00000000-0005-0000-0000-00005E250000}"/>
    <cellStyle name="20% - Accent5 3 2 7 2 2 2" xfId="27836" xr:uid="{00000000-0005-0000-0000-00005F250000}"/>
    <cellStyle name="20% - Accent5 3 2 7 2 2 2 2" xfId="56842" xr:uid="{00000000-0005-0000-0000-000060250000}"/>
    <cellStyle name="20% - Accent5 3 2 7 2 2 3" xfId="42343" xr:uid="{00000000-0005-0000-0000-000061250000}"/>
    <cellStyle name="20% - Accent5 3 2 7 2 3" xfId="20588" xr:uid="{00000000-0005-0000-0000-000062250000}"/>
    <cellStyle name="20% - Accent5 3 2 7 2 3 2" xfId="49594" xr:uid="{00000000-0005-0000-0000-000063250000}"/>
    <cellStyle name="20% - Accent5 3 2 7 2 4" xfId="35095" xr:uid="{00000000-0005-0000-0000-000064250000}"/>
    <cellStyle name="20% - Accent5 3 2 7 3" xfId="10198" xr:uid="{00000000-0005-0000-0000-000065250000}"/>
    <cellStyle name="20% - Accent5 3 2 7 3 2" xfId="24732" xr:uid="{00000000-0005-0000-0000-000066250000}"/>
    <cellStyle name="20% - Accent5 3 2 7 3 2 2" xfId="53738" xr:uid="{00000000-0005-0000-0000-000067250000}"/>
    <cellStyle name="20% - Accent5 3 2 7 3 3" xfId="39239" xr:uid="{00000000-0005-0000-0000-000068250000}"/>
    <cellStyle name="20% - Accent5 3 2 7 4" xfId="17484" xr:uid="{00000000-0005-0000-0000-000069250000}"/>
    <cellStyle name="20% - Accent5 3 2 7 4 2" xfId="46490" xr:uid="{00000000-0005-0000-0000-00006A250000}"/>
    <cellStyle name="20% - Accent5 3 2 7 5" xfId="31991" xr:uid="{00000000-0005-0000-0000-00006B250000}"/>
    <cellStyle name="20% - Accent5 3 2 8" xfId="3958" xr:uid="{00000000-0005-0000-0000-00006C250000}"/>
    <cellStyle name="20% - Accent5 3 2 8 2" xfId="11230" xr:uid="{00000000-0005-0000-0000-00006D250000}"/>
    <cellStyle name="20% - Accent5 3 2 8 2 2" xfId="25764" xr:uid="{00000000-0005-0000-0000-00006E250000}"/>
    <cellStyle name="20% - Accent5 3 2 8 2 2 2" xfId="54770" xr:uid="{00000000-0005-0000-0000-00006F250000}"/>
    <cellStyle name="20% - Accent5 3 2 8 2 3" xfId="40271" xr:uid="{00000000-0005-0000-0000-000070250000}"/>
    <cellStyle name="20% - Accent5 3 2 8 3" xfId="18516" xr:uid="{00000000-0005-0000-0000-000071250000}"/>
    <cellStyle name="20% - Accent5 3 2 8 3 2" xfId="47522" xr:uid="{00000000-0005-0000-0000-000072250000}"/>
    <cellStyle name="20% - Accent5 3 2 8 4" xfId="33023" xr:uid="{00000000-0005-0000-0000-000073250000}"/>
    <cellStyle name="20% - Accent5 3 2 9" xfId="7062" xr:uid="{00000000-0005-0000-0000-000074250000}"/>
    <cellStyle name="20% - Accent5 3 2 9 2" xfId="14334" xr:uid="{00000000-0005-0000-0000-000075250000}"/>
    <cellStyle name="20% - Accent5 3 2 9 2 2" xfId="28868" xr:uid="{00000000-0005-0000-0000-000076250000}"/>
    <cellStyle name="20% - Accent5 3 2 9 2 2 2" xfId="57874" xr:uid="{00000000-0005-0000-0000-000077250000}"/>
    <cellStyle name="20% - Accent5 3 2 9 2 3" xfId="43375" xr:uid="{00000000-0005-0000-0000-000078250000}"/>
    <cellStyle name="20% - Accent5 3 2 9 3" xfId="21620" xr:uid="{00000000-0005-0000-0000-000079250000}"/>
    <cellStyle name="20% - Accent5 3 2 9 3 2" xfId="50626" xr:uid="{00000000-0005-0000-0000-00007A250000}"/>
    <cellStyle name="20% - Accent5 3 2 9 4" xfId="36127" xr:uid="{00000000-0005-0000-0000-00007B250000}"/>
    <cellStyle name="20% - Accent5 3 3" xfId="929" xr:uid="{00000000-0005-0000-0000-00007C250000}"/>
    <cellStyle name="20% - Accent5 3 3 10" xfId="29970" xr:uid="{00000000-0005-0000-0000-00007D250000}"/>
    <cellStyle name="20% - Accent5 3 3 2" xfId="1201" xr:uid="{00000000-0005-0000-0000-00007E250000}"/>
    <cellStyle name="20% - Accent5 3 3 2 2" xfId="1704" xr:uid="{00000000-0005-0000-0000-00007F250000}"/>
    <cellStyle name="20% - Accent5 3 3 2 2 2" xfId="2763" xr:uid="{00000000-0005-0000-0000-000080250000}"/>
    <cellStyle name="20% - Accent5 3 3 2 2 2 2" xfId="5867" xr:uid="{00000000-0005-0000-0000-000081250000}"/>
    <cellStyle name="20% - Accent5 3 3 2 2 2 2 2" xfId="13139" xr:uid="{00000000-0005-0000-0000-000082250000}"/>
    <cellStyle name="20% - Accent5 3 3 2 2 2 2 2 2" xfId="27673" xr:uid="{00000000-0005-0000-0000-000083250000}"/>
    <cellStyle name="20% - Accent5 3 3 2 2 2 2 2 2 2" xfId="56679" xr:uid="{00000000-0005-0000-0000-000084250000}"/>
    <cellStyle name="20% - Accent5 3 3 2 2 2 2 2 3" xfId="42180" xr:uid="{00000000-0005-0000-0000-000085250000}"/>
    <cellStyle name="20% - Accent5 3 3 2 2 2 2 3" xfId="20425" xr:uid="{00000000-0005-0000-0000-000086250000}"/>
    <cellStyle name="20% - Accent5 3 3 2 2 2 2 3 2" xfId="49431" xr:uid="{00000000-0005-0000-0000-000087250000}"/>
    <cellStyle name="20% - Accent5 3 3 2 2 2 2 4" xfId="34932" xr:uid="{00000000-0005-0000-0000-000088250000}"/>
    <cellStyle name="20% - Accent5 3 3 2 2 2 3" xfId="10035" xr:uid="{00000000-0005-0000-0000-000089250000}"/>
    <cellStyle name="20% - Accent5 3 3 2 2 2 3 2" xfId="24569" xr:uid="{00000000-0005-0000-0000-00008A250000}"/>
    <cellStyle name="20% - Accent5 3 3 2 2 2 3 2 2" xfId="53575" xr:uid="{00000000-0005-0000-0000-00008B250000}"/>
    <cellStyle name="20% - Accent5 3 3 2 2 2 3 3" xfId="39076" xr:uid="{00000000-0005-0000-0000-00008C250000}"/>
    <cellStyle name="20% - Accent5 3 3 2 2 2 4" xfId="17321" xr:uid="{00000000-0005-0000-0000-00008D250000}"/>
    <cellStyle name="20% - Accent5 3 3 2 2 2 4 2" xfId="46327" xr:uid="{00000000-0005-0000-0000-00008E250000}"/>
    <cellStyle name="20% - Accent5 3 3 2 2 2 5" xfId="31828" xr:uid="{00000000-0005-0000-0000-00008F250000}"/>
    <cellStyle name="20% - Accent5 3 3 2 2 3" xfId="3795" xr:uid="{00000000-0005-0000-0000-000090250000}"/>
    <cellStyle name="20% - Accent5 3 3 2 2 3 2" xfId="6899" xr:uid="{00000000-0005-0000-0000-000091250000}"/>
    <cellStyle name="20% - Accent5 3 3 2 2 3 2 2" xfId="14171" xr:uid="{00000000-0005-0000-0000-000092250000}"/>
    <cellStyle name="20% - Accent5 3 3 2 2 3 2 2 2" xfId="28705" xr:uid="{00000000-0005-0000-0000-000093250000}"/>
    <cellStyle name="20% - Accent5 3 3 2 2 3 2 2 2 2" xfId="57711" xr:uid="{00000000-0005-0000-0000-000094250000}"/>
    <cellStyle name="20% - Accent5 3 3 2 2 3 2 2 3" xfId="43212" xr:uid="{00000000-0005-0000-0000-000095250000}"/>
    <cellStyle name="20% - Accent5 3 3 2 2 3 2 3" xfId="21457" xr:uid="{00000000-0005-0000-0000-000096250000}"/>
    <cellStyle name="20% - Accent5 3 3 2 2 3 2 3 2" xfId="50463" xr:uid="{00000000-0005-0000-0000-000097250000}"/>
    <cellStyle name="20% - Accent5 3 3 2 2 3 2 4" xfId="35964" xr:uid="{00000000-0005-0000-0000-000098250000}"/>
    <cellStyle name="20% - Accent5 3 3 2 2 3 3" xfId="11067" xr:uid="{00000000-0005-0000-0000-000099250000}"/>
    <cellStyle name="20% - Accent5 3 3 2 2 3 3 2" xfId="25601" xr:uid="{00000000-0005-0000-0000-00009A250000}"/>
    <cellStyle name="20% - Accent5 3 3 2 2 3 3 2 2" xfId="54607" xr:uid="{00000000-0005-0000-0000-00009B250000}"/>
    <cellStyle name="20% - Accent5 3 3 2 2 3 3 3" xfId="40108" xr:uid="{00000000-0005-0000-0000-00009C250000}"/>
    <cellStyle name="20% - Accent5 3 3 2 2 3 4" xfId="18353" xr:uid="{00000000-0005-0000-0000-00009D250000}"/>
    <cellStyle name="20% - Accent5 3 3 2 2 3 4 2" xfId="47359" xr:uid="{00000000-0005-0000-0000-00009E250000}"/>
    <cellStyle name="20% - Accent5 3 3 2 2 3 5" xfId="32860" xr:uid="{00000000-0005-0000-0000-00009F250000}"/>
    <cellStyle name="20% - Accent5 3 3 2 2 4" xfId="4827" xr:uid="{00000000-0005-0000-0000-0000A0250000}"/>
    <cellStyle name="20% - Accent5 3 3 2 2 4 2" xfId="12099" xr:uid="{00000000-0005-0000-0000-0000A1250000}"/>
    <cellStyle name="20% - Accent5 3 3 2 2 4 2 2" xfId="26633" xr:uid="{00000000-0005-0000-0000-0000A2250000}"/>
    <cellStyle name="20% - Accent5 3 3 2 2 4 2 2 2" xfId="55639" xr:uid="{00000000-0005-0000-0000-0000A3250000}"/>
    <cellStyle name="20% - Accent5 3 3 2 2 4 2 3" xfId="41140" xr:uid="{00000000-0005-0000-0000-0000A4250000}"/>
    <cellStyle name="20% - Accent5 3 3 2 2 4 3" xfId="19385" xr:uid="{00000000-0005-0000-0000-0000A5250000}"/>
    <cellStyle name="20% - Accent5 3 3 2 2 4 3 2" xfId="48391" xr:uid="{00000000-0005-0000-0000-0000A6250000}"/>
    <cellStyle name="20% - Accent5 3 3 2 2 4 4" xfId="33892" xr:uid="{00000000-0005-0000-0000-0000A7250000}"/>
    <cellStyle name="20% - Accent5 3 3 2 2 5" xfId="7931" xr:uid="{00000000-0005-0000-0000-0000A8250000}"/>
    <cellStyle name="20% - Accent5 3 3 2 2 5 2" xfId="15203" xr:uid="{00000000-0005-0000-0000-0000A9250000}"/>
    <cellStyle name="20% - Accent5 3 3 2 2 5 2 2" xfId="29737" xr:uid="{00000000-0005-0000-0000-0000AA250000}"/>
    <cellStyle name="20% - Accent5 3 3 2 2 5 2 2 2" xfId="58743" xr:uid="{00000000-0005-0000-0000-0000AB250000}"/>
    <cellStyle name="20% - Accent5 3 3 2 2 5 2 3" xfId="44244" xr:uid="{00000000-0005-0000-0000-0000AC250000}"/>
    <cellStyle name="20% - Accent5 3 3 2 2 5 3" xfId="22489" xr:uid="{00000000-0005-0000-0000-0000AD250000}"/>
    <cellStyle name="20% - Accent5 3 3 2 2 5 3 2" xfId="51495" xr:uid="{00000000-0005-0000-0000-0000AE250000}"/>
    <cellStyle name="20% - Accent5 3 3 2 2 5 4" xfId="36996" xr:uid="{00000000-0005-0000-0000-0000AF250000}"/>
    <cellStyle name="20% - Accent5 3 3 2 2 6" xfId="8995" xr:uid="{00000000-0005-0000-0000-0000B0250000}"/>
    <cellStyle name="20% - Accent5 3 3 2 2 6 2" xfId="23529" xr:uid="{00000000-0005-0000-0000-0000B1250000}"/>
    <cellStyle name="20% - Accent5 3 3 2 2 6 2 2" xfId="52535" xr:uid="{00000000-0005-0000-0000-0000B2250000}"/>
    <cellStyle name="20% - Accent5 3 3 2 2 6 3" xfId="38036" xr:uid="{00000000-0005-0000-0000-0000B3250000}"/>
    <cellStyle name="20% - Accent5 3 3 2 2 7" xfId="16281" xr:uid="{00000000-0005-0000-0000-0000B4250000}"/>
    <cellStyle name="20% - Accent5 3 3 2 2 7 2" xfId="45287" xr:uid="{00000000-0005-0000-0000-0000B5250000}"/>
    <cellStyle name="20% - Accent5 3 3 2 2 8" xfId="30788" xr:uid="{00000000-0005-0000-0000-0000B6250000}"/>
    <cellStyle name="20% - Accent5 3 3 2 3" xfId="2251" xr:uid="{00000000-0005-0000-0000-0000B7250000}"/>
    <cellStyle name="20% - Accent5 3 3 2 3 2" xfId="5355" xr:uid="{00000000-0005-0000-0000-0000B8250000}"/>
    <cellStyle name="20% - Accent5 3 3 2 3 2 2" xfId="12627" xr:uid="{00000000-0005-0000-0000-0000B9250000}"/>
    <cellStyle name="20% - Accent5 3 3 2 3 2 2 2" xfId="27161" xr:uid="{00000000-0005-0000-0000-0000BA250000}"/>
    <cellStyle name="20% - Accent5 3 3 2 3 2 2 2 2" xfId="56167" xr:uid="{00000000-0005-0000-0000-0000BB250000}"/>
    <cellStyle name="20% - Accent5 3 3 2 3 2 2 3" xfId="41668" xr:uid="{00000000-0005-0000-0000-0000BC250000}"/>
    <cellStyle name="20% - Accent5 3 3 2 3 2 3" xfId="19913" xr:uid="{00000000-0005-0000-0000-0000BD250000}"/>
    <cellStyle name="20% - Accent5 3 3 2 3 2 3 2" xfId="48919" xr:uid="{00000000-0005-0000-0000-0000BE250000}"/>
    <cellStyle name="20% - Accent5 3 3 2 3 2 4" xfId="34420" xr:uid="{00000000-0005-0000-0000-0000BF250000}"/>
    <cellStyle name="20% - Accent5 3 3 2 3 3" xfId="9523" xr:uid="{00000000-0005-0000-0000-0000C0250000}"/>
    <cellStyle name="20% - Accent5 3 3 2 3 3 2" xfId="24057" xr:uid="{00000000-0005-0000-0000-0000C1250000}"/>
    <cellStyle name="20% - Accent5 3 3 2 3 3 2 2" xfId="53063" xr:uid="{00000000-0005-0000-0000-0000C2250000}"/>
    <cellStyle name="20% - Accent5 3 3 2 3 3 3" xfId="38564" xr:uid="{00000000-0005-0000-0000-0000C3250000}"/>
    <cellStyle name="20% - Accent5 3 3 2 3 4" xfId="16809" xr:uid="{00000000-0005-0000-0000-0000C4250000}"/>
    <cellStyle name="20% - Accent5 3 3 2 3 4 2" xfId="45815" xr:uid="{00000000-0005-0000-0000-0000C5250000}"/>
    <cellStyle name="20% - Accent5 3 3 2 3 5" xfId="31316" xr:uid="{00000000-0005-0000-0000-0000C6250000}"/>
    <cellStyle name="20% - Accent5 3 3 2 4" xfId="3283" xr:uid="{00000000-0005-0000-0000-0000C7250000}"/>
    <cellStyle name="20% - Accent5 3 3 2 4 2" xfId="6387" xr:uid="{00000000-0005-0000-0000-0000C8250000}"/>
    <cellStyle name="20% - Accent5 3 3 2 4 2 2" xfId="13659" xr:uid="{00000000-0005-0000-0000-0000C9250000}"/>
    <cellStyle name="20% - Accent5 3 3 2 4 2 2 2" xfId="28193" xr:uid="{00000000-0005-0000-0000-0000CA250000}"/>
    <cellStyle name="20% - Accent5 3 3 2 4 2 2 2 2" xfId="57199" xr:uid="{00000000-0005-0000-0000-0000CB250000}"/>
    <cellStyle name="20% - Accent5 3 3 2 4 2 2 3" xfId="42700" xr:uid="{00000000-0005-0000-0000-0000CC250000}"/>
    <cellStyle name="20% - Accent5 3 3 2 4 2 3" xfId="20945" xr:uid="{00000000-0005-0000-0000-0000CD250000}"/>
    <cellStyle name="20% - Accent5 3 3 2 4 2 3 2" xfId="49951" xr:uid="{00000000-0005-0000-0000-0000CE250000}"/>
    <cellStyle name="20% - Accent5 3 3 2 4 2 4" xfId="35452" xr:uid="{00000000-0005-0000-0000-0000CF250000}"/>
    <cellStyle name="20% - Accent5 3 3 2 4 3" xfId="10555" xr:uid="{00000000-0005-0000-0000-0000D0250000}"/>
    <cellStyle name="20% - Accent5 3 3 2 4 3 2" xfId="25089" xr:uid="{00000000-0005-0000-0000-0000D1250000}"/>
    <cellStyle name="20% - Accent5 3 3 2 4 3 2 2" xfId="54095" xr:uid="{00000000-0005-0000-0000-0000D2250000}"/>
    <cellStyle name="20% - Accent5 3 3 2 4 3 3" xfId="39596" xr:uid="{00000000-0005-0000-0000-0000D3250000}"/>
    <cellStyle name="20% - Accent5 3 3 2 4 4" xfId="17841" xr:uid="{00000000-0005-0000-0000-0000D4250000}"/>
    <cellStyle name="20% - Accent5 3 3 2 4 4 2" xfId="46847" xr:uid="{00000000-0005-0000-0000-0000D5250000}"/>
    <cellStyle name="20% - Accent5 3 3 2 4 5" xfId="32348" xr:uid="{00000000-0005-0000-0000-0000D6250000}"/>
    <cellStyle name="20% - Accent5 3 3 2 5" xfId="4315" xr:uid="{00000000-0005-0000-0000-0000D7250000}"/>
    <cellStyle name="20% - Accent5 3 3 2 5 2" xfId="11587" xr:uid="{00000000-0005-0000-0000-0000D8250000}"/>
    <cellStyle name="20% - Accent5 3 3 2 5 2 2" xfId="26121" xr:uid="{00000000-0005-0000-0000-0000D9250000}"/>
    <cellStyle name="20% - Accent5 3 3 2 5 2 2 2" xfId="55127" xr:uid="{00000000-0005-0000-0000-0000DA250000}"/>
    <cellStyle name="20% - Accent5 3 3 2 5 2 3" xfId="40628" xr:uid="{00000000-0005-0000-0000-0000DB250000}"/>
    <cellStyle name="20% - Accent5 3 3 2 5 3" xfId="18873" xr:uid="{00000000-0005-0000-0000-0000DC250000}"/>
    <cellStyle name="20% - Accent5 3 3 2 5 3 2" xfId="47879" xr:uid="{00000000-0005-0000-0000-0000DD250000}"/>
    <cellStyle name="20% - Accent5 3 3 2 5 4" xfId="33380" xr:uid="{00000000-0005-0000-0000-0000DE250000}"/>
    <cellStyle name="20% - Accent5 3 3 2 6" xfId="7419" xr:uid="{00000000-0005-0000-0000-0000DF250000}"/>
    <cellStyle name="20% - Accent5 3 3 2 6 2" xfId="14691" xr:uid="{00000000-0005-0000-0000-0000E0250000}"/>
    <cellStyle name="20% - Accent5 3 3 2 6 2 2" xfId="29225" xr:uid="{00000000-0005-0000-0000-0000E1250000}"/>
    <cellStyle name="20% - Accent5 3 3 2 6 2 2 2" xfId="58231" xr:uid="{00000000-0005-0000-0000-0000E2250000}"/>
    <cellStyle name="20% - Accent5 3 3 2 6 2 3" xfId="43732" xr:uid="{00000000-0005-0000-0000-0000E3250000}"/>
    <cellStyle name="20% - Accent5 3 3 2 6 3" xfId="21977" xr:uid="{00000000-0005-0000-0000-0000E4250000}"/>
    <cellStyle name="20% - Accent5 3 3 2 6 3 2" xfId="50983" xr:uid="{00000000-0005-0000-0000-0000E5250000}"/>
    <cellStyle name="20% - Accent5 3 3 2 6 4" xfId="36484" xr:uid="{00000000-0005-0000-0000-0000E6250000}"/>
    <cellStyle name="20% - Accent5 3 3 2 7" xfId="8483" xr:uid="{00000000-0005-0000-0000-0000E7250000}"/>
    <cellStyle name="20% - Accent5 3 3 2 7 2" xfId="23017" xr:uid="{00000000-0005-0000-0000-0000E8250000}"/>
    <cellStyle name="20% - Accent5 3 3 2 7 2 2" xfId="52023" xr:uid="{00000000-0005-0000-0000-0000E9250000}"/>
    <cellStyle name="20% - Accent5 3 3 2 7 3" xfId="37524" xr:uid="{00000000-0005-0000-0000-0000EA250000}"/>
    <cellStyle name="20% - Accent5 3 3 2 8" xfId="15769" xr:uid="{00000000-0005-0000-0000-0000EB250000}"/>
    <cellStyle name="20% - Accent5 3 3 2 8 2" xfId="44775" xr:uid="{00000000-0005-0000-0000-0000EC250000}"/>
    <cellStyle name="20% - Accent5 3 3 2 9" xfId="30276" xr:uid="{00000000-0005-0000-0000-0000ED250000}"/>
    <cellStyle name="20% - Accent5 3 3 3" xfId="1399" xr:uid="{00000000-0005-0000-0000-0000EE250000}"/>
    <cellStyle name="20% - Accent5 3 3 3 2" xfId="2457" xr:uid="{00000000-0005-0000-0000-0000EF250000}"/>
    <cellStyle name="20% - Accent5 3 3 3 2 2" xfId="5561" xr:uid="{00000000-0005-0000-0000-0000F0250000}"/>
    <cellStyle name="20% - Accent5 3 3 3 2 2 2" xfId="12833" xr:uid="{00000000-0005-0000-0000-0000F1250000}"/>
    <cellStyle name="20% - Accent5 3 3 3 2 2 2 2" xfId="27367" xr:uid="{00000000-0005-0000-0000-0000F2250000}"/>
    <cellStyle name="20% - Accent5 3 3 3 2 2 2 2 2" xfId="56373" xr:uid="{00000000-0005-0000-0000-0000F3250000}"/>
    <cellStyle name="20% - Accent5 3 3 3 2 2 2 3" xfId="41874" xr:uid="{00000000-0005-0000-0000-0000F4250000}"/>
    <cellStyle name="20% - Accent5 3 3 3 2 2 3" xfId="20119" xr:uid="{00000000-0005-0000-0000-0000F5250000}"/>
    <cellStyle name="20% - Accent5 3 3 3 2 2 3 2" xfId="49125" xr:uid="{00000000-0005-0000-0000-0000F6250000}"/>
    <cellStyle name="20% - Accent5 3 3 3 2 2 4" xfId="34626" xr:uid="{00000000-0005-0000-0000-0000F7250000}"/>
    <cellStyle name="20% - Accent5 3 3 3 2 3" xfId="9729" xr:uid="{00000000-0005-0000-0000-0000F8250000}"/>
    <cellStyle name="20% - Accent5 3 3 3 2 3 2" xfId="24263" xr:uid="{00000000-0005-0000-0000-0000F9250000}"/>
    <cellStyle name="20% - Accent5 3 3 3 2 3 2 2" xfId="53269" xr:uid="{00000000-0005-0000-0000-0000FA250000}"/>
    <cellStyle name="20% - Accent5 3 3 3 2 3 3" xfId="38770" xr:uid="{00000000-0005-0000-0000-0000FB250000}"/>
    <cellStyle name="20% - Accent5 3 3 3 2 4" xfId="17015" xr:uid="{00000000-0005-0000-0000-0000FC250000}"/>
    <cellStyle name="20% - Accent5 3 3 3 2 4 2" xfId="46021" xr:uid="{00000000-0005-0000-0000-0000FD250000}"/>
    <cellStyle name="20% - Accent5 3 3 3 2 5" xfId="31522" xr:uid="{00000000-0005-0000-0000-0000FE250000}"/>
    <cellStyle name="20% - Accent5 3 3 3 3" xfId="3489" xr:uid="{00000000-0005-0000-0000-0000FF250000}"/>
    <cellStyle name="20% - Accent5 3 3 3 3 2" xfId="6593" xr:uid="{00000000-0005-0000-0000-000000260000}"/>
    <cellStyle name="20% - Accent5 3 3 3 3 2 2" xfId="13865" xr:uid="{00000000-0005-0000-0000-000001260000}"/>
    <cellStyle name="20% - Accent5 3 3 3 3 2 2 2" xfId="28399" xr:uid="{00000000-0005-0000-0000-000002260000}"/>
    <cellStyle name="20% - Accent5 3 3 3 3 2 2 2 2" xfId="57405" xr:uid="{00000000-0005-0000-0000-000003260000}"/>
    <cellStyle name="20% - Accent5 3 3 3 3 2 2 3" xfId="42906" xr:uid="{00000000-0005-0000-0000-000004260000}"/>
    <cellStyle name="20% - Accent5 3 3 3 3 2 3" xfId="21151" xr:uid="{00000000-0005-0000-0000-000005260000}"/>
    <cellStyle name="20% - Accent5 3 3 3 3 2 3 2" xfId="50157" xr:uid="{00000000-0005-0000-0000-000006260000}"/>
    <cellStyle name="20% - Accent5 3 3 3 3 2 4" xfId="35658" xr:uid="{00000000-0005-0000-0000-000007260000}"/>
    <cellStyle name="20% - Accent5 3 3 3 3 3" xfId="10761" xr:uid="{00000000-0005-0000-0000-000008260000}"/>
    <cellStyle name="20% - Accent5 3 3 3 3 3 2" xfId="25295" xr:uid="{00000000-0005-0000-0000-000009260000}"/>
    <cellStyle name="20% - Accent5 3 3 3 3 3 2 2" xfId="54301" xr:uid="{00000000-0005-0000-0000-00000A260000}"/>
    <cellStyle name="20% - Accent5 3 3 3 3 3 3" xfId="39802" xr:uid="{00000000-0005-0000-0000-00000B260000}"/>
    <cellStyle name="20% - Accent5 3 3 3 3 4" xfId="18047" xr:uid="{00000000-0005-0000-0000-00000C260000}"/>
    <cellStyle name="20% - Accent5 3 3 3 3 4 2" xfId="47053" xr:uid="{00000000-0005-0000-0000-00000D260000}"/>
    <cellStyle name="20% - Accent5 3 3 3 3 5" xfId="32554" xr:uid="{00000000-0005-0000-0000-00000E260000}"/>
    <cellStyle name="20% - Accent5 3 3 3 4" xfId="4521" xr:uid="{00000000-0005-0000-0000-00000F260000}"/>
    <cellStyle name="20% - Accent5 3 3 3 4 2" xfId="11793" xr:uid="{00000000-0005-0000-0000-000010260000}"/>
    <cellStyle name="20% - Accent5 3 3 3 4 2 2" xfId="26327" xr:uid="{00000000-0005-0000-0000-000011260000}"/>
    <cellStyle name="20% - Accent5 3 3 3 4 2 2 2" xfId="55333" xr:uid="{00000000-0005-0000-0000-000012260000}"/>
    <cellStyle name="20% - Accent5 3 3 3 4 2 3" xfId="40834" xr:uid="{00000000-0005-0000-0000-000013260000}"/>
    <cellStyle name="20% - Accent5 3 3 3 4 3" xfId="19079" xr:uid="{00000000-0005-0000-0000-000014260000}"/>
    <cellStyle name="20% - Accent5 3 3 3 4 3 2" xfId="48085" xr:uid="{00000000-0005-0000-0000-000015260000}"/>
    <cellStyle name="20% - Accent5 3 3 3 4 4" xfId="33586" xr:uid="{00000000-0005-0000-0000-000016260000}"/>
    <cellStyle name="20% - Accent5 3 3 3 5" xfId="7625" xr:uid="{00000000-0005-0000-0000-000017260000}"/>
    <cellStyle name="20% - Accent5 3 3 3 5 2" xfId="14897" xr:uid="{00000000-0005-0000-0000-000018260000}"/>
    <cellStyle name="20% - Accent5 3 3 3 5 2 2" xfId="29431" xr:uid="{00000000-0005-0000-0000-000019260000}"/>
    <cellStyle name="20% - Accent5 3 3 3 5 2 2 2" xfId="58437" xr:uid="{00000000-0005-0000-0000-00001A260000}"/>
    <cellStyle name="20% - Accent5 3 3 3 5 2 3" xfId="43938" xr:uid="{00000000-0005-0000-0000-00001B260000}"/>
    <cellStyle name="20% - Accent5 3 3 3 5 3" xfId="22183" xr:uid="{00000000-0005-0000-0000-00001C260000}"/>
    <cellStyle name="20% - Accent5 3 3 3 5 3 2" xfId="51189" xr:uid="{00000000-0005-0000-0000-00001D260000}"/>
    <cellStyle name="20% - Accent5 3 3 3 5 4" xfId="36690" xr:uid="{00000000-0005-0000-0000-00001E260000}"/>
    <cellStyle name="20% - Accent5 3 3 3 6" xfId="8689" xr:uid="{00000000-0005-0000-0000-00001F260000}"/>
    <cellStyle name="20% - Accent5 3 3 3 6 2" xfId="23223" xr:uid="{00000000-0005-0000-0000-000020260000}"/>
    <cellStyle name="20% - Accent5 3 3 3 6 2 2" xfId="52229" xr:uid="{00000000-0005-0000-0000-000021260000}"/>
    <cellStyle name="20% - Accent5 3 3 3 6 3" xfId="37730" xr:uid="{00000000-0005-0000-0000-000022260000}"/>
    <cellStyle name="20% - Accent5 3 3 3 7" xfId="15975" xr:uid="{00000000-0005-0000-0000-000023260000}"/>
    <cellStyle name="20% - Accent5 3 3 3 7 2" xfId="44981" xr:uid="{00000000-0005-0000-0000-000024260000}"/>
    <cellStyle name="20% - Accent5 3 3 3 8" xfId="30482" xr:uid="{00000000-0005-0000-0000-000025260000}"/>
    <cellStyle name="20% - Accent5 3 3 4" xfId="1945" xr:uid="{00000000-0005-0000-0000-000026260000}"/>
    <cellStyle name="20% - Accent5 3 3 4 2" xfId="5049" xr:uid="{00000000-0005-0000-0000-000027260000}"/>
    <cellStyle name="20% - Accent5 3 3 4 2 2" xfId="12321" xr:uid="{00000000-0005-0000-0000-000028260000}"/>
    <cellStyle name="20% - Accent5 3 3 4 2 2 2" xfId="26855" xr:uid="{00000000-0005-0000-0000-000029260000}"/>
    <cellStyle name="20% - Accent5 3 3 4 2 2 2 2" xfId="55861" xr:uid="{00000000-0005-0000-0000-00002A260000}"/>
    <cellStyle name="20% - Accent5 3 3 4 2 2 3" xfId="41362" xr:uid="{00000000-0005-0000-0000-00002B260000}"/>
    <cellStyle name="20% - Accent5 3 3 4 2 3" xfId="19607" xr:uid="{00000000-0005-0000-0000-00002C260000}"/>
    <cellStyle name="20% - Accent5 3 3 4 2 3 2" xfId="48613" xr:uid="{00000000-0005-0000-0000-00002D260000}"/>
    <cellStyle name="20% - Accent5 3 3 4 2 4" xfId="34114" xr:uid="{00000000-0005-0000-0000-00002E260000}"/>
    <cellStyle name="20% - Accent5 3 3 4 3" xfId="9217" xr:uid="{00000000-0005-0000-0000-00002F260000}"/>
    <cellStyle name="20% - Accent5 3 3 4 3 2" xfId="23751" xr:uid="{00000000-0005-0000-0000-000030260000}"/>
    <cellStyle name="20% - Accent5 3 3 4 3 2 2" xfId="52757" xr:uid="{00000000-0005-0000-0000-000031260000}"/>
    <cellStyle name="20% - Accent5 3 3 4 3 3" xfId="38258" xr:uid="{00000000-0005-0000-0000-000032260000}"/>
    <cellStyle name="20% - Accent5 3 3 4 4" xfId="16503" xr:uid="{00000000-0005-0000-0000-000033260000}"/>
    <cellStyle name="20% - Accent5 3 3 4 4 2" xfId="45509" xr:uid="{00000000-0005-0000-0000-000034260000}"/>
    <cellStyle name="20% - Accent5 3 3 4 5" xfId="31010" xr:uid="{00000000-0005-0000-0000-000035260000}"/>
    <cellStyle name="20% - Accent5 3 3 5" xfId="2977" xr:uid="{00000000-0005-0000-0000-000036260000}"/>
    <cellStyle name="20% - Accent5 3 3 5 2" xfId="6081" xr:uid="{00000000-0005-0000-0000-000037260000}"/>
    <cellStyle name="20% - Accent5 3 3 5 2 2" xfId="13353" xr:uid="{00000000-0005-0000-0000-000038260000}"/>
    <cellStyle name="20% - Accent5 3 3 5 2 2 2" xfId="27887" xr:uid="{00000000-0005-0000-0000-000039260000}"/>
    <cellStyle name="20% - Accent5 3 3 5 2 2 2 2" xfId="56893" xr:uid="{00000000-0005-0000-0000-00003A260000}"/>
    <cellStyle name="20% - Accent5 3 3 5 2 2 3" xfId="42394" xr:uid="{00000000-0005-0000-0000-00003B260000}"/>
    <cellStyle name="20% - Accent5 3 3 5 2 3" xfId="20639" xr:uid="{00000000-0005-0000-0000-00003C260000}"/>
    <cellStyle name="20% - Accent5 3 3 5 2 3 2" xfId="49645" xr:uid="{00000000-0005-0000-0000-00003D260000}"/>
    <cellStyle name="20% - Accent5 3 3 5 2 4" xfId="35146" xr:uid="{00000000-0005-0000-0000-00003E260000}"/>
    <cellStyle name="20% - Accent5 3 3 5 3" xfId="10249" xr:uid="{00000000-0005-0000-0000-00003F260000}"/>
    <cellStyle name="20% - Accent5 3 3 5 3 2" xfId="24783" xr:uid="{00000000-0005-0000-0000-000040260000}"/>
    <cellStyle name="20% - Accent5 3 3 5 3 2 2" xfId="53789" xr:uid="{00000000-0005-0000-0000-000041260000}"/>
    <cellStyle name="20% - Accent5 3 3 5 3 3" xfId="39290" xr:uid="{00000000-0005-0000-0000-000042260000}"/>
    <cellStyle name="20% - Accent5 3 3 5 4" xfId="17535" xr:uid="{00000000-0005-0000-0000-000043260000}"/>
    <cellStyle name="20% - Accent5 3 3 5 4 2" xfId="46541" xr:uid="{00000000-0005-0000-0000-000044260000}"/>
    <cellStyle name="20% - Accent5 3 3 5 5" xfId="32042" xr:uid="{00000000-0005-0000-0000-000045260000}"/>
    <cellStyle name="20% - Accent5 3 3 6" xfId="4009" xr:uid="{00000000-0005-0000-0000-000046260000}"/>
    <cellStyle name="20% - Accent5 3 3 6 2" xfId="11281" xr:uid="{00000000-0005-0000-0000-000047260000}"/>
    <cellStyle name="20% - Accent5 3 3 6 2 2" xfId="25815" xr:uid="{00000000-0005-0000-0000-000048260000}"/>
    <cellStyle name="20% - Accent5 3 3 6 2 2 2" xfId="54821" xr:uid="{00000000-0005-0000-0000-000049260000}"/>
    <cellStyle name="20% - Accent5 3 3 6 2 3" xfId="40322" xr:uid="{00000000-0005-0000-0000-00004A260000}"/>
    <cellStyle name="20% - Accent5 3 3 6 3" xfId="18567" xr:uid="{00000000-0005-0000-0000-00004B260000}"/>
    <cellStyle name="20% - Accent5 3 3 6 3 2" xfId="47573" xr:uid="{00000000-0005-0000-0000-00004C260000}"/>
    <cellStyle name="20% - Accent5 3 3 6 4" xfId="33074" xr:uid="{00000000-0005-0000-0000-00004D260000}"/>
    <cellStyle name="20% - Accent5 3 3 7" xfId="7113" xr:uid="{00000000-0005-0000-0000-00004E260000}"/>
    <cellStyle name="20% - Accent5 3 3 7 2" xfId="14385" xr:uid="{00000000-0005-0000-0000-00004F260000}"/>
    <cellStyle name="20% - Accent5 3 3 7 2 2" xfId="28919" xr:uid="{00000000-0005-0000-0000-000050260000}"/>
    <cellStyle name="20% - Accent5 3 3 7 2 2 2" xfId="57925" xr:uid="{00000000-0005-0000-0000-000051260000}"/>
    <cellStyle name="20% - Accent5 3 3 7 2 3" xfId="43426" xr:uid="{00000000-0005-0000-0000-000052260000}"/>
    <cellStyle name="20% - Accent5 3 3 7 3" xfId="21671" xr:uid="{00000000-0005-0000-0000-000053260000}"/>
    <cellStyle name="20% - Accent5 3 3 7 3 2" xfId="50677" xr:uid="{00000000-0005-0000-0000-000054260000}"/>
    <cellStyle name="20% - Accent5 3 3 7 4" xfId="36178" xr:uid="{00000000-0005-0000-0000-000055260000}"/>
    <cellStyle name="20% - Accent5 3 3 8" xfId="8177" xr:uid="{00000000-0005-0000-0000-000056260000}"/>
    <cellStyle name="20% - Accent5 3 3 8 2" xfId="22711" xr:uid="{00000000-0005-0000-0000-000057260000}"/>
    <cellStyle name="20% - Accent5 3 3 8 2 2" xfId="51717" xr:uid="{00000000-0005-0000-0000-000058260000}"/>
    <cellStyle name="20% - Accent5 3 3 8 3" xfId="37218" xr:uid="{00000000-0005-0000-0000-000059260000}"/>
    <cellStyle name="20% - Accent5 3 3 9" xfId="15463" xr:uid="{00000000-0005-0000-0000-00005A260000}"/>
    <cellStyle name="20% - Accent5 3 3 9 2" xfId="44469" xr:uid="{00000000-0005-0000-0000-00005B260000}"/>
    <cellStyle name="20% - Accent5 3 4" xfId="1104" xr:uid="{00000000-0005-0000-0000-00005C260000}"/>
    <cellStyle name="20% - Accent5 3 4 2" xfId="1601" xr:uid="{00000000-0005-0000-0000-00005D260000}"/>
    <cellStyle name="20% - Accent5 3 4 2 2" xfId="2660" xr:uid="{00000000-0005-0000-0000-00005E260000}"/>
    <cellStyle name="20% - Accent5 3 4 2 2 2" xfId="5764" xr:uid="{00000000-0005-0000-0000-00005F260000}"/>
    <cellStyle name="20% - Accent5 3 4 2 2 2 2" xfId="13036" xr:uid="{00000000-0005-0000-0000-000060260000}"/>
    <cellStyle name="20% - Accent5 3 4 2 2 2 2 2" xfId="27570" xr:uid="{00000000-0005-0000-0000-000061260000}"/>
    <cellStyle name="20% - Accent5 3 4 2 2 2 2 2 2" xfId="56576" xr:uid="{00000000-0005-0000-0000-000062260000}"/>
    <cellStyle name="20% - Accent5 3 4 2 2 2 2 3" xfId="42077" xr:uid="{00000000-0005-0000-0000-000063260000}"/>
    <cellStyle name="20% - Accent5 3 4 2 2 2 3" xfId="20322" xr:uid="{00000000-0005-0000-0000-000064260000}"/>
    <cellStyle name="20% - Accent5 3 4 2 2 2 3 2" xfId="49328" xr:uid="{00000000-0005-0000-0000-000065260000}"/>
    <cellStyle name="20% - Accent5 3 4 2 2 2 4" xfId="34829" xr:uid="{00000000-0005-0000-0000-000066260000}"/>
    <cellStyle name="20% - Accent5 3 4 2 2 3" xfId="9932" xr:uid="{00000000-0005-0000-0000-000067260000}"/>
    <cellStyle name="20% - Accent5 3 4 2 2 3 2" xfId="24466" xr:uid="{00000000-0005-0000-0000-000068260000}"/>
    <cellStyle name="20% - Accent5 3 4 2 2 3 2 2" xfId="53472" xr:uid="{00000000-0005-0000-0000-000069260000}"/>
    <cellStyle name="20% - Accent5 3 4 2 2 3 3" xfId="38973" xr:uid="{00000000-0005-0000-0000-00006A260000}"/>
    <cellStyle name="20% - Accent5 3 4 2 2 4" xfId="17218" xr:uid="{00000000-0005-0000-0000-00006B260000}"/>
    <cellStyle name="20% - Accent5 3 4 2 2 4 2" xfId="46224" xr:uid="{00000000-0005-0000-0000-00006C260000}"/>
    <cellStyle name="20% - Accent5 3 4 2 2 5" xfId="31725" xr:uid="{00000000-0005-0000-0000-00006D260000}"/>
    <cellStyle name="20% - Accent5 3 4 2 3" xfId="3692" xr:uid="{00000000-0005-0000-0000-00006E260000}"/>
    <cellStyle name="20% - Accent5 3 4 2 3 2" xfId="6796" xr:uid="{00000000-0005-0000-0000-00006F260000}"/>
    <cellStyle name="20% - Accent5 3 4 2 3 2 2" xfId="14068" xr:uid="{00000000-0005-0000-0000-000070260000}"/>
    <cellStyle name="20% - Accent5 3 4 2 3 2 2 2" xfId="28602" xr:uid="{00000000-0005-0000-0000-000071260000}"/>
    <cellStyle name="20% - Accent5 3 4 2 3 2 2 2 2" xfId="57608" xr:uid="{00000000-0005-0000-0000-000072260000}"/>
    <cellStyle name="20% - Accent5 3 4 2 3 2 2 3" xfId="43109" xr:uid="{00000000-0005-0000-0000-000073260000}"/>
    <cellStyle name="20% - Accent5 3 4 2 3 2 3" xfId="21354" xr:uid="{00000000-0005-0000-0000-000074260000}"/>
    <cellStyle name="20% - Accent5 3 4 2 3 2 3 2" xfId="50360" xr:uid="{00000000-0005-0000-0000-000075260000}"/>
    <cellStyle name="20% - Accent5 3 4 2 3 2 4" xfId="35861" xr:uid="{00000000-0005-0000-0000-000076260000}"/>
    <cellStyle name="20% - Accent5 3 4 2 3 3" xfId="10964" xr:uid="{00000000-0005-0000-0000-000077260000}"/>
    <cellStyle name="20% - Accent5 3 4 2 3 3 2" xfId="25498" xr:uid="{00000000-0005-0000-0000-000078260000}"/>
    <cellStyle name="20% - Accent5 3 4 2 3 3 2 2" xfId="54504" xr:uid="{00000000-0005-0000-0000-000079260000}"/>
    <cellStyle name="20% - Accent5 3 4 2 3 3 3" xfId="40005" xr:uid="{00000000-0005-0000-0000-00007A260000}"/>
    <cellStyle name="20% - Accent5 3 4 2 3 4" xfId="18250" xr:uid="{00000000-0005-0000-0000-00007B260000}"/>
    <cellStyle name="20% - Accent5 3 4 2 3 4 2" xfId="47256" xr:uid="{00000000-0005-0000-0000-00007C260000}"/>
    <cellStyle name="20% - Accent5 3 4 2 3 5" xfId="32757" xr:uid="{00000000-0005-0000-0000-00007D260000}"/>
    <cellStyle name="20% - Accent5 3 4 2 4" xfId="4724" xr:uid="{00000000-0005-0000-0000-00007E260000}"/>
    <cellStyle name="20% - Accent5 3 4 2 4 2" xfId="11996" xr:uid="{00000000-0005-0000-0000-00007F260000}"/>
    <cellStyle name="20% - Accent5 3 4 2 4 2 2" xfId="26530" xr:uid="{00000000-0005-0000-0000-000080260000}"/>
    <cellStyle name="20% - Accent5 3 4 2 4 2 2 2" xfId="55536" xr:uid="{00000000-0005-0000-0000-000081260000}"/>
    <cellStyle name="20% - Accent5 3 4 2 4 2 3" xfId="41037" xr:uid="{00000000-0005-0000-0000-000082260000}"/>
    <cellStyle name="20% - Accent5 3 4 2 4 3" xfId="19282" xr:uid="{00000000-0005-0000-0000-000083260000}"/>
    <cellStyle name="20% - Accent5 3 4 2 4 3 2" xfId="48288" xr:uid="{00000000-0005-0000-0000-000084260000}"/>
    <cellStyle name="20% - Accent5 3 4 2 4 4" xfId="33789" xr:uid="{00000000-0005-0000-0000-000085260000}"/>
    <cellStyle name="20% - Accent5 3 4 2 5" xfId="7828" xr:uid="{00000000-0005-0000-0000-000086260000}"/>
    <cellStyle name="20% - Accent5 3 4 2 5 2" xfId="15100" xr:uid="{00000000-0005-0000-0000-000087260000}"/>
    <cellStyle name="20% - Accent5 3 4 2 5 2 2" xfId="29634" xr:uid="{00000000-0005-0000-0000-000088260000}"/>
    <cellStyle name="20% - Accent5 3 4 2 5 2 2 2" xfId="58640" xr:uid="{00000000-0005-0000-0000-000089260000}"/>
    <cellStyle name="20% - Accent5 3 4 2 5 2 3" xfId="44141" xr:uid="{00000000-0005-0000-0000-00008A260000}"/>
    <cellStyle name="20% - Accent5 3 4 2 5 3" xfId="22386" xr:uid="{00000000-0005-0000-0000-00008B260000}"/>
    <cellStyle name="20% - Accent5 3 4 2 5 3 2" xfId="51392" xr:uid="{00000000-0005-0000-0000-00008C260000}"/>
    <cellStyle name="20% - Accent5 3 4 2 5 4" xfId="36893" xr:uid="{00000000-0005-0000-0000-00008D260000}"/>
    <cellStyle name="20% - Accent5 3 4 2 6" xfId="8892" xr:uid="{00000000-0005-0000-0000-00008E260000}"/>
    <cellStyle name="20% - Accent5 3 4 2 6 2" xfId="23426" xr:uid="{00000000-0005-0000-0000-00008F260000}"/>
    <cellStyle name="20% - Accent5 3 4 2 6 2 2" xfId="52432" xr:uid="{00000000-0005-0000-0000-000090260000}"/>
    <cellStyle name="20% - Accent5 3 4 2 6 3" xfId="37933" xr:uid="{00000000-0005-0000-0000-000091260000}"/>
    <cellStyle name="20% - Accent5 3 4 2 7" xfId="16178" xr:uid="{00000000-0005-0000-0000-000092260000}"/>
    <cellStyle name="20% - Accent5 3 4 2 7 2" xfId="45184" xr:uid="{00000000-0005-0000-0000-000093260000}"/>
    <cellStyle name="20% - Accent5 3 4 2 8" xfId="30685" xr:uid="{00000000-0005-0000-0000-000094260000}"/>
    <cellStyle name="20% - Accent5 3 4 3" xfId="2148" xr:uid="{00000000-0005-0000-0000-000095260000}"/>
    <cellStyle name="20% - Accent5 3 4 3 2" xfId="5252" xr:uid="{00000000-0005-0000-0000-000096260000}"/>
    <cellStyle name="20% - Accent5 3 4 3 2 2" xfId="12524" xr:uid="{00000000-0005-0000-0000-000097260000}"/>
    <cellStyle name="20% - Accent5 3 4 3 2 2 2" xfId="27058" xr:uid="{00000000-0005-0000-0000-000098260000}"/>
    <cellStyle name="20% - Accent5 3 4 3 2 2 2 2" xfId="56064" xr:uid="{00000000-0005-0000-0000-000099260000}"/>
    <cellStyle name="20% - Accent5 3 4 3 2 2 3" xfId="41565" xr:uid="{00000000-0005-0000-0000-00009A260000}"/>
    <cellStyle name="20% - Accent5 3 4 3 2 3" xfId="19810" xr:uid="{00000000-0005-0000-0000-00009B260000}"/>
    <cellStyle name="20% - Accent5 3 4 3 2 3 2" xfId="48816" xr:uid="{00000000-0005-0000-0000-00009C260000}"/>
    <cellStyle name="20% - Accent5 3 4 3 2 4" xfId="34317" xr:uid="{00000000-0005-0000-0000-00009D260000}"/>
    <cellStyle name="20% - Accent5 3 4 3 3" xfId="9420" xr:uid="{00000000-0005-0000-0000-00009E260000}"/>
    <cellStyle name="20% - Accent5 3 4 3 3 2" xfId="23954" xr:uid="{00000000-0005-0000-0000-00009F260000}"/>
    <cellStyle name="20% - Accent5 3 4 3 3 2 2" xfId="52960" xr:uid="{00000000-0005-0000-0000-0000A0260000}"/>
    <cellStyle name="20% - Accent5 3 4 3 3 3" xfId="38461" xr:uid="{00000000-0005-0000-0000-0000A1260000}"/>
    <cellStyle name="20% - Accent5 3 4 3 4" xfId="16706" xr:uid="{00000000-0005-0000-0000-0000A2260000}"/>
    <cellStyle name="20% - Accent5 3 4 3 4 2" xfId="45712" xr:uid="{00000000-0005-0000-0000-0000A3260000}"/>
    <cellStyle name="20% - Accent5 3 4 3 5" xfId="31213" xr:uid="{00000000-0005-0000-0000-0000A4260000}"/>
    <cellStyle name="20% - Accent5 3 4 4" xfId="3180" xr:uid="{00000000-0005-0000-0000-0000A5260000}"/>
    <cellStyle name="20% - Accent5 3 4 4 2" xfId="6284" xr:uid="{00000000-0005-0000-0000-0000A6260000}"/>
    <cellStyle name="20% - Accent5 3 4 4 2 2" xfId="13556" xr:uid="{00000000-0005-0000-0000-0000A7260000}"/>
    <cellStyle name="20% - Accent5 3 4 4 2 2 2" xfId="28090" xr:uid="{00000000-0005-0000-0000-0000A8260000}"/>
    <cellStyle name="20% - Accent5 3 4 4 2 2 2 2" xfId="57096" xr:uid="{00000000-0005-0000-0000-0000A9260000}"/>
    <cellStyle name="20% - Accent5 3 4 4 2 2 3" xfId="42597" xr:uid="{00000000-0005-0000-0000-0000AA260000}"/>
    <cellStyle name="20% - Accent5 3 4 4 2 3" xfId="20842" xr:uid="{00000000-0005-0000-0000-0000AB260000}"/>
    <cellStyle name="20% - Accent5 3 4 4 2 3 2" xfId="49848" xr:uid="{00000000-0005-0000-0000-0000AC260000}"/>
    <cellStyle name="20% - Accent5 3 4 4 2 4" xfId="35349" xr:uid="{00000000-0005-0000-0000-0000AD260000}"/>
    <cellStyle name="20% - Accent5 3 4 4 3" xfId="10452" xr:uid="{00000000-0005-0000-0000-0000AE260000}"/>
    <cellStyle name="20% - Accent5 3 4 4 3 2" xfId="24986" xr:uid="{00000000-0005-0000-0000-0000AF260000}"/>
    <cellStyle name="20% - Accent5 3 4 4 3 2 2" xfId="53992" xr:uid="{00000000-0005-0000-0000-0000B0260000}"/>
    <cellStyle name="20% - Accent5 3 4 4 3 3" xfId="39493" xr:uid="{00000000-0005-0000-0000-0000B1260000}"/>
    <cellStyle name="20% - Accent5 3 4 4 4" xfId="17738" xr:uid="{00000000-0005-0000-0000-0000B2260000}"/>
    <cellStyle name="20% - Accent5 3 4 4 4 2" xfId="46744" xr:uid="{00000000-0005-0000-0000-0000B3260000}"/>
    <cellStyle name="20% - Accent5 3 4 4 5" xfId="32245" xr:uid="{00000000-0005-0000-0000-0000B4260000}"/>
    <cellStyle name="20% - Accent5 3 4 5" xfId="4212" xr:uid="{00000000-0005-0000-0000-0000B5260000}"/>
    <cellStyle name="20% - Accent5 3 4 5 2" xfId="11484" xr:uid="{00000000-0005-0000-0000-0000B6260000}"/>
    <cellStyle name="20% - Accent5 3 4 5 2 2" xfId="26018" xr:uid="{00000000-0005-0000-0000-0000B7260000}"/>
    <cellStyle name="20% - Accent5 3 4 5 2 2 2" xfId="55024" xr:uid="{00000000-0005-0000-0000-0000B8260000}"/>
    <cellStyle name="20% - Accent5 3 4 5 2 3" xfId="40525" xr:uid="{00000000-0005-0000-0000-0000B9260000}"/>
    <cellStyle name="20% - Accent5 3 4 5 3" xfId="18770" xr:uid="{00000000-0005-0000-0000-0000BA260000}"/>
    <cellStyle name="20% - Accent5 3 4 5 3 2" xfId="47776" xr:uid="{00000000-0005-0000-0000-0000BB260000}"/>
    <cellStyle name="20% - Accent5 3 4 5 4" xfId="33277" xr:uid="{00000000-0005-0000-0000-0000BC260000}"/>
    <cellStyle name="20% - Accent5 3 4 6" xfId="7316" xr:uid="{00000000-0005-0000-0000-0000BD260000}"/>
    <cellStyle name="20% - Accent5 3 4 6 2" xfId="14588" xr:uid="{00000000-0005-0000-0000-0000BE260000}"/>
    <cellStyle name="20% - Accent5 3 4 6 2 2" xfId="29122" xr:uid="{00000000-0005-0000-0000-0000BF260000}"/>
    <cellStyle name="20% - Accent5 3 4 6 2 2 2" xfId="58128" xr:uid="{00000000-0005-0000-0000-0000C0260000}"/>
    <cellStyle name="20% - Accent5 3 4 6 2 3" xfId="43629" xr:uid="{00000000-0005-0000-0000-0000C1260000}"/>
    <cellStyle name="20% - Accent5 3 4 6 3" xfId="21874" xr:uid="{00000000-0005-0000-0000-0000C2260000}"/>
    <cellStyle name="20% - Accent5 3 4 6 3 2" xfId="50880" xr:uid="{00000000-0005-0000-0000-0000C3260000}"/>
    <cellStyle name="20% - Accent5 3 4 6 4" xfId="36381" xr:uid="{00000000-0005-0000-0000-0000C4260000}"/>
    <cellStyle name="20% - Accent5 3 4 7" xfId="8380" xr:uid="{00000000-0005-0000-0000-0000C5260000}"/>
    <cellStyle name="20% - Accent5 3 4 7 2" xfId="22914" xr:uid="{00000000-0005-0000-0000-0000C6260000}"/>
    <cellStyle name="20% - Accent5 3 4 7 2 2" xfId="51920" xr:uid="{00000000-0005-0000-0000-0000C7260000}"/>
    <cellStyle name="20% - Accent5 3 4 7 3" xfId="37421" xr:uid="{00000000-0005-0000-0000-0000C8260000}"/>
    <cellStyle name="20% - Accent5 3 4 8" xfId="15666" xr:uid="{00000000-0005-0000-0000-0000C9260000}"/>
    <cellStyle name="20% - Accent5 3 4 8 2" xfId="44672" xr:uid="{00000000-0005-0000-0000-0000CA260000}"/>
    <cellStyle name="20% - Accent5 3 4 9" xfId="30173" xr:uid="{00000000-0005-0000-0000-0000CB260000}"/>
    <cellStyle name="20% - Accent5 3 5" xfId="1014" xr:uid="{00000000-0005-0000-0000-0000CC260000}"/>
    <cellStyle name="20% - Accent5 3 5 2" xfId="1502" xr:uid="{00000000-0005-0000-0000-0000CD260000}"/>
    <cellStyle name="20% - Accent5 3 5 2 2" xfId="2560" xr:uid="{00000000-0005-0000-0000-0000CE260000}"/>
    <cellStyle name="20% - Accent5 3 5 2 2 2" xfId="5664" xr:uid="{00000000-0005-0000-0000-0000CF260000}"/>
    <cellStyle name="20% - Accent5 3 5 2 2 2 2" xfId="12936" xr:uid="{00000000-0005-0000-0000-0000D0260000}"/>
    <cellStyle name="20% - Accent5 3 5 2 2 2 2 2" xfId="27470" xr:uid="{00000000-0005-0000-0000-0000D1260000}"/>
    <cellStyle name="20% - Accent5 3 5 2 2 2 2 2 2" xfId="56476" xr:uid="{00000000-0005-0000-0000-0000D2260000}"/>
    <cellStyle name="20% - Accent5 3 5 2 2 2 2 3" xfId="41977" xr:uid="{00000000-0005-0000-0000-0000D3260000}"/>
    <cellStyle name="20% - Accent5 3 5 2 2 2 3" xfId="20222" xr:uid="{00000000-0005-0000-0000-0000D4260000}"/>
    <cellStyle name="20% - Accent5 3 5 2 2 2 3 2" xfId="49228" xr:uid="{00000000-0005-0000-0000-0000D5260000}"/>
    <cellStyle name="20% - Accent5 3 5 2 2 2 4" xfId="34729" xr:uid="{00000000-0005-0000-0000-0000D6260000}"/>
    <cellStyle name="20% - Accent5 3 5 2 2 3" xfId="9832" xr:uid="{00000000-0005-0000-0000-0000D7260000}"/>
    <cellStyle name="20% - Accent5 3 5 2 2 3 2" xfId="24366" xr:uid="{00000000-0005-0000-0000-0000D8260000}"/>
    <cellStyle name="20% - Accent5 3 5 2 2 3 2 2" xfId="53372" xr:uid="{00000000-0005-0000-0000-0000D9260000}"/>
    <cellStyle name="20% - Accent5 3 5 2 2 3 3" xfId="38873" xr:uid="{00000000-0005-0000-0000-0000DA260000}"/>
    <cellStyle name="20% - Accent5 3 5 2 2 4" xfId="17118" xr:uid="{00000000-0005-0000-0000-0000DB260000}"/>
    <cellStyle name="20% - Accent5 3 5 2 2 4 2" xfId="46124" xr:uid="{00000000-0005-0000-0000-0000DC260000}"/>
    <cellStyle name="20% - Accent5 3 5 2 2 5" xfId="31625" xr:uid="{00000000-0005-0000-0000-0000DD260000}"/>
    <cellStyle name="20% - Accent5 3 5 2 3" xfId="3592" xr:uid="{00000000-0005-0000-0000-0000DE260000}"/>
    <cellStyle name="20% - Accent5 3 5 2 3 2" xfId="6696" xr:uid="{00000000-0005-0000-0000-0000DF260000}"/>
    <cellStyle name="20% - Accent5 3 5 2 3 2 2" xfId="13968" xr:uid="{00000000-0005-0000-0000-0000E0260000}"/>
    <cellStyle name="20% - Accent5 3 5 2 3 2 2 2" xfId="28502" xr:uid="{00000000-0005-0000-0000-0000E1260000}"/>
    <cellStyle name="20% - Accent5 3 5 2 3 2 2 2 2" xfId="57508" xr:uid="{00000000-0005-0000-0000-0000E2260000}"/>
    <cellStyle name="20% - Accent5 3 5 2 3 2 2 3" xfId="43009" xr:uid="{00000000-0005-0000-0000-0000E3260000}"/>
    <cellStyle name="20% - Accent5 3 5 2 3 2 3" xfId="21254" xr:uid="{00000000-0005-0000-0000-0000E4260000}"/>
    <cellStyle name="20% - Accent5 3 5 2 3 2 3 2" xfId="50260" xr:uid="{00000000-0005-0000-0000-0000E5260000}"/>
    <cellStyle name="20% - Accent5 3 5 2 3 2 4" xfId="35761" xr:uid="{00000000-0005-0000-0000-0000E6260000}"/>
    <cellStyle name="20% - Accent5 3 5 2 3 3" xfId="10864" xr:uid="{00000000-0005-0000-0000-0000E7260000}"/>
    <cellStyle name="20% - Accent5 3 5 2 3 3 2" xfId="25398" xr:uid="{00000000-0005-0000-0000-0000E8260000}"/>
    <cellStyle name="20% - Accent5 3 5 2 3 3 2 2" xfId="54404" xr:uid="{00000000-0005-0000-0000-0000E9260000}"/>
    <cellStyle name="20% - Accent5 3 5 2 3 3 3" xfId="39905" xr:uid="{00000000-0005-0000-0000-0000EA260000}"/>
    <cellStyle name="20% - Accent5 3 5 2 3 4" xfId="18150" xr:uid="{00000000-0005-0000-0000-0000EB260000}"/>
    <cellStyle name="20% - Accent5 3 5 2 3 4 2" xfId="47156" xr:uid="{00000000-0005-0000-0000-0000EC260000}"/>
    <cellStyle name="20% - Accent5 3 5 2 3 5" xfId="32657" xr:uid="{00000000-0005-0000-0000-0000ED260000}"/>
    <cellStyle name="20% - Accent5 3 5 2 4" xfId="4624" xr:uid="{00000000-0005-0000-0000-0000EE260000}"/>
    <cellStyle name="20% - Accent5 3 5 2 4 2" xfId="11896" xr:uid="{00000000-0005-0000-0000-0000EF260000}"/>
    <cellStyle name="20% - Accent5 3 5 2 4 2 2" xfId="26430" xr:uid="{00000000-0005-0000-0000-0000F0260000}"/>
    <cellStyle name="20% - Accent5 3 5 2 4 2 2 2" xfId="55436" xr:uid="{00000000-0005-0000-0000-0000F1260000}"/>
    <cellStyle name="20% - Accent5 3 5 2 4 2 3" xfId="40937" xr:uid="{00000000-0005-0000-0000-0000F2260000}"/>
    <cellStyle name="20% - Accent5 3 5 2 4 3" xfId="19182" xr:uid="{00000000-0005-0000-0000-0000F3260000}"/>
    <cellStyle name="20% - Accent5 3 5 2 4 3 2" xfId="48188" xr:uid="{00000000-0005-0000-0000-0000F4260000}"/>
    <cellStyle name="20% - Accent5 3 5 2 4 4" xfId="33689" xr:uid="{00000000-0005-0000-0000-0000F5260000}"/>
    <cellStyle name="20% - Accent5 3 5 2 5" xfId="7728" xr:uid="{00000000-0005-0000-0000-0000F6260000}"/>
    <cellStyle name="20% - Accent5 3 5 2 5 2" xfId="15000" xr:uid="{00000000-0005-0000-0000-0000F7260000}"/>
    <cellStyle name="20% - Accent5 3 5 2 5 2 2" xfId="29534" xr:uid="{00000000-0005-0000-0000-0000F8260000}"/>
    <cellStyle name="20% - Accent5 3 5 2 5 2 2 2" xfId="58540" xr:uid="{00000000-0005-0000-0000-0000F9260000}"/>
    <cellStyle name="20% - Accent5 3 5 2 5 2 3" xfId="44041" xr:uid="{00000000-0005-0000-0000-0000FA260000}"/>
    <cellStyle name="20% - Accent5 3 5 2 5 3" xfId="22286" xr:uid="{00000000-0005-0000-0000-0000FB260000}"/>
    <cellStyle name="20% - Accent5 3 5 2 5 3 2" xfId="51292" xr:uid="{00000000-0005-0000-0000-0000FC260000}"/>
    <cellStyle name="20% - Accent5 3 5 2 5 4" xfId="36793" xr:uid="{00000000-0005-0000-0000-0000FD260000}"/>
    <cellStyle name="20% - Accent5 3 5 2 6" xfId="8792" xr:uid="{00000000-0005-0000-0000-0000FE260000}"/>
    <cellStyle name="20% - Accent5 3 5 2 6 2" xfId="23326" xr:uid="{00000000-0005-0000-0000-0000FF260000}"/>
    <cellStyle name="20% - Accent5 3 5 2 6 2 2" xfId="52332" xr:uid="{00000000-0005-0000-0000-000000270000}"/>
    <cellStyle name="20% - Accent5 3 5 2 6 3" xfId="37833" xr:uid="{00000000-0005-0000-0000-000001270000}"/>
    <cellStyle name="20% - Accent5 3 5 2 7" xfId="16078" xr:uid="{00000000-0005-0000-0000-000002270000}"/>
    <cellStyle name="20% - Accent5 3 5 2 7 2" xfId="45084" xr:uid="{00000000-0005-0000-0000-000003270000}"/>
    <cellStyle name="20% - Accent5 3 5 2 8" xfId="30585" xr:uid="{00000000-0005-0000-0000-000004270000}"/>
    <cellStyle name="20% - Accent5 3 5 3" xfId="2048" xr:uid="{00000000-0005-0000-0000-000005270000}"/>
    <cellStyle name="20% - Accent5 3 5 3 2" xfId="5152" xr:uid="{00000000-0005-0000-0000-000006270000}"/>
    <cellStyle name="20% - Accent5 3 5 3 2 2" xfId="12424" xr:uid="{00000000-0005-0000-0000-000007270000}"/>
    <cellStyle name="20% - Accent5 3 5 3 2 2 2" xfId="26958" xr:uid="{00000000-0005-0000-0000-000008270000}"/>
    <cellStyle name="20% - Accent5 3 5 3 2 2 2 2" xfId="55964" xr:uid="{00000000-0005-0000-0000-000009270000}"/>
    <cellStyle name="20% - Accent5 3 5 3 2 2 3" xfId="41465" xr:uid="{00000000-0005-0000-0000-00000A270000}"/>
    <cellStyle name="20% - Accent5 3 5 3 2 3" xfId="19710" xr:uid="{00000000-0005-0000-0000-00000B270000}"/>
    <cellStyle name="20% - Accent5 3 5 3 2 3 2" xfId="48716" xr:uid="{00000000-0005-0000-0000-00000C270000}"/>
    <cellStyle name="20% - Accent5 3 5 3 2 4" xfId="34217" xr:uid="{00000000-0005-0000-0000-00000D270000}"/>
    <cellStyle name="20% - Accent5 3 5 3 3" xfId="9320" xr:uid="{00000000-0005-0000-0000-00000E270000}"/>
    <cellStyle name="20% - Accent5 3 5 3 3 2" xfId="23854" xr:uid="{00000000-0005-0000-0000-00000F270000}"/>
    <cellStyle name="20% - Accent5 3 5 3 3 2 2" xfId="52860" xr:uid="{00000000-0005-0000-0000-000010270000}"/>
    <cellStyle name="20% - Accent5 3 5 3 3 3" xfId="38361" xr:uid="{00000000-0005-0000-0000-000011270000}"/>
    <cellStyle name="20% - Accent5 3 5 3 4" xfId="16606" xr:uid="{00000000-0005-0000-0000-000012270000}"/>
    <cellStyle name="20% - Accent5 3 5 3 4 2" xfId="45612" xr:uid="{00000000-0005-0000-0000-000013270000}"/>
    <cellStyle name="20% - Accent5 3 5 3 5" xfId="31113" xr:uid="{00000000-0005-0000-0000-000014270000}"/>
    <cellStyle name="20% - Accent5 3 5 4" xfId="3080" xr:uid="{00000000-0005-0000-0000-000015270000}"/>
    <cellStyle name="20% - Accent5 3 5 4 2" xfId="6184" xr:uid="{00000000-0005-0000-0000-000016270000}"/>
    <cellStyle name="20% - Accent5 3 5 4 2 2" xfId="13456" xr:uid="{00000000-0005-0000-0000-000017270000}"/>
    <cellStyle name="20% - Accent5 3 5 4 2 2 2" xfId="27990" xr:uid="{00000000-0005-0000-0000-000018270000}"/>
    <cellStyle name="20% - Accent5 3 5 4 2 2 2 2" xfId="56996" xr:uid="{00000000-0005-0000-0000-000019270000}"/>
    <cellStyle name="20% - Accent5 3 5 4 2 2 3" xfId="42497" xr:uid="{00000000-0005-0000-0000-00001A270000}"/>
    <cellStyle name="20% - Accent5 3 5 4 2 3" xfId="20742" xr:uid="{00000000-0005-0000-0000-00001B270000}"/>
    <cellStyle name="20% - Accent5 3 5 4 2 3 2" xfId="49748" xr:uid="{00000000-0005-0000-0000-00001C270000}"/>
    <cellStyle name="20% - Accent5 3 5 4 2 4" xfId="35249" xr:uid="{00000000-0005-0000-0000-00001D270000}"/>
    <cellStyle name="20% - Accent5 3 5 4 3" xfId="10352" xr:uid="{00000000-0005-0000-0000-00001E270000}"/>
    <cellStyle name="20% - Accent5 3 5 4 3 2" xfId="24886" xr:uid="{00000000-0005-0000-0000-00001F270000}"/>
    <cellStyle name="20% - Accent5 3 5 4 3 2 2" xfId="53892" xr:uid="{00000000-0005-0000-0000-000020270000}"/>
    <cellStyle name="20% - Accent5 3 5 4 3 3" xfId="39393" xr:uid="{00000000-0005-0000-0000-000021270000}"/>
    <cellStyle name="20% - Accent5 3 5 4 4" xfId="17638" xr:uid="{00000000-0005-0000-0000-000022270000}"/>
    <cellStyle name="20% - Accent5 3 5 4 4 2" xfId="46644" xr:uid="{00000000-0005-0000-0000-000023270000}"/>
    <cellStyle name="20% - Accent5 3 5 4 5" xfId="32145" xr:uid="{00000000-0005-0000-0000-000024270000}"/>
    <cellStyle name="20% - Accent5 3 5 5" xfId="4112" xr:uid="{00000000-0005-0000-0000-000025270000}"/>
    <cellStyle name="20% - Accent5 3 5 5 2" xfId="11384" xr:uid="{00000000-0005-0000-0000-000026270000}"/>
    <cellStyle name="20% - Accent5 3 5 5 2 2" xfId="25918" xr:uid="{00000000-0005-0000-0000-000027270000}"/>
    <cellStyle name="20% - Accent5 3 5 5 2 2 2" xfId="54924" xr:uid="{00000000-0005-0000-0000-000028270000}"/>
    <cellStyle name="20% - Accent5 3 5 5 2 3" xfId="40425" xr:uid="{00000000-0005-0000-0000-000029270000}"/>
    <cellStyle name="20% - Accent5 3 5 5 3" xfId="18670" xr:uid="{00000000-0005-0000-0000-00002A270000}"/>
    <cellStyle name="20% - Accent5 3 5 5 3 2" xfId="47676" xr:uid="{00000000-0005-0000-0000-00002B270000}"/>
    <cellStyle name="20% - Accent5 3 5 5 4" xfId="33177" xr:uid="{00000000-0005-0000-0000-00002C270000}"/>
    <cellStyle name="20% - Accent5 3 5 6" xfId="7216" xr:uid="{00000000-0005-0000-0000-00002D270000}"/>
    <cellStyle name="20% - Accent5 3 5 6 2" xfId="14488" xr:uid="{00000000-0005-0000-0000-00002E270000}"/>
    <cellStyle name="20% - Accent5 3 5 6 2 2" xfId="29022" xr:uid="{00000000-0005-0000-0000-00002F270000}"/>
    <cellStyle name="20% - Accent5 3 5 6 2 2 2" xfId="58028" xr:uid="{00000000-0005-0000-0000-000030270000}"/>
    <cellStyle name="20% - Accent5 3 5 6 2 3" xfId="43529" xr:uid="{00000000-0005-0000-0000-000031270000}"/>
    <cellStyle name="20% - Accent5 3 5 6 3" xfId="21774" xr:uid="{00000000-0005-0000-0000-000032270000}"/>
    <cellStyle name="20% - Accent5 3 5 6 3 2" xfId="50780" xr:uid="{00000000-0005-0000-0000-000033270000}"/>
    <cellStyle name="20% - Accent5 3 5 6 4" xfId="36281" xr:uid="{00000000-0005-0000-0000-000034270000}"/>
    <cellStyle name="20% - Accent5 3 5 7" xfId="8280" xr:uid="{00000000-0005-0000-0000-000035270000}"/>
    <cellStyle name="20% - Accent5 3 5 7 2" xfId="22814" xr:uid="{00000000-0005-0000-0000-000036270000}"/>
    <cellStyle name="20% - Accent5 3 5 7 2 2" xfId="51820" xr:uid="{00000000-0005-0000-0000-000037270000}"/>
    <cellStyle name="20% - Accent5 3 5 7 3" xfId="37321" xr:uid="{00000000-0005-0000-0000-000038270000}"/>
    <cellStyle name="20% - Accent5 3 5 8" xfId="15566" xr:uid="{00000000-0005-0000-0000-000039270000}"/>
    <cellStyle name="20% - Accent5 3 5 8 2" xfId="44572" xr:uid="{00000000-0005-0000-0000-00003A270000}"/>
    <cellStyle name="20% - Accent5 3 5 9" xfId="30073" xr:uid="{00000000-0005-0000-0000-00003B270000}"/>
    <cellStyle name="20% - Accent5 3 6" xfId="1298" xr:uid="{00000000-0005-0000-0000-00003C270000}"/>
    <cellStyle name="20% - Accent5 3 6 2" xfId="2354" xr:uid="{00000000-0005-0000-0000-00003D270000}"/>
    <cellStyle name="20% - Accent5 3 6 2 2" xfId="5458" xr:uid="{00000000-0005-0000-0000-00003E270000}"/>
    <cellStyle name="20% - Accent5 3 6 2 2 2" xfId="12730" xr:uid="{00000000-0005-0000-0000-00003F270000}"/>
    <cellStyle name="20% - Accent5 3 6 2 2 2 2" xfId="27264" xr:uid="{00000000-0005-0000-0000-000040270000}"/>
    <cellStyle name="20% - Accent5 3 6 2 2 2 2 2" xfId="56270" xr:uid="{00000000-0005-0000-0000-000041270000}"/>
    <cellStyle name="20% - Accent5 3 6 2 2 2 3" xfId="41771" xr:uid="{00000000-0005-0000-0000-000042270000}"/>
    <cellStyle name="20% - Accent5 3 6 2 2 3" xfId="20016" xr:uid="{00000000-0005-0000-0000-000043270000}"/>
    <cellStyle name="20% - Accent5 3 6 2 2 3 2" xfId="49022" xr:uid="{00000000-0005-0000-0000-000044270000}"/>
    <cellStyle name="20% - Accent5 3 6 2 2 4" xfId="34523" xr:uid="{00000000-0005-0000-0000-000045270000}"/>
    <cellStyle name="20% - Accent5 3 6 2 3" xfId="9626" xr:uid="{00000000-0005-0000-0000-000046270000}"/>
    <cellStyle name="20% - Accent5 3 6 2 3 2" xfId="24160" xr:uid="{00000000-0005-0000-0000-000047270000}"/>
    <cellStyle name="20% - Accent5 3 6 2 3 2 2" xfId="53166" xr:uid="{00000000-0005-0000-0000-000048270000}"/>
    <cellStyle name="20% - Accent5 3 6 2 3 3" xfId="38667" xr:uid="{00000000-0005-0000-0000-000049270000}"/>
    <cellStyle name="20% - Accent5 3 6 2 4" xfId="16912" xr:uid="{00000000-0005-0000-0000-00004A270000}"/>
    <cellStyle name="20% - Accent5 3 6 2 4 2" xfId="45918" xr:uid="{00000000-0005-0000-0000-00004B270000}"/>
    <cellStyle name="20% - Accent5 3 6 2 5" xfId="31419" xr:uid="{00000000-0005-0000-0000-00004C270000}"/>
    <cellStyle name="20% - Accent5 3 6 3" xfId="3386" xr:uid="{00000000-0005-0000-0000-00004D270000}"/>
    <cellStyle name="20% - Accent5 3 6 3 2" xfId="6490" xr:uid="{00000000-0005-0000-0000-00004E270000}"/>
    <cellStyle name="20% - Accent5 3 6 3 2 2" xfId="13762" xr:uid="{00000000-0005-0000-0000-00004F270000}"/>
    <cellStyle name="20% - Accent5 3 6 3 2 2 2" xfId="28296" xr:uid="{00000000-0005-0000-0000-000050270000}"/>
    <cellStyle name="20% - Accent5 3 6 3 2 2 2 2" xfId="57302" xr:uid="{00000000-0005-0000-0000-000051270000}"/>
    <cellStyle name="20% - Accent5 3 6 3 2 2 3" xfId="42803" xr:uid="{00000000-0005-0000-0000-000052270000}"/>
    <cellStyle name="20% - Accent5 3 6 3 2 3" xfId="21048" xr:uid="{00000000-0005-0000-0000-000053270000}"/>
    <cellStyle name="20% - Accent5 3 6 3 2 3 2" xfId="50054" xr:uid="{00000000-0005-0000-0000-000054270000}"/>
    <cellStyle name="20% - Accent5 3 6 3 2 4" xfId="35555" xr:uid="{00000000-0005-0000-0000-000055270000}"/>
    <cellStyle name="20% - Accent5 3 6 3 3" xfId="10658" xr:uid="{00000000-0005-0000-0000-000056270000}"/>
    <cellStyle name="20% - Accent5 3 6 3 3 2" xfId="25192" xr:uid="{00000000-0005-0000-0000-000057270000}"/>
    <cellStyle name="20% - Accent5 3 6 3 3 2 2" xfId="54198" xr:uid="{00000000-0005-0000-0000-000058270000}"/>
    <cellStyle name="20% - Accent5 3 6 3 3 3" xfId="39699" xr:uid="{00000000-0005-0000-0000-000059270000}"/>
    <cellStyle name="20% - Accent5 3 6 3 4" xfId="17944" xr:uid="{00000000-0005-0000-0000-00005A270000}"/>
    <cellStyle name="20% - Accent5 3 6 3 4 2" xfId="46950" xr:uid="{00000000-0005-0000-0000-00005B270000}"/>
    <cellStyle name="20% - Accent5 3 6 3 5" xfId="32451" xr:uid="{00000000-0005-0000-0000-00005C270000}"/>
    <cellStyle name="20% - Accent5 3 6 4" xfId="4418" xr:uid="{00000000-0005-0000-0000-00005D270000}"/>
    <cellStyle name="20% - Accent5 3 6 4 2" xfId="11690" xr:uid="{00000000-0005-0000-0000-00005E270000}"/>
    <cellStyle name="20% - Accent5 3 6 4 2 2" xfId="26224" xr:uid="{00000000-0005-0000-0000-00005F270000}"/>
    <cellStyle name="20% - Accent5 3 6 4 2 2 2" xfId="55230" xr:uid="{00000000-0005-0000-0000-000060270000}"/>
    <cellStyle name="20% - Accent5 3 6 4 2 3" xfId="40731" xr:uid="{00000000-0005-0000-0000-000061270000}"/>
    <cellStyle name="20% - Accent5 3 6 4 3" xfId="18976" xr:uid="{00000000-0005-0000-0000-000062270000}"/>
    <cellStyle name="20% - Accent5 3 6 4 3 2" xfId="47982" xr:uid="{00000000-0005-0000-0000-000063270000}"/>
    <cellStyle name="20% - Accent5 3 6 4 4" xfId="33483" xr:uid="{00000000-0005-0000-0000-000064270000}"/>
    <cellStyle name="20% - Accent5 3 6 5" xfId="7522" xr:uid="{00000000-0005-0000-0000-000065270000}"/>
    <cellStyle name="20% - Accent5 3 6 5 2" xfId="14794" xr:uid="{00000000-0005-0000-0000-000066270000}"/>
    <cellStyle name="20% - Accent5 3 6 5 2 2" xfId="29328" xr:uid="{00000000-0005-0000-0000-000067270000}"/>
    <cellStyle name="20% - Accent5 3 6 5 2 2 2" xfId="58334" xr:uid="{00000000-0005-0000-0000-000068270000}"/>
    <cellStyle name="20% - Accent5 3 6 5 2 3" xfId="43835" xr:uid="{00000000-0005-0000-0000-000069270000}"/>
    <cellStyle name="20% - Accent5 3 6 5 3" xfId="22080" xr:uid="{00000000-0005-0000-0000-00006A270000}"/>
    <cellStyle name="20% - Accent5 3 6 5 3 2" xfId="51086" xr:uid="{00000000-0005-0000-0000-00006B270000}"/>
    <cellStyle name="20% - Accent5 3 6 5 4" xfId="36587" xr:uid="{00000000-0005-0000-0000-00006C270000}"/>
    <cellStyle name="20% - Accent5 3 6 6" xfId="8586" xr:uid="{00000000-0005-0000-0000-00006D270000}"/>
    <cellStyle name="20% - Accent5 3 6 6 2" xfId="23120" xr:uid="{00000000-0005-0000-0000-00006E270000}"/>
    <cellStyle name="20% - Accent5 3 6 6 2 2" xfId="52126" xr:uid="{00000000-0005-0000-0000-00006F270000}"/>
    <cellStyle name="20% - Accent5 3 6 6 3" xfId="37627" xr:uid="{00000000-0005-0000-0000-000070270000}"/>
    <cellStyle name="20% - Accent5 3 6 7" xfId="15872" xr:uid="{00000000-0005-0000-0000-000071270000}"/>
    <cellStyle name="20% - Accent5 3 6 7 2" xfId="44878" xr:uid="{00000000-0005-0000-0000-000072270000}"/>
    <cellStyle name="20% - Accent5 3 6 8" xfId="30379" xr:uid="{00000000-0005-0000-0000-000073270000}"/>
    <cellStyle name="20% - Accent5 3 7" xfId="1842" xr:uid="{00000000-0005-0000-0000-000074270000}"/>
    <cellStyle name="20% - Accent5 3 7 2" xfId="4946" xr:uid="{00000000-0005-0000-0000-000075270000}"/>
    <cellStyle name="20% - Accent5 3 7 2 2" xfId="12218" xr:uid="{00000000-0005-0000-0000-000076270000}"/>
    <cellStyle name="20% - Accent5 3 7 2 2 2" xfId="26752" xr:uid="{00000000-0005-0000-0000-000077270000}"/>
    <cellStyle name="20% - Accent5 3 7 2 2 2 2" xfId="55758" xr:uid="{00000000-0005-0000-0000-000078270000}"/>
    <cellStyle name="20% - Accent5 3 7 2 2 3" xfId="41259" xr:uid="{00000000-0005-0000-0000-000079270000}"/>
    <cellStyle name="20% - Accent5 3 7 2 3" xfId="19504" xr:uid="{00000000-0005-0000-0000-00007A270000}"/>
    <cellStyle name="20% - Accent5 3 7 2 3 2" xfId="48510" xr:uid="{00000000-0005-0000-0000-00007B270000}"/>
    <cellStyle name="20% - Accent5 3 7 2 4" xfId="34011" xr:uid="{00000000-0005-0000-0000-00007C270000}"/>
    <cellStyle name="20% - Accent5 3 7 3" xfId="9114" xr:uid="{00000000-0005-0000-0000-00007D270000}"/>
    <cellStyle name="20% - Accent5 3 7 3 2" xfId="23648" xr:uid="{00000000-0005-0000-0000-00007E270000}"/>
    <cellStyle name="20% - Accent5 3 7 3 2 2" xfId="52654" xr:uid="{00000000-0005-0000-0000-00007F270000}"/>
    <cellStyle name="20% - Accent5 3 7 3 3" xfId="38155" xr:uid="{00000000-0005-0000-0000-000080270000}"/>
    <cellStyle name="20% - Accent5 3 7 4" xfId="16400" xr:uid="{00000000-0005-0000-0000-000081270000}"/>
    <cellStyle name="20% - Accent5 3 7 4 2" xfId="45406" xr:uid="{00000000-0005-0000-0000-000082270000}"/>
    <cellStyle name="20% - Accent5 3 7 5" xfId="30907" xr:uid="{00000000-0005-0000-0000-000083270000}"/>
    <cellStyle name="20% - Accent5 3 8" xfId="2874" xr:uid="{00000000-0005-0000-0000-000084270000}"/>
    <cellStyle name="20% - Accent5 3 8 2" xfId="5978" xr:uid="{00000000-0005-0000-0000-000085270000}"/>
    <cellStyle name="20% - Accent5 3 8 2 2" xfId="13250" xr:uid="{00000000-0005-0000-0000-000086270000}"/>
    <cellStyle name="20% - Accent5 3 8 2 2 2" xfId="27784" xr:uid="{00000000-0005-0000-0000-000087270000}"/>
    <cellStyle name="20% - Accent5 3 8 2 2 2 2" xfId="56790" xr:uid="{00000000-0005-0000-0000-000088270000}"/>
    <cellStyle name="20% - Accent5 3 8 2 2 3" xfId="42291" xr:uid="{00000000-0005-0000-0000-000089270000}"/>
    <cellStyle name="20% - Accent5 3 8 2 3" xfId="20536" xr:uid="{00000000-0005-0000-0000-00008A270000}"/>
    <cellStyle name="20% - Accent5 3 8 2 3 2" xfId="49542" xr:uid="{00000000-0005-0000-0000-00008B270000}"/>
    <cellStyle name="20% - Accent5 3 8 2 4" xfId="35043" xr:uid="{00000000-0005-0000-0000-00008C270000}"/>
    <cellStyle name="20% - Accent5 3 8 3" xfId="10146" xr:uid="{00000000-0005-0000-0000-00008D270000}"/>
    <cellStyle name="20% - Accent5 3 8 3 2" xfId="24680" xr:uid="{00000000-0005-0000-0000-00008E270000}"/>
    <cellStyle name="20% - Accent5 3 8 3 2 2" xfId="53686" xr:uid="{00000000-0005-0000-0000-00008F270000}"/>
    <cellStyle name="20% - Accent5 3 8 3 3" xfId="39187" xr:uid="{00000000-0005-0000-0000-000090270000}"/>
    <cellStyle name="20% - Accent5 3 8 4" xfId="17432" xr:uid="{00000000-0005-0000-0000-000091270000}"/>
    <cellStyle name="20% - Accent5 3 8 4 2" xfId="46438" xr:uid="{00000000-0005-0000-0000-000092270000}"/>
    <cellStyle name="20% - Accent5 3 8 5" xfId="31939" xr:uid="{00000000-0005-0000-0000-000093270000}"/>
    <cellStyle name="20% - Accent5 3 9" xfId="3906" xr:uid="{00000000-0005-0000-0000-000094270000}"/>
    <cellStyle name="20% - Accent5 3 9 2" xfId="11178" xr:uid="{00000000-0005-0000-0000-000095270000}"/>
    <cellStyle name="20% - Accent5 3 9 2 2" xfId="25712" xr:uid="{00000000-0005-0000-0000-000096270000}"/>
    <cellStyle name="20% - Accent5 3 9 2 2 2" xfId="54718" xr:uid="{00000000-0005-0000-0000-000097270000}"/>
    <cellStyle name="20% - Accent5 3 9 2 3" xfId="40219" xr:uid="{00000000-0005-0000-0000-000098270000}"/>
    <cellStyle name="20% - Accent5 3 9 3" xfId="18464" xr:uid="{00000000-0005-0000-0000-000099270000}"/>
    <cellStyle name="20% - Accent5 3 9 3 2" xfId="47470" xr:uid="{00000000-0005-0000-0000-00009A270000}"/>
    <cellStyle name="20% - Accent5 3 9 4" xfId="32971" xr:uid="{00000000-0005-0000-0000-00009B270000}"/>
    <cellStyle name="20% - Accent5 4" xfId="872" xr:uid="{00000000-0005-0000-0000-00009C270000}"/>
    <cellStyle name="20% - Accent5 4 10" xfId="8102" xr:uid="{00000000-0005-0000-0000-00009D270000}"/>
    <cellStyle name="20% - Accent5 4 10 2" xfId="22636" xr:uid="{00000000-0005-0000-0000-00009E270000}"/>
    <cellStyle name="20% - Accent5 4 10 2 2" xfId="51642" xr:uid="{00000000-0005-0000-0000-00009F270000}"/>
    <cellStyle name="20% - Accent5 4 10 3" xfId="37143" xr:uid="{00000000-0005-0000-0000-0000A0270000}"/>
    <cellStyle name="20% - Accent5 4 11" xfId="15388" xr:uid="{00000000-0005-0000-0000-0000A1270000}"/>
    <cellStyle name="20% - Accent5 4 11 2" xfId="44394" xr:uid="{00000000-0005-0000-0000-0000A2270000}"/>
    <cellStyle name="20% - Accent5 4 12" xfId="29895" xr:uid="{00000000-0005-0000-0000-0000A3270000}"/>
    <cellStyle name="20% - Accent5 4 2" xfId="952" xr:uid="{00000000-0005-0000-0000-0000A4270000}"/>
    <cellStyle name="20% - Accent5 4 2 10" xfId="29998" xr:uid="{00000000-0005-0000-0000-0000A5270000}"/>
    <cellStyle name="20% - Accent5 4 2 2" xfId="1227" xr:uid="{00000000-0005-0000-0000-0000A6270000}"/>
    <cellStyle name="20% - Accent5 4 2 2 2" xfId="1732" xr:uid="{00000000-0005-0000-0000-0000A7270000}"/>
    <cellStyle name="20% - Accent5 4 2 2 2 2" xfId="2791" xr:uid="{00000000-0005-0000-0000-0000A8270000}"/>
    <cellStyle name="20% - Accent5 4 2 2 2 2 2" xfId="5895" xr:uid="{00000000-0005-0000-0000-0000A9270000}"/>
    <cellStyle name="20% - Accent5 4 2 2 2 2 2 2" xfId="13167" xr:uid="{00000000-0005-0000-0000-0000AA270000}"/>
    <cellStyle name="20% - Accent5 4 2 2 2 2 2 2 2" xfId="27701" xr:uid="{00000000-0005-0000-0000-0000AB270000}"/>
    <cellStyle name="20% - Accent5 4 2 2 2 2 2 2 2 2" xfId="56707" xr:uid="{00000000-0005-0000-0000-0000AC270000}"/>
    <cellStyle name="20% - Accent5 4 2 2 2 2 2 2 3" xfId="42208" xr:uid="{00000000-0005-0000-0000-0000AD270000}"/>
    <cellStyle name="20% - Accent5 4 2 2 2 2 2 3" xfId="20453" xr:uid="{00000000-0005-0000-0000-0000AE270000}"/>
    <cellStyle name="20% - Accent5 4 2 2 2 2 2 3 2" xfId="49459" xr:uid="{00000000-0005-0000-0000-0000AF270000}"/>
    <cellStyle name="20% - Accent5 4 2 2 2 2 2 4" xfId="34960" xr:uid="{00000000-0005-0000-0000-0000B0270000}"/>
    <cellStyle name="20% - Accent5 4 2 2 2 2 3" xfId="10063" xr:uid="{00000000-0005-0000-0000-0000B1270000}"/>
    <cellStyle name="20% - Accent5 4 2 2 2 2 3 2" xfId="24597" xr:uid="{00000000-0005-0000-0000-0000B2270000}"/>
    <cellStyle name="20% - Accent5 4 2 2 2 2 3 2 2" xfId="53603" xr:uid="{00000000-0005-0000-0000-0000B3270000}"/>
    <cellStyle name="20% - Accent5 4 2 2 2 2 3 3" xfId="39104" xr:uid="{00000000-0005-0000-0000-0000B4270000}"/>
    <cellStyle name="20% - Accent5 4 2 2 2 2 4" xfId="17349" xr:uid="{00000000-0005-0000-0000-0000B5270000}"/>
    <cellStyle name="20% - Accent5 4 2 2 2 2 4 2" xfId="46355" xr:uid="{00000000-0005-0000-0000-0000B6270000}"/>
    <cellStyle name="20% - Accent5 4 2 2 2 2 5" xfId="31856" xr:uid="{00000000-0005-0000-0000-0000B7270000}"/>
    <cellStyle name="20% - Accent5 4 2 2 2 3" xfId="3823" xr:uid="{00000000-0005-0000-0000-0000B8270000}"/>
    <cellStyle name="20% - Accent5 4 2 2 2 3 2" xfId="6927" xr:uid="{00000000-0005-0000-0000-0000B9270000}"/>
    <cellStyle name="20% - Accent5 4 2 2 2 3 2 2" xfId="14199" xr:uid="{00000000-0005-0000-0000-0000BA270000}"/>
    <cellStyle name="20% - Accent5 4 2 2 2 3 2 2 2" xfId="28733" xr:uid="{00000000-0005-0000-0000-0000BB270000}"/>
    <cellStyle name="20% - Accent5 4 2 2 2 3 2 2 2 2" xfId="57739" xr:uid="{00000000-0005-0000-0000-0000BC270000}"/>
    <cellStyle name="20% - Accent5 4 2 2 2 3 2 2 3" xfId="43240" xr:uid="{00000000-0005-0000-0000-0000BD270000}"/>
    <cellStyle name="20% - Accent5 4 2 2 2 3 2 3" xfId="21485" xr:uid="{00000000-0005-0000-0000-0000BE270000}"/>
    <cellStyle name="20% - Accent5 4 2 2 2 3 2 3 2" xfId="50491" xr:uid="{00000000-0005-0000-0000-0000BF270000}"/>
    <cellStyle name="20% - Accent5 4 2 2 2 3 2 4" xfId="35992" xr:uid="{00000000-0005-0000-0000-0000C0270000}"/>
    <cellStyle name="20% - Accent5 4 2 2 2 3 3" xfId="11095" xr:uid="{00000000-0005-0000-0000-0000C1270000}"/>
    <cellStyle name="20% - Accent5 4 2 2 2 3 3 2" xfId="25629" xr:uid="{00000000-0005-0000-0000-0000C2270000}"/>
    <cellStyle name="20% - Accent5 4 2 2 2 3 3 2 2" xfId="54635" xr:uid="{00000000-0005-0000-0000-0000C3270000}"/>
    <cellStyle name="20% - Accent5 4 2 2 2 3 3 3" xfId="40136" xr:uid="{00000000-0005-0000-0000-0000C4270000}"/>
    <cellStyle name="20% - Accent5 4 2 2 2 3 4" xfId="18381" xr:uid="{00000000-0005-0000-0000-0000C5270000}"/>
    <cellStyle name="20% - Accent5 4 2 2 2 3 4 2" xfId="47387" xr:uid="{00000000-0005-0000-0000-0000C6270000}"/>
    <cellStyle name="20% - Accent5 4 2 2 2 3 5" xfId="32888" xr:uid="{00000000-0005-0000-0000-0000C7270000}"/>
    <cellStyle name="20% - Accent5 4 2 2 2 4" xfId="4855" xr:uid="{00000000-0005-0000-0000-0000C8270000}"/>
    <cellStyle name="20% - Accent5 4 2 2 2 4 2" xfId="12127" xr:uid="{00000000-0005-0000-0000-0000C9270000}"/>
    <cellStyle name="20% - Accent5 4 2 2 2 4 2 2" xfId="26661" xr:uid="{00000000-0005-0000-0000-0000CA270000}"/>
    <cellStyle name="20% - Accent5 4 2 2 2 4 2 2 2" xfId="55667" xr:uid="{00000000-0005-0000-0000-0000CB270000}"/>
    <cellStyle name="20% - Accent5 4 2 2 2 4 2 3" xfId="41168" xr:uid="{00000000-0005-0000-0000-0000CC270000}"/>
    <cellStyle name="20% - Accent5 4 2 2 2 4 3" xfId="19413" xr:uid="{00000000-0005-0000-0000-0000CD270000}"/>
    <cellStyle name="20% - Accent5 4 2 2 2 4 3 2" xfId="48419" xr:uid="{00000000-0005-0000-0000-0000CE270000}"/>
    <cellStyle name="20% - Accent5 4 2 2 2 4 4" xfId="33920" xr:uid="{00000000-0005-0000-0000-0000CF270000}"/>
    <cellStyle name="20% - Accent5 4 2 2 2 5" xfId="7959" xr:uid="{00000000-0005-0000-0000-0000D0270000}"/>
    <cellStyle name="20% - Accent5 4 2 2 2 5 2" xfId="15231" xr:uid="{00000000-0005-0000-0000-0000D1270000}"/>
    <cellStyle name="20% - Accent5 4 2 2 2 5 2 2" xfId="29765" xr:uid="{00000000-0005-0000-0000-0000D2270000}"/>
    <cellStyle name="20% - Accent5 4 2 2 2 5 2 2 2" xfId="58771" xr:uid="{00000000-0005-0000-0000-0000D3270000}"/>
    <cellStyle name="20% - Accent5 4 2 2 2 5 2 3" xfId="44272" xr:uid="{00000000-0005-0000-0000-0000D4270000}"/>
    <cellStyle name="20% - Accent5 4 2 2 2 5 3" xfId="22517" xr:uid="{00000000-0005-0000-0000-0000D5270000}"/>
    <cellStyle name="20% - Accent5 4 2 2 2 5 3 2" xfId="51523" xr:uid="{00000000-0005-0000-0000-0000D6270000}"/>
    <cellStyle name="20% - Accent5 4 2 2 2 5 4" xfId="37024" xr:uid="{00000000-0005-0000-0000-0000D7270000}"/>
    <cellStyle name="20% - Accent5 4 2 2 2 6" xfId="9023" xr:uid="{00000000-0005-0000-0000-0000D8270000}"/>
    <cellStyle name="20% - Accent5 4 2 2 2 6 2" xfId="23557" xr:uid="{00000000-0005-0000-0000-0000D9270000}"/>
    <cellStyle name="20% - Accent5 4 2 2 2 6 2 2" xfId="52563" xr:uid="{00000000-0005-0000-0000-0000DA270000}"/>
    <cellStyle name="20% - Accent5 4 2 2 2 6 3" xfId="38064" xr:uid="{00000000-0005-0000-0000-0000DB270000}"/>
    <cellStyle name="20% - Accent5 4 2 2 2 7" xfId="16309" xr:uid="{00000000-0005-0000-0000-0000DC270000}"/>
    <cellStyle name="20% - Accent5 4 2 2 2 7 2" xfId="45315" xr:uid="{00000000-0005-0000-0000-0000DD270000}"/>
    <cellStyle name="20% - Accent5 4 2 2 2 8" xfId="30816" xr:uid="{00000000-0005-0000-0000-0000DE270000}"/>
    <cellStyle name="20% - Accent5 4 2 2 3" xfId="2279" xr:uid="{00000000-0005-0000-0000-0000DF270000}"/>
    <cellStyle name="20% - Accent5 4 2 2 3 2" xfId="5383" xr:uid="{00000000-0005-0000-0000-0000E0270000}"/>
    <cellStyle name="20% - Accent5 4 2 2 3 2 2" xfId="12655" xr:uid="{00000000-0005-0000-0000-0000E1270000}"/>
    <cellStyle name="20% - Accent5 4 2 2 3 2 2 2" xfId="27189" xr:uid="{00000000-0005-0000-0000-0000E2270000}"/>
    <cellStyle name="20% - Accent5 4 2 2 3 2 2 2 2" xfId="56195" xr:uid="{00000000-0005-0000-0000-0000E3270000}"/>
    <cellStyle name="20% - Accent5 4 2 2 3 2 2 3" xfId="41696" xr:uid="{00000000-0005-0000-0000-0000E4270000}"/>
    <cellStyle name="20% - Accent5 4 2 2 3 2 3" xfId="19941" xr:uid="{00000000-0005-0000-0000-0000E5270000}"/>
    <cellStyle name="20% - Accent5 4 2 2 3 2 3 2" xfId="48947" xr:uid="{00000000-0005-0000-0000-0000E6270000}"/>
    <cellStyle name="20% - Accent5 4 2 2 3 2 4" xfId="34448" xr:uid="{00000000-0005-0000-0000-0000E7270000}"/>
    <cellStyle name="20% - Accent5 4 2 2 3 3" xfId="9551" xr:uid="{00000000-0005-0000-0000-0000E8270000}"/>
    <cellStyle name="20% - Accent5 4 2 2 3 3 2" xfId="24085" xr:uid="{00000000-0005-0000-0000-0000E9270000}"/>
    <cellStyle name="20% - Accent5 4 2 2 3 3 2 2" xfId="53091" xr:uid="{00000000-0005-0000-0000-0000EA270000}"/>
    <cellStyle name="20% - Accent5 4 2 2 3 3 3" xfId="38592" xr:uid="{00000000-0005-0000-0000-0000EB270000}"/>
    <cellStyle name="20% - Accent5 4 2 2 3 4" xfId="16837" xr:uid="{00000000-0005-0000-0000-0000EC270000}"/>
    <cellStyle name="20% - Accent5 4 2 2 3 4 2" xfId="45843" xr:uid="{00000000-0005-0000-0000-0000ED270000}"/>
    <cellStyle name="20% - Accent5 4 2 2 3 5" xfId="31344" xr:uid="{00000000-0005-0000-0000-0000EE270000}"/>
    <cellStyle name="20% - Accent5 4 2 2 4" xfId="3311" xr:uid="{00000000-0005-0000-0000-0000EF270000}"/>
    <cellStyle name="20% - Accent5 4 2 2 4 2" xfId="6415" xr:uid="{00000000-0005-0000-0000-0000F0270000}"/>
    <cellStyle name="20% - Accent5 4 2 2 4 2 2" xfId="13687" xr:uid="{00000000-0005-0000-0000-0000F1270000}"/>
    <cellStyle name="20% - Accent5 4 2 2 4 2 2 2" xfId="28221" xr:uid="{00000000-0005-0000-0000-0000F2270000}"/>
    <cellStyle name="20% - Accent5 4 2 2 4 2 2 2 2" xfId="57227" xr:uid="{00000000-0005-0000-0000-0000F3270000}"/>
    <cellStyle name="20% - Accent5 4 2 2 4 2 2 3" xfId="42728" xr:uid="{00000000-0005-0000-0000-0000F4270000}"/>
    <cellStyle name="20% - Accent5 4 2 2 4 2 3" xfId="20973" xr:uid="{00000000-0005-0000-0000-0000F5270000}"/>
    <cellStyle name="20% - Accent5 4 2 2 4 2 3 2" xfId="49979" xr:uid="{00000000-0005-0000-0000-0000F6270000}"/>
    <cellStyle name="20% - Accent5 4 2 2 4 2 4" xfId="35480" xr:uid="{00000000-0005-0000-0000-0000F7270000}"/>
    <cellStyle name="20% - Accent5 4 2 2 4 3" xfId="10583" xr:uid="{00000000-0005-0000-0000-0000F8270000}"/>
    <cellStyle name="20% - Accent5 4 2 2 4 3 2" xfId="25117" xr:uid="{00000000-0005-0000-0000-0000F9270000}"/>
    <cellStyle name="20% - Accent5 4 2 2 4 3 2 2" xfId="54123" xr:uid="{00000000-0005-0000-0000-0000FA270000}"/>
    <cellStyle name="20% - Accent5 4 2 2 4 3 3" xfId="39624" xr:uid="{00000000-0005-0000-0000-0000FB270000}"/>
    <cellStyle name="20% - Accent5 4 2 2 4 4" xfId="17869" xr:uid="{00000000-0005-0000-0000-0000FC270000}"/>
    <cellStyle name="20% - Accent5 4 2 2 4 4 2" xfId="46875" xr:uid="{00000000-0005-0000-0000-0000FD270000}"/>
    <cellStyle name="20% - Accent5 4 2 2 4 5" xfId="32376" xr:uid="{00000000-0005-0000-0000-0000FE270000}"/>
    <cellStyle name="20% - Accent5 4 2 2 5" xfId="4343" xr:uid="{00000000-0005-0000-0000-0000FF270000}"/>
    <cellStyle name="20% - Accent5 4 2 2 5 2" xfId="11615" xr:uid="{00000000-0005-0000-0000-000000280000}"/>
    <cellStyle name="20% - Accent5 4 2 2 5 2 2" xfId="26149" xr:uid="{00000000-0005-0000-0000-000001280000}"/>
    <cellStyle name="20% - Accent5 4 2 2 5 2 2 2" xfId="55155" xr:uid="{00000000-0005-0000-0000-000002280000}"/>
    <cellStyle name="20% - Accent5 4 2 2 5 2 3" xfId="40656" xr:uid="{00000000-0005-0000-0000-000003280000}"/>
    <cellStyle name="20% - Accent5 4 2 2 5 3" xfId="18901" xr:uid="{00000000-0005-0000-0000-000004280000}"/>
    <cellStyle name="20% - Accent5 4 2 2 5 3 2" xfId="47907" xr:uid="{00000000-0005-0000-0000-000005280000}"/>
    <cellStyle name="20% - Accent5 4 2 2 5 4" xfId="33408" xr:uid="{00000000-0005-0000-0000-000006280000}"/>
    <cellStyle name="20% - Accent5 4 2 2 6" xfId="7447" xr:uid="{00000000-0005-0000-0000-000007280000}"/>
    <cellStyle name="20% - Accent5 4 2 2 6 2" xfId="14719" xr:uid="{00000000-0005-0000-0000-000008280000}"/>
    <cellStyle name="20% - Accent5 4 2 2 6 2 2" xfId="29253" xr:uid="{00000000-0005-0000-0000-000009280000}"/>
    <cellStyle name="20% - Accent5 4 2 2 6 2 2 2" xfId="58259" xr:uid="{00000000-0005-0000-0000-00000A280000}"/>
    <cellStyle name="20% - Accent5 4 2 2 6 2 3" xfId="43760" xr:uid="{00000000-0005-0000-0000-00000B280000}"/>
    <cellStyle name="20% - Accent5 4 2 2 6 3" xfId="22005" xr:uid="{00000000-0005-0000-0000-00000C280000}"/>
    <cellStyle name="20% - Accent5 4 2 2 6 3 2" xfId="51011" xr:uid="{00000000-0005-0000-0000-00000D280000}"/>
    <cellStyle name="20% - Accent5 4 2 2 6 4" xfId="36512" xr:uid="{00000000-0005-0000-0000-00000E280000}"/>
    <cellStyle name="20% - Accent5 4 2 2 7" xfId="8511" xr:uid="{00000000-0005-0000-0000-00000F280000}"/>
    <cellStyle name="20% - Accent5 4 2 2 7 2" xfId="23045" xr:uid="{00000000-0005-0000-0000-000010280000}"/>
    <cellStyle name="20% - Accent5 4 2 2 7 2 2" xfId="52051" xr:uid="{00000000-0005-0000-0000-000011280000}"/>
    <cellStyle name="20% - Accent5 4 2 2 7 3" xfId="37552" xr:uid="{00000000-0005-0000-0000-000012280000}"/>
    <cellStyle name="20% - Accent5 4 2 2 8" xfId="15797" xr:uid="{00000000-0005-0000-0000-000013280000}"/>
    <cellStyle name="20% - Accent5 4 2 2 8 2" xfId="44803" xr:uid="{00000000-0005-0000-0000-000014280000}"/>
    <cellStyle name="20% - Accent5 4 2 2 9" xfId="30304" xr:uid="{00000000-0005-0000-0000-000015280000}"/>
    <cellStyle name="20% - Accent5 4 2 3" xfId="1427" xr:uid="{00000000-0005-0000-0000-000016280000}"/>
    <cellStyle name="20% - Accent5 4 2 3 2" xfId="2485" xr:uid="{00000000-0005-0000-0000-000017280000}"/>
    <cellStyle name="20% - Accent5 4 2 3 2 2" xfId="5589" xr:uid="{00000000-0005-0000-0000-000018280000}"/>
    <cellStyle name="20% - Accent5 4 2 3 2 2 2" xfId="12861" xr:uid="{00000000-0005-0000-0000-000019280000}"/>
    <cellStyle name="20% - Accent5 4 2 3 2 2 2 2" xfId="27395" xr:uid="{00000000-0005-0000-0000-00001A280000}"/>
    <cellStyle name="20% - Accent5 4 2 3 2 2 2 2 2" xfId="56401" xr:uid="{00000000-0005-0000-0000-00001B280000}"/>
    <cellStyle name="20% - Accent5 4 2 3 2 2 2 3" xfId="41902" xr:uid="{00000000-0005-0000-0000-00001C280000}"/>
    <cellStyle name="20% - Accent5 4 2 3 2 2 3" xfId="20147" xr:uid="{00000000-0005-0000-0000-00001D280000}"/>
    <cellStyle name="20% - Accent5 4 2 3 2 2 3 2" xfId="49153" xr:uid="{00000000-0005-0000-0000-00001E280000}"/>
    <cellStyle name="20% - Accent5 4 2 3 2 2 4" xfId="34654" xr:uid="{00000000-0005-0000-0000-00001F280000}"/>
    <cellStyle name="20% - Accent5 4 2 3 2 3" xfId="9757" xr:uid="{00000000-0005-0000-0000-000020280000}"/>
    <cellStyle name="20% - Accent5 4 2 3 2 3 2" xfId="24291" xr:uid="{00000000-0005-0000-0000-000021280000}"/>
    <cellStyle name="20% - Accent5 4 2 3 2 3 2 2" xfId="53297" xr:uid="{00000000-0005-0000-0000-000022280000}"/>
    <cellStyle name="20% - Accent5 4 2 3 2 3 3" xfId="38798" xr:uid="{00000000-0005-0000-0000-000023280000}"/>
    <cellStyle name="20% - Accent5 4 2 3 2 4" xfId="17043" xr:uid="{00000000-0005-0000-0000-000024280000}"/>
    <cellStyle name="20% - Accent5 4 2 3 2 4 2" xfId="46049" xr:uid="{00000000-0005-0000-0000-000025280000}"/>
    <cellStyle name="20% - Accent5 4 2 3 2 5" xfId="31550" xr:uid="{00000000-0005-0000-0000-000026280000}"/>
    <cellStyle name="20% - Accent5 4 2 3 3" xfId="3517" xr:uid="{00000000-0005-0000-0000-000027280000}"/>
    <cellStyle name="20% - Accent5 4 2 3 3 2" xfId="6621" xr:uid="{00000000-0005-0000-0000-000028280000}"/>
    <cellStyle name="20% - Accent5 4 2 3 3 2 2" xfId="13893" xr:uid="{00000000-0005-0000-0000-000029280000}"/>
    <cellStyle name="20% - Accent5 4 2 3 3 2 2 2" xfId="28427" xr:uid="{00000000-0005-0000-0000-00002A280000}"/>
    <cellStyle name="20% - Accent5 4 2 3 3 2 2 2 2" xfId="57433" xr:uid="{00000000-0005-0000-0000-00002B280000}"/>
    <cellStyle name="20% - Accent5 4 2 3 3 2 2 3" xfId="42934" xr:uid="{00000000-0005-0000-0000-00002C280000}"/>
    <cellStyle name="20% - Accent5 4 2 3 3 2 3" xfId="21179" xr:uid="{00000000-0005-0000-0000-00002D280000}"/>
    <cellStyle name="20% - Accent5 4 2 3 3 2 3 2" xfId="50185" xr:uid="{00000000-0005-0000-0000-00002E280000}"/>
    <cellStyle name="20% - Accent5 4 2 3 3 2 4" xfId="35686" xr:uid="{00000000-0005-0000-0000-00002F280000}"/>
    <cellStyle name="20% - Accent5 4 2 3 3 3" xfId="10789" xr:uid="{00000000-0005-0000-0000-000030280000}"/>
    <cellStyle name="20% - Accent5 4 2 3 3 3 2" xfId="25323" xr:uid="{00000000-0005-0000-0000-000031280000}"/>
    <cellStyle name="20% - Accent5 4 2 3 3 3 2 2" xfId="54329" xr:uid="{00000000-0005-0000-0000-000032280000}"/>
    <cellStyle name="20% - Accent5 4 2 3 3 3 3" xfId="39830" xr:uid="{00000000-0005-0000-0000-000033280000}"/>
    <cellStyle name="20% - Accent5 4 2 3 3 4" xfId="18075" xr:uid="{00000000-0005-0000-0000-000034280000}"/>
    <cellStyle name="20% - Accent5 4 2 3 3 4 2" xfId="47081" xr:uid="{00000000-0005-0000-0000-000035280000}"/>
    <cellStyle name="20% - Accent5 4 2 3 3 5" xfId="32582" xr:uid="{00000000-0005-0000-0000-000036280000}"/>
    <cellStyle name="20% - Accent5 4 2 3 4" xfId="4549" xr:uid="{00000000-0005-0000-0000-000037280000}"/>
    <cellStyle name="20% - Accent5 4 2 3 4 2" xfId="11821" xr:uid="{00000000-0005-0000-0000-000038280000}"/>
    <cellStyle name="20% - Accent5 4 2 3 4 2 2" xfId="26355" xr:uid="{00000000-0005-0000-0000-000039280000}"/>
    <cellStyle name="20% - Accent5 4 2 3 4 2 2 2" xfId="55361" xr:uid="{00000000-0005-0000-0000-00003A280000}"/>
    <cellStyle name="20% - Accent5 4 2 3 4 2 3" xfId="40862" xr:uid="{00000000-0005-0000-0000-00003B280000}"/>
    <cellStyle name="20% - Accent5 4 2 3 4 3" xfId="19107" xr:uid="{00000000-0005-0000-0000-00003C280000}"/>
    <cellStyle name="20% - Accent5 4 2 3 4 3 2" xfId="48113" xr:uid="{00000000-0005-0000-0000-00003D280000}"/>
    <cellStyle name="20% - Accent5 4 2 3 4 4" xfId="33614" xr:uid="{00000000-0005-0000-0000-00003E280000}"/>
    <cellStyle name="20% - Accent5 4 2 3 5" xfId="7653" xr:uid="{00000000-0005-0000-0000-00003F280000}"/>
    <cellStyle name="20% - Accent5 4 2 3 5 2" xfId="14925" xr:uid="{00000000-0005-0000-0000-000040280000}"/>
    <cellStyle name="20% - Accent5 4 2 3 5 2 2" xfId="29459" xr:uid="{00000000-0005-0000-0000-000041280000}"/>
    <cellStyle name="20% - Accent5 4 2 3 5 2 2 2" xfId="58465" xr:uid="{00000000-0005-0000-0000-000042280000}"/>
    <cellStyle name="20% - Accent5 4 2 3 5 2 3" xfId="43966" xr:uid="{00000000-0005-0000-0000-000043280000}"/>
    <cellStyle name="20% - Accent5 4 2 3 5 3" xfId="22211" xr:uid="{00000000-0005-0000-0000-000044280000}"/>
    <cellStyle name="20% - Accent5 4 2 3 5 3 2" xfId="51217" xr:uid="{00000000-0005-0000-0000-000045280000}"/>
    <cellStyle name="20% - Accent5 4 2 3 5 4" xfId="36718" xr:uid="{00000000-0005-0000-0000-000046280000}"/>
    <cellStyle name="20% - Accent5 4 2 3 6" xfId="8717" xr:uid="{00000000-0005-0000-0000-000047280000}"/>
    <cellStyle name="20% - Accent5 4 2 3 6 2" xfId="23251" xr:uid="{00000000-0005-0000-0000-000048280000}"/>
    <cellStyle name="20% - Accent5 4 2 3 6 2 2" xfId="52257" xr:uid="{00000000-0005-0000-0000-000049280000}"/>
    <cellStyle name="20% - Accent5 4 2 3 6 3" xfId="37758" xr:uid="{00000000-0005-0000-0000-00004A280000}"/>
    <cellStyle name="20% - Accent5 4 2 3 7" xfId="16003" xr:uid="{00000000-0005-0000-0000-00004B280000}"/>
    <cellStyle name="20% - Accent5 4 2 3 7 2" xfId="45009" xr:uid="{00000000-0005-0000-0000-00004C280000}"/>
    <cellStyle name="20% - Accent5 4 2 3 8" xfId="30510" xr:uid="{00000000-0005-0000-0000-00004D280000}"/>
    <cellStyle name="20% - Accent5 4 2 4" xfId="1973" xr:uid="{00000000-0005-0000-0000-00004E280000}"/>
    <cellStyle name="20% - Accent5 4 2 4 2" xfId="5077" xr:uid="{00000000-0005-0000-0000-00004F280000}"/>
    <cellStyle name="20% - Accent5 4 2 4 2 2" xfId="12349" xr:uid="{00000000-0005-0000-0000-000050280000}"/>
    <cellStyle name="20% - Accent5 4 2 4 2 2 2" xfId="26883" xr:uid="{00000000-0005-0000-0000-000051280000}"/>
    <cellStyle name="20% - Accent5 4 2 4 2 2 2 2" xfId="55889" xr:uid="{00000000-0005-0000-0000-000052280000}"/>
    <cellStyle name="20% - Accent5 4 2 4 2 2 3" xfId="41390" xr:uid="{00000000-0005-0000-0000-000053280000}"/>
    <cellStyle name="20% - Accent5 4 2 4 2 3" xfId="19635" xr:uid="{00000000-0005-0000-0000-000054280000}"/>
    <cellStyle name="20% - Accent5 4 2 4 2 3 2" xfId="48641" xr:uid="{00000000-0005-0000-0000-000055280000}"/>
    <cellStyle name="20% - Accent5 4 2 4 2 4" xfId="34142" xr:uid="{00000000-0005-0000-0000-000056280000}"/>
    <cellStyle name="20% - Accent5 4 2 4 3" xfId="9245" xr:uid="{00000000-0005-0000-0000-000057280000}"/>
    <cellStyle name="20% - Accent5 4 2 4 3 2" xfId="23779" xr:uid="{00000000-0005-0000-0000-000058280000}"/>
    <cellStyle name="20% - Accent5 4 2 4 3 2 2" xfId="52785" xr:uid="{00000000-0005-0000-0000-000059280000}"/>
    <cellStyle name="20% - Accent5 4 2 4 3 3" xfId="38286" xr:uid="{00000000-0005-0000-0000-00005A280000}"/>
    <cellStyle name="20% - Accent5 4 2 4 4" xfId="16531" xr:uid="{00000000-0005-0000-0000-00005B280000}"/>
    <cellStyle name="20% - Accent5 4 2 4 4 2" xfId="45537" xr:uid="{00000000-0005-0000-0000-00005C280000}"/>
    <cellStyle name="20% - Accent5 4 2 4 5" xfId="31038" xr:uid="{00000000-0005-0000-0000-00005D280000}"/>
    <cellStyle name="20% - Accent5 4 2 5" xfId="3005" xr:uid="{00000000-0005-0000-0000-00005E280000}"/>
    <cellStyle name="20% - Accent5 4 2 5 2" xfId="6109" xr:uid="{00000000-0005-0000-0000-00005F280000}"/>
    <cellStyle name="20% - Accent5 4 2 5 2 2" xfId="13381" xr:uid="{00000000-0005-0000-0000-000060280000}"/>
    <cellStyle name="20% - Accent5 4 2 5 2 2 2" xfId="27915" xr:uid="{00000000-0005-0000-0000-000061280000}"/>
    <cellStyle name="20% - Accent5 4 2 5 2 2 2 2" xfId="56921" xr:uid="{00000000-0005-0000-0000-000062280000}"/>
    <cellStyle name="20% - Accent5 4 2 5 2 2 3" xfId="42422" xr:uid="{00000000-0005-0000-0000-000063280000}"/>
    <cellStyle name="20% - Accent5 4 2 5 2 3" xfId="20667" xr:uid="{00000000-0005-0000-0000-000064280000}"/>
    <cellStyle name="20% - Accent5 4 2 5 2 3 2" xfId="49673" xr:uid="{00000000-0005-0000-0000-000065280000}"/>
    <cellStyle name="20% - Accent5 4 2 5 2 4" xfId="35174" xr:uid="{00000000-0005-0000-0000-000066280000}"/>
    <cellStyle name="20% - Accent5 4 2 5 3" xfId="10277" xr:uid="{00000000-0005-0000-0000-000067280000}"/>
    <cellStyle name="20% - Accent5 4 2 5 3 2" xfId="24811" xr:uid="{00000000-0005-0000-0000-000068280000}"/>
    <cellStyle name="20% - Accent5 4 2 5 3 2 2" xfId="53817" xr:uid="{00000000-0005-0000-0000-000069280000}"/>
    <cellStyle name="20% - Accent5 4 2 5 3 3" xfId="39318" xr:uid="{00000000-0005-0000-0000-00006A280000}"/>
    <cellStyle name="20% - Accent5 4 2 5 4" xfId="17563" xr:uid="{00000000-0005-0000-0000-00006B280000}"/>
    <cellStyle name="20% - Accent5 4 2 5 4 2" xfId="46569" xr:uid="{00000000-0005-0000-0000-00006C280000}"/>
    <cellStyle name="20% - Accent5 4 2 5 5" xfId="32070" xr:uid="{00000000-0005-0000-0000-00006D280000}"/>
    <cellStyle name="20% - Accent5 4 2 6" xfId="4037" xr:uid="{00000000-0005-0000-0000-00006E280000}"/>
    <cellStyle name="20% - Accent5 4 2 6 2" xfId="11309" xr:uid="{00000000-0005-0000-0000-00006F280000}"/>
    <cellStyle name="20% - Accent5 4 2 6 2 2" xfId="25843" xr:uid="{00000000-0005-0000-0000-000070280000}"/>
    <cellStyle name="20% - Accent5 4 2 6 2 2 2" xfId="54849" xr:uid="{00000000-0005-0000-0000-000071280000}"/>
    <cellStyle name="20% - Accent5 4 2 6 2 3" xfId="40350" xr:uid="{00000000-0005-0000-0000-000072280000}"/>
    <cellStyle name="20% - Accent5 4 2 6 3" xfId="18595" xr:uid="{00000000-0005-0000-0000-000073280000}"/>
    <cellStyle name="20% - Accent5 4 2 6 3 2" xfId="47601" xr:uid="{00000000-0005-0000-0000-000074280000}"/>
    <cellStyle name="20% - Accent5 4 2 6 4" xfId="33102" xr:uid="{00000000-0005-0000-0000-000075280000}"/>
    <cellStyle name="20% - Accent5 4 2 7" xfId="7141" xr:uid="{00000000-0005-0000-0000-000076280000}"/>
    <cellStyle name="20% - Accent5 4 2 7 2" xfId="14413" xr:uid="{00000000-0005-0000-0000-000077280000}"/>
    <cellStyle name="20% - Accent5 4 2 7 2 2" xfId="28947" xr:uid="{00000000-0005-0000-0000-000078280000}"/>
    <cellStyle name="20% - Accent5 4 2 7 2 2 2" xfId="57953" xr:uid="{00000000-0005-0000-0000-000079280000}"/>
    <cellStyle name="20% - Accent5 4 2 7 2 3" xfId="43454" xr:uid="{00000000-0005-0000-0000-00007A280000}"/>
    <cellStyle name="20% - Accent5 4 2 7 3" xfId="21699" xr:uid="{00000000-0005-0000-0000-00007B280000}"/>
    <cellStyle name="20% - Accent5 4 2 7 3 2" xfId="50705" xr:uid="{00000000-0005-0000-0000-00007C280000}"/>
    <cellStyle name="20% - Accent5 4 2 7 4" xfId="36206" xr:uid="{00000000-0005-0000-0000-00007D280000}"/>
    <cellStyle name="20% - Accent5 4 2 8" xfId="8205" xr:uid="{00000000-0005-0000-0000-00007E280000}"/>
    <cellStyle name="20% - Accent5 4 2 8 2" xfId="22739" xr:uid="{00000000-0005-0000-0000-00007F280000}"/>
    <cellStyle name="20% - Accent5 4 2 8 2 2" xfId="51745" xr:uid="{00000000-0005-0000-0000-000080280000}"/>
    <cellStyle name="20% - Accent5 4 2 8 3" xfId="37246" xr:uid="{00000000-0005-0000-0000-000081280000}"/>
    <cellStyle name="20% - Accent5 4 2 9" xfId="15491" xr:uid="{00000000-0005-0000-0000-000082280000}"/>
    <cellStyle name="20% - Accent5 4 2 9 2" xfId="44497" xr:uid="{00000000-0005-0000-0000-000083280000}"/>
    <cellStyle name="20% - Accent5 4 3" xfId="1131" xr:uid="{00000000-0005-0000-0000-000084280000}"/>
    <cellStyle name="20% - Accent5 4 3 2" xfId="1629" xr:uid="{00000000-0005-0000-0000-000085280000}"/>
    <cellStyle name="20% - Accent5 4 3 2 2" xfId="2688" xr:uid="{00000000-0005-0000-0000-000086280000}"/>
    <cellStyle name="20% - Accent5 4 3 2 2 2" xfId="5792" xr:uid="{00000000-0005-0000-0000-000087280000}"/>
    <cellStyle name="20% - Accent5 4 3 2 2 2 2" xfId="13064" xr:uid="{00000000-0005-0000-0000-000088280000}"/>
    <cellStyle name="20% - Accent5 4 3 2 2 2 2 2" xfId="27598" xr:uid="{00000000-0005-0000-0000-000089280000}"/>
    <cellStyle name="20% - Accent5 4 3 2 2 2 2 2 2" xfId="56604" xr:uid="{00000000-0005-0000-0000-00008A280000}"/>
    <cellStyle name="20% - Accent5 4 3 2 2 2 2 3" xfId="42105" xr:uid="{00000000-0005-0000-0000-00008B280000}"/>
    <cellStyle name="20% - Accent5 4 3 2 2 2 3" xfId="20350" xr:uid="{00000000-0005-0000-0000-00008C280000}"/>
    <cellStyle name="20% - Accent5 4 3 2 2 2 3 2" xfId="49356" xr:uid="{00000000-0005-0000-0000-00008D280000}"/>
    <cellStyle name="20% - Accent5 4 3 2 2 2 4" xfId="34857" xr:uid="{00000000-0005-0000-0000-00008E280000}"/>
    <cellStyle name="20% - Accent5 4 3 2 2 3" xfId="9960" xr:uid="{00000000-0005-0000-0000-00008F280000}"/>
    <cellStyle name="20% - Accent5 4 3 2 2 3 2" xfId="24494" xr:uid="{00000000-0005-0000-0000-000090280000}"/>
    <cellStyle name="20% - Accent5 4 3 2 2 3 2 2" xfId="53500" xr:uid="{00000000-0005-0000-0000-000091280000}"/>
    <cellStyle name="20% - Accent5 4 3 2 2 3 3" xfId="39001" xr:uid="{00000000-0005-0000-0000-000092280000}"/>
    <cellStyle name="20% - Accent5 4 3 2 2 4" xfId="17246" xr:uid="{00000000-0005-0000-0000-000093280000}"/>
    <cellStyle name="20% - Accent5 4 3 2 2 4 2" xfId="46252" xr:uid="{00000000-0005-0000-0000-000094280000}"/>
    <cellStyle name="20% - Accent5 4 3 2 2 5" xfId="31753" xr:uid="{00000000-0005-0000-0000-000095280000}"/>
    <cellStyle name="20% - Accent5 4 3 2 3" xfId="3720" xr:uid="{00000000-0005-0000-0000-000096280000}"/>
    <cellStyle name="20% - Accent5 4 3 2 3 2" xfId="6824" xr:uid="{00000000-0005-0000-0000-000097280000}"/>
    <cellStyle name="20% - Accent5 4 3 2 3 2 2" xfId="14096" xr:uid="{00000000-0005-0000-0000-000098280000}"/>
    <cellStyle name="20% - Accent5 4 3 2 3 2 2 2" xfId="28630" xr:uid="{00000000-0005-0000-0000-000099280000}"/>
    <cellStyle name="20% - Accent5 4 3 2 3 2 2 2 2" xfId="57636" xr:uid="{00000000-0005-0000-0000-00009A280000}"/>
    <cellStyle name="20% - Accent5 4 3 2 3 2 2 3" xfId="43137" xr:uid="{00000000-0005-0000-0000-00009B280000}"/>
    <cellStyle name="20% - Accent5 4 3 2 3 2 3" xfId="21382" xr:uid="{00000000-0005-0000-0000-00009C280000}"/>
    <cellStyle name="20% - Accent5 4 3 2 3 2 3 2" xfId="50388" xr:uid="{00000000-0005-0000-0000-00009D280000}"/>
    <cellStyle name="20% - Accent5 4 3 2 3 2 4" xfId="35889" xr:uid="{00000000-0005-0000-0000-00009E280000}"/>
    <cellStyle name="20% - Accent5 4 3 2 3 3" xfId="10992" xr:uid="{00000000-0005-0000-0000-00009F280000}"/>
    <cellStyle name="20% - Accent5 4 3 2 3 3 2" xfId="25526" xr:uid="{00000000-0005-0000-0000-0000A0280000}"/>
    <cellStyle name="20% - Accent5 4 3 2 3 3 2 2" xfId="54532" xr:uid="{00000000-0005-0000-0000-0000A1280000}"/>
    <cellStyle name="20% - Accent5 4 3 2 3 3 3" xfId="40033" xr:uid="{00000000-0005-0000-0000-0000A2280000}"/>
    <cellStyle name="20% - Accent5 4 3 2 3 4" xfId="18278" xr:uid="{00000000-0005-0000-0000-0000A3280000}"/>
    <cellStyle name="20% - Accent5 4 3 2 3 4 2" xfId="47284" xr:uid="{00000000-0005-0000-0000-0000A4280000}"/>
    <cellStyle name="20% - Accent5 4 3 2 3 5" xfId="32785" xr:uid="{00000000-0005-0000-0000-0000A5280000}"/>
    <cellStyle name="20% - Accent5 4 3 2 4" xfId="4752" xr:uid="{00000000-0005-0000-0000-0000A6280000}"/>
    <cellStyle name="20% - Accent5 4 3 2 4 2" xfId="12024" xr:uid="{00000000-0005-0000-0000-0000A7280000}"/>
    <cellStyle name="20% - Accent5 4 3 2 4 2 2" xfId="26558" xr:uid="{00000000-0005-0000-0000-0000A8280000}"/>
    <cellStyle name="20% - Accent5 4 3 2 4 2 2 2" xfId="55564" xr:uid="{00000000-0005-0000-0000-0000A9280000}"/>
    <cellStyle name="20% - Accent5 4 3 2 4 2 3" xfId="41065" xr:uid="{00000000-0005-0000-0000-0000AA280000}"/>
    <cellStyle name="20% - Accent5 4 3 2 4 3" xfId="19310" xr:uid="{00000000-0005-0000-0000-0000AB280000}"/>
    <cellStyle name="20% - Accent5 4 3 2 4 3 2" xfId="48316" xr:uid="{00000000-0005-0000-0000-0000AC280000}"/>
    <cellStyle name="20% - Accent5 4 3 2 4 4" xfId="33817" xr:uid="{00000000-0005-0000-0000-0000AD280000}"/>
    <cellStyle name="20% - Accent5 4 3 2 5" xfId="7856" xr:uid="{00000000-0005-0000-0000-0000AE280000}"/>
    <cellStyle name="20% - Accent5 4 3 2 5 2" xfId="15128" xr:uid="{00000000-0005-0000-0000-0000AF280000}"/>
    <cellStyle name="20% - Accent5 4 3 2 5 2 2" xfId="29662" xr:uid="{00000000-0005-0000-0000-0000B0280000}"/>
    <cellStyle name="20% - Accent5 4 3 2 5 2 2 2" xfId="58668" xr:uid="{00000000-0005-0000-0000-0000B1280000}"/>
    <cellStyle name="20% - Accent5 4 3 2 5 2 3" xfId="44169" xr:uid="{00000000-0005-0000-0000-0000B2280000}"/>
    <cellStyle name="20% - Accent5 4 3 2 5 3" xfId="22414" xr:uid="{00000000-0005-0000-0000-0000B3280000}"/>
    <cellStyle name="20% - Accent5 4 3 2 5 3 2" xfId="51420" xr:uid="{00000000-0005-0000-0000-0000B4280000}"/>
    <cellStyle name="20% - Accent5 4 3 2 5 4" xfId="36921" xr:uid="{00000000-0005-0000-0000-0000B5280000}"/>
    <cellStyle name="20% - Accent5 4 3 2 6" xfId="8920" xr:uid="{00000000-0005-0000-0000-0000B6280000}"/>
    <cellStyle name="20% - Accent5 4 3 2 6 2" xfId="23454" xr:uid="{00000000-0005-0000-0000-0000B7280000}"/>
    <cellStyle name="20% - Accent5 4 3 2 6 2 2" xfId="52460" xr:uid="{00000000-0005-0000-0000-0000B8280000}"/>
    <cellStyle name="20% - Accent5 4 3 2 6 3" xfId="37961" xr:uid="{00000000-0005-0000-0000-0000B9280000}"/>
    <cellStyle name="20% - Accent5 4 3 2 7" xfId="16206" xr:uid="{00000000-0005-0000-0000-0000BA280000}"/>
    <cellStyle name="20% - Accent5 4 3 2 7 2" xfId="45212" xr:uid="{00000000-0005-0000-0000-0000BB280000}"/>
    <cellStyle name="20% - Accent5 4 3 2 8" xfId="30713" xr:uid="{00000000-0005-0000-0000-0000BC280000}"/>
    <cellStyle name="20% - Accent5 4 3 3" xfId="2176" xr:uid="{00000000-0005-0000-0000-0000BD280000}"/>
    <cellStyle name="20% - Accent5 4 3 3 2" xfId="5280" xr:uid="{00000000-0005-0000-0000-0000BE280000}"/>
    <cellStyle name="20% - Accent5 4 3 3 2 2" xfId="12552" xr:uid="{00000000-0005-0000-0000-0000BF280000}"/>
    <cellStyle name="20% - Accent5 4 3 3 2 2 2" xfId="27086" xr:uid="{00000000-0005-0000-0000-0000C0280000}"/>
    <cellStyle name="20% - Accent5 4 3 3 2 2 2 2" xfId="56092" xr:uid="{00000000-0005-0000-0000-0000C1280000}"/>
    <cellStyle name="20% - Accent5 4 3 3 2 2 3" xfId="41593" xr:uid="{00000000-0005-0000-0000-0000C2280000}"/>
    <cellStyle name="20% - Accent5 4 3 3 2 3" xfId="19838" xr:uid="{00000000-0005-0000-0000-0000C3280000}"/>
    <cellStyle name="20% - Accent5 4 3 3 2 3 2" xfId="48844" xr:uid="{00000000-0005-0000-0000-0000C4280000}"/>
    <cellStyle name="20% - Accent5 4 3 3 2 4" xfId="34345" xr:uid="{00000000-0005-0000-0000-0000C5280000}"/>
    <cellStyle name="20% - Accent5 4 3 3 3" xfId="9448" xr:uid="{00000000-0005-0000-0000-0000C6280000}"/>
    <cellStyle name="20% - Accent5 4 3 3 3 2" xfId="23982" xr:uid="{00000000-0005-0000-0000-0000C7280000}"/>
    <cellStyle name="20% - Accent5 4 3 3 3 2 2" xfId="52988" xr:uid="{00000000-0005-0000-0000-0000C8280000}"/>
    <cellStyle name="20% - Accent5 4 3 3 3 3" xfId="38489" xr:uid="{00000000-0005-0000-0000-0000C9280000}"/>
    <cellStyle name="20% - Accent5 4 3 3 4" xfId="16734" xr:uid="{00000000-0005-0000-0000-0000CA280000}"/>
    <cellStyle name="20% - Accent5 4 3 3 4 2" xfId="45740" xr:uid="{00000000-0005-0000-0000-0000CB280000}"/>
    <cellStyle name="20% - Accent5 4 3 3 5" xfId="31241" xr:uid="{00000000-0005-0000-0000-0000CC280000}"/>
    <cellStyle name="20% - Accent5 4 3 4" xfId="3208" xr:uid="{00000000-0005-0000-0000-0000CD280000}"/>
    <cellStyle name="20% - Accent5 4 3 4 2" xfId="6312" xr:uid="{00000000-0005-0000-0000-0000CE280000}"/>
    <cellStyle name="20% - Accent5 4 3 4 2 2" xfId="13584" xr:uid="{00000000-0005-0000-0000-0000CF280000}"/>
    <cellStyle name="20% - Accent5 4 3 4 2 2 2" xfId="28118" xr:uid="{00000000-0005-0000-0000-0000D0280000}"/>
    <cellStyle name="20% - Accent5 4 3 4 2 2 2 2" xfId="57124" xr:uid="{00000000-0005-0000-0000-0000D1280000}"/>
    <cellStyle name="20% - Accent5 4 3 4 2 2 3" xfId="42625" xr:uid="{00000000-0005-0000-0000-0000D2280000}"/>
    <cellStyle name="20% - Accent5 4 3 4 2 3" xfId="20870" xr:uid="{00000000-0005-0000-0000-0000D3280000}"/>
    <cellStyle name="20% - Accent5 4 3 4 2 3 2" xfId="49876" xr:uid="{00000000-0005-0000-0000-0000D4280000}"/>
    <cellStyle name="20% - Accent5 4 3 4 2 4" xfId="35377" xr:uid="{00000000-0005-0000-0000-0000D5280000}"/>
    <cellStyle name="20% - Accent5 4 3 4 3" xfId="10480" xr:uid="{00000000-0005-0000-0000-0000D6280000}"/>
    <cellStyle name="20% - Accent5 4 3 4 3 2" xfId="25014" xr:uid="{00000000-0005-0000-0000-0000D7280000}"/>
    <cellStyle name="20% - Accent5 4 3 4 3 2 2" xfId="54020" xr:uid="{00000000-0005-0000-0000-0000D8280000}"/>
    <cellStyle name="20% - Accent5 4 3 4 3 3" xfId="39521" xr:uid="{00000000-0005-0000-0000-0000D9280000}"/>
    <cellStyle name="20% - Accent5 4 3 4 4" xfId="17766" xr:uid="{00000000-0005-0000-0000-0000DA280000}"/>
    <cellStyle name="20% - Accent5 4 3 4 4 2" xfId="46772" xr:uid="{00000000-0005-0000-0000-0000DB280000}"/>
    <cellStyle name="20% - Accent5 4 3 4 5" xfId="32273" xr:uid="{00000000-0005-0000-0000-0000DC280000}"/>
    <cellStyle name="20% - Accent5 4 3 5" xfId="4240" xr:uid="{00000000-0005-0000-0000-0000DD280000}"/>
    <cellStyle name="20% - Accent5 4 3 5 2" xfId="11512" xr:uid="{00000000-0005-0000-0000-0000DE280000}"/>
    <cellStyle name="20% - Accent5 4 3 5 2 2" xfId="26046" xr:uid="{00000000-0005-0000-0000-0000DF280000}"/>
    <cellStyle name="20% - Accent5 4 3 5 2 2 2" xfId="55052" xr:uid="{00000000-0005-0000-0000-0000E0280000}"/>
    <cellStyle name="20% - Accent5 4 3 5 2 3" xfId="40553" xr:uid="{00000000-0005-0000-0000-0000E1280000}"/>
    <cellStyle name="20% - Accent5 4 3 5 3" xfId="18798" xr:uid="{00000000-0005-0000-0000-0000E2280000}"/>
    <cellStyle name="20% - Accent5 4 3 5 3 2" xfId="47804" xr:uid="{00000000-0005-0000-0000-0000E3280000}"/>
    <cellStyle name="20% - Accent5 4 3 5 4" xfId="33305" xr:uid="{00000000-0005-0000-0000-0000E4280000}"/>
    <cellStyle name="20% - Accent5 4 3 6" xfId="7344" xr:uid="{00000000-0005-0000-0000-0000E5280000}"/>
    <cellStyle name="20% - Accent5 4 3 6 2" xfId="14616" xr:uid="{00000000-0005-0000-0000-0000E6280000}"/>
    <cellStyle name="20% - Accent5 4 3 6 2 2" xfId="29150" xr:uid="{00000000-0005-0000-0000-0000E7280000}"/>
    <cellStyle name="20% - Accent5 4 3 6 2 2 2" xfId="58156" xr:uid="{00000000-0005-0000-0000-0000E8280000}"/>
    <cellStyle name="20% - Accent5 4 3 6 2 3" xfId="43657" xr:uid="{00000000-0005-0000-0000-0000E9280000}"/>
    <cellStyle name="20% - Accent5 4 3 6 3" xfId="21902" xr:uid="{00000000-0005-0000-0000-0000EA280000}"/>
    <cellStyle name="20% - Accent5 4 3 6 3 2" xfId="50908" xr:uid="{00000000-0005-0000-0000-0000EB280000}"/>
    <cellStyle name="20% - Accent5 4 3 6 4" xfId="36409" xr:uid="{00000000-0005-0000-0000-0000EC280000}"/>
    <cellStyle name="20% - Accent5 4 3 7" xfId="8408" xr:uid="{00000000-0005-0000-0000-0000ED280000}"/>
    <cellStyle name="20% - Accent5 4 3 7 2" xfId="22942" xr:uid="{00000000-0005-0000-0000-0000EE280000}"/>
    <cellStyle name="20% - Accent5 4 3 7 2 2" xfId="51948" xr:uid="{00000000-0005-0000-0000-0000EF280000}"/>
    <cellStyle name="20% - Accent5 4 3 7 3" xfId="37449" xr:uid="{00000000-0005-0000-0000-0000F0280000}"/>
    <cellStyle name="20% - Accent5 4 3 8" xfId="15694" xr:uid="{00000000-0005-0000-0000-0000F1280000}"/>
    <cellStyle name="20% - Accent5 4 3 8 2" xfId="44700" xr:uid="{00000000-0005-0000-0000-0000F2280000}"/>
    <cellStyle name="20% - Accent5 4 3 9" xfId="30201" xr:uid="{00000000-0005-0000-0000-0000F3280000}"/>
    <cellStyle name="20% - Accent5 4 4" xfId="1040" xr:uid="{00000000-0005-0000-0000-0000F4280000}"/>
    <cellStyle name="20% - Accent5 4 4 2" xfId="1530" xr:uid="{00000000-0005-0000-0000-0000F5280000}"/>
    <cellStyle name="20% - Accent5 4 4 2 2" xfId="2588" xr:uid="{00000000-0005-0000-0000-0000F6280000}"/>
    <cellStyle name="20% - Accent5 4 4 2 2 2" xfId="5692" xr:uid="{00000000-0005-0000-0000-0000F7280000}"/>
    <cellStyle name="20% - Accent5 4 4 2 2 2 2" xfId="12964" xr:uid="{00000000-0005-0000-0000-0000F8280000}"/>
    <cellStyle name="20% - Accent5 4 4 2 2 2 2 2" xfId="27498" xr:uid="{00000000-0005-0000-0000-0000F9280000}"/>
    <cellStyle name="20% - Accent5 4 4 2 2 2 2 2 2" xfId="56504" xr:uid="{00000000-0005-0000-0000-0000FA280000}"/>
    <cellStyle name="20% - Accent5 4 4 2 2 2 2 3" xfId="42005" xr:uid="{00000000-0005-0000-0000-0000FB280000}"/>
    <cellStyle name="20% - Accent5 4 4 2 2 2 3" xfId="20250" xr:uid="{00000000-0005-0000-0000-0000FC280000}"/>
    <cellStyle name="20% - Accent5 4 4 2 2 2 3 2" xfId="49256" xr:uid="{00000000-0005-0000-0000-0000FD280000}"/>
    <cellStyle name="20% - Accent5 4 4 2 2 2 4" xfId="34757" xr:uid="{00000000-0005-0000-0000-0000FE280000}"/>
    <cellStyle name="20% - Accent5 4 4 2 2 3" xfId="9860" xr:uid="{00000000-0005-0000-0000-0000FF280000}"/>
    <cellStyle name="20% - Accent5 4 4 2 2 3 2" xfId="24394" xr:uid="{00000000-0005-0000-0000-000000290000}"/>
    <cellStyle name="20% - Accent5 4 4 2 2 3 2 2" xfId="53400" xr:uid="{00000000-0005-0000-0000-000001290000}"/>
    <cellStyle name="20% - Accent5 4 4 2 2 3 3" xfId="38901" xr:uid="{00000000-0005-0000-0000-000002290000}"/>
    <cellStyle name="20% - Accent5 4 4 2 2 4" xfId="17146" xr:uid="{00000000-0005-0000-0000-000003290000}"/>
    <cellStyle name="20% - Accent5 4 4 2 2 4 2" xfId="46152" xr:uid="{00000000-0005-0000-0000-000004290000}"/>
    <cellStyle name="20% - Accent5 4 4 2 2 5" xfId="31653" xr:uid="{00000000-0005-0000-0000-000005290000}"/>
    <cellStyle name="20% - Accent5 4 4 2 3" xfId="3620" xr:uid="{00000000-0005-0000-0000-000006290000}"/>
    <cellStyle name="20% - Accent5 4 4 2 3 2" xfId="6724" xr:uid="{00000000-0005-0000-0000-000007290000}"/>
    <cellStyle name="20% - Accent5 4 4 2 3 2 2" xfId="13996" xr:uid="{00000000-0005-0000-0000-000008290000}"/>
    <cellStyle name="20% - Accent5 4 4 2 3 2 2 2" xfId="28530" xr:uid="{00000000-0005-0000-0000-000009290000}"/>
    <cellStyle name="20% - Accent5 4 4 2 3 2 2 2 2" xfId="57536" xr:uid="{00000000-0005-0000-0000-00000A290000}"/>
    <cellStyle name="20% - Accent5 4 4 2 3 2 2 3" xfId="43037" xr:uid="{00000000-0005-0000-0000-00000B290000}"/>
    <cellStyle name="20% - Accent5 4 4 2 3 2 3" xfId="21282" xr:uid="{00000000-0005-0000-0000-00000C290000}"/>
    <cellStyle name="20% - Accent5 4 4 2 3 2 3 2" xfId="50288" xr:uid="{00000000-0005-0000-0000-00000D290000}"/>
    <cellStyle name="20% - Accent5 4 4 2 3 2 4" xfId="35789" xr:uid="{00000000-0005-0000-0000-00000E290000}"/>
    <cellStyle name="20% - Accent5 4 4 2 3 3" xfId="10892" xr:uid="{00000000-0005-0000-0000-00000F290000}"/>
    <cellStyle name="20% - Accent5 4 4 2 3 3 2" xfId="25426" xr:uid="{00000000-0005-0000-0000-000010290000}"/>
    <cellStyle name="20% - Accent5 4 4 2 3 3 2 2" xfId="54432" xr:uid="{00000000-0005-0000-0000-000011290000}"/>
    <cellStyle name="20% - Accent5 4 4 2 3 3 3" xfId="39933" xr:uid="{00000000-0005-0000-0000-000012290000}"/>
    <cellStyle name="20% - Accent5 4 4 2 3 4" xfId="18178" xr:uid="{00000000-0005-0000-0000-000013290000}"/>
    <cellStyle name="20% - Accent5 4 4 2 3 4 2" xfId="47184" xr:uid="{00000000-0005-0000-0000-000014290000}"/>
    <cellStyle name="20% - Accent5 4 4 2 3 5" xfId="32685" xr:uid="{00000000-0005-0000-0000-000015290000}"/>
    <cellStyle name="20% - Accent5 4 4 2 4" xfId="4652" xr:uid="{00000000-0005-0000-0000-000016290000}"/>
    <cellStyle name="20% - Accent5 4 4 2 4 2" xfId="11924" xr:uid="{00000000-0005-0000-0000-000017290000}"/>
    <cellStyle name="20% - Accent5 4 4 2 4 2 2" xfId="26458" xr:uid="{00000000-0005-0000-0000-000018290000}"/>
    <cellStyle name="20% - Accent5 4 4 2 4 2 2 2" xfId="55464" xr:uid="{00000000-0005-0000-0000-000019290000}"/>
    <cellStyle name="20% - Accent5 4 4 2 4 2 3" xfId="40965" xr:uid="{00000000-0005-0000-0000-00001A290000}"/>
    <cellStyle name="20% - Accent5 4 4 2 4 3" xfId="19210" xr:uid="{00000000-0005-0000-0000-00001B290000}"/>
    <cellStyle name="20% - Accent5 4 4 2 4 3 2" xfId="48216" xr:uid="{00000000-0005-0000-0000-00001C290000}"/>
    <cellStyle name="20% - Accent5 4 4 2 4 4" xfId="33717" xr:uid="{00000000-0005-0000-0000-00001D290000}"/>
    <cellStyle name="20% - Accent5 4 4 2 5" xfId="7756" xr:uid="{00000000-0005-0000-0000-00001E290000}"/>
    <cellStyle name="20% - Accent5 4 4 2 5 2" xfId="15028" xr:uid="{00000000-0005-0000-0000-00001F290000}"/>
    <cellStyle name="20% - Accent5 4 4 2 5 2 2" xfId="29562" xr:uid="{00000000-0005-0000-0000-000020290000}"/>
    <cellStyle name="20% - Accent5 4 4 2 5 2 2 2" xfId="58568" xr:uid="{00000000-0005-0000-0000-000021290000}"/>
    <cellStyle name="20% - Accent5 4 4 2 5 2 3" xfId="44069" xr:uid="{00000000-0005-0000-0000-000022290000}"/>
    <cellStyle name="20% - Accent5 4 4 2 5 3" xfId="22314" xr:uid="{00000000-0005-0000-0000-000023290000}"/>
    <cellStyle name="20% - Accent5 4 4 2 5 3 2" xfId="51320" xr:uid="{00000000-0005-0000-0000-000024290000}"/>
    <cellStyle name="20% - Accent5 4 4 2 5 4" xfId="36821" xr:uid="{00000000-0005-0000-0000-000025290000}"/>
    <cellStyle name="20% - Accent5 4 4 2 6" xfId="8820" xr:uid="{00000000-0005-0000-0000-000026290000}"/>
    <cellStyle name="20% - Accent5 4 4 2 6 2" xfId="23354" xr:uid="{00000000-0005-0000-0000-000027290000}"/>
    <cellStyle name="20% - Accent5 4 4 2 6 2 2" xfId="52360" xr:uid="{00000000-0005-0000-0000-000028290000}"/>
    <cellStyle name="20% - Accent5 4 4 2 6 3" xfId="37861" xr:uid="{00000000-0005-0000-0000-000029290000}"/>
    <cellStyle name="20% - Accent5 4 4 2 7" xfId="16106" xr:uid="{00000000-0005-0000-0000-00002A290000}"/>
    <cellStyle name="20% - Accent5 4 4 2 7 2" xfId="45112" xr:uid="{00000000-0005-0000-0000-00002B290000}"/>
    <cellStyle name="20% - Accent5 4 4 2 8" xfId="30613" xr:uid="{00000000-0005-0000-0000-00002C290000}"/>
    <cellStyle name="20% - Accent5 4 4 3" xfId="2076" xr:uid="{00000000-0005-0000-0000-00002D290000}"/>
    <cellStyle name="20% - Accent5 4 4 3 2" xfId="5180" xr:uid="{00000000-0005-0000-0000-00002E290000}"/>
    <cellStyle name="20% - Accent5 4 4 3 2 2" xfId="12452" xr:uid="{00000000-0005-0000-0000-00002F290000}"/>
    <cellStyle name="20% - Accent5 4 4 3 2 2 2" xfId="26986" xr:uid="{00000000-0005-0000-0000-000030290000}"/>
    <cellStyle name="20% - Accent5 4 4 3 2 2 2 2" xfId="55992" xr:uid="{00000000-0005-0000-0000-000031290000}"/>
    <cellStyle name="20% - Accent5 4 4 3 2 2 3" xfId="41493" xr:uid="{00000000-0005-0000-0000-000032290000}"/>
    <cellStyle name="20% - Accent5 4 4 3 2 3" xfId="19738" xr:uid="{00000000-0005-0000-0000-000033290000}"/>
    <cellStyle name="20% - Accent5 4 4 3 2 3 2" xfId="48744" xr:uid="{00000000-0005-0000-0000-000034290000}"/>
    <cellStyle name="20% - Accent5 4 4 3 2 4" xfId="34245" xr:uid="{00000000-0005-0000-0000-000035290000}"/>
    <cellStyle name="20% - Accent5 4 4 3 3" xfId="9348" xr:uid="{00000000-0005-0000-0000-000036290000}"/>
    <cellStyle name="20% - Accent5 4 4 3 3 2" xfId="23882" xr:uid="{00000000-0005-0000-0000-000037290000}"/>
    <cellStyle name="20% - Accent5 4 4 3 3 2 2" xfId="52888" xr:uid="{00000000-0005-0000-0000-000038290000}"/>
    <cellStyle name="20% - Accent5 4 4 3 3 3" xfId="38389" xr:uid="{00000000-0005-0000-0000-000039290000}"/>
    <cellStyle name="20% - Accent5 4 4 3 4" xfId="16634" xr:uid="{00000000-0005-0000-0000-00003A290000}"/>
    <cellStyle name="20% - Accent5 4 4 3 4 2" xfId="45640" xr:uid="{00000000-0005-0000-0000-00003B290000}"/>
    <cellStyle name="20% - Accent5 4 4 3 5" xfId="31141" xr:uid="{00000000-0005-0000-0000-00003C290000}"/>
    <cellStyle name="20% - Accent5 4 4 4" xfId="3108" xr:uid="{00000000-0005-0000-0000-00003D290000}"/>
    <cellStyle name="20% - Accent5 4 4 4 2" xfId="6212" xr:uid="{00000000-0005-0000-0000-00003E290000}"/>
    <cellStyle name="20% - Accent5 4 4 4 2 2" xfId="13484" xr:uid="{00000000-0005-0000-0000-00003F290000}"/>
    <cellStyle name="20% - Accent5 4 4 4 2 2 2" xfId="28018" xr:uid="{00000000-0005-0000-0000-000040290000}"/>
    <cellStyle name="20% - Accent5 4 4 4 2 2 2 2" xfId="57024" xr:uid="{00000000-0005-0000-0000-000041290000}"/>
    <cellStyle name="20% - Accent5 4 4 4 2 2 3" xfId="42525" xr:uid="{00000000-0005-0000-0000-000042290000}"/>
    <cellStyle name="20% - Accent5 4 4 4 2 3" xfId="20770" xr:uid="{00000000-0005-0000-0000-000043290000}"/>
    <cellStyle name="20% - Accent5 4 4 4 2 3 2" xfId="49776" xr:uid="{00000000-0005-0000-0000-000044290000}"/>
    <cellStyle name="20% - Accent5 4 4 4 2 4" xfId="35277" xr:uid="{00000000-0005-0000-0000-000045290000}"/>
    <cellStyle name="20% - Accent5 4 4 4 3" xfId="10380" xr:uid="{00000000-0005-0000-0000-000046290000}"/>
    <cellStyle name="20% - Accent5 4 4 4 3 2" xfId="24914" xr:uid="{00000000-0005-0000-0000-000047290000}"/>
    <cellStyle name="20% - Accent5 4 4 4 3 2 2" xfId="53920" xr:uid="{00000000-0005-0000-0000-000048290000}"/>
    <cellStyle name="20% - Accent5 4 4 4 3 3" xfId="39421" xr:uid="{00000000-0005-0000-0000-000049290000}"/>
    <cellStyle name="20% - Accent5 4 4 4 4" xfId="17666" xr:uid="{00000000-0005-0000-0000-00004A290000}"/>
    <cellStyle name="20% - Accent5 4 4 4 4 2" xfId="46672" xr:uid="{00000000-0005-0000-0000-00004B290000}"/>
    <cellStyle name="20% - Accent5 4 4 4 5" xfId="32173" xr:uid="{00000000-0005-0000-0000-00004C290000}"/>
    <cellStyle name="20% - Accent5 4 4 5" xfId="4140" xr:uid="{00000000-0005-0000-0000-00004D290000}"/>
    <cellStyle name="20% - Accent5 4 4 5 2" xfId="11412" xr:uid="{00000000-0005-0000-0000-00004E290000}"/>
    <cellStyle name="20% - Accent5 4 4 5 2 2" xfId="25946" xr:uid="{00000000-0005-0000-0000-00004F290000}"/>
    <cellStyle name="20% - Accent5 4 4 5 2 2 2" xfId="54952" xr:uid="{00000000-0005-0000-0000-000050290000}"/>
    <cellStyle name="20% - Accent5 4 4 5 2 3" xfId="40453" xr:uid="{00000000-0005-0000-0000-000051290000}"/>
    <cellStyle name="20% - Accent5 4 4 5 3" xfId="18698" xr:uid="{00000000-0005-0000-0000-000052290000}"/>
    <cellStyle name="20% - Accent5 4 4 5 3 2" xfId="47704" xr:uid="{00000000-0005-0000-0000-000053290000}"/>
    <cellStyle name="20% - Accent5 4 4 5 4" xfId="33205" xr:uid="{00000000-0005-0000-0000-000054290000}"/>
    <cellStyle name="20% - Accent5 4 4 6" xfId="7244" xr:uid="{00000000-0005-0000-0000-000055290000}"/>
    <cellStyle name="20% - Accent5 4 4 6 2" xfId="14516" xr:uid="{00000000-0005-0000-0000-000056290000}"/>
    <cellStyle name="20% - Accent5 4 4 6 2 2" xfId="29050" xr:uid="{00000000-0005-0000-0000-000057290000}"/>
    <cellStyle name="20% - Accent5 4 4 6 2 2 2" xfId="58056" xr:uid="{00000000-0005-0000-0000-000058290000}"/>
    <cellStyle name="20% - Accent5 4 4 6 2 3" xfId="43557" xr:uid="{00000000-0005-0000-0000-000059290000}"/>
    <cellStyle name="20% - Accent5 4 4 6 3" xfId="21802" xr:uid="{00000000-0005-0000-0000-00005A290000}"/>
    <cellStyle name="20% - Accent5 4 4 6 3 2" xfId="50808" xr:uid="{00000000-0005-0000-0000-00005B290000}"/>
    <cellStyle name="20% - Accent5 4 4 6 4" xfId="36309" xr:uid="{00000000-0005-0000-0000-00005C290000}"/>
    <cellStyle name="20% - Accent5 4 4 7" xfId="8308" xr:uid="{00000000-0005-0000-0000-00005D290000}"/>
    <cellStyle name="20% - Accent5 4 4 7 2" xfId="22842" xr:uid="{00000000-0005-0000-0000-00005E290000}"/>
    <cellStyle name="20% - Accent5 4 4 7 2 2" xfId="51848" xr:uid="{00000000-0005-0000-0000-00005F290000}"/>
    <cellStyle name="20% - Accent5 4 4 7 3" xfId="37349" xr:uid="{00000000-0005-0000-0000-000060290000}"/>
    <cellStyle name="20% - Accent5 4 4 8" xfId="15594" xr:uid="{00000000-0005-0000-0000-000061290000}"/>
    <cellStyle name="20% - Accent5 4 4 8 2" xfId="44600" xr:uid="{00000000-0005-0000-0000-000062290000}"/>
    <cellStyle name="20% - Accent5 4 4 9" xfId="30101" xr:uid="{00000000-0005-0000-0000-000063290000}"/>
    <cellStyle name="20% - Accent5 4 5" xfId="1325" xr:uid="{00000000-0005-0000-0000-000064290000}"/>
    <cellStyle name="20% - Accent5 4 5 2" xfId="2382" xr:uid="{00000000-0005-0000-0000-000065290000}"/>
    <cellStyle name="20% - Accent5 4 5 2 2" xfId="5486" xr:uid="{00000000-0005-0000-0000-000066290000}"/>
    <cellStyle name="20% - Accent5 4 5 2 2 2" xfId="12758" xr:uid="{00000000-0005-0000-0000-000067290000}"/>
    <cellStyle name="20% - Accent5 4 5 2 2 2 2" xfId="27292" xr:uid="{00000000-0005-0000-0000-000068290000}"/>
    <cellStyle name="20% - Accent5 4 5 2 2 2 2 2" xfId="56298" xr:uid="{00000000-0005-0000-0000-000069290000}"/>
    <cellStyle name="20% - Accent5 4 5 2 2 2 3" xfId="41799" xr:uid="{00000000-0005-0000-0000-00006A290000}"/>
    <cellStyle name="20% - Accent5 4 5 2 2 3" xfId="20044" xr:uid="{00000000-0005-0000-0000-00006B290000}"/>
    <cellStyle name="20% - Accent5 4 5 2 2 3 2" xfId="49050" xr:uid="{00000000-0005-0000-0000-00006C290000}"/>
    <cellStyle name="20% - Accent5 4 5 2 2 4" xfId="34551" xr:uid="{00000000-0005-0000-0000-00006D290000}"/>
    <cellStyle name="20% - Accent5 4 5 2 3" xfId="9654" xr:uid="{00000000-0005-0000-0000-00006E290000}"/>
    <cellStyle name="20% - Accent5 4 5 2 3 2" xfId="24188" xr:uid="{00000000-0005-0000-0000-00006F290000}"/>
    <cellStyle name="20% - Accent5 4 5 2 3 2 2" xfId="53194" xr:uid="{00000000-0005-0000-0000-000070290000}"/>
    <cellStyle name="20% - Accent5 4 5 2 3 3" xfId="38695" xr:uid="{00000000-0005-0000-0000-000071290000}"/>
    <cellStyle name="20% - Accent5 4 5 2 4" xfId="16940" xr:uid="{00000000-0005-0000-0000-000072290000}"/>
    <cellStyle name="20% - Accent5 4 5 2 4 2" xfId="45946" xr:uid="{00000000-0005-0000-0000-000073290000}"/>
    <cellStyle name="20% - Accent5 4 5 2 5" xfId="31447" xr:uid="{00000000-0005-0000-0000-000074290000}"/>
    <cellStyle name="20% - Accent5 4 5 3" xfId="3414" xr:uid="{00000000-0005-0000-0000-000075290000}"/>
    <cellStyle name="20% - Accent5 4 5 3 2" xfId="6518" xr:uid="{00000000-0005-0000-0000-000076290000}"/>
    <cellStyle name="20% - Accent5 4 5 3 2 2" xfId="13790" xr:uid="{00000000-0005-0000-0000-000077290000}"/>
    <cellStyle name="20% - Accent5 4 5 3 2 2 2" xfId="28324" xr:uid="{00000000-0005-0000-0000-000078290000}"/>
    <cellStyle name="20% - Accent5 4 5 3 2 2 2 2" xfId="57330" xr:uid="{00000000-0005-0000-0000-000079290000}"/>
    <cellStyle name="20% - Accent5 4 5 3 2 2 3" xfId="42831" xr:uid="{00000000-0005-0000-0000-00007A290000}"/>
    <cellStyle name="20% - Accent5 4 5 3 2 3" xfId="21076" xr:uid="{00000000-0005-0000-0000-00007B290000}"/>
    <cellStyle name="20% - Accent5 4 5 3 2 3 2" xfId="50082" xr:uid="{00000000-0005-0000-0000-00007C290000}"/>
    <cellStyle name="20% - Accent5 4 5 3 2 4" xfId="35583" xr:uid="{00000000-0005-0000-0000-00007D290000}"/>
    <cellStyle name="20% - Accent5 4 5 3 3" xfId="10686" xr:uid="{00000000-0005-0000-0000-00007E290000}"/>
    <cellStyle name="20% - Accent5 4 5 3 3 2" xfId="25220" xr:uid="{00000000-0005-0000-0000-00007F290000}"/>
    <cellStyle name="20% - Accent5 4 5 3 3 2 2" xfId="54226" xr:uid="{00000000-0005-0000-0000-000080290000}"/>
    <cellStyle name="20% - Accent5 4 5 3 3 3" xfId="39727" xr:uid="{00000000-0005-0000-0000-000081290000}"/>
    <cellStyle name="20% - Accent5 4 5 3 4" xfId="17972" xr:uid="{00000000-0005-0000-0000-000082290000}"/>
    <cellStyle name="20% - Accent5 4 5 3 4 2" xfId="46978" xr:uid="{00000000-0005-0000-0000-000083290000}"/>
    <cellStyle name="20% - Accent5 4 5 3 5" xfId="32479" xr:uid="{00000000-0005-0000-0000-000084290000}"/>
    <cellStyle name="20% - Accent5 4 5 4" xfId="4446" xr:uid="{00000000-0005-0000-0000-000085290000}"/>
    <cellStyle name="20% - Accent5 4 5 4 2" xfId="11718" xr:uid="{00000000-0005-0000-0000-000086290000}"/>
    <cellStyle name="20% - Accent5 4 5 4 2 2" xfId="26252" xr:uid="{00000000-0005-0000-0000-000087290000}"/>
    <cellStyle name="20% - Accent5 4 5 4 2 2 2" xfId="55258" xr:uid="{00000000-0005-0000-0000-000088290000}"/>
    <cellStyle name="20% - Accent5 4 5 4 2 3" xfId="40759" xr:uid="{00000000-0005-0000-0000-000089290000}"/>
    <cellStyle name="20% - Accent5 4 5 4 3" xfId="19004" xr:uid="{00000000-0005-0000-0000-00008A290000}"/>
    <cellStyle name="20% - Accent5 4 5 4 3 2" xfId="48010" xr:uid="{00000000-0005-0000-0000-00008B290000}"/>
    <cellStyle name="20% - Accent5 4 5 4 4" xfId="33511" xr:uid="{00000000-0005-0000-0000-00008C290000}"/>
    <cellStyle name="20% - Accent5 4 5 5" xfId="7550" xr:uid="{00000000-0005-0000-0000-00008D290000}"/>
    <cellStyle name="20% - Accent5 4 5 5 2" xfId="14822" xr:uid="{00000000-0005-0000-0000-00008E290000}"/>
    <cellStyle name="20% - Accent5 4 5 5 2 2" xfId="29356" xr:uid="{00000000-0005-0000-0000-00008F290000}"/>
    <cellStyle name="20% - Accent5 4 5 5 2 2 2" xfId="58362" xr:uid="{00000000-0005-0000-0000-000090290000}"/>
    <cellStyle name="20% - Accent5 4 5 5 2 3" xfId="43863" xr:uid="{00000000-0005-0000-0000-000091290000}"/>
    <cellStyle name="20% - Accent5 4 5 5 3" xfId="22108" xr:uid="{00000000-0005-0000-0000-000092290000}"/>
    <cellStyle name="20% - Accent5 4 5 5 3 2" xfId="51114" xr:uid="{00000000-0005-0000-0000-000093290000}"/>
    <cellStyle name="20% - Accent5 4 5 5 4" xfId="36615" xr:uid="{00000000-0005-0000-0000-000094290000}"/>
    <cellStyle name="20% - Accent5 4 5 6" xfId="8614" xr:uid="{00000000-0005-0000-0000-000095290000}"/>
    <cellStyle name="20% - Accent5 4 5 6 2" xfId="23148" xr:uid="{00000000-0005-0000-0000-000096290000}"/>
    <cellStyle name="20% - Accent5 4 5 6 2 2" xfId="52154" xr:uid="{00000000-0005-0000-0000-000097290000}"/>
    <cellStyle name="20% - Accent5 4 5 6 3" xfId="37655" xr:uid="{00000000-0005-0000-0000-000098290000}"/>
    <cellStyle name="20% - Accent5 4 5 7" xfId="15900" xr:uid="{00000000-0005-0000-0000-000099290000}"/>
    <cellStyle name="20% - Accent5 4 5 7 2" xfId="44906" xr:uid="{00000000-0005-0000-0000-00009A290000}"/>
    <cellStyle name="20% - Accent5 4 5 8" xfId="30407" xr:uid="{00000000-0005-0000-0000-00009B290000}"/>
    <cellStyle name="20% - Accent5 4 6" xfId="1870" xr:uid="{00000000-0005-0000-0000-00009C290000}"/>
    <cellStyle name="20% - Accent5 4 6 2" xfId="4974" xr:uid="{00000000-0005-0000-0000-00009D290000}"/>
    <cellStyle name="20% - Accent5 4 6 2 2" xfId="12246" xr:uid="{00000000-0005-0000-0000-00009E290000}"/>
    <cellStyle name="20% - Accent5 4 6 2 2 2" xfId="26780" xr:uid="{00000000-0005-0000-0000-00009F290000}"/>
    <cellStyle name="20% - Accent5 4 6 2 2 2 2" xfId="55786" xr:uid="{00000000-0005-0000-0000-0000A0290000}"/>
    <cellStyle name="20% - Accent5 4 6 2 2 3" xfId="41287" xr:uid="{00000000-0005-0000-0000-0000A1290000}"/>
    <cellStyle name="20% - Accent5 4 6 2 3" xfId="19532" xr:uid="{00000000-0005-0000-0000-0000A2290000}"/>
    <cellStyle name="20% - Accent5 4 6 2 3 2" xfId="48538" xr:uid="{00000000-0005-0000-0000-0000A3290000}"/>
    <cellStyle name="20% - Accent5 4 6 2 4" xfId="34039" xr:uid="{00000000-0005-0000-0000-0000A4290000}"/>
    <cellStyle name="20% - Accent5 4 6 3" xfId="9142" xr:uid="{00000000-0005-0000-0000-0000A5290000}"/>
    <cellStyle name="20% - Accent5 4 6 3 2" xfId="23676" xr:uid="{00000000-0005-0000-0000-0000A6290000}"/>
    <cellStyle name="20% - Accent5 4 6 3 2 2" xfId="52682" xr:uid="{00000000-0005-0000-0000-0000A7290000}"/>
    <cellStyle name="20% - Accent5 4 6 3 3" xfId="38183" xr:uid="{00000000-0005-0000-0000-0000A8290000}"/>
    <cellStyle name="20% - Accent5 4 6 4" xfId="16428" xr:uid="{00000000-0005-0000-0000-0000A9290000}"/>
    <cellStyle name="20% - Accent5 4 6 4 2" xfId="45434" xr:uid="{00000000-0005-0000-0000-0000AA290000}"/>
    <cellStyle name="20% - Accent5 4 6 5" xfId="30935" xr:uid="{00000000-0005-0000-0000-0000AB290000}"/>
    <cellStyle name="20% - Accent5 4 7" xfId="2902" xr:uid="{00000000-0005-0000-0000-0000AC290000}"/>
    <cellStyle name="20% - Accent5 4 7 2" xfId="6006" xr:uid="{00000000-0005-0000-0000-0000AD290000}"/>
    <cellStyle name="20% - Accent5 4 7 2 2" xfId="13278" xr:uid="{00000000-0005-0000-0000-0000AE290000}"/>
    <cellStyle name="20% - Accent5 4 7 2 2 2" xfId="27812" xr:uid="{00000000-0005-0000-0000-0000AF290000}"/>
    <cellStyle name="20% - Accent5 4 7 2 2 2 2" xfId="56818" xr:uid="{00000000-0005-0000-0000-0000B0290000}"/>
    <cellStyle name="20% - Accent5 4 7 2 2 3" xfId="42319" xr:uid="{00000000-0005-0000-0000-0000B1290000}"/>
    <cellStyle name="20% - Accent5 4 7 2 3" xfId="20564" xr:uid="{00000000-0005-0000-0000-0000B2290000}"/>
    <cellStyle name="20% - Accent5 4 7 2 3 2" xfId="49570" xr:uid="{00000000-0005-0000-0000-0000B3290000}"/>
    <cellStyle name="20% - Accent5 4 7 2 4" xfId="35071" xr:uid="{00000000-0005-0000-0000-0000B4290000}"/>
    <cellStyle name="20% - Accent5 4 7 3" xfId="10174" xr:uid="{00000000-0005-0000-0000-0000B5290000}"/>
    <cellStyle name="20% - Accent5 4 7 3 2" xfId="24708" xr:uid="{00000000-0005-0000-0000-0000B6290000}"/>
    <cellStyle name="20% - Accent5 4 7 3 2 2" xfId="53714" xr:uid="{00000000-0005-0000-0000-0000B7290000}"/>
    <cellStyle name="20% - Accent5 4 7 3 3" xfId="39215" xr:uid="{00000000-0005-0000-0000-0000B8290000}"/>
    <cellStyle name="20% - Accent5 4 7 4" xfId="17460" xr:uid="{00000000-0005-0000-0000-0000B9290000}"/>
    <cellStyle name="20% - Accent5 4 7 4 2" xfId="46466" xr:uid="{00000000-0005-0000-0000-0000BA290000}"/>
    <cellStyle name="20% - Accent5 4 7 5" xfId="31967" xr:uid="{00000000-0005-0000-0000-0000BB290000}"/>
    <cellStyle name="20% - Accent5 4 8" xfId="3934" xr:uid="{00000000-0005-0000-0000-0000BC290000}"/>
    <cellStyle name="20% - Accent5 4 8 2" xfId="11206" xr:uid="{00000000-0005-0000-0000-0000BD290000}"/>
    <cellStyle name="20% - Accent5 4 8 2 2" xfId="25740" xr:uid="{00000000-0005-0000-0000-0000BE290000}"/>
    <cellStyle name="20% - Accent5 4 8 2 2 2" xfId="54746" xr:uid="{00000000-0005-0000-0000-0000BF290000}"/>
    <cellStyle name="20% - Accent5 4 8 2 3" xfId="40247" xr:uid="{00000000-0005-0000-0000-0000C0290000}"/>
    <cellStyle name="20% - Accent5 4 8 3" xfId="18492" xr:uid="{00000000-0005-0000-0000-0000C1290000}"/>
    <cellStyle name="20% - Accent5 4 8 3 2" xfId="47498" xr:uid="{00000000-0005-0000-0000-0000C2290000}"/>
    <cellStyle name="20% - Accent5 4 8 4" xfId="32999" xr:uid="{00000000-0005-0000-0000-0000C3290000}"/>
    <cellStyle name="20% - Accent5 4 9" xfId="7038" xr:uid="{00000000-0005-0000-0000-0000C4290000}"/>
    <cellStyle name="20% - Accent5 4 9 2" xfId="14310" xr:uid="{00000000-0005-0000-0000-0000C5290000}"/>
    <cellStyle name="20% - Accent5 4 9 2 2" xfId="28844" xr:uid="{00000000-0005-0000-0000-0000C6290000}"/>
    <cellStyle name="20% - Accent5 4 9 2 2 2" xfId="57850" xr:uid="{00000000-0005-0000-0000-0000C7290000}"/>
    <cellStyle name="20% - Accent5 4 9 2 3" xfId="43351" xr:uid="{00000000-0005-0000-0000-0000C8290000}"/>
    <cellStyle name="20% - Accent5 4 9 3" xfId="21596" xr:uid="{00000000-0005-0000-0000-0000C9290000}"/>
    <cellStyle name="20% - Accent5 4 9 3 2" xfId="50602" xr:uid="{00000000-0005-0000-0000-0000CA290000}"/>
    <cellStyle name="20% - Accent5 4 9 4" xfId="36103" xr:uid="{00000000-0005-0000-0000-0000CB290000}"/>
    <cellStyle name="20% - Accent5 5" xfId="911" xr:uid="{00000000-0005-0000-0000-0000CC290000}"/>
    <cellStyle name="20% - Accent5 5 10" xfId="29946" xr:uid="{00000000-0005-0000-0000-0000CD290000}"/>
    <cellStyle name="20% - Accent5 5 2" xfId="1179" xr:uid="{00000000-0005-0000-0000-0000CE290000}"/>
    <cellStyle name="20% - Accent5 5 2 2" xfId="1680" xr:uid="{00000000-0005-0000-0000-0000CF290000}"/>
    <cellStyle name="20% - Accent5 5 2 2 2" xfId="2739" xr:uid="{00000000-0005-0000-0000-0000D0290000}"/>
    <cellStyle name="20% - Accent5 5 2 2 2 2" xfId="5843" xr:uid="{00000000-0005-0000-0000-0000D1290000}"/>
    <cellStyle name="20% - Accent5 5 2 2 2 2 2" xfId="13115" xr:uid="{00000000-0005-0000-0000-0000D2290000}"/>
    <cellStyle name="20% - Accent5 5 2 2 2 2 2 2" xfId="27649" xr:uid="{00000000-0005-0000-0000-0000D3290000}"/>
    <cellStyle name="20% - Accent5 5 2 2 2 2 2 2 2" xfId="56655" xr:uid="{00000000-0005-0000-0000-0000D4290000}"/>
    <cellStyle name="20% - Accent5 5 2 2 2 2 2 3" xfId="42156" xr:uid="{00000000-0005-0000-0000-0000D5290000}"/>
    <cellStyle name="20% - Accent5 5 2 2 2 2 3" xfId="20401" xr:uid="{00000000-0005-0000-0000-0000D6290000}"/>
    <cellStyle name="20% - Accent5 5 2 2 2 2 3 2" xfId="49407" xr:uid="{00000000-0005-0000-0000-0000D7290000}"/>
    <cellStyle name="20% - Accent5 5 2 2 2 2 4" xfId="34908" xr:uid="{00000000-0005-0000-0000-0000D8290000}"/>
    <cellStyle name="20% - Accent5 5 2 2 2 3" xfId="10011" xr:uid="{00000000-0005-0000-0000-0000D9290000}"/>
    <cellStyle name="20% - Accent5 5 2 2 2 3 2" xfId="24545" xr:uid="{00000000-0005-0000-0000-0000DA290000}"/>
    <cellStyle name="20% - Accent5 5 2 2 2 3 2 2" xfId="53551" xr:uid="{00000000-0005-0000-0000-0000DB290000}"/>
    <cellStyle name="20% - Accent5 5 2 2 2 3 3" xfId="39052" xr:uid="{00000000-0005-0000-0000-0000DC290000}"/>
    <cellStyle name="20% - Accent5 5 2 2 2 4" xfId="17297" xr:uid="{00000000-0005-0000-0000-0000DD290000}"/>
    <cellStyle name="20% - Accent5 5 2 2 2 4 2" xfId="46303" xr:uid="{00000000-0005-0000-0000-0000DE290000}"/>
    <cellStyle name="20% - Accent5 5 2 2 2 5" xfId="31804" xr:uid="{00000000-0005-0000-0000-0000DF290000}"/>
    <cellStyle name="20% - Accent5 5 2 2 3" xfId="3771" xr:uid="{00000000-0005-0000-0000-0000E0290000}"/>
    <cellStyle name="20% - Accent5 5 2 2 3 2" xfId="6875" xr:uid="{00000000-0005-0000-0000-0000E1290000}"/>
    <cellStyle name="20% - Accent5 5 2 2 3 2 2" xfId="14147" xr:uid="{00000000-0005-0000-0000-0000E2290000}"/>
    <cellStyle name="20% - Accent5 5 2 2 3 2 2 2" xfId="28681" xr:uid="{00000000-0005-0000-0000-0000E3290000}"/>
    <cellStyle name="20% - Accent5 5 2 2 3 2 2 2 2" xfId="57687" xr:uid="{00000000-0005-0000-0000-0000E4290000}"/>
    <cellStyle name="20% - Accent5 5 2 2 3 2 2 3" xfId="43188" xr:uid="{00000000-0005-0000-0000-0000E5290000}"/>
    <cellStyle name="20% - Accent5 5 2 2 3 2 3" xfId="21433" xr:uid="{00000000-0005-0000-0000-0000E6290000}"/>
    <cellStyle name="20% - Accent5 5 2 2 3 2 3 2" xfId="50439" xr:uid="{00000000-0005-0000-0000-0000E7290000}"/>
    <cellStyle name="20% - Accent5 5 2 2 3 2 4" xfId="35940" xr:uid="{00000000-0005-0000-0000-0000E8290000}"/>
    <cellStyle name="20% - Accent5 5 2 2 3 3" xfId="11043" xr:uid="{00000000-0005-0000-0000-0000E9290000}"/>
    <cellStyle name="20% - Accent5 5 2 2 3 3 2" xfId="25577" xr:uid="{00000000-0005-0000-0000-0000EA290000}"/>
    <cellStyle name="20% - Accent5 5 2 2 3 3 2 2" xfId="54583" xr:uid="{00000000-0005-0000-0000-0000EB290000}"/>
    <cellStyle name="20% - Accent5 5 2 2 3 3 3" xfId="40084" xr:uid="{00000000-0005-0000-0000-0000EC290000}"/>
    <cellStyle name="20% - Accent5 5 2 2 3 4" xfId="18329" xr:uid="{00000000-0005-0000-0000-0000ED290000}"/>
    <cellStyle name="20% - Accent5 5 2 2 3 4 2" xfId="47335" xr:uid="{00000000-0005-0000-0000-0000EE290000}"/>
    <cellStyle name="20% - Accent5 5 2 2 3 5" xfId="32836" xr:uid="{00000000-0005-0000-0000-0000EF290000}"/>
    <cellStyle name="20% - Accent5 5 2 2 4" xfId="4803" xr:uid="{00000000-0005-0000-0000-0000F0290000}"/>
    <cellStyle name="20% - Accent5 5 2 2 4 2" xfId="12075" xr:uid="{00000000-0005-0000-0000-0000F1290000}"/>
    <cellStyle name="20% - Accent5 5 2 2 4 2 2" xfId="26609" xr:uid="{00000000-0005-0000-0000-0000F2290000}"/>
    <cellStyle name="20% - Accent5 5 2 2 4 2 2 2" xfId="55615" xr:uid="{00000000-0005-0000-0000-0000F3290000}"/>
    <cellStyle name="20% - Accent5 5 2 2 4 2 3" xfId="41116" xr:uid="{00000000-0005-0000-0000-0000F4290000}"/>
    <cellStyle name="20% - Accent5 5 2 2 4 3" xfId="19361" xr:uid="{00000000-0005-0000-0000-0000F5290000}"/>
    <cellStyle name="20% - Accent5 5 2 2 4 3 2" xfId="48367" xr:uid="{00000000-0005-0000-0000-0000F6290000}"/>
    <cellStyle name="20% - Accent5 5 2 2 4 4" xfId="33868" xr:uid="{00000000-0005-0000-0000-0000F7290000}"/>
    <cellStyle name="20% - Accent5 5 2 2 5" xfId="7907" xr:uid="{00000000-0005-0000-0000-0000F8290000}"/>
    <cellStyle name="20% - Accent5 5 2 2 5 2" xfId="15179" xr:uid="{00000000-0005-0000-0000-0000F9290000}"/>
    <cellStyle name="20% - Accent5 5 2 2 5 2 2" xfId="29713" xr:uid="{00000000-0005-0000-0000-0000FA290000}"/>
    <cellStyle name="20% - Accent5 5 2 2 5 2 2 2" xfId="58719" xr:uid="{00000000-0005-0000-0000-0000FB290000}"/>
    <cellStyle name="20% - Accent5 5 2 2 5 2 3" xfId="44220" xr:uid="{00000000-0005-0000-0000-0000FC290000}"/>
    <cellStyle name="20% - Accent5 5 2 2 5 3" xfId="22465" xr:uid="{00000000-0005-0000-0000-0000FD290000}"/>
    <cellStyle name="20% - Accent5 5 2 2 5 3 2" xfId="51471" xr:uid="{00000000-0005-0000-0000-0000FE290000}"/>
    <cellStyle name="20% - Accent5 5 2 2 5 4" xfId="36972" xr:uid="{00000000-0005-0000-0000-0000FF290000}"/>
    <cellStyle name="20% - Accent5 5 2 2 6" xfId="8971" xr:uid="{00000000-0005-0000-0000-0000002A0000}"/>
    <cellStyle name="20% - Accent5 5 2 2 6 2" xfId="23505" xr:uid="{00000000-0005-0000-0000-0000012A0000}"/>
    <cellStyle name="20% - Accent5 5 2 2 6 2 2" xfId="52511" xr:uid="{00000000-0005-0000-0000-0000022A0000}"/>
    <cellStyle name="20% - Accent5 5 2 2 6 3" xfId="38012" xr:uid="{00000000-0005-0000-0000-0000032A0000}"/>
    <cellStyle name="20% - Accent5 5 2 2 7" xfId="16257" xr:uid="{00000000-0005-0000-0000-0000042A0000}"/>
    <cellStyle name="20% - Accent5 5 2 2 7 2" xfId="45263" xr:uid="{00000000-0005-0000-0000-0000052A0000}"/>
    <cellStyle name="20% - Accent5 5 2 2 8" xfId="30764" xr:uid="{00000000-0005-0000-0000-0000062A0000}"/>
    <cellStyle name="20% - Accent5 5 2 3" xfId="2227" xr:uid="{00000000-0005-0000-0000-0000072A0000}"/>
    <cellStyle name="20% - Accent5 5 2 3 2" xfId="5331" xr:uid="{00000000-0005-0000-0000-0000082A0000}"/>
    <cellStyle name="20% - Accent5 5 2 3 2 2" xfId="12603" xr:uid="{00000000-0005-0000-0000-0000092A0000}"/>
    <cellStyle name="20% - Accent5 5 2 3 2 2 2" xfId="27137" xr:uid="{00000000-0005-0000-0000-00000A2A0000}"/>
    <cellStyle name="20% - Accent5 5 2 3 2 2 2 2" xfId="56143" xr:uid="{00000000-0005-0000-0000-00000B2A0000}"/>
    <cellStyle name="20% - Accent5 5 2 3 2 2 3" xfId="41644" xr:uid="{00000000-0005-0000-0000-00000C2A0000}"/>
    <cellStyle name="20% - Accent5 5 2 3 2 3" xfId="19889" xr:uid="{00000000-0005-0000-0000-00000D2A0000}"/>
    <cellStyle name="20% - Accent5 5 2 3 2 3 2" xfId="48895" xr:uid="{00000000-0005-0000-0000-00000E2A0000}"/>
    <cellStyle name="20% - Accent5 5 2 3 2 4" xfId="34396" xr:uid="{00000000-0005-0000-0000-00000F2A0000}"/>
    <cellStyle name="20% - Accent5 5 2 3 3" xfId="9499" xr:uid="{00000000-0005-0000-0000-0000102A0000}"/>
    <cellStyle name="20% - Accent5 5 2 3 3 2" xfId="24033" xr:uid="{00000000-0005-0000-0000-0000112A0000}"/>
    <cellStyle name="20% - Accent5 5 2 3 3 2 2" xfId="53039" xr:uid="{00000000-0005-0000-0000-0000122A0000}"/>
    <cellStyle name="20% - Accent5 5 2 3 3 3" xfId="38540" xr:uid="{00000000-0005-0000-0000-0000132A0000}"/>
    <cellStyle name="20% - Accent5 5 2 3 4" xfId="16785" xr:uid="{00000000-0005-0000-0000-0000142A0000}"/>
    <cellStyle name="20% - Accent5 5 2 3 4 2" xfId="45791" xr:uid="{00000000-0005-0000-0000-0000152A0000}"/>
    <cellStyle name="20% - Accent5 5 2 3 5" xfId="31292" xr:uid="{00000000-0005-0000-0000-0000162A0000}"/>
    <cellStyle name="20% - Accent5 5 2 4" xfId="3259" xr:uid="{00000000-0005-0000-0000-0000172A0000}"/>
    <cellStyle name="20% - Accent5 5 2 4 2" xfId="6363" xr:uid="{00000000-0005-0000-0000-0000182A0000}"/>
    <cellStyle name="20% - Accent5 5 2 4 2 2" xfId="13635" xr:uid="{00000000-0005-0000-0000-0000192A0000}"/>
    <cellStyle name="20% - Accent5 5 2 4 2 2 2" xfId="28169" xr:uid="{00000000-0005-0000-0000-00001A2A0000}"/>
    <cellStyle name="20% - Accent5 5 2 4 2 2 2 2" xfId="57175" xr:uid="{00000000-0005-0000-0000-00001B2A0000}"/>
    <cellStyle name="20% - Accent5 5 2 4 2 2 3" xfId="42676" xr:uid="{00000000-0005-0000-0000-00001C2A0000}"/>
    <cellStyle name="20% - Accent5 5 2 4 2 3" xfId="20921" xr:uid="{00000000-0005-0000-0000-00001D2A0000}"/>
    <cellStyle name="20% - Accent5 5 2 4 2 3 2" xfId="49927" xr:uid="{00000000-0005-0000-0000-00001E2A0000}"/>
    <cellStyle name="20% - Accent5 5 2 4 2 4" xfId="35428" xr:uid="{00000000-0005-0000-0000-00001F2A0000}"/>
    <cellStyle name="20% - Accent5 5 2 4 3" xfId="10531" xr:uid="{00000000-0005-0000-0000-0000202A0000}"/>
    <cellStyle name="20% - Accent5 5 2 4 3 2" xfId="25065" xr:uid="{00000000-0005-0000-0000-0000212A0000}"/>
    <cellStyle name="20% - Accent5 5 2 4 3 2 2" xfId="54071" xr:uid="{00000000-0005-0000-0000-0000222A0000}"/>
    <cellStyle name="20% - Accent5 5 2 4 3 3" xfId="39572" xr:uid="{00000000-0005-0000-0000-0000232A0000}"/>
    <cellStyle name="20% - Accent5 5 2 4 4" xfId="17817" xr:uid="{00000000-0005-0000-0000-0000242A0000}"/>
    <cellStyle name="20% - Accent5 5 2 4 4 2" xfId="46823" xr:uid="{00000000-0005-0000-0000-0000252A0000}"/>
    <cellStyle name="20% - Accent5 5 2 4 5" xfId="32324" xr:uid="{00000000-0005-0000-0000-0000262A0000}"/>
    <cellStyle name="20% - Accent5 5 2 5" xfId="4291" xr:uid="{00000000-0005-0000-0000-0000272A0000}"/>
    <cellStyle name="20% - Accent5 5 2 5 2" xfId="11563" xr:uid="{00000000-0005-0000-0000-0000282A0000}"/>
    <cellStyle name="20% - Accent5 5 2 5 2 2" xfId="26097" xr:uid="{00000000-0005-0000-0000-0000292A0000}"/>
    <cellStyle name="20% - Accent5 5 2 5 2 2 2" xfId="55103" xr:uid="{00000000-0005-0000-0000-00002A2A0000}"/>
    <cellStyle name="20% - Accent5 5 2 5 2 3" xfId="40604" xr:uid="{00000000-0005-0000-0000-00002B2A0000}"/>
    <cellStyle name="20% - Accent5 5 2 5 3" xfId="18849" xr:uid="{00000000-0005-0000-0000-00002C2A0000}"/>
    <cellStyle name="20% - Accent5 5 2 5 3 2" xfId="47855" xr:uid="{00000000-0005-0000-0000-00002D2A0000}"/>
    <cellStyle name="20% - Accent5 5 2 5 4" xfId="33356" xr:uid="{00000000-0005-0000-0000-00002E2A0000}"/>
    <cellStyle name="20% - Accent5 5 2 6" xfId="7395" xr:uid="{00000000-0005-0000-0000-00002F2A0000}"/>
    <cellStyle name="20% - Accent5 5 2 6 2" xfId="14667" xr:uid="{00000000-0005-0000-0000-0000302A0000}"/>
    <cellStyle name="20% - Accent5 5 2 6 2 2" xfId="29201" xr:uid="{00000000-0005-0000-0000-0000312A0000}"/>
    <cellStyle name="20% - Accent5 5 2 6 2 2 2" xfId="58207" xr:uid="{00000000-0005-0000-0000-0000322A0000}"/>
    <cellStyle name="20% - Accent5 5 2 6 2 3" xfId="43708" xr:uid="{00000000-0005-0000-0000-0000332A0000}"/>
    <cellStyle name="20% - Accent5 5 2 6 3" xfId="21953" xr:uid="{00000000-0005-0000-0000-0000342A0000}"/>
    <cellStyle name="20% - Accent5 5 2 6 3 2" xfId="50959" xr:uid="{00000000-0005-0000-0000-0000352A0000}"/>
    <cellStyle name="20% - Accent5 5 2 6 4" xfId="36460" xr:uid="{00000000-0005-0000-0000-0000362A0000}"/>
    <cellStyle name="20% - Accent5 5 2 7" xfId="8459" xr:uid="{00000000-0005-0000-0000-0000372A0000}"/>
    <cellStyle name="20% - Accent5 5 2 7 2" xfId="22993" xr:uid="{00000000-0005-0000-0000-0000382A0000}"/>
    <cellStyle name="20% - Accent5 5 2 7 2 2" xfId="51999" xr:uid="{00000000-0005-0000-0000-0000392A0000}"/>
    <cellStyle name="20% - Accent5 5 2 7 3" xfId="37500" xr:uid="{00000000-0005-0000-0000-00003A2A0000}"/>
    <cellStyle name="20% - Accent5 5 2 8" xfId="15745" xr:uid="{00000000-0005-0000-0000-00003B2A0000}"/>
    <cellStyle name="20% - Accent5 5 2 8 2" xfId="44751" xr:uid="{00000000-0005-0000-0000-00003C2A0000}"/>
    <cellStyle name="20% - Accent5 5 2 9" xfId="30252" xr:uid="{00000000-0005-0000-0000-00003D2A0000}"/>
    <cellStyle name="20% - Accent5 5 3" xfId="1376" xr:uid="{00000000-0005-0000-0000-00003E2A0000}"/>
    <cellStyle name="20% - Accent5 5 3 2" xfId="2433" xr:uid="{00000000-0005-0000-0000-00003F2A0000}"/>
    <cellStyle name="20% - Accent5 5 3 2 2" xfId="5537" xr:uid="{00000000-0005-0000-0000-0000402A0000}"/>
    <cellStyle name="20% - Accent5 5 3 2 2 2" xfId="12809" xr:uid="{00000000-0005-0000-0000-0000412A0000}"/>
    <cellStyle name="20% - Accent5 5 3 2 2 2 2" xfId="27343" xr:uid="{00000000-0005-0000-0000-0000422A0000}"/>
    <cellStyle name="20% - Accent5 5 3 2 2 2 2 2" xfId="56349" xr:uid="{00000000-0005-0000-0000-0000432A0000}"/>
    <cellStyle name="20% - Accent5 5 3 2 2 2 3" xfId="41850" xr:uid="{00000000-0005-0000-0000-0000442A0000}"/>
    <cellStyle name="20% - Accent5 5 3 2 2 3" xfId="20095" xr:uid="{00000000-0005-0000-0000-0000452A0000}"/>
    <cellStyle name="20% - Accent5 5 3 2 2 3 2" xfId="49101" xr:uid="{00000000-0005-0000-0000-0000462A0000}"/>
    <cellStyle name="20% - Accent5 5 3 2 2 4" xfId="34602" xr:uid="{00000000-0005-0000-0000-0000472A0000}"/>
    <cellStyle name="20% - Accent5 5 3 2 3" xfId="9705" xr:uid="{00000000-0005-0000-0000-0000482A0000}"/>
    <cellStyle name="20% - Accent5 5 3 2 3 2" xfId="24239" xr:uid="{00000000-0005-0000-0000-0000492A0000}"/>
    <cellStyle name="20% - Accent5 5 3 2 3 2 2" xfId="53245" xr:uid="{00000000-0005-0000-0000-00004A2A0000}"/>
    <cellStyle name="20% - Accent5 5 3 2 3 3" xfId="38746" xr:uid="{00000000-0005-0000-0000-00004B2A0000}"/>
    <cellStyle name="20% - Accent5 5 3 2 4" xfId="16991" xr:uid="{00000000-0005-0000-0000-00004C2A0000}"/>
    <cellStyle name="20% - Accent5 5 3 2 4 2" xfId="45997" xr:uid="{00000000-0005-0000-0000-00004D2A0000}"/>
    <cellStyle name="20% - Accent5 5 3 2 5" xfId="31498" xr:uid="{00000000-0005-0000-0000-00004E2A0000}"/>
    <cellStyle name="20% - Accent5 5 3 3" xfId="3465" xr:uid="{00000000-0005-0000-0000-00004F2A0000}"/>
    <cellStyle name="20% - Accent5 5 3 3 2" xfId="6569" xr:uid="{00000000-0005-0000-0000-0000502A0000}"/>
    <cellStyle name="20% - Accent5 5 3 3 2 2" xfId="13841" xr:uid="{00000000-0005-0000-0000-0000512A0000}"/>
    <cellStyle name="20% - Accent5 5 3 3 2 2 2" xfId="28375" xr:uid="{00000000-0005-0000-0000-0000522A0000}"/>
    <cellStyle name="20% - Accent5 5 3 3 2 2 2 2" xfId="57381" xr:uid="{00000000-0005-0000-0000-0000532A0000}"/>
    <cellStyle name="20% - Accent5 5 3 3 2 2 3" xfId="42882" xr:uid="{00000000-0005-0000-0000-0000542A0000}"/>
    <cellStyle name="20% - Accent5 5 3 3 2 3" xfId="21127" xr:uid="{00000000-0005-0000-0000-0000552A0000}"/>
    <cellStyle name="20% - Accent5 5 3 3 2 3 2" xfId="50133" xr:uid="{00000000-0005-0000-0000-0000562A0000}"/>
    <cellStyle name="20% - Accent5 5 3 3 2 4" xfId="35634" xr:uid="{00000000-0005-0000-0000-0000572A0000}"/>
    <cellStyle name="20% - Accent5 5 3 3 3" xfId="10737" xr:uid="{00000000-0005-0000-0000-0000582A0000}"/>
    <cellStyle name="20% - Accent5 5 3 3 3 2" xfId="25271" xr:uid="{00000000-0005-0000-0000-0000592A0000}"/>
    <cellStyle name="20% - Accent5 5 3 3 3 2 2" xfId="54277" xr:uid="{00000000-0005-0000-0000-00005A2A0000}"/>
    <cellStyle name="20% - Accent5 5 3 3 3 3" xfId="39778" xr:uid="{00000000-0005-0000-0000-00005B2A0000}"/>
    <cellStyle name="20% - Accent5 5 3 3 4" xfId="18023" xr:uid="{00000000-0005-0000-0000-00005C2A0000}"/>
    <cellStyle name="20% - Accent5 5 3 3 4 2" xfId="47029" xr:uid="{00000000-0005-0000-0000-00005D2A0000}"/>
    <cellStyle name="20% - Accent5 5 3 3 5" xfId="32530" xr:uid="{00000000-0005-0000-0000-00005E2A0000}"/>
    <cellStyle name="20% - Accent5 5 3 4" xfId="4497" xr:uid="{00000000-0005-0000-0000-00005F2A0000}"/>
    <cellStyle name="20% - Accent5 5 3 4 2" xfId="11769" xr:uid="{00000000-0005-0000-0000-0000602A0000}"/>
    <cellStyle name="20% - Accent5 5 3 4 2 2" xfId="26303" xr:uid="{00000000-0005-0000-0000-0000612A0000}"/>
    <cellStyle name="20% - Accent5 5 3 4 2 2 2" xfId="55309" xr:uid="{00000000-0005-0000-0000-0000622A0000}"/>
    <cellStyle name="20% - Accent5 5 3 4 2 3" xfId="40810" xr:uid="{00000000-0005-0000-0000-0000632A0000}"/>
    <cellStyle name="20% - Accent5 5 3 4 3" xfId="19055" xr:uid="{00000000-0005-0000-0000-0000642A0000}"/>
    <cellStyle name="20% - Accent5 5 3 4 3 2" xfId="48061" xr:uid="{00000000-0005-0000-0000-0000652A0000}"/>
    <cellStyle name="20% - Accent5 5 3 4 4" xfId="33562" xr:uid="{00000000-0005-0000-0000-0000662A0000}"/>
    <cellStyle name="20% - Accent5 5 3 5" xfId="7601" xr:uid="{00000000-0005-0000-0000-0000672A0000}"/>
    <cellStyle name="20% - Accent5 5 3 5 2" xfId="14873" xr:uid="{00000000-0005-0000-0000-0000682A0000}"/>
    <cellStyle name="20% - Accent5 5 3 5 2 2" xfId="29407" xr:uid="{00000000-0005-0000-0000-0000692A0000}"/>
    <cellStyle name="20% - Accent5 5 3 5 2 2 2" xfId="58413" xr:uid="{00000000-0005-0000-0000-00006A2A0000}"/>
    <cellStyle name="20% - Accent5 5 3 5 2 3" xfId="43914" xr:uid="{00000000-0005-0000-0000-00006B2A0000}"/>
    <cellStyle name="20% - Accent5 5 3 5 3" xfId="22159" xr:uid="{00000000-0005-0000-0000-00006C2A0000}"/>
    <cellStyle name="20% - Accent5 5 3 5 3 2" xfId="51165" xr:uid="{00000000-0005-0000-0000-00006D2A0000}"/>
    <cellStyle name="20% - Accent5 5 3 5 4" xfId="36666" xr:uid="{00000000-0005-0000-0000-00006E2A0000}"/>
    <cellStyle name="20% - Accent5 5 3 6" xfId="8665" xr:uid="{00000000-0005-0000-0000-00006F2A0000}"/>
    <cellStyle name="20% - Accent5 5 3 6 2" xfId="23199" xr:uid="{00000000-0005-0000-0000-0000702A0000}"/>
    <cellStyle name="20% - Accent5 5 3 6 2 2" xfId="52205" xr:uid="{00000000-0005-0000-0000-0000712A0000}"/>
    <cellStyle name="20% - Accent5 5 3 6 3" xfId="37706" xr:uid="{00000000-0005-0000-0000-0000722A0000}"/>
    <cellStyle name="20% - Accent5 5 3 7" xfId="15951" xr:uid="{00000000-0005-0000-0000-0000732A0000}"/>
    <cellStyle name="20% - Accent5 5 3 7 2" xfId="44957" xr:uid="{00000000-0005-0000-0000-0000742A0000}"/>
    <cellStyle name="20% - Accent5 5 3 8" xfId="30458" xr:uid="{00000000-0005-0000-0000-0000752A0000}"/>
    <cellStyle name="20% - Accent5 5 4" xfId="1921" xr:uid="{00000000-0005-0000-0000-0000762A0000}"/>
    <cellStyle name="20% - Accent5 5 4 2" xfId="5025" xr:uid="{00000000-0005-0000-0000-0000772A0000}"/>
    <cellStyle name="20% - Accent5 5 4 2 2" xfId="12297" xr:uid="{00000000-0005-0000-0000-0000782A0000}"/>
    <cellStyle name="20% - Accent5 5 4 2 2 2" xfId="26831" xr:uid="{00000000-0005-0000-0000-0000792A0000}"/>
    <cellStyle name="20% - Accent5 5 4 2 2 2 2" xfId="55837" xr:uid="{00000000-0005-0000-0000-00007A2A0000}"/>
    <cellStyle name="20% - Accent5 5 4 2 2 3" xfId="41338" xr:uid="{00000000-0005-0000-0000-00007B2A0000}"/>
    <cellStyle name="20% - Accent5 5 4 2 3" xfId="19583" xr:uid="{00000000-0005-0000-0000-00007C2A0000}"/>
    <cellStyle name="20% - Accent5 5 4 2 3 2" xfId="48589" xr:uid="{00000000-0005-0000-0000-00007D2A0000}"/>
    <cellStyle name="20% - Accent5 5 4 2 4" xfId="34090" xr:uid="{00000000-0005-0000-0000-00007E2A0000}"/>
    <cellStyle name="20% - Accent5 5 4 3" xfId="9193" xr:uid="{00000000-0005-0000-0000-00007F2A0000}"/>
    <cellStyle name="20% - Accent5 5 4 3 2" xfId="23727" xr:uid="{00000000-0005-0000-0000-0000802A0000}"/>
    <cellStyle name="20% - Accent5 5 4 3 2 2" xfId="52733" xr:uid="{00000000-0005-0000-0000-0000812A0000}"/>
    <cellStyle name="20% - Accent5 5 4 3 3" xfId="38234" xr:uid="{00000000-0005-0000-0000-0000822A0000}"/>
    <cellStyle name="20% - Accent5 5 4 4" xfId="16479" xr:uid="{00000000-0005-0000-0000-0000832A0000}"/>
    <cellStyle name="20% - Accent5 5 4 4 2" xfId="45485" xr:uid="{00000000-0005-0000-0000-0000842A0000}"/>
    <cellStyle name="20% - Accent5 5 4 5" xfId="30986" xr:uid="{00000000-0005-0000-0000-0000852A0000}"/>
    <cellStyle name="20% - Accent5 5 5" xfId="2953" xr:uid="{00000000-0005-0000-0000-0000862A0000}"/>
    <cellStyle name="20% - Accent5 5 5 2" xfId="6057" xr:uid="{00000000-0005-0000-0000-0000872A0000}"/>
    <cellStyle name="20% - Accent5 5 5 2 2" xfId="13329" xr:uid="{00000000-0005-0000-0000-0000882A0000}"/>
    <cellStyle name="20% - Accent5 5 5 2 2 2" xfId="27863" xr:uid="{00000000-0005-0000-0000-0000892A0000}"/>
    <cellStyle name="20% - Accent5 5 5 2 2 2 2" xfId="56869" xr:uid="{00000000-0005-0000-0000-00008A2A0000}"/>
    <cellStyle name="20% - Accent5 5 5 2 2 3" xfId="42370" xr:uid="{00000000-0005-0000-0000-00008B2A0000}"/>
    <cellStyle name="20% - Accent5 5 5 2 3" xfId="20615" xr:uid="{00000000-0005-0000-0000-00008C2A0000}"/>
    <cellStyle name="20% - Accent5 5 5 2 3 2" xfId="49621" xr:uid="{00000000-0005-0000-0000-00008D2A0000}"/>
    <cellStyle name="20% - Accent5 5 5 2 4" xfId="35122" xr:uid="{00000000-0005-0000-0000-00008E2A0000}"/>
    <cellStyle name="20% - Accent5 5 5 3" xfId="10225" xr:uid="{00000000-0005-0000-0000-00008F2A0000}"/>
    <cellStyle name="20% - Accent5 5 5 3 2" xfId="24759" xr:uid="{00000000-0005-0000-0000-0000902A0000}"/>
    <cellStyle name="20% - Accent5 5 5 3 2 2" xfId="53765" xr:uid="{00000000-0005-0000-0000-0000912A0000}"/>
    <cellStyle name="20% - Accent5 5 5 3 3" xfId="39266" xr:uid="{00000000-0005-0000-0000-0000922A0000}"/>
    <cellStyle name="20% - Accent5 5 5 4" xfId="17511" xr:uid="{00000000-0005-0000-0000-0000932A0000}"/>
    <cellStyle name="20% - Accent5 5 5 4 2" xfId="46517" xr:uid="{00000000-0005-0000-0000-0000942A0000}"/>
    <cellStyle name="20% - Accent5 5 5 5" xfId="32018" xr:uid="{00000000-0005-0000-0000-0000952A0000}"/>
    <cellStyle name="20% - Accent5 5 6" xfId="3985" xr:uid="{00000000-0005-0000-0000-0000962A0000}"/>
    <cellStyle name="20% - Accent5 5 6 2" xfId="11257" xr:uid="{00000000-0005-0000-0000-0000972A0000}"/>
    <cellStyle name="20% - Accent5 5 6 2 2" xfId="25791" xr:uid="{00000000-0005-0000-0000-0000982A0000}"/>
    <cellStyle name="20% - Accent5 5 6 2 2 2" xfId="54797" xr:uid="{00000000-0005-0000-0000-0000992A0000}"/>
    <cellStyle name="20% - Accent5 5 6 2 3" xfId="40298" xr:uid="{00000000-0005-0000-0000-00009A2A0000}"/>
    <cellStyle name="20% - Accent5 5 6 3" xfId="18543" xr:uid="{00000000-0005-0000-0000-00009B2A0000}"/>
    <cellStyle name="20% - Accent5 5 6 3 2" xfId="47549" xr:uid="{00000000-0005-0000-0000-00009C2A0000}"/>
    <cellStyle name="20% - Accent5 5 6 4" xfId="33050" xr:uid="{00000000-0005-0000-0000-00009D2A0000}"/>
    <cellStyle name="20% - Accent5 5 7" xfId="7089" xr:uid="{00000000-0005-0000-0000-00009E2A0000}"/>
    <cellStyle name="20% - Accent5 5 7 2" xfId="14361" xr:uid="{00000000-0005-0000-0000-00009F2A0000}"/>
    <cellStyle name="20% - Accent5 5 7 2 2" xfId="28895" xr:uid="{00000000-0005-0000-0000-0000A02A0000}"/>
    <cellStyle name="20% - Accent5 5 7 2 2 2" xfId="57901" xr:uid="{00000000-0005-0000-0000-0000A12A0000}"/>
    <cellStyle name="20% - Accent5 5 7 2 3" xfId="43402" xr:uid="{00000000-0005-0000-0000-0000A22A0000}"/>
    <cellStyle name="20% - Accent5 5 7 3" xfId="21647" xr:uid="{00000000-0005-0000-0000-0000A32A0000}"/>
    <cellStyle name="20% - Accent5 5 7 3 2" xfId="50653" xr:uid="{00000000-0005-0000-0000-0000A42A0000}"/>
    <cellStyle name="20% - Accent5 5 7 4" xfId="36154" xr:uid="{00000000-0005-0000-0000-0000A52A0000}"/>
    <cellStyle name="20% - Accent5 5 8" xfId="8153" xr:uid="{00000000-0005-0000-0000-0000A62A0000}"/>
    <cellStyle name="20% - Accent5 5 8 2" xfId="22687" xr:uid="{00000000-0005-0000-0000-0000A72A0000}"/>
    <cellStyle name="20% - Accent5 5 8 2 2" xfId="51693" xr:uid="{00000000-0005-0000-0000-0000A82A0000}"/>
    <cellStyle name="20% - Accent5 5 8 3" xfId="37194" xr:uid="{00000000-0005-0000-0000-0000A92A0000}"/>
    <cellStyle name="20% - Accent5 5 9" xfId="15439" xr:uid="{00000000-0005-0000-0000-0000AA2A0000}"/>
    <cellStyle name="20% - Accent5 5 9 2" xfId="44445" xr:uid="{00000000-0005-0000-0000-0000AB2A0000}"/>
    <cellStyle name="20% - Accent5 6" xfId="1085" xr:uid="{00000000-0005-0000-0000-0000AC2A0000}"/>
    <cellStyle name="20% - Accent5 6 2" xfId="1577" xr:uid="{00000000-0005-0000-0000-0000AD2A0000}"/>
    <cellStyle name="20% - Accent5 6 2 2" xfId="2636" xr:uid="{00000000-0005-0000-0000-0000AE2A0000}"/>
    <cellStyle name="20% - Accent5 6 2 2 2" xfId="5740" xr:uid="{00000000-0005-0000-0000-0000AF2A0000}"/>
    <cellStyle name="20% - Accent5 6 2 2 2 2" xfId="13012" xr:uid="{00000000-0005-0000-0000-0000B02A0000}"/>
    <cellStyle name="20% - Accent5 6 2 2 2 2 2" xfId="27546" xr:uid="{00000000-0005-0000-0000-0000B12A0000}"/>
    <cellStyle name="20% - Accent5 6 2 2 2 2 2 2" xfId="56552" xr:uid="{00000000-0005-0000-0000-0000B22A0000}"/>
    <cellStyle name="20% - Accent5 6 2 2 2 2 3" xfId="42053" xr:uid="{00000000-0005-0000-0000-0000B32A0000}"/>
    <cellStyle name="20% - Accent5 6 2 2 2 3" xfId="20298" xr:uid="{00000000-0005-0000-0000-0000B42A0000}"/>
    <cellStyle name="20% - Accent5 6 2 2 2 3 2" xfId="49304" xr:uid="{00000000-0005-0000-0000-0000B52A0000}"/>
    <cellStyle name="20% - Accent5 6 2 2 2 4" xfId="34805" xr:uid="{00000000-0005-0000-0000-0000B62A0000}"/>
    <cellStyle name="20% - Accent5 6 2 2 3" xfId="9908" xr:uid="{00000000-0005-0000-0000-0000B72A0000}"/>
    <cellStyle name="20% - Accent5 6 2 2 3 2" xfId="24442" xr:uid="{00000000-0005-0000-0000-0000B82A0000}"/>
    <cellStyle name="20% - Accent5 6 2 2 3 2 2" xfId="53448" xr:uid="{00000000-0005-0000-0000-0000B92A0000}"/>
    <cellStyle name="20% - Accent5 6 2 2 3 3" xfId="38949" xr:uid="{00000000-0005-0000-0000-0000BA2A0000}"/>
    <cellStyle name="20% - Accent5 6 2 2 4" xfId="17194" xr:uid="{00000000-0005-0000-0000-0000BB2A0000}"/>
    <cellStyle name="20% - Accent5 6 2 2 4 2" xfId="46200" xr:uid="{00000000-0005-0000-0000-0000BC2A0000}"/>
    <cellStyle name="20% - Accent5 6 2 2 5" xfId="31701" xr:uid="{00000000-0005-0000-0000-0000BD2A0000}"/>
    <cellStyle name="20% - Accent5 6 2 3" xfId="3668" xr:uid="{00000000-0005-0000-0000-0000BE2A0000}"/>
    <cellStyle name="20% - Accent5 6 2 3 2" xfId="6772" xr:uid="{00000000-0005-0000-0000-0000BF2A0000}"/>
    <cellStyle name="20% - Accent5 6 2 3 2 2" xfId="14044" xr:uid="{00000000-0005-0000-0000-0000C02A0000}"/>
    <cellStyle name="20% - Accent5 6 2 3 2 2 2" xfId="28578" xr:uid="{00000000-0005-0000-0000-0000C12A0000}"/>
    <cellStyle name="20% - Accent5 6 2 3 2 2 2 2" xfId="57584" xr:uid="{00000000-0005-0000-0000-0000C22A0000}"/>
    <cellStyle name="20% - Accent5 6 2 3 2 2 3" xfId="43085" xr:uid="{00000000-0005-0000-0000-0000C32A0000}"/>
    <cellStyle name="20% - Accent5 6 2 3 2 3" xfId="21330" xr:uid="{00000000-0005-0000-0000-0000C42A0000}"/>
    <cellStyle name="20% - Accent5 6 2 3 2 3 2" xfId="50336" xr:uid="{00000000-0005-0000-0000-0000C52A0000}"/>
    <cellStyle name="20% - Accent5 6 2 3 2 4" xfId="35837" xr:uid="{00000000-0005-0000-0000-0000C62A0000}"/>
    <cellStyle name="20% - Accent5 6 2 3 3" xfId="10940" xr:uid="{00000000-0005-0000-0000-0000C72A0000}"/>
    <cellStyle name="20% - Accent5 6 2 3 3 2" xfId="25474" xr:uid="{00000000-0005-0000-0000-0000C82A0000}"/>
    <cellStyle name="20% - Accent5 6 2 3 3 2 2" xfId="54480" xr:uid="{00000000-0005-0000-0000-0000C92A0000}"/>
    <cellStyle name="20% - Accent5 6 2 3 3 3" xfId="39981" xr:uid="{00000000-0005-0000-0000-0000CA2A0000}"/>
    <cellStyle name="20% - Accent5 6 2 3 4" xfId="18226" xr:uid="{00000000-0005-0000-0000-0000CB2A0000}"/>
    <cellStyle name="20% - Accent5 6 2 3 4 2" xfId="47232" xr:uid="{00000000-0005-0000-0000-0000CC2A0000}"/>
    <cellStyle name="20% - Accent5 6 2 3 5" xfId="32733" xr:uid="{00000000-0005-0000-0000-0000CD2A0000}"/>
    <cellStyle name="20% - Accent5 6 2 4" xfId="4700" xr:uid="{00000000-0005-0000-0000-0000CE2A0000}"/>
    <cellStyle name="20% - Accent5 6 2 4 2" xfId="11972" xr:uid="{00000000-0005-0000-0000-0000CF2A0000}"/>
    <cellStyle name="20% - Accent5 6 2 4 2 2" xfId="26506" xr:uid="{00000000-0005-0000-0000-0000D02A0000}"/>
    <cellStyle name="20% - Accent5 6 2 4 2 2 2" xfId="55512" xr:uid="{00000000-0005-0000-0000-0000D12A0000}"/>
    <cellStyle name="20% - Accent5 6 2 4 2 3" xfId="41013" xr:uid="{00000000-0005-0000-0000-0000D22A0000}"/>
    <cellStyle name="20% - Accent5 6 2 4 3" xfId="19258" xr:uid="{00000000-0005-0000-0000-0000D32A0000}"/>
    <cellStyle name="20% - Accent5 6 2 4 3 2" xfId="48264" xr:uid="{00000000-0005-0000-0000-0000D42A0000}"/>
    <cellStyle name="20% - Accent5 6 2 4 4" xfId="33765" xr:uid="{00000000-0005-0000-0000-0000D52A0000}"/>
    <cellStyle name="20% - Accent5 6 2 5" xfId="7804" xr:uid="{00000000-0005-0000-0000-0000D62A0000}"/>
    <cellStyle name="20% - Accent5 6 2 5 2" xfId="15076" xr:uid="{00000000-0005-0000-0000-0000D72A0000}"/>
    <cellStyle name="20% - Accent5 6 2 5 2 2" xfId="29610" xr:uid="{00000000-0005-0000-0000-0000D82A0000}"/>
    <cellStyle name="20% - Accent5 6 2 5 2 2 2" xfId="58616" xr:uid="{00000000-0005-0000-0000-0000D92A0000}"/>
    <cellStyle name="20% - Accent5 6 2 5 2 3" xfId="44117" xr:uid="{00000000-0005-0000-0000-0000DA2A0000}"/>
    <cellStyle name="20% - Accent5 6 2 5 3" xfId="22362" xr:uid="{00000000-0005-0000-0000-0000DB2A0000}"/>
    <cellStyle name="20% - Accent5 6 2 5 3 2" xfId="51368" xr:uid="{00000000-0005-0000-0000-0000DC2A0000}"/>
    <cellStyle name="20% - Accent5 6 2 5 4" xfId="36869" xr:uid="{00000000-0005-0000-0000-0000DD2A0000}"/>
    <cellStyle name="20% - Accent5 6 2 6" xfId="8868" xr:uid="{00000000-0005-0000-0000-0000DE2A0000}"/>
    <cellStyle name="20% - Accent5 6 2 6 2" xfId="23402" xr:uid="{00000000-0005-0000-0000-0000DF2A0000}"/>
    <cellStyle name="20% - Accent5 6 2 6 2 2" xfId="52408" xr:uid="{00000000-0005-0000-0000-0000E02A0000}"/>
    <cellStyle name="20% - Accent5 6 2 6 3" xfId="37909" xr:uid="{00000000-0005-0000-0000-0000E12A0000}"/>
    <cellStyle name="20% - Accent5 6 2 7" xfId="16154" xr:uid="{00000000-0005-0000-0000-0000E22A0000}"/>
    <cellStyle name="20% - Accent5 6 2 7 2" xfId="45160" xr:uid="{00000000-0005-0000-0000-0000E32A0000}"/>
    <cellStyle name="20% - Accent5 6 2 8" xfId="30661" xr:uid="{00000000-0005-0000-0000-0000E42A0000}"/>
    <cellStyle name="20% - Accent5 6 3" xfId="2124" xr:uid="{00000000-0005-0000-0000-0000E52A0000}"/>
    <cellStyle name="20% - Accent5 6 3 2" xfId="5228" xr:uid="{00000000-0005-0000-0000-0000E62A0000}"/>
    <cellStyle name="20% - Accent5 6 3 2 2" xfId="12500" xr:uid="{00000000-0005-0000-0000-0000E72A0000}"/>
    <cellStyle name="20% - Accent5 6 3 2 2 2" xfId="27034" xr:uid="{00000000-0005-0000-0000-0000E82A0000}"/>
    <cellStyle name="20% - Accent5 6 3 2 2 2 2" xfId="56040" xr:uid="{00000000-0005-0000-0000-0000E92A0000}"/>
    <cellStyle name="20% - Accent5 6 3 2 2 3" xfId="41541" xr:uid="{00000000-0005-0000-0000-0000EA2A0000}"/>
    <cellStyle name="20% - Accent5 6 3 2 3" xfId="19786" xr:uid="{00000000-0005-0000-0000-0000EB2A0000}"/>
    <cellStyle name="20% - Accent5 6 3 2 3 2" xfId="48792" xr:uid="{00000000-0005-0000-0000-0000EC2A0000}"/>
    <cellStyle name="20% - Accent5 6 3 2 4" xfId="34293" xr:uid="{00000000-0005-0000-0000-0000ED2A0000}"/>
    <cellStyle name="20% - Accent5 6 3 3" xfId="9396" xr:uid="{00000000-0005-0000-0000-0000EE2A0000}"/>
    <cellStyle name="20% - Accent5 6 3 3 2" xfId="23930" xr:uid="{00000000-0005-0000-0000-0000EF2A0000}"/>
    <cellStyle name="20% - Accent5 6 3 3 2 2" xfId="52936" xr:uid="{00000000-0005-0000-0000-0000F02A0000}"/>
    <cellStyle name="20% - Accent5 6 3 3 3" xfId="38437" xr:uid="{00000000-0005-0000-0000-0000F12A0000}"/>
    <cellStyle name="20% - Accent5 6 3 4" xfId="16682" xr:uid="{00000000-0005-0000-0000-0000F22A0000}"/>
    <cellStyle name="20% - Accent5 6 3 4 2" xfId="45688" xr:uid="{00000000-0005-0000-0000-0000F32A0000}"/>
    <cellStyle name="20% - Accent5 6 3 5" xfId="31189" xr:uid="{00000000-0005-0000-0000-0000F42A0000}"/>
    <cellStyle name="20% - Accent5 6 4" xfId="3156" xr:uid="{00000000-0005-0000-0000-0000F52A0000}"/>
    <cellStyle name="20% - Accent5 6 4 2" xfId="6260" xr:uid="{00000000-0005-0000-0000-0000F62A0000}"/>
    <cellStyle name="20% - Accent5 6 4 2 2" xfId="13532" xr:uid="{00000000-0005-0000-0000-0000F72A0000}"/>
    <cellStyle name="20% - Accent5 6 4 2 2 2" xfId="28066" xr:uid="{00000000-0005-0000-0000-0000F82A0000}"/>
    <cellStyle name="20% - Accent5 6 4 2 2 2 2" xfId="57072" xr:uid="{00000000-0005-0000-0000-0000F92A0000}"/>
    <cellStyle name="20% - Accent5 6 4 2 2 3" xfId="42573" xr:uid="{00000000-0005-0000-0000-0000FA2A0000}"/>
    <cellStyle name="20% - Accent5 6 4 2 3" xfId="20818" xr:uid="{00000000-0005-0000-0000-0000FB2A0000}"/>
    <cellStyle name="20% - Accent5 6 4 2 3 2" xfId="49824" xr:uid="{00000000-0005-0000-0000-0000FC2A0000}"/>
    <cellStyle name="20% - Accent5 6 4 2 4" xfId="35325" xr:uid="{00000000-0005-0000-0000-0000FD2A0000}"/>
    <cellStyle name="20% - Accent5 6 4 3" xfId="10428" xr:uid="{00000000-0005-0000-0000-0000FE2A0000}"/>
    <cellStyle name="20% - Accent5 6 4 3 2" xfId="24962" xr:uid="{00000000-0005-0000-0000-0000FF2A0000}"/>
    <cellStyle name="20% - Accent5 6 4 3 2 2" xfId="53968" xr:uid="{00000000-0005-0000-0000-0000002B0000}"/>
    <cellStyle name="20% - Accent5 6 4 3 3" xfId="39469" xr:uid="{00000000-0005-0000-0000-0000012B0000}"/>
    <cellStyle name="20% - Accent5 6 4 4" xfId="17714" xr:uid="{00000000-0005-0000-0000-0000022B0000}"/>
    <cellStyle name="20% - Accent5 6 4 4 2" xfId="46720" xr:uid="{00000000-0005-0000-0000-0000032B0000}"/>
    <cellStyle name="20% - Accent5 6 4 5" xfId="32221" xr:uid="{00000000-0005-0000-0000-0000042B0000}"/>
    <cellStyle name="20% - Accent5 6 5" xfId="4188" xr:uid="{00000000-0005-0000-0000-0000052B0000}"/>
    <cellStyle name="20% - Accent5 6 5 2" xfId="11460" xr:uid="{00000000-0005-0000-0000-0000062B0000}"/>
    <cellStyle name="20% - Accent5 6 5 2 2" xfId="25994" xr:uid="{00000000-0005-0000-0000-0000072B0000}"/>
    <cellStyle name="20% - Accent5 6 5 2 2 2" xfId="55000" xr:uid="{00000000-0005-0000-0000-0000082B0000}"/>
    <cellStyle name="20% - Accent5 6 5 2 3" xfId="40501" xr:uid="{00000000-0005-0000-0000-0000092B0000}"/>
    <cellStyle name="20% - Accent5 6 5 3" xfId="18746" xr:uid="{00000000-0005-0000-0000-00000A2B0000}"/>
    <cellStyle name="20% - Accent5 6 5 3 2" xfId="47752" xr:uid="{00000000-0005-0000-0000-00000B2B0000}"/>
    <cellStyle name="20% - Accent5 6 5 4" xfId="33253" xr:uid="{00000000-0005-0000-0000-00000C2B0000}"/>
    <cellStyle name="20% - Accent5 6 6" xfId="7292" xr:uid="{00000000-0005-0000-0000-00000D2B0000}"/>
    <cellStyle name="20% - Accent5 6 6 2" xfId="14564" xr:uid="{00000000-0005-0000-0000-00000E2B0000}"/>
    <cellStyle name="20% - Accent5 6 6 2 2" xfId="29098" xr:uid="{00000000-0005-0000-0000-00000F2B0000}"/>
    <cellStyle name="20% - Accent5 6 6 2 2 2" xfId="58104" xr:uid="{00000000-0005-0000-0000-0000102B0000}"/>
    <cellStyle name="20% - Accent5 6 6 2 3" xfId="43605" xr:uid="{00000000-0005-0000-0000-0000112B0000}"/>
    <cellStyle name="20% - Accent5 6 6 3" xfId="21850" xr:uid="{00000000-0005-0000-0000-0000122B0000}"/>
    <cellStyle name="20% - Accent5 6 6 3 2" xfId="50856" xr:uid="{00000000-0005-0000-0000-0000132B0000}"/>
    <cellStyle name="20% - Accent5 6 6 4" xfId="36357" xr:uid="{00000000-0005-0000-0000-0000142B0000}"/>
    <cellStyle name="20% - Accent5 6 7" xfId="8356" xr:uid="{00000000-0005-0000-0000-0000152B0000}"/>
    <cellStyle name="20% - Accent5 6 7 2" xfId="22890" xr:uid="{00000000-0005-0000-0000-0000162B0000}"/>
    <cellStyle name="20% - Accent5 6 7 2 2" xfId="51896" xr:uid="{00000000-0005-0000-0000-0000172B0000}"/>
    <cellStyle name="20% - Accent5 6 7 3" xfId="37397" xr:uid="{00000000-0005-0000-0000-0000182B0000}"/>
    <cellStyle name="20% - Accent5 6 8" xfId="15642" xr:uid="{00000000-0005-0000-0000-0000192B0000}"/>
    <cellStyle name="20% - Accent5 6 8 2" xfId="44648" xr:uid="{00000000-0005-0000-0000-00001A2B0000}"/>
    <cellStyle name="20% - Accent5 6 9" xfId="30149" xr:uid="{00000000-0005-0000-0000-00001B2B0000}"/>
    <cellStyle name="20% - Accent5 7" xfId="993" xr:uid="{00000000-0005-0000-0000-00001C2B0000}"/>
    <cellStyle name="20% - Accent5 7 2" xfId="1478" xr:uid="{00000000-0005-0000-0000-00001D2B0000}"/>
    <cellStyle name="20% - Accent5 7 2 2" xfId="2536" xr:uid="{00000000-0005-0000-0000-00001E2B0000}"/>
    <cellStyle name="20% - Accent5 7 2 2 2" xfId="5640" xr:uid="{00000000-0005-0000-0000-00001F2B0000}"/>
    <cellStyle name="20% - Accent5 7 2 2 2 2" xfId="12912" xr:uid="{00000000-0005-0000-0000-0000202B0000}"/>
    <cellStyle name="20% - Accent5 7 2 2 2 2 2" xfId="27446" xr:uid="{00000000-0005-0000-0000-0000212B0000}"/>
    <cellStyle name="20% - Accent5 7 2 2 2 2 2 2" xfId="56452" xr:uid="{00000000-0005-0000-0000-0000222B0000}"/>
    <cellStyle name="20% - Accent5 7 2 2 2 2 3" xfId="41953" xr:uid="{00000000-0005-0000-0000-0000232B0000}"/>
    <cellStyle name="20% - Accent5 7 2 2 2 3" xfId="20198" xr:uid="{00000000-0005-0000-0000-0000242B0000}"/>
    <cellStyle name="20% - Accent5 7 2 2 2 3 2" xfId="49204" xr:uid="{00000000-0005-0000-0000-0000252B0000}"/>
    <cellStyle name="20% - Accent5 7 2 2 2 4" xfId="34705" xr:uid="{00000000-0005-0000-0000-0000262B0000}"/>
    <cellStyle name="20% - Accent5 7 2 2 3" xfId="9808" xr:uid="{00000000-0005-0000-0000-0000272B0000}"/>
    <cellStyle name="20% - Accent5 7 2 2 3 2" xfId="24342" xr:uid="{00000000-0005-0000-0000-0000282B0000}"/>
    <cellStyle name="20% - Accent5 7 2 2 3 2 2" xfId="53348" xr:uid="{00000000-0005-0000-0000-0000292B0000}"/>
    <cellStyle name="20% - Accent5 7 2 2 3 3" xfId="38849" xr:uid="{00000000-0005-0000-0000-00002A2B0000}"/>
    <cellStyle name="20% - Accent5 7 2 2 4" xfId="17094" xr:uid="{00000000-0005-0000-0000-00002B2B0000}"/>
    <cellStyle name="20% - Accent5 7 2 2 4 2" xfId="46100" xr:uid="{00000000-0005-0000-0000-00002C2B0000}"/>
    <cellStyle name="20% - Accent5 7 2 2 5" xfId="31601" xr:uid="{00000000-0005-0000-0000-00002D2B0000}"/>
    <cellStyle name="20% - Accent5 7 2 3" xfId="3568" xr:uid="{00000000-0005-0000-0000-00002E2B0000}"/>
    <cellStyle name="20% - Accent5 7 2 3 2" xfId="6672" xr:uid="{00000000-0005-0000-0000-00002F2B0000}"/>
    <cellStyle name="20% - Accent5 7 2 3 2 2" xfId="13944" xr:uid="{00000000-0005-0000-0000-0000302B0000}"/>
    <cellStyle name="20% - Accent5 7 2 3 2 2 2" xfId="28478" xr:uid="{00000000-0005-0000-0000-0000312B0000}"/>
    <cellStyle name="20% - Accent5 7 2 3 2 2 2 2" xfId="57484" xr:uid="{00000000-0005-0000-0000-0000322B0000}"/>
    <cellStyle name="20% - Accent5 7 2 3 2 2 3" xfId="42985" xr:uid="{00000000-0005-0000-0000-0000332B0000}"/>
    <cellStyle name="20% - Accent5 7 2 3 2 3" xfId="21230" xr:uid="{00000000-0005-0000-0000-0000342B0000}"/>
    <cellStyle name="20% - Accent5 7 2 3 2 3 2" xfId="50236" xr:uid="{00000000-0005-0000-0000-0000352B0000}"/>
    <cellStyle name="20% - Accent5 7 2 3 2 4" xfId="35737" xr:uid="{00000000-0005-0000-0000-0000362B0000}"/>
    <cellStyle name="20% - Accent5 7 2 3 3" xfId="10840" xr:uid="{00000000-0005-0000-0000-0000372B0000}"/>
    <cellStyle name="20% - Accent5 7 2 3 3 2" xfId="25374" xr:uid="{00000000-0005-0000-0000-0000382B0000}"/>
    <cellStyle name="20% - Accent5 7 2 3 3 2 2" xfId="54380" xr:uid="{00000000-0005-0000-0000-0000392B0000}"/>
    <cellStyle name="20% - Accent5 7 2 3 3 3" xfId="39881" xr:uid="{00000000-0005-0000-0000-00003A2B0000}"/>
    <cellStyle name="20% - Accent5 7 2 3 4" xfId="18126" xr:uid="{00000000-0005-0000-0000-00003B2B0000}"/>
    <cellStyle name="20% - Accent5 7 2 3 4 2" xfId="47132" xr:uid="{00000000-0005-0000-0000-00003C2B0000}"/>
    <cellStyle name="20% - Accent5 7 2 3 5" xfId="32633" xr:uid="{00000000-0005-0000-0000-00003D2B0000}"/>
    <cellStyle name="20% - Accent5 7 2 4" xfId="4600" xr:uid="{00000000-0005-0000-0000-00003E2B0000}"/>
    <cellStyle name="20% - Accent5 7 2 4 2" xfId="11872" xr:uid="{00000000-0005-0000-0000-00003F2B0000}"/>
    <cellStyle name="20% - Accent5 7 2 4 2 2" xfId="26406" xr:uid="{00000000-0005-0000-0000-0000402B0000}"/>
    <cellStyle name="20% - Accent5 7 2 4 2 2 2" xfId="55412" xr:uid="{00000000-0005-0000-0000-0000412B0000}"/>
    <cellStyle name="20% - Accent5 7 2 4 2 3" xfId="40913" xr:uid="{00000000-0005-0000-0000-0000422B0000}"/>
    <cellStyle name="20% - Accent5 7 2 4 3" xfId="19158" xr:uid="{00000000-0005-0000-0000-0000432B0000}"/>
    <cellStyle name="20% - Accent5 7 2 4 3 2" xfId="48164" xr:uid="{00000000-0005-0000-0000-0000442B0000}"/>
    <cellStyle name="20% - Accent5 7 2 4 4" xfId="33665" xr:uid="{00000000-0005-0000-0000-0000452B0000}"/>
    <cellStyle name="20% - Accent5 7 2 5" xfId="7704" xr:uid="{00000000-0005-0000-0000-0000462B0000}"/>
    <cellStyle name="20% - Accent5 7 2 5 2" xfId="14976" xr:uid="{00000000-0005-0000-0000-0000472B0000}"/>
    <cellStyle name="20% - Accent5 7 2 5 2 2" xfId="29510" xr:uid="{00000000-0005-0000-0000-0000482B0000}"/>
    <cellStyle name="20% - Accent5 7 2 5 2 2 2" xfId="58516" xr:uid="{00000000-0005-0000-0000-0000492B0000}"/>
    <cellStyle name="20% - Accent5 7 2 5 2 3" xfId="44017" xr:uid="{00000000-0005-0000-0000-00004A2B0000}"/>
    <cellStyle name="20% - Accent5 7 2 5 3" xfId="22262" xr:uid="{00000000-0005-0000-0000-00004B2B0000}"/>
    <cellStyle name="20% - Accent5 7 2 5 3 2" xfId="51268" xr:uid="{00000000-0005-0000-0000-00004C2B0000}"/>
    <cellStyle name="20% - Accent5 7 2 5 4" xfId="36769" xr:uid="{00000000-0005-0000-0000-00004D2B0000}"/>
    <cellStyle name="20% - Accent5 7 2 6" xfId="8768" xr:uid="{00000000-0005-0000-0000-00004E2B0000}"/>
    <cellStyle name="20% - Accent5 7 2 6 2" xfId="23302" xr:uid="{00000000-0005-0000-0000-00004F2B0000}"/>
    <cellStyle name="20% - Accent5 7 2 6 2 2" xfId="52308" xr:uid="{00000000-0005-0000-0000-0000502B0000}"/>
    <cellStyle name="20% - Accent5 7 2 6 3" xfId="37809" xr:uid="{00000000-0005-0000-0000-0000512B0000}"/>
    <cellStyle name="20% - Accent5 7 2 7" xfId="16054" xr:uid="{00000000-0005-0000-0000-0000522B0000}"/>
    <cellStyle name="20% - Accent5 7 2 7 2" xfId="45060" xr:uid="{00000000-0005-0000-0000-0000532B0000}"/>
    <cellStyle name="20% - Accent5 7 2 8" xfId="30561" xr:uid="{00000000-0005-0000-0000-0000542B0000}"/>
    <cellStyle name="20% - Accent5 7 3" xfId="2024" xr:uid="{00000000-0005-0000-0000-0000552B0000}"/>
    <cellStyle name="20% - Accent5 7 3 2" xfId="5128" xr:uid="{00000000-0005-0000-0000-0000562B0000}"/>
    <cellStyle name="20% - Accent5 7 3 2 2" xfId="12400" xr:uid="{00000000-0005-0000-0000-0000572B0000}"/>
    <cellStyle name="20% - Accent5 7 3 2 2 2" xfId="26934" xr:uid="{00000000-0005-0000-0000-0000582B0000}"/>
    <cellStyle name="20% - Accent5 7 3 2 2 2 2" xfId="55940" xr:uid="{00000000-0005-0000-0000-0000592B0000}"/>
    <cellStyle name="20% - Accent5 7 3 2 2 3" xfId="41441" xr:uid="{00000000-0005-0000-0000-00005A2B0000}"/>
    <cellStyle name="20% - Accent5 7 3 2 3" xfId="19686" xr:uid="{00000000-0005-0000-0000-00005B2B0000}"/>
    <cellStyle name="20% - Accent5 7 3 2 3 2" xfId="48692" xr:uid="{00000000-0005-0000-0000-00005C2B0000}"/>
    <cellStyle name="20% - Accent5 7 3 2 4" xfId="34193" xr:uid="{00000000-0005-0000-0000-00005D2B0000}"/>
    <cellStyle name="20% - Accent5 7 3 3" xfId="9296" xr:uid="{00000000-0005-0000-0000-00005E2B0000}"/>
    <cellStyle name="20% - Accent5 7 3 3 2" xfId="23830" xr:uid="{00000000-0005-0000-0000-00005F2B0000}"/>
    <cellStyle name="20% - Accent5 7 3 3 2 2" xfId="52836" xr:uid="{00000000-0005-0000-0000-0000602B0000}"/>
    <cellStyle name="20% - Accent5 7 3 3 3" xfId="38337" xr:uid="{00000000-0005-0000-0000-0000612B0000}"/>
    <cellStyle name="20% - Accent5 7 3 4" xfId="16582" xr:uid="{00000000-0005-0000-0000-0000622B0000}"/>
    <cellStyle name="20% - Accent5 7 3 4 2" xfId="45588" xr:uid="{00000000-0005-0000-0000-0000632B0000}"/>
    <cellStyle name="20% - Accent5 7 3 5" xfId="31089" xr:uid="{00000000-0005-0000-0000-0000642B0000}"/>
    <cellStyle name="20% - Accent5 7 4" xfId="3056" xr:uid="{00000000-0005-0000-0000-0000652B0000}"/>
    <cellStyle name="20% - Accent5 7 4 2" xfId="6160" xr:uid="{00000000-0005-0000-0000-0000662B0000}"/>
    <cellStyle name="20% - Accent5 7 4 2 2" xfId="13432" xr:uid="{00000000-0005-0000-0000-0000672B0000}"/>
    <cellStyle name="20% - Accent5 7 4 2 2 2" xfId="27966" xr:uid="{00000000-0005-0000-0000-0000682B0000}"/>
    <cellStyle name="20% - Accent5 7 4 2 2 2 2" xfId="56972" xr:uid="{00000000-0005-0000-0000-0000692B0000}"/>
    <cellStyle name="20% - Accent5 7 4 2 2 3" xfId="42473" xr:uid="{00000000-0005-0000-0000-00006A2B0000}"/>
    <cellStyle name="20% - Accent5 7 4 2 3" xfId="20718" xr:uid="{00000000-0005-0000-0000-00006B2B0000}"/>
    <cellStyle name="20% - Accent5 7 4 2 3 2" xfId="49724" xr:uid="{00000000-0005-0000-0000-00006C2B0000}"/>
    <cellStyle name="20% - Accent5 7 4 2 4" xfId="35225" xr:uid="{00000000-0005-0000-0000-00006D2B0000}"/>
    <cellStyle name="20% - Accent5 7 4 3" xfId="10328" xr:uid="{00000000-0005-0000-0000-00006E2B0000}"/>
    <cellStyle name="20% - Accent5 7 4 3 2" xfId="24862" xr:uid="{00000000-0005-0000-0000-00006F2B0000}"/>
    <cellStyle name="20% - Accent5 7 4 3 2 2" xfId="53868" xr:uid="{00000000-0005-0000-0000-0000702B0000}"/>
    <cellStyle name="20% - Accent5 7 4 3 3" xfId="39369" xr:uid="{00000000-0005-0000-0000-0000712B0000}"/>
    <cellStyle name="20% - Accent5 7 4 4" xfId="17614" xr:uid="{00000000-0005-0000-0000-0000722B0000}"/>
    <cellStyle name="20% - Accent5 7 4 4 2" xfId="46620" xr:uid="{00000000-0005-0000-0000-0000732B0000}"/>
    <cellStyle name="20% - Accent5 7 4 5" xfId="32121" xr:uid="{00000000-0005-0000-0000-0000742B0000}"/>
    <cellStyle name="20% - Accent5 7 5" xfId="4088" xr:uid="{00000000-0005-0000-0000-0000752B0000}"/>
    <cellStyle name="20% - Accent5 7 5 2" xfId="11360" xr:uid="{00000000-0005-0000-0000-0000762B0000}"/>
    <cellStyle name="20% - Accent5 7 5 2 2" xfId="25894" xr:uid="{00000000-0005-0000-0000-0000772B0000}"/>
    <cellStyle name="20% - Accent5 7 5 2 2 2" xfId="54900" xr:uid="{00000000-0005-0000-0000-0000782B0000}"/>
    <cellStyle name="20% - Accent5 7 5 2 3" xfId="40401" xr:uid="{00000000-0005-0000-0000-0000792B0000}"/>
    <cellStyle name="20% - Accent5 7 5 3" xfId="18646" xr:uid="{00000000-0005-0000-0000-00007A2B0000}"/>
    <cellStyle name="20% - Accent5 7 5 3 2" xfId="47652" xr:uid="{00000000-0005-0000-0000-00007B2B0000}"/>
    <cellStyle name="20% - Accent5 7 5 4" xfId="33153" xr:uid="{00000000-0005-0000-0000-00007C2B0000}"/>
    <cellStyle name="20% - Accent5 7 6" xfId="7192" xr:uid="{00000000-0005-0000-0000-00007D2B0000}"/>
    <cellStyle name="20% - Accent5 7 6 2" xfId="14464" xr:uid="{00000000-0005-0000-0000-00007E2B0000}"/>
    <cellStyle name="20% - Accent5 7 6 2 2" xfId="28998" xr:uid="{00000000-0005-0000-0000-00007F2B0000}"/>
    <cellStyle name="20% - Accent5 7 6 2 2 2" xfId="58004" xr:uid="{00000000-0005-0000-0000-0000802B0000}"/>
    <cellStyle name="20% - Accent5 7 6 2 3" xfId="43505" xr:uid="{00000000-0005-0000-0000-0000812B0000}"/>
    <cellStyle name="20% - Accent5 7 6 3" xfId="21750" xr:uid="{00000000-0005-0000-0000-0000822B0000}"/>
    <cellStyle name="20% - Accent5 7 6 3 2" xfId="50756" xr:uid="{00000000-0005-0000-0000-0000832B0000}"/>
    <cellStyle name="20% - Accent5 7 6 4" xfId="36257" xr:uid="{00000000-0005-0000-0000-0000842B0000}"/>
    <cellStyle name="20% - Accent5 7 7" xfId="8256" xr:uid="{00000000-0005-0000-0000-0000852B0000}"/>
    <cellStyle name="20% - Accent5 7 7 2" xfId="22790" xr:uid="{00000000-0005-0000-0000-0000862B0000}"/>
    <cellStyle name="20% - Accent5 7 7 2 2" xfId="51796" xr:uid="{00000000-0005-0000-0000-0000872B0000}"/>
    <cellStyle name="20% - Accent5 7 7 3" xfId="37297" xr:uid="{00000000-0005-0000-0000-0000882B0000}"/>
    <cellStyle name="20% - Accent5 7 8" xfId="15542" xr:uid="{00000000-0005-0000-0000-0000892B0000}"/>
    <cellStyle name="20% - Accent5 7 8 2" xfId="44548" xr:uid="{00000000-0005-0000-0000-00008A2B0000}"/>
    <cellStyle name="20% - Accent5 7 9" xfId="30049" xr:uid="{00000000-0005-0000-0000-00008B2B0000}"/>
    <cellStyle name="20% - Accent5 8" xfId="1275" xr:uid="{00000000-0005-0000-0000-00008C2B0000}"/>
    <cellStyle name="20% - Accent5 8 2" xfId="2330" xr:uid="{00000000-0005-0000-0000-00008D2B0000}"/>
    <cellStyle name="20% - Accent5 8 2 2" xfId="5434" xr:uid="{00000000-0005-0000-0000-00008E2B0000}"/>
    <cellStyle name="20% - Accent5 8 2 2 2" xfId="12706" xr:uid="{00000000-0005-0000-0000-00008F2B0000}"/>
    <cellStyle name="20% - Accent5 8 2 2 2 2" xfId="27240" xr:uid="{00000000-0005-0000-0000-0000902B0000}"/>
    <cellStyle name="20% - Accent5 8 2 2 2 2 2" xfId="56246" xr:uid="{00000000-0005-0000-0000-0000912B0000}"/>
    <cellStyle name="20% - Accent5 8 2 2 2 3" xfId="41747" xr:uid="{00000000-0005-0000-0000-0000922B0000}"/>
    <cellStyle name="20% - Accent5 8 2 2 3" xfId="19992" xr:uid="{00000000-0005-0000-0000-0000932B0000}"/>
    <cellStyle name="20% - Accent5 8 2 2 3 2" xfId="48998" xr:uid="{00000000-0005-0000-0000-0000942B0000}"/>
    <cellStyle name="20% - Accent5 8 2 2 4" xfId="34499" xr:uid="{00000000-0005-0000-0000-0000952B0000}"/>
    <cellStyle name="20% - Accent5 8 2 3" xfId="9602" xr:uid="{00000000-0005-0000-0000-0000962B0000}"/>
    <cellStyle name="20% - Accent5 8 2 3 2" xfId="24136" xr:uid="{00000000-0005-0000-0000-0000972B0000}"/>
    <cellStyle name="20% - Accent5 8 2 3 2 2" xfId="53142" xr:uid="{00000000-0005-0000-0000-0000982B0000}"/>
    <cellStyle name="20% - Accent5 8 2 3 3" xfId="38643" xr:uid="{00000000-0005-0000-0000-0000992B0000}"/>
    <cellStyle name="20% - Accent5 8 2 4" xfId="16888" xr:uid="{00000000-0005-0000-0000-00009A2B0000}"/>
    <cellStyle name="20% - Accent5 8 2 4 2" xfId="45894" xr:uid="{00000000-0005-0000-0000-00009B2B0000}"/>
    <cellStyle name="20% - Accent5 8 2 5" xfId="31395" xr:uid="{00000000-0005-0000-0000-00009C2B0000}"/>
    <cellStyle name="20% - Accent5 8 3" xfId="3362" xr:uid="{00000000-0005-0000-0000-00009D2B0000}"/>
    <cellStyle name="20% - Accent5 8 3 2" xfId="6466" xr:uid="{00000000-0005-0000-0000-00009E2B0000}"/>
    <cellStyle name="20% - Accent5 8 3 2 2" xfId="13738" xr:uid="{00000000-0005-0000-0000-00009F2B0000}"/>
    <cellStyle name="20% - Accent5 8 3 2 2 2" xfId="28272" xr:uid="{00000000-0005-0000-0000-0000A02B0000}"/>
    <cellStyle name="20% - Accent5 8 3 2 2 2 2" xfId="57278" xr:uid="{00000000-0005-0000-0000-0000A12B0000}"/>
    <cellStyle name="20% - Accent5 8 3 2 2 3" xfId="42779" xr:uid="{00000000-0005-0000-0000-0000A22B0000}"/>
    <cellStyle name="20% - Accent5 8 3 2 3" xfId="21024" xr:uid="{00000000-0005-0000-0000-0000A32B0000}"/>
    <cellStyle name="20% - Accent5 8 3 2 3 2" xfId="50030" xr:uid="{00000000-0005-0000-0000-0000A42B0000}"/>
    <cellStyle name="20% - Accent5 8 3 2 4" xfId="35531" xr:uid="{00000000-0005-0000-0000-0000A52B0000}"/>
    <cellStyle name="20% - Accent5 8 3 3" xfId="10634" xr:uid="{00000000-0005-0000-0000-0000A62B0000}"/>
    <cellStyle name="20% - Accent5 8 3 3 2" xfId="25168" xr:uid="{00000000-0005-0000-0000-0000A72B0000}"/>
    <cellStyle name="20% - Accent5 8 3 3 2 2" xfId="54174" xr:uid="{00000000-0005-0000-0000-0000A82B0000}"/>
    <cellStyle name="20% - Accent5 8 3 3 3" xfId="39675" xr:uid="{00000000-0005-0000-0000-0000A92B0000}"/>
    <cellStyle name="20% - Accent5 8 3 4" xfId="17920" xr:uid="{00000000-0005-0000-0000-0000AA2B0000}"/>
    <cellStyle name="20% - Accent5 8 3 4 2" xfId="46926" xr:uid="{00000000-0005-0000-0000-0000AB2B0000}"/>
    <cellStyle name="20% - Accent5 8 3 5" xfId="32427" xr:uid="{00000000-0005-0000-0000-0000AC2B0000}"/>
    <cellStyle name="20% - Accent5 8 4" xfId="4394" xr:uid="{00000000-0005-0000-0000-0000AD2B0000}"/>
    <cellStyle name="20% - Accent5 8 4 2" xfId="11666" xr:uid="{00000000-0005-0000-0000-0000AE2B0000}"/>
    <cellStyle name="20% - Accent5 8 4 2 2" xfId="26200" xr:uid="{00000000-0005-0000-0000-0000AF2B0000}"/>
    <cellStyle name="20% - Accent5 8 4 2 2 2" xfId="55206" xr:uid="{00000000-0005-0000-0000-0000B02B0000}"/>
    <cellStyle name="20% - Accent5 8 4 2 3" xfId="40707" xr:uid="{00000000-0005-0000-0000-0000B12B0000}"/>
    <cellStyle name="20% - Accent5 8 4 3" xfId="18952" xr:uid="{00000000-0005-0000-0000-0000B22B0000}"/>
    <cellStyle name="20% - Accent5 8 4 3 2" xfId="47958" xr:uid="{00000000-0005-0000-0000-0000B32B0000}"/>
    <cellStyle name="20% - Accent5 8 4 4" xfId="33459" xr:uid="{00000000-0005-0000-0000-0000B42B0000}"/>
    <cellStyle name="20% - Accent5 8 5" xfId="7498" xr:uid="{00000000-0005-0000-0000-0000B52B0000}"/>
    <cellStyle name="20% - Accent5 8 5 2" xfId="14770" xr:uid="{00000000-0005-0000-0000-0000B62B0000}"/>
    <cellStyle name="20% - Accent5 8 5 2 2" xfId="29304" xr:uid="{00000000-0005-0000-0000-0000B72B0000}"/>
    <cellStyle name="20% - Accent5 8 5 2 2 2" xfId="58310" xr:uid="{00000000-0005-0000-0000-0000B82B0000}"/>
    <cellStyle name="20% - Accent5 8 5 2 3" xfId="43811" xr:uid="{00000000-0005-0000-0000-0000B92B0000}"/>
    <cellStyle name="20% - Accent5 8 5 3" xfId="22056" xr:uid="{00000000-0005-0000-0000-0000BA2B0000}"/>
    <cellStyle name="20% - Accent5 8 5 3 2" xfId="51062" xr:uid="{00000000-0005-0000-0000-0000BB2B0000}"/>
    <cellStyle name="20% - Accent5 8 5 4" xfId="36563" xr:uid="{00000000-0005-0000-0000-0000BC2B0000}"/>
    <cellStyle name="20% - Accent5 8 6" xfId="8562" xr:uid="{00000000-0005-0000-0000-0000BD2B0000}"/>
    <cellStyle name="20% - Accent5 8 6 2" xfId="23096" xr:uid="{00000000-0005-0000-0000-0000BE2B0000}"/>
    <cellStyle name="20% - Accent5 8 6 2 2" xfId="52102" xr:uid="{00000000-0005-0000-0000-0000BF2B0000}"/>
    <cellStyle name="20% - Accent5 8 6 3" xfId="37603" xr:uid="{00000000-0005-0000-0000-0000C02B0000}"/>
    <cellStyle name="20% - Accent5 8 7" xfId="15848" xr:uid="{00000000-0005-0000-0000-0000C12B0000}"/>
    <cellStyle name="20% - Accent5 8 7 2" xfId="44854" xr:uid="{00000000-0005-0000-0000-0000C22B0000}"/>
    <cellStyle name="20% - Accent5 8 8" xfId="30355" xr:uid="{00000000-0005-0000-0000-0000C32B0000}"/>
    <cellStyle name="20% - Accent5 9" xfId="1818" xr:uid="{00000000-0005-0000-0000-0000C42B0000}"/>
    <cellStyle name="20% - Accent5 9 2" xfId="4922" xr:uid="{00000000-0005-0000-0000-0000C52B0000}"/>
    <cellStyle name="20% - Accent5 9 2 2" xfId="12194" xr:uid="{00000000-0005-0000-0000-0000C62B0000}"/>
    <cellStyle name="20% - Accent5 9 2 2 2" xfId="26728" xr:uid="{00000000-0005-0000-0000-0000C72B0000}"/>
    <cellStyle name="20% - Accent5 9 2 2 2 2" xfId="55734" xr:uid="{00000000-0005-0000-0000-0000C82B0000}"/>
    <cellStyle name="20% - Accent5 9 2 2 3" xfId="41235" xr:uid="{00000000-0005-0000-0000-0000C92B0000}"/>
    <cellStyle name="20% - Accent5 9 2 3" xfId="19480" xr:uid="{00000000-0005-0000-0000-0000CA2B0000}"/>
    <cellStyle name="20% - Accent5 9 2 3 2" xfId="48486" xr:uid="{00000000-0005-0000-0000-0000CB2B0000}"/>
    <cellStyle name="20% - Accent5 9 2 4" xfId="33987" xr:uid="{00000000-0005-0000-0000-0000CC2B0000}"/>
    <cellStyle name="20% - Accent5 9 3" xfId="9090" xr:uid="{00000000-0005-0000-0000-0000CD2B0000}"/>
    <cellStyle name="20% - Accent5 9 3 2" xfId="23624" xr:uid="{00000000-0005-0000-0000-0000CE2B0000}"/>
    <cellStyle name="20% - Accent5 9 3 2 2" xfId="52630" xr:uid="{00000000-0005-0000-0000-0000CF2B0000}"/>
    <cellStyle name="20% - Accent5 9 3 3" xfId="38131" xr:uid="{00000000-0005-0000-0000-0000D02B0000}"/>
    <cellStyle name="20% - Accent5 9 4" xfId="16376" xr:uid="{00000000-0005-0000-0000-0000D12B0000}"/>
    <cellStyle name="20% - Accent5 9 4 2" xfId="45382" xr:uid="{00000000-0005-0000-0000-0000D22B0000}"/>
    <cellStyle name="20% - Accent5 9 5" xfId="30883" xr:uid="{00000000-0005-0000-0000-0000D32B0000}"/>
    <cellStyle name="20% - Accent6" xfId="82" builtinId="50" customBuiltin="1"/>
    <cellStyle name="20% - Accent6 10" xfId="2852" xr:uid="{00000000-0005-0000-0000-0000D52B0000}"/>
    <cellStyle name="20% - Accent6 10 2" xfId="5956" xr:uid="{00000000-0005-0000-0000-0000D62B0000}"/>
    <cellStyle name="20% - Accent6 10 2 2" xfId="13228" xr:uid="{00000000-0005-0000-0000-0000D72B0000}"/>
    <cellStyle name="20% - Accent6 10 2 2 2" xfId="27762" xr:uid="{00000000-0005-0000-0000-0000D82B0000}"/>
    <cellStyle name="20% - Accent6 10 2 2 2 2" xfId="56768" xr:uid="{00000000-0005-0000-0000-0000D92B0000}"/>
    <cellStyle name="20% - Accent6 10 2 2 3" xfId="42269" xr:uid="{00000000-0005-0000-0000-0000DA2B0000}"/>
    <cellStyle name="20% - Accent6 10 2 3" xfId="20514" xr:uid="{00000000-0005-0000-0000-0000DB2B0000}"/>
    <cellStyle name="20% - Accent6 10 2 3 2" xfId="49520" xr:uid="{00000000-0005-0000-0000-0000DC2B0000}"/>
    <cellStyle name="20% - Accent6 10 2 4" xfId="35021" xr:uid="{00000000-0005-0000-0000-0000DD2B0000}"/>
    <cellStyle name="20% - Accent6 10 3" xfId="10124" xr:uid="{00000000-0005-0000-0000-0000DE2B0000}"/>
    <cellStyle name="20% - Accent6 10 3 2" xfId="24658" xr:uid="{00000000-0005-0000-0000-0000DF2B0000}"/>
    <cellStyle name="20% - Accent6 10 3 2 2" xfId="53664" xr:uid="{00000000-0005-0000-0000-0000E02B0000}"/>
    <cellStyle name="20% - Accent6 10 3 3" xfId="39165" xr:uid="{00000000-0005-0000-0000-0000E12B0000}"/>
    <cellStyle name="20% - Accent6 10 4" xfId="17410" xr:uid="{00000000-0005-0000-0000-0000E22B0000}"/>
    <cellStyle name="20% - Accent6 10 4 2" xfId="46416" xr:uid="{00000000-0005-0000-0000-0000E32B0000}"/>
    <cellStyle name="20% - Accent6 10 5" xfId="31917" xr:uid="{00000000-0005-0000-0000-0000E42B0000}"/>
    <cellStyle name="20% - Accent6 11" xfId="3884" xr:uid="{00000000-0005-0000-0000-0000E52B0000}"/>
    <cellStyle name="20% - Accent6 11 2" xfId="11156" xr:uid="{00000000-0005-0000-0000-0000E62B0000}"/>
    <cellStyle name="20% - Accent6 11 2 2" xfId="25690" xr:uid="{00000000-0005-0000-0000-0000E72B0000}"/>
    <cellStyle name="20% - Accent6 11 2 2 2" xfId="54696" xr:uid="{00000000-0005-0000-0000-0000E82B0000}"/>
    <cellStyle name="20% - Accent6 11 2 3" xfId="40197" xr:uid="{00000000-0005-0000-0000-0000E92B0000}"/>
    <cellStyle name="20% - Accent6 11 3" xfId="18442" xr:uid="{00000000-0005-0000-0000-0000EA2B0000}"/>
    <cellStyle name="20% - Accent6 11 3 2" xfId="47448" xr:uid="{00000000-0005-0000-0000-0000EB2B0000}"/>
    <cellStyle name="20% - Accent6 11 4" xfId="32949" xr:uid="{00000000-0005-0000-0000-0000EC2B0000}"/>
    <cellStyle name="20% - Accent6 12" xfId="6988" xr:uid="{00000000-0005-0000-0000-0000ED2B0000}"/>
    <cellStyle name="20% - Accent6 12 2" xfId="14260" xr:uid="{00000000-0005-0000-0000-0000EE2B0000}"/>
    <cellStyle name="20% - Accent6 12 2 2" xfId="28794" xr:uid="{00000000-0005-0000-0000-0000EF2B0000}"/>
    <cellStyle name="20% - Accent6 12 2 2 2" xfId="57800" xr:uid="{00000000-0005-0000-0000-0000F02B0000}"/>
    <cellStyle name="20% - Accent6 12 2 3" xfId="43301" xr:uid="{00000000-0005-0000-0000-0000F12B0000}"/>
    <cellStyle name="20% - Accent6 12 3" xfId="21546" xr:uid="{00000000-0005-0000-0000-0000F22B0000}"/>
    <cellStyle name="20% - Accent6 12 3 2" xfId="50552" xr:uid="{00000000-0005-0000-0000-0000F32B0000}"/>
    <cellStyle name="20% - Accent6 12 4" xfId="36053" xr:uid="{00000000-0005-0000-0000-0000F42B0000}"/>
    <cellStyle name="20% - Accent6 13" xfId="8052" xr:uid="{00000000-0005-0000-0000-0000F52B0000}"/>
    <cellStyle name="20% - Accent6 13 2" xfId="22586" xr:uid="{00000000-0005-0000-0000-0000F62B0000}"/>
    <cellStyle name="20% - Accent6 13 2 2" xfId="51592" xr:uid="{00000000-0005-0000-0000-0000F72B0000}"/>
    <cellStyle name="20% - Accent6 13 3" xfId="37093" xr:uid="{00000000-0005-0000-0000-0000F82B0000}"/>
    <cellStyle name="20% - Accent6 14" xfId="15332" xr:uid="{00000000-0005-0000-0000-0000F92B0000}"/>
    <cellStyle name="20% - Accent6 14 2" xfId="44338" xr:uid="{00000000-0005-0000-0000-0000FA2B0000}"/>
    <cellStyle name="20% - Accent6 15" xfId="29838" xr:uid="{00000000-0005-0000-0000-0000FB2B0000}"/>
    <cellStyle name="20% - Accent6 16" xfId="393" xr:uid="{00000000-0005-0000-0000-0000FC2B0000}"/>
    <cellStyle name="20% - Accent6 17" xfId="58837" xr:uid="{00000000-0005-0000-0000-0000FD2B0000}"/>
    <cellStyle name="20% - Accent6 2" xfId="392" xr:uid="{00000000-0005-0000-0000-0000FE2B0000}"/>
    <cellStyle name="20% - Accent6 2 2" xfId="356" xr:uid="{00000000-0005-0000-0000-0000FF2B0000}"/>
    <cellStyle name="20% - Accent6 3" xfId="850" xr:uid="{00000000-0005-0000-0000-0000002C0000}"/>
    <cellStyle name="20% - Accent6 3 10" xfId="7012" xr:uid="{00000000-0005-0000-0000-0000012C0000}"/>
    <cellStyle name="20% - Accent6 3 10 2" xfId="14284" xr:uid="{00000000-0005-0000-0000-0000022C0000}"/>
    <cellStyle name="20% - Accent6 3 10 2 2" xfId="28818" xr:uid="{00000000-0005-0000-0000-0000032C0000}"/>
    <cellStyle name="20% - Accent6 3 10 2 2 2" xfId="57824" xr:uid="{00000000-0005-0000-0000-0000042C0000}"/>
    <cellStyle name="20% - Accent6 3 10 2 3" xfId="43325" xr:uid="{00000000-0005-0000-0000-0000052C0000}"/>
    <cellStyle name="20% - Accent6 3 10 3" xfId="21570" xr:uid="{00000000-0005-0000-0000-0000062C0000}"/>
    <cellStyle name="20% - Accent6 3 10 3 2" xfId="50576" xr:uid="{00000000-0005-0000-0000-0000072C0000}"/>
    <cellStyle name="20% - Accent6 3 10 4" xfId="36077" xr:uid="{00000000-0005-0000-0000-0000082C0000}"/>
    <cellStyle name="20% - Accent6 3 11" xfId="8076" xr:uid="{00000000-0005-0000-0000-0000092C0000}"/>
    <cellStyle name="20% - Accent6 3 11 2" xfId="22610" xr:uid="{00000000-0005-0000-0000-00000A2C0000}"/>
    <cellStyle name="20% - Accent6 3 11 2 2" xfId="51616" xr:uid="{00000000-0005-0000-0000-00000B2C0000}"/>
    <cellStyle name="20% - Accent6 3 11 3" xfId="37117" xr:uid="{00000000-0005-0000-0000-00000C2C0000}"/>
    <cellStyle name="20% - Accent6 3 12" xfId="15362" xr:uid="{00000000-0005-0000-0000-00000D2C0000}"/>
    <cellStyle name="20% - Accent6 3 12 2" xfId="44368" xr:uid="{00000000-0005-0000-0000-00000E2C0000}"/>
    <cellStyle name="20% - Accent6 3 13" xfId="29869" xr:uid="{00000000-0005-0000-0000-00000F2C0000}"/>
    <cellStyle name="20% - Accent6 3 2" xfId="893" xr:uid="{00000000-0005-0000-0000-0000102C0000}"/>
    <cellStyle name="20% - Accent6 3 2 10" xfId="8128" xr:uid="{00000000-0005-0000-0000-0000112C0000}"/>
    <cellStyle name="20% - Accent6 3 2 10 2" xfId="22662" xr:uid="{00000000-0005-0000-0000-0000122C0000}"/>
    <cellStyle name="20% - Accent6 3 2 10 2 2" xfId="51668" xr:uid="{00000000-0005-0000-0000-0000132C0000}"/>
    <cellStyle name="20% - Accent6 3 2 10 3" xfId="37169" xr:uid="{00000000-0005-0000-0000-0000142C0000}"/>
    <cellStyle name="20% - Accent6 3 2 11" xfId="15414" xr:uid="{00000000-0005-0000-0000-0000152C0000}"/>
    <cellStyle name="20% - Accent6 3 2 11 2" xfId="44420" xr:uid="{00000000-0005-0000-0000-0000162C0000}"/>
    <cellStyle name="20% - Accent6 3 2 12" xfId="29921" xr:uid="{00000000-0005-0000-0000-0000172C0000}"/>
    <cellStyle name="20% - Accent6 3 2 2" xfId="973" xr:uid="{00000000-0005-0000-0000-0000182C0000}"/>
    <cellStyle name="20% - Accent6 3 2 2 10" xfId="30024" xr:uid="{00000000-0005-0000-0000-0000192C0000}"/>
    <cellStyle name="20% - Accent6 3 2 2 2" xfId="1252" xr:uid="{00000000-0005-0000-0000-00001A2C0000}"/>
    <cellStyle name="20% - Accent6 3 2 2 2 2" xfId="1758" xr:uid="{00000000-0005-0000-0000-00001B2C0000}"/>
    <cellStyle name="20% - Accent6 3 2 2 2 2 2" xfId="2817" xr:uid="{00000000-0005-0000-0000-00001C2C0000}"/>
    <cellStyle name="20% - Accent6 3 2 2 2 2 2 2" xfId="5921" xr:uid="{00000000-0005-0000-0000-00001D2C0000}"/>
    <cellStyle name="20% - Accent6 3 2 2 2 2 2 2 2" xfId="13193" xr:uid="{00000000-0005-0000-0000-00001E2C0000}"/>
    <cellStyle name="20% - Accent6 3 2 2 2 2 2 2 2 2" xfId="27727" xr:uid="{00000000-0005-0000-0000-00001F2C0000}"/>
    <cellStyle name="20% - Accent6 3 2 2 2 2 2 2 2 2 2" xfId="56733" xr:uid="{00000000-0005-0000-0000-0000202C0000}"/>
    <cellStyle name="20% - Accent6 3 2 2 2 2 2 2 2 3" xfId="42234" xr:uid="{00000000-0005-0000-0000-0000212C0000}"/>
    <cellStyle name="20% - Accent6 3 2 2 2 2 2 2 3" xfId="20479" xr:uid="{00000000-0005-0000-0000-0000222C0000}"/>
    <cellStyle name="20% - Accent6 3 2 2 2 2 2 2 3 2" xfId="49485" xr:uid="{00000000-0005-0000-0000-0000232C0000}"/>
    <cellStyle name="20% - Accent6 3 2 2 2 2 2 2 4" xfId="34986" xr:uid="{00000000-0005-0000-0000-0000242C0000}"/>
    <cellStyle name="20% - Accent6 3 2 2 2 2 2 3" xfId="10089" xr:uid="{00000000-0005-0000-0000-0000252C0000}"/>
    <cellStyle name="20% - Accent6 3 2 2 2 2 2 3 2" xfId="24623" xr:uid="{00000000-0005-0000-0000-0000262C0000}"/>
    <cellStyle name="20% - Accent6 3 2 2 2 2 2 3 2 2" xfId="53629" xr:uid="{00000000-0005-0000-0000-0000272C0000}"/>
    <cellStyle name="20% - Accent6 3 2 2 2 2 2 3 3" xfId="39130" xr:uid="{00000000-0005-0000-0000-0000282C0000}"/>
    <cellStyle name="20% - Accent6 3 2 2 2 2 2 4" xfId="17375" xr:uid="{00000000-0005-0000-0000-0000292C0000}"/>
    <cellStyle name="20% - Accent6 3 2 2 2 2 2 4 2" xfId="46381" xr:uid="{00000000-0005-0000-0000-00002A2C0000}"/>
    <cellStyle name="20% - Accent6 3 2 2 2 2 2 5" xfId="31882" xr:uid="{00000000-0005-0000-0000-00002B2C0000}"/>
    <cellStyle name="20% - Accent6 3 2 2 2 2 3" xfId="3849" xr:uid="{00000000-0005-0000-0000-00002C2C0000}"/>
    <cellStyle name="20% - Accent6 3 2 2 2 2 3 2" xfId="6953" xr:uid="{00000000-0005-0000-0000-00002D2C0000}"/>
    <cellStyle name="20% - Accent6 3 2 2 2 2 3 2 2" xfId="14225" xr:uid="{00000000-0005-0000-0000-00002E2C0000}"/>
    <cellStyle name="20% - Accent6 3 2 2 2 2 3 2 2 2" xfId="28759" xr:uid="{00000000-0005-0000-0000-00002F2C0000}"/>
    <cellStyle name="20% - Accent6 3 2 2 2 2 3 2 2 2 2" xfId="57765" xr:uid="{00000000-0005-0000-0000-0000302C0000}"/>
    <cellStyle name="20% - Accent6 3 2 2 2 2 3 2 2 3" xfId="43266" xr:uid="{00000000-0005-0000-0000-0000312C0000}"/>
    <cellStyle name="20% - Accent6 3 2 2 2 2 3 2 3" xfId="21511" xr:uid="{00000000-0005-0000-0000-0000322C0000}"/>
    <cellStyle name="20% - Accent6 3 2 2 2 2 3 2 3 2" xfId="50517" xr:uid="{00000000-0005-0000-0000-0000332C0000}"/>
    <cellStyle name="20% - Accent6 3 2 2 2 2 3 2 4" xfId="36018" xr:uid="{00000000-0005-0000-0000-0000342C0000}"/>
    <cellStyle name="20% - Accent6 3 2 2 2 2 3 3" xfId="11121" xr:uid="{00000000-0005-0000-0000-0000352C0000}"/>
    <cellStyle name="20% - Accent6 3 2 2 2 2 3 3 2" xfId="25655" xr:uid="{00000000-0005-0000-0000-0000362C0000}"/>
    <cellStyle name="20% - Accent6 3 2 2 2 2 3 3 2 2" xfId="54661" xr:uid="{00000000-0005-0000-0000-0000372C0000}"/>
    <cellStyle name="20% - Accent6 3 2 2 2 2 3 3 3" xfId="40162" xr:uid="{00000000-0005-0000-0000-0000382C0000}"/>
    <cellStyle name="20% - Accent6 3 2 2 2 2 3 4" xfId="18407" xr:uid="{00000000-0005-0000-0000-0000392C0000}"/>
    <cellStyle name="20% - Accent6 3 2 2 2 2 3 4 2" xfId="47413" xr:uid="{00000000-0005-0000-0000-00003A2C0000}"/>
    <cellStyle name="20% - Accent6 3 2 2 2 2 3 5" xfId="32914" xr:uid="{00000000-0005-0000-0000-00003B2C0000}"/>
    <cellStyle name="20% - Accent6 3 2 2 2 2 4" xfId="4881" xr:uid="{00000000-0005-0000-0000-00003C2C0000}"/>
    <cellStyle name="20% - Accent6 3 2 2 2 2 4 2" xfId="12153" xr:uid="{00000000-0005-0000-0000-00003D2C0000}"/>
    <cellStyle name="20% - Accent6 3 2 2 2 2 4 2 2" xfId="26687" xr:uid="{00000000-0005-0000-0000-00003E2C0000}"/>
    <cellStyle name="20% - Accent6 3 2 2 2 2 4 2 2 2" xfId="55693" xr:uid="{00000000-0005-0000-0000-00003F2C0000}"/>
    <cellStyle name="20% - Accent6 3 2 2 2 2 4 2 3" xfId="41194" xr:uid="{00000000-0005-0000-0000-0000402C0000}"/>
    <cellStyle name="20% - Accent6 3 2 2 2 2 4 3" xfId="19439" xr:uid="{00000000-0005-0000-0000-0000412C0000}"/>
    <cellStyle name="20% - Accent6 3 2 2 2 2 4 3 2" xfId="48445" xr:uid="{00000000-0005-0000-0000-0000422C0000}"/>
    <cellStyle name="20% - Accent6 3 2 2 2 2 4 4" xfId="33946" xr:uid="{00000000-0005-0000-0000-0000432C0000}"/>
    <cellStyle name="20% - Accent6 3 2 2 2 2 5" xfId="7985" xr:uid="{00000000-0005-0000-0000-0000442C0000}"/>
    <cellStyle name="20% - Accent6 3 2 2 2 2 5 2" xfId="15257" xr:uid="{00000000-0005-0000-0000-0000452C0000}"/>
    <cellStyle name="20% - Accent6 3 2 2 2 2 5 2 2" xfId="29791" xr:uid="{00000000-0005-0000-0000-0000462C0000}"/>
    <cellStyle name="20% - Accent6 3 2 2 2 2 5 2 2 2" xfId="58797" xr:uid="{00000000-0005-0000-0000-0000472C0000}"/>
    <cellStyle name="20% - Accent6 3 2 2 2 2 5 2 3" xfId="44298" xr:uid="{00000000-0005-0000-0000-0000482C0000}"/>
    <cellStyle name="20% - Accent6 3 2 2 2 2 5 3" xfId="22543" xr:uid="{00000000-0005-0000-0000-0000492C0000}"/>
    <cellStyle name="20% - Accent6 3 2 2 2 2 5 3 2" xfId="51549" xr:uid="{00000000-0005-0000-0000-00004A2C0000}"/>
    <cellStyle name="20% - Accent6 3 2 2 2 2 5 4" xfId="37050" xr:uid="{00000000-0005-0000-0000-00004B2C0000}"/>
    <cellStyle name="20% - Accent6 3 2 2 2 2 6" xfId="9049" xr:uid="{00000000-0005-0000-0000-00004C2C0000}"/>
    <cellStyle name="20% - Accent6 3 2 2 2 2 6 2" xfId="23583" xr:uid="{00000000-0005-0000-0000-00004D2C0000}"/>
    <cellStyle name="20% - Accent6 3 2 2 2 2 6 2 2" xfId="52589" xr:uid="{00000000-0005-0000-0000-00004E2C0000}"/>
    <cellStyle name="20% - Accent6 3 2 2 2 2 6 3" xfId="38090" xr:uid="{00000000-0005-0000-0000-00004F2C0000}"/>
    <cellStyle name="20% - Accent6 3 2 2 2 2 7" xfId="16335" xr:uid="{00000000-0005-0000-0000-0000502C0000}"/>
    <cellStyle name="20% - Accent6 3 2 2 2 2 7 2" xfId="45341" xr:uid="{00000000-0005-0000-0000-0000512C0000}"/>
    <cellStyle name="20% - Accent6 3 2 2 2 2 8" xfId="30842" xr:uid="{00000000-0005-0000-0000-0000522C0000}"/>
    <cellStyle name="20% - Accent6 3 2 2 2 3" xfId="2305" xr:uid="{00000000-0005-0000-0000-0000532C0000}"/>
    <cellStyle name="20% - Accent6 3 2 2 2 3 2" xfId="5409" xr:uid="{00000000-0005-0000-0000-0000542C0000}"/>
    <cellStyle name="20% - Accent6 3 2 2 2 3 2 2" xfId="12681" xr:uid="{00000000-0005-0000-0000-0000552C0000}"/>
    <cellStyle name="20% - Accent6 3 2 2 2 3 2 2 2" xfId="27215" xr:uid="{00000000-0005-0000-0000-0000562C0000}"/>
    <cellStyle name="20% - Accent6 3 2 2 2 3 2 2 2 2" xfId="56221" xr:uid="{00000000-0005-0000-0000-0000572C0000}"/>
    <cellStyle name="20% - Accent6 3 2 2 2 3 2 2 3" xfId="41722" xr:uid="{00000000-0005-0000-0000-0000582C0000}"/>
    <cellStyle name="20% - Accent6 3 2 2 2 3 2 3" xfId="19967" xr:uid="{00000000-0005-0000-0000-0000592C0000}"/>
    <cellStyle name="20% - Accent6 3 2 2 2 3 2 3 2" xfId="48973" xr:uid="{00000000-0005-0000-0000-00005A2C0000}"/>
    <cellStyle name="20% - Accent6 3 2 2 2 3 2 4" xfId="34474" xr:uid="{00000000-0005-0000-0000-00005B2C0000}"/>
    <cellStyle name="20% - Accent6 3 2 2 2 3 3" xfId="9577" xr:uid="{00000000-0005-0000-0000-00005C2C0000}"/>
    <cellStyle name="20% - Accent6 3 2 2 2 3 3 2" xfId="24111" xr:uid="{00000000-0005-0000-0000-00005D2C0000}"/>
    <cellStyle name="20% - Accent6 3 2 2 2 3 3 2 2" xfId="53117" xr:uid="{00000000-0005-0000-0000-00005E2C0000}"/>
    <cellStyle name="20% - Accent6 3 2 2 2 3 3 3" xfId="38618" xr:uid="{00000000-0005-0000-0000-00005F2C0000}"/>
    <cellStyle name="20% - Accent6 3 2 2 2 3 4" xfId="16863" xr:uid="{00000000-0005-0000-0000-0000602C0000}"/>
    <cellStyle name="20% - Accent6 3 2 2 2 3 4 2" xfId="45869" xr:uid="{00000000-0005-0000-0000-0000612C0000}"/>
    <cellStyle name="20% - Accent6 3 2 2 2 3 5" xfId="31370" xr:uid="{00000000-0005-0000-0000-0000622C0000}"/>
    <cellStyle name="20% - Accent6 3 2 2 2 4" xfId="3337" xr:uid="{00000000-0005-0000-0000-0000632C0000}"/>
    <cellStyle name="20% - Accent6 3 2 2 2 4 2" xfId="6441" xr:uid="{00000000-0005-0000-0000-0000642C0000}"/>
    <cellStyle name="20% - Accent6 3 2 2 2 4 2 2" xfId="13713" xr:uid="{00000000-0005-0000-0000-0000652C0000}"/>
    <cellStyle name="20% - Accent6 3 2 2 2 4 2 2 2" xfId="28247" xr:uid="{00000000-0005-0000-0000-0000662C0000}"/>
    <cellStyle name="20% - Accent6 3 2 2 2 4 2 2 2 2" xfId="57253" xr:uid="{00000000-0005-0000-0000-0000672C0000}"/>
    <cellStyle name="20% - Accent6 3 2 2 2 4 2 2 3" xfId="42754" xr:uid="{00000000-0005-0000-0000-0000682C0000}"/>
    <cellStyle name="20% - Accent6 3 2 2 2 4 2 3" xfId="20999" xr:uid="{00000000-0005-0000-0000-0000692C0000}"/>
    <cellStyle name="20% - Accent6 3 2 2 2 4 2 3 2" xfId="50005" xr:uid="{00000000-0005-0000-0000-00006A2C0000}"/>
    <cellStyle name="20% - Accent6 3 2 2 2 4 2 4" xfId="35506" xr:uid="{00000000-0005-0000-0000-00006B2C0000}"/>
    <cellStyle name="20% - Accent6 3 2 2 2 4 3" xfId="10609" xr:uid="{00000000-0005-0000-0000-00006C2C0000}"/>
    <cellStyle name="20% - Accent6 3 2 2 2 4 3 2" xfId="25143" xr:uid="{00000000-0005-0000-0000-00006D2C0000}"/>
    <cellStyle name="20% - Accent6 3 2 2 2 4 3 2 2" xfId="54149" xr:uid="{00000000-0005-0000-0000-00006E2C0000}"/>
    <cellStyle name="20% - Accent6 3 2 2 2 4 3 3" xfId="39650" xr:uid="{00000000-0005-0000-0000-00006F2C0000}"/>
    <cellStyle name="20% - Accent6 3 2 2 2 4 4" xfId="17895" xr:uid="{00000000-0005-0000-0000-0000702C0000}"/>
    <cellStyle name="20% - Accent6 3 2 2 2 4 4 2" xfId="46901" xr:uid="{00000000-0005-0000-0000-0000712C0000}"/>
    <cellStyle name="20% - Accent6 3 2 2 2 4 5" xfId="32402" xr:uid="{00000000-0005-0000-0000-0000722C0000}"/>
    <cellStyle name="20% - Accent6 3 2 2 2 5" xfId="4369" xr:uid="{00000000-0005-0000-0000-0000732C0000}"/>
    <cellStyle name="20% - Accent6 3 2 2 2 5 2" xfId="11641" xr:uid="{00000000-0005-0000-0000-0000742C0000}"/>
    <cellStyle name="20% - Accent6 3 2 2 2 5 2 2" xfId="26175" xr:uid="{00000000-0005-0000-0000-0000752C0000}"/>
    <cellStyle name="20% - Accent6 3 2 2 2 5 2 2 2" xfId="55181" xr:uid="{00000000-0005-0000-0000-0000762C0000}"/>
    <cellStyle name="20% - Accent6 3 2 2 2 5 2 3" xfId="40682" xr:uid="{00000000-0005-0000-0000-0000772C0000}"/>
    <cellStyle name="20% - Accent6 3 2 2 2 5 3" xfId="18927" xr:uid="{00000000-0005-0000-0000-0000782C0000}"/>
    <cellStyle name="20% - Accent6 3 2 2 2 5 3 2" xfId="47933" xr:uid="{00000000-0005-0000-0000-0000792C0000}"/>
    <cellStyle name="20% - Accent6 3 2 2 2 5 4" xfId="33434" xr:uid="{00000000-0005-0000-0000-00007A2C0000}"/>
    <cellStyle name="20% - Accent6 3 2 2 2 6" xfId="7473" xr:uid="{00000000-0005-0000-0000-00007B2C0000}"/>
    <cellStyle name="20% - Accent6 3 2 2 2 6 2" xfId="14745" xr:uid="{00000000-0005-0000-0000-00007C2C0000}"/>
    <cellStyle name="20% - Accent6 3 2 2 2 6 2 2" xfId="29279" xr:uid="{00000000-0005-0000-0000-00007D2C0000}"/>
    <cellStyle name="20% - Accent6 3 2 2 2 6 2 2 2" xfId="58285" xr:uid="{00000000-0005-0000-0000-00007E2C0000}"/>
    <cellStyle name="20% - Accent6 3 2 2 2 6 2 3" xfId="43786" xr:uid="{00000000-0005-0000-0000-00007F2C0000}"/>
    <cellStyle name="20% - Accent6 3 2 2 2 6 3" xfId="22031" xr:uid="{00000000-0005-0000-0000-0000802C0000}"/>
    <cellStyle name="20% - Accent6 3 2 2 2 6 3 2" xfId="51037" xr:uid="{00000000-0005-0000-0000-0000812C0000}"/>
    <cellStyle name="20% - Accent6 3 2 2 2 6 4" xfId="36538" xr:uid="{00000000-0005-0000-0000-0000822C0000}"/>
    <cellStyle name="20% - Accent6 3 2 2 2 7" xfId="8537" xr:uid="{00000000-0005-0000-0000-0000832C0000}"/>
    <cellStyle name="20% - Accent6 3 2 2 2 7 2" xfId="23071" xr:uid="{00000000-0005-0000-0000-0000842C0000}"/>
    <cellStyle name="20% - Accent6 3 2 2 2 7 2 2" xfId="52077" xr:uid="{00000000-0005-0000-0000-0000852C0000}"/>
    <cellStyle name="20% - Accent6 3 2 2 2 7 3" xfId="37578" xr:uid="{00000000-0005-0000-0000-0000862C0000}"/>
    <cellStyle name="20% - Accent6 3 2 2 2 8" xfId="15823" xr:uid="{00000000-0005-0000-0000-0000872C0000}"/>
    <cellStyle name="20% - Accent6 3 2 2 2 8 2" xfId="44829" xr:uid="{00000000-0005-0000-0000-0000882C0000}"/>
    <cellStyle name="20% - Accent6 3 2 2 2 9" xfId="30330" xr:uid="{00000000-0005-0000-0000-0000892C0000}"/>
    <cellStyle name="20% - Accent6 3 2 2 3" xfId="1453" xr:uid="{00000000-0005-0000-0000-00008A2C0000}"/>
    <cellStyle name="20% - Accent6 3 2 2 3 2" xfId="2511" xr:uid="{00000000-0005-0000-0000-00008B2C0000}"/>
    <cellStyle name="20% - Accent6 3 2 2 3 2 2" xfId="5615" xr:uid="{00000000-0005-0000-0000-00008C2C0000}"/>
    <cellStyle name="20% - Accent6 3 2 2 3 2 2 2" xfId="12887" xr:uid="{00000000-0005-0000-0000-00008D2C0000}"/>
    <cellStyle name="20% - Accent6 3 2 2 3 2 2 2 2" xfId="27421" xr:uid="{00000000-0005-0000-0000-00008E2C0000}"/>
    <cellStyle name="20% - Accent6 3 2 2 3 2 2 2 2 2" xfId="56427" xr:uid="{00000000-0005-0000-0000-00008F2C0000}"/>
    <cellStyle name="20% - Accent6 3 2 2 3 2 2 2 3" xfId="41928" xr:uid="{00000000-0005-0000-0000-0000902C0000}"/>
    <cellStyle name="20% - Accent6 3 2 2 3 2 2 3" xfId="20173" xr:uid="{00000000-0005-0000-0000-0000912C0000}"/>
    <cellStyle name="20% - Accent6 3 2 2 3 2 2 3 2" xfId="49179" xr:uid="{00000000-0005-0000-0000-0000922C0000}"/>
    <cellStyle name="20% - Accent6 3 2 2 3 2 2 4" xfId="34680" xr:uid="{00000000-0005-0000-0000-0000932C0000}"/>
    <cellStyle name="20% - Accent6 3 2 2 3 2 3" xfId="9783" xr:uid="{00000000-0005-0000-0000-0000942C0000}"/>
    <cellStyle name="20% - Accent6 3 2 2 3 2 3 2" xfId="24317" xr:uid="{00000000-0005-0000-0000-0000952C0000}"/>
    <cellStyle name="20% - Accent6 3 2 2 3 2 3 2 2" xfId="53323" xr:uid="{00000000-0005-0000-0000-0000962C0000}"/>
    <cellStyle name="20% - Accent6 3 2 2 3 2 3 3" xfId="38824" xr:uid="{00000000-0005-0000-0000-0000972C0000}"/>
    <cellStyle name="20% - Accent6 3 2 2 3 2 4" xfId="17069" xr:uid="{00000000-0005-0000-0000-0000982C0000}"/>
    <cellStyle name="20% - Accent6 3 2 2 3 2 4 2" xfId="46075" xr:uid="{00000000-0005-0000-0000-0000992C0000}"/>
    <cellStyle name="20% - Accent6 3 2 2 3 2 5" xfId="31576" xr:uid="{00000000-0005-0000-0000-00009A2C0000}"/>
    <cellStyle name="20% - Accent6 3 2 2 3 3" xfId="3543" xr:uid="{00000000-0005-0000-0000-00009B2C0000}"/>
    <cellStyle name="20% - Accent6 3 2 2 3 3 2" xfId="6647" xr:uid="{00000000-0005-0000-0000-00009C2C0000}"/>
    <cellStyle name="20% - Accent6 3 2 2 3 3 2 2" xfId="13919" xr:uid="{00000000-0005-0000-0000-00009D2C0000}"/>
    <cellStyle name="20% - Accent6 3 2 2 3 3 2 2 2" xfId="28453" xr:uid="{00000000-0005-0000-0000-00009E2C0000}"/>
    <cellStyle name="20% - Accent6 3 2 2 3 3 2 2 2 2" xfId="57459" xr:uid="{00000000-0005-0000-0000-00009F2C0000}"/>
    <cellStyle name="20% - Accent6 3 2 2 3 3 2 2 3" xfId="42960" xr:uid="{00000000-0005-0000-0000-0000A02C0000}"/>
    <cellStyle name="20% - Accent6 3 2 2 3 3 2 3" xfId="21205" xr:uid="{00000000-0005-0000-0000-0000A12C0000}"/>
    <cellStyle name="20% - Accent6 3 2 2 3 3 2 3 2" xfId="50211" xr:uid="{00000000-0005-0000-0000-0000A22C0000}"/>
    <cellStyle name="20% - Accent6 3 2 2 3 3 2 4" xfId="35712" xr:uid="{00000000-0005-0000-0000-0000A32C0000}"/>
    <cellStyle name="20% - Accent6 3 2 2 3 3 3" xfId="10815" xr:uid="{00000000-0005-0000-0000-0000A42C0000}"/>
    <cellStyle name="20% - Accent6 3 2 2 3 3 3 2" xfId="25349" xr:uid="{00000000-0005-0000-0000-0000A52C0000}"/>
    <cellStyle name="20% - Accent6 3 2 2 3 3 3 2 2" xfId="54355" xr:uid="{00000000-0005-0000-0000-0000A62C0000}"/>
    <cellStyle name="20% - Accent6 3 2 2 3 3 3 3" xfId="39856" xr:uid="{00000000-0005-0000-0000-0000A72C0000}"/>
    <cellStyle name="20% - Accent6 3 2 2 3 3 4" xfId="18101" xr:uid="{00000000-0005-0000-0000-0000A82C0000}"/>
    <cellStyle name="20% - Accent6 3 2 2 3 3 4 2" xfId="47107" xr:uid="{00000000-0005-0000-0000-0000A92C0000}"/>
    <cellStyle name="20% - Accent6 3 2 2 3 3 5" xfId="32608" xr:uid="{00000000-0005-0000-0000-0000AA2C0000}"/>
    <cellStyle name="20% - Accent6 3 2 2 3 4" xfId="4575" xr:uid="{00000000-0005-0000-0000-0000AB2C0000}"/>
    <cellStyle name="20% - Accent6 3 2 2 3 4 2" xfId="11847" xr:uid="{00000000-0005-0000-0000-0000AC2C0000}"/>
    <cellStyle name="20% - Accent6 3 2 2 3 4 2 2" xfId="26381" xr:uid="{00000000-0005-0000-0000-0000AD2C0000}"/>
    <cellStyle name="20% - Accent6 3 2 2 3 4 2 2 2" xfId="55387" xr:uid="{00000000-0005-0000-0000-0000AE2C0000}"/>
    <cellStyle name="20% - Accent6 3 2 2 3 4 2 3" xfId="40888" xr:uid="{00000000-0005-0000-0000-0000AF2C0000}"/>
    <cellStyle name="20% - Accent6 3 2 2 3 4 3" xfId="19133" xr:uid="{00000000-0005-0000-0000-0000B02C0000}"/>
    <cellStyle name="20% - Accent6 3 2 2 3 4 3 2" xfId="48139" xr:uid="{00000000-0005-0000-0000-0000B12C0000}"/>
    <cellStyle name="20% - Accent6 3 2 2 3 4 4" xfId="33640" xr:uid="{00000000-0005-0000-0000-0000B22C0000}"/>
    <cellStyle name="20% - Accent6 3 2 2 3 5" xfId="7679" xr:uid="{00000000-0005-0000-0000-0000B32C0000}"/>
    <cellStyle name="20% - Accent6 3 2 2 3 5 2" xfId="14951" xr:uid="{00000000-0005-0000-0000-0000B42C0000}"/>
    <cellStyle name="20% - Accent6 3 2 2 3 5 2 2" xfId="29485" xr:uid="{00000000-0005-0000-0000-0000B52C0000}"/>
    <cellStyle name="20% - Accent6 3 2 2 3 5 2 2 2" xfId="58491" xr:uid="{00000000-0005-0000-0000-0000B62C0000}"/>
    <cellStyle name="20% - Accent6 3 2 2 3 5 2 3" xfId="43992" xr:uid="{00000000-0005-0000-0000-0000B72C0000}"/>
    <cellStyle name="20% - Accent6 3 2 2 3 5 3" xfId="22237" xr:uid="{00000000-0005-0000-0000-0000B82C0000}"/>
    <cellStyle name="20% - Accent6 3 2 2 3 5 3 2" xfId="51243" xr:uid="{00000000-0005-0000-0000-0000B92C0000}"/>
    <cellStyle name="20% - Accent6 3 2 2 3 5 4" xfId="36744" xr:uid="{00000000-0005-0000-0000-0000BA2C0000}"/>
    <cellStyle name="20% - Accent6 3 2 2 3 6" xfId="8743" xr:uid="{00000000-0005-0000-0000-0000BB2C0000}"/>
    <cellStyle name="20% - Accent6 3 2 2 3 6 2" xfId="23277" xr:uid="{00000000-0005-0000-0000-0000BC2C0000}"/>
    <cellStyle name="20% - Accent6 3 2 2 3 6 2 2" xfId="52283" xr:uid="{00000000-0005-0000-0000-0000BD2C0000}"/>
    <cellStyle name="20% - Accent6 3 2 2 3 6 3" xfId="37784" xr:uid="{00000000-0005-0000-0000-0000BE2C0000}"/>
    <cellStyle name="20% - Accent6 3 2 2 3 7" xfId="16029" xr:uid="{00000000-0005-0000-0000-0000BF2C0000}"/>
    <cellStyle name="20% - Accent6 3 2 2 3 7 2" xfId="45035" xr:uid="{00000000-0005-0000-0000-0000C02C0000}"/>
    <cellStyle name="20% - Accent6 3 2 2 3 8" xfId="30536" xr:uid="{00000000-0005-0000-0000-0000C12C0000}"/>
    <cellStyle name="20% - Accent6 3 2 2 4" xfId="1999" xr:uid="{00000000-0005-0000-0000-0000C22C0000}"/>
    <cellStyle name="20% - Accent6 3 2 2 4 2" xfId="5103" xr:uid="{00000000-0005-0000-0000-0000C32C0000}"/>
    <cellStyle name="20% - Accent6 3 2 2 4 2 2" xfId="12375" xr:uid="{00000000-0005-0000-0000-0000C42C0000}"/>
    <cellStyle name="20% - Accent6 3 2 2 4 2 2 2" xfId="26909" xr:uid="{00000000-0005-0000-0000-0000C52C0000}"/>
    <cellStyle name="20% - Accent6 3 2 2 4 2 2 2 2" xfId="55915" xr:uid="{00000000-0005-0000-0000-0000C62C0000}"/>
    <cellStyle name="20% - Accent6 3 2 2 4 2 2 3" xfId="41416" xr:uid="{00000000-0005-0000-0000-0000C72C0000}"/>
    <cellStyle name="20% - Accent6 3 2 2 4 2 3" xfId="19661" xr:uid="{00000000-0005-0000-0000-0000C82C0000}"/>
    <cellStyle name="20% - Accent6 3 2 2 4 2 3 2" xfId="48667" xr:uid="{00000000-0005-0000-0000-0000C92C0000}"/>
    <cellStyle name="20% - Accent6 3 2 2 4 2 4" xfId="34168" xr:uid="{00000000-0005-0000-0000-0000CA2C0000}"/>
    <cellStyle name="20% - Accent6 3 2 2 4 3" xfId="9271" xr:uid="{00000000-0005-0000-0000-0000CB2C0000}"/>
    <cellStyle name="20% - Accent6 3 2 2 4 3 2" xfId="23805" xr:uid="{00000000-0005-0000-0000-0000CC2C0000}"/>
    <cellStyle name="20% - Accent6 3 2 2 4 3 2 2" xfId="52811" xr:uid="{00000000-0005-0000-0000-0000CD2C0000}"/>
    <cellStyle name="20% - Accent6 3 2 2 4 3 3" xfId="38312" xr:uid="{00000000-0005-0000-0000-0000CE2C0000}"/>
    <cellStyle name="20% - Accent6 3 2 2 4 4" xfId="16557" xr:uid="{00000000-0005-0000-0000-0000CF2C0000}"/>
    <cellStyle name="20% - Accent6 3 2 2 4 4 2" xfId="45563" xr:uid="{00000000-0005-0000-0000-0000D02C0000}"/>
    <cellStyle name="20% - Accent6 3 2 2 4 5" xfId="31064" xr:uid="{00000000-0005-0000-0000-0000D12C0000}"/>
    <cellStyle name="20% - Accent6 3 2 2 5" xfId="3031" xr:uid="{00000000-0005-0000-0000-0000D22C0000}"/>
    <cellStyle name="20% - Accent6 3 2 2 5 2" xfId="6135" xr:uid="{00000000-0005-0000-0000-0000D32C0000}"/>
    <cellStyle name="20% - Accent6 3 2 2 5 2 2" xfId="13407" xr:uid="{00000000-0005-0000-0000-0000D42C0000}"/>
    <cellStyle name="20% - Accent6 3 2 2 5 2 2 2" xfId="27941" xr:uid="{00000000-0005-0000-0000-0000D52C0000}"/>
    <cellStyle name="20% - Accent6 3 2 2 5 2 2 2 2" xfId="56947" xr:uid="{00000000-0005-0000-0000-0000D62C0000}"/>
    <cellStyle name="20% - Accent6 3 2 2 5 2 2 3" xfId="42448" xr:uid="{00000000-0005-0000-0000-0000D72C0000}"/>
    <cellStyle name="20% - Accent6 3 2 2 5 2 3" xfId="20693" xr:uid="{00000000-0005-0000-0000-0000D82C0000}"/>
    <cellStyle name="20% - Accent6 3 2 2 5 2 3 2" xfId="49699" xr:uid="{00000000-0005-0000-0000-0000D92C0000}"/>
    <cellStyle name="20% - Accent6 3 2 2 5 2 4" xfId="35200" xr:uid="{00000000-0005-0000-0000-0000DA2C0000}"/>
    <cellStyle name="20% - Accent6 3 2 2 5 3" xfId="10303" xr:uid="{00000000-0005-0000-0000-0000DB2C0000}"/>
    <cellStyle name="20% - Accent6 3 2 2 5 3 2" xfId="24837" xr:uid="{00000000-0005-0000-0000-0000DC2C0000}"/>
    <cellStyle name="20% - Accent6 3 2 2 5 3 2 2" xfId="53843" xr:uid="{00000000-0005-0000-0000-0000DD2C0000}"/>
    <cellStyle name="20% - Accent6 3 2 2 5 3 3" xfId="39344" xr:uid="{00000000-0005-0000-0000-0000DE2C0000}"/>
    <cellStyle name="20% - Accent6 3 2 2 5 4" xfId="17589" xr:uid="{00000000-0005-0000-0000-0000DF2C0000}"/>
    <cellStyle name="20% - Accent6 3 2 2 5 4 2" xfId="46595" xr:uid="{00000000-0005-0000-0000-0000E02C0000}"/>
    <cellStyle name="20% - Accent6 3 2 2 5 5" xfId="32096" xr:uid="{00000000-0005-0000-0000-0000E12C0000}"/>
    <cellStyle name="20% - Accent6 3 2 2 6" xfId="4063" xr:uid="{00000000-0005-0000-0000-0000E22C0000}"/>
    <cellStyle name="20% - Accent6 3 2 2 6 2" xfId="11335" xr:uid="{00000000-0005-0000-0000-0000E32C0000}"/>
    <cellStyle name="20% - Accent6 3 2 2 6 2 2" xfId="25869" xr:uid="{00000000-0005-0000-0000-0000E42C0000}"/>
    <cellStyle name="20% - Accent6 3 2 2 6 2 2 2" xfId="54875" xr:uid="{00000000-0005-0000-0000-0000E52C0000}"/>
    <cellStyle name="20% - Accent6 3 2 2 6 2 3" xfId="40376" xr:uid="{00000000-0005-0000-0000-0000E62C0000}"/>
    <cellStyle name="20% - Accent6 3 2 2 6 3" xfId="18621" xr:uid="{00000000-0005-0000-0000-0000E72C0000}"/>
    <cellStyle name="20% - Accent6 3 2 2 6 3 2" xfId="47627" xr:uid="{00000000-0005-0000-0000-0000E82C0000}"/>
    <cellStyle name="20% - Accent6 3 2 2 6 4" xfId="33128" xr:uid="{00000000-0005-0000-0000-0000E92C0000}"/>
    <cellStyle name="20% - Accent6 3 2 2 7" xfId="7167" xr:uid="{00000000-0005-0000-0000-0000EA2C0000}"/>
    <cellStyle name="20% - Accent6 3 2 2 7 2" xfId="14439" xr:uid="{00000000-0005-0000-0000-0000EB2C0000}"/>
    <cellStyle name="20% - Accent6 3 2 2 7 2 2" xfId="28973" xr:uid="{00000000-0005-0000-0000-0000EC2C0000}"/>
    <cellStyle name="20% - Accent6 3 2 2 7 2 2 2" xfId="57979" xr:uid="{00000000-0005-0000-0000-0000ED2C0000}"/>
    <cellStyle name="20% - Accent6 3 2 2 7 2 3" xfId="43480" xr:uid="{00000000-0005-0000-0000-0000EE2C0000}"/>
    <cellStyle name="20% - Accent6 3 2 2 7 3" xfId="21725" xr:uid="{00000000-0005-0000-0000-0000EF2C0000}"/>
    <cellStyle name="20% - Accent6 3 2 2 7 3 2" xfId="50731" xr:uid="{00000000-0005-0000-0000-0000F02C0000}"/>
    <cellStyle name="20% - Accent6 3 2 2 7 4" xfId="36232" xr:uid="{00000000-0005-0000-0000-0000F12C0000}"/>
    <cellStyle name="20% - Accent6 3 2 2 8" xfId="8231" xr:uid="{00000000-0005-0000-0000-0000F22C0000}"/>
    <cellStyle name="20% - Accent6 3 2 2 8 2" xfId="22765" xr:uid="{00000000-0005-0000-0000-0000F32C0000}"/>
    <cellStyle name="20% - Accent6 3 2 2 8 2 2" xfId="51771" xr:uid="{00000000-0005-0000-0000-0000F42C0000}"/>
    <cellStyle name="20% - Accent6 3 2 2 8 3" xfId="37272" xr:uid="{00000000-0005-0000-0000-0000F52C0000}"/>
    <cellStyle name="20% - Accent6 3 2 2 9" xfId="15517" xr:uid="{00000000-0005-0000-0000-0000F62C0000}"/>
    <cellStyle name="20% - Accent6 3 2 2 9 2" xfId="44523" xr:uid="{00000000-0005-0000-0000-0000F72C0000}"/>
    <cellStyle name="20% - Accent6 3 2 3" xfId="1156" xr:uid="{00000000-0005-0000-0000-0000F82C0000}"/>
    <cellStyle name="20% - Accent6 3 2 3 2" xfId="1655" xr:uid="{00000000-0005-0000-0000-0000F92C0000}"/>
    <cellStyle name="20% - Accent6 3 2 3 2 2" xfId="2714" xr:uid="{00000000-0005-0000-0000-0000FA2C0000}"/>
    <cellStyle name="20% - Accent6 3 2 3 2 2 2" xfId="5818" xr:uid="{00000000-0005-0000-0000-0000FB2C0000}"/>
    <cellStyle name="20% - Accent6 3 2 3 2 2 2 2" xfId="13090" xr:uid="{00000000-0005-0000-0000-0000FC2C0000}"/>
    <cellStyle name="20% - Accent6 3 2 3 2 2 2 2 2" xfId="27624" xr:uid="{00000000-0005-0000-0000-0000FD2C0000}"/>
    <cellStyle name="20% - Accent6 3 2 3 2 2 2 2 2 2" xfId="56630" xr:uid="{00000000-0005-0000-0000-0000FE2C0000}"/>
    <cellStyle name="20% - Accent6 3 2 3 2 2 2 2 3" xfId="42131" xr:uid="{00000000-0005-0000-0000-0000FF2C0000}"/>
    <cellStyle name="20% - Accent6 3 2 3 2 2 2 3" xfId="20376" xr:uid="{00000000-0005-0000-0000-0000002D0000}"/>
    <cellStyle name="20% - Accent6 3 2 3 2 2 2 3 2" xfId="49382" xr:uid="{00000000-0005-0000-0000-0000012D0000}"/>
    <cellStyle name="20% - Accent6 3 2 3 2 2 2 4" xfId="34883" xr:uid="{00000000-0005-0000-0000-0000022D0000}"/>
    <cellStyle name="20% - Accent6 3 2 3 2 2 3" xfId="9986" xr:uid="{00000000-0005-0000-0000-0000032D0000}"/>
    <cellStyle name="20% - Accent6 3 2 3 2 2 3 2" xfId="24520" xr:uid="{00000000-0005-0000-0000-0000042D0000}"/>
    <cellStyle name="20% - Accent6 3 2 3 2 2 3 2 2" xfId="53526" xr:uid="{00000000-0005-0000-0000-0000052D0000}"/>
    <cellStyle name="20% - Accent6 3 2 3 2 2 3 3" xfId="39027" xr:uid="{00000000-0005-0000-0000-0000062D0000}"/>
    <cellStyle name="20% - Accent6 3 2 3 2 2 4" xfId="17272" xr:uid="{00000000-0005-0000-0000-0000072D0000}"/>
    <cellStyle name="20% - Accent6 3 2 3 2 2 4 2" xfId="46278" xr:uid="{00000000-0005-0000-0000-0000082D0000}"/>
    <cellStyle name="20% - Accent6 3 2 3 2 2 5" xfId="31779" xr:uid="{00000000-0005-0000-0000-0000092D0000}"/>
    <cellStyle name="20% - Accent6 3 2 3 2 3" xfId="3746" xr:uid="{00000000-0005-0000-0000-00000A2D0000}"/>
    <cellStyle name="20% - Accent6 3 2 3 2 3 2" xfId="6850" xr:uid="{00000000-0005-0000-0000-00000B2D0000}"/>
    <cellStyle name="20% - Accent6 3 2 3 2 3 2 2" xfId="14122" xr:uid="{00000000-0005-0000-0000-00000C2D0000}"/>
    <cellStyle name="20% - Accent6 3 2 3 2 3 2 2 2" xfId="28656" xr:uid="{00000000-0005-0000-0000-00000D2D0000}"/>
    <cellStyle name="20% - Accent6 3 2 3 2 3 2 2 2 2" xfId="57662" xr:uid="{00000000-0005-0000-0000-00000E2D0000}"/>
    <cellStyle name="20% - Accent6 3 2 3 2 3 2 2 3" xfId="43163" xr:uid="{00000000-0005-0000-0000-00000F2D0000}"/>
    <cellStyle name="20% - Accent6 3 2 3 2 3 2 3" xfId="21408" xr:uid="{00000000-0005-0000-0000-0000102D0000}"/>
    <cellStyle name="20% - Accent6 3 2 3 2 3 2 3 2" xfId="50414" xr:uid="{00000000-0005-0000-0000-0000112D0000}"/>
    <cellStyle name="20% - Accent6 3 2 3 2 3 2 4" xfId="35915" xr:uid="{00000000-0005-0000-0000-0000122D0000}"/>
    <cellStyle name="20% - Accent6 3 2 3 2 3 3" xfId="11018" xr:uid="{00000000-0005-0000-0000-0000132D0000}"/>
    <cellStyle name="20% - Accent6 3 2 3 2 3 3 2" xfId="25552" xr:uid="{00000000-0005-0000-0000-0000142D0000}"/>
    <cellStyle name="20% - Accent6 3 2 3 2 3 3 2 2" xfId="54558" xr:uid="{00000000-0005-0000-0000-0000152D0000}"/>
    <cellStyle name="20% - Accent6 3 2 3 2 3 3 3" xfId="40059" xr:uid="{00000000-0005-0000-0000-0000162D0000}"/>
    <cellStyle name="20% - Accent6 3 2 3 2 3 4" xfId="18304" xr:uid="{00000000-0005-0000-0000-0000172D0000}"/>
    <cellStyle name="20% - Accent6 3 2 3 2 3 4 2" xfId="47310" xr:uid="{00000000-0005-0000-0000-0000182D0000}"/>
    <cellStyle name="20% - Accent6 3 2 3 2 3 5" xfId="32811" xr:uid="{00000000-0005-0000-0000-0000192D0000}"/>
    <cellStyle name="20% - Accent6 3 2 3 2 4" xfId="4778" xr:uid="{00000000-0005-0000-0000-00001A2D0000}"/>
    <cellStyle name="20% - Accent6 3 2 3 2 4 2" xfId="12050" xr:uid="{00000000-0005-0000-0000-00001B2D0000}"/>
    <cellStyle name="20% - Accent6 3 2 3 2 4 2 2" xfId="26584" xr:uid="{00000000-0005-0000-0000-00001C2D0000}"/>
    <cellStyle name="20% - Accent6 3 2 3 2 4 2 2 2" xfId="55590" xr:uid="{00000000-0005-0000-0000-00001D2D0000}"/>
    <cellStyle name="20% - Accent6 3 2 3 2 4 2 3" xfId="41091" xr:uid="{00000000-0005-0000-0000-00001E2D0000}"/>
    <cellStyle name="20% - Accent6 3 2 3 2 4 3" xfId="19336" xr:uid="{00000000-0005-0000-0000-00001F2D0000}"/>
    <cellStyle name="20% - Accent6 3 2 3 2 4 3 2" xfId="48342" xr:uid="{00000000-0005-0000-0000-0000202D0000}"/>
    <cellStyle name="20% - Accent6 3 2 3 2 4 4" xfId="33843" xr:uid="{00000000-0005-0000-0000-0000212D0000}"/>
    <cellStyle name="20% - Accent6 3 2 3 2 5" xfId="7882" xr:uid="{00000000-0005-0000-0000-0000222D0000}"/>
    <cellStyle name="20% - Accent6 3 2 3 2 5 2" xfId="15154" xr:uid="{00000000-0005-0000-0000-0000232D0000}"/>
    <cellStyle name="20% - Accent6 3 2 3 2 5 2 2" xfId="29688" xr:uid="{00000000-0005-0000-0000-0000242D0000}"/>
    <cellStyle name="20% - Accent6 3 2 3 2 5 2 2 2" xfId="58694" xr:uid="{00000000-0005-0000-0000-0000252D0000}"/>
    <cellStyle name="20% - Accent6 3 2 3 2 5 2 3" xfId="44195" xr:uid="{00000000-0005-0000-0000-0000262D0000}"/>
    <cellStyle name="20% - Accent6 3 2 3 2 5 3" xfId="22440" xr:uid="{00000000-0005-0000-0000-0000272D0000}"/>
    <cellStyle name="20% - Accent6 3 2 3 2 5 3 2" xfId="51446" xr:uid="{00000000-0005-0000-0000-0000282D0000}"/>
    <cellStyle name="20% - Accent6 3 2 3 2 5 4" xfId="36947" xr:uid="{00000000-0005-0000-0000-0000292D0000}"/>
    <cellStyle name="20% - Accent6 3 2 3 2 6" xfId="8946" xr:uid="{00000000-0005-0000-0000-00002A2D0000}"/>
    <cellStyle name="20% - Accent6 3 2 3 2 6 2" xfId="23480" xr:uid="{00000000-0005-0000-0000-00002B2D0000}"/>
    <cellStyle name="20% - Accent6 3 2 3 2 6 2 2" xfId="52486" xr:uid="{00000000-0005-0000-0000-00002C2D0000}"/>
    <cellStyle name="20% - Accent6 3 2 3 2 6 3" xfId="37987" xr:uid="{00000000-0005-0000-0000-00002D2D0000}"/>
    <cellStyle name="20% - Accent6 3 2 3 2 7" xfId="16232" xr:uid="{00000000-0005-0000-0000-00002E2D0000}"/>
    <cellStyle name="20% - Accent6 3 2 3 2 7 2" xfId="45238" xr:uid="{00000000-0005-0000-0000-00002F2D0000}"/>
    <cellStyle name="20% - Accent6 3 2 3 2 8" xfId="30739" xr:uid="{00000000-0005-0000-0000-0000302D0000}"/>
    <cellStyle name="20% - Accent6 3 2 3 3" xfId="2202" xr:uid="{00000000-0005-0000-0000-0000312D0000}"/>
    <cellStyle name="20% - Accent6 3 2 3 3 2" xfId="5306" xr:uid="{00000000-0005-0000-0000-0000322D0000}"/>
    <cellStyle name="20% - Accent6 3 2 3 3 2 2" xfId="12578" xr:uid="{00000000-0005-0000-0000-0000332D0000}"/>
    <cellStyle name="20% - Accent6 3 2 3 3 2 2 2" xfId="27112" xr:uid="{00000000-0005-0000-0000-0000342D0000}"/>
    <cellStyle name="20% - Accent6 3 2 3 3 2 2 2 2" xfId="56118" xr:uid="{00000000-0005-0000-0000-0000352D0000}"/>
    <cellStyle name="20% - Accent6 3 2 3 3 2 2 3" xfId="41619" xr:uid="{00000000-0005-0000-0000-0000362D0000}"/>
    <cellStyle name="20% - Accent6 3 2 3 3 2 3" xfId="19864" xr:uid="{00000000-0005-0000-0000-0000372D0000}"/>
    <cellStyle name="20% - Accent6 3 2 3 3 2 3 2" xfId="48870" xr:uid="{00000000-0005-0000-0000-0000382D0000}"/>
    <cellStyle name="20% - Accent6 3 2 3 3 2 4" xfId="34371" xr:uid="{00000000-0005-0000-0000-0000392D0000}"/>
    <cellStyle name="20% - Accent6 3 2 3 3 3" xfId="9474" xr:uid="{00000000-0005-0000-0000-00003A2D0000}"/>
    <cellStyle name="20% - Accent6 3 2 3 3 3 2" xfId="24008" xr:uid="{00000000-0005-0000-0000-00003B2D0000}"/>
    <cellStyle name="20% - Accent6 3 2 3 3 3 2 2" xfId="53014" xr:uid="{00000000-0005-0000-0000-00003C2D0000}"/>
    <cellStyle name="20% - Accent6 3 2 3 3 3 3" xfId="38515" xr:uid="{00000000-0005-0000-0000-00003D2D0000}"/>
    <cellStyle name="20% - Accent6 3 2 3 3 4" xfId="16760" xr:uid="{00000000-0005-0000-0000-00003E2D0000}"/>
    <cellStyle name="20% - Accent6 3 2 3 3 4 2" xfId="45766" xr:uid="{00000000-0005-0000-0000-00003F2D0000}"/>
    <cellStyle name="20% - Accent6 3 2 3 3 5" xfId="31267" xr:uid="{00000000-0005-0000-0000-0000402D0000}"/>
    <cellStyle name="20% - Accent6 3 2 3 4" xfId="3234" xr:uid="{00000000-0005-0000-0000-0000412D0000}"/>
    <cellStyle name="20% - Accent6 3 2 3 4 2" xfId="6338" xr:uid="{00000000-0005-0000-0000-0000422D0000}"/>
    <cellStyle name="20% - Accent6 3 2 3 4 2 2" xfId="13610" xr:uid="{00000000-0005-0000-0000-0000432D0000}"/>
    <cellStyle name="20% - Accent6 3 2 3 4 2 2 2" xfId="28144" xr:uid="{00000000-0005-0000-0000-0000442D0000}"/>
    <cellStyle name="20% - Accent6 3 2 3 4 2 2 2 2" xfId="57150" xr:uid="{00000000-0005-0000-0000-0000452D0000}"/>
    <cellStyle name="20% - Accent6 3 2 3 4 2 2 3" xfId="42651" xr:uid="{00000000-0005-0000-0000-0000462D0000}"/>
    <cellStyle name="20% - Accent6 3 2 3 4 2 3" xfId="20896" xr:uid="{00000000-0005-0000-0000-0000472D0000}"/>
    <cellStyle name="20% - Accent6 3 2 3 4 2 3 2" xfId="49902" xr:uid="{00000000-0005-0000-0000-0000482D0000}"/>
    <cellStyle name="20% - Accent6 3 2 3 4 2 4" xfId="35403" xr:uid="{00000000-0005-0000-0000-0000492D0000}"/>
    <cellStyle name="20% - Accent6 3 2 3 4 3" xfId="10506" xr:uid="{00000000-0005-0000-0000-00004A2D0000}"/>
    <cellStyle name="20% - Accent6 3 2 3 4 3 2" xfId="25040" xr:uid="{00000000-0005-0000-0000-00004B2D0000}"/>
    <cellStyle name="20% - Accent6 3 2 3 4 3 2 2" xfId="54046" xr:uid="{00000000-0005-0000-0000-00004C2D0000}"/>
    <cellStyle name="20% - Accent6 3 2 3 4 3 3" xfId="39547" xr:uid="{00000000-0005-0000-0000-00004D2D0000}"/>
    <cellStyle name="20% - Accent6 3 2 3 4 4" xfId="17792" xr:uid="{00000000-0005-0000-0000-00004E2D0000}"/>
    <cellStyle name="20% - Accent6 3 2 3 4 4 2" xfId="46798" xr:uid="{00000000-0005-0000-0000-00004F2D0000}"/>
    <cellStyle name="20% - Accent6 3 2 3 4 5" xfId="32299" xr:uid="{00000000-0005-0000-0000-0000502D0000}"/>
    <cellStyle name="20% - Accent6 3 2 3 5" xfId="4266" xr:uid="{00000000-0005-0000-0000-0000512D0000}"/>
    <cellStyle name="20% - Accent6 3 2 3 5 2" xfId="11538" xr:uid="{00000000-0005-0000-0000-0000522D0000}"/>
    <cellStyle name="20% - Accent6 3 2 3 5 2 2" xfId="26072" xr:uid="{00000000-0005-0000-0000-0000532D0000}"/>
    <cellStyle name="20% - Accent6 3 2 3 5 2 2 2" xfId="55078" xr:uid="{00000000-0005-0000-0000-0000542D0000}"/>
    <cellStyle name="20% - Accent6 3 2 3 5 2 3" xfId="40579" xr:uid="{00000000-0005-0000-0000-0000552D0000}"/>
    <cellStyle name="20% - Accent6 3 2 3 5 3" xfId="18824" xr:uid="{00000000-0005-0000-0000-0000562D0000}"/>
    <cellStyle name="20% - Accent6 3 2 3 5 3 2" xfId="47830" xr:uid="{00000000-0005-0000-0000-0000572D0000}"/>
    <cellStyle name="20% - Accent6 3 2 3 5 4" xfId="33331" xr:uid="{00000000-0005-0000-0000-0000582D0000}"/>
    <cellStyle name="20% - Accent6 3 2 3 6" xfId="7370" xr:uid="{00000000-0005-0000-0000-0000592D0000}"/>
    <cellStyle name="20% - Accent6 3 2 3 6 2" xfId="14642" xr:uid="{00000000-0005-0000-0000-00005A2D0000}"/>
    <cellStyle name="20% - Accent6 3 2 3 6 2 2" xfId="29176" xr:uid="{00000000-0005-0000-0000-00005B2D0000}"/>
    <cellStyle name="20% - Accent6 3 2 3 6 2 2 2" xfId="58182" xr:uid="{00000000-0005-0000-0000-00005C2D0000}"/>
    <cellStyle name="20% - Accent6 3 2 3 6 2 3" xfId="43683" xr:uid="{00000000-0005-0000-0000-00005D2D0000}"/>
    <cellStyle name="20% - Accent6 3 2 3 6 3" xfId="21928" xr:uid="{00000000-0005-0000-0000-00005E2D0000}"/>
    <cellStyle name="20% - Accent6 3 2 3 6 3 2" xfId="50934" xr:uid="{00000000-0005-0000-0000-00005F2D0000}"/>
    <cellStyle name="20% - Accent6 3 2 3 6 4" xfId="36435" xr:uid="{00000000-0005-0000-0000-0000602D0000}"/>
    <cellStyle name="20% - Accent6 3 2 3 7" xfId="8434" xr:uid="{00000000-0005-0000-0000-0000612D0000}"/>
    <cellStyle name="20% - Accent6 3 2 3 7 2" xfId="22968" xr:uid="{00000000-0005-0000-0000-0000622D0000}"/>
    <cellStyle name="20% - Accent6 3 2 3 7 2 2" xfId="51974" xr:uid="{00000000-0005-0000-0000-0000632D0000}"/>
    <cellStyle name="20% - Accent6 3 2 3 7 3" xfId="37475" xr:uid="{00000000-0005-0000-0000-0000642D0000}"/>
    <cellStyle name="20% - Accent6 3 2 3 8" xfId="15720" xr:uid="{00000000-0005-0000-0000-0000652D0000}"/>
    <cellStyle name="20% - Accent6 3 2 3 8 2" xfId="44726" xr:uid="{00000000-0005-0000-0000-0000662D0000}"/>
    <cellStyle name="20% - Accent6 3 2 3 9" xfId="30227" xr:uid="{00000000-0005-0000-0000-0000672D0000}"/>
    <cellStyle name="20% - Accent6 3 2 4" xfId="1065" xr:uid="{00000000-0005-0000-0000-0000682D0000}"/>
    <cellStyle name="20% - Accent6 3 2 4 2" xfId="1556" xr:uid="{00000000-0005-0000-0000-0000692D0000}"/>
    <cellStyle name="20% - Accent6 3 2 4 2 2" xfId="2614" xr:uid="{00000000-0005-0000-0000-00006A2D0000}"/>
    <cellStyle name="20% - Accent6 3 2 4 2 2 2" xfId="5718" xr:uid="{00000000-0005-0000-0000-00006B2D0000}"/>
    <cellStyle name="20% - Accent6 3 2 4 2 2 2 2" xfId="12990" xr:uid="{00000000-0005-0000-0000-00006C2D0000}"/>
    <cellStyle name="20% - Accent6 3 2 4 2 2 2 2 2" xfId="27524" xr:uid="{00000000-0005-0000-0000-00006D2D0000}"/>
    <cellStyle name="20% - Accent6 3 2 4 2 2 2 2 2 2" xfId="56530" xr:uid="{00000000-0005-0000-0000-00006E2D0000}"/>
    <cellStyle name="20% - Accent6 3 2 4 2 2 2 2 3" xfId="42031" xr:uid="{00000000-0005-0000-0000-00006F2D0000}"/>
    <cellStyle name="20% - Accent6 3 2 4 2 2 2 3" xfId="20276" xr:uid="{00000000-0005-0000-0000-0000702D0000}"/>
    <cellStyle name="20% - Accent6 3 2 4 2 2 2 3 2" xfId="49282" xr:uid="{00000000-0005-0000-0000-0000712D0000}"/>
    <cellStyle name="20% - Accent6 3 2 4 2 2 2 4" xfId="34783" xr:uid="{00000000-0005-0000-0000-0000722D0000}"/>
    <cellStyle name="20% - Accent6 3 2 4 2 2 3" xfId="9886" xr:uid="{00000000-0005-0000-0000-0000732D0000}"/>
    <cellStyle name="20% - Accent6 3 2 4 2 2 3 2" xfId="24420" xr:uid="{00000000-0005-0000-0000-0000742D0000}"/>
    <cellStyle name="20% - Accent6 3 2 4 2 2 3 2 2" xfId="53426" xr:uid="{00000000-0005-0000-0000-0000752D0000}"/>
    <cellStyle name="20% - Accent6 3 2 4 2 2 3 3" xfId="38927" xr:uid="{00000000-0005-0000-0000-0000762D0000}"/>
    <cellStyle name="20% - Accent6 3 2 4 2 2 4" xfId="17172" xr:uid="{00000000-0005-0000-0000-0000772D0000}"/>
    <cellStyle name="20% - Accent6 3 2 4 2 2 4 2" xfId="46178" xr:uid="{00000000-0005-0000-0000-0000782D0000}"/>
    <cellStyle name="20% - Accent6 3 2 4 2 2 5" xfId="31679" xr:uid="{00000000-0005-0000-0000-0000792D0000}"/>
    <cellStyle name="20% - Accent6 3 2 4 2 3" xfId="3646" xr:uid="{00000000-0005-0000-0000-00007A2D0000}"/>
    <cellStyle name="20% - Accent6 3 2 4 2 3 2" xfId="6750" xr:uid="{00000000-0005-0000-0000-00007B2D0000}"/>
    <cellStyle name="20% - Accent6 3 2 4 2 3 2 2" xfId="14022" xr:uid="{00000000-0005-0000-0000-00007C2D0000}"/>
    <cellStyle name="20% - Accent6 3 2 4 2 3 2 2 2" xfId="28556" xr:uid="{00000000-0005-0000-0000-00007D2D0000}"/>
    <cellStyle name="20% - Accent6 3 2 4 2 3 2 2 2 2" xfId="57562" xr:uid="{00000000-0005-0000-0000-00007E2D0000}"/>
    <cellStyle name="20% - Accent6 3 2 4 2 3 2 2 3" xfId="43063" xr:uid="{00000000-0005-0000-0000-00007F2D0000}"/>
    <cellStyle name="20% - Accent6 3 2 4 2 3 2 3" xfId="21308" xr:uid="{00000000-0005-0000-0000-0000802D0000}"/>
    <cellStyle name="20% - Accent6 3 2 4 2 3 2 3 2" xfId="50314" xr:uid="{00000000-0005-0000-0000-0000812D0000}"/>
    <cellStyle name="20% - Accent6 3 2 4 2 3 2 4" xfId="35815" xr:uid="{00000000-0005-0000-0000-0000822D0000}"/>
    <cellStyle name="20% - Accent6 3 2 4 2 3 3" xfId="10918" xr:uid="{00000000-0005-0000-0000-0000832D0000}"/>
    <cellStyle name="20% - Accent6 3 2 4 2 3 3 2" xfId="25452" xr:uid="{00000000-0005-0000-0000-0000842D0000}"/>
    <cellStyle name="20% - Accent6 3 2 4 2 3 3 2 2" xfId="54458" xr:uid="{00000000-0005-0000-0000-0000852D0000}"/>
    <cellStyle name="20% - Accent6 3 2 4 2 3 3 3" xfId="39959" xr:uid="{00000000-0005-0000-0000-0000862D0000}"/>
    <cellStyle name="20% - Accent6 3 2 4 2 3 4" xfId="18204" xr:uid="{00000000-0005-0000-0000-0000872D0000}"/>
    <cellStyle name="20% - Accent6 3 2 4 2 3 4 2" xfId="47210" xr:uid="{00000000-0005-0000-0000-0000882D0000}"/>
    <cellStyle name="20% - Accent6 3 2 4 2 3 5" xfId="32711" xr:uid="{00000000-0005-0000-0000-0000892D0000}"/>
    <cellStyle name="20% - Accent6 3 2 4 2 4" xfId="4678" xr:uid="{00000000-0005-0000-0000-00008A2D0000}"/>
    <cellStyle name="20% - Accent6 3 2 4 2 4 2" xfId="11950" xr:uid="{00000000-0005-0000-0000-00008B2D0000}"/>
    <cellStyle name="20% - Accent6 3 2 4 2 4 2 2" xfId="26484" xr:uid="{00000000-0005-0000-0000-00008C2D0000}"/>
    <cellStyle name="20% - Accent6 3 2 4 2 4 2 2 2" xfId="55490" xr:uid="{00000000-0005-0000-0000-00008D2D0000}"/>
    <cellStyle name="20% - Accent6 3 2 4 2 4 2 3" xfId="40991" xr:uid="{00000000-0005-0000-0000-00008E2D0000}"/>
    <cellStyle name="20% - Accent6 3 2 4 2 4 3" xfId="19236" xr:uid="{00000000-0005-0000-0000-00008F2D0000}"/>
    <cellStyle name="20% - Accent6 3 2 4 2 4 3 2" xfId="48242" xr:uid="{00000000-0005-0000-0000-0000902D0000}"/>
    <cellStyle name="20% - Accent6 3 2 4 2 4 4" xfId="33743" xr:uid="{00000000-0005-0000-0000-0000912D0000}"/>
    <cellStyle name="20% - Accent6 3 2 4 2 5" xfId="7782" xr:uid="{00000000-0005-0000-0000-0000922D0000}"/>
    <cellStyle name="20% - Accent6 3 2 4 2 5 2" xfId="15054" xr:uid="{00000000-0005-0000-0000-0000932D0000}"/>
    <cellStyle name="20% - Accent6 3 2 4 2 5 2 2" xfId="29588" xr:uid="{00000000-0005-0000-0000-0000942D0000}"/>
    <cellStyle name="20% - Accent6 3 2 4 2 5 2 2 2" xfId="58594" xr:uid="{00000000-0005-0000-0000-0000952D0000}"/>
    <cellStyle name="20% - Accent6 3 2 4 2 5 2 3" xfId="44095" xr:uid="{00000000-0005-0000-0000-0000962D0000}"/>
    <cellStyle name="20% - Accent6 3 2 4 2 5 3" xfId="22340" xr:uid="{00000000-0005-0000-0000-0000972D0000}"/>
    <cellStyle name="20% - Accent6 3 2 4 2 5 3 2" xfId="51346" xr:uid="{00000000-0005-0000-0000-0000982D0000}"/>
    <cellStyle name="20% - Accent6 3 2 4 2 5 4" xfId="36847" xr:uid="{00000000-0005-0000-0000-0000992D0000}"/>
    <cellStyle name="20% - Accent6 3 2 4 2 6" xfId="8846" xr:uid="{00000000-0005-0000-0000-00009A2D0000}"/>
    <cellStyle name="20% - Accent6 3 2 4 2 6 2" xfId="23380" xr:uid="{00000000-0005-0000-0000-00009B2D0000}"/>
    <cellStyle name="20% - Accent6 3 2 4 2 6 2 2" xfId="52386" xr:uid="{00000000-0005-0000-0000-00009C2D0000}"/>
    <cellStyle name="20% - Accent6 3 2 4 2 6 3" xfId="37887" xr:uid="{00000000-0005-0000-0000-00009D2D0000}"/>
    <cellStyle name="20% - Accent6 3 2 4 2 7" xfId="16132" xr:uid="{00000000-0005-0000-0000-00009E2D0000}"/>
    <cellStyle name="20% - Accent6 3 2 4 2 7 2" xfId="45138" xr:uid="{00000000-0005-0000-0000-00009F2D0000}"/>
    <cellStyle name="20% - Accent6 3 2 4 2 8" xfId="30639" xr:uid="{00000000-0005-0000-0000-0000A02D0000}"/>
    <cellStyle name="20% - Accent6 3 2 4 3" xfId="2102" xr:uid="{00000000-0005-0000-0000-0000A12D0000}"/>
    <cellStyle name="20% - Accent6 3 2 4 3 2" xfId="5206" xr:uid="{00000000-0005-0000-0000-0000A22D0000}"/>
    <cellStyle name="20% - Accent6 3 2 4 3 2 2" xfId="12478" xr:uid="{00000000-0005-0000-0000-0000A32D0000}"/>
    <cellStyle name="20% - Accent6 3 2 4 3 2 2 2" xfId="27012" xr:uid="{00000000-0005-0000-0000-0000A42D0000}"/>
    <cellStyle name="20% - Accent6 3 2 4 3 2 2 2 2" xfId="56018" xr:uid="{00000000-0005-0000-0000-0000A52D0000}"/>
    <cellStyle name="20% - Accent6 3 2 4 3 2 2 3" xfId="41519" xr:uid="{00000000-0005-0000-0000-0000A62D0000}"/>
    <cellStyle name="20% - Accent6 3 2 4 3 2 3" xfId="19764" xr:uid="{00000000-0005-0000-0000-0000A72D0000}"/>
    <cellStyle name="20% - Accent6 3 2 4 3 2 3 2" xfId="48770" xr:uid="{00000000-0005-0000-0000-0000A82D0000}"/>
    <cellStyle name="20% - Accent6 3 2 4 3 2 4" xfId="34271" xr:uid="{00000000-0005-0000-0000-0000A92D0000}"/>
    <cellStyle name="20% - Accent6 3 2 4 3 3" xfId="9374" xr:uid="{00000000-0005-0000-0000-0000AA2D0000}"/>
    <cellStyle name="20% - Accent6 3 2 4 3 3 2" xfId="23908" xr:uid="{00000000-0005-0000-0000-0000AB2D0000}"/>
    <cellStyle name="20% - Accent6 3 2 4 3 3 2 2" xfId="52914" xr:uid="{00000000-0005-0000-0000-0000AC2D0000}"/>
    <cellStyle name="20% - Accent6 3 2 4 3 3 3" xfId="38415" xr:uid="{00000000-0005-0000-0000-0000AD2D0000}"/>
    <cellStyle name="20% - Accent6 3 2 4 3 4" xfId="16660" xr:uid="{00000000-0005-0000-0000-0000AE2D0000}"/>
    <cellStyle name="20% - Accent6 3 2 4 3 4 2" xfId="45666" xr:uid="{00000000-0005-0000-0000-0000AF2D0000}"/>
    <cellStyle name="20% - Accent6 3 2 4 3 5" xfId="31167" xr:uid="{00000000-0005-0000-0000-0000B02D0000}"/>
    <cellStyle name="20% - Accent6 3 2 4 4" xfId="3134" xr:uid="{00000000-0005-0000-0000-0000B12D0000}"/>
    <cellStyle name="20% - Accent6 3 2 4 4 2" xfId="6238" xr:uid="{00000000-0005-0000-0000-0000B22D0000}"/>
    <cellStyle name="20% - Accent6 3 2 4 4 2 2" xfId="13510" xr:uid="{00000000-0005-0000-0000-0000B32D0000}"/>
    <cellStyle name="20% - Accent6 3 2 4 4 2 2 2" xfId="28044" xr:uid="{00000000-0005-0000-0000-0000B42D0000}"/>
    <cellStyle name="20% - Accent6 3 2 4 4 2 2 2 2" xfId="57050" xr:uid="{00000000-0005-0000-0000-0000B52D0000}"/>
    <cellStyle name="20% - Accent6 3 2 4 4 2 2 3" xfId="42551" xr:uid="{00000000-0005-0000-0000-0000B62D0000}"/>
    <cellStyle name="20% - Accent6 3 2 4 4 2 3" xfId="20796" xr:uid="{00000000-0005-0000-0000-0000B72D0000}"/>
    <cellStyle name="20% - Accent6 3 2 4 4 2 3 2" xfId="49802" xr:uid="{00000000-0005-0000-0000-0000B82D0000}"/>
    <cellStyle name="20% - Accent6 3 2 4 4 2 4" xfId="35303" xr:uid="{00000000-0005-0000-0000-0000B92D0000}"/>
    <cellStyle name="20% - Accent6 3 2 4 4 3" xfId="10406" xr:uid="{00000000-0005-0000-0000-0000BA2D0000}"/>
    <cellStyle name="20% - Accent6 3 2 4 4 3 2" xfId="24940" xr:uid="{00000000-0005-0000-0000-0000BB2D0000}"/>
    <cellStyle name="20% - Accent6 3 2 4 4 3 2 2" xfId="53946" xr:uid="{00000000-0005-0000-0000-0000BC2D0000}"/>
    <cellStyle name="20% - Accent6 3 2 4 4 3 3" xfId="39447" xr:uid="{00000000-0005-0000-0000-0000BD2D0000}"/>
    <cellStyle name="20% - Accent6 3 2 4 4 4" xfId="17692" xr:uid="{00000000-0005-0000-0000-0000BE2D0000}"/>
    <cellStyle name="20% - Accent6 3 2 4 4 4 2" xfId="46698" xr:uid="{00000000-0005-0000-0000-0000BF2D0000}"/>
    <cellStyle name="20% - Accent6 3 2 4 4 5" xfId="32199" xr:uid="{00000000-0005-0000-0000-0000C02D0000}"/>
    <cellStyle name="20% - Accent6 3 2 4 5" xfId="4166" xr:uid="{00000000-0005-0000-0000-0000C12D0000}"/>
    <cellStyle name="20% - Accent6 3 2 4 5 2" xfId="11438" xr:uid="{00000000-0005-0000-0000-0000C22D0000}"/>
    <cellStyle name="20% - Accent6 3 2 4 5 2 2" xfId="25972" xr:uid="{00000000-0005-0000-0000-0000C32D0000}"/>
    <cellStyle name="20% - Accent6 3 2 4 5 2 2 2" xfId="54978" xr:uid="{00000000-0005-0000-0000-0000C42D0000}"/>
    <cellStyle name="20% - Accent6 3 2 4 5 2 3" xfId="40479" xr:uid="{00000000-0005-0000-0000-0000C52D0000}"/>
    <cellStyle name="20% - Accent6 3 2 4 5 3" xfId="18724" xr:uid="{00000000-0005-0000-0000-0000C62D0000}"/>
    <cellStyle name="20% - Accent6 3 2 4 5 3 2" xfId="47730" xr:uid="{00000000-0005-0000-0000-0000C72D0000}"/>
    <cellStyle name="20% - Accent6 3 2 4 5 4" xfId="33231" xr:uid="{00000000-0005-0000-0000-0000C82D0000}"/>
    <cellStyle name="20% - Accent6 3 2 4 6" xfId="7270" xr:uid="{00000000-0005-0000-0000-0000C92D0000}"/>
    <cellStyle name="20% - Accent6 3 2 4 6 2" xfId="14542" xr:uid="{00000000-0005-0000-0000-0000CA2D0000}"/>
    <cellStyle name="20% - Accent6 3 2 4 6 2 2" xfId="29076" xr:uid="{00000000-0005-0000-0000-0000CB2D0000}"/>
    <cellStyle name="20% - Accent6 3 2 4 6 2 2 2" xfId="58082" xr:uid="{00000000-0005-0000-0000-0000CC2D0000}"/>
    <cellStyle name="20% - Accent6 3 2 4 6 2 3" xfId="43583" xr:uid="{00000000-0005-0000-0000-0000CD2D0000}"/>
    <cellStyle name="20% - Accent6 3 2 4 6 3" xfId="21828" xr:uid="{00000000-0005-0000-0000-0000CE2D0000}"/>
    <cellStyle name="20% - Accent6 3 2 4 6 3 2" xfId="50834" xr:uid="{00000000-0005-0000-0000-0000CF2D0000}"/>
    <cellStyle name="20% - Accent6 3 2 4 6 4" xfId="36335" xr:uid="{00000000-0005-0000-0000-0000D02D0000}"/>
    <cellStyle name="20% - Accent6 3 2 4 7" xfId="8334" xr:uid="{00000000-0005-0000-0000-0000D12D0000}"/>
    <cellStyle name="20% - Accent6 3 2 4 7 2" xfId="22868" xr:uid="{00000000-0005-0000-0000-0000D22D0000}"/>
    <cellStyle name="20% - Accent6 3 2 4 7 2 2" xfId="51874" xr:uid="{00000000-0005-0000-0000-0000D32D0000}"/>
    <cellStyle name="20% - Accent6 3 2 4 7 3" xfId="37375" xr:uid="{00000000-0005-0000-0000-0000D42D0000}"/>
    <cellStyle name="20% - Accent6 3 2 4 8" xfId="15620" xr:uid="{00000000-0005-0000-0000-0000D52D0000}"/>
    <cellStyle name="20% - Accent6 3 2 4 8 2" xfId="44626" xr:uid="{00000000-0005-0000-0000-0000D62D0000}"/>
    <cellStyle name="20% - Accent6 3 2 4 9" xfId="30127" xr:uid="{00000000-0005-0000-0000-0000D72D0000}"/>
    <cellStyle name="20% - Accent6 3 2 5" xfId="1351" xr:uid="{00000000-0005-0000-0000-0000D82D0000}"/>
    <cellStyle name="20% - Accent6 3 2 5 2" xfId="2408" xr:uid="{00000000-0005-0000-0000-0000D92D0000}"/>
    <cellStyle name="20% - Accent6 3 2 5 2 2" xfId="5512" xr:uid="{00000000-0005-0000-0000-0000DA2D0000}"/>
    <cellStyle name="20% - Accent6 3 2 5 2 2 2" xfId="12784" xr:uid="{00000000-0005-0000-0000-0000DB2D0000}"/>
    <cellStyle name="20% - Accent6 3 2 5 2 2 2 2" xfId="27318" xr:uid="{00000000-0005-0000-0000-0000DC2D0000}"/>
    <cellStyle name="20% - Accent6 3 2 5 2 2 2 2 2" xfId="56324" xr:uid="{00000000-0005-0000-0000-0000DD2D0000}"/>
    <cellStyle name="20% - Accent6 3 2 5 2 2 2 3" xfId="41825" xr:uid="{00000000-0005-0000-0000-0000DE2D0000}"/>
    <cellStyle name="20% - Accent6 3 2 5 2 2 3" xfId="20070" xr:uid="{00000000-0005-0000-0000-0000DF2D0000}"/>
    <cellStyle name="20% - Accent6 3 2 5 2 2 3 2" xfId="49076" xr:uid="{00000000-0005-0000-0000-0000E02D0000}"/>
    <cellStyle name="20% - Accent6 3 2 5 2 2 4" xfId="34577" xr:uid="{00000000-0005-0000-0000-0000E12D0000}"/>
    <cellStyle name="20% - Accent6 3 2 5 2 3" xfId="9680" xr:uid="{00000000-0005-0000-0000-0000E22D0000}"/>
    <cellStyle name="20% - Accent6 3 2 5 2 3 2" xfId="24214" xr:uid="{00000000-0005-0000-0000-0000E32D0000}"/>
    <cellStyle name="20% - Accent6 3 2 5 2 3 2 2" xfId="53220" xr:uid="{00000000-0005-0000-0000-0000E42D0000}"/>
    <cellStyle name="20% - Accent6 3 2 5 2 3 3" xfId="38721" xr:uid="{00000000-0005-0000-0000-0000E52D0000}"/>
    <cellStyle name="20% - Accent6 3 2 5 2 4" xfId="16966" xr:uid="{00000000-0005-0000-0000-0000E62D0000}"/>
    <cellStyle name="20% - Accent6 3 2 5 2 4 2" xfId="45972" xr:uid="{00000000-0005-0000-0000-0000E72D0000}"/>
    <cellStyle name="20% - Accent6 3 2 5 2 5" xfId="31473" xr:uid="{00000000-0005-0000-0000-0000E82D0000}"/>
    <cellStyle name="20% - Accent6 3 2 5 3" xfId="3440" xr:uid="{00000000-0005-0000-0000-0000E92D0000}"/>
    <cellStyle name="20% - Accent6 3 2 5 3 2" xfId="6544" xr:uid="{00000000-0005-0000-0000-0000EA2D0000}"/>
    <cellStyle name="20% - Accent6 3 2 5 3 2 2" xfId="13816" xr:uid="{00000000-0005-0000-0000-0000EB2D0000}"/>
    <cellStyle name="20% - Accent6 3 2 5 3 2 2 2" xfId="28350" xr:uid="{00000000-0005-0000-0000-0000EC2D0000}"/>
    <cellStyle name="20% - Accent6 3 2 5 3 2 2 2 2" xfId="57356" xr:uid="{00000000-0005-0000-0000-0000ED2D0000}"/>
    <cellStyle name="20% - Accent6 3 2 5 3 2 2 3" xfId="42857" xr:uid="{00000000-0005-0000-0000-0000EE2D0000}"/>
    <cellStyle name="20% - Accent6 3 2 5 3 2 3" xfId="21102" xr:uid="{00000000-0005-0000-0000-0000EF2D0000}"/>
    <cellStyle name="20% - Accent6 3 2 5 3 2 3 2" xfId="50108" xr:uid="{00000000-0005-0000-0000-0000F02D0000}"/>
    <cellStyle name="20% - Accent6 3 2 5 3 2 4" xfId="35609" xr:uid="{00000000-0005-0000-0000-0000F12D0000}"/>
    <cellStyle name="20% - Accent6 3 2 5 3 3" xfId="10712" xr:uid="{00000000-0005-0000-0000-0000F22D0000}"/>
    <cellStyle name="20% - Accent6 3 2 5 3 3 2" xfId="25246" xr:uid="{00000000-0005-0000-0000-0000F32D0000}"/>
    <cellStyle name="20% - Accent6 3 2 5 3 3 2 2" xfId="54252" xr:uid="{00000000-0005-0000-0000-0000F42D0000}"/>
    <cellStyle name="20% - Accent6 3 2 5 3 3 3" xfId="39753" xr:uid="{00000000-0005-0000-0000-0000F52D0000}"/>
    <cellStyle name="20% - Accent6 3 2 5 3 4" xfId="17998" xr:uid="{00000000-0005-0000-0000-0000F62D0000}"/>
    <cellStyle name="20% - Accent6 3 2 5 3 4 2" xfId="47004" xr:uid="{00000000-0005-0000-0000-0000F72D0000}"/>
    <cellStyle name="20% - Accent6 3 2 5 3 5" xfId="32505" xr:uid="{00000000-0005-0000-0000-0000F82D0000}"/>
    <cellStyle name="20% - Accent6 3 2 5 4" xfId="4472" xr:uid="{00000000-0005-0000-0000-0000F92D0000}"/>
    <cellStyle name="20% - Accent6 3 2 5 4 2" xfId="11744" xr:uid="{00000000-0005-0000-0000-0000FA2D0000}"/>
    <cellStyle name="20% - Accent6 3 2 5 4 2 2" xfId="26278" xr:uid="{00000000-0005-0000-0000-0000FB2D0000}"/>
    <cellStyle name="20% - Accent6 3 2 5 4 2 2 2" xfId="55284" xr:uid="{00000000-0005-0000-0000-0000FC2D0000}"/>
    <cellStyle name="20% - Accent6 3 2 5 4 2 3" xfId="40785" xr:uid="{00000000-0005-0000-0000-0000FD2D0000}"/>
    <cellStyle name="20% - Accent6 3 2 5 4 3" xfId="19030" xr:uid="{00000000-0005-0000-0000-0000FE2D0000}"/>
    <cellStyle name="20% - Accent6 3 2 5 4 3 2" xfId="48036" xr:uid="{00000000-0005-0000-0000-0000FF2D0000}"/>
    <cellStyle name="20% - Accent6 3 2 5 4 4" xfId="33537" xr:uid="{00000000-0005-0000-0000-0000002E0000}"/>
    <cellStyle name="20% - Accent6 3 2 5 5" xfId="7576" xr:uid="{00000000-0005-0000-0000-0000012E0000}"/>
    <cellStyle name="20% - Accent6 3 2 5 5 2" xfId="14848" xr:uid="{00000000-0005-0000-0000-0000022E0000}"/>
    <cellStyle name="20% - Accent6 3 2 5 5 2 2" xfId="29382" xr:uid="{00000000-0005-0000-0000-0000032E0000}"/>
    <cellStyle name="20% - Accent6 3 2 5 5 2 2 2" xfId="58388" xr:uid="{00000000-0005-0000-0000-0000042E0000}"/>
    <cellStyle name="20% - Accent6 3 2 5 5 2 3" xfId="43889" xr:uid="{00000000-0005-0000-0000-0000052E0000}"/>
    <cellStyle name="20% - Accent6 3 2 5 5 3" xfId="22134" xr:uid="{00000000-0005-0000-0000-0000062E0000}"/>
    <cellStyle name="20% - Accent6 3 2 5 5 3 2" xfId="51140" xr:uid="{00000000-0005-0000-0000-0000072E0000}"/>
    <cellStyle name="20% - Accent6 3 2 5 5 4" xfId="36641" xr:uid="{00000000-0005-0000-0000-0000082E0000}"/>
    <cellStyle name="20% - Accent6 3 2 5 6" xfId="8640" xr:uid="{00000000-0005-0000-0000-0000092E0000}"/>
    <cellStyle name="20% - Accent6 3 2 5 6 2" xfId="23174" xr:uid="{00000000-0005-0000-0000-00000A2E0000}"/>
    <cellStyle name="20% - Accent6 3 2 5 6 2 2" xfId="52180" xr:uid="{00000000-0005-0000-0000-00000B2E0000}"/>
    <cellStyle name="20% - Accent6 3 2 5 6 3" xfId="37681" xr:uid="{00000000-0005-0000-0000-00000C2E0000}"/>
    <cellStyle name="20% - Accent6 3 2 5 7" xfId="15926" xr:uid="{00000000-0005-0000-0000-00000D2E0000}"/>
    <cellStyle name="20% - Accent6 3 2 5 7 2" xfId="44932" xr:uid="{00000000-0005-0000-0000-00000E2E0000}"/>
    <cellStyle name="20% - Accent6 3 2 5 8" xfId="30433" xr:uid="{00000000-0005-0000-0000-00000F2E0000}"/>
    <cellStyle name="20% - Accent6 3 2 6" xfId="1896" xr:uid="{00000000-0005-0000-0000-0000102E0000}"/>
    <cellStyle name="20% - Accent6 3 2 6 2" xfId="5000" xr:uid="{00000000-0005-0000-0000-0000112E0000}"/>
    <cellStyle name="20% - Accent6 3 2 6 2 2" xfId="12272" xr:uid="{00000000-0005-0000-0000-0000122E0000}"/>
    <cellStyle name="20% - Accent6 3 2 6 2 2 2" xfId="26806" xr:uid="{00000000-0005-0000-0000-0000132E0000}"/>
    <cellStyle name="20% - Accent6 3 2 6 2 2 2 2" xfId="55812" xr:uid="{00000000-0005-0000-0000-0000142E0000}"/>
    <cellStyle name="20% - Accent6 3 2 6 2 2 3" xfId="41313" xr:uid="{00000000-0005-0000-0000-0000152E0000}"/>
    <cellStyle name="20% - Accent6 3 2 6 2 3" xfId="19558" xr:uid="{00000000-0005-0000-0000-0000162E0000}"/>
    <cellStyle name="20% - Accent6 3 2 6 2 3 2" xfId="48564" xr:uid="{00000000-0005-0000-0000-0000172E0000}"/>
    <cellStyle name="20% - Accent6 3 2 6 2 4" xfId="34065" xr:uid="{00000000-0005-0000-0000-0000182E0000}"/>
    <cellStyle name="20% - Accent6 3 2 6 3" xfId="9168" xr:uid="{00000000-0005-0000-0000-0000192E0000}"/>
    <cellStyle name="20% - Accent6 3 2 6 3 2" xfId="23702" xr:uid="{00000000-0005-0000-0000-00001A2E0000}"/>
    <cellStyle name="20% - Accent6 3 2 6 3 2 2" xfId="52708" xr:uid="{00000000-0005-0000-0000-00001B2E0000}"/>
    <cellStyle name="20% - Accent6 3 2 6 3 3" xfId="38209" xr:uid="{00000000-0005-0000-0000-00001C2E0000}"/>
    <cellStyle name="20% - Accent6 3 2 6 4" xfId="16454" xr:uid="{00000000-0005-0000-0000-00001D2E0000}"/>
    <cellStyle name="20% - Accent6 3 2 6 4 2" xfId="45460" xr:uid="{00000000-0005-0000-0000-00001E2E0000}"/>
    <cellStyle name="20% - Accent6 3 2 6 5" xfId="30961" xr:uid="{00000000-0005-0000-0000-00001F2E0000}"/>
    <cellStyle name="20% - Accent6 3 2 7" xfId="2928" xr:uid="{00000000-0005-0000-0000-0000202E0000}"/>
    <cellStyle name="20% - Accent6 3 2 7 2" xfId="6032" xr:uid="{00000000-0005-0000-0000-0000212E0000}"/>
    <cellStyle name="20% - Accent6 3 2 7 2 2" xfId="13304" xr:uid="{00000000-0005-0000-0000-0000222E0000}"/>
    <cellStyle name="20% - Accent6 3 2 7 2 2 2" xfId="27838" xr:uid="{00000000-0005-0000-0000-0000232E0000}"/>
    <cellStyle name="20% - Accent6 3 2 7 2 2 2 2" xfId="56844" xr:uid="{00000000-0005-0000-0000-0000242E0000}"/>
    <cellStyle name="20% - Accent6 3 2 7 2 2 3" xfId="42345" xr:uid="{00000000-0005-0000-0000-0000252E0000}"/>
    <cellStyle name="20% - Accent6 3 2 7 2 3" xfId="20590" xr:uid="{00000000-0005-0000-0000-0000262E0000}"/>
    <cellStyle name="20% - Accent6 3 2 7 2 3 2" xfId="49596" xr:uid="{00000000-0005-0000-0000-0000272E0000}"/>
    <cellStyle name="20% - Accent6 3 2 7 2 4" xfId="35097" xr:uid="{00000000-0005-0000-0000-0000282E0000}"/>
    <cellStyle name="20% - Accent6 3 2 7 3" xfId="10200" xr:uid="{00000000-0005-0000-0000-0000292E0000}"/>
    <cellStyle name="20% - Accent6 3 2 7 3 2" xfId="24734" xr:uid="{00000000-0005-0000-0000-00002A2E0000}"/>
    <cellStyle name="20% - Accent6 3 2 7 3 2 2" xfId="53740" xr:uid="{00000000-0005-0000-0000-00002B2E0000}"/>
    <cellStyle name="20% - Accent6 3 2 7 3 3" xfId="39241" xr:uid="{00000000-0005-0000-0000-00002C2E0000}"/>
    <cellStyle name="20% - Accent6 3 2 7 4" xfId="17486" xr:uid="{00000000-0005-0000-0000-00002D2E0000}"/>
    <cellStyle name="20% - Accent6 3 2 7 4 2" xfId="46492" xr:uid="{00000000-0005-0000-0000-00002E2E0000}"/>
    <cellStyle name="20% - Accent6 3 2 7 5" xfId="31993" xr:uid="{00000000-0005-0000-0000-00002F2E0000}"/>
    <cellStyle name="20% - Accent6 3 2 8" xfId="3960" xr:uid="{00000000-0005-0000-0000-0000302E0000}"/>
    <cellStyle name="20% - Accent6 3 2 8 2" xfId="11232" xr:uid="{00000000-0005-0000-0000-0000312E0000}"/>
    <cellStyle name="20% - Accent6 3 2 8 2 2" xfId="25766" xr:uid="{00000000-0005-0000-0000-0000322E0000}"/>
    <cellStyle name="20% - Accent6 3 2 8 2 2 2" xfId="54772" xr:uid="{00000000-0005-0000-0000-0000332E0000}"/>
    <cellStyle name="20% - Accent6 3 2 8 2 3" xfId="40273" xr:uid="{00000000-0005-0000-0000-0000342E0000}"/>
    <cellStyle name="20% - Accent6 3 2 8 3" xfId="18518" xr:uid="{00000000-0005-0000-0000-0000352E0000}"/>
    <cellStyle name="20% - Accent6 3 2 8 3 2" xfId="47524" xr:uid="{00000000-0005-0000-0000-0000362E0000}"/>
    <cellStyle name="20% - Accent6 3 2 8 4" xfId="33025" xr:uid="{00000000-0005-0000-0000-0000372E0000}"/>
    <cellStyle name="20% - Accent6 3 2 9" xfId="7064" xr:uid="{00000000-0005-0000-0000-0000382E0000}"/>
    <cellStyle name="20% - Accent6 3 2 9 2" xfId="14336" xr:uid="{00000000-0005-0000-0000-0000392E0000}"/>
    <cellStyle name="20% - Accent6 3 2 9 2 2" xfId="28870" xr:uid="{00000000-0005-0000-0000-00003A2E0000}"/>
    <cellStyle name="20% - Accent6 3 2 9 2 2 2" xfId="57876" xr:uid="{00000000-0005-0000-0000-00003B2E0000}"/>
    <cellStyle name="20% - Accent6 3 2 9 2 3" xfId="43377" xr:uid="{00000000-0005-0000-0000-00003C2E0000}"/>
    <cellStyle name="20% - Accent6 3 2 9 3" xfId="21622" xr:uid="{00000000-0005-0000-0000-00003D2E0000}"/>
    <cellStyle name="20% - Accent6 3 2 9 3 2" xfId="50628" xr:uid="{00000000-0005-0000-0000-00003E2E0000}"/>
    <cellStyle name="20% - Accent6 3 2 9 4" xfId="36129" xr:uid="{00000000-0005-0000-0000-00003F2E0000}"/>
    <cellStyle name="20% - Accent6 3 3" xfId="931" xr:uid="{00000000-0005-0000-0000-0000402E0000}"/>
    <cellStyle name="20% - Accent6 3 3 10" xfId="29972" xr:uid="{00000000-0005-0000-0000-0000412E0000}"/>
    <cellStyle name="20% - Accent6 3 3 2" xfId="1203" xr:uid="{00000000-0005-0000-0000-0000422E0000}"/>
    <cellStyle name="20% - Accent6 3 3 2 2" xfId="1706" xr:uid="{00000000-0005-0000-0000-0000432E0000}"/>
    <cellStyle name="20% - Accent6 3 3 2 2 2" xfId="2765" xr:uid="{00000000-0005-0000-0000-0000442E0000}"/>
    <cellStyle name="20% - Accent6 3 3 2 2 2 2" xfId="5869" xr:uid="{00000000-0005-0000-0000-0000452E0000}"/>
    <cellStyle name="20% - Accent6 3 3 2 2 2 2 2" xfId="13141" xr:uid="{00000000-0005-0000-0000-0000462E0000}"/>
    <cellStyle name="20% - Accent6 3 3 2 2 2 2 2 2" xfId="27675" xr:uid="{00000000-0005-0000-0000-0000472E0000}"/>
    <cellStyle name="20% - Accent6 3 3 2 2 2 2 2 2 2" xfId="56681" xr:uid="{00000000-0005-0000-0000-0000482E0000}"/>
    <cellStyle name="20% - Accent6 3 3 2 2 2 2 2 3" xfId="42182" xr:uid="{00000000-0005-0000-0000-0000492E0000}"/>
    <cellStyle name="20% - Accent6 3 3 2 2 2 2 3" xfId="20427" xr:uid="{00000000-0005-0000-0000-00004A2E0000}"/>
    <cellStyle name="20% - Accent6 3 3 2 2 2 2 3 2" xfId="49433" xr:uid="{00000000-0005-0000-0000-00004B2E0000}"/>
    <cellStyle name="20% - Accent6 3 3 2 2 2 2 4" xfId="34934" xr:uid="{00000000-0005-0000-0000-00004C2E0000}"/>
    <cellStyle name="20% - Accent6 3 3 2 2 2 3" xfId="10037" xr:uid="{00000000-0005-0000-0000-00004D2E0000}"/>
    <cellStyle name="20% - Accent6 3 3 2 2 2 3 2" xfId="24571" xr:uid="{00000000-0005-0000-0000-00004E2E0000}"/>
    <cellStyle name="20% - Accent6 3 3 2 2 2 3 2 2" xfId="53577" xr:uid="{00000000-0005-0000-0000-00004F2E0000}"/>
    <cellStyle name="20% - Accent6 3 3 2 2 2 3 3" xfId="39078" xr:uid="{00000000-0005-0000-0000-0000502E0000}"/>
    <cellStyle name="20% - Accent6 3 3 2 2 2 4" xfId="17323" xr:uid="{00000000-0005-0000-0000-0000512E0000}"/>
    <cellStyle name="20% - Accent6 3 3 2 2 2 4 2" xfId="46329" xr:uid="{00000000-0005-0000-0000-0000522E0000}"/>
    <cellStyle name="20% - Accent6 3 3 2 2 2 5" xfId="31830" xr:uid="{00000000-0005-0000-0000-0000532E0000}"/>
    <cellStyle name="20% - Accent6 3 3 2 2 3" xfId="3797" xr:uid="{00000000-0005-0000-0000-0000542E0000}"/>
    <cellStyle name="20% - Accent6 3 3 2 2 3 2" xfId="6901" xr:uid="{00000000-0005-0000-0000-0000552E0000}"/>
    <cellStyle name="20% - Accent6 3 3 2 2 3 2 2" xfId="14173" xr:uid="{00000000-0005-0000-0000-0000562E0000}"/>
    <cellStyle name="20% - Accent6 3 3 2 2 3 2 2 2" xfId="28707" xr:uid="{00000000-0005-0000-0000-0000572E0000}"/>
    <cellStyle name="20% - Accent6 3 3 2 2 3 2 2 2 2" xfId="57713" xr:uid="{00000000-0005-0000-0000-0000582E0000}"/>
    <cellStyle name="20% - Accent6 3 3 2 2 3 2 2 3" xfId="43214" xr:uid="{00000000-0005-0000-0000-0000592E0000}"/>
    <cellStyle name="20% - Accent6 3 3 2 2 3 2 3" xfId="21459" xr:uid="{00000000-0005-0000-0000-00005A2E0000}"/>
    <cellStyle name="20% - Accent6 3 3 2 2 3 2 3 2" xfId="50465" xr:uid="{00000000-0005-0000-0000-00005B2E0000}"/>
    <cellStyle name="20% - Accent6 3 3 2 2 3 2 4" xfId="35966" xr:uid="{00000000-0005-0000-0000-00005C2E0000}"/>
    <cellStyle name="20% - Accent6 3 3 2 2 3 3" xfId="11069" xr:uid="{00000000-0005-0000-0000-00005D2E0000}"/>
    <cellStyle name="20% - Accent6 3 3 2 2 3 3 2" xfId="25603" xr:uid="{00000000-0005-0000-0000-00005E2E0000}"/>
    <cellStyle name="20% - Accent6 3 3 2 2 3 3 2 2" xfId="54609" xr:uid="{00000000-0005-0000-0000-00005F2E0000}"/>
    <cellStyle name="20% - Accent6 3 3 2 2 3 3 3" xfId="40110" xr:uid="{00000000-0005-0000-0000-0000602E0000}"/>
    <cellStyle name="20% - Accent6 3 3 2 2 3 4" xfId="18355" xr:uid="{00000000-0005-0000-0000-0000612E0000}"/>
    <cellStyle name="20% - Accent6 3 3 2 2 3 4 2" xfId="47361" xr:uid="{00000000-0005-0000-0000-0000622E0000}"/>
    <cellStyle name="20% - Accent6 3 3 2 2 3 5" xfId="32862" xr:uid="{00000000-0005-0000-0000-0000632E0000}"/>
    <cellStyle name="20% - Accent6 3 3 2 2 4" xfId="4829" xr:uid="{00000000-0005-0000-0000-0000642E0000}"/>
    <cellStyle name="20% - Accent6 3 3 2 2 4 2" xfId="12101" xr:uid="{00000000-0005-0000-0000-0000652E0000}"/>
    <cellStyle name="20% - Accent6 3 3 2 2 4 2 2" xfId="26635" xr:uid="{00000000-0005-0000-0000-0000662E0000}"/>
    <cellStyle name="20% - Accent6 3 3 2 2 4 2 2 2" xfId="55641" xr:uid="{00000000-0005-0000-0000-0000672E0000}"/>
    <cellStyle name="20% - Accent6 3 3 2 2 4 2 3" xfId="41142" xr:uid="{00000000-0005-0000-0000-0000682E0000}"/>
    <cellStyle name="20% - Accent6 3 3 2 2 4 3" xfId="19387" xr:uid="{00000000-0005-0000-0000-0000692E0000}"/>
    <cellStyle name="20% - Accent6 3 3 2 2 4 3 2" xfId="48393" xr:uid="{00000000-0005-0000-0000-00006A2E0000}"/>
    <cellStyle name="20% - Accent6 3 3 2 2 4 4" xfId="33894" xr:uid="{00000000-0005-0000-0000-00006B2E0000}"/>
    <cellStyle name="20% - Accent6 3 3 2 2 5" xfId="7933" xr:uid="{00000000-0005-0000-0000-00006C2E0000}"/>
    <cellStyle name="20% - Accent6 3 3 2 2 5 2" xfId="15205" xr:uid="{00000000-0005-0000-0000-00006D2E0000}"/>
    <cellStyle name="20% - Accent6 3 3 2 2 5 2 2" xfId="29739" xr:uid="{00000000-0005-0000-0000-00006E2E0000}"/>
    <cellStyle name="20% - Accent6 3 3 2 2 5 2 2 2" xfId="58745" xr:uid="{00000000-0005-0000-0000-00006F2E0000}"/>
    <cellStyle name="20% - Accent6 3 3 2 2 5 2 3" xfId="44246" xr:uid="{00000000-0005-0000-0000-0000702E0000}"/>
    <cellStyle name="20% - Accent6 3 3 2 2 5 3" xfId="22491" xr:uid="{00000000-0005-0000-0000-0000712E0000}"/>
    <cellStyle name="20% - Accent6 3 3 2 2 5 3 2" xfId="51497" xr:uid="{00000000-0005-0000-0000-0000722E0000}"/>
    <cellStyle name="20% - Accent6 3 3 2 2 5 4" xfId="36998" xr:uid="{00000000-0005-0000-0000-0000732E0000}"/>
    <cellStyle name="20% - Accent6 3 3 2 2 6" xfId="8997" xr:uid="{00000000-0005-0000-0000-0000742E0000}"/>
    <cellStyle name="20% - Accent6 3 3 2 2 6 2" xfId="23531" xr:uid="{00000000-0005-0000-0000-0000752E0000}"/>
    <cellStyle name="20% - Accent6 3 3 2 2 6 2 2" xfId="52537" xr:uid="{00000000-0005-0000-0000-0000762E0000}"/>
    <cellStyle name="20% - Accent6 3 3 2 2 6 3" xfId="38038" xr:uid="{00000000-0005-0000-0000-0000772E0000}"/>
    <cellStyle name="20% - Accent6 3 3 2 2 7" xfId="16283" xr:uid="{00000000-0005-0000-0000-0000782E0000}"/>
    <cellStyle name="20% - Accent6 3 3 2 2 7 2" xfId="45289" xr:uid="{00000000-0005-0000-0000-0000792E0000}"/>
    <cellStyle name="20% - Accent6 3 3 2 2 8" xfId="30790" xr:uid="{00000000-0005-0000-0000-00007A2E0000}"/>
    <cellStyle name="20% - Accent6 3 3 2 3" xfId="2253" xr:uid="{00000000-0005-0000-0000-00007B2E0000}"/>
    <cellStyle name="20% - Accent6 3 3 2 3 2" xfId="5357" xr:uid="{00000000-0005-0000-0000-00007C2E0000}"/>
    <cellStyle name="20% - Accent6 3 3 2 3 2 2" xfId="12629" xr:uid="{00000000-0005-0000-0000-00007D2E0000}"/>
    <cellStyle name="20% - Accent6 3 3 2 3 2 2 2" xfId="27163" xr:uid="{00000000-0005-0000-0000-00007E2E0000}"/>
    <cellStyle name="20% - Accent6 3 3 2 3 2 2 2 2" xfId="56169" xr:uid="{00000000-0005-0000-0000-00007F2E0000}"/>
    <cellStyle name="20% - Accent6 3 3 2 3 2 2 3" xfId="41670" xr:uid="{00000000-0005-0000-0000-0000802E0000}"/>
    <cellStyle name="20% - Accent6 3 3 2 3 2 3" xfId="19915" xr:uid="{00000000-0005-0000-0000-0000812E0000}"/>
    <cellStyle name="20% - Accent6 3 3 2 3 2 3 2" xfId="48921" xr:uid="{00000000-0005-0000-0000-0000822E0000}"/>
    <cellStyle name="20% - Accent6 3 3 2 3 2 4" xfId="34422" xr:uid="{00000000-0005-0000-0000-0000832E0000}"/>
    <cellStyle name="20% - Accent6 3 3 2 3 3" xfId="9525" xr:uid="{00000000-0005-0000-0000-0000842E0000}"/>
    <cellStyle name="20% - Accent6 3 3 2 3 3 2" xfId="24059" xr:uid="{00000000-0005-0000-0000-0000852E0000}"/>
    <cellStyle name="20% - Accent6 3 3 2 3 3 2 2" xfId="53065" xr:uid="{00000000-0005-0000-0000-0000862E0000}"/>
    <cellStyle name="20% - Accent6 3 3 2 3 3 3" xfId="38566" xr:uid="{00000000-0005-0000-0000-0000872E0000}"/>
    <cellStyle name="20% - Accent6 3 3 2 3 4" xfId="16811" xr:uid="{00000000-0005-0000-0000-0000882E0000}"/>
    <cellStyle name="20% - Accent6 3 3 2 3 4 2" xfId="45817" xr:uid="{00000000-0005-0000-0000-0000892E0000}"/>
    <cellStyle name="20% - Accent6 3 3 2 3 5" xfId="31318" xr:uid="{00000000-0005-0000-0000-00008A2E0000}"/>
    <cellStyle name="20% - Accent6 3 3 2 4" xfId="3285" xr:uid="{00000000-0005-0000-0000-00008B2E0000}"/>
    <cellStyle name="20% - Accent6 3 3 2 4 2" xfId="6389" xr:uid="{00000000-0005-0000-0000-00008C2E0000}"/>
    <cellStyle name="20% - Accent6 3 3 2 4 2 2" xfId="13661" xr:uid="{00000000-0005-0000-0000-00008D2E0000}"/>
    <cellStyle name="20% - Accent6 3 3 2 4 2 2 2" xfId="28195" xr:uid="{00000000-0005-0000-0000-00008E2E0000}"/>
    <cellStyle name="20% - Accent6 3 3 2 4 2 2 2 2" xfId="57201" xr:uid="{00000000-0005-0000-0000-00008F2E0000}"/>
    <cellStyle name="20% - Accent6 3 3 2 4 2 2 3" xfId="42702" xr:uid="{00000000-0005-0000-0000-0000902E0000}"/>
    <cellStyle name="20% - Accent6 3 3 2 4 2 3" xfId="20947" xr:uid="{00000000-0005-0000-0000-0000912E0000}"/>
    <cellStyle name="20% - Accent6 3 3 2 4 2 3 2" xfId="49953" xr:uid="{00000000-0005-0000-0000-0000922E0000}"/>
    <cellStyle name="20% - Accent6 3 3 2 4 2 4" xfId="35454" xr:uid="{00000000-0005-0000-0000-0000932E0000}"/>
    <cellStyle name="20% - Accent6 3 3 2 4 3" xfId="10557" xr:uid="{00000000-0005-0000-0000-0000942E0000}"/>
    <cellStyle name="20% - Accent6 3 3 2 4 3 2" xfId="25091" xr:uid="{00000000-0005-0000-0000-0000952E0000}"/>
    <cellStyle name="20% - Accent6 3 3 2 4 3 2 2" xfId="54097" xr:uid="{00000000-0005-0000-0000-0000962E0000}"/>
    <cellStyle name="20% - Accent6 3 3 2 4 3 3" xfId="39598" xr:uid="{00000000-0005-0000-0000-0000972E0000}"/>
    <cellStyle name="20% - Accent6 3 3 2 4 4" xfId="17843" xr:uid="{00000000-0005-0000-0000-0000982E0000}"/>
    <cellStyle name="20% - Accent6 3 3 2 4 4 2" xfId="46849" xr:uid="{00000000-0005-0000-0000-0000992E0000}"/>
    <cellStyle name="20% - Accent6 3 3 2 4 5" xfId="32350" xr:uid="{00000000-0005-0000-0000-00009A2E0000}"/>
    <cellStyle name="20% - Accent6 3 3 2 5" xfId="4317" xr:uid="{00000000-0005-0000-0000-00009B2E0000}"/>
    <cellStyle name="20% - Accent6 3 3 2 5 2" xfId="11589" xr:uid="{00000000-0005-0000-0000-00009C2E0000}"/>
    <cellStyle name="20% - Accent6 3 3 2 5 2 2" xfId="26123" xr:uid="{00000000-0005-0000-0000-00009D2E0000}"/>
    <cellStyle name="20% - Accent6 3 3 2 5 2 2 2" xfId="55129" xr:uid="{00000000-0005-0000-0000-00009E2E0000}"/>
    <cellStyle name="20% - Accent6 3 3 2 5 2 3" xfId="40630" xr:uid="{00000000-0005-0000-0000-00009F2E0000}"/>
    <cellStyle name="20% - Accent6 3 3 2 5 3" xfId="18875" xr:uid="{00000000-0005-0000-0000-0000A02E0000}"/>
    <cellStyle name="20% - Accent6 3 3 2 5 3 2" xfId="47881" xr:uid="{00000000-0005-0000-0000-0000A12E0000}"/>
    <cellStyle name="20% - Accent6 3 3 2 5 4" xfId="33382" xr:uid="{00000000-0005-0000-0000-0000A22E0000}"/>
    <cellStyle name="20% - Accent6 3 3 2 6" xfId="7421" xr:uid="{00000000-0005-0000-0000-0000A32E0000}"/>
    <cellStyle name="20% - Accent6 3 3 2 6 2" xfId="14693" xr:uid="{00000000-0005-0000-0000-0000A42E0000}"/>
    <cellStyle name="20% - Accent6 3 3 2 6 2 2" xfId="29227" xr:uid="{00000000-0005-0000-0000-0000A52E0000}"/>
    <cellStyle name="20% - Accent6 3 3 2 6 2 2 2" xfId="58233" xr:uid="{00000000-0005-0000-0000-0000A62E0000}"/>
    <cellStyle name="20% - Accent6 3 3 2 6 2 3" xfId="43734" xr:uid="{00000000-0005-0000-0000-0000A72E0000}"/>
    <cellStyle name="20% - Accent6 3 3 2 6 3" xfId="21979" xr:uid="{00000000-0005-0000-0000-0000A82E0000}"/>
    <cellStyle name="20% - Accent6 3 3 2 6 3 2" xfId="50985" xr:uid="{00000000-0005-0000-0000-0000A92E0000}"/>
    <cellStyle name="20% - Accent6 3 3 2 6 4" xfId="36486" xr:uid="{00000000-0005-0000-0000-0000AA2E0000}"/>
    <cellStyle name="20% - Accent6 3 3 2 7" xfId="8485" xr:uid="{00000000-0005-0000-0000-0000AB2E0000}"/>
    <cellStyle name="20% - Accent6 3 3 2 7 2" xfId="23019" xr:uid="{00000000-0005-0000-0000-0000AC2E0000}"/>
    <cellStyle name="20% - Accent6 3 3 2 7 2 2" xfId="52025" xr:uid="{00000000-0005-0000-0000-0000AD2E0000}"/>
    <cellStyle name="20% - Accent6 3 3 2 7 3" xfId="37526" xr:uid="{00000000-0005-0000-0000-0000AE2E0000}"/>
    <cellStyle name="20% - Accent6 3 3 2 8" xfId="15771" xr:uid="{00000000-0005-0000-0000-0000AF2E0000}"/>
    <cellStyle name="20% - Accent6 3 3 2 8 2" xfId="44777" xr:uid="{00000000-0005-0000-0000-0000B02E0000}"/>
    <cellStyle name="20% - Accent6 3 3 2 9" xfId="30278" xr:uid="{00000000-0005-0000-0000-0000B12E0000}"/>
    <cellStyle name="20% - Accent6 3 3 3" xfId="1401" xr:uid="{00000000-0005-0000-0000-0000B22E0000}"/>
    <cellStyle name="20% - Accent6 3 3 3 2" xfId="2459" xr:uid="{00000000-0005-0000-0000-0000B32E0000}"/>
    <cellStyle name="20% - Accent6 3 3 3 2 2" xfId="5563" xr:uid="{00000000-0005-0000-0000-0000B42E0000}"/>
    <cellStyle name="20% - Accent6 3 3 3 2 2 2" xfId="12835" xr:uid="{00000000-0005-0000-0000-0000B52E0000}"/>
    <cellStyle name="20% - Accent6 3 3 3 2 2 2 2" xfId="27369" xr:uid="{00000000-0005-0000-0000-0000B62E0000}"/>
    <cellStyle name="20% - Accent6 3 3 3 2 2 2 2 2" xfId="56375" xr:uid="{00000000-0005-0000-0000-0000B72E0000}"/>
    <cellStyle name="20% - Accent6 3 3 3 2 2 2 3" xfId="41876" xr:uid="{00000000-0005-0000-0000-0000B82E0000}"/>
    <cellStyle name="20% - Accent6 3 3 3 2 2 3" xfId="20121" xr:uid="{00000000-0005-0000-0000-0000B92E0000}"/>
    <cellStyle name="20% - Accent6 3 3 3 2 2 3 2" xfId="49127" xr:uid="{00000000-0005-0000-0000-0000BA2E0000}"/>
    <cellStyle name="20% - Accent6 3 3 3 2 2 4" xfId="34628" xr:uid="{00000000-0005-0000-0000-0000BB2E0000}"/>
    <cellStyle name="20% - Accent6 3 3 3 2 3" xfId="9731" xr:uid="{00000000-0005-0000-0000-0000BC2E0000}"/>
    <cellStyle name="20% - Accent6 3 3 3 2 3 2" xfId="24265" xr:uid="{00000000-0005-0000-0000-0000BD2E0000}"/>
    <cellStyle name="20% - Accent6 3 3 3 2 3 2 2" xfId="53271" xr:uid="{00000000-0005-0000-0000-0000BE2E0000}"/>
    <cellStyle name="20% - Accent6 3 3 3 2 3 3" xfId="38772" xr:uid="{00000000-0005-0000-0000-0000BF2E0000}"/>
    <cellStyle name="20% - Accent6 3 3 3 2 4" xfId="17017" xr:uid="{00000000-0005-0000-0000-0000C02E0000}"/>
    <cellStyle name="20% - Accent6 3 3 3 2 4 2" xfId="46023" xr:uid="{00000000-0005-0000-0000-0000C12E0000}"/>
    <cellStyle name="20% - Accent6 3 3 3 2 5" xfId="31524" xr:uid="{00000000-0005-0000-0000-0000C22E0000}"/>
    <cellStyle name="20% - Accent6 3 3 3 3" xfId="3491" xr:uid="{00000000-0005-0000-0000-0000C32E0000}"/>
    <cellStyle name="20% - Accent6 3 3 3 3 2" xfId="6595" xr:uid="{00000000-0005-0000-0000-0000C42E0000}"/>
    <cellStyle name="20% - Accent6 3 3 3 3 2 2" xfId="13867" xr:uid="{00000000-0005-0000-0000-0000C52E0000}"/>
    <cellStyle name="20% - Accent6 3 3 3 3 2 2 2" xfId="28401" xr:uid="{00000000-0005-0000-0000-0000C62E0000}"/>
    <cellStyle name="20% - Accent6 3 3 3 3 2 2 2 2" xfId="57407" xr:uid="{00000000-0005-0000-0000-0000C72E0000}"/>
    <cellStyle name="20% - Accent6 3 3 3 3 2 2 3" xfId="42908" xr:uid="{00000000-0005-0000-0000-0000C82E0000}"/>
    <cellStyle name="20% - Accent6 3 3 3 3 2 3" xfId="21153" xr:uid="{00000000-0005-0000-0000-0000C92E0000}"/>
    <cellStyle name="20% - Accent6 3 3 3 3 2 3 2" xfId="50159" xr:uid="{00000000-0005-0000-0000-0000CA2E0000}"/>
    <cellStyle name="20% - Accent6 3 3 3 3 2 4" xfId="35660" xr:uid="{00000000-0005-0000-0000-0000CB2E0000}"/>
    <cellStyle name="20% - Accent6 3 3 3 3 3" xfId="10763" xr:uid="{00000000-0005-0000-0000-0000CC2E0000}"/>
    <cellStyle name="20% - Accent6 3 3 3 3 3 2" xfId="25297" xr:uid="{00000000-0005-0000-0000-0000CD2E0000}"/>
    <cellStyle name="20% - Accent6 3 3 3 3 3 2 2" xfId="54303" xr:uid="{00000000-0005-0000-0000-0000CE2E0000}"/>
    <cellStyle name="20% - Accent6 3 3 3 3 3 3" xfId="39804" xr:uid="{00000000-0005-0000-0000-0000CF2E0000}"/>
    <cellStyle name="20% - Accent6 3 3 3 3 4" xfId="18049" xr:uid="{00000000-0005-0000-0000-0000D02E0000}"/>
    <cellStyle name="20% - Accent6 3 3 3 3 4 2" xfId="47055" xr:uid="{00000000-0005-0000-0000-0000D12E0000}"/>
    <cellStyle name="20% - Accent6 3 3 3 3 5" xfId="32556" xr:uid="{00000000-0005-0000-0000-0000D22E0000}"/>
    <cellStyle name="20% - Accent6 3 3 3 4" xfId="4523" xr:uid="{00000000-0005-0000-0000-0000D32E0000}"/>
    <cellStyle name="20% - Accent6 3 3 3 4 2" xfId="11795" xr:uid="{00000000-0005-0000-0000-0000D42E0000}"/>
    <cellStyle name="20% - Accent6 3 3 3 4 2 2" xfId="26329" xr:uid="{00000000-0005-0000-0000-0000D52E0000}"/>
    <cellStyle name="20% - Accent6 3 3 3 4 2 2 2" xfId="55335" xr:uid="{00000000-0005-0000-0000-0000D62E0000}"/>
    <cellStyle name="20% - Accent6 3 3 3 4 2 3" xfId="40836" xr:uid="{00000000-0005-0000-0000-0000D72E0000}"/>
    <cellStyle name="20% - Accent6 3 3 3 4 3" xfId="19081" xr:uid="{00000000-0005-0000-0000-0000D82E0000}"/>
    <cellStyle name="20% - Accent6 3 3 3 4 3 2" xfId="48087" xr:uid="{00000000-0005-0000-0000-0000D92E0000}"/>
    <cellStyle name="20% - Accent6 3 3 3 4 4" xfId="33588" xr:uid="{00000000-0005-0000-0000-0000DA2E0000}"/>
    <cellStyle name="20% - Accent6 3 3 3 5" xfId="7627" xr:uid="{00000000-0005-0000-0000-0000DB2E0000}"/>
    <cellStyle name="20% - Accent6 3 3 3 5 2" xfId="14899" xr:uid="{00000000-0005-0000-0000-0000DC2E0000}"/>
    <cellStyle name="20% - Accent6 3 3 3 5 2 2" xfId="29433" xr:uid="{00000000-0005-0000-0000-0000DD2E0000}"/>
    <cellStyle name="20% - Accent6 3 3 3 5 2 2 2" xfId="58439" xr:uid="{00000000-0005-0000-0000-0000DE2E0000}"/>
    <cellStyle name="20% - Accent6 3 3 3 5 2 3" xfId="43940" xr:uid="{00000000-0005-0000-0000-0000DF2E0000}"/>
    <cellStyle name="20% - Accent6 3 3 3 5 3" xfId="22185" xr:uid="{00000000-0005-0000-0000-0000E02E0000}"/>
    <cellStyle name="20% - Accent6 3 3 3 5 3 2" xfId="51191" xr:uid="{00000000-0005-0000-0000-0000E12E0000}"/>
    <cellStyle name="20% - Accent6 3 3 3 5 4" xfId="36692" xr:uid="{00000000-0005-0000-0000-0000E22E0000}"/>
    <cellStyle name="20% - Accent6 3 3 3 6" xfId="8691" xr:uid="{00000000-0005-0000-0000-0000E32E0000}"/>
    <cellStyle name="20% - Accent6 3 3 3 6 2" xfId="23225" xr:uid="{00000000-0005-0000-0000-0000E42E0000}"/>
    <cellStyle name="20% - Accent6 3 3 3 6 2 2" xfId="52231" xr:uid="{00000000-0005-0000-0000-0000E52E0000}"/>
    <cellStyle name="20% - Accent6 3 3 3 6 3" xfId="37732" xr:uid="{00000000-0005-0000-0000-0000E62E0000}"/>
    <cellStyle name="20% - Accent6 3 3 3 7" xfId="15977" xr:uid="{00000000-0005-0000-0000-0000E72E0000}"/>
    <cellStyle name="20% - Accent6 3 3 3 7 2" xfId="44983" xr:uid="{00000000-0005-0000-0000-0000E82E0000}"/>
    <cellStyle name="20% - Accent6 3 3 3 8" xfId="30484" xr:uid="{00000000-0005-0000-0000-0000E92E0000}"/>
    <cellStyle name="20% - Accent6 3 3 4" xfId="1947" xr:uid="{00000000-0005-0000-0000-0000EA2E0000}"/>
    <cellStyle name="20% - Accent6 3 3 4 2" xfId="5051" xr:uid="{00000000-0005-0000-0000-0000EB2E0000}"/>
    <cellStyle name="20% - Accent6 3 3 4 2 2" xfId="12323" xr:uid="{00000000-0005-0000-0000-0000EC2E0000}"/>
    <cellStyle name="20% - Accent6 3 3 4 2 2 2" xfId="26857" xr:uid="{00000000-0005-0000-0000-0000ED2E0000}"/>
    <cellStyle name="20% - Accent6 3 3 4 2 2 2 2" xfId="55863" xr:uid="{00000000-0005-0000-0000-0000EE2E0000}"/>
    <cellStyle name="20% - Accent6 3 3 4 2 2 3" xfId="41364" xr:uid="{00000000-0005-0000-0000-0000EF2E0000}"/>
    <cellStyle name="20% - Accent6 3 3 4 2 3" xfId="19609" xr:uid="{00000000-0005-0000-0000-0000F02E0000}"/>
    <cellStyle name="20% - Accent6 3 3 4 2 3 2" xfId="48615" xr:uid="{00000000-0005-0000-0000-0000F12E0000}"/>
    <cellStyle name="20% - Accent6 3 3 4 2 4" xfId="34116" xr:uid="{00000000-0005-0000-0000-0000F22E0000}"/>
    <cellStyle name="20% - Accent6 3 3 4 3" xfId="9219" xr:uid="{00000000-0005-0000-0000-0000F32E0000}"/>
    <cellStyle name="20% - Accent6 3 3 4 3 2" xfId="23753" xr:uid="{00000000-0005-0000-0000-0000F42E0000}"/>
    <cellStyle name="20% - Accent6 3 3 4 3 2 2" xfId="52759" xr:uid="{00000000-0005-0000-0000-0000F52E0000}"/>
    <cellStyle name="20% - Accent6 3 3 4 3 3" xfId="38260" xr:uid="{00000000-0005-0000-0000-0000F62E0000}"/>
    <cellStyle name="20% - Accent6 3 3 4 4" xfId="16505" xr:uid="{00000000-0005-0000-0000-0000F72E0000}"/>
    <cellStyle name="20% - Accent6 3 3 4 4 2" xfId="45511" xr:uid="{00000000-0005-0000-0000-0000F82E0000}"/>
    <cellStyle name="20% - Accent6 3 3 4 5" xfId="31012" xr:uid="{00000000-0005-0000-0000-0000F92E0000}"/>
    <cellStyle name="20% - Accent6 3 3 5" xfId="2979" xr:uid="{00000000-0005-0000-0000-0000FA2E0000}"/>
    <cellStyle name="20% - Accent6 3 3 5 2" xfId="6083" xr:uid="{00000000-0005-0000-0000-0000FB2E0000}"/>
    <cellStyle name="20% - Accent6 3 3 5 2 2" xfId="13355" xr:uid="{00000000-0005-0000-0000-0000FC2E0000}"/>
    <cellStyle name="20% - Accent6 3 3 5 2 2 2" xfId="27889" xr:uid="{00000000-0005-0000-0000-0000FD2E0000}"/>
    <cellStyle name="20% - Accent6 3 3 5 2 2 2 2" xfId="56895" xr:uid="{00000000-0005-0000-0000-0000FE2E0000}"/>
    <cellStyle name="20% - Accent6 3 3 5 2 2 3" xfId="42396" xr:uid="{00000000-0005-0000-0000-0000FF2E0000}"/>
    <cellStyle name="20% - Accent6 3 3 5 2 3" xfId="20641" xr:uid="{00000000-0005-0000-0000-0000002F0000}"/>
    <cellStyle name="20% - Accent6 3 3 5 2 3 2" xfId="49647" xr:uid="{00000000-0005-0000-0000-0000012F0000}"/>
    <cellStyle name="20% - Accent6 3 3 5 2 4" xfId="35148" xr:uid="{00000000-0005-0000-0000-0000022F0000}"/>
    <cellStyle name="20% - Accent6 3 3 5 3" xfId="10251" xr:uid="{00000000-0005-0000-0000-0000032F0000}"/>
    <cellStyle name="20% - Accent6 3 3 5 3 2" xfId="24785" xr:uid="{00000000-0005-0000-0000-0000042F0000}"/>
    <cellStyle name="20% - Accent6 3 3 5 3 2 2" xfId="53791" xr:uid="{00000000-0005-0000-0000-0000052F0000}"/>
    <cellStyle name="20% - Accent6 3 3 5 3 3" xfId="39292" xr:uid="{00000000-0005-0000-0000-0000062F0000}"/>
    <cellStyle name="20% - Accent6 3 3 5 4" xfId="17537" xr:uid="{00000000-0005-0000-0000-0000072F0000}"/>
    <cellStyle name="20% - Accent6 3 3 5 4 2" xfId="46543" xr:uid="{00000000-0005-0000-0000-0000082F0000}"/>
    <cellStyle name="20% - Accent6 3 3 5 5" xfId="32044" xr:uid="{00000000-0005-0000-0000-0000092F0000}"/>
    <cellStyle name="20% - Accent6 3 3 6" xfId="4011" xr:uid="{00000000-0005-0000-0000-00000A2F0000}"/>
    <cellStyle name="20% - Accent6 3 3 6 2" xfId="11283" xr:uid="{00000000-0005-0000-0000-00000B2F0000}"/>
    <cellStyle name="20% - Accent6 3 3 6 2 2" xfId="25817" xr:uid="{00000000-0005-0000-0000-00000C2F0000}"/>
    <cellStyle name="20% - Accent6 3 3 6 2 2 2" xfId="54823" xr:uid="{00000000-0005-0000-0000-00000D2F0000}"/>
    <cellStyle name="20% - Accent6 3 3 6 2 3" xfId="40324" xr:uid="{00000000-0005-0000-0000-00000E2F0000}"/>
    <cellStyle name="20% - Accent6 3 3 6 3" xfId="18569" xr:uid="{00000000-0005-0000-0000-00000F2F0000}"/>
    <cellStyle name="20% - Accent6 3 3 6 3 2" xfId="47575" xr:uid="{00000000-0005-0000-0000-0000102F0000}"/>
    <cellStyle name="20% - Accent6 3 3 6 4" xfId="33076" xr:uid="{00000000-0005-0000-0000-0000112F0000}"/>
    <cellStyle name="20% - Accent6 3 3 7" xfId="7115" xr:uid="{00000000-0005-0000-0000-0000122F0000}"/>
    <cellStyle name="20% - Accent6 3 3 7 2" xfId="14387" xr:uid="{00000000-0005-0000-0000-0000132F0000}"/>
    <cellStyle name="20% - Accent6 3 3 7 2 2" xfId="28921" xr:uid="{00000000-0005-0000-0000-0000142F0000}"/>
    <cellStyle name="20% - Accent6 3 3 7 2 2 2" xfId="57927" xr:uid="{00000000-0005-0000-0000-0000152F0000}"/>
    <cellStyle name="20% - Accent6 3 3 7 2 3" xfId="43428" xr:uid="{00000000-0005-0000-0000-0000162F0000}"/>
    <cellStyle name="20% - Accent6 3 3 7 3" xfId="21673" xr:uid="{00000000-0005-0000-0000-0000172F0000}"/>
    <cellStyle name="20% - Accent6 3 3 7 3 2" xfId="50679" xr:uid="{00000000-0005-0000-0000-0000182F0000}"/>
    <cellStyle name="20% - Accent6 3 3 7 4" xfId="36180" xr:uid="{00000000-0005-0000-0000-0000192F0000}"/>
    <cellStyle name="20% - Accent6 3 3 8" xfId="8179" xr:uid="{00000000-0005-0000-0000-00001A2F0000}"/>
    <cellStyle name="20% - Accent6 3 3 8 2" xfId="22713" xr:uid="{00000000-0005-0000-0000-00001B2F0000}"/>
    <cellStyle name="20% - Accent6 3 3 8 2 2" xfId="51719" xr:uid="{00000000-0005-0000-0000-00001C2F0000}"/>
    <cellStyle name="20% - Accent6 3 3 8 3" xfId="37220" xr:uid="{00000000-0005-0000-0000-00001D2F0000}"/>
    <cellStyle name="20% - Accent6 3 3 9" xfId="15465" xr:uid="{00000000-0005-0000-0000-00001E2F0000}"/>
    <cellStyle name="20% - Accent6 3 3 9 2" xfId="44471" xr:uid="{00000000-0005-0000-0000-00001F2F0000}"/>
    <cellStyle name="20% - Accent6 3 4" xfId="1106" xr:uid="{00000000-0005-0000-0000-0000202F0000}"/>
    <cellStyle name="20% - Accent6 3 4 2" xfId="1603" xr:uid="{00000000-0005-0000-0000-0000212F0000}"/>
    <cellStyle name="20% - Accent6 3 4 2 2" xfId="2662" xr:uid="{00000000-0005-0000-0000-0000222F0000}"/>
    <cellStyle name="20% - Accent6 3 4 2 2 2" xfId="5766" xr:uid="{00000000-0005-0000-0000-0000232F0000}"/>
    <cellStyle name="20% - Accent6 3 4 2 2 2 2" xfId="13038" xr:uid="{00000000-0005-0000-0000-0000242F0000}"/>
    <cellStyle name="20% - Accent6 3 4 2 2 2 2 2" xfId="27572" xr:uid="{00000000-0005-0000-0000-0000252F0000}"/>
    <cellStyle name="20% - Accent6 3 4 2 2 2 2 2 2" xfId="56578" xr:uid="{00000000-0005-0000-0000-0000262F0000}"/>
    <cellStyle name="20% - Accent6 3 4 2 2 2 2 3" xfId="42079" xr:uid="{00000000-0005-0000-0000-0000272F0000}"/>
    <cellStyle name="20% - Accent6 3 4 2 2 2 3" xfId="20324" xr:uid="{00000000-0005-0000-0000-0000282F0000}"/>
    <cellStyle name="20% - Accent6 3 4 2 2 2 3 2" xfId="49330" xr:uid="{00000000-0005-0000-0000-0000292F0000}"/>
    <cellStyle name="20% - Accent6 3 4 2 2 2 4" xfId="34831" xr:uid="{00000000-0005-0000-0000-00002A2F0000}"/>
    <cellStyle name="20% - Accent6 3 4 2 2 3" xfId="9934" xr:uid="{00000000-0005-0000-0000-00002B2F0000}"/>
    <cellStyle name="20% - Accent6 3 4 2 2 3 2" xfId="24468" xr:uid="{00000000-0005-0000-0000-00002C2F0000}"/>
    <cellStyle name="20% - Accent6 3 4 2 2 3 2 2" xfId="53474" xr:uid="{00000000-0005-0000-0000-00002D2F0000}"/>
    <cellStyle name="20% - Accent6 3 4 2 2 3 3" xfId="38975" xr:uid="{00000000-0005-0000-0000-00002E2F0000}"/>
    <cellStyle name="20% - Accent6 3 4 2 2 4" xfId="17220" xr:uid="{00000000-0005-0000-0000-00002F2F0000}"/>
    <cellStyle name="20% - Accent6 3 4 2 2 4 2" xfId="46226" xr:uid="{00000000-0005-0000-0000-0000302F0000}"/>
    <cellStyle name="20% - Accent6 3 4 2 2 5" xfId="31727" xr:uid="{00000000-0005-0000-0000-0000312F0000}"/>
    <cellStyle name="20% - Accent6 3 4 2 3" xfId="3694" xr:uid="{00000000-0005-0000-0000-0000322F0000}"/>
    <cellStyle name="20% - Accent6 3 4 2 3 2" xfId="6798" xr:uid="{00000000-0005-0000-0000-0000332F0000}"/>
    <cellStyle name="20% - Accent6 3 4 2 3 2 2" xfId="14070" xr:uid="{00000000-0005-0000-0000-0000342F0000}"/>
    <cellStyle name="20% - Accent6 3 4 2 3 2 2 2" xfId="28604" xr:uid="{00000000-0005-0000-0000-0000352F0000}"/>
    <cellStyle name="20% - Accent6 3 4 2 3 2 2 2 2" xfId="57610" xr:uid="{00000000-0005-0000-0000-0000362F0000}"/>
    <cellStyle name="20% - Accent6 3 4 2 3 2 2 3" xfId="43111" xr:uid="{00000000-0005-0000-0000-0000372F0000}"/>
    <cellStyle name="20% - Accent6 3 4 2 3 2 3" xfId="21356" xr:uid="{00000000-0005-0000-0000-0000382F0000}"/>
    <cellStyle name="20% - Accent6 3 4 2 3 2 3 2" xfId="50362" xr:uid="{00000000-0005-0000-0000-0000392F0000}"/>
    <cellStyle name="20% - Accent6 3 4 2 3 2 4" xfId="35863" xr:uid="{00000000-0005-0000-0000-00003A2F0000}"/>
    <cellStyle name="20% - Accent6 3 4 2 3 3" xfId="10966" xr:uid="{00000000-0005-0000-0000-00003B2F0000}"/>
    <cellStyle name="20% - Accent6 3 4 2 3 3 2" xfId="25500" xr:uid="{00000000-0005-0000-0000-00003C2F0000}"/>
    <cellStyle name="20% - Accent6 3 4 2 3 3 2 2" xfId="54506" xr:uid="{00000000-0005-0000-0000-00003D2F0000}"/>
    <cellStyle name="20% - Accent6 3 4 2 3 3 3" xfId="40007" xr:uid="{00000000-0005-0000-0000-00003E2F0000}"/>
    <cellStyle name="20% - Accent6 3 4 2 3 4" xfId="18252" xr:uid="{00000000-0005-0000-0000-00003F2F0000}"/>
    <cellStyle name="20% - Accent6 3 4 2 3 4 2" xfId="47258" xr:uid="{00000000-0005-0000-0000-0000402F0000}"/>
    <cellStyle name="20% - Accent6 3 4 2 3 5" xfId="32759" xr:uid="{00000000-0005-0000-0000-0000412F0000}"/>
    <cellStyle name="20% - Accent6 3 4 2 4" xfId="4726" xr:uid="{00000000-0005-0000-0000-0000422F0000}"/>
    <cellStyle name="20% - Accent6 3 4 2 4 2" xfId="11998" xr:uid="{00000000-0005-0000-0000-0000432F0000}"/>
    <cellStyle name="20% - Accent6 3 4 2 4 2 2" xfId="26532" xr:uid="{00000000-0005-0000-0000-0000442F0000}"/>
    <cellStyle name="20% - Accent6 3 4 2 4 2 2 2" xfId="55538" xr:uid="{00000000-0005-0000-0000-0000452F0000}"/>
    <cellStyle name="20% - Accent6 3 4 2 4 2 3" xfId="41039" xr:uid="{00000000-0005-0000-0000-0000462F0000}"/>
    <cellStyle name="20% - Accent6 3 4 2 4 3" xfId="19284" xr:uid="{00000000-0005-0000-0000-0000472F0000}"/>
    <cellStyle name="20% - Accent6 3 4 2 4 3 2" xfId="48290" xr:uid="{00000000-0005-0000-0000-0000482F0000}"/>
    <cellStyle name="20% - Accent6 3 4 2 4 4" xfId="33791" xr:uid="{00000000-0005-0000-0000-0000492F0000}"/>
    <cellStyle name="20% - Accent6 3 4 2 5" xfId="7830" xr:uid="{00000000-0005-0000-0000-00004A2F0000}"/>
    <cellStyle name="20% - Accent6 3 4 2 5 2" xfId="15102" xr:uid="{00000000-0005-0000-0000-00004B2F0000}"/>
    <cellStyle name="20% - Accent6 3 4 2 5 2 2" xfId="29636" xr:uid="{00000000-0005-0000-0000-00004C2F0000}"/>
    <cellStyle name="20% - Accent6 3 4 2 5 2 2 2" xfId="58642" xr:uid="{00000000-0005-0000-0000-00004D2F0000}"/>
    <cellStyle name="20% - Accent6 3 4 2 5 2 3" xfId="44143" xr:uid="{00000000-0005-0000-0000-00004E2F0000}"/>
    <cellStyle name="20% - Accent6 3 4 2 5 3" xfId="22388" xr:uid="{00000000-0005-0000-0000-00004F2F0000}"/>
    <cellStyle name="20% - Accent6 3 4 2 5 3 2" xfId="51394" xr:uid="{00000000-0005-0000-0000-0000502F0000}"/>
    <cellStyle name="20% - Accent6 3 4 2 5 4" xfId="36895" xr:uid="{00000000-0005-0000-0000-0000512F0000}"/>
    <cellStyle name="20% - Accent6 3 4 2 6" xfId="8894" xr:uid="{00000000-0005-0000-0000-0000522F0000}"/>
    <cellStyle name="20% - Accent6 3 4 2 6 2" xfId="23428" xr:uid="{00000000-0005-0000-0000-0000532F0000}"/>
    <cellStyle name="20% - Accent6 3 4 2 6 2 2" xfId="52434" xr:uid="{00000000-0005-0000-0000-0000542F0000}"/>
    <cellStyle name="20% - Accent6 3 4 2 6 3" xfId="37935" xr:uid="{00000000-0005-0000-0000-0000552F0000}"/>
    <cellStyle name="20% - Accent6 3 4 2 7" xfId="16180" xr:uid="{00000000-0005-0000-0000-0000562F0000}"/>
    <cellStyle name="20% - Accent6 3 4 2 7 2" xfId="45186" xr:uid="{00000000-0005-0000-0000-0000572F0000}"/>
    <cellStyle name="20% - Accent6 3 4 2 8" xfId="30687" xr:uid="{00000000-0005-0000-0000-0000582F0000}"/>
    <cellStyle name="20% - Accent6 3 4 3" xfId="2150" xr:uid="{00000000-0005-0000-0000-0000592F0000}"/>
    <cellStyle name="20% - Accent6 3 4 3 2" xfId="5254" xr:uid="{00000000-0005-0000-0000-00005A2F0000}"/>
    <cellStyle name="20% - Accent6 3 4 3 2 2" xfId="12526" xr:uid="{00000000-0005-0000-0000-00005B2F0000}"/>
    <cellStyle name="20% - Accent6 3 4 3 2 2 2" xfId="27060" xr:uid="{00000000-0005-0000-0000-00005C2F0000}"/>
    <cellStyle name="20% - Accent6 3 4 3 2 2 2 2" xfId="56066" xr:uid="{00000000-0005-0000-0000-00005D2F0000}"/>
    <cellStyle name="20% - Accent6 3 4 3 2 2 3" xfId="41567" xr:uid="{00000000-0005-0000-0000-00005E2F0000}"/>
    <cellStyle name="20% - Accent6 3 4 3 2 3" xfId="19812" xr:uid="{00000000-0005-0000-0000-00005F2F0000}"/>
    <cellStyle name="20% - Accent6 3 4 3 2 3 2" xfId="48818" xr:uid="{00000000-0005-0000-0000-0000602F0000}"/>
    <cellStyle name="20% - Accent6 3 4 3 2 4" xfId="34319" xr:uid="{00000000-0005-0000-0000-0000612F0000}"/>
    <cellStyle name="20% - Accent6 3 4 3 3" xfId="9422" xr:uid="{00000000-0005-0000-0000-0000622F0000}"/>
    <cellStyle name="20% - Accent6 3 4 3 3 2" xfId="23956" xr:uid="{00000000-0005-0000-0000-0000632F0000}"/>
    <cellStyle name="20% - Accent6 3 4 3 3 2 2" xfId="52962" xr:uid="{00000000-0005-0000-0000-0000642F0000}"/>
    <cellStyle name="20% - Accent6 3 4 3 3 3" xfId="38463" xr:uid="{00000000-0005-0000-0000-0000652F0000}"/>
    <cellStyle name="20% - Accent6 3 4 3 4" xfId="16708" xr:uid="{00000000-0005-0000-0000-0000662F0000}"/>
    <cellStyle name="20% - Accent6 3 4 3 4 2" xfId="45714" xr:uid="{00000000-0005-0000-0000-0000672F0000}"/>
    <cellStyle name="20% - Accent6 3 4 3 5" xfId="31215" xr:uid="{00000000-0005-0000-0000-0000682F0000}"/>
    <cellStyle name="20% - Accent6 3 4 4" xfId="3182" xr:uid="{00000000-0005-0000-0000-0000692F0000}"/>
    <cellStyle name="20% - Accent6 3 4 4 2" xfId="6286" xr:uid="{00000000-0005-0000-0000-00006A2F0000}"/>
    <cellStyle name="20% - Accent6 3 4 4 2 2" xfId="13558" xr:uid="{00000000-0005-0000-0000-00006B2F0000}"/>
    <cellStyle name="20% - Accent6 3 4 4 2 2 2" xfId="28092" xr:uid="{00000000-0005-0000-0000-00006C2F0000}"/>
    <cellStyle name="20% - Accent6 3 4 4 2 2 2 2" xfId="57098" xr:uid="{00000000-0005-0000-0000-00006D2F0000}"/>
    <cellStyle name="20% - Accent6 3 4 4 2 2 3" xfId="42599" xr:uid="{00000000-0005-0000-0000-00006E2F0000}"/>
    <cellStyle name="20% - Accent6 3 4 4 2 3" xfId="20844" xr:uid="{00000000-0005-0000-0000-00006F2F0000}"/>
    <cellStyle name="20% - Accent6 3 4 4 2 3 2" xfId="49850" xr:uid="{00000000-0005-0000-0000-0000702F0000}"/>
    <cellStyle name="20% - Accent6 3 4 4 2 4" xfId="35351" xr:uid="{00000000-0005-0000-0000-0000712F0000}"/>
    <cellStyle name="20% - Accent6 3 4 4 3" xfId="10454" xr:uid="{00000000-0005-0000-0000-0000722F0000}"/>
    <cellStyle name="20% - Accent6 3 4 4 3 2" xfId="24988" xr:uid="{00000000-0005-0000-0000-0000732F0000}"/>
    <cellStyle name="20% - Accent6 3 4 4 3 2 2" xfId="53994" xr:uid="{00000000-0005-0000-0000-0000742F0000}"/>
    <cellStyle name="20% - Accent6 3 4 4 3 3" xfId="39495" xr:uid="{00000000-0005-0000-0000-0000752F0000}"/>
    <cellStyle name="20% - Accent6 3 4 4 4" xfId="17740" xr:uid="{00000000-0005-0000-0000-0000762F0000}"/>
    <cellStyle name="20% - Accent6 3 4 4 4 2" xfId="46746" xr:uid="{00000000-0005-0000-0000-0000772F0000}"/>
    <cellStyle name="20% - Accent6 3 4 4 5" xfId="32247" xr:uid="{00000000-0005-0000-0000-0000782F0000}"/>
    <cellStyle name="20% - Accent6 3 4 5" xfId="4214" xr:uid="{00000000-0005-0000-0000-0000792F0000}"/>
    <cellStyle name="20% - Accent6 3 4 5 2" xfId="11486" xr:uid="{00000000-0005-0000-0000-00007A2F0000}"/>
    <cellStyle name="20% - Accent6 3 4 5 2 2" xfId="26020" xr:uid="{00000000-0005-0000-0000-00007B2F0000}"/>
    <cellStyle name="20% - Accent6 3 4 5 2 2 2" xfId="55026" xr:uid="{00000000-0005-0000-0000-00007C2F0000}"/>
    <cellStyle name="20% - Accent6 3 4 5 2 3" xfId="40527" xr:uid="{00000000-0005-0000-0000-00007D2F0000}"/>
    <cellStyle name="20% - Accent6 3 4 5 3" xfId="18772" xr:uid="{00000000-0005-0000-0000-00007E2F0000}"/>
    <cellStyle name="20% - Accent6 3 4 5 3 2" xfId="47778" xr:uid="{00000000-0005-0000-0000-00007F2F0000}"/>
    <cellStyle name="20% - Accent6 3 4 5 4" xfId="33279" xr:uid="{00000000-0005-0000-0000-0000802F0000}"/>
    <cellStyle name="20% - Accent6 3 4 6" xfId="7318" xr:uid="{00000000-0005-0000-0000-0000812F0000}"/>
    <cellStyle name="20% - Accent6 3 4 6 2" xfId="14590" xr:uid="{00000000-0005-0000-0000-0000822F0000}"/>
    <cellStyle name="20% - Accent6 3 4 6 2 2" xfId="29124" xr:uid="{00000000-0005-0000-0000-0000832F0000}"/>
    <cellStyle name="20% - Accent6 3 4 6 2 2 2" xfId="58130" xr:uid="{00000000-0005-0000-0000-0000842F0000}"/>
    <cellStyle name="20% - Accent6 3 4 6 2 3" xfId="43631" xr:uid="{00000000-0005-0000-0000-0000852F0000}"/>
    <cellStyle name="20% - Accent6 3 4 6 3" xfId="21876" xr:uid="{00000000-0005-0000-0000-0000862F0000}"/>
    <cellStyle name="20% - Accent6 3 4 6 3 2" xfId="50882" xr:uid="{00000000-0005-0000-0000-0000872F0000}"/>
    <cellStyle name="20% - Accent6 3 4 6 4" xfId="36383" xr:uid="{00000000-0005-0000-0000-0000882F0000}"/>
    <cellStyle name="20% - Accent6 3 4 7" xfId="8382" xr:uid="{00000000-0005-0000-0000-0000892F0000}"/>
    <cellStyle name="20% - Accent6 3 4 7 2" xfId="22916" xr:uid="{00000000-0005-0000-0000-00008A2F0000}"/>
    <cellStyle name="20% - Accent6 3 4 7 2 2" xfId="51922" xr:uid="{00000000-0005-0000-0000-00008B2F0000}"/>
    <cellStyle name="20% - Accent6 3 4 7 3" xfId="37423" xr:uid="{00000000-0005-0000-0000-00008C2F0000}"/>
    <cellStyle name="20% - Accent6 3 4 8" xfId="15668" xr:uid="{00000000-0005-0000-0000-00008D2F0000}"/>
    <cellStyle name="20% - Accent6 3 4 8 2" xfId="44674" xr:uid="{00000000-0005-0000-0000-00008E2F0000}"/>
    <cellStyle name="20% - Accent6 3 4 9" xfId="30175" xr:uid="{00000000-0005-0000-0000-00008F2F0000}"/>
    <cellStyle name="20% - Accent6 3 5" xfId="1016" xr:uid="{00000000-0005-0000-0000-0000902F0000}"/>
    <cellStyle name="20% - Accent6 3 5 2" xfId="1504" xr:uid="{00000000-0005-0000-0000-0000912F0000}"/>
    <cellStyle name="20% - Accent6 3 5 2 2" xfId="2562" xr:uid="{00000000-0005-0000-0000-0000922F0000}"/>
    <cellStyle name="20% - Accent6 3 5 2 2 2" xfId="5666" xr:uid="{00000000-0005-0000-0000-0000932F0000}"/>
    <cellStyle name="20% - Accent6 3 5 2 2 2 2" xfId="12938" xr:uid="{00000000-0005-0000-0000-0000942F0000}"/>
    <cellStyle name="20% - Accent6 3 5 2 2 2 2 2" xfId="27472" xr:uid="{00000000-0005-0000-0000-0000952F0000}"/>
    <cellStyle name="20% - Accent6 3 5 2 2 2 2 2 2" xfId="56478" xr:uid="{00000000-0005-0000-0000-0000962F0000}"/>
    <cellStyle name="20% - Accent6 3 5 2 2 2 2 3" xfId="41979" xr:uid="{00000000-0005-0000-0000-0000972F0000}"/>
    <cellStyle name="20% - Accent6 3 5 2 2 2 3" xfId="20224" xr:uid="{00000000-0005-0000-0000-0000982F0000}"/>
    <cellStyle name="20% - Accent6 3 5 2 2 2 3 2" xfId="49230" xr:uid="{00000000-0005-0000-0000-0000992F0000}"/>
    <cellStyle name="20% - Accent6 3 5 2 2 2 4" xfId="34731" xr:uid="{00000000-0005-0000-0000-00009A2F0000}"/>
    <cellStyle name="20% - Accent6 3 5 2 2 3" xfId="9834" xr:uid="{00000000-0005-0000-0000-00009B2F0000}"/>
    <cellStyle name="20% - Accent6 3 5 2 2 3 2" xfId="24368" xr:uid="{00000000-0005-0000-0000-00009C2F0000}"/>
    <cellStyle name="20% - Accent6 3 5 2 2 3 2 2" xfId="53374" xr:uid="{00000000-0005-0000-0000-00009D2F0000}"/>
    <cellStyle name="20% - Accent6 3 5 2 2 3 3" xfId="38875" xr:uid="{00000000-0005-0000-0000-00009E2F0000}"/>
    <cellStyle name="20% - Accent6 3 5 2 2 4" xfId="17120" xr:uid="{00000000-0005-0000-0000-00009F2F0000}"/>
    <cellStyle name="20% - Accent6 3 5 2 2 4 2" xfId="46126" xr:uid="{00000000-0005-0000-0000-0000A02F0000}"/>
    <cellStyle name="20% - Accent6 3 5 2 2 5" xfId="31627" xr:uid="{00000000-0005-0000-0000-0000A12F0000}"/>
    <cellStyle name="20% - Accent6 3 5 2 3" xfId="3594" xr:uid="{00000000-0005-0000-0000-0000A22F0000}"/>
    <cellStyle name="20% - Accent6 3 5 2 3 2" xfId="6698" xr:uid="{00000000-0005-0000-0000-0000A32F0000}"/>
    <cellStyle name="20% - Accent6 3 5 2 3 2 2" xfId="13970" xr:uid="{00000000-0005-0000-0000-0000A42F0000}"/>
    <cellStyle name="20% - Accent6 3 5 2 3 2 2 2" xfId="28504" xr:uid="{00000000-0005-0000-0000-0000A52F0000}"/>
    <cellStyle name="20% - Accent6 3 5 2 3 2 2 2 2" xfId="57510" xr:uid="{00000000-0005-0000-0000-0000A62F0000}"/>
    <cellStyle name="20% - Accent6 3 5 2 3 2 2 3" xfId="43011" xr:uid="{00000000-0005-0000-0000-0000A72F0000}"/>
    <cellStyle name="20% - Accent6 3 5 2 3 2 3" xfId="21256" xr:uid="{00000000-0005-0000-0000-0000A82F0000}"/>
    <cellStyle name="20% - Accent6 3 5 2 3 2 3 2" xfId="50262" xr:uid="{00000000-0005-0000-0000-0000A92F0000}"/>
    <cellStyle name="20% - Accent6 3 5 2 3 2 4" xfId="35763" xr:uid="{00000000-0005-0000-0000-0000AA2F0000}"/>
    <cellStyle name="20% - Accent6 3 5 2 3 3" xfId="10866" xr:uid="{00000000-0005-0000-0000-0000AB2F0000}"/>
    <cellStyle name="20% - Accent6 3 5 2 3 3 2" xfId="25400" xr:uid="{00000000-0005-0000-0000-0000AC2F0000}"/>
    <cellStyle name="20% - Accent6 3 5 2 3 3 2 2" xfId="54406" xr:uid="{00000000-0005-0000-0000-0000AD2F0000}"/>
    <cellStyle name="20% - Accent6 3 5 2 3 3 3" xfId="39907" xr:uid="{00000000-0005-0000-0000-0000AE2F0000}"/>
    <cellStyle name="20% - Accent6 3 5 2 3 4" xfId="18152" xr:uid="{00000000-0005-0000-0000-0000AF2F0000}"/>
    <cellStyle name="20% - Accent6 3 5 2 3 4 2" xfId="47158" xr:uid="{00000000-0005-0000-0000-0000B02F0000}"/>
    <cellStyle name="20% - Accent6 3 5 2 3 5" xfId="32659" xr:uid="{00000000-0005-0000-0000-0000B12F0000}"/>
    <cellStyle name="20% - Accent6 3 5 2 4" xfId="4626" xr:uid="{00000000-0005-0000-0000-0000B22F0000}"/>
    <cellStyle name="20% - Accent6 3 5 2 4 2" xfId="11898" xr:uid="{00000000-0005-0000-0000-0000B32F0000}"/>
    <cellStyle name="20% - Accent6 3 5 2 4 2 2" xfId="26432" xr:uid="{00000000-0005-0000-0000-0000B42F0000}"/>
    <cellStyle name="20% - Accent6 3 5 2 4 2 2 2" xfId="55438" xr:uid="{00000000-0005-0000-0000-0000B52F0000}"/>
    <cellStyle name="20% - Accent6 3 5 2 4 2 3" xfId="40939" xr:uid="{00000000-0005-0000-0000-0000B62F0000}"/>
    <cellStyle name="20% - Accent6 3 5 2 4 3" xfId="19184" xr:uid="{00000000-0005-0000-0000-0000B72F0000}"/>
    <cellStyle name="20% - Accent6 3 5 2 4 3 2" xfId="48190" xr:uid="{00000000-0005-0000-0000-0000B82F0000}"/>
    <cellStyle name="20% - Accent6 3 5 2 4 4" xfId="33691" xr:uid="{00000000-0005-0000-0000-0000B92F0000}"/>
    <cellStyle name="20% - Accent6 3 5 2 5" xfId="7730" xr:uid="{00000000-0005-0000-0000-0000BA2F0000}"/>
    <cellStyle name="20% - Accent6 3 5 2 5 2" xfId="15002" xr:uid="{00000000-0005-0000-0000-0000BB2F0000}"/>
    <cellStyle name="20% - Accent6 3 5 2 5 2 2" xfId="29536" xr:uid="{00000000-0005-0000-0000-0000BC2F0000}"/>
    <cellStyle name="20% - Accent6 3 5 2 5 2 2 2" xfId="58542" xr:uid="{00000000-0005-0000-0000-0000BD2F0000}"/>
    <cellStyle name="20% - Accent6 3 5 2 5 2 3" xfId="44043" xr:uid="{00000000-0005-0000-0000-0000BE2F0000}"/>
    <cellStyle name="20% - Accent6 3 5 2 5 3" xfId="22288" xr:uid="{00000000-0005-0000-0000-0000BF2F0000}"/>
    <cellStyle name="20% - Accent6 3 5 2 5 3 2" xfId="51294" xr:uid="{00000000-0005-0000-0000-0000C02F0000}"/>
    <cellStyle name="20% - Accent6 3 5 2 5 4" xfId="36795" xr:uid="{00000000-0005-0000-0000-0000C12F0000}"/>
    <cellStyle name="20% - Accent6 3 5 2 6" xfId="8794" xr:uid="{00000000-0005-0000-0000-0000C22F0000}"/>
    <cellStyle name="20% - Accent6 3 5 2 6 2" xfId="23328" xr:uid="{00000000-0005-0000-0000-0000C32F0000}"/>
    <cellStyle name="20% - Accent6 3 5 2 6 2 2" xfId="52334" xr:uid="{00000000-0005-0000-0000-0000C42F0000}"/>
    <cellStyle name="20% - Accent6 3 5 2 6 3" xfId="37835" xr:uid="{00000000-0005-0000-0000-0000C52F0000}"/>
    <cellStyle name="20% - Accent6 3 5 2 7" xfId="16080" xr:uid="{00000000-0005-0000-0000-0000C62F0000}"/>
    <cellStyle name="20% - Accent6 3 5 2 7 2" xfId="45086" xr:uid="{00000000-0005-0000-0000-0000C72F0000}"/>
    <cellStyle name="20% - Accent6 3 5 2 8" xfId="30587" xr:uid="{00000000-0005-0000-0000-0000C82F0000}"/>
    <cellStyle name="20% - Accent6 3 5 3" xfId="2050" xr:uid="{00000000-0005-0000-0000-0000C92F0000}"/>
    <cellStyle name="20% - Accent6 3 5 3 2" xfId="5154" xr:uid="{00000000-0005-0000-0000-0000CA2F0000}"/>
    <cellStyle name="20% - Accent6 3 5 3 2 2" xfId="12426" xr:uid="{00000000-0005-0000-0000-0000CB2F0000}"/>
    <cellStyle name="20% - Accent6 3 5 3 2 2 2" xfId="26960" xr:uid="{00000000-0005-0000-0000-0000CC2F0000}"/>
    <cellStyle name="20% - Accent6 3 5 3 2 2 2 2" xfId="55966" xr:uid="{00000000-0005-0000-0000-0000CD2F0000}"/>
    <cellStyle name="20% - Accent6 3 5 3 2 2 3" xfId="41467" xr:uid="{00000000-0005-0000-0000-0000CE2F0000}"/>
    <cellStyle name="20% - Accent6 3 5 3 2 3" xfId="19712" xr:uid="{00000000-0005-0000-0000-0000CF2F0000}"/>
    <cellStyle name="20% - Accent6 3 5 3 2 3 2" xfId="48718" xr:uid="{00000000-0005-0000-0000-0000D02F0000}"/>
    <cellStyle name="20% - Accent6 3 5 3 2 4" xfId="34219" xr:uid="{00000000-0005-0000-0000-0000D12F0000}"/>
    <cellStyle name="20% - Accent6 3 5 3 3" xfId="9322" xr:uid="{00000000-0005-0000-0000-0000D22F0000}"/>
    <cellStyle name="20% - Accent6 3 5 3 3 2" xfId="23856" xr:uid="{00000000-0005-0000-0000-0000D32F0000}"/>
    <cellStyle name="20% - Accent6 3 5 3 3 2 2" xfId="52862" xr:uid="{00000000-0005-0000-0000-0000D42F0000}"/>
    <cellStyle name="20% - Accent6 3 5 3 3 3" xfId="38363" xr:uid="{00000000-0005-0000-0000-0000D52F0000}"/>
    <cellStyle name="20% - Accent6 3 5 3 4" xfId="16608" xr:uid="{00000000-0005-0000-0000-0000D62F0000}"/>
    <cellStyle name="20% - Accent6 3 5 3 4 2" xfId="45614" xr:uid="{00000000-0005-0000-0000-0000D72F0000}"/>
    <cellStyle name="20% - Accent6 3 5 3 5" xfId="31115" xr:uid="{00000000-0005-0000-0000-0000D82F0000}"/>
    <cellStyle name="20% - Accent6 3 5 4" xfId="3082" xr:uid="{00000000-0005-0000-0000-0000D92F0000}"/>
    <cellStyle name="20% - Accent6 3 5 4 2" xfId="6186" xr:uid="{00000000-0005-0000-0000-0000DA2F0000}"/>
    <cellStyle name="20% - Accent6 3 5 4 2 2" xfId="13458" xr:uid="{00000000-0005-0000-0000-0000DB2F0000}"/>
    <cellStyle name="20% - Accent6 3 5 4 2 2 2" xfId="27992" xr:uid="{00000000-0005-0000-0000-0000DC2F0000}"/>
    <cellStyle name="20% - Accent6 3 5 4 2 2 2 2" xfId="56998" xr:uid="{00000000-0005-0000-0000-0000DD2F0000}"/>
    <cellStyle name="20% - Accent6 3 5 4 2 2 3" xfId="42499" xr:uid="{00000000-0005-0000-0000-0000DE2F0000}"/>
    <cellStyle name="20% - Accent6 3 5 4 2 3" xfId="20744" xr:uid="{00000000-0005-0000-0000-0000DF2F0000}"/>
    <cellStyle name="20% - Accent6 3 5 4 2 3 2" xfId="49750" xr:uid="{00000000-0005-0000-0000-0000E02F0000}"/>
    <cellStyle name="20% - Accent6 3 5 4 2 4" xfId="35251" xr:uid="{00000000-0005-0000-0000-0000E12F0000}"/>
    <cellStyle name="20% - Accent6 3 5 4 3" xfId="10354" xr:uid="{00000000-0005-0000-0000-0000E22F0000}"/>
    <cellStyle name="20% - Accent6 3 5 4 3 2" xfId="24888" xr:uid="{00000000-0005-0000-0000-0000E32F0000}"/>
    <cellStyle name="20% - Accent6 3 5 4 3 2 2" xfId="53894" xr:uid="{00000000-0005-0000-0000-0000E42F0000}"/>
    <cellStyle name="20% - Accent6 3 5 4 3 3" xfId="39395" xr:uid="{00000000-0005-0000-0000-0000E52F0000}"/>
    <cellStyle name="20% - Accent6 3 5 4 4" xfId="17640" xr:uid="{00000000-0005-0000-0000-0000E62F0000}"/>
    <cellStyle name="20% - Accent6 3 5 4 4 2" xfId="46646" xr:uid="{00000000-0005-0000-0000-0000E72F0000}"/>
    <cellStyle name="20% - Accent6 3 5 4 5" xfId="32147" xr:uid="{00000000-0005-0000-0000-0000E82F0000}"/>
    <cellStyle name="20% - Accent6 3 5 5" xfId="4114" xr:uid="{00000000-0005-0000-0000-0000E92F0000}"/>
    <cellStyle name="20% - Accent6 3 5 5 2" xfId="11386" xr:uid="{00000000-0005-0000-0000-0000EA2F0000}"/>
    <cellStyle name="20% - Accent6 3 5 5 2 2" xfId="25920" xr:uid="{00000000-0005-0000-0000-0000EB2F0000}"/>
    <cellStyle name="20% - Accent6 3 5 5 2 2 2" xfId="54926" xr:uid="{00000000-0005-0000-0000-0000EC2F0000}"/>
    <cellStyle name="20% - Accent6 3 5 5 2 3" xfId="40427" xr:uid="{00000000-0005-0000-0000-0000ED2F0000}"/>
    <cellStyle name="20% - Accent6 3 5 5 3" xfId="18672" xr:uid="{00000000-0005-0000-0000-0000EE2F0000}"/>
    <cellStyle name="20% - Accent6 3 5 5 3 2" xfId="47678" xr:uid="{00000000-0005-0000-0000-0000EF2F0000}"/>
    <cellStyle name="20% - Accent6 3 5 5 4" xfId="33179" xr:uid="{00000000-0005-0000-0000-0000F02F0000}"/>
    <cellStyle name="20% - Accent6 3 5 6" xfId="7218" xr:uid="{00000000-0005-0000-0000-0000F12F0000}"/>
    <cellStyle name="20% - Accent6 3 5 6 2" xfId="14490" xr:uid="{00000000-0005-0000-0000-0000F22F0000}"/>
    <cellStyle name="20% - Accent6 3 5 6 2 2" xfId="29024" xr:uid="{00000000-0005-0000-0000-0000F32F0000}"/>
    <cellStyle name="20% - Accent6 3 5 6 2 2 2" xfId="58030" xr:uid="{00000000-0005-0000-0000-0000F42F0000}"/>
    <cellStyle name="20% - Accent6 3 5 6 2 3" xfId="43531" xr:uid="{00000000-0005-0000-0000-0000F52F0000}"/>
    <cellStyle name="20% - Accent6 3 5 6 3" xfId="21776" xr:uid="{00000000-0005-0000-0000-0000F62F0000}"/>
    <cellStyle name="20% - Accent6 3 5 6 3 2" xfId="50782" xr:uid="{00000000-0005-0000-0000-0000F72F0000}"/>
    <cellStyle name="20% - Accent6 3 5 6 4" xfId="36283" xr:uid="{00000000-0005-0000-0000-0000F82F0000}"/>
    <cellStyle name="20% - Accent6 3 5 7" xfId="8282" xr:uid="{00000000-0005-0000-0000-0000F92F0000}"/>
    <cellStyle name="20% - Accent6 3 5 7 2" xfId="22816" xr:uid="{00000000-0005-0000-0000-0000FA2F0000}"/>
    <cellStyle name="20% - Accent6 3 5 7 2 2" xfId="51822" xr:uid="{00000000-0005-0000-0000-0000FB2F0000}"/>
    <cellStyle name="20% - Accent6 3 5 7 3" xfId="37323" xr:uid="{00000000-0005-0000-0000-0000FC2F0000}"/>
    <cellStyle name="20% - Accent6 3 5 8" xfId="15568" xr:uid="{00000000-0005-0000-0000-0000FD2F0000}"/>
    <cellStyle name="20% - Accent6 3 5 8 2" xfId="44574" xr:uid="{00000000-0005-0000-0000-0000FE2F0000}"/>
    <cellStyle name="20% - Accent6 3 5 9" xfId="30075" xr:uid="{00000000-0005-0000-0000-0000FF2F0000}"/>
    <cellStyle name="20% - Accent6 3 6" xfId="1300" xr:uid="{00000000-0005-0000-0000-000000300000}"/>
    <cellStyle name="20% - Accent6 3 6 2" xfId="2356" xr:uid="{00000000-0005-0000-0000-000001300000}"/>
    <cellStyle name="20% - Accent6 3 6 2 2" xfId="5460" xr:uid="{00000000-0005-0000-0000-000002300000}"/>
    <cellStyle name="20% - Accent6 3 6 2 2 2" xfId="12732" xr:uid="{00000000-0005-0000-0000-000003300000}"/>
    <cellStyle name="20% - Accent6 3 6 2 2 2 2" xfId="27266" xr:uid="{00000000-0005-0000-0000-000004300000}"/>
    <cellStyle name="20% - Accent6 3 6 2 2 2 2 2" xfId="56272" xr:uid="{00000000-0005-0000-0000-000005300000}"/>
    <cellStyle name="20% - Accent6 3 6 2 2 2 3" xfId="41773" xr:uid="{00000000-0005-0000-0000-000006300000}"/>
    <cellStyle name="20% - Accent6 3 6 2 2 3" xfId="20018" xr:uid="{00000000-0005-0000-0000-000007300000}"/>
    <cellStyle name="20% - Accent6 3 6 2 2 3 2" xfId="49024" xr:uid="{00000000-0005-0000-0000-000008300000}"/>
    <cellStyle name="20% - Accent6 3 6 2 2 4" xfId="34525" xr:uid="{00000000-0005-0000-0000-000009300000}"/>
    <cellStyle name="20% - Accent6 3 6 2 3" xfId="9628" xr:uid="{00000000-0005-0000-0000-00000A300000}"/>
    <cellStyle name="20% - Accent6 3 6 2 3 2" xfId="24162" xr:uid="{00000000-0005-0000-0000-00000B300000}"/>
    <cellStyle name="20% - Accent6 3 6 2 3 2 2" xfId="53168" xr:uid="{00000000-0005-0000-0000-00000C300000}"/>
    <cellStyle name="20% - Accent6 3 6 2 3 3" xfId="38669" xr:uid="{00000000-0005-0000-0000-00000D300000}"/>
    <cellStyle name="20% - Accent6 3 6 2 4" xfId="16914" xr:uid="{00000000-0005-0000-0000-00000E300000}"/>
    <cellStyle name="20% - Accent6 3 6 2 4 2" xfId="45920" xr:uid="{00000000-0005-0000-0000-00000F300000}"/>
    <cellStyle name="20% - Accent6 3 6 2 5" xfId="31421" xr:uid="{00000000-0005-0000-0000-000010300000}"/>
    <cellStyle name="20% - Accent6 3 6 3" xfId="3388" xr:uid="{00000000-0005-0000-0000-000011300000}"/>
    <cellStyle name="20% - Accent6 3 6 3 2" xfId="6492" xr:uid="{00000000-0005-0000-0000-000012300000}"/>
    <cellStyle name="20% - Accent6 3 6 3 2 2" xfId="13764" xr:uid="{00000000-0005-0000-0000-000013300000}"/>
    <cellStyle name="20% - Accent6 3 6 3 2 2 2" xfId="28298" xr:uid="{00000000-0005-0000-0000-000014300000}"/>
    <cellStyle name="20% - Accent6 3 6 3 2 2 2 2" xfId="57304" xr:uid="{00000000-0005-0000-0000-000015300000}"/>
    <cellStyle name="20% - Accent6 3 6 3 2 2 3" xfId="42805" xr:uid="{00000000-0005-0000-0000-000016300000}"/>
    <cellStyle name="20% - Accent6 3 6 3 2 3" xfId="21050" xr:uid="{00000000-0005-0000-0000-000017300000}"/>
    <cellStyle name="20% - Accent6 3 6 3 2 3 2" xfId="50056" xr:uid="{00000000-0005-0000-0000-000018300000}"/>
    <cellStyle name="20% - Accent6 3 6 3 2 4" xfId="35557" xr:uid="{00000000-0005-0000-0000-000019300000}"/>
    <cellStyle name="20% - Accent6 3 6 3 3" xfId="10660" xr:uid="{00000000-0005-0000-0000-00001A300000}"/>
    <cellStyle name="20% - Accent6 3 6 3 3 2" xfId="25194" xr:uid="{00000000-0005-0000-0000-00001B300000}"/>
    <cellStyle name="20% - Accent6 3 6 3 3 2 2" xfId="54200" xr:uid="{00000000-0005-0000-0000-00001C300000}"/>
    <cellStyle name="20% - Accent6 3 6 3 3 3" xfId="39701" xr:uid="{00000000-0005-0000-0000-00001D300000}"/>
    <cellStyle name="20% - Accent6 3 6 3 4" xfId="17946" xr:uid="{00000000-0005-0000-0000-00001E300000}"/>
    <cellStyle name="20% - Accent6 3 6 3 4 2" xfId="46952" xr:uid="{00000000-0005-0000-0000-00001F300000}"/>
    <cellStyle name="20% - Accent6 3 6 3 5" xfId="32453" xr:uid="{00000000-0005-0000-0000-000020300000}"/>
    <cellStyle name="20% - Accent6 3 6 4" xfId="4420" xr:uid="{00000000-0005-0000-0000-000021300000}"/>
    <cellStyle name="20% - Accent6 3 6 4 2" xfId="11692" xr:uid="{00000000-0005-0000-0000-000022300000}"/>
    <cellStyle name="20% - Accent6 3 6 4 2 2" xfId="26226" xr:uid="{00000000-0005-0000-0000-000023300000}"/>
    <cellStyle name="20% - Accent6 3 6 4 2 2 2" xfId="55232" xr:uid="{00000000-0005-0000-0000-000024300000}"/>
    <cellStyle name="20% - Accent6 3 6 4 2 3" xfId="40733" xr:uid="{00000000-0005-0000-0000-000025300000}"/>
    <cellStyle name="20% - Accent6 3 6 4 3" xfId="18978" xr:uid="{00000000-0005-0000-0000-000026300000}"/>
    <cellStyle name="20% - Accent6 3 6 4 3 2" xfId="47984" xr:uid="{00000000-0005-0000-0000-000027300000}"/>
    <cellStyle name="20% - Accent6 3 6 4 4" xfId="33485" xr:uid="{00000000-0005-0000-0000-000028300000}"/>
    <cellStyle name="20% - Accent6 3 6 5" xfId="7524" xr:uid="{00000000-0005-0000-0000-000029300000}"/>
    <cellStyle name="20% - Accent6 3 6 5 2" xfId="14796" xr:uid="{00000000-0005-0000-0000-00002A300000}"/>
    <cellStyle name="20% - Accent6 3 6 5 2 2" xfId="29330" xr:uid="{00000000-0005-0000-0000-00002B300000}"/>
    <cellStyle name="20% - Accent6 3 6 5 2 2 2" xfId="58336" xr:uid="{00000000-0005-0000-0000-00002C300000}"/>
    <cellStyle name="20% - Accent6 3 6 5 2 3" xfId="43837" xr:uid="{00000000-0005-0000-0000-00002D300000}"/>
    <cellStyle name="20% - Accent6 3 6 5 3" xfId="22082" xr:uid="{00000000-0005-0000-0000-00002E300000}"/>
    <cellStyle name="20% - Accent6 3 6 5 3 2" xfId="51088" xr:uid="{00000000-0005-0000-0000-00002F300000}"/>
    <cellStyle name="20% - Accent6 3 6 5 4" xfId="36589" xr:uid="{00000000-0005-0000-0000-000030300000}"/>
    <cellStyle name="20% - Accent6 3 6 6" xfId="8588" xr:uid="{00000000-0005-0000-0000-000031300000}"/>
    <cellStyle name="20% - Accent6 3 6 6 2" xfId="23122" xr:uid="{00000000-0005-0000-0000-000032300000}"/>
    <cellStyle name="20% - Accent6 3 6 6 2 2" xfId="52128" xr:uid="{00000000-0005-0000-0000-000033300000}"/>
    <cellStyle name="20% - Accent6 3 6 6 3" xfId="37629" xr:uid="{00000000-0005-0000-0000-000034300000}"/>
    <cellStyle name="20% - Accent6 3 6 7" xfId="15874" xr:uid="{00000000-0005-0000-0000-000035300000}"/>
    <cellStyle name="20% - Accent6 3 6 7 2" xfId="44880" xr:uid="{00000000-0005-0000-0000-000036300000}"/>
    <cellStyle name="20% - Accent6 3 6 8" xfId="30381" xr:uid="{00000000-0005-0000-0000-000037300000}"/>
    <cellStyle name="20% - Accent6 3 7" xfId="1844" xr:uid="{00000000-0005-0000-0000-000038300000}"/>
    <cellStyle name="20% - Accent6 3 7 2" xfId="4948" xr:uid="{00000000-0005-0000-0000-000039300000}"/>
    <cellStyle name="20% - Accent6 3 7 2 2" xfId="12220" xr:uid="{00000000-0005-0000-0000-00003A300000}"/>
    <cellStyle name="20% - Accent6 3 7 2 2 2" xfId="26754" xr:uid="{00000000-0005-0000-0000-00003B300000}"/>
    <cellStyle name="20% - Accent6 3 7 2 2 2 2" xfId="55760" xr:uid="{00000000-0005-0000-0000-00003C300000}"/>
    <cellStyle name="20% - Accent6 3 7 2 2 3" xfId="41261" xr:uid="{00000000-0005-0000-0000-00003D300000}"/>
    <cellStyle name="20% - Accent6 3 7 2 3" xfId="19506" xr:uid="{00000000-0005-0000-0000-00003E300000}"/>
    <cellStyle name="20% - Accent6 3 7 2 3 2" xfId="48512" xr:uid="{00000000-0005-0000-0000-00003F300000}"/>
    <cellStyle name="20% - Accent6 3 7 2 4" xfId="34013" xr:uid="{00000000-0005-0000-0000-000040300000}"/>
    <cellStyle name="20% - Accent6 3 7 3" xfId="9116" xr:uid="{00000000-0005-0000-0000-000041300000}"/>
    <cellStyle name="20% - Accent6 3 7 3 2" xfId="23650" xr:uid="{00000000-0005-0000-0000-000042300000}"/>
    <cellStyle name="20% - Accent6 3 7 3 2 2" xfId="52656" xr:uid="{00000000-0005-0000-0000-000043300000}"/>
    <cellStyle name="20% - Accent6 3 7 3 3" xfId="38157" xr:uid="{00000000-0005-0000-0000-000044300000}"/>
    <cellStyle name="20% - Accent6 3 7 4" xfId="16402" xr:uid="{00000000-0005-0000-0000-000045300000}"/>
    <cellStyle name="20% - Accent6 3 7 4 2" xfId="45408" xr:uid="{00000000-0005-0000-0000-000046300000}"/>
    <cellStyle name="20% - Accent6 3 7 5" xfId="30909" xr:uid="{00000000-0005-0000-0000-000047300000}"/>
    <cellStyle name="20% - Accent6 3 8" xfId="2876" xr:uid="{00000000-0005-0000-0000-000048300000}"/>
    <cellStyle name="20% - Accent6 3 8 2" xfId="5980" xr:uid="{00000000-0005-0000-0000-000049300000}"/>
    <cellStyle name="20% - Accent6 3 8 2 2" xfId="13252" xr:uid="{00000000-0005-0000-0000-00004A300000}"/>
    <cellStyle name="20% - Accent6 3 8 2 2 2" xfId="27786" xr:uid="{00000000-0005-0000-0000-00004B300000}"/>
    <cellStyle name="20% - Accent6 3 8 2 2 2 2" xfId="56792" xr:uid="{00000000-0005-0000-0000-00004C300000}"/>
    <cellStyle name="20% - Accent6 3 8 2 2 3" xfId="42293" xr:uid="{00000000-0005-0000-0000-00004D300000}"/>
    <cellStyle name="20% - Accent6 3 8 2 3" xfId="20538" xr:uid="{00000000-0005-0000-0000-00004E300000}"/>
    <cellStyle name="20% - Accent6 3 8 2 3 2" xfId="49544" xr:uid="{00000000-0005-0000-0000-00004F300000}"/>
    <cellStyle name="20% - Accent6 3 8 2 4" xfId="35045" xr:uid="{00000000-0005-0000-0000-000050300000}"/>
    <cellStyle name="20% - Accent6 3 8 3" xfId="10148" xr:uid="{00000000-0005-0000-0000-000051300000}"/>
    <cellStyle name="20% - Accent6 3 8 3 2" xfId="24682" xr:uid="{00000000-0005-0000-0000-000052300000}"/>
    <cellStyle name="20% - Accent6 3 8 3 2 2" xfId="53688" xr:uid="{00000000-0005-0000-0000-000053300000}"/>
    <cellStyle name="20% - Accent6 3 8 3 3" xfId="39189" xr:uid="{00000000-0005-0000-0000-000054300000}"/>
    <cellStyle name="20% - Accent6 3 8 4" xfId="17434" xr:uid="{00000000-0005-0000-0000-000055300000}"/>
    <cellStyle name="20% - Accent6 3 8 4 2" xfId="46440" xr:uid="{00000000-0005-0000-0000-000056300000}"/>
    <cellStyle name="20% - Accent6 3 8 5" xfId="31941" xr:uid="{00000000-0005-0000-0000-000057300000}"/>
    <cellStyle name="20% - Accent6 3 9" xfId="3908" xr:uid="{00000000-0005-0000-0000-000058300000}"/>
    <cellStyle name="20% - Accent6 3 9 2" xfId="11180" xr:uid="{00000000-0005-0000-0000-000059300000}"/>
    <cellStyle name="20% - Accent6 3 9 2 2" xfId="25714" xr:uid="{00000000-0005-0000-0000-00005A300000}"/>
    <cellStyle name="20% - Accent6 3 9 2 2 2" xfId="54720" xr:uid="{00000000-0005-0000-0000-00005B300000}"/>
    <cellStyle name="20% - Accent6 3 9 2 3" xfId="40221" xr:uid="{00000000-0005-0000-0000-00005C300000}"/>
    <cellStyle name="20% - Accent6 3 9 3" xfId="18466" xr:uid="{00000000-0005-0000-0000-00005D300000}"/>
    <cellStyle name="20% - Accent6 3 9 3 2" xfId="47472" xr:uid="{00000000-0005-0000-0000-00005E300000}"/>
    <cellStyle name="20% - Accent6 3 9 4" xfId="32973" xr:uid="{00000000-0005-0000-0000-00005F300000}"/>
    <cellStyle name="20% - Accent6 4" xfId="874" xr:uid="{00000000-0005-0000-0000-000060300000}"/>
    <cellStyle name="20% - Accent6 4 10" xfId="8104" xr:uid="{00000000-0005-0000-0000-000061300000}"/>
    <cellStyle name="20% - Accent6 4 10 2" xfId="22638" xr:uid="{00000000-0005-0000-0000-000062300000}"/>
    <cellStyle name="20% - Accent6 4 10 2 2" xfId="51644" xr:uid="{00000000-0005-0000-0000-000063300000}"/>
    <cellStyle name="20% - Accent6 4 10 3" xfId="37145" xr:uid="{00000000-0005-0000-0000-000064300000}"/>
    <cellStyle name="20% - Accent6 4 11" xfId="15390" xr:uid="{00000000-0005-0000-0000-000065300000}"/>
    <cellStyle name="20% - Accent6 4 11 2" xfId="44396" xr:uid="{00000000-0005-0000-0000-000066300000}"/>
    <cellStyle name="20% - Accent6 4 12" xfId="29897" xr:uid="{00000000-0005-0000-0000-000067300000}"/>
    <cellStyle name="20% - Accent6 4 2" xfId="954" xr:uid="{00000000-0005-0000-0000-000068300000}"/>
    <cellStyle name="20% - Accent6 4 2 10" xfId="30000" xr:uid="{00000000-0005-0000-0000-000069300000}"/>
    <cellStyle name="20% - Accent6 4 2 2" xfId="1229" xr:uid="{00000000-0005-0000-0000-00006A300000}"/>
    <cellStyle name="20% - Accent6 4 2 2 2" xfId="1734" xr:uid="{00000000-0005-0000-0000-00006B300000}"/>
    <cellStyle name="20% - Accent6 4 2 2 2 2" xfId="2793" xr:uid="{00000000-0005-0000-0000-00006C300000}"/>
    <cellStyle name="20% - Accent6 4 2 2 2 2 2" xfId="5897" xr:uid="{00000000-0005-0000-0000-00006D300000}"/>
    <cellStyle name="20% - Accent6 4 2 2 2 2 2 2" xfId="13169" xr:uid="{00000000-0005-0000-0000-00006E300000}"/>
    <cellStyle name="20% - Accent6 4 2 2 2 2 2 2 2" xfId="27703" xr:uid="{00000000-0005-0000-0000-00006F300000}"/>
    <cellStyle name="20% - Accent6 4 2 2 2 2 2 2 2 2" xfId="56709" xr:uid="{00000000-0005-0000-0000-000070300000}"/>
    <cellStyle name="20% - Accent6 4 2 2 2 2 2 2 3" xfId="42210" xr:uid="{00000000-0005-0000-0000-000071300000}"/>
    <cellStyle name="20% - Accent6 4 2 2 2 2 2 3" xfId="20455" xr:uid="{00000000-0005-0000-0000-000072300000}"/>
    <cellStyle name="20% - Accent6 4 2 2 2 2 2 3 2" xfId="49461" xr:uid="{00000000-0005-0000-0000-000073300000}"/>
    <cellStyle name="20% - Accent6 4 2 2 2 2 2 4" xfId="34962" xr:uid="{00000000-0005-0000-0000-000074300000}"/>
    <cellStyle name="20% - Accent6 4 2 2 2 2 3" xfId="10065" xr:uid="{00000000-0005-0000-0000-000075300000}"/>
    <cellStyle name="20% - Accent6 4 2 2 2 2 3 2" xfId="24599" xr:uid="{00000000-0005-0000-0000-000076300000}"/>
    <cellStyle name="20% - Accent6 4 2 2 2 2 3 2 2" xfId="53605" xr:uid="{00000000-0005-0000-0000-000077300000}"/>
    <cellStyle name="20% - Accent6 4 2 2 2 2 3 3" xfId="39106" xr:uid="{00000000-0005-0000-0000-000078300000}"/>
    <cellStyle name="20% - Accent6 4 2 2 2 2 4" xfId="17351" xr:uid="{00000000-0005-0000-0000-000079300000}"/>
    <cellStyle name="20% - Accent6 4 2 2 2 2 4 2" xfId="46357" xr:uid="{00000000-0005-0000-0000-00007A300000}"/>
    <cellStyle name="20% - Accent6 4 2 2 2 2 5" xfId="31858" xr:uid="{00000000-0005-0000-0000-00007B300000}"/>
    <cellStyle name="20% - Accent6 4 2 2 2 3" xfId="3825" xr:uid="{00000000-0005-0000-0000-00007C300000}"/>
    <cellStyle name="20% - Accent6 4 2 2 2 3 2" xfId="6929" xr:uid="{00000000-0005-0000-0000-00007D300000}"/>
    <cellStyle name="20% - Accent6 4 2 2 2 3 2 2" xfId="14201" xr:uid="{00000000-0005-0000-0000-00007E300000}"/>
    <cellStyle name="20% - Accent6 4 2 2 2 3 2 2 2" xfId="28735" xr:uid="{00000000-0005-0000-0000-00007F300000}"/>
    <cellStyle name="20% - Accent6 4 2 2 2 3 2 2 2 2" xfId="57741" xr:uid="{00000000-0005-0000-0000-000080300000}"/>
    <cellStyle name="20% - Accent6 4 2 2 2 3 2 2 3" xfId="43242" xr:uid="{00000000-0005-0000-0000-000081300000}"/>
    <cellStyle name="20% - Accent6 4 2 2 2 3 2 3" xfId="21487" xr:uid="{00000000-0005-0000-0000-000082300000}"/>
    <cellStyle name="20% - Accent6 4 2 2 2 3 2 3 2" xfId="50493" xr:uid="{00000000-0005-0000-0000-000083300000}"/>
    <cellStyle name="20% - Accent6 4 2 2 2 3 2 4" xfId="35994" xr:uid="{00000000-0005-0000-0000-000084300000}"/>
    <cellStyle name="20% - Accent6 4 2 2 2 3 3" xfId="11097" xr:uid="{00000000-0005-0000-0000-000085300000}"/>
    <cellStyle name="20% - Accent6 4 2 2 2 3 3 2" xfId="25631" xr:uid="{00000000-0005-0000-0000-000086300000}"/>
    <cellStyle name="20% - Accent6 4 2 2 2 3 3 2 2" xfId="54637" xr:uid="{00000000-0005-0000-0000-000087300000}"/>
    <cellStyle name="20% - Accent6 4 2 2 2 3 3 3" xfId="40138" xr:uid="{00000000-0005-0000-0000-000088300000}"/>
    <cellStyle name="20% - Accent6 4 2 2 2 3 4" xfId="18383" xr:uid="{00000000-0005-0000-0000-000089300000}"/>
    <cellStyle name="20% - Accent6 4 2 2 2 3 4 2" xfId="47389" xr:uid="{00000000-0005-0000-0000-00008A300000}"/>
    <cellStyle name="20% - Accent6 4 2 2 2 3 5" xfId="32890" xr:uid="{00000000-0005-0000-0000-00008B300000}"/>
    <cellStyle name="20% - Accent6 4 2 2 2 4" xfId="4857" xr:uid="{00000000-0005-0000-0000-00008C300000}"/>
    <cellStyle name="20% - Accent6 4 2 2 2 4 2" xfId="12129" xr:uid="{00000000-0005-0000-0000-00008D300000}"/>
    <cellStyle name="20% - Accent6 4 2 2 2 4 2 2" xfId="26663" xr:uid="{00000000-0005-0000-0000-00008E300000}"/>
    <cellStyle name="20% - Accent6 4 2 2 2 4 2 2 2" xfId="55669" xr:uid="{00000000-0005-0000-0000-00008F300000}"/>
    <cellStyle name="20% - Accent6 4 2 2 2 4 2 3" xfId="41170" xr:uid="{00000000-0005-0000-0000-000090300000}"/>
    <cellStyle name="20% - Accent6 4 2 2 2 4 3" xfId="19415" xr:uid="{00000000-0005-0000-0000-000091300000}"/>
    <cellStyle name="20% - Accent6 4 2 2 2 4 3 2" xfId="48421" xr:uid="{00000000-0005-0000-0000-000092300000}"/>
    <cellStyle name="20% - Accent6 4 2 2 2 4 4" xfId="33922" xr:uid="{00000000-0005-0000-0000-000093300000}"/>
    <cellStyle name="20% - Accent6 4 2 2 2 5" xfId="7961" xr:uid="{00000000-0005-0000-0000-000094300000}"/>
    <cellStyle name="20% - Accent6 4 2 2 2 5 2" xfId="15233" xr:uid="{00000000-0005-0000-0000-000095300000}"/>
    <cellStyle name="20% - Accent6 4 2 2 2 5 2 2" xfId="29767" xr:uid="{00000000-0005-0000-0000-000096300000}"/>
    <cellStyle name="20% - Accent6 4 2 2 2 5 2 2 2" xfId="58773" xr:uid="{00000000-0005-0000-0000-000097300000}"/>
    <cellStyle name="20% - Accent6 4 2 2 2 5 2 3" xfId="44274" xr:uid="{00000000-0005-0000-0000-000098300000}"/>
    <cellStyle name="20% - Accent6 4 2 2 2 5 3" xfId="22519" xr:uid="{00000000-0005-0000-0000-000099300000}"/>
    <cellStyle name="20% - Accent6 4 2 2 2 5 3 2" xfId="51525" xr:uid="{00000000-0005-0000-0000-00009A300000}"/>
    <cellStyle name="20% - Accent6 4 2 2 2 5 4" xfId="37026" xr:uid="{00000000-0005-0000-0000-00009B300000}"/>
    <cellStyle name="20% - Accent6 4 2 2 2 6" xfId="9025" xr:uid="{00000000-0005-0000-0000-00009C300000}"/>
    <cellStyle name="20% - Accent6 4 2 2 2 6 2" xfId="23559" xr:uid="{00000000-0005-0000-0000-00009D300000}"/>
    <cellStyle name="20% - Accent6 4 2 2 2 6 2 2" xfId="52565" xr:uid="{00000000-0005-0000-0000-00009E300000}"/>
    <cellStyle name="20% - Accent6 4 2 2 2 6 3" xfId="38066" xr:uid="{00000000-0005-0000-0000-00009F300000}"/>
    <cellStyle name="20% - Accent6 4 2 2 2 7" xfId="16311" xr:uid="{00000000-0005-0000-0000-0000A0300000}"/>
    <cellStyle name="20% - Accent6 4 2 2 2 7 2" xfId="45317" xr:uid="{00000000-0005-0000-0000-0000A1300000}"/>
    <cellStyle name="20% - Accent6 4 2 2 2 8" xfId="30818" xr:uid="{00000000-0005-0000-0000-0000A2300000}"/>
    <cellStyle name="20% - Accent6 4 2 2 3" xfId="2281" xr:uid="{00000000-0005-0000-0000-0000A3300000}"/>
    <cellStyle name="20% - Accent6 4 2 2 3 2" xfId="5385" xr:uid="{00000000-0005-0000-0000-0000A4300000}"/>
    <cellStyle name="20% - Accent6 4 2 2 3 2 2" xfId="12657" xr:uid="{00000000-0005-0000-0000-0000A5300000}"/>
    <cellStyle name="20% - Accent6 4 2 2 3 2 2 2" xfId="27191" xr:uid="{00000000-0005-0000-0000-0000A6300000}"/>
    <cellStyle name="20% - Accent6 4 2 2 3 2 2 2 2" xfId="56197" xr:uid="{00000000-0005-0000-0000-0000A7300000}"/>
    <cellStyle name="20% - Accent6 4 2 2 3 2 2 3" xfId="41698" xr:uid="{00000000-0005-0000-0000-0000A8300000}"/>
    <cellStyle name="20% - Accent6 4 2 2 3 2 3" xfId="19943" xr:uid="{00000000-0005-0000-0000-0000A9300000}"/>
    <cellStyle name="20% - Accent6 4 2 2 3 2 3 2" xfId="48949" xr:uid="{00000000-0005-0000-0000-0000AA300000}"/>
    <cellStyle name="20% - Accent6 4 2 2 3 2 4" xfId="34450" xr:uid="{00000000-0005-0000-0000-0000AB300000}"/>
    <cellStyle name="20% - Accent6 4 2 2 3 3" xfId="9553" xr:uid="{00000000-0005-0000-0000-0000AC300000}"/>
    <cellStyle name="20% - Accent6 4 2 2 3 3 2" xfId="24087" xr:uid="{00000000-0005-0000-0000-0000AD300000}"/>
    <cellStyle name="20% - Accent6 4 2 2 3 3 2 2" xfId="53093" xr:uid="{00000000-0005-0000-0000-0000AE300000}"/>
    <cellStyle name="20% - Accent6 4 2 2 3 3 3" xfId="38594" xr:uid="{00000000-0005-0000-0000-0000AF300000}"/>
    <cellStyle name="20% - Accent6 4 2 2 3 4" xfId="16839" xr:uid="{00000000-0005-0000-0000-0000B0300000}"/>
    <cellStyle name="20% - Accent6 4 2 2 3 4 2" xfId="45845" xr:uid="{00000000-0005-0000-0000-0000B1300000}"/>
    <cellStyle name="20% - Accent6 4 2 2 3 5" xfId="31346" xr:uid="{00000000-0005-0000-0000-0000B2300000}"/>
    <cellStyle name="20% - Accent6 4 2 2 4" xfId="3313" xr:uid="{00000000-0005-0000-0000-0000B3300000}"/>
    <cellStyle name="20% - Accent6 4 2 2 4 2" xfId="6417" xr:uid="{00000000-0005-0000-0000-0000B4300000}"/>
    <cellStyle name="20% - Accent6 4 2 2 4 2 2" xfId="13689" xr:uid="{00000000-0005-0000-0000-0000B5300000}"/>
    <cellStyle name="20% - Accent6 4 2 2 4 2 2 2" xfId="28223" xr:uid="{00000000-0005-0000-0000-0000B6300000}"/>
    <cellStyle name="20% - Accent6 4 2 2 4 2 2 2 2" xfId="57229" xr:uid="{00000000-0005-0000-0000-0000B7300000}"/>
    <cellStyle name="20% - Accent6 4 2 2 4 2 2 3" xfId="42730" xr:uid="{00000000-0005-0000-0000-0000B8300000}"/>
    <cellStyle name="20% - Accent6 4 2 2 4 2 3" xfId="20975" xr:uid="{00000000-0005-0000-0000-0000B9300000}"/>
    <cellStyle name="20% - Accent6 4 2 2 4 2 3 2" xfId="49981" xr:uid="{00000000-0005-0000-0000-0000BA300000}"/>
    <cellStyle name="20% - Accent6 4 2 2 4 2 4" xfId="35482" xr:uid="{00000000-0005-0000-0000-0000BB300000}"/>
    <cellStyle name="20% - Accent6 4 2 2 4 3" xfId="10585" xr:uid="{00000000-0005-0000-0000-0000BC300000}"/>
    <cellStyle name="20% - Accent6 4 2 2 4 3 2" xfId="25119" xr:uid="{00000000-0005-0000-0000-0000BD300000}"/>
    <cellStyle name="20% - Accent6 4 2 2 4 3 2 2" xfId="54125" xr:uid="{00000000-0005-0000-0000-0000BE300000}"/>
    <cellStyle name="20% - Accent6 4 2 2 4 3 3" xfId="39626" xr:uid="{00000000-0005-0000-0000-0000BF300000}"/>
    <cellStyle name="20% - Accent6 4 2 2 4 4" xfId="17871" xr:uid="{00000000-0005-0000-0000-0000C0300000}"/>
    <cellStyle name="20% - Accent6 4 2 2 4 4 2" xfId="46877" xr:uid="{00000000-0005-0000-0000-0000C1300000}"/>
    <cellStyle name="20% - Accent6 4 2 2 4 5" xfId="32378" xr:uid="{00000000-0005-0000-0000-0000C2300000}"/>
    <cellStyle name="20% - Accent6 4 2 2 5" xfId="4345" xr:uid="{00000000-0005-0000-0000-0000C3300000}"/>
    <cellStyle name="20% - Accent6 4 2 2 5 2" xfId="11617" xr:uid="{00000000-0005-0000-0000-0000C4300000}"/>
    <cellStyle name="20% - Accent6 4 2 2 5 2 2" xfId="26151" xr:uid="{00000000-0005-0000-0000-0000C5300000}"/>
    <cellStyle name="20% - Accent6 4 2 2 5 2 2 2" xfId="55157" xr:uid="{00000000-0005-0000-0000-0000C6300000}"/>
    <cellStyle name="20% - Accent6 4 2 2 5 2 3" xfId="40658" xr:uid="{00000000-0005-0000-0000-0000C7300000}"/>
    <cellStyle name="20% - Accent6 4 2 2 5 3" xfId="18903" xr:uid="{00000000-0005-0000-0000-0000C8300000}"/>
    <cellStyle name="20% - Accent6 4 2 2 5 3 2" xfId="47909" xr:uid="{00000000-0005-0000-0000-0000C9300000}"/>
    <cellStyle name="20% - Accent6 4 2 2 5 4" xfId="33410" xr:uid="{00000000-0005-0000-0000-0000CA300000}"/>
    <cellStyle name="20% - Accent6 4 2 2 6" xfId="7449" xr:uid="{00000000-0005-0000-0000-0000CB300000}"/>
    <cellStyle name="20% - Accent6 4 2 2 6 2" xfId="14721" xr:uid="{00000000-0005-0000-0000-0000CC300000}"/>
    <cellStyle name="20% - Accent6 4 2 2 6 2 2" xfId="29255" xr:uid="{00000000-0005-0000-0000-0000CD300000}"/>
    <cellStyle name="20% - Accent6 4 2 2 6 2 2 2" xfId="58261" xr:uid="{00000000-0005-0000-0000-0000CE300000}"/>
    <cellStyle name="20% - Accent6 4 2 2 6 2 3" xfId="43762" xr:uid="{00000000-0005-0000-0000-0000CF300000}"/>
    <cellStyle name="20% - Accent6 4 2 2 6 3" xfId="22007" xr:uid="{00000000-0005-0000-0000-0000D0300000}"/>
    <cellStyle name="20% - Accent6 4 2 2 6 3 2" xfId="51013" xr:uid="{00000000-0005-0000-0000-0000D1300000}"/>
    <cellStyle name="20% - Accent6 4 2 2 6 4" xfId="36514" xr:uid="{00000000-0005-0000-0000-0000D2300000}"/>
    <cellStyle name="20% - Accent6 4 2 2 7" xfId="8513" xr:uid="{00000000-0005-0000-0000-0000D3300000}"/>
    <cellStyle name="20% - Accent6 4 2 2 7 2" xfId="23047" xr:uid="{00000000-0005-0000-0000-0000D4300000}"/>
    <cellStyle name="20% - Accent6 4 2 2 7 2 2" xfId="52053" xr:uid="{00000000-0005-0000-0000-0000D5300000}"/>
    <cellStyle name="20% - Accent6 4 2 2 7 3" xfId="37554" xr:uid="{00000000-0005-0000-0000-0000D6300000}"/>
    <cellStyle name="20% - Accent6 4 2 2 8" xfId="15799" xr:uid="{00000000-0005-0000-0000-0000D7300000}"/>
    <cellStyle name="20% - Accent6 4 2 2 8 2" xfId="44805" xr:uid="{00000000-0005-0000-0000-0000D8300000}"/>
    <cellStyle name="20% - Accent6 4 2 2 9" xfId="30306" xr:uid="{00000000-0005-0000-0000-0000D9300000}"/>
    <cellStyle name="20% - Accent6 4 2 3" xfId="1429" xr:uid="{00000000-0005-0000-0000-0000DA300000}"/>
    <cellStyle name="20% - Accent6 4 2 3 2" xfId="2487" xr:uid="{00000000-0005-0000-0000-0000DB300000}"/>
    <cellStyle name="20% - Accent6 4 2 3 2 2" xfId="5591" xr:uid="{00000000-0005-0000-0000-0000DC300000}"/>
    <cellStyle name="20% - Accent6 4 2 3 2 2 2" xfId="12863" xr:uid="{00000000-0005-0000-0000-0000DD300000}"/>
    <cellStyle name="20% - Accent6 4 2 3 2 2 2 2" xfId="27397" xr:uid="{00000000-0005-0000-0000-0000DE300000}"/>
    <cellStyle name="20% - Accent6 4 2 3 2 2 2 2 2" xfId="56403" xr:uid="{00000000-0005-0000-0000-0000DF300000}"/>
    <cellStyle name="20% - Accent6 4 2 3 2 2 2 3" xfId="41904" xr:uid="{00000000-0005-0000-0000-0000E0300000}"/>
    <cellStyle name="20% - Accent6 4 2 3 2 2 3" xfId="20149" xr:uid="{00000000-0005-0000-0000-0000E1300000}"/>
    <cellStyle name="20% - Accent6 4 2 3 2 2 3 2" xfId="49155" xr:uid="{00000000-0005-0000-0000-0000E2300000}"/>
    <cellStyle name="20% - Accent6 4 2 3 2 2 4" xfId="34656" xr:uid="{00000000-0005-0000-0000-0000E3300000}"/>
    <cellStyle name="20% - Accent6 4 2 3 2 3" xfId="9759" xr:uid="{00000000-0005-0000-0000-0000E4300000}"/>
    <cellStyle name="20% - Accent6 4 2 3 2 3 2" xfId="24293" xr:uid="{00000000-0005-0000-0000-0000E5300000}"/>
    <cellStyle name="20% - Accent6 4 2 3 2 3 2 2" xfId="53299" xr:uid="{00000000-0005-0000-0000-0000E6300000}"/>
    <cellStyle name="20% - Accent6 4 2 3 2 3 3" xfId="38800" xr:uid="{00000000-0005-0000-0000-0000E7300000}"/>
    <cellStyle name="20% - Accent6 4 2 3 2 4" xfId="17045" xr:uid="{00000000-0005-0000-0000-0000E8300000}"/>
    <cellStyle name="20% - Accent6 4 2 3 2 4 2" xfId="46051" xr:uid="{00000000-0005-0000-0000-0000E9300000}"/>
    <cellStyle name="20% - Accent6 4 2 3 2 5" xfId="31552" xr:uid="{00000000-0005-0000-0000-0000EA300000}"/>
    <cellStyle name="20% - Accent6 4 2 3 3" xfId="3519" xr:uid="{00000000-0005-0000-0000-0000EB300000}"/>
    <cellStyle name="20% - Accent6 4 2 3 3 2" xfId="6623" xr:uid="{00000000-0005-0000-0000-0000EC300000}"/>
    <cellStyle name="20% - Accent6 4 2 3 3 2 2" xfId="13895" xr:uid="{00000000-0005-0000-0000-0000ED300000}"/>
    <cellStyle name="20% - Accent6 4 2 3 3 2 2 2" xfId="28429" xr:uid="{00000000-0005-0000-0000-0000EE300000}"/>
    <cellStyle name="20% - Accent6 4 2 3 3 2 2 2 2" xfId="57435" xr:uid="{00000000-0005-0000-0000-0000EF300000}"/>
    <cellStyle name="20% - Accent6 4 2 3 3 2 2 3" xfId="42936" xr:uid="{00000000-0005-0000-0000-0000F0300000}"/>
    <cellStyle name="20% - Accent6 4 2 3 3 2 3" xfId="21181" xr:uid="{00000000-0005-0000-0000-0000F1300000}"/>
    <cellStyle name="20% - Accent6 4 2 3 3 2 3 2" xfId="50187" xr:uid="{00000000-0005-0000-0000-0000F2300000}"/>
    <cellStyle name="20% - Accent6 4 2 3 3 2 4" xfId="35688" xr:uid="{00000000-0005-0000-0000-0000F3300000}"/>
    <cellStyle name="20% - Accent6 4 2 3 3 3" xfId="10791" xr:uid="{00000000-0005-0000-0000-0000F4300000}"/>
    <cellStyle name="20% - Accent6 4 2 3 3 3 2" xfId="25325" xr:uid="{00000000-0005-0000-0000-0000F5300000}"/>
    <cellStyle name="20% - Accent6 4 2 3 3 3 2 2" xfId="54331" xr:uid="{00000000-0005-0000-0000-0000F6300000}"/>
    <cellStyle name="20% - Accent6 4 2 3 3 3 3" xfId="39832" xr:uid="{00000000-0005-0000-0000-0000F7300000}"/>
    <cellStyle name="20% - Accent6 4 2 3 3 4" xfId="18077" xr:uid="{00000000-0005-0000-0000-0000F8300000}"/>
    <cellStyle name="20% - Accent6 4 2 3 3 4 2" xfId="47083" xr:uid="{00000000-0005-0000-0000-0000F9300000}"/>
    <cellStyle name="20% - Accent6 4 2 3 3 5" xfId="32584" xr:uid="{00000000-0005-0000-0000-0000FA300000}"/>
    <cellStyle name="20% - Accent6 4 2 3 4" xfId="4551" xr:uid="{00000000-0005-0000-0000-0000FB300000}"/>
    <cellStyle name="20% - Accent6 4 2 3 4 2" xfId="11823" xr:uid="{00000000-0005-0000-0000-0000FC300000}"/>
    <cellStyle name="20% - Accent6 4 2 3 4 2 2" xfId="26357" xr:uid="{00000000-0005-0000-0000-0000FD300000}"/>
    <cellStyle name="20% - Accent6 4 2 3 4 2 2 2" xfId="55363" xr:uid="{00000000-0005-0000-0000-0000FE300000}"/>
    <cellStyle name="20% - Accent6 4 2 3 4 2 3" xfId="40864" xr:uid="{00000000-0005-0000-0000-0000FF300000}"/>
    <cellStyle name="20% - Accent6 4 2 3 4 3" xfId="19109" xr:uid="{00000000-0005-0000-0000-000000310000}"/>
    <cellStyle name="20% - Accent6 4 2 3 4 3 2" xfId="48115" xr:uid="{00000000-0005-0000-0000-000001310000}"/>
    <cellStyle name="20% - Accent6 4 2 3 4 4" xfId="33616" xr:uid="{00000000-0005-0000-0000-000002310000}"/>
    <cellStyle name="20% - Accent6 4 2 3 5" xfId="7655" xr:uid="{00000000-0005-0000-0000-000003310000}"/>
    <cellStyle name="20% - Accent6 4 2 3 5 2" xfId="14927" xr:uid="{00000000-0005-0000-0000-000004310000}"/>
    <cellStyle name="20% - Accent6 4 2 3 5 2 2" xfId="29461" xr:uid="{00000000-0005-0000-0000-000005310000}"/>
    <cellStyle name="20% - Accent6 4 2 3 5 2 2 2" xfId="58467" xr:uid="{00000000-0005-0000-0000-000006310000}"/>
    <cellStyle name="20% - Accent6 4 2 3 5 2 3" xfId="43968" xr:uid="{00000000-0005-0000-0000-000007310000}"/>
    <cellStyle name="20% - Accent6 4 2 3 5 3" xfId="22213" xr:uid="{00000000-0005-0000-0000-000008310000}"/>
    <cellStyle name="20% - Accent6 4 2 3 5 3 2" xfId="51219" xr:uid="{00000000-0005-0000-0000-000009310000}"/>
    <cellStyle name="20% - Accent6 4 2 3 5 4" xfId="36720" xr:uid="{00000000-0005-0000-0000-00000A310000}"/>
    <cellStyle name="20% - Accent6 4 2 3 6" xfId="8719" xr:uid="{00000000-0005-0000-0000-00000B310000}"/>
    <cellStyle name="20% - Accent6 4 2 3 6 2" xfId="23253" xr:uid="{00000000-0005-0000-0000-00000C310000}"/>
    <cellStyle name="20% - Accent6 4 2 3 6 2 2" xfId="52259" xr:uid="{00000000-0005-0000-0000-00000D310000}"/>
    <cellStyle name="20% - Accent6 4 2 3 6 3" xfId="37760" xr:uid="{00000000-0005-0000-0000-00000E310000}"/>
    <cellStyle name="20% - Accent6 4 2 3 7" xfId="16005" xr:uid="{00000000-0005-0000-0000-00000F310000}"/>
    <cellStyle name="20% - Accent6 4 2 3 7 2" xfId="45011" xr:uid="{00000000-0005-0000-0000-000010310000}"/>
    <cellStyle name="20% - Accent6 4 2 3 8" xfId="30512" xr:uid="{00000000-0005-0000-0000-000011310000}"/>
    <cellStyle name="20% - Accent6 4 2 4" xfId="1975" xr:uid="{00000000-0005-0000-0000-000012310000}"/>
    <cellStyle name="20% - Accent6 4 2 4 2" xfId="5079" xr:uid="{00000000-0005-0000-0000-000013310000}"/>
    <cellStyle name="20% - Accent6 4 2 4 2 2" xfId="12351" xr:uid="{00000000-0005-0000-0000-000014310000}"/>
    <cellStyle name="20% - Accent6 4 2 4 2 2 2" xfId="26885" xr:uid="{00000000-0005-0000-0000-000015310000}"/>
    <cellStyle name="20% - Accent6 4 2 4 2 2 2 2" xfId="55891" xr:uid="{00000000-0005-0000-0000-000016310000}"/>
    <cellStyle name="20% - Accent6 4 2 4 2 2 3" xfId="41392" xr:uid="{00000000-0005-0000-0000-000017310000}"/>
    <cellStyle name="20% - Accent6 4 2 4 2 3" xfId="19637" xr:uid="{00000000-0005-0000-0000-000018310000}"/>
    <cellStyle name="20% - Accent6 4 2 4 2 3 2" xfId="48643" xr:uid="{00000000-0005-0000-0000-000019310000}"/>
    <cellStyle name="20% - Accent6 4 2 4 2 4" xfId="34144" xr:uid="{00000000-0005-0000-0000-00001A310000}"/>
    <cellStyle name="20% - Accent6 4 2 4 3" xfId="9247" xr:uid="{00000000-0005-0000-0000-00001B310000}"/>
    <cellStyle name="20% - Accent6 4 2 4 3 2" xfId="23781" xr:uid="{00000000-0005-0000-0000-00001C310000}"/>
    <cellStyle name="20% - Accent6 4 2 4 3 2 2" xfId="52787" xr:uid="{00000000-0005-0000-0000-00001D310000}"/>
    <cellStyle name="20% - Accent6 4 2 4 3 3" xfId="38288" xr:uid="{00000000-0005-0000-0000-00001E310000}"/>
    <cellStyle name="20% - Accent6 4 2 4 4" xfId="16533" xr:uid="{00000000-0005-0000-0000-00001F310000}"/>
    <cellStyle name="20% - Accent6 4 2 4 4 2" xfId="45539" xr:uid="{00000000-0005-0000-0000-000020310000}"/>
    <cellStyle name="20% - Accent6 4 2 4 5" xfId="31040" xr:uid="{00000000-0005-0000-0000-000021310000}"/>
    <cellStyle name="20% - Accent6 4 2 5" xfId="3007" xr:uid="{00000000-0005-0000-0000-000022310000}"/>
    <cellStyle name="20% - Accent6 4 2 5 2" xfId="6111" xr:uid="{00000000-0005-0000-0000-000023310000}"/>
    <cellStyle name="20% - Accent6 4 2 5 2 2" xfId="13383" xr:uid="{00000000-0005-0000-0000-000024310000}"/>
    <cellStyle name="20% - Accent6 4 2 5 2 2 2" xfId="27917" xr:uid="{00000000-0005-0000-0000-000025310000}"/>
    <cellStyle name="20% - Accent6 4 2 5 2 2 2 2" xfId="56923" xr:uid="{00000000-0005-0000-0000-000026310000}"/>
    <cellStyle name="20% - Accent6 4 2 5 2 2 3" xfId="42424" xr:uid="{00000000-0005-0000-0000-000027310000}"/>
    <cellStyle name="20% - Accent6 4 2 5 2 3" xfId="20669" xr:uid="{00000000-0005-0000-0000-000028310000}"/>
    <cellStyle name="20% - Accent6 4 2 5 2 3 2" xfId="49675" xr:uid="{00000000-0005-0000-0000-000029310000}"/>
    <cellStyle name="20% - Accent6 4 2 5 2 4" xfId="35176" xr:uid="{00000000-0005-0000-0000-00002A310000}"/>
    <cellStyle name="20% - Accent6 4 2 5 3" xfId="10279" xr:uid="{00000000-0005-0000-0000-00002B310000}"/>
    <cellStyle name="20% - Accent6 4 2 5 3 2" xfId="24813" xr:uid="{00000000-0005-0000-0000-00002C310000}"/>
    <cellStyle name="20% - Accent6 4 2 5 3 2 2" xfId="53819" xr:uid="{00000000-0005-0000-0000-00002D310000}"/>
    <cellStyle name="20% - Accent6 4 2 5 3 3" xfId="39320" xr:uid="{00000000-0005-0000-0000-00002E310000}"/>
    <cellStyle name="20% - Accent6 4 2 5 4" xfId="17565" xr:uid="{00000000-0005-0000-0000-00002F310000}"/>
    <cellStyle name="20% - Accent6 4 2 5 4 2" xfId="46571" xr:uid="{00000000-0005-0000-0000-000030310000}"/>
    <cellStyle name="20% - Accent6 4 2 5 5" xfId="32072" xr:uid="{00000000-0005-0000-0000-000031310000}"/>
    <cellStyle name="20% - Accent6 4 2 6" xfId="4039" xr:uid="{00000000-0005-0000-0000-000032310000}"/>
    <cellStyle name="20% - Accent6 4 2 6 2" xfId="11311" xr:uid="{00000000-0005-0000-0000-000033310000}"/>
    <cellStyle name="20% - Accent6 4 2 6 2 2" xfId="25845" xr:uid="{00000000-0005-0000-0000-000034310000}"/>
    <cellStyle name="20% - Accent6 4 2 6 2 2 2" xfId="54851" xr:uid="{00000000-0005-0000-0000-000035310000}"/>
    <cellStyle name="20% - Accent6 4 2 6 2 3" xfId="40352" xr:uid="{00000000-0005-0000-0000-000036310000}"/>
    <cellStyle name="20% - Accent6 4 2 6 3" xfId="18597" xr:uid="{00000000-0005-0000-0000-000037310000}"/>
    <cellStyle name="20% - Accent6 4 2 6 3 2" xfId="47603" xr:uid="{00000000-0005-0000-0000-000038310000}"/>
    <cellStyle name="20% - Accent6 4 2 6 4" xfId="33104" xr:uid="{00000000-0005-0000-0000-000039310000}"/>
    <cellStyle name="20% - Accent6 4 2 7" xfId="7143" xr:uid="{00000000-0005-0000-0000-00003A310000}"/>
    <cellStyle name="20% - Accent6 4 2 7 2" xfId="14415" xr:uid="{00000000-0005-0000-0000-00003B310000}"/>
    <cellStyle name="20% - Accent6 4 2 7 2 2" xfId="28949" xr:uid="{00000000-0005-0000-0000-00003C310000}"/>
    <cellStyle name="20% - Accent6 4 2 7 2 2 2" xfId="57955" xr:uid="{00000000-0005-0000-0000-00003D310000}"/>
    <cellStyle name="20% - Accent6 4 2 7 2 3" xfId="43456" xr:uid="{00000000-0005-0000-0000-00003E310000}"/>
    <cellStyle name="20% - Accent6 4 2 7 3" xfId="21701" xr:uid="{00000000-0005-0000-0000-00003F310000}"/>
    <cellStyle name="20% - Accent6 4 2 7 3 2" xfId="50707" xr:uid="{00000000-0005-0000-0000-000040310000}"/>
    <cellStyle name="20% - Accent6 4 2 7 4" xfId="36208" xr:uid="{00000000-0005-0000-0000-000041310000}"/>
    <cellStyle name="20% - Accent6 4 2 8" xfId="8207" xr:uid="{00000000-0005-0000-0000-000042310000}"/>
    <cellStyle name="20% - Accent6 4 2 8 2" xfId="22741" xr:uid="{00000000-0005-0000-0000-000043310000}"/>
    <cellStyle name="20% - Accent6 4 2 8 2 2" xfId="51747" xr:uid="{00000000-0005-0000-0000-000044310000}"/>
    <cellStyle name="20% - Accent6 4 2 8 3" xfId="37248" xr:uid="{00000000-0005-0000-0000-000045310000}"/>
    <cellStyle name="20% - Accent6 4 2 9" xfId="15493" xr:uid="{00000000-0005-0000-0000-000046310000}"/>
    <cellStyle name="20% - Accent6 4 2 9 2" xfId="44499" xr:uid="{00000000-0005-0000-0000-000047310000}"/>
    <cellStyle name="20% - Accent6 4 3" xfId="1133" xr:uid="{00000000-0005-0000-0000-000048310000}"/>
    <cellStyle name="20% - Accent6 4 3 2" xfId="1631" xr:uid="{00000000-0005-0000-0000-000049310000}"/>
    <cellStyle name="20% - Accent6 4 3 2 2" xfId="2690" xr:uid="{00000000-0005-0000-0000-00004A310000}"/>
    <cellStyle name="20% - Accent6 4 3 2 2 2" xfId="5794" xr:uid="{00000000-0005-0000-0000-00004B310000}"/>
    <cellStyle name="20% - Accent6 4 3 2 2 2 2" xfId="13066" xr:uid="{00000000-0005-0000-0000-00004C310000}"/>
    <cellStyle name="20% - Accent6 4 3 2 2 2 2 2" xfId="27600" xr:uid="{00000000-0005-0000-0000-00004D310000}"/>
    <cellStyle name="20% - Accent6 4 3 2 2 2 2 2 2" xfId="56606" xr:uid="{00000000-0005-0000-0000-00004E310000}"/>
    <cellStyle name="20% - Accent6 4 3 2 2 2 2 3" xfId="42107" xr:uid="{00000000-0005-0000-0000-00004F310000}"/>
    <cellStyle name="20% - Accent6 4 3 2 2 2 3" xfId="20352" xr:uid="{00000000-0005-0000-0000-000050310000}"/>
    <cellStyle name="20% - Accent6 4 3 2 2 2 3 2" xfId="49358" xr:uid="{00000000-0005-0000-0000-000051310000}"/>
    <cellStyle name="20% - Accent6 4 3 2 2 2 4" xfId="34859" xr:uid="{00000000-0005-0000-0000-000052310000}"/>
    <cellStyle name="20% - Accent6 4 3 2 2 3" xfId="9962" xr:uid="{00000000-0005-0000-0000-000053310000}"/>
    <cellStyle name="20% - Accent6 4 3 2 2 3 2" xfId="24496" xr:uid="{00000000-0005-0000-0000-000054310000}"/>
    <cellStyle name="20% - Accent6 4 3 2 2 3 2 2" xfId="53502" xr:uid="{00000000-0005-0000-0000-000055310000}"/>
    <cellStyle name="20% - Accent6 4 3 2 2 3 3" xfId="39003" xr:uid="{00000000-0005-0000-0000-000056310000}"/>
    <cellStyle name="20% - Accent6 4 3 2 2 4" xfId="17248" xr:uid="{00000000-0005-0000-0000-000057310000}"/>
    <cellStyle name="20% - Accent6 4 3 2 2 4 2" xfId="46254" xr:uid="{00000000-0005-0000-0000-000058310000}"/>
    <cellStyle name="20% - Accent6 4 3 2 2 5" xfId="31755" xr:uid="{00000000-0005-0000-0000-000059310000}"/>
    <cellStyle name="20% - Accent6 4 3 2 3" xfId="3722" xr:uid="{00000000-0005-0000-0000-00005A310000}"/>
    <cellStyle name="20% - Accent6 4 3 2 3 2" xfId="6826" xr:uid="{00000000-0005-0000-0000-00005B310000}"/>
    <cellStyle name="20% - Accent6 4 3 2 3 2 2" xfId="14098" xr:uid="{00000000-0005-0000-0000-00005C310000}"/>
    <cellStyle name="20% - Accent6 4 3 2 3 2 2 2" xfId="28632" xr:uid="{00000000-0005-0000-0000-00005D310000}"/>
    <cellStyle name="20% - Accent6 4 3 2 3 2 2 2 2" xfId="57638" xr:uid="{00000000-0005-0000-0000-00005E310000}"/>
    <cellStyle name="20% - Accent6 4 3 2 3 2 2 3" xfId="43139" xr:uid="{00000000-0005-0000-0000-00005F310000}"/>
    <cellStyle name="20% - Accent6 4 3 2 3 2 3" xfId="21384" xr:uid="{00000000-0005-0000-0000-000060310000}"/>
    <cellStyle name="20% - Accent6 4 3 2 3 2 3 2" xfId="50390" xr:uid="{00000000-0005-0000-0000-000061310000}"/>
    <cellStyle name="20% - Accent6 4 3 2 3 2 4" xfId="35891" xr:uid="{00000000-0005-0000-0000-000062310000}"/>
    <cellStyle name="20% - Accent6 4 3 2 3 3" xfId="10994" xr:uid="{00000000-0005-0000-0000-000063310000}"/>
    <cellStyle name="20% - Accent6 4 3 2 3 3 2" xfId="25528" xr:uid="{00000000-0005-0000-0000-000064310000}"/>
    <cellStyle name="20% - Accent6 4 3 2 3 3 2 2" xfId="54534" xr:uid="{00000000-0005-0000-0000-000065310000}"/>
    <cellStyle name="20% - Accent6 4 3 2 3 3 3" xfId="40035" xr:uid="{00000000-0005-0000-0000-000066310000}"/>
    <cellStyle name="20% - Accent6 4 3 2 3 4" xfId="18280" xr:uid="{00000000-0005-0000-0000-000067310000}"/>
    <cellStyle name="20% - Accent6 4 3 2 3 4 2" xfId="47286" xr:uid="{00000000-0005-0000-0000-000068310000}"/>
    <cellStyle name="20% - Accent6 4 3 2 3 5" xfId="32787" xr:uid="{00000000-0005-0000-0000-000069310000}"/>
    <cellStyle name="20% - Accent6 4 3 2 4" xfId="4754" xr:uid="{00000000-0005-0000-0000-00006A310000}"/>
    <cellStyle name="20% - Accent6 4 3 2 4 2" xfId="12026" xr:uid="{00000000-0005-0000-0000-00006B310000}"/>
    <cellStyle name="20% - Accent6 4 3 2 4 2 2" xfId="26560" xr:uid="{00000000-0005-0000-0000-00006C310000}"/>
    <cellStyle name="20% - Accent6 4 3 2 4 2 2 2" xfId="55566" xr:uid="{00000000-0005-0000-0000-00006D310000}"/>
    <cellStyle name="20% - Accent6 4 3 2 4 2 3" xfId="41067" xr:uid="{00000000-0005-0000-0000-00006E310000}"/>
    <cellStyle name="20% - Accent6 4 3 2 4 3" xfId="19312" xr:uid="{00000000-0005-0000-0000-00006F310000}"/>
    <cellStyle name="20% - Accent6 4 3 2 4 3 2" xfId="48318" xr:uid="{00000000-0005-0000-0000-000070310000}"/>
    <cellStyle name="20% - Accent6 4 3 2 4 4" xfId="33819" xr:uid="{00000000-0005-0000-0000-000071310000}"/>
    <cellStyle name="20% - Accent6 4 3 2 5" xfId="7858" xr:uid="{00000000-0005-0000-0000-000072310000}"/>
    <cellStyle name="20% - Accent6 4 3 2 5 2" xfId="15130" xr:uid="{00000000-0005-0000-0000-000073310000}"/>
    <cellStyle name="20% - Accent6 4 3 2 5 2 2" xfId="29664" xr:uid="{00000000-0005-0000-0000-000074310000}"/>
    <cellStyle name="20% - Accent6 4 3 2 5 2 2 2" xfId="58670" xr:uid="{00000000-0005-0000-0000-000075310000}"/>
    <cellStyle name="20% - Accent6 4 3 2 5 2 3" xfId="44171" xr:uid="{00000000-0005-0000-0000-000076310000}"/>
    <cellStyle name="20% - Accent6 4 3 2 5 3" xfId="22416" xr:uid="{00000000-0005-0000-0000-000077310000}"/>
    <cellStyle name="20% - Accent6 4 3 2 5 3 2" xfId="51422" xr:uid="{00000000-0005-0000-0000-000078310000}"/>
    <cellStyle name="20% - Accent6 4 3 2 5 4" xfId="36923" xr:uid="{00000000-0005-0000-0000-000079310000}"/>
    <cellStyle name="20% - Accent6 4 3 2 6" xfId="8922" xr:uid="{00000000-0005-0000-0000-00007A310000}"/>
    <cellStyle name="20% - Accent6 4 3 2 6 2" xfId="23456" xr:uid="{00000000-0005-0000-0000-00007B310000}"/>
    <cellStyle name="20% - Accent6 4 3 2 6 2 2" xfId="52462" xr:uid="{00000000-0005-0000-0000-00007C310000}"/>
    <cellStyle name="20% - Accent6 4 3 2 6 3" xfId="37963" xr:uid="{00000000-0005-0000-0000-00007D310000}"/>
    <cellStyle name="20% - Accent6 4 3 2 7" xfId="16208" xr:uid="{00000000-0005-0000-0000-00007E310000}"/>
    <cellStyle name="20% - Accent6 4 3 2 7 2" xfId="45214" xr:uid="{00000000-0005-0000-0000-00007F310000}"/>
    <cellStyle name="20% - Accent6 4 3 2 8" xfId="30715" xr:uid="{00000000-0005-0000-0000-000080310000}"/>
    <cellStyle name="20% - Accent6 4 3 3" xfId="2178" xr:uid="{00000000-0005-0000-0000-000081310000}"/>
    <cellStyle name="20% - Accent6 4 3 3 2" xfId="5282" xr:uid="{00000000-0005-0000-0000-000082310000}"/>
    <cellStyle name="20% - Accent6 4 3 3 2 2" xfId="12554" xr:uid="{00000000-0005-0000-0000-000083310000}"/>
    <cellStyle name="20% - Accent6 4 3 3 2 2 2" xfId="27088" xr:uid="{00000000-0005-0000-0000-000084310000}"/>
    <cellStyle name="20% - Accent6 4 3 3 2 2 2 2" xfId="56094" xr:uid="{00000000-0005-0000-0000-000085310000}"/>
    <cellStyle name="20% - Accent6 4 3 3 2 2 3" xfId="41595" xr:uid="{00000000-0005-0000-0000-000086310000}"/>
    <cellStyle name="20% - Accent6 4 3 3 2 3" xfId="19840" xr:uid="{00000000-0005-0000-0000-000087310000}"/>
    <cellStyle name="20% - Accent6 4 3 3 2 3 2" xfId="48846" xr:uid="{00000000-0005-0000-0000-000088310000}"/>
    <cellStyle name="20% - Accent6 4 3 3 2 4" xfId="34347" xr:uid="{00000000-0005-0000-0000-000089310000}"/>
    <cellStyle name="20% - Accent6 4 3 3 3" xfId="9450" xr:uid="{00000000-0005-0000-0000-00008A310000}"/>
    <cellStyle name="20% - Accent6 4 3 3 3 2" xfId="23984" xr:uid="{00000000-0005-0000-0000-00008B310000}"/>
    <cellStyle name="20% - Accent6 4 3 3 3 2 2" xfId="52990" xr:uid="{00000000-0005-0000-0000-00008C310000}"/>
    <cellStyle name="20% - Accent6 4 3 3 3 3" xfId="38491" xr:uid="{00000000-0005-0000-0000-00008D310000}"/>
    <cellStyle name="20% - Accent6 4 3 3 4" xfId="16736" xr:uid="{00000000-0005-0000-0000-00008E310000}"/>
    <cellStyle name="20% - Accent6 4 3 3 4 2" xfId="45742" xr:uid="{00000000-0005-0000-0000-00008F310000}"/>
    <cellStyle name="20% - Accent6 4 3 3 5" xfId="31243" xr:uid="{00000000-0005-0000-0000-000090310000}"/>
    <cellStyle name="20% - Accent6 4 3 4" xfId="3210" xr:uid="{00000000-0005-0000-0000-000091310000}"/>
    <cellStyle name="20% - Accent6 4 3 4 2" xfId="6314" xr:uid="{00000000-0005-0000-0000-000092310000}"/>
    <cellStyle name="20% - Accent6 4 3 4 2 2" xfId="13586" xr:uid="{00000000-0005-0000-0000-000093310000}"/>
    <cellStyle name="20% - Accent6 4 3 4 2 2 2" xfId="28120" xr:uid="{00000000-0005-0000-0000-000094310000}"/>
    <cellStyle name="20% - Accent6 4 3 4 2 2 2 2" xfId="57126" xr:uid="{00000000-0005-0000-0000-000095310000}"/>
    <cellStyle name="20% - Accent6 4 3 4 2 2 3" xfId="42627" xr:uid="{00000000-0005-0000-0000-000096310000}"/>
    <cellStyle name="20% - Accent6 4 3 4 2 3" xfId="20872" xr:uid="{00000000-0005-0000-0000-000097310000}"/>
    <cellStyle name="20% - Accent6 4 3 4 2 3 2" xfId="49878" xr:uid="{00000000-0005-0000-0000-000098310000}"/>
    <cellStyle name="20% - Accent6 4 3 4 2 4" xfId="35379" xr:uid="{00000000-0005-0000-0000-000099310000}"/>
    <cellStyle name="20% - Accent6 4 3 4 3" xfId="10482" xr:uid="{00000000-0005-0000-0000-00009A310000}"/>
    <cellStyle name="20% - Accent6 4 3 4 3 2" xfId="25016" xr:uid="{00000000-0005-0000-0000-00009B310000}"/>
    <cellStyle name="20% - Accent6 4 3 4 3 2 2" xfId="54022" xr:uid="{00000000-0005-0000-0000-00009C310000}"/>
    <cellStyle name="20% - Accent6 4 3 4 3 3" xfId="39523" xr:uid="{00000000-0005-0000-0000-00009D310000}"/>
    <cellStyle name="20% - Accent6 4 3 4 4" xfId="17768" xr:uid="{00000000-0005-0000-0000-00009E310000}"/>
    <cellStyle name="20% - Accent6 4 3 4 4 2" xfId="46774" xr:uid="{00000000-0005-0000-0000-00009F310000}"/>
    <cellStyle name="20% - Accent6 4 3 4 5" xfId="32275" xr:uid="{00000000-0005-0000-0000-0000A0310000}"/>
    <cellStyle name="20% - Accent6 4 3 5" xfId="4242" xr:uid="{00000000-0005-0000-0000-0000A1310000}"/>
    <cellStyle name="20% - Accent6 4 3 5 2" xfId="11514" xr:uid="{00000000-0005-0000-0000-0000A2310000}"/>
    <cellStyle name="20% - Accent6 4 3 5 2 2" xfId="26048" xr:uid="{00000000-0005-0000-0000-0000A3310000}"/>
    <cellStyle name="20% - Accent6 4 3 5 2 2 2" xfId="55054" xr:uid="{00000000-0005-0000-0000-0000A4310000}"/>
    <cellStyle name="20% - Accent6 4 3 5 2 3" xfId="40555" xr:uid="{00000000-0005-0000-0000-0000A5310000}"/>
    <cellStyle name="20% - Accent6 4 3 5 3" xfId="18800" xr:uid="{00000000-0005-0000-0000-0000A6310000}"/>
    <cellStyle name="20% - Accent6 4 3 5 3 2" xfId="47806" xr:uid="{00000000-0005-0000-0000-0000A7310000}"/>
    <cellStyle name="20% - Accent6 4 3 5 4" xfId="33307" xr:uid="{00000000-0005-0000-0000-0000A8310000}"/>
    <cellStyle name="20% - Accent6 4 3 6" xfId="7346" xr:uid="{00000000-0005-0000-0000-0000A9310000}"/>
    <cellStyle name="20% - Accent6 4 3 6 2" xfId="14618" xr:uid="{00000000-0005-0000-0000-0000AA310000}"/>
    <cellStyle name="20% - Accent6 4 3 6 2 2" xfId="29152" xr:uid="{00000000-0005-0000-0000-0000AB310000}"/>
    <cellStyle name="20% - Accent6 4 3 6 2 2 2" xfId="58158" xr:uid="{00000000-0005-0000-0000-0000AC310000}"/>
    <cellStyle name="20% - Accent6 4 3 6 2 3" xfId="43659" xr:uid="{00000000-0005-0000-0000-0000AD310000}"/>
    <cellStyle name="20% - Accent6 4 3 6 3" xfId="21904" xr:uid="{00000000-0005-0000-0000-0000AE310000}"/>
    <cellStyle name="20% - Accent6 4 3 6 3 2" xfId="50910" xr:uid="{00000000-0005-0000-0000-0000AF310000}"/>
    <cellStyle name="20% - Accent6 4 3 6 4" xfId="36411" xr:uid="{00000000-0005-0000-0000-0000B0310000}"/>
    <cellStyle name="20% - Accent6 4 3 7" xfId="8410" xr:uid="{00000000-0005-0000-0000-0000B1310000}"/>
    <cellStyle name="20% - Accent6 4 3 7 2" xfId="22944" xr:uid="{00000000-0005-0000-0000-0000B2310000}"/>
    <cellStyle name="20% - Accent6 4 3 7 2 2" xfId="51950" xr:uid="{00000000-0005-0000-0000-0000B3310000}"/>
    <cellStyle name="20% - Accent6 4 3 7 3" xfId="37451" xr:uid="{00000000-0005-0000-0000-0000B4310000}"/>
    <cellStyle name="20% - Accent6 4 3 8" xfId="15696" xr:uid="{00000000-0005-0000-0000-0000B5310000}"/>
    <cellStyle name="20% - Accent6 4 3 8 2" xfId="44702" xr:uid="{00000000-0005-0000-0000-0000B6310000}"/>
    <cellStyle name="20% - Accent6 4 3 9" xfId="30203" xr:uid="{00000000-0005-0000-0000-0000B7310000}"/>
    <cellStyle name="20% - Accent6 4 4" xfId="1042" xr:uid="{00000000-0005-0000-0000-0000B8310000}"/>
    <cellStyle name="20% - Accent6 4 4 2" xfId="1532" xr:uid="{00000000-0005-0000-0000-0000B9310000}"/>
    <cellStyle name="20% - Accent6 4 4 2 2" xfId="2590" xr:uid="{00000000-0005-0000-0000-0000BA310000}"/>
    <cellStyle name="20% - Accent6 4 4 2 2 2" xfId="5694" xr:uid="{00000000-0005-0000-0000-0000BB310000}"/>
    <cellStyle name="20% - Accent6 4 4 2 2 2 2" xfId="12966" xr:uid="{00000000-0005-0000-0000-0000BC310000}"/>
    <cellStyle name="20% - Accent6 4 4 2 2 2 2 2" xfId="27500" xr:uid="{00000000-0005-0000-0000-0000BD310000}"/>
    <cellStyle name="20% - Accent6 4 4 2 2 2 2 2 2" xfId="56506" xr:uid="{00000000-0005-0000-0000-0000BE310000}"/>
    <cellStyle name="20% - Accent6 4 4 2 2 2 2 3" xfId="42007" xr:uid="{00000000-0005-0000-0000-0000BF310000}"/>
    <cellStyle name="20% - Accent6 4 4 2 2 2 3" xfId="20252" xr:uid="{00000000-0005-0000-0000-0000C0310000}"/>
    <cellStyle name="20% - Accent6 4 4 2 2 2 3 2" xfId="49258" xr:uid="{00000000-0005-0000-0000-0000C1310000}"/>
    <cellStyle name="20% - Accent6 4 4 2 2 2 4" xfId="34759" xr:uid="{00000000-0005-0000-0000-0000C2310000}"/>
    <cellStyle name="20% - Accent6 4 4 2 2 3" xfId="9862" xr:uid="{00000000-0005-0000-0000-0000C3310000}"/>
    <cellStyle name="20% - Accent6 4 4 2 2 3 2" xfId="24396" xr:uid="{00000000-0005-0000-0000-0000C4310000}"/>
    <cellStyle name="20% - Accent6 4 4 2 2 3 2 2" xfId="53402" xr:uid="{00000000-0005-0000-0000-0000C5310000}"/>
    <cellStyle name="20% - Accent6 4 4 2 2 3 3" xfId="38903" xr:uid="{00000000-0005-0000-0000-0000C6310000}"/>
    <cellStyle name="20% - Accent6 4 4 2 2 4" xfId="17148" xr:uid="{00000000-0005-0000-0000-0000C7310000}"/>
    <cellStyle name="20% - Accent6 4 4 2 2 4 2" xfId="46154" xr:uid="{00000000-0005-0000-0000-0000C8310000}"/>
    <cellStyle name="20% - Accent6 4 4 2 2 5" xfId="31655" xr:uid="{00000000-0005-0000-0000-0000C9310000}"/>
    <cellStyle name="20% - Accent6 4 4 2 3" xfId="3622" xr:uid="{00000000-0005-0000-0000-0000CA310000}"/>
    <cellStyle name="20% - Accent6 4 4 2 3 2" xfId="6726" xr:uid="{00000000-0005-0000-0000-0000CB310000}"/>
    <cellStyle name="20% - Accent6 4 4 2 3 2 2" xfId="13998" xr:uid="{00000000-0005-0000-0000-0000CC310000}"/>
    <cellStyle name="20% - Accent6 4 4 2 3 2 2 2" xfId="28532" xr:uid="{00000000-0005-0000-0000-0000CD310000}"/>
    <cellStyle name="20% - Accent6 4 4 2 3 2 2 2 2" xfId="57538" xr:uid="{00000000-0005-0000-0000-0000CE310000}"/>
    <cellStyle name="20% - Accent6 4 4 2 3 2 2 3" xfId="43039" xr:uid="{00000000-0005-0000-0000-0000CF310000}"/>
    <cellStyle name="20% - Accent6 4 4 2 3 2 3" xfId="21284" xr:uid="{00000000-0005-0000-0000-0000D0310000}"/>
    <cellStyle name="20% - Accent6 4 4 2 3 2 3 2" xfId="50290" xr:uid="{00000000-0005-0000-0000-0000D1310000}"/>
    <cellStyle name="20% - Accent6 4 4 2 3 2 4" xfId="35791" xr:uid="{00000000-0005-0000-0000-0000D2310000}"/>
    <cellStyle name="20% - Accent6 4 4 2 3 3" xfId="10894" xr:uid="{00000000-0005-0000-0000-0000D3310000}"/>
    <cellStyle name="20% - Accent6 4 4 2 3 3 2" xfId="25428" xr:uid="{00000000-0005-0000-0000-0000D4310000}"/>
    <cellStyle name="20% - Accent6 4 4 2 3 3 2 2" xfId="54434" xr:uid="{00000000-0005-0000-0000-0000D5310000}"/>
    <cellStyle name="20% - Accent6 4 4 2 3 3 3" xfId="39935" xr:uid="{00000000-0005-0000-0000-0000D6310000}"/>
    <cellStyle name="20% - Accent6 4 4 2 3 4" xfId="18180" xr:uid="{00000000-0005-0000-0000-0000D7310000}"/>
    <cellStyle name="20% - Accent6 4 4 2 3 4 2" xfId="47186" xr:uid="{00000000-0005-0000-0000-0000D8310000}"/>
    <cellStyle name="20% - Accent6 4 4 2 3 5" xfId="32687" xr:uid="{00000000-0005-0000-0000-0000D9310000}"/>
    <cellStyle name="20% - Accent6 4 4 2 4" xfId="4654" xr:uid="{00000000-0005-0000-0000-0000DA310000}"/>
    <cellStyle name="20% - Accent6 4 4 2 4 2" xfId="11926" xr:uid="{00000000-0005-0000-0000-0000DB310000}"/>
    <cellStyle name="20% - Accent6 4 4 2 4 2 2" xfId="26460" xr:uid="{00000000-0005-0000-0000-0000DC310000}"/>
    <cellStyle name="20% - Accent6 4 4 2 4 2 2 2" xfId="55466" xr:uid="{00000000-0005-0000-0000-0000DD310000}"/>
    <cellStyle name="20% - Accent6 4 4 2 4 2 3" xfId="40967" xr:uid="{00000000-0005-0000-0000-0000DE310000}"/>
    <cellStyle name="20% - Accent6 4 4 2 4 3" xfId="19212" xr:uid="{00000000-0005-0000-0000-0000DF310000}"/>
    <cellStyle name="20% - Accent6 4 4 2 4 3 2" xfId="48218" xr:uid="{00000000-0005-0000-0000-0000E0310000}"/>
    <cellStyle name="20% - Accent6 4 4 2 4 4" xfId="33719" xr:uid="{00000000-0005-0000-0000-0000E1310000}"/>
    <cellStyle name="20% - Accent6 4 4 2 5" xfId="7758" xr:uid="{00000000-0005-0000-0000-0000E2310000}"/>
    <cellStyle name="20% - Accent6 4 4 2 5 2" xfId="15030" xr:uid="{00000000-0005-0000-0000-0000E3310000}"/>
    <cellStyle name="20% - Accent6 4 4 2 5 2 2" xfId="29564" xr:uid="{00000000-0005-0000-0000-0000E4310000}"/>
    <cellStyle name="20% - Accent6 4 4 2 5 2 2 2" xfId="58570" xr:uid="{00000000-0005-0000-0000-0000E5310000}"/>
    <cellStyle name="20% - Accent6 4 4 2 5 2 3" xfId="44071" xr:uid="{00000000-0005-0000-0000-0000E6310000}"/>
    <cellStyle name="20% - Accent6 4 4 2 5 3" xfId="22316" xr:uid="{00000000-0005-0000-0000-0000E7310000}"/>
    <cellStyle name="20% - Accent6 4 4 2 5 3 2" xfId="51322" xr:uid="{00000000-0005-0000-0000-0000E8310000}"/>
    <cellStyle name="20% - Accent6 4 4 2 5 4" xfId="36823" xr:uid="{00000000-0005-0000-0000-0000E9310000}"/>
    <cellStyle name="20% - Accent6 4 4 2 6" xfId="8822" xr:uid="{00000000-0005-0000-0000-0000EA310000}"/>
    <cellStyle name="20% - Accent6 4 4 2 6 2" xfId="23356" xr:uid="{00000000-0005-0000-0000-0000EB310000}"/>
    <cellStyle name="20% - Accent6 4 4 2 6 2 2" xfId="52362" xr:uid="{00000000-0005-0000-0000-0000EC310000}"/>
    <cellStyle name="20% - Accent6 4 4 2 6 3" xfId="37863" xr:uid="{00000000-0005-0000-0000-0000ED310000}"/>
    <cellStyle name="20% - Accent6 4 4 2 7" xfId="16108" xr:uid="{00000000-0005-0000-0000-0000EE310000}"/>
    <cellStyle name="20% - Accent6 4 4 2 7 2" xfId="45114" xr:uid="{00000000-0005-0000-0000-0000EF310000}"/>
    <cellStyle name="20% - Accent6 4 4 2 8" xfId="30615" xr:uid="{00000000-0005-0000-0000-0000F0310000}"/>
    <cellStyle name="20% - Accent6 4 4 3" xfId="2078" xr:uid="{00000000-0005-0000-0000-0000F1310000}"/>
    <cellStyle name="20% - Accent6 4 4 3 2" xfId="5182" xr:uid="{00000000-0005-0000-0000-0000F2310000}"/>
    <cellStyle name="20% - Accent6 4 4 3 2 2" xfId="12454" xr:uid="{00000000-0005-0000-0000-0000F3310000}"/>
    <cellStyle name="20% - Accent6 4 4 3 2 2 2" xfId="26988" xr:uid="{00000000-0005-0000-0000-0000F4310000}"/>
    <cellStyle name="20% - Accent6 4 4 3 2 2 2 2" xfId="55994" xr:uid="{00000000-0005-0000-0000-0000F5310000}"/>
    <cellStyle name="20% - Accent6 4 4 3 2 2 3" xfId="41495" xr:uid="{00000000-0005-0000-0000-0000F6310000}"/>
    <cellStyle name="20% - Accent6 4 4 3 2 3" xfId="19740" xr:uid="{00000000-0005-0000-0000-0000F7310000}"/>
    <cellStyle name="20% - Accent6 4 4 3 2 3 2" xfId="48746" xr:uid="{00000000-0005-0000-0000-0000F8310000}"/>
    <cellStyle name="20% - Accent6 4 4 3 2 4" xfId="34247" xr:uid="{00000000-0005-0000-0000-0000F9310000}"/>
    <cellStyle name="20% - Accent6 4 4 3 3" xfId="9350" xr:uid="{00000000-0005-0000-0000-0000FA310000}"/>
    <cellStyle name="20% - Accent6 4 4 3 3 2" xfId="23884" xr:uid="{00000000-0005-0000-0000-0000FB310000}"/>
    <cellStyle name="20% - Accent6 4 4 3 3 2 2" xfId="52890" xr:uid="{00000000-0005-0000-0000-0000FC310000}"/>
    <cellStyle name="20% - Accent6 4 4 3 3 3" xfId="38391" xr:uid="{00000000-0005-0000-0000-0000FD310000}"/>
    <cellStyle name="20% - Accent6 4 4 3 4" xfId="16636" xr:uid="{00000000-0005-0000-0000-0000FE310000}"/>
    <cellStyle name="20% - Accent6 4 4 3 4 2" xfId="45642" xr:uid="{00000000-0005-0000-0000-0000FF310000}"/>
    <cellStyle name="20% - Accent6 4 4 3 5" xfId="31143" xr:uid="{00000000-0005-0000-0000-000000320000}"/>
    <cellStyle name="20% - Accent6 4 4 4" xfId="3110" xr:uid="{00000000-0005-0000-0000-000001320000}"/>
    <cellStyle name="20% - Accent6 4 4 4 2" xfId="6214" xr:uid="{00000000-0005-0000-0000-000002320000}"/>
    <cellStyle name="20% - Accent6 4 4 4 2 2" xfId="13486" xr:uid="{00000000-0005-0000-0000-000003320000}"/>
    <cellStyle name="20% - Accent6 4 4 4 2 2 2" xfId="28020" xr:uid="{00000000-0005-0000-0000-000004320000}"/>
    <cellStyle name="20% - Accent6 4 4 4 2 2 2 2" xfId="57026" xr:uid="{00000000-0005-0000-0000-000005320000}"/>
    <cellStyle name="20% - Accent6 4 4 4 2 2 3" xfId="42527" xr:uid="{00000000-0005-0000-0000-000006320000}"/>
    <cellStyle name="20% - Accent6 4 4 4 2 3" xfId="20772" xr:uid="{00000000-0005-0000-0000-000007320000}"/>
    <cellStyle name="20% - Accent6 4 4 4 2 3 2" xfId="49778" xr:uid="{00000000-0005-0000-0000-000008320000}"/>
    <cellStyle name="20% - Accent6 4 4 4 2 4" xfId="35279" xr:uid="{00000000-0005-0000-0000-000009320000}"/>
    <cellStyle name="20% - Accent6 4 4 4 3" xfId="10382" xr:uid="{00000000-0005-0000-0000-00000A320000}"/>
    <cellStyle name="20% - Accent6 4 4 4 3 2" xfId="24916" xr:uid="{00000000-0005-0000-0000-00000B320000}"/>
    <cellStyle name="20% - Accent6 4 4 4 3 2 2" xfId="53922" xr:uid="{00000000-0005-0000-0000-00000C320000}"/>
    <cellStyle name="20% - Accent6 4 4 4 3 3" xfId="39423" xr:uid="{00000000-0005-0000-0000-00000D320000}"/>
    <cellStyle name="20% - Accent6 4 4 4 4" xfId="17668" xr:uid="{00000000-0005-0000-0000-00000E320000}"/>
    <cellStyle name="20% - Accent6 4 4 4 4 2" xfId="46674" xr:uid="{00000000-0005-0000-0000-00000F320000}"/>
    <cellStyle name="20% - Accent6 4 4 4 5" xfId="32175" xr:uid="{00000000-0005-0000-0000-000010320000}"/>
    <cellStyle name="20% - Accent6 4 4 5" xfId="4142" xr:uid="{00000000-0005-0000-0000-000011320000}"/>
    <cellStyle name="20% - Accent6 4 4 5 2" xfId="11414" xr:uid="{00000000-0005-0000-0000-000012320000}"/>
    <cellStyle name="20% - Accent6 4 4 5 2 2" xfId="25948" xr:uid="{00000000-0005-0000-0000-000013320000}"/>
    <cellStyle name="20% - Accent6 4 4 5 2 2 2" xfId="54954" xr:uid="{00000000-0005-0000-0000-000014320000}"/>
    <cellStyle name="20% - Accent6 4 4 5 2 3" xfId="40455" xr:uid="{00000000-0005-0000-0000-000015320000}"/>
    <cellStyle name="20% - Accent6 4 4 5 3" xfId="18700" xr:uid="{00000000-0005-0000-0000-000016320000}"/>
    <cellStyle name="20% - Accent6 4 4 5 3 2" xfId="47706" xr:uid="{00000000-0005-0000-0000-000017320000}"/>
    <cellStyle name="20% - Accent6 4 4 5 4" xfId="33207" xr:uid="{00000000-0005-0000-0000-000018320000}"/>
    <cellStyle name="20% - Accent6 4 4 6" xfId="7246" xr:uid="{00000000-0005-0000-0000-000019320000}"/>
    <cellStyle name="20% - Accent6 4 4 6 2" xfId="14518" xr:uid="{00000000-0005-0000-0000-00001A320000}"/>
    <cellStyle name="20% - Accent6 4 4 6 2 2" xfId="29052" xr:uid="{00000000-0005-0000-0000-00001B320000}"/>
    <cellStyle name="20% - Accent6 4 4 6 2 2 2" xfId="58058" xr:uid="{00000000-0005-0000-0000-00001C320000}"/>
    <cellStyle name="20% - Accent6 4 4 6 2 3" xfId="43559" xr:uid="{00000000-0005-0000-0000-00001D320000}"/>
    <cellStyle name="20% - Accent6 4 4 6 3" xfId="21804" xr:uid="{00000000-0005-0000-0000-00001E320000}"/>
    <cellStyle name="20% - Accent6 4 4 6 3 2" xfId="50810" xr:uid="{00000000-0005-0000-0000-00001F320000}"/>
    <cellStyle name="20% - Accent6 4 4 6 4" xfId="36311" xr:uid="{00000000-0005-0000-0000-000020320000}"/>
    <cellStyle name="20% - Accent6 4 4 7" xfId="8310" xr:uid="{00000000-0005-0000-0000-000021320000}"/>
    <cellStyle name="20% - Accent6 4 4 7 2" xfId="22844" xr:uid="{00000000-0005-0000-0000-000022320000}"/>
    <cellStyle name="20% - Accent6 4 4 7 2 2" xfId="51850" xr:uid="{00000000-0005-0000-0000-000023320000}"/>
    <cellStyle name="20% - Accent6 4 4 7 3" xfId="37351" xr:uid="{00000000-0005-0000-0000-000024320000}"/>
    <cellStyle name="20% - Accent6 4 4 8" xfId="15596" xr:uid="{00000000-0005-0000-0000-000025320000}"/>
    <cellStyle name="20% - Accent6 4 4 8 2" xfId="44602" xr:uid="{00000000-0005-0000-0000-000026320000}"/>
    <cellStyle name="20% - Accent6 4 4 9" xfId="30103" xr:uid="{00000000-0005-0000-0000-000027320000}"/>
    <cellStyle name="20% - Accent6 4 5" xfId="1327" xr:uid="{00000000-0005-0000-0000-000028320000}"/>
    <cellStyle name="20% - Accent6 4 5 2" xfId="2384" xr:uid="{00000000-0005-0000-0000-000029320000}"/>
    <cellStyle name="20% - Accent6 4 5 2 2" xfId="5488" xr:uid="{00000000-0005-0000-0000-00002A320000}"/>
    <cellStyle name="20% - Accent6 4 5 2 2 2" xfId="12760" xr:uid="{00000000-0005-0000-0000-00002B320000}"/>
    <cellStyle name="20% - Accent6 4 5 2 2 2 2" xfId="27294" xr:uid="{00000000-0005-0000-0000-00002C320000}"/>
    <cellStyle name="20% - Accent6 4 5 2 2 2 2 2" xfId="56300" xr:uid="{00000000-0005-0000-0000-00002D320000}"/>
    <cellStyle name="20% - Accent6 4 5 2 2 2 3" xfId="41801" xr:uid="{00000000-0005-0000-0000-00002E320000}"/>
    <cellStyle name="20% - Accent6 4 5 2 2 3" xfId="20046" xr:uid="{00000000-0005-0000-0000-00002F320000}"/>
    <cellStyle name="20% - Accent6 4 5 2 2 3 2" xfId="49052" xr:uid="{00000000-0005-0000-0000-000030320000}"/>
    <cellStyle name="20% - Accent6 4 5 2 2 4" xfId="34553" xr:uid="{00000000-0005-0000-0000-000031320000}"/>
    <cellStyle name="20% - Accent6 4 5 2 3" xfId="9656" xr:uid="{00000000-0005-0000-0000-000032320000}"/>
    <cellStyle name="20% - Accent6 4 5 2 3 2" xfId="24190" xr:uid="{00000000-0005-0000-0000-000033320000}"/>
    <cellStyle name="20% - Accent6 4 5 2 3 2 2" xfId="53196" xr:uid="{00000000-0005-0000-0000-000034320000}"/>
    <cellStyle name="20% - Accent6 4 5 2 3 3" xfId="38697" xr:uid="{00000000-0005-0000-0000-000035320000}"/>
    <cellStyle name="20% - Accent6 4 5 2 4" xfId="16942" xr:uid="{00000000-0005-0000-0000-000036320000}"/>
    <cellStyle name="20% - Accent6 4 5 2 4 2" xfId="45948" xr:uid="{00000000-0005-0000-0000-000037320000}"/>
    <cellStyle name="20% - Accent6 4 5 2 5" xfId="31449" xr:uid="{00000000-0005-0000-0000-000038320000}"/>
    <cellStyle name="20% - Accent6 4 5 3" xfId="3416" xr:uid="{00000000-0005-0000-0000-000039320000}"/>
    <cellStyle name="20% - Accent6 4 5 3 2" xfId="6520" xr:uid="{00000000-0005-0000-0000-00003A320000}"/>
    <cellStyle name="20% - Accent6 4 5 3 2 2" xfId="13792" xr:uid="{00000000-0005-0000-0000-00003B320000}"/>
    <cellStyle name="20% - Accent6 4 5 3 2 2 2" xfId="28326" xr:uid="{00000000-0005-0000-0000-00003C320000}"/>
    <cellStyle name="20% - Accent6 4 5 3 2 2 2 2" xfId="57332" xr:uid="{00000000-0005-0000-0000-00003D320000}"/>
    <cellStyle name="20% - Accent6 4 5 3 2 2 3" xfId="42833" xr:uid="{00000000-0005-0000-0000-00003E320000}"/>
    <cellStyle name="20% - Accent6 4 5 3 2 3" xfId="21078" xr:uid="{00000000-0005-0000-0000-00003F320000}"/>
    <cellStyle name="20% - Accent6 4 5 3 2 3 2" xfId="50084" xr:uid="{00000000-0005-0000-0000-000040320000}"/>
    <cellStyle name="20% - Accent6 4 5 3 2 4" xfId="35585" xr:uid="{00000000-0005-0000-0000-000041320000}"/>
    <cellStyle name="20% - Accent6 4 5 3 3" xfId="10688" xr:uid="{00000000-0005-0000-0000-000042320000}"/>
    <cellStyle name="20% - Accent6 4 5 3 3 2" xfId="25222" xr:uid="{00000000-0005-0000-0000-000043320000}"/>
    <cellStyle name="20% - Accent6 4 5 3 3 2 2" xfId="54228" xr:uid="{00000000-0005-0000-0000-000044320000}"/>
    <cellStyle name="20% - Accent6 4 5 3 3 3" xfId="39729" xr:uid="{00000000-0005-0000-0000-000045320000}"/>
    <cellStyle name="20% - Accent6 4 5 3 4" xfId="17974" xr:uid="{00000000-0005-0000-0000-000046320000}"/>
    <cellStyle name="20% - Accent6 4 5 3 4 2" xfId="46980" xr:uid="{00000000-0005-0000-0000-000047320000}"/>
    <cellStyle name="20% - Accent6 4 5 3 5" xfId="32481" xr:uid="{00000000-0005-0000-0000-000048320000}"/>
    <cellStyle name="20% - Accent6 4 5 4" xfId="4448" xr:uid="{00000000-0005-0000-0000-000049320000}"/>
    <cellStyle name="20% - Accent6 4 5 4 2" xfId="11720" xr:uid="{00000000-0005-0000-0000-00004A320000}"/>
    <cellStyle name="20% - Accent6 4 5 4 2 2" xfId="26254" xr:uid="{00000000-0005-0000-0000-00004B320000}"/>
    <cellStyle name="20% - Accent6 4 5 4 2 2 2" xfId="55260" xr:uid="{00000000-0005-0000-0000-00004C320000}"/>
    <cellStyle name="20% - Accent6 4 5 4 2 3" xfId="40761" xr:uid="{00000000-0005-0000-0000-00004D320000}"/>
    <cellStyle name="20% - Accent6 4 5 4 3" xfId="19006" xr:uid="{00000000-0005-0000-0000-00004E320000}"/>
    <cellStyle name="20% - Accent6 4 5 4 3 2" xfId="48012" xr:uid="{00000000-0005-0000-0000-00004F320000}"/>
    <cellStyle name="20% - Accent6 4 5 4 4" xfId="33513" xr:uid="{00000000-0005-0000-0000-000050320000}"/>
    <cellStyle name="20% - Accent6 4 5 5" xfId="7552" xr:uid="{00000000-0005-0000-0000-000051320000}"/>
    <cellStyle name="20% - Accent6 4 5 5 2" xfId="14824" xr:uid="{00000000-0005-0000-0000-000052320000}"/>
    <cellStyle name="20% - Accent6 4 5 5 2 2" xfId="29358" xr:uid="{00000000-0005-0000-0000-000053320000}"/>
    <cellStyle name="20% - Accent6 4 5 5 2 2 2" xfId="58364" xr:uid="{00000000-0005-0000-0000-000054320000}"/>
    <cellStyle name="20% - Accent6 4 5 5 2 3" xfId="43865" xr:uid="{00000000-0005-0000-0000-000055320000}"/>
    <cellStyle name="20% - Accent6 4 5 5 3" xfId="22110" xr:uid="{00000000-0005-0000-0000-000056320000}"/>
    <cellStyle name="20% - Accent6 4 5 5 3 2" xfId="51116" xr:uid="{00000000-0005-0000-0000-000057320000}"/>
    <cellStyle name="20% - Accent6 4 5 5 4" xfId="36617" xr:uid="{00000000-0005-0000-0000-000058320000}"/>
    <cellStyle name="20% - Accent6 4 5 6" xfId="8616" xr:uid="{00000000-0005-0000-0000-000059320000}"/>
    <cellStyle name="20% - Accent6 4 5 6 2" xfId="23150" xr:uid="{00000000-0005-0000-0000-00005A320000}"/>
    <cellStyle name="20% - Accent6 4 5 6 2 2" xfId="52156" xr:uid="{00000000-0005-0000-0000-00005B320000}"/>
    <cellStyle name="20% - Accent6 4 5 6 3" xfId="37657" xr:uid="{00000000-0005-0000-0000-00005C320000}"/>
    <cellStyle name="20% - Accent6 4 5 7" xfId="15902" xr:uid="{00000000-0005-0000-0000-00005D320000}"/>
    <cellStyle name="20% - Accent6 4 5 7 2" xfId="44908" xr:uid="{00000000-0005-0000-0000-00005E320000}"/>
    <cellStyle name="20% - Accent6 4 5 8" xfId="30409" xr:uid="{00000000-0005-0000-0000-00005F320000}"/>
    <cellStyle name="20% - Accent6 4 6" xfId="1872" xr:uid="{00000000-0005-0000-0000-000060320000}"/>
    <cellStyle name="20% - Accent6 4 6 2" xfId="4976" xr:uid="{00000000-0005-0000-0000-000061320000}"/>
    <cellStyle name="20% - Accent6 4 6 2 2" xfId="12248" xr:uid="{00000000-0005-0000-0000-000062320000}"/>
    <cellStyle name="20% - Accent6 4 6 2 2 2" xfId="26782" xr:uid="{00000000-0005-0000-0000-000063320000}"/>
    <cellStyle name="20% - Accent6 4 6 2 2 2 2" xfId="55788" xr:uid="{00000000-0005-0000-0000-000064320000}"/>
    <cellStyle name="20% - Accent6 4 6 2 2 3" xfId="41289" xr:uid="{00000000-0005-0000-0000-000065320000}"/>
    <cellStyle name="20% - Accent6 4 6 2 3" xfId="19534" xr:uid="{00000000-0005-0000-0000-000066320000}"/>
    <cellStyle name="20% - Accent6 4 6 2 3 2" xfId="48540" xr:uid="{00000000-0005-0000-0000-000067320000}"/>
    <cellStyle name="20% - Accent6 4 6 2 4" xfId="34041" xr:uid="{00000000-0005-0000-0000-000068320000}"/>
    <cellStyle name="20% - Accent6 4 6 3" xfId="9144" xr:uid="{00000000-0005-0000-0000-000069320000}"/>
    <cellStyle name="20% - Accent6 4 6 3 2" xfId="23678" xr:uid="{00000000-0005-0000-0000-00006A320000}"/>
    <cellStyle name="20% - Accent6 4 6 3 2 2" xfId="52684" xr:uid="{00000000-0005-0000-0000-00006B320000}"/>
    <cellStyle name="20% - Accent6 4 6 3 3" xfId="38185" xr:uid="{00000000-0005-0000-0000-00006C320000}"/>
    <cellStyle name="20% - Accent6 4 6 4" xfId="16430" xr:uid="{00000000-0005-0000-0000-00006D320000}"/>
    <cellStyle name="20% - Accent6 4 6 4 2" xfId="45436" xr:uid="{00000000-0005-0000-0000-00006E320000}"/>
    <cellStyle name="20% - Accent6 4 6 5" xfId="30937" xr:uid="{00000000-0005-0000-0000-00006F320000}"/>
    <cellStyle name="20% - Accent6 4 7" xfId="2904" xr:uid="{00000000-0005-0000-0000-000070320000}"/>
    <cellStyle name="20% - Accent6 4 7 2" xfId="6008" xr:uid="{00000000-0005-0000-0000-000071320000}"/>
    <cellStyle name="20% - Accent6 4 7 2 2" xfId="13280" xr:uid="{00000000-0005-0000-0000-000072320000}"/>
    <cellStyle name="20% - Accent6 4 7 2 2 2" xfId="27814" xr:uid="{00000000-0005-0000-0000-000073320000}"/>
    <cellStyle name="20% - Accent6 4 7 2 2 2 2" xfId="56820" xr:uid="{00000000-0005-0000-0000-000074320000}"/>
    <cellStyle name="20% - Accent6 4 7 2 2 3" xfId="42321" xr:uid="{00000000-0005-0000-0000-000075320000}"/>
    <cellStyle name="20% - Accent6 4 7 2 3" xfId="20566" xr:uid="{00000000-0005-0000-0000-000076320000}"/>
    <cellStyle name="20% - Accent6 4 7 2 3 2" xfId="49572" xr:uid="{00000000-0005-0000-0000-000077320000}"/>
    <cellStyle name="20% - Accent6 4 7 2 4" xfId="35073" xr:uid="{00000000-0005-0000-0000-000078320000}"/>
    <cellStyle name="20% - Accent6 4 7 3" xfId="10176" xr:uid="{00000000-0005-0000-0000-000079320000}"/>
    <cellStyle name="20% - Accent6 4 7 3 2" xfId="24710" xr:uid="{00000000-0005-0000-0000-00007A320000}"/>
    <cellStyle name="20% - Accent6 4 7 3 2 2" xfId="53716" xr:uid="{00000000-0005-0000-0000-00007B320000}"/>
    <cellStyle name="20% - Accent6 4 7 3 3" xfId="39217" xr:uid="{00000000-0005-0000-0000-00007C320000}"/>
    <cellStyle name="20% - Accent6 4 7 4" xfId="17462" xr:uid="{00000000-0005-0000-0000-00007D320000}"/>
    <cellStyle name="20% - Accent6 4 7 4 2" xfId="46468" xr:uid="{00000000-0005-0000-0000-00007E320000}"/>
    <cellStyle name="20% - Accent6 4 7 5" xfId="31969" xr:uid="{00000000-0005-0000-0000-00007F320000}"/>
    <cellStyle name="20% - Accent6 4 8" xfId="3936" xr:uid="{00000000-0005-0000-0000-000080320000}"/>
    <cellStyle name="20% - Accent6 4 8 2" xfId="11208" xr:uid="{00000000-0005-0000-0000-000081320000}"/>
    <cellStyle name="20% - Accent6 4 8 2 2" xfId="25742" xr:uid="{00000000-0005-0000-0000-000082320000}"/>
    <cellStyle name="20% - Accent6 4 8 2 2 2" xfId="54748" xr:uid="{00000000-0005-0000-0000-000083320000}"/>
    <cellStyle name="20% - Accent6 4 8 2 3" xfId="40249" xr:uid="{00000000-0005-0000-0000-000084320000}"/>
    <cellStyle name="20% - Accent6 4 8 3" xfId="18494" xr:uid="{00000000-0005-0000-0000-000085320000}"/>
    <cellStyle name="20% - Accent6 4 8 3 2" xfId="47500" xr:uid="{00000000-0005-0000-0000-000086320000}"/>
    <cellStyle name="20% - Accent6 4 8 4" xfId="33001" xr:uid="{00000000-0005-0000-0000-000087320000}"/>
    <cellStyle name="20% - Accent6 4 9" xfId="7040" xr:uid="{00000000-0005-0000-0000-000088320000}"/>
    <cellStyle name="20% - Accent6 4 9 2" xfId="14312" xr:uid="{00000000-0005-0000-0000-000089320000}"/>
    <cellStyle name="20% - Accent6 4 9 2 2" xfId="28846" xr:uid="{00000000-0005-0000-0000-00008A320000}"/>
    <cellStyle name="20% - Accent6 4 9 2 2 2" xfId="57852" xr:uid="{00000000-0005-0000-0000-00008B320000}"/>
    <cellStyle name="20% - Accent6 4 9 2 3" xfId="43353" xr:uid="{00000000-0005-0000-0000-00008C320000}"/>
    <cellStyle name="20% - Accent6 4 9 3" xfId="21598" xr:uid="{00000000-0005-0000-0000-00008D320000}"/>
    <cellStyle name="20% - Accent6 4 9 3 2" xfId="50604" xr:uid="{00000000-0005-0000-0000-00008E320000}"/>
    <cellStyle name="20% - Accent6 4 9 4" xfId="36105" xr:uid="{00000000-0005-0000-0000-00008F320000}"/>
    <cellStyle name="20% - Accent6 5" xfId="913" xr:uid="{00000000-0005-0000-0000-000090320000}"/>
    <cellStyle name="20% - Accent6 5 10" xfId="29948" xr:uid="{00000000-0005-0000-0000-000091320000}"/>
    <cellStyle name="20% - Accent6 5 2" xfId="1181" xr:uid="{00000000-0005-0000-0000-000092320000}"/>
    <cellStyle name="20% - Accent6 5 2 2" xfId="1682" xr:uid="{00000000-0005-0000-0000-000093320000}"/>
    <cellStyle name="20% - Accent6 5 2 2 2" xfId="2741" xr:uid="{00000000-0005-0000-0000-000094320000}"/>
    <cellStyle name="20% - Accent6 5 2 2 2 2" xfId="5845" xr:uid="{00000000-0005-0000-0000-000095320000}"/>
    <cellStyle name="20% - Accent6 5 2 2 2 2 2" xfId="13117" xr:uid="{00000000-0005-0000-0000-000096320000}"/>
    <cellStyle name="20% - Accent6 5 2 2 2 2 2 2" xfId="27651" xr:uid="{00000000-0005-0000-0000-000097320000}"/>
    <cellStyle name="20% - Accent6 5 2 2 2 2 2 2 2" xfId="56657" xr:uid="{00000000-0005-0000-0000-000098320000}"/>
    <cellStyle name="20% - Accent6 5 2 2 2 2 2 3" xfId="42158" xr:uid="{00000000-0005-0000-0000-000099320000}"/>
    <cellStyle name="20% - Accent6 5 2 2 2 2 3" xfId="20403" xr:uid="{00000000-0005-0000-0000-00009A320000}"/>
    <cellStyle name="20% - Accent6 5 2 2 2 2 3 2" xfId="49409" xr:uid="{00000000-0005-0000-0000-00009B320000}"/>
    <cellStyle name="20% - Accent6 5 2 2 2 2 4" xfId="34910" xr:uid="{00000000-0005-0000-0000-00009C320000}"/>
    <cellStyle name="20% - Accent6 5 2 2 2 3" xfId="10013" xr:uid="{00000000-0005-0000-0000-00009D320000}"/>
    <cellStyle name="20% - Accent6 5 2 2 2 3 2" xfId="24547" xr:uid="{00000000-0005-0000-0000-00009E320000}"/>
    <cellStyle name="20% - Accent6 5 2 2 2 3 2 2" xfId="53553" xr:uid="{00000000-0005-0000-0000-00009F320000}"/>
    <cellStyle name="20% - Accent6 5 2 2 2 3 3" xfId="39054" xr:uid="{00000000-0005-0000-0000-0000A0320000}"/>
    <cellStyle name="20% - Accent6 5 2 2 2 4" xfId="17299" xr:uid="{00000000-0005-0000-0000-0000A1320000}"/>
    <cellStyle name="20% - Accent6 5 2 2 2 4 2" xfId="46305" xr:uid="{00000000-0005-0000-0000-0000A2320000}"/>
    <cellStyle name="20% - Accent6 5 2 2 2 5" xfId="31806" xr:uid="{00000000-0005-0000-0000-0000A3320000}"/>
    <cellStyle name="20% - Accent6 5 2 2 3" xfId="3773" xr:uid="{00000000-0005-0000-0000-0000A4320000}"/>
    <cellStyle name="20% - Accent6 5 2 2 3 2" xfId="6877" xr:uid="{00000000-0005-0000-0000-0000A5320000}"/>
    <cellStyle name="20% - Accent6 5 2 2 3 2 2" xfId="14149" xr:uid="{00000000-0005-0000-0000-0000A6320000}"/>
    <cellStyle name="20% - Accent6 5 2 2 3 2 2 2" xfId="28683" xr:uid="{00000000-0005-0000-0000-0000A7320000}"/>
    <cellStyle name="20% - Accent6 5 2 2 3 2 2 2 2" xfId="57689" xr:uid="{00000000-0005-0000-0000-0000A8320000}"/>
    <cellStyle name="20% - Accent6 5 2 2 3 2 2 3" xfId="43190" xr:uid="{00000000-0005-0000-0000-0000A9320000}"/>
    <cellStyle name="20% - Accent6 5 2 2 3 2 3" xfId="21435" xr:uid="{00000000-0005-0000-0000-0000AA320000}"/>
    <cellStyle name="20% - Accent6 5 2 2 3 2 3 2" xfId="50441" xr:uid="{00000000-0005-0000-0000-0000AB320000}"/>
    <cellStyle name="20% - Accent6 5 2 2 3 2 4" xfId="35942" xr:uid="{00000000-0005-0000-0000-0000AC320000}"/>
    <cellStyle name="20% - Accent6 5 2 2 3 3" xfId="11045" xr:uid="{00000000-0005-0000-0000-0000AD320000}"/>
    <cellStyle name="20% - Accent6 5 2 2 3 3 2" xfId="25579" xr:uid="{00000000-0005-0000-0000-0000AE320000}"/>
    <cellStyle name="20% - Accent6 5 2 2 3 3 2 2" xfId="54585" xr:uid="{00000000-0005-0000-0000-0000AF320000}"/>
    <cellStyle name="20% - Accent6 5 2 2 3 3 3" xfId="40086" xr:uid="{00000000-0005-0000-0000-0000B0320000}"/>
    <cellStyle name="20% - Accent6 5 2 2 3 4" xfId="18331" xr:uid="{00000000-0005-0000-0000-0000B1320000}"/>
    <cellStyle name="20% - Accent6 5 2 2 3 4 2" xfId="47337" xr:uid="{00000000-0005-0000-0000-0000B2320000}"/>
    <cellStyle name="20% - Accent6 5 2 2 3 5" xfId="32838" xr:uid="{00000000-0005-0000-0000-0000B3320000}"/>
    <cellStyle name="20% - Accent6 5 2 2 4" xfId="4805" xr:uid="{00000000-0005-0000-0000-0000B4320000}"/>
    <cellStyle name="20% - Accent6 5 2 2 4 2" xfId="12077" xr:uid="{00000000-0005-0000-0000-0000B5320000}"/>
    <cellStyle name="20% - Accent6 5 2 2 4 2 2" xfId="26611" xr:uid="{00000000-0005-0000-0000-0000B6320000}"/>
    <cellStyle name="20% - Accent6 5 2 2 4 2 2 2" xfId="55617" xr:uid="{00000000-0005-0000-0000-0000B7320000}"/>
    <cellStyle name="20% - Accent6 5 2 2 4 2 3" xfId="41118" xr:uid="{00000000-0005-0000-0000-0000B8320000}"/>
    <cellStyle name="20% - Accent6 5 2 2 4 3" xfId="19363" xr:uid="{00000000-0005-0000-0000-0000B9320000}"/>
    <cellStyle name="20% - Accent6 5 2 2 4 3 2" xfId="48369" xr:uid="{00000000-0005-0000-0000-0000BA320000}"/>
    <cellStyle name="20% - Accent6 5 2 2 4 4" xfId="33870" xr:uid="{00000000-0005-0000-0000-0000BB320000}"/>
    <cellStyle name="20% - Accent6 5 2 2 5" xfId="7909" xr:uid="{00000000-0005-0000-0000-0000BC320000}"/>
    <cellStyle name="20% - Accent6 5 2 2 5 2" xfId="15181" xr:uid="{00000000-0005-0000-0000-0000BD320000}"/>
    <cellStyle name="20% - Accent6 5 2 2 5 2 2" xfId="29715" xr:uid="{00000000-0005-0000-0000-0000BE320000}"/>
    <cellStyle name="20% - Accent6 5 2 2 5 2 2 2" xfId="58721" xr:uid="{00000000-0005-0000-0000-0000BF320000}"/>
    <cellStyle name="20% - Accent6 5 2 2 5 2 3" xfId="44222" xr:uid="{00000000-0005-0000-0000-0000C0320000}"/>
    <cellStyle name="20% - Accent6 5 2 2 5 3" xfId="22467" xr:uid="{00000000-0005-0000-0000-0000C1320000}"/>
    <cellStyle name="20% - Accent6 5 2 2 5 3 2" xfId="51473" xr:uid="{00000000-0005-0000-0000-0000C2320000}"/>
    <cellStyle name="20% - Accent6 5 2 2 5 4" xfId="36974" xr:uid="{00000000-0005-0000-0000-0000C3320000}"/>
    <cellStyle name="20% - Accent6 5 2 2 6" xfId="8973" xr:uid="{00000000-0005-0000-0000-0000C4320000}"/>
    <cellStyle name="20% - Accent6 5 2 2 6 2" xfId="23507" xr:uid="{00000000-0005-0000-0000-0000C5320000}"/>
    <cellStyle name="20% - Accent6 5 2 2 6 2 2" xfId="52513" xr:uid="{00000000-0005-0000-0000-0000C6320000}"/>
    <cellStyle name="20% - Accent6 5 2 2 6 3" xfId="38014" xr:uid="{00000000-0005-0000-0000-0000C7320000}"/>
    <cellStyle name="20% - Accent6 5 2 2 7" xfId="16259" xr:uid="{00000000-0005-0000-0000-0000C8320000}"/>
    <cellStyle name="20% - Accent6 5 2 2 7 2" xfId="45265" xr:uid="{00000000-0005-0000-0000-0000C9320000}"/>
    <cellStyle name="20% - Accent6 5 2 2 8" xfId="30766" xr:uid="{00000000-0005-0000-0000-0000CA320000}"/>
    <cellStyle name="20% - Accent6 5 2 3" xfId="2229" xr:uid="{00000000-0005-0000-0000-0000CB320000}"/>
    <cellStyle name="20% - Accent6 5 2 3 2" xfId="5333" xr:uid="{00000000-0005-0000-0000-0000CC320000}"/>
    <cellStyle name="20% - Accent6 5 2 3 2 2" xfId="12605" xr:uid="{00000000-0005-0000-0000-0000CD320000}"/>
    <cellStyle name="20% - Accent6 5 2 3 2 2 2" xfId="27139" xr:uid="{00000000-0005-0000-0000-0000CE320000}"/>
    <cellStyle name="20% - Accent6 5 2 3 2 2 2 2" xfId="56145" xr:uid="{00000000-0005-0000-0000-0000CF320000}"/>
    <cellStyle name="20% - Accent6 5 2 3 2 2 3" xfId="41646" xr:uid="{00000000-0005-0000-0000-0000D0320000}"/>
    <cellStyle name="20% - Accent6 5 2 3 2 3" xfId="19891" xr:uid="{00000000-0005-0000-0000-0000D1320000}"/>
    <cellStyle name="20% - Accent6 5 2 3 2 3 2" xfId="48897" xr:uid="{00000000-0005-0000-0000-0000D2320000}"/>
    <cellStyle name="20% - Accent6 5 2 3 2 4" xfId="34398" xr:uid="{00000000-0005-0000-0000-0000D3320000}"/>
    <cellStyle name="20% - Accent6 5 2 3 3" xfId="9501" xr:uid="{00000000-0005-0000-0000-0000D4320000}"/>
    <cellStyle name="20% - Accent6 5 2 3 3 2" xfId="24035" xr:uid="{00000000-0005-0000-0000-0000D5320000}"/>
    <cellStyle name="20% - Accent6 5 2 3 3 2 2" xfId="53041" xr:uid="{00000000-0005-0000-0000-0000D6320000}"/>
    <cellStyle name="20% - Accent6 5 2 3 3 3" xfId="38542" xr:uid="{00000000-0005-0000-0000-0000D7320000}"/>
    <cellStyle name="20% - Accent6 5 2 3 4" xfId="16787" xr:uid="{00000000-0005-0000-0000-0000D8320000}"/>
    <cellStyle name="20% - Accent6 5 2 3 4 2" xfId="45793" xr:uid="{00000000-0005-0000-0000-0000D9320000}"/>
    <cellStyle name="20% - Accent6 5 2 3 5" xfId="31294" xr:uid="{00000000-0005-0000-0000-0000DA320000}"/>
    <cellStyle name="20% - Accent6 5 2 4" xfId="3261" xr:uid="{00000000-0005-0000-0000-0000DB320000}"/>
    <cellStyle name="20% - Accent6 5 2 4 2" xfId="6365" xr:uid="{00000000-0005-0000-0000-0000DC320000}"/>
    <cellStyle name="20% - Accent6 5 2 4 2 2" xfId="13637" xr:uid="{00000000-0005-0000-0000-0000DD320000}"/>
    <cellStyle name="20% - Accent6 5 2 4 2 2 2" xfId="28171" xr:uid="{00000000-0005-0000-0000-0000DE320000}"/>
    <cellStyle name="20% - Accent6 5 2 4 2 2 2 2" xfId="57177" xr:uid="{00000000-0005-0000-0000-0000DF320000}"/>
    <cellStyle name="20% - Accent6 5 2 4 2 2 3" xfId="42678" xr:uid="{00000000-0005-0000-0000-0000E0320000}"/>
    <cellStyle name="20% - Accent6 5 2 4 2 3" xfId="20923" xr:uid="{00000000-0005-0000-0000-0000E1320000}"/>
    <cellStyle name="20% - Accent6 5 2 4 2 3 2" xfId="49929" xr:uid="{00000000-0005-0000-0000-0000E2320000}"/>
    <cellStyle name="20% - Accent6 5 2 4 2 4" xfId="35430" xr:uid="{00000000-0005-0000-0000-0000E3320000}"/>
    <cellStyle name="20% - Accent6 5 2 4 3" xfId="10533" xr:uid="{00000000-0005-0000-0000-0000E4320000}"/>
    <cellStyle name="20% - Accent6 5 2 4 3 2" xfId="25067" xr:uid="{00000000-0005-0000-0000-0000E5320000}"/>
    <cellStyle name="20% - Accent6 5 2 4 3 2 2" xfId="54073" xr:uid="{00000000-0005-0000-0000-0000E6320000}"/>
    <cellStyle name="20% - Accent6 5 2 4 3 3" xfId="39574" xr:uid="{00000000-0005-0000-0000-0000E7320000}"/>
    <cellStyle name="20% - Accent6 5 2 4 4" xfId="17819" xr:uid="{00000000-0005-0000-0000-0000E8320000}"/>
    <cellStyle name="20% - Accent6 5 2 4 4 2" xfId="46825" xr:uid="{00000000-0005-0000-0000-0000E9320000}"/>
    <cellStyle name="20% - Accent6 5 2 4 5" xfId="32326" xr:uid="{00000000-0005-0000-0000-0000EA320000}"/>
    <cellStyle name="20% - Accent6 5 2 5" xfId="4293" xr:uid="{00000000-0005-0000-0000-0000EB320000}"/>
    <cellStyle name="20% - Accent6 5 2 5 2" xfId="11565" xr:uid="{00000000-0005-0000-0000-0000EC320000}"/>
    <cellStyle name="20% - Accent6 5 2 5 2 2" xfId="26099" xr:uid="{00000000-0005-0000-0000-0000ED320000}"/>
    <cellStyle name="20% - Accent6 5 2 5 2 2 2" xfId="55105" xr:uid="{00000000-0005-0000-0000-0000EE320000}"/>
    <cellStyle name="20% - Accent6 5 2 5 2 3" xfId="40606" xr:uid="{00000000-0005-0000-0000-0000EF320000}"/>
    <cellStyle name="20% - Accent6 5 2 5 3" xfId="18851" xr:uid="{00000000-0005-0000-0000-0000F0320000}"/>
    <cellStyle name="20% - Accent6 5 2 5 3 2" xfId="47857" xr:uid="{00000000-0005-0000-0000-0000F1320000}"/>
    <cellStyle name="20% - Accent6 5 2 5 4" xfId="33358" xr:uid="{00000000-0005-0000-0000-0000F2320000}"/>
    <cellStyle name="20% - Accent6 5 2 6" xfId="7397" xr:uid="{00000000-0005-0000-0000-0000F3320000}"/>
    <cellStyle name="20% - Accent6 5 2 6 2" xfId="14669" xr:uid="{00000000-0005-0000-0000-0000F4320000}"/>
    <cellStyle name="20% - Accent6 5 2 6 2 2" xfId="29203" xr:uid="{00000000-0005-0000-0000-0000F5320000}"/>
    <cellStyle name="20% - Accent6 5 2 6 2 2 2" xfId="58209" xr:uid="{00000000-0005-0000-0000-0000F6320000}"/>
    <cellStyle name="20% - Accent6 5 2 6 2 3" xfId="43710" xr:uid="{00000000-0005-0000-0000-0000F7320000}"/>
    <cellStyle name="20% - Accent6 5 2 6 3" xfId="21955" xr:uid="{00000000-0005-0000-0000-0000F8320000}"/>
    <cellStyle name="20% - Accent6 5 2 6 3 2" xfId="50961" xr:uid="{00000000-0005-0000-0000-0000F9320000}"/>
    <cellStyle name="20% - Accent6 5 2 6 4" xfId="36462" xr:uid="{00000000-0005-0000-0000-0000FA320000}"/>
    <cellStyle name="20% - Accent6 5 2 7" xfId="8461" xr:uid="{00000000-0005-0000-0000-0000FB320000}"/>
    <cellStyle name="20% - Accent6 5 2 7 2" xfId="22995" xr:uid="{00000000-0005-0000-0000-0000FC320000}"/>
    <cellStyle name="20% - Accent6 5 2 7 2 2" xfId="52001" xr:uid="{00000000-0005-0000-0000-0000FD320000}"/>
    <cellStyle name="20% - Accent6 5 2 7 3" xfId="37502" xr:uid="{00000000-0005-0000-0000-0000FE320000}"/>
    <cellStyle name="20% - Accent6 5 2 8" xfId="15747" xr:uid="{00000000-0005-0000-0000-0000FF320000}"/>
    <cellStyle name="20% - Accent6 5 2 8 2" xfId="44753" xr:uid="{00000000-0005-0000-0000-000000330000}"/>
    <cellStyle name="20% - Accent6 5 2 9" xfId="30254" xr:uid="{00000000-0005-0000-0000-000001330000}"/>
    <cellStyle name="20% - Accent6 5 3" xfId="1378" xr:uid="{00000000-0005-0000-0000-000002330000}"/>
    <cellStyle name="20% - Accent6 5 3 2" xfId="2435" xr:uid="{00000000-0005-0000-0000-000003330000}"/>
    <cellStyle name="20% - Accent6 5 3 2 2" xfId="5539" xr:uid="{00000000-0005-0000-0000-000004330000}"/>
    <cellStyle name="20% - Accent6 5 3 2 2 2" xfId="12811" xr:uid="{00000000-0005-0000-0000-000005330000}"/>
    <cellStyle name="20% - Accent6 5 3 2 2 2 2" xfId="27345" xr:uid="{00000000-0005-0000-0000-000006330000}"/>
    <cellStyle name="20% - Accent6 5 3 2 2 2 2 2" xfId="56351" xr:uid="{00000000-0005-0000-0000-000007330000}"/>
    <cellStyle name="20% - Accent6 5 3 2 2 2 3" xfId="41852" xr:uid="{00000000-0005-0000-0000-000008330000}"/>
    <cellStyle name="20% - Accent6 5 3 2 2 3" xfId="20097" xr:uid="{00000000-0005-0000-0000-000009330000}"/>
    <cellStyle name="20% - Accent6 5 3 2 2 3 2" xfId="49103" xr:uid="{00000000-0005-0000-0000-00000A330000}"/>
    <cellStyle name="20% - Accent6 5 3 2 2 4" xfId="34604" xr:uid="{00000000-0005-0000-0000-00000B330000}"/>
    <cellStyle name="20% - Accent6 5 3 2 3" xfId="9707" xr:uid="{00000000-0005-0000-0000-00000C330000}"/>
    <cellStyle name="20% - Accent6 5 3 2 3 2" xfId="24241" xr:uid="{00000000-0005-0000-0000-00000D330000}"/>
    <cellStyle name="20% - Accent6 5 3 2 3 2 2" xfId="53247" xr:uid="{00000000-0005-0000-0000-00000E330000}"/>
    <cellStyle name="20% - Accent6 5 3 2 3 3" xfId="38748" xr:uid="{00000000-0005-0000-0000-00000F330000}"/>
    <cellStyle name="20% - Accent6 5 3 2 4" xfId="16993" xr:uid="{00000000-0005-0000-0000-000010330000}"/>
    <cellStyle name="20% - Accent6 5 3 2 4 2" xfId="45999" xr:uid="{00000000-0005-0000-0000-000011330000}"/>
    <cellStyle name="20% - Accent6 5 3 2 5" xfId="31500" xr:uid="{00000000-0005-0000-0000-000012330000}"/>
    <cellStyle name="20% - Accent6 5 3 3" xfId="3467" xr:uid="{00000000-0005-0000-0000-000013330000}"/>
    <cellStyle name="20% - Accent6 5 3 3 2" xfId="6571" xr:uid="{00000000-0005-0000-0000-000014330000}"/>
    <cellStyle name="20% - Accent6 5 3 3 2 2" xfId="13843" xr:uid="{00000000-0005-0000-0000-000015330000}"/>
    <cellStyle name="20% - Accent6 5 3 3 2 2 2" xfId="28377" xr:uid="{00000000-0005-0000-0000-000016330000}"/>
    <cellStyle name="20% - Accent6 5 3 3 2 2 2 2" xfId="57383" xr:uid="{00000000-0005-0000-0000-000017330000}"/>
    <cellStyle name="20% - Accent6 5 3 3 2 2 3" xfId="42884" xr:uid="{00000000-0005-0000-0000-000018330000}"/>
    <cellStyle name="20% - Accent6 5 3 3 2 3" xfId="21129" xr:uid="{00000000-0005-0000-0000-000019330000}"/>
    <cellStyle name="20% - Accent6 5 3 3 2 3 2" xfId="50135" xr:uid="{00000000-0005-0000-0000-00001A330000}"/>
    <cellStyle name="20% - Accent6 5 3 3 2 4" xfId="35636" xr:uid="{00000000-0005-0000-0000-00001B330000}"/>
    <cellStyle name="20% - Accent6 5 3 3 3" xfId="10739" xr:uid="{00000000-0005-0000-0000-00001C330000}"/>
    <cellStyle name="20% - Accent6 5 3 3 3 2" xfId="25273" xr:uid="{00000000-0005-0000-0000-00001D330000}"/>
    <cellStyle name="20% - Accent6 5 3 3 3 2 2" xfId="54279" xr:uid="{00000000-0005-0000-0000-00001E330000}"/>
    <cellStyle name="20% - Accent6 5 3 3 3 3" xfId="39780" xr:uid="{00000000-0005-0000-0000-00001F330000}"/>
    <cellStyle name="20% - Accent6 5 3 3 4" xfId="18025" xr:uid="{00000000-0005-0000-0000-000020330000}"/>
    <cellStyle name="20% - Accent6 5 3 3 4 2" xfId="47031" xr:uid="{00000000-0005-0000-0000-000021330000}"/>
    <cellStyle name="20% - Accent6 5 3 3 5" xfId="32532" xr:uid="{00000000-0005-0000-0000-000022330000}"/>
    <cellStyle name="20% - Accent6 5 3 4" xfId="4499" xr:uid="{00000000-0005-0000-0000-000023330000}"/>
    <cellStyle name="20% - Accent6 5 3 4 2" xfId="11771" xr:uid="{00000000-0005-0000-0000-000024330000}"/>
    <cellStyle name="20% - Accent6 5 3 4 2 2" xfId="26305" xr:uid="{00000000-0005-0000-0000-000025330000}"/>
    <cellStyle name="20% - Accent6 5 3 4 2 2 2" xfId="55311" xr:uid="{00000000-0005-0000-0000-000026330000}"/>
    <cellStyle name="20% - Accent6 5 3 4 2 3" xfId="40812" xr:uid="{00000000-0005-0000-0000-000027330000}"/>
    <cellStyle name="20% - Accent6 5 3 4 3" xfId="19057" xr:uid="{00000000-0005-0000-0000-000028330000}"/>
    <cellStyle name="20% - Accent6 5 3 4 3 2" xfId="48063" xr:uid="{00000000-0005-0000-0000-000029330000}"/>
    <cellStyle name="20% - Accent6 5 3 4 4" xfId="33564" xr:uid="{00000000-0005-0000-0000-00002A330000}"/>
    <cellStyle name="20% - Accent6 5 3 5" xfId="7603" xr:uid="{00000000-0005-0000-0000-00002B330000}"/>
    <cellStyle name="20% - Accent6 5 3 5 2" xfId="14875" xr:uid="{00000000-0005-0000-0000-00002C330000}"/>
    <cellStyle name="20% - Accent6 5 3 5 2 2" xfId="29409" xr:uid="{00000000-0005-0000-0000-00002D330000}"/>
    <cellStyle name="20% - Accent6 5 3 5 2 2 2" xfId="58415" xr:uid="{00000000-0005-0000-0000-00002E330000}"/>
    <cellStyle name="20% - Accent6 5 3 5 2 3" xfId="43916" xr:uid="{00000000-0005-0000-0000-00002F330000}"/>
    <cellStyle name="20% - Accent6 5 3 5 3" xfId="22161" xr:uid="{00000000-0005-0000-0000-000030330000}"/>
    <cellStyle name="20% - Accent6 5 3 5 3 2" xfId="51167" xr:uid="{00000000-0005-0000-0000-000031330000}"/>
    <cellStyle name="20% - Accent6 5 3 5 4" xfId="36668" xr:uid="{00000000-0005-0000-0000-000032330000}"/>
    <cellStyle name="20% - Accent6 5 3 6" xfId="8667" xr:uid="{00000000-0005-0000-0000-000033330000}"/>
    <cellStyle name="20% - Accent6 5 3 6 2" xfId="23201" xr:uid="{00000000-0005-0000-0000-000034330000}"/>
    <cellStyle name="20% - Accent6 5 3 6 2 2" xfId="52207" xr:uid="{00000000-0005-0000-0000-000035330000}"/>
    <cellStyle name="20% - Accent6 5 3 6 3" xfId="37708" xr:uid="{00000000-0005-0000-0000-000036330000}"/>
    <cellStyle name="20% - Accent6 5 3 7" xfId="15953" xr:uid="{00000000-0005-0000-0000-000037330000}"/>
    <cellStyle name="20% - Accent6 5 3 7 2" xfId="44959" xr:uid="{00000000-0005-0000-0000-000038330000}"/>
    <cellStyle name="20% - Accent6 5 3 8" xfId="30460" xr:uid="{00000000-0005-0000-0000-000039330000}"/>
    <cellStyle name="20% - Accent6 5 4" xfId="1923" xr:uid="{00000000-0005-0000-0000-00003A330000}"/>
    <cellStyle name="20% - Accent6 5 4 2" xfId="5027" xr:uid="{00000000-0005-0000-0000-00003B330000}"/>
    <cellStyle name="20% - Accent6 5 4 2 2" xfId="12299" xr:uid="{00000000-0005-0000-0000-00003C330000}"/>
    <cellStyle name="20% - Accent6 5 4 2 2 2" xfId="26833" xr:uid="{00000000-0005-0000-0000-00003D330000}"/>
    <cellStyle name="20% - Accent6 5 4 2 2 2 2" xfId="55839" xr:uid="{00000000-0005-0000-0000-00003E330000}"/>
    <cellStyle name="20% - Accent6 5 4 2 2 3" xfId="41340" xr:uid="{00000000-0005-0000-0000-00003F330000}"/>
    <cellStyle name="20% - Accent6 5 4 2 3" xfId="19585" xr:uid="{00000000-0005-0000-0000-000040330000}"/>
    <cellStyle name="20% - Accent6 5 4 2 3 2" xfId="48591" xr:uid="{00000000-0005-0000-0000-000041330000}"/>
    <cellStyle name="20% - Accent6 5 4 2 4" xfId="34092" xr:uid="{00000000-0005-0000-0000-000042330000}"/>
    <cellStyle name="20% - Accent6 5 4 3" xfId="9195" xr:uid="{00000000-0005-0000-0000-000043330000}"/>
    <cellStyle name="20% - Accent6 5 4 3 2" xfId="23729" xr:uid="{00000000-0005-0000-0000-000044330000}"/>
    <cellStyle name="20% - Accent6 5 4 3 2 2" xfId="52735" xr:uid="{00000000-0005-0000-0000-000045330000}"/>
    <cellStyle name="20% - Accent6 5 4 3 3" xfId="38236" xr:uid="{00000000-0005-0000-0000-000046330000}"/>
    <cellStyle name="20% - Accent6 5 4 4" xfId="16481" xr:uid="{00000000-0005-0000-0000-000047330000}"/>
    <cellStyle name="20% - Accent6 5 4 4 2" xfId="45487" xr:uid="{00000000-0005-0000-0000-000048330000}"/>
    <cellStyle name="20% - Accent6 5 4 5" xfId="30988" xr:uid="{00000000-0005-0000-0000-000049330000}"/>
    <cellStyle name="20% - Accent6 5 5" xfId="2955" xr:uid="{00000000-0005-0000-0000-00004A330000}"/>
    <cellStyle name="20% - Accent6 5 5 2" xfId="6059" xr:uid="{00000000-0005-0000-0000-00004B330000}"/>
    <cellStyle name="20% - Accent6 5 5 2 2" xfId="13331" xr:uid="{00000000-0005-0000-0000-00004C330000}"/>
    <cellStyle name="20% - Accent6 5 5 2 2 2" xfId="27865" xr:uid="{00000000-0005-0000-0000-00004D330000}"/>
    <cellStyle name="20% - Accent6 5 5 2 2 2 2" xfId="56871" xr:uid="{00000000-0005-0000-0000-00004E330000}"/>
    <cellStyle name="20% - Accent6 5 5 2 2 3" xfId="42372" xr:uid="{00000000-0005-0000-0000-00004F330000}"/>
    <cellStyle name="20% - Accent6 5 5 2 3" xfId="20617" xr:uid="{00000000-0005-0000-0000-000050330000}"/>
    <cellStyle name="20% - Accent6 5 5 2 3 2" xfId="49623" xr:uid="{00000000-0005-0000-0000-000051330000}"/>
    <cellStyle name="20% - Accent6 5 5 2 4" xfId="35124" xr:uid="{00000000-0005-0000-0000-000052330000}"/>
    <cellStyle name="20% - Accent6 5 5 3" xfId="10227" xr:uid="{00000000-0005-0000-0000-000053330000}"/>
    <cellStyle name="20% - Accent6 5 5 3 2" xfId="24761" xr:uid="{00000000-0005-0000-0000-000054330000}"/>
    <cellStyle name="20% - Accent6 5 5 3 2 2" xfId="53767" xr:uid="{00000000-0005-0000-0000-000055330000}"/>
    <cellStyle name="20% - Accent6 5 5 3 3" xfId="39268" xr:uid="{00000000-0005-0000-0000-000056330000}"/>
    <cellStyle name="20% - Accent6 5 5 4" xfId="17513" xr:uid="{00000000-0005-0000-0000-000057330000}"/>
    <cellStyle name="20% - Accent6 5 5 4 2" xfId="46519" xr:uid="{00000000-0005-0000-0000-000058330000}"/>
    <cellStyle name="20% - Accent6 5 5 5" xfId="32020" xr:uid="{00000000-0005-0000-0000-000059330000}"/>
    <cellStyle name="20% - Accent6 5 6" xfId="3987" xr:uid="{00000000-0005-0000-0000-00005A330000}"/>
    <cellStyle name="20% - Accent6 5 6 2" xfId="11259" xr:uid="{00000000-0005-0000-0000-00005B330000}"/>
    <cellStyle name="20% - Accent6 5 6 2 2" xfId="25793" xr:uid="{00000000-0005-0000-0000-00005C330000}"/>
    <cellStyle name="20% - Accent6 5 6 2 2 2" xfId="54799" xr:uid="{00000000-0005-0000-0000-00005D330000}"/>
    <cellStyle name="20% - Accent6 5 6 2 3" xfId="40300" xr:uid="{00000000-0005-0000-0000-00005E330000}"/>
    <cellStyle name="20% - Accent6 5 6 3" xfId="18545" xr:uid="{00000000-0005-0000-0000-00005F330000}"/>
    <cellStyle name="20% - Accent6 5 6 3 2" xfId="47551" xr:uid="{00000000-0005-0000-0000-000060330000}"/>
    <cellStyle name="20% - Accent6 5 6 4" xfId="33052" xr:uid="{00000000-0005-0000-0000-000061330000}"/>
    <cellStyle name="20% - Accent6 5 7" xfId="7091" xr:uid="{00000000-0005-0000-0000-000062330000}"/>
    <cellStyle name="20% - Accent6 5 7 2" xfId="14363" xr:uid="{00000000-0005-0000-0000-000063330000}"/>
    <cellStyle name="20% - Accent6 5 7 2 2" xfId="28897" xr:uid="{00000000-0005-0000-0000-000064330000}"/>
    <cellStyle name="20% - Accent6 5 7 2 2 2" xfId="57903" xr:uid="{00000000-0005-0000-0000-000065330000}"/>
    <cellStyle name="20% - Accent6 5 7 2 3" xfId="43404" xr:uid="{00000000-0005-0000-0000-000066330000}"/>
    <cellStyle name="20% - Accent6 5 7 3" xfId="21649" xr:uid="{00000000-0005-0000-0000-000067330000}"/>
    <cellStyle name="20% - Accent6 5 7 3 2" xfId="50655" xr:uid="{00000000-0005-0000-0000-000068330000}"/>
    <cellStyle name="20% - Accent6 5 7 4" xfId="36156" xr:uid="{00000000-0005-0000-0000-000069330000}"/>
    <cellStyle name="20% - Accent6 5 8" xfId="8155" xr:uid="{00000000-0005-0000-0000-00006A330000}"/>
    <cellStyle name="20% - Accent6 5 8 2" xfId="22689" xr:uid="{00000000-0005-0000-0000-00006B330000}"/>
    <cellStyle name="20% - Accent6 5 8 2 2" xfId="51695" xr:uid="{00000000-0005-0000-0000-00006C330000}"/>
    <cellStyle name="20% - Accent6 5 8 3" xfId="37196" xr:uid="{00000000-0005-0000-0000-00006D330000}"/>
    <cellStyle name="20% - Accent6 5 9" xfId="15441" xr:uid="{00000000-0005-0000-0000-00006E330000}"/>
    <cellStyle name="20% - Accent6 5 9 2" xfId="44447" xr:uid="{00000000-0005-0000-0000-00006F330000}"/>
    <cellStyle name="20% - Accent6 6" xfId="1087" xr:uid="{00000000-0005-0000-0000-000070330000}"/>
    <cellStyle name="20% - Accent6 6 2" xfId="1579" xr:uid="{00000000-0005-0000-0000-000071330000}"/>
    <cellStyle name="20% - Accent6 6 2 2" xfId="2638" xr:uid="{00000000-0005-0000-0000-000072330000}"/>
    <cellStyle name="20% - Accent6 6 2 2 2" xfId="5742" xr:uid="{00000000-0005-0000-0000-000073330000}"/>
    <cellStyle name="20% - Accent6 6 2 2 2 2" xfId="13014" xr:uid="{00000000-0005-0000-0000-000074330000}"/>
    <cellStyle name="20% - Accent6 6 2 2 2 2 2" xfId="27548" xr:uid="{00000000-0005-0000-0000-000075330000}"/>
    <cellStyle name="20% - Accent6 6 2 2 2 2 2 2" xfId="56554" xr:uid="{00000000-0005-0000-0000-000076330000}"/>
    <cellStyle name="20% - Accent6 6 2 2 2 2 3" xfId="42055" xr:uid="{00000000-0005-0000-0000-000077330000}"/>
    <cellStyle name="20% - Accent6 6 2 2 2 3" xfId="20300" xr:uid="{00000000-0005-0000-0000-000078330000}"/>
    <cellStyle name="20% - Accent6 6 2 2 2 3 2" xfId="49306" xr:uid="{00000000-0005-0000-0000-000079330000}"/>
    <cellStyle name="20% - Accent6 6 2 2 2 4" xfId="34807" xr:uid="{00000000-0005-0000-0000-00007A330000}"/>
    <cellStyle name="20% - Accent6 6 2 2 3" xfId="9910" xr:uid="{00000000-0005-0000-0000-00007B330000}"/>
    <cellStyle name="20% - Accent6 6 2 2 3 2" xfId="24444" xr:uid="{00000000-0005-0000-0000-00007C330000}"/>
    <cellStyle name="20% - Accent6 6 2 2 3 2 2" xfId="53450" xr:uid="{00000000-0005-0000-0000-00007D330000}"/>
    <cellStyle name="20% - Accent6 6 2 2 3 3" xfId="38951" xr:uid="{00000000-0005-0000-0000-00007E330000}"/>
    <cellStyle name="20% - Accent6 6 2 2 4" xfId="17196" xr:uid="{00000000-0005-0000-0000-00007F330000}"/>
    <cellStyle name="20% - Accent6 6 2 2 4 2" xfId="46202" xr:uid="{00000000-0005-0000-0000-000080330000}"/>
    <cellStyle name="20% - Accent6 6 2 2 5" xfId="31703" xr:uid="{00000000-0005-0000-0000-000081330000}"/>
    <cellStyle name="20% - Accent6 6 2 3" xfId="3670" xr:uid="{00000000-0005-0000-0000-000082330000}"/>
    <cellStyle name="20% - Accent6 6 2 3 2" xfId="6774" xr:uid="{00000000-0005-0000-0000-000083330000}"/>
    <cellStyle name="20% - Accent6 6 2 3 2 2" xfId="14046" xr:uid="{00000000-0005-0000-0000-000084330000}"/>
    <cellStyle name="20% - Accent6 6 2 3 2 2 2" xfId="28580" xr:uid="{00000000-0005-0000-0000-000085330000}"/>
    <cellStyle name="20% - Accent6 6 2 3 2 2 2 2" xfId="57586" xr:uid="{00000000-0005-0000-0000-000086330000}"/>
    <cellStyle name="20% - Accent6 6 2 3 2 2 3" xfId="43087" xr:uid="{00000000-0005-0000-0000-000087330000}"/>
    <cellStyle name="20% - Accent6 6 2 3 2 3" xfId="21332" xr:uid="{00000000-0005-0000-0000-000088330000}"/>
    <cellStyle name="20% - Accent6 6 2 3 2 3 2" xfId="50338" xr:uid="{00000000-0005-0000-0000-000089330000}"/>
    <cellStyle name="20% - Accent6 6 2 3 2 4" xfId="35839" xr:uid="{00000000-0005-0000-0000-00008A330000}"/>
    <cellStyle name="20% - Accent6 6 2 3 3" xfId="10942" xr:uid="{00000000-0005-0000-0000-00008B330000}"/>
    <cellStyle name="20% - Accent6 6 2 3 3 2" xfId="25476" xr:uid="{00000000-0005-0000-0000-00008C330000}"/>
    <cellStyle name="20% - Accent6 6 2 3 3 2 2" xfId="54482" xr:uid="{00000000-0005-0000-0000-00008D330000}"/>
    <cellStyle name="20% - Accent6 6 2 3 3 3" xfId="39983" xr:uid="{00000000-0005-0000-0000-00008E330000}"/>
    <cellStyle name="20% - Accent6 6 2 3 4" xfId="18228" xr:uid="{00000000-0005-0000-0000-00008F330000}"/>
    <cellStyle name="20% - Accent6 6 2 3 4 2" xfId="47234" xr:uid="{00000000-0005-0000-0000-000090330000}"/>
    <cellStyle name="20% - Accent6 6 2 3 5" xfId="32735" xr:uid="{00000000-0005-0000-0000-000091330000}"/>
    <cellStyle name="20% - Accent6 6 2 4" xfId="4702" xr:uid="{00000000-0005-0000-0000-000092330000}"/>
    <cellStyle name="20% - Accent6 6 2 4 2" xfId="11974" xr:uid="{00000000-0005-0000-0000-000093330000}"/>
    <cellStyle name="20% - Accent6 6 2 4 2 2" xfId="26508" xr:uid="{00000000-0005-0000-0000-000094330000}"/>
    <cellStyle name="20% - Accent6 6 2 4 2 2 2" xfId="55514" xr:uid="{00000000-0005-0000-0000-000095330000}"/>
    <cellStyle name="20% - Accent6 6 2 4 2 3" xfId="41015" xr:uid="{00000000-0005-0000-0000-000096330000}"/>
    <cellStyle name="20% - Accent6 6 2 4 3" xfId="19260" xr:uid="{00000000-0005-0000-0000-000097330000}"/>
    <cellStyle name="20% - Accent6 6 2 4 3 2" xfId="48266" xr:uid="{00000000-0005-0000-0000-000098330000}"/>
    <cellStyle name="20% - Accent6 6 2 4 4" xfId="33767" xr:uid="{00000000-0005-0000-0000-000099330000}"/>
    <cellStyle name="20% - Accent6 6 2 5" xfId="7806" xr:uid="{00000000-0005-0000-0000-00009A330000}"/>
    <cellStyle name="20% - Accent6 6 2 5 2" xfId="15078" xr:uid="{00000000-0005-0000-0000-00009B330000}"/>
    <cellStyle name="20% - Accent6 6 2 5 2 2" xfId="29612" xr:uid="{00000000-0005-0000-0000-00009C330000}"/>
    <cellStyle name="20% - Accent6 6 2 5 2 2 2" xfId="58618" xr:uid="{00000000-0005-0000-0000-00009D330000}"/>
    <cellStyle name="20% - Accent6 6 2 5 2 3" xfId="44119" xr:uid="{00000000-0005-0000-0000-00009E330000}"/>
    <cellStyle name="20% - Accent6 6 2 5 3" xfId="22364" xr:uid="{00000000-0005-0000-0000-00009F330000}"/>
    <cellStyle name="20% - Accent6 6 2 5 3 2" xfId="51370" xr:uid="{00000000-0005-0000-0000-0000A0330000}"/>
    <cellStyle name="20% - Accent6 6 2 5 4" xfId="36871" xr:uid="{00000000-0005-0000-0000-0000A1330000}"/>
    <cellStyle name="20% - Accent6 6 2 6" xfId="8870" xr:uid="{00000000-0005-0000-0000-0000A2330000}"/>
    <cellStyle name="20% - Accent6 6 2 6 2" xfId="23404" xr:uid="{00000000-0005-0000-0000-0000A3330000}"/>
    <cellStyle name="20% - Accent6 6 2 6 2 2" xfId="52410" xr:uid="{00000000-0005-0000-0000-0000A4330000}"/>
    <cellStyle name="20% - Accent6 6 2 6 3" xfId="37911" xr:uid="{00000000-0005-0000-0000-0000A5330000}"/>
    <cellStyle name="20% - Accent6 6 2 7" xfId="16156" xr:uid="{00000000-0005-0000-0000-0000A6330000}"/>
    <cellStyle name="20% - Accent6 6 2 7 2" xfId="45162" xr:uid="{00000000-0005-0000-0000-0000A7330000}"/>
    <cellStyle name="20% - Accent6 6 2 8" xfId="30663" xr:uid="{00000000-0005-0000-0000-0000A8330000}"/>
    <cellStyle name="20% - Accent6 6 3" xfId="2126" xr:uid="{00000000-0005-0000-0000-0000A9330000}"/>
    <cellStyle name="20% - Accent6 6 3 2" xfId="5230" xr:uid="{00000000-0005-0000-0000-0000AA330000}"/>
    <cellStyle name="20% - Accent6 6 3 2 2" xfId="12502" xr:uid="{00000000-0005-0000-0000-0000AB330000}"/>
    <cellStyle name="20% - Accent6 6 3 2 2 2" xfId="27036" xr:uid="{00000000-0005-0000-0000-0000AC330000}"/>
    <cellStyle name="20% - Accent6 6 3 2 2 2 2" xfId="56042" xr:uid="{00000000-0005-0000-0000-0000AD330000}"/>
    <cellStyle name="20% - Accent6 6 3 2 2 3" xfId="41543" xr:uid="{00000000-0005-0000-0000-0000AE330000}"/>
    <cellStyle name="20% - Accent6 6 3 2 3" xfId="19788" xr:uid="{00000000-0005-0000-0000-0000AF330000}"/>
    <cellStyle name="20% - Accent6 6 3 2 3 2" xfId="48794" xr:uid="{00000000-0005-0000-0000-0000B0330000}"/>
    <cellStyle name="20% - Accent6 6 3 2 4" xfId="34295" xr:uid="{00000000-0005-0000-0000-0000B1330000}"/>
    <cellStyle name="20% - Accent6 6 3 3" xfId="9398" xr:uid="{00000000-0005-0000-0000-0000B2330000}"/>
    <cellStyle name="20% - Accent6 6 3 3 2" xfId="23932" xr:uid="{00000000-0005-0000-0000-0000B3330000}"/>
    <cellStyle name="20% - Accent6 6 3 3 2 2" xfId="52938" xr:uid="{00000000-0005-0000-0000-0000B4330000}"/>
    <cellStyle name="20% - Accent6 6 3 3 3" xfId="38439" xr:uid="{00000000-0005-0000-0000-0000B5330000}"/>
    <cellStyle name="20% - Accent6 6 3 4" xfId="16684" xr:uid="{00000000-0005-0000-0000-0000B6330000}"/>
    <cellStyle name="20% - Accent6 6 3 4 2" xfId="45690" xr:uid="{00000000-0005-0000-0000-0000B7330000}"/>
    <cellStyle name="20% - Accent6 6 3 5" xfId="31191" xr:uid="{00000000-0005-0000-0000-0000B8330000}"/>
    <cellStyle name="20% - Accent6 6 4" xfId="3158" xr:uid="{00000000-0005-0000-0000-0000B9330000}"/>
    <cellStyle name="20% - Accent6 6 4 2" xfId="6262" xr:uid="{00000000-0005-0000-0000-0000BA330000}"/>
    <cellStyle name="20% - Accent6 6 4 2 2" xfId="13534" xr:uid="{00000000-0005-0000-0000-0000BB330000}"/>
    <cellStyle name="20% - Accent6 6 4 2 2 2" xfId="28068" xr:uid="{00000000-0005-0000-0000-0000BC330000}"/>
    <cellStyle name="20% - Accent6 6 4 2 2 2 2" xfId="57074" xr:uid="{00000000-0005-0000-0000-0000BD330000}"/>
    <cellStyle name="20% - Accent6 6 4 2 2 3" xfId="42575" xr:uid="{00000000-0005-0000-0000-0000BE330000}"/>
    <cellStyle name="20% - Accent6 6 4 2 3" xfId="20820" xr:uid="{00000000-0005-0000-0000-0000BF330000}"/>
    <cellStyle name="20% - Accent6 6 4 2 3 2" xfId="49826" xr:uid="{00000000-0005-0000-0000-0000C0330000}"/>
    <cellStyle name="20% - Accent6 6 4 2 4" xfId="35327" xr:uid="{00000000-0005-0000-0000-0000C1330000}"/>
    <cellStyle name="20% - Accent6 6 4 3" xfId="10430" xr:uid="{00000000-0005-0000-0000-0000C2330000}"/>
    <cellStyle name="20% - Accent6 6 4 3 2" xfId="24964" xr:uid="{00000000-0005-0000-0000-0000C3330000}"/>
    <cellStyle name="20% - Accent6 6 4 3 2 2" xfId="53970" xr:uid="{00000000-0005-0000-0000-0000C4330000}"/>
    <cellStyle name="20% - Accent6 6 4 3 3" xfId="39471" xr:uid="{00000000-0005-0000-0000-0000C5330000}"/>
    <cellStyle name="20% - Accent6 6 4 4" xfId="17716" xr:uid="{00000000-0005-0000-0000-0000C6330000}"/>
    <cellStyle name="20% - Accent6 6 4 4 2" xfId="46722" xr:uid="{00000000-0005-0000-0000-0000C7330000}"/>
    <cellStyle name="20% - Accent6 6 4 5" xfId="32223" xr:uid="{00000000-0005-0000-0000-0000C8330000}"/>
    <cellStyle name="20% - Accent6 6 5" xfId="4190" xr:uid="{00000000-0005-0000-0000-0000C9330000}"/>
    <cellStyle name="20% - Accent6 6 5 2" xfId="11462" xr:uid="{00000000-0005-0000-0000-0000CA330000}"/>
    <cellStyle name="20% - Accent6 6 5 2 2" xfId="25996" xr:uid="{00000000-0005-0000-0000-0000CB330000}"/>
    <cellStyle name="20% - Accent6 6 5 2 2 2" xfId="55002" xr:uid="{00000000-0005-0000-0000-0000CC330000}"/>
    <cellStyle name="20% - Accent6 6 5 2 3" xfId="40503" xr:uid="{00000000-0005-0000-0000-0000CD330000}"/>
    <cellStyle name="20% - Accent6 6 5 3" xfId="18748" xr:uid="{00000000-0005-0000-0000-0000CE330000}"/>
    <cellStyle name="20% - Accent6 6 5 3 2" xfId="47754" xr:uid="{00000000-0005-0000-0000-0000CF330000}"/>
    <cellStyle name="20% - Accent6 6 5 4" xfId="33255" xr:uid="{00000000-0005-0000-0000-0000D0330000}"/>
    <cellStyle name="20% - Accent6 6 6" xfId="7294" xr:uid="{00000000-0005-0000-0000-0000D1330000}"/>
    <cellStyle name="20% - Accent6 6 6 2" xfId="14566" xr:uid="{00000000-0005-0000-0000-0000D2330000}"/>
    <cellStyle name="20% - Accent6 6 6 2 2" xfId="29100" xr:uid="{00000000-0005-0000-0000-0000D3330000}"/>
    <cellStyle name="20% - Accent6 6 6 2 2 2" xfId="58106" xr:uid="{00000000-0005-0000-0000-0000D4330000}"/>
    <cellStyle name="20% - Accent6 6 6 2 3" xfId="43607" xr:uid="{00000000-0005-0000-0000-0000D5330000}"/>
    <cellStyle name="20% - Accent6 6 6 3" xfId="21852" xr:uid="{00000000-0005-0000-0000-0000D6330000}"/>
    <cellStyle name="20% - Accent6 6 6 3 2" xfId="50858" xr:uid="{00000000-0005-0000-0000-0000D7330000}"/>
    <cellStyle name="20% - Accent6 6 6 4" xfId="36359" xr:uid="{00000000-0005-0000-0000-0000D8330000}"/>
    <cellStyle name="20% - Accent6 6 7" xfId="8358" xr:uid="{00000000-0005-0000-0000-0000D9330000}"/>
    <cellStyle name="20% - Accent6 6 7 2" xfId="22892" xr:uid="{00000000-0005-0000-0000-0000DA330000}"/>
    <cellStyle name="20% - Accent6 6 7 2 2" xfId="51898" xr:uid="{00000000-0005-0000-0000-0000DB330000}"/>
    <cellStyle name="20% - Accent6 6 7 3" xfId="37399" xr:uid="{00000000-0005-0000-0000-0000DC330000}"/>
    <cellStyle name="20% - Accent6 6 8" xfId="15644" xr:uid="{00000000-0005-0000-0000-0000DD330000}"/>
    <cellStyle name="20% - Accent6 6 8 2" xfId="44650" xr:uid="{00000000-0005-0000-0000-0000DE330000}"/>
    <cellStyle name="20% - Accent6 6 9" xfId="30151" xr:uid="{00000000-0005-0000-0000-0000DF330000}"/>
    <cellStyle name="20% - Accent6 7" xfId="995" xr:uid="{00000000-0005-0000-0000-0000E0330000}"/>
    <cellStyle name="20% - Accent6 7 2" xfId="1480" xr:uid="{00000000-0005-0000-0000-0000E1330000}"/>
    <cellStyle name="20% - Accent6 7 2 2" xfId="2538" xr:uid="{00000000-0005-0000-0000-0000E2330000}"/>
    <cellStyle name="20% - Accent6 7 2 2 2" xfId="5642" xr:uid="{00000000-0005-0000-0000-0000E3330000}"/>
    <cellStyle name="20% - Accent6 7 2 2 2 2" xfId="12914" xr:uid="{00000000-0005-0000-0000-0000E4330000}"/>
    <cellStyle name="20% - Accent6 7 2 2 2 2 2" xfId="27448" xr:uid="{00000000-0005-0000-0000-0000E5330000}"/>
    <cellStyle name="20% - Accent6 7 2 2 2 2 2 2" xfId="56454" xr:uid="{00000000-0005-0000-0000-0000E6330000}"/>
    <cellStyle name="20% - Accent6 7 2 2 2 2 3" xfId="41955" xr:uid="{00000000-0005-0000-0000-0000E7330000}"/>
    <cellStyle name="20% - Accent6 7 2 2 2 3" xfId="20200" xr:uid="{00000000-0005-0000-0000-0000E8330000}"/>
    <cellStyle name="20% - Accent6 7 2 2 2 3 2" xfId="49206" xr:uid="{00000000-0005-0000-0000-0000E9330000}"/>
    <cellStyle name="20% - Accent6 7 2 2 2 4" xfId="34707" xr:uid="{00000000-0005-0000-0000-0000EA330000}"/>
    <cellStyle name="20% - Accent6 7 2 2 3" xfId="9810" xr:uid="{00000000-0005-0000-0000-0000EB330000}"/>
    <cellStyle name="20% - Accent6 7 2 2 3 2" xfId="24344" xr:uid="{00000000-0005-0000-0000-0000EC330000}"/>
    <cellStyle name="20% - Accent6 7 2 2 3 2 2" xfId="53350" xr:uid="{00000000-0005-0000-0000-0000ED330000}"/>
    <cellStyle name="20% - Accent6 7 2 2 3 3" xfId="38851" xr:uid="{00000000-0005-0000-0000-0000EE330000}"/>
    <cellStyle name="20% - Accent6 7 2 2 4" xfId="17096" xr:uid="{00000000-0005-0000-0000-0000EF330000}"/>
    <cellStyle name="20% - Accent6 7 2 2 4 2" xfId="46102" xr:uid="{00000000-0005-0000-0000-0000F0330000}"/>
    <cellStyle name="20% - Accent6 7 2 2 5" xfId="31603" xr:uid="{00000000-0005-0000-0000-0000F1330000}"/>
    <cellStyle name="20% - Accent6 7 2 3" xfId="3570" xr:uid="{00000000-0005-0000-0000-0000F2330000}"/>
    <cellStyle name="20% - Accent6 7 2 3 2" xfId="6674" xr:uid="{00000000-0005-0000-0000-0000F3330000}"/>
    <cellStyle name="20% - Accent6 7 2 3 2 2" xfId="13946" xr:uid="{00000000-0005-0000-0000-0000F4330000}"/>
    <cellStyle name="20% - Accent6 7 2 3 2 2 2" xfId="28480" xr:uid="{00000000-0005-0000-0000-0000F5330000}"/>
    <cellStyle name="20% - Accent6 7 2 3 2 2 2 2" xfId="57486" xr:uid="{00000000-0005-0000-0000-0000F6330000}"/>
    <cellStyle name="20% - Accent6 7 2 3 2 2 3" xfId="42987" xr:uid="{00000000-0005-0000-0000-0000F7330000}"/>
    <cellStyle name="20% - Accent6 7 2 3 2 3" xfId="21232" xr:uid="{00000000-0005-0000-0000-0000F8330000}"/>
    <cellStyle name="20% - Accent6 7 2 3 2 3 2" xfId="50238" xr:uid="{00000000-0005-0000-0000-0000F9330000}"/>
    <cellStyle name="20% - Accent6 7 2 3 2 4" xfId="35739" xr:uid="{00000000-0005-0000-0000-0000FA330000}"/>
    <cellStyle name="20% - Accent6 7 2 3 3" xfId="10842" xr:uid="{00000000-0005-0000-0000-0000FB330000}"/>
    <cellStyle name="20% - Accent6 7 2 3 3 2" xfId="25376" xr:uid="{00000000-0005-0000-0000-0000FC330000}"/>
    <cellStyle name="20% - Accent6 7 2 3 3 2 2" xfId="54382" xr:uid="{00000000-0005-0000-0000-0000FD330000}"/>
    <cellStyle name="20% - Accent6 7 2 3 3 3" xfId="39883" xr:uid="{00000000-0005-0000-0000-0000FE330000}"/>
    <cellStyle name="20% - Accent6 7 2 3 4" xfId="18128" xr:uid="{00000000-0005-0000-0000-0000FF330000}"/>
    <cellStyle name="20% - Accent6 7 2 3 4 2" xfId="47134" xr:uid="{00000000-0005-0000-0000-000000340000}"/>
    <cellStyle name="20% - Accent6 7 2 3 5" xfId="32635" xr:uid="{00000000-0005-0000-0000-000001340000}"/>
    <cellStyle name="20% - Accent6 7 2 4" xfId="4602" xr:uid="{00000000-0005-0000-0000-000002340000}"/>
    <cellStyle name="20% - Accent6 7 2 4 2" xfId="11874" xr:uid="{00000000-0005-0000-0000-000003340000}"/>
    <cellStyle name="20% - Accent6 7 2 4 2 2" xfId="26408" xr:uid="{00000000-0005-0000-0000-000004340000}"/>
    <cellStyle name="20% - Accent6 7 2 4 2 2 2" xfId="55414" xr:uid="{00000000-0005-0000-0000-000005340000}"/>
    <cellStyle name="20% - Accent6 7 2 4 2 3" xfId="40915" xr:uid="{00000000-0005-0000-0000-000006340000}"/>
    <cellStyle name="20% - Accent6 7 2 4 3" xfId="19160" xr:uid="{00000000-0005-0000-0000-000007340000}"/>
    <cellStyle name="20% - Accent6 7 2 4 3 2" xfId="48166" xr:uid="{00000000-0005-0000-0000-000008340000}"/>
    <cellStyle name="20% - Accent6 7 2 4 4" xfId="33667" xr:uid="{00000000-0005-0000-0000-000009340000}"/>
    <cellStyle name="20% - Accent6 7 2 5" xfId="7706" xr:uid="{00000000-0005-0000-0000-00000A340000}"/>
    <cellStyle name="20% - Accent6 7 2 5 2" xfId="14978" xr:uid="{00000000-0005-0000-0000-00000B340000}"/>
    <cellStyle name="20% - Accent6 7 2 5 2 2" xfId="29512" xr:uid="{00000000-0005-0000-0000-00000C340000}"/>
    <cellStyle name="20% - Accent6 7 2 5 2 2 2" xfId="58518" xr:uid="{00000000-0005-0000-0000-00000D340000}"/>
    <cellStyle name="20% - Accent6 7 2 5 2 3" xfId="44019" xr:uid="{00000000-0005-0000-0000-00000E340000}"/>
    <cellStyle name="20% - Accent6 7 2 5 3" xfId="22264" xr:uid="{00000000-0005-0000-0000-00000F340000}"/>
    <cellStyle name="20% - Accent6 7 2 5 3 2" xfId="51270" xr:uid="{00000000-0005-0000-0000-000010340000}"/>
    <cellStyle name="20% - Accent6 7 2 5 4" xfId="36771" xr:uid="{00000000-0005-0000-0000-000011340000}"/>
    <cellStyle name="20% - Accent6 7 2 6" xfId="8770" xr:uid="{00000000-0005-0000-0000-000012340000}"/>
    <cellStyle name="20% - Accent6 7 2 6 2" xfId="23304" xr:uid="{00000000-0005-0000-0000-000013340000}"/>
    <cellStyle name="20% - Accent6 7 2 6 2 2" xfId="52310" xr:uid="{00000000-0005-0000-0000-000014340000}"/>
    <cellStyle name="20% - Accent6 7 2 6 3" xfId="37811" xr:uid="{00000000-0005-0000-0000-000015340000}"/>
    <cellStyle name="20% - Accent6 7 2 7" xfId="16056" xr:uid="{00000000-0005-0000-0000-000016340000}"/>
    <cellStyle name="20% - Accent6 7 2 7 2" xfId="45062" xr:uid="{00000000-0005-0000-0000-000017340000}"/>
    <cellStyle name="20% - Accent6 7 2 8" xfId="30563" xr:uid="{00000000-0005-0000-0000-000018340000}"/>
    <cellStyle name="20% - Accent6 7 3" xfId="2026" xr:uid="{00000000-0005-0000-0000-000019340000}"/>
    <cellStyle name="20% - Accent6 7 3 2" xfId="5130" xr:uid="{00000000-0005-0000-0000-00001A340000}"/>
    <cellStyle name="20% - Accent6 7 3 2 2" xfId="12402" xr:uid="{00000000-0005-0000-0000-00001B340000}"/>
    <cellStyle name="20% - Accent6 7 3 2 2 2" xfId="26936" xr:uid="{00000000-0005-0000-0000-00001C340000}"/>
    <cellStyle name="20% - Accent6 7 3 2 2 2 2" xfId="55942" xr:uid="{00000000-0005-0000-0000-00001D340000}"/>
    <cellStyle name="20% - Accent6 7 3 2 2 3" xfId="41443" xr:uid="{00000000-0005-0000-0000-00001E340000}"/>
    <cellStyle name="20% - Accent6 7 3 2 3" xfId="19688" xr:uid="{00000000-0005-0000-0000-00001F340000}"/>
    <cellStyle name="20% - Accent6 7 3 2 3 2" xfId="48694" xr:uid="{00000000-0005-0000-0000-000020340000}"/>
    <cellStyle name="20% - Accent6 7 3 2 4" xfId="34195" xr:uid="{00000000-0005-0000-0000-000021340000}"/>
    <cellStyle name="20% - Accent6 7 3 3" xfId="9298" xr:uid="{00000000-0005-0000-0000-000022340000}"/>
    <cellStyle name="20% - Accent6 7 3 3 2" xfId="23832" xr:uid="{00000000-0005-0000-0000-000023340000}"/>
    <cellStyle name="20% - Accent6 7 3 3 2 2" xfId="52838" xr:uid="{00000000-0005-0000-0000-000024340000}"/>
    <cellStyle name="20% - Accent6 7 3 3 3" xfId="38339" xr:uid="{00000000-0005-0000-0000-000025340000}"/>
    <cellStyle name="20% - Accent6 7 3 4" xfId="16584" xr:uid="{00000000-0005-0000-0000-000026340000}"/>
    <cellStyle name="20% - Accent6 7 3 4 2" xfId="45590" xr:uid="{00000000-0005-0000-0000-000027340000}"/>
    <cellStyle name="20% - Accent6 7 3 5" xfId="31091" xr:uid="{00000000-0005-0000-0000-000028340000}"/>
    <cellStyle name="20% - Accent6 7 4" xfId="3058" xr:uid="{00000000-0005-0000-0000-000029340000}"/>
    <cellStyle name="20% - Accent6 7 4 2" xfId="6162" xr:uid="{00000000-0005-0000-0000-00002A340000}"/>
    <cellStyle name="20% - Accent6 7 4 2 2" xfId="13434" xr:uid="{00000000-0005-0000-0000-00002B340000}"/>
    <cellStyle name="20% - Accent6 7 4 2 2 2" xfId="27968" xr:uid="{00000000-0005-0000-0000-00002C340000}"/>
    <cellStyle name="20% - Accent6 7 4 2 2 2 2" xfId="56974" xr:uid="{00000000-0005-0000-0000-00002D340000}"/>
    <cellStyle name="20% - Accent6 7 4 2 2 3" xfId="42475" xr:uid="{00000000-0005-0000-0000-00002E340000}"/>
    <cellStyle name="20% - Accent6 7 4 2 3" xfId="20720" xr:uid="{00000000-0005-0000-0000-00002F340000}"/>
    <cellStyle name="20% - Accent6 7 4 2 3 2" xfId="49726" xr:uid="{00000000-0005-0000-0000-000030340000}"/>
    <cellStyle name="20% - Accent6 7 4 2 4" xfId="35227" xr:uid="{00000000-0005-0000-0000-000031340000}"/>
    <cellStyle name="20% - Accent6 7 4 3" xfId="10330" xr:uid="{00000000-0005-0000-0000-000032340000}"/>
    <cellStyle name="20% - Accent6 7 4 3 2" xfId="24864" xr:uid="{00000000-0005-0000-0000-000033340000}"/>
    <cellStyle name="20% - Accent6 7 4 3 2 2" xfId="53870" xr:uid="{00000000-0005-0000-0000-000034340000}"/>
    <cellStyle name="20% - Accent6 7 4 3 3" xfId="39371" xr:uid="{00000000-0005-0000-0000-000035340000}"/>
    <cellStyle name="20% - Accent6 7 4 4" xfId="17616" xr:uid="{00000000-0005-0000-0000-000036340000}"/>
    <cellStyle name="20% - Accent6 7 4 4 2" xfId="46622" xr:uid="{00000000-0005-0000-0000-000037340000}"/>
    <cellStyle name="20% - Accent6 7 4 5" xfId="32123" xr:uid="{00000000-0005-0000-0000-000038340000}"/>
    <cellStyle name="20% - Accent6 7 5" xfId="4090" xr:uid="{00000000-0005-0000-0000-000039340000}"/>
    <cellStyle name="20% - Accent6 7 5 2" xfId="11362" xr:uid="{00000000-0005-0000-0000-00003A340000}"/>
    <cellStyle name="20% - Accent6 7 5 2 2" xfId="25896" xr:uid="{00000000-0005-0000-0000-00003B340000}"/>
    <cellStyle name="20% - Accent6 7 5 2 2 2" xfId="54902" xr:uid="{00000000-0005-0000-0000-00003C340000}"/>
    <cellStyle name="20% - Accent6 7 5 2 3" xfId="40403" xr:uid="{00000000-0005-0000-0000-00003D340000}"/>
    <cellStyle name="20% - Accent6 7 5 3" xfId="18648" xr:uid="{00000000-0005-0000-0000-00003E340000}"/>
    <cellStyle name="20% - Accent6 7 5 3 2" xfId="47654" xr:uid="{00000000-0005-0000-0000-00003F340000}"/>
    <cellStyle name="20% - Accent6 7 5 4" xfId="33155" xr:uid="{00000000-0005-0000-0000-000040340000}"/>
    <cellStyle name="20% - Accent6 7 6" xfId="7194" xr:uid="{00000000-0005-0000-0000-000041340000}"/>
    <cellStyle name="20% - Accent6 7 6 2" xfId="14466" xr:uid="{00000000-0005-0000-0000-000042340000}"/>
    <cellStyle name="20% - Accent6 7 6 2 2" xfId="29000" xr:uid="{00000000-0005-0000-0000-000043340000}"/>
    <cellStyle name="20% - Accent6 7 6 2 2 2" xfId="58006" xr:uid="{00000000-0005-0000-0000-000044340000}"/>
    <cellStyle name="20% - Accent6 7 6 2 3" xfId="43507" xr:uid="{00000000-0005-0000-0000-000045340000}"/>
    <cellStyle name="20% - Accent6 7 6 3" xfId="21752" xr:uid="{00000000-0005-0000-0000-000046340000}"/>
    <cellStyle name="20% - Accent6 7 6 3 2" xfId="50758" xr:uid="{00000000-0005-0000-0000-000047340000}"/>
    <cellStyle name="20% - Accent6 7 6 4" xfId="36259" xr:uid="{00000000-0005-0000-0000-000048340000}"/>
    <cellStyle name="20% - Accent6 7 7" xfId="8258" xr:uid="{00000000-0005-0000-0000-000049340000}"/>
    <cellStyle name="20% - Accent6 7 7 2" xfId="22792" xr:uid="{00000000-0005-0000-0000-00004A340000}"/>
    <cellStyle name="20% - Accent6 7 7 2 2" xfId="51798" xr:uid="{00000000-0005-0000-0000-00004B340000}"/>
    <cellStyle name="20% - Accent6 7 7 3" xfId="37299" xr:uid="{00000000-0005-0000-0000-00004C340000}"/>
    <cellStyle name="20% - Accent6 7 8" xfId="15544" xr:uid="{00000000-0005-0000-0000-00004D340000}"/>
    <cellStyle name="20% - Accent6 7 8 2" xfId="44550" xr:uid="{00000000-0005-0000-0000-00004E340000}"/>
    <cellStyle name="20% - Accent6 7 9" xfId="30051" xr:uid="{00000000-0005-0000-0000-00004F340000}"/>
    <cellStyle name="20% - Accent6 8" xfId="1277" xr:uid="{00000000-0005-0000-0000-000050340000}"/>
    <cellStyle name="20% - Accent6 8 2" xfId="2332" xr:uid="{00000000-0005-0000-0000-000051340000}"/>
    <cellStyle name="20% - Accent6 8 2 2" xfId="5436" xr:uid="{00000000-0005-0000-0000-000052340000}"/>
    <cellStyle name="20% - Accent6 8 2 2 2" xfId="12708" xr:uid="{00000000-0005-0000-0000-000053340000}"/>
    <cellStyle name="20% - Accent6 8 2 2 2 2" xfId="27242" xr:uid="{00000000-0005-0000-0000-000054340000}"/>
    <cellStyle name="20% - Accent6 8 2 2 2 2 2" xfId="56248" xr:uid="{00000000-0005-0000-0000-000055340000}"/>
    <cellStyle name="20% - Accent6 8 2 2 2 3" xfId="41749" xr:uid="{00000000-0005-0000-0000-000056340000}"/>
    <cellStyle name="20% - Accent6 8 2 2 3" xfId="19994" xr:uid="{00000000-0005-0000-0000-000057340000}"/>
    <cellStyle name="20% - Accent6 8 2 2 3 2" xfId="49000" xr:uid="{00000000-0005-0000-0000-000058340000}"/>
    <cellStyle name="20% - Accent6 8 2 2 4" xfId="34501" xr:uid="{00000000-0005-0000-0000-000059340000}"/>
    <cellStyle name="20% - Accent6 8 2 3" xfId="9604" xr:uid="{00000000-0005-0000-0000-00005A340000}"/>
    <cellStyle name="20% - Accent6 8 2 3 2" xfId="24138" xr:uid="{00000000-0005-0000-0000-00005B340000}"/>
    <cellStyle name="20% - Accent6 8 2 3 2 2" xfId="53144" xr:uid="{00000000-0005-0000-0000-00005C340000}"/>
    <cellStyle name="20% - Accent6 8 2 3 3" xfId="38645" xr:uid="{00000000-0005-0000-0000-00005D340000}"/>
    <cellStyle name="20% - Accent6 8 2 4" xfId="16890" xr:uid="{00000000-0005-0000-0000-00005E340000}"/>
    <cellStyle name="20% - Accent6 8 2 4 2" xfId="45896" xr:uid="{00000000-0005-0000-0000-00005F340000}"/>
    <cellStyle name="20% - Accent6 8 2 5" xfId="31397" xr:uid="{00000000-0005-0000-0000-000060340000}"/>
    <cellStyle name="20% - Accent6 8 3" xfId="3364" xr:uid="{00000000-0005-0000-0000-000061340000}"/>
    <cellStyle name="20% - Accent6 8 3 2" xfId="6468" xr:uid="{00000000-0005-0000-0000-000062340000}"/>
    <cellStyle name="20% - Accent6 8 3 2 2" xfId="13740" xr:uid="{00000000-0005-0000-0000-000063340000}"/>
    <cellStyle name="20% - Accent6 8 3 2 2 2" xfId="28274" xr:uid="{00000000-0005-0000-0000-000064340000}"/>
    <cellStyle name="20% - Accent6 8 3 2 2 2 2" xfId="57280" xr:uid="{00000000-0005-0000-0000-000065340000}"/>
    <cellStyle name="20% - Accent6 8 3 2 2 3" xfId="42781" xr:uid="{00000000-0005-0000-0000-000066340000}"/>
    <cellStyle name="20% - Accent6 8 3 2 3" xfId="21026" xr:uid="{00000000-0005-0000-0000-000067340000}"/>
    <cellStyle name="20% - Accent6 8 3 2 3 2" xfId="50032" xr:uid="{00000000-0005-0000-0000-000068340000}"/>
    <cellStyle name="20% - Accent6 8 3 2 4" xfId="35533" xr:uid="{00000000-0005-0000-0000-000069340000}"/>
    <cellStyle name="20% - Accent6 8 3 3" xfId="10636" xr:uid="{00000000-0005-0000-0000-00006A340000}"/>
    <cellStyle name="20% - Accent6 8 3 3 2" xfId="25170" xr:uid="{00000000-0005-0000-0000-00006B340000}"/>
    <cellStyle name="20% - Accent6 8 3 3 2 2" xfId="54176" xr:uid="{00000000-0005-0000-0000-00006C340000}"/>
    <cellStyle name="20% - Accent6 8 3 3 3" xfId="39677" xr:uid="{00000000-0005-0000-0000-00006D340000}"/>
    <cellStyle name="20% - Accent6 8 3 4" xfId="17922" xr:uid="{00000000-0005-0000-0000-00006E340000}"/>
    <cellStyle name="20% - Accent6 8 3 4 2" xfId="46928" xr:uid="{00000000-0005-0000-0000-00006F340000}"/>
    <cellStyle name="20% - Accent6 8 3 5" xfId="32429" xr:uid="{00000000-0005-0000-0000-000070340000}"/>
    <cellStyle name="20% - Accent6 8 4" xfId="4396" xr:uid="{00000000-0005-0000-0000-000071340000}"/>
    <cellStyle name="20% - Accent6 8 4 2" xfId="11668" xr:uid="{00000000-0005-0000-0000-000072340000}"/>
    <cellStyle name="20% - Accent6 8 4 2 2" xfId="26202" xr:uid="{00000000-0005-0000-0000-000073340000}"/>
    <cellStyle name="20% - Accent6 8 4 2 2 2" xfId="55208" xr:uid="{00000000-0005-0000-0000-000074340000}"/>
    <cellStyle name="20% - Accent6 8 4 2 3" xfId="40709" xr:uid="{00000000-0005-0000-0000-000075340000}"/>
    <cellStyle name="20% - Accent6 8 4 3" xfId="18954" xr:uid="{00000000-0005-0000-0000-000076340000}"/>
    <cellStyle name="20% - Accent6 8 4 3 2" xfId="47960" xr:uid="{00000000-0005-0000-0000-000077340000}"/>
    <cellStyle name="20% - Accent6 8 4 4" xfId="33461" xr:uid="{00000000-0005-0000-0000-000078340000}"/>
    <cellStyle name="20% - Accent6 8 5" xfId="7500" xr:uid="{00000000-0005-0000-0000-000079340000}"/>
    <cellStyle name="20% - Accent6 8 5 2" xfId="14772" xr:uid="{00000000-0005-0000-0000-00007A340000}"/>
    <cellStyle name="20% - Accent6 8 5 2 2" xfId="29306" xr:uid="{00000000-0005-0000-0000-00007B340000}"/>
    <cellStyle name="20% - Accent6 8 5 2 2 2" xfId="58312" xr:uid="{00000000-0005-0000-0000-00007C340000}"/>
    <cellStyle name="20% - Accent6 8 5 2 3" xfId="43813" xr:uid="{00000000-0005-0000-0000-00007D340000}"/>
    <cellStyle name="20% - Accent6 8 5 3" xfId="22058" xr:uid="{00000000-0005-0000-0000-00007E340000}"/>
    <cellStyle name="20% - Accent6 8 5 3 2" xfId="51064" xr:uid="{00000000-0005-0000-0000-00007F340000}"/>
    <cellStyle name="20% - Accent6 8 5 4" xfId="36565" xr:uid="{00000000-0005-0000-0000-000080340000}"/>
    <cellStyle name="20% - Accent6 8 6" xfId="8564" xr:uid="{00000000-0005-0000-0000-000081340000}"/>
    <cellStyle name="20% - Accent6 8 6 2" xfId="23098" xr:uid="{00000000-0005-0000-0000-000082340000}"/>
    <cellStyle name="20% - Accent6 8 6 2 2" xfId="52104" xr:uid="{00000000-0005-0000-0000-000083340000}"/>
    <cellStyle name="20% - Accent6 8 6 3" xfId="37605" xr:uid="{00000000-0005-0000-0000-000084340000}"/>
    <cellStyle name="20% - Accent6 8 7" xfId="15850" xr:uid="{00000000-0005-0000-0000-000085340000}"/>
    <cellStyle name="20% - Accent6 8 7 2" xfId="44856" xr:uid="{00000000-0005-0000-0000-000086340000}"/>
    <cellStyle name="20% - Accent6 8 8" xfId="30357" xr:uid="{00000000-0005-0000-0000-000087340000}"/>
    <cellStyle name="20% - Accent6 9" xfId="1820" xr:uid="{00000000-0005-0000-0000-000088340000}"/>
    <cellStyle name="20% - Accent6 9 2" xfId="4924" xr:uid="{00000000-0005-0000-0000-000089340000}"/>
    <cellStyle name="20% - Accent6 9 2 2" xfId="12196" xr:uid="{00000000-0005-0000-0000-00008A340000}"/>
    <cellStyle name="20% - Accent6 9 2 2 2" xfId="26730" xr:uid="{00000000-0005-0000-0000-00008B340000}"/>
    <cellStyle name="20% - Accent6 9 2 2 2 2" xfId="55736" xr:uid="{00000000-0005-0000-0000-00008C340000}"/>
    <cellStyle name="20% - Accent6 9 2 2 3" xfId="41237" xr:uid="{00000000-0005-0000-0000-00008D340000}"/>
    <cellStyle name="20% - Accent6 9 2 3" xfId="19482" xr:uid="{00000000-0005-0000-0000-00008E340000}"/>
    <cellStyle name="20% - Accent6 9 2 3 2" xfId="48488" xr:uid="{00000000-0005-0000-0000-00008F340000}"/>
    <cellStyle name="20% - Accent6 9 2 4" xfId="33989" xr:uid="{00000000-0005-0000-0000-000090340000}"/>
    <cellStyle name="20% - Accent6 9 3" xfId="9092" xr:uid="{00000000-0005-0000-0000-000091340000}"/>
    <cellStyle name="20% - Accent6 9 3 2" xfId="23626" xr:uid="{00000000-0005-0000-0000-000092340000}"/>
    <cellStyle name="20% - Accent6 9 3 2 2" xfId="52632" xr:uid="{00000000-0005-0000-0000-000093340000}"/>
    <cellStyle name="20% - Accent6 9 3 3" xfId="38133" xr:uid="{00000000-0005-0000-0000-000094340000}"/>
    <cellStyle name="20% - Accent6 9 4" xfId="16378" xr:uid="{00000000-0005-0000-0000-000095340000}"/>
    <cellStyle name="20% - Accent6 9 4 2" xfId="45384" xr:uid="{00000000-0005-0000-0000-000096340000}"/>
    <cellStyle name="20% - Accent6 9 5" xfId="30885" xr:uid="{00000000-0005-0000-0000-000097340000}"/>
    <cellStyle name="40% - Accent1" xfId="63" builtinId="31" customBuiltin="1"/>
    <cellStyle name="40% - Accent1 10" xfId="2843" xr:uid="{00000000-0005-0000-0000-000099340000}"/>
    <cellStyle name="40% - Accent1 10 2" xfId="5947" xr:uid="{00000000-0005-0000-0000-00009A340000}"/>
    <cellStyle name="40% - Accent1 10 2 2" xfId="13219" xr:uid="{00000000-0005-0000-0000-00009B340000}"/>
    <cellStyle name="40% - Accent1 10 2 2 2" xfId="27753" xr:uid="{00000000-0005-0000-0000-00009C340000}"/>
    <cellStyle name="40% - Accent1 10 2 2 2 2" xfId="56759" xr:uid="{00000000-0005-0000-0000-00009D340000}"/>
    <cellStyle name="40% - Accent1 10 2 2 3" xfId="42260" xr:uid="{00000000-0005-0000-0000-00009E340000}"/>
    <cellStyle name="40% - Accent1 10 2 3" xfId="20505" xr:uid="{00000000-0005-0000-0000-00009F340000}"/>
    <cellStyle name="40% - Accent1 10 2 3 2" xfId="49511" xr:uid="{00000000-0005-0000-0000-0000A0340000}"/>
    <cellStyle name="40% - Accent1 10 2 4" xfId="35012" xr:uid="{00000000-0005-0000-0000-0000A1340000}"/>
    <cellStyle name="40% - Accent1 10 3" xfId="10115" xr:uid="{00000000-0005-0000-0000-0000A2340000}"/>
    <cellStyle name="40% - Accent1 10 3 2" xfId="24649" xr:uid="{00000000-0005-0000-0000-0000A3340000}"/>
    <cellStyle name="40% - Accent1 10 3 2 2" xfId="53655" xr:uid="{00000000-0005-0000-0000-0000A4340000}"/>
    <cellStyle name="40% - Accent1 10 3 3" xfId="39156" xr:uid="{00000000-0005-0000-0000-0000A5340000}"/>
    <cellStyle name="40% - Accent1 10 4" xfId="17401" xr:uid="{00000000-0005-0000-0000-0000A6340000}"/>
    <cellStyle name="40% - Accent1 10 4 2" xfId="46407" xr:uid="{00000000-0005-0000-0000-0000A7340000}"/>
    <cellStyle name="40% - Accent1 10 5" xfId="31908" xr:uid="{00000000-0005-0000-0000-0000A8340000}"/>
    <cellStyle name="40% - Accent1 11" xfId="3875" xr:uid="{00000000-0005-0000-0000-0000A9340000}"/>
    <cellStyle name="40% - Accent1 11 2" xfId="11147" xr:uid="{00000000-0005-0000-0000-0000AA340000}"/>
    <cellStyle name="40% - Accent1 11 2 2" xfId="25681" xr:uid="{00000000-0005-0000-0000-0000AB340000}"/>
    <cellStyle name="40% - Accent1 11 2 2 2" xfId="54687" xr:uid="{00000000-0005-0000-0000-0000AC340000}"/>
    <cellStyle name="40% - Accent1 11 2 3" xfId="40188" xr:uid="{00000000-0005-0000-0000-0000AD340000}"/>
    <cellStyle name="40% - Accent1 11 3" xfId="18433" xr:uid="{00000000-0005-0000-0000-0000AE340000}"/>
    <cellStyle name="40% - Accent1 11 3 2" xfId="47439" xr:uid="{00000000-0005-0000-0000-0000AF340000}"/>
    <cellStyle name="40% - Accent1 11 4" xfId="32940" xr:uid="{00000000-0005-0000-0000-0000B0340000}"/>
    <cellStyle name="40% - Accent1 12" xfId="6979" xr:uid="{00000000-0005-0000-0000-0000B1340000}"/>
    <cellStyle name="40% - Accent1 12 2" xfId="14251" xr:uid="{00000000-0005-0000-0000-0000B2340000}"/>
    <cellStyle name="40% - Accent1 12 2 2" xfId="28785" xr:uid="{00000000-0005-0000-0000-0000B3340000}"/>
    <cellStyle name="40% - Accent1 12 2 2 2" xfId="57791" xr:uid="{00000000-0005-0000-0000-0000B4340000}"/>
    <cellStyle name="40% - Accent1 12 2 3" xfId="43292" xr:uid="{00000000-0005-0000-0000-0000B5340000}"/>
    <cellStyle name="40% - Accent1 12 3" xfId="21537" xr:uid="{00000000-0005-0000-0000-0000B6340000}"/>
    <cellStyle name="40% - Accent1 12 3 2" xfId="50543" xr:uid="{00000000-0005-0000-0000-0000B7340000}"/>
    <cellStyle name="40% - Accent1 12 4" xfId="36044" xr:uid="{00000000-0005-0000-0000-0000B8340000}"/>
    <cellStyle name="40% - Accent1 13" xfId="8043" xr:uid="{00000000-0005-0000-0000-0000B9340000}"/>
    <cellStyle name="40% - Accent1 13 2" xfId="22577" xr:uid="{00000000-0005-0000-0000-0000BA340000}"/>
    <cellStyle name="40% - Accent1 13 2 2" xfId="51583" xr:uid="{00000000-0005-0000-0000-0000BB340000}"/>
    <cellStyle name="40% - Accent1 13 3" xfId="37084" xr:uid="{00000000-0005-0000-0000-0000BC340000}"/>
    <cellStyle name="40% - Accent1 14" xfId="15323" xr:uid="{00000000-0005-0000-0000-0000BD340000}"/>
    <cellStyle name="40% - Accent1 14 2" xfId="44329" xr:uid="{00000000-0005-0000-0000-0000BE340000}"/>
    <cellStyle name="40% - Accent1 15" xfId="29829" xr:uid="{00000000-0005-0000-0000-0000BF340000}"/>
    <cellStyle name="40% - Accent1 16" xfId="388" xr:uid="{00000000-0005-0000-0000-0000C0340000}"/>
    <cellStyle name="40% - Accent1 17" xfId="58828" xr:uid="{00000000-0005-0000-0000-0000C1340000}"/>
    <cellStyle name="40% - Accent1 2" xfId="353" xr:uid="{00000000-0005-0000-0000-0000C2340000}"/>
    <cellStyle name="40% - Accent1 2 2" xfId="420" xr:uid="{00000000-0005-0000-0000-0000C3340000}"/>
    <cellStyle name="40% - Accent1 3" xfId="841" xr:uid="{00000000-0005-0000-0000-0000C4340000}"/>
    <cellStyle name="40% - Accent1 3 10" xfId="7003" xr:uid="{00000000-0005-0000-0000-0000C5340000}"/>
    <cellStyle name="40% - Accent1 3 10 2" xfId="14275" xr:uid="{00000000-0005-0000-0000-0000C6340000}"/>
    <cellStyle name="40% - Accent1 3 10 2 2" xfId="28809" xr:uid="{00000000-0005-0000-0000-0000C7340000}"/>
    <cellStyle name="40% - Accent1 3 10 2 2 2" xfId="57815" xr:uid="{00000000-0005-0000-0000-0000C8340000}"/>
    <cellStyle name="40% - Accent1 3 10 2 3" xfId="43316" xr:uid="{00000000-0005-0000-0000-0000C9340000}"/>
    <cellStyle name="40% - Accent1 3 10 3" xfId="21561" xr:uid="{00000000-0005-0000-0000-0000CA340000}"/>
    <cellStyle name="40% - Accent1 3 10 3 2" xfId="50567" xr:uid="{00000000-0005-0000-0000-0000CB340000}"/>
    <cellStyle name="40% - Accent1 3 10 4" xfId="36068" xr:uid="{00000000-0005-0000-0000-0000CC340000}"/>
    <cellStyle name="40% - Accent1 3 11" xfId="8067" xr:uid="{00000000-0005-0000-0000-0000CD340000}"/>
    <cellStyle name="40% - Accent1 3 11 2" xfId="22601" xr:uid="{00000000-0005-0000-0000-0000CE340000}"/>
    <cellStyle name="40% - Accent1 3 11 2 2" xfId="51607" xr:uid="{00000000-0005-0000-0000-0000CF340000}"/>
    <cellStyle name="40% - Accent1 3 11 3" xfId="37108" xr:uid="{00000000-0005-0000-0000-0000D0340000}"/>
    <cellStyle name="40% - Accent1 3 12" xfId="15353" xr:uid="{00000000-0005-0000-0000-0000D1340000}"/>
    <cellStyle name="40% - Accent1 3 12 2" xfId="44359" xr:uid="{00000000-0005-0000-0000-0000D2340000}"/>
    <cellStyle name="40% - Accent1 3 13" xfId="29860" xr:uid="{00000000-0005-0000-0000-0000D3340000}"/>
    <cellStyle name="40% - Accent1 3 2" xfId="884" xr:uid="{00000000-0005-0000-0000-0000D4340000}"/>
    <cellStyle name="40% - Accent1 3 2 10" xfId="8119" xr:uid="{00000000-0005-0000-0000-0000D5340000}"/>
    <cellStyle name="40% - Accent1 3 2 10 2" xfId="22653" xr:uid="{00000000-0005-0000-0000-0000D6340000}"/>
    <cellStyle name="40% - Accent1 3 2 10 2 2" xfId="51659" xr:uid="{00000000-0005-0000-0000-0000D7340000}"/>
    <cellStyle name="40% - Accent1 3 2 10 3" xfId="37160" xr:uid="{00000000-0005-0000-0000-0000D8340000}"/>
    <cellStyle name="40% - Accent1 3 2 11" xfId="15405" xr:uid="{00000000-0005-0000-0000-0000D9340000}"/>
    <cellStyle name="40% - Accent1 3 2 11 2" xfId="44411" xr:uid="{00000000-0005-0000-0000-0000DA340000}"/>
    <cellStyle name="40% - Accent1 3 2 12" xfId="29912" xr:uid="{00000000-0005-0000-0000-0000DB340000}"/>
    <cellStyle name="40% - Accent1 3 2 2" xfId="964" xr:uid="{00000000-0005-0000-0000-0000DC340000}"/>
    <cellStyle name="40% - Accent1 3 2 2 10" xfId="30015" xr:uid="{00000000-0005-0000-0000-0000DD340000}"/>
    <cellStyle name="40% - Accent1 3 2 2 2" xfId="1243" xr:uid="{00000000-0005-0000-0000-0000DE340000}"/>
    <cellStyle name="40% - Accent1 3 2 2 2 2" xfId="1749" xr:uid="{00000000-0005-0000-0000-0000DF340000}"/>
    <cellStyle name="40% - Accent1 3 2 2 2 2 2" xfId="2808" xr:uid="{00000000-0005-0000-0000-0000E0340000}"/>
    <cellStyle name="40% - Accent1 3 2 2 2 2 2 2" xfId="5912" xr:uid="{00000000-0005-0000-0000-0000E1340000}"/>
    <cellStyle name="40% - Accent1 3 2 2 2 2 2 2 2" xfId="13184" xr:uid="{00000000-0005-0000-0000-0000E2340000}"/>
    <cellStyle name="40% - Accent1 3 2 2 2 2 2 2 2 2" xfId="27718" xr:uid="{00000000-0005-0000-0000-0000E3340000}"/>
    <cellStyle name="40% - Accent1 3 2 2 2 2 2 2 2 2 2" xfId="56724" xr:uid="{00000000-0005-0000-0000-0000E4340000}"/>
    <cellStyle name="40% - Accent1 3 2 2 2 2 2 2 2 3" xfId="42225" xr:uid="{00000000-0005-0000-0000-0000E5340000}"/>
    <cellStyle name="40% - Accent1 3 2 2 2 2 2 2 3" xfId="20470" xr:uid="{00000000-0005-0000-0000-0000E6340000}"/>
    <cellStyle name="40% - Accent1 3 2 2 2 2 2 2 3 2" xfId="49476" xr:uid="{00000000-0005-0000-0000-0000E7340000}"/>
    <cellStyle name="40% - Accent1 3 2 2 2 2 2 2 4" xfId="34977" xr:uid="{00000000-0005-0000-0000-0000E8340000}"/>
    <cellStyle name="40% - Accent1 3 2 2 2 2 2 3" xfId="10080" xr:uid="{00000000-0005-0000-0000-0000E9340000}"/>
    <cellStyle name="40% - Accent1 3 2 2 2 2 2 3 2" xfId="24614" xr:uid="{00000000-0005-0000-0000-0000EA340000}"/>
    <cellStyle name="40% - Accent1 3 2 2 2 2 2 3 2 2" xfId="53620" xr:uid="{00000000-0005-0000-0000-0000EB340000}"/>
    <cellStyle name="40% - Accent1 3 2 2 2 2 2 3 3" xfId="39121" xr:uid="{00000000-0005-0000-0000-0000EC340000}"/>
    <cellStyle name="40% - Accent1 3 2 2 2 2 2 4" xfId="17366" xr:uid="{00000000-0005-0000-0000-0000ED340000}"/>
    <cellStyle name="40% - Accent1 3 2 2 2 2 2 4 2" xfId="46372" xr:uid="{00000000-0005-0000-0000-0000EE340000}"/>
    <cellStyle name="40% - Accent1 3 2 2 2 2 2 5" xfId="31873" xr:uid="{00000000-0005-0000-0000-0000EF340000}"/>
    <cellStyle name="40% - Accent1 3 2 2 2 2 3" xfId="3840" xr:uid="{00000000-0005-0000-0000-0000F0340000}"/>
    <cellStyle name="40% - Accent1 3 2 2 2 2 3 2" xfId="6944" xr:uid="{00000000-0005-0000-0000-0000F1340000}"/>
    <cellStyle name="40% - Accent1 3 2 2 2 2 3 2 2" xfId="14216" xr:uid="{00000000-0005-0000-0000-0000F2340000}"/>
    <cellStyle name="40% - Accent1 3 2 2 2 2 3 2 2 2" xfId="28750" xr:uid="{00000000-0005-0000-0000-0000F3340000}"/>
    <cellStyle name="40% - Accent1 3 2 2 2 2 3 2 2 2 2" xfId="57756" xr:uid="{00000000-0005-0000-0000-0000F4340000}"/>
    <cellStyle name="40% - Accent1 3 2 2 2 2 3 2 2 3" xfId="43257" xr:uid="{00000000-0005-0000-0000-0000F5340000}"/>
    <cellStyle name="40% - Accent1 3 2 2 2 2 3 2 3" xfId="21502" xr:uid="{00000000-0005-0000-0000-0000F6340000}"/>
    <cellStyle name="40% - Accent1 3 2 2 2 2 3 2 3 2" xfId="50508" xr:uid="{00000000-0005-0000-0000-0000F7340000}"/>
    <cellStyle name="40% - Accent1 3 2 2 2 2 3 2 4" xfId="36009" xr:uid="{00000000-0005-0000-0000-0000F8340000}"/>
    <cellStyle name="40% - Accent1 3 2 2 2 2 3 3" xfId="11112" xr:uid="{00000000-0005-0000-0000-0000F9340000}"/>
    <cellStyle name="40% - Accent1 3 2 2 2 2 3 3 2" xfId="25646" xr:uid="{00000000-0005-0000-0000-0000FA340000}"/>
    <cellStyle name="40% - Accent1 3 2 2 2 2 3 3 2 2" xfId="54652" xr:uid="{00000000-0005-0000-0000-0000FB340000}"/>
    <cellStyle name="40% - Accent1 3 2 2 2 2 3 3 3" xfId="40153" xr:uid="{00000000-0005-0000-0000-0000FC340000}"/>
    <cellStyle name="40% - Accent1 3 2 2 2 2 3 4" xfId="18398" xr:uid="{00000000-0005-0000-0000-0000FD340000}"/>
    <cellStyle name="40% - Accent1 3 2 2 2 2 3 4 2" xfId="47404" xr:uid="{00000000-0005-0000-0000-0000FE340000}"/>
    <cellStyle name="40% - Accent1 3 2 2 2 2 3 5" xfId="32905" xr:uid="{00000000-0005-0000-0000-0000FF340000}"/>
    <cellStyle name="40% - Accent1 3 2 2 2 2 4" xfId="4872" xr:uid="{00000000-0005-0000-0000-000000350000}"/>
    <cellStyle name="40% - Accent1 3 2 2 2 2 4 2" xfId="12144" xr:uid="{00000000-0005-0000-0000-000001350000}"/>
    <cellStyle name="40% - Accent1 3 2 2 2 2 4 2 2" xfId="26678" xr:uid="{00000000-0005-0000-0000-000002350000}"/>
    <cellStyle name="40% - Accent1 3 2 2 2 2 4 2 2 2" xfId="55684" xr:uid="{00000000-0005-0000-0000-000003350000}"/>
    <cellStyle name="40% - Accent1 3 2 2 2 2 4 2 3" xfId="41185" xr:uid="{00000000-0005-0000-0000-000004350000}"/>
    <cellStyle name="40% - Accent1 3 2 2 2 2 4 3" xfId="19430" xr:uid="{00000000-0005-0000-0000-000005350000}"/>
    <cellStyle name="40% - Accent1 3 2 2 2 2 4 3 2" xfId="48436" xr:uid="{00000000-0005-0000-0000-000006350000}"/>
    <cellStyle name="40% - Accent1 3 2 2 2 2 4 4" xfId="33937" xr:uid="{00000000-0005-0000-0000-000007350000}"/>
    <cellStyle name="40% - Accent1 3 2 2 2 2 5" xfId="7976" xr:uid="{00000000-0005-0000-0000-000008350000}"/>
    <cellStyle name="40% - Accent1 3 2 2 2 2 5 2" xfId="15248" xr:uid="{00000000-0005-0000-0000-000009350000}"/>
    <cellStyle name="40% - Accent1 3 2 2 2 2 5 2 2" xfId="29782" xr:uid="{00000000-0005-0000-0000-00000A350000}"/>
    <cellStyle name="40% - Accent1 3 2 2 2 2 5 2 2 2" xfId="58788" xr:uid="{00000000-0005-0000-0000-00000B350000}"/>
    <cellStyle name="40% - Accent1 3 2 2 2 2 5 2 3" xfId="44289" xr:uid="{00000000-0005-0000-0000-00000C350000}"/>
    <cellStyle name="40% - Accent1 3 2 2 2 2 5 3" xfId="22534" xr:uid="{00000000-0005-0000-0000-00000D350000}"/>
    <cellStyle name="40% - Accent1 3 2 2 2 2 5 3 2" xfId="51540" xr:uid="{00000000-0005-0000-0000-00000E350000}"/>
    <cellStyle name="40% - Accent1 3 2 2 2 2 5 4" xfId="37041" xr:uid="{00000000-0005-0000-0000-00000F350000}"/>
    <cellStyle name="40% - Accent1 3 2 2 2 2 6" xfId="9040" xr:uid="{00000000-0005-0000-0000-000010350000}"/>
    <cellStyle name="40% - Accent1 3 2 2 2 2 6 2" xfId="23574" xr:uid="{00000000-0005-0000-0000-000011350000}"/>
    <cellStyle name="40% - Accent1 3 2 2 2 2 6 2 2" xfId="52580" xr:uid="{00000000-0005-0000-0000-000012350000}"/>
    <cellStyle name="40% - Accent1 3 2 2 2 2 6 3" xfId="38081" xr:uid="{00000000-0005-0000-0000-000013350000}"/>
    <cellStyle name="40% - Accent1 3 2 2 2 2 7" xfId="16326" xr:uid="{00000000-0005-0000-0000-000014350000}"/>
    <cellStyle name="40% - Accent1 3 2 2 2 2 7 2" xfId="45332" xr:uid="{00000000-0005-0000-0000-000015350000}"/>
    <cellStyle name="40% - Accent1 3 2 2 2 2 8" xfId="30833" xr:uid="{00000000-0005-0000-0000-000016350000}"/>
    <cellStyle name="40% - Accent1 3 2 2 2 3" xfId="2296" xr:uid="{00000000-0005-0000-0000-000017350000}"/>
    <cellStyle name="40% - Accent1 3 2 2 2 3 2" xfId="5400" xr:uid="{00000000-0005-0000-0000-000018350000}"/>
    <cellStyle name="40% - Accent1 3 2 2 2 3 2 2" xfId="12672" xr:uid="{00000000-0005-0000-0000-000019350000}"/>
    <cellStyle name="40% - Accent1 3 2 2 2 3 2 2 2" xfId="27206" xr:uid="{00000000-0005-0000-0000-00001A350000}"/>
    <cellStyle name="40% - Accent1 3 2 2 2 3 2 2 2 2" xfId="56212" xr:uid="{00000000-0005-0000-0000-00001B350000}"/>
    <cellStyle name="40% - Accent1 3 2 2 2 3 2 2 3" xfId="41713" xr:uid="{00000000-0005-0000-0000-00001C350000}"/>
    <cellStyle name="40% - Accent1 3 2 2 2 3 2 3" xfId="19958" xr:uid="{00000000-0005-0000-0000-00001D350000}"/>
    <cellStyle name="40% - Accent1 3 2 2 2 3 2 3 2" xfId="48964" xr:uid="{00000000-0005-0000-0000-00001E350000}"/>
    <cellStyle name="40% - Accent1 3 2 2 2 3 2 4" xfId="34465" xr:uid="{00000000-0005-0000-0000-00001F350000}"/>
    <cellStyle name="40% - Accent1 3 2 2 2 3 3" xfId="9568" xr:uid="{00000000-0005-0000-0000-000020350000}"/>
    <cellStyle name="40% - Accent1 3 2 2 2 3 3 2" xfId="24102" xr:uid="{00000000-0005-0000-0000-000021350000}"/>
    <cellStyle name="40% - Accent1 3 2 2 2 3 3 2 2" xfId="53108" xr:uid="{00000000-0005-0000-0000-000022350000}"/>
    <cellStyle name="40% - Accent1 3 2 2 2 3 3 3" xfId="38609" xr:uid="{00000000-0005-0000-0000-000023350000}"/>
    <cellStyle name="40% - Accent1 3 2 2 2 3 4" xfId="16854" xr:uid="{00000000-0005-0000-0000-000024350000}"/>
    <cellStyle name="40% - Accent1 3 2 2 2 3 4 2" xfId="45860" xr:uid="{00000000-0005-0000-0000-000025350000}"/>
    <cellStyle name="40% - Accent1 3 2 2 2 3 5" xfId="31361" xr:uid="{00000000-0005-0000-0000-000026350000}"/>
    <cellStyle name="40% - Accent1 3 2 2 2 4" xfId="3328" xr:uid="{00000000-0005-0000-0000-000027350000}"/>
    <cellStyle name="40% - Accent1 3 2 2 2 4 2" xfId="6432" xr:uid="{00000000-0005-0000-0000-000028350000}"/>
    <cellStyle name="40% - Accent1 3 2 2 2 4 2 2" xfId="13704" xr:uid="{00000000-0005-0000-0000-000029350000}"/>
    <cellStyle name="40% - Accent1 3 2 2 2 4 2 2 2" xfId="28238" xr:uid="{00000000-0005-0000-0000-00002A350000}"/>
    <cellStyle name="40% - Accent1 3 2 2 2 4 2 2 2 2" xfId="57244" xr:uid="{00000000-0005-0000-0000-00002B350000}"/>
    <cellStyle name="40% - Accent1 3 2 2 2 4 2 2 3" xfId="42745" xr:uid="{00000000-0005-0000-0000-00002C350000}"/>
    <cellStyle name="40% - Accent1 3 2 2 2 4 2 3" xfId="20990" xr:uid="{00000000-0005-0000-0000-00002D350000}"/>
    <cellStyle name="40% - Accent1 3 2 2 2 4 2 3 2" xfId="49996" xr:uid="{00000000-0005-0000-0000-00002E350000}"/>
    <cellStyle name="40% - Accent1 3 2 2 2 4 2 4" xfId="35497" xr:uid="{00000000-0005-0000-0000-00002F350000}"/>
    <cellStyle name="40% - Accent1 3 2 2 2 4 3" xfId="10600" xr:uid="{00000000-0005-0000-0000-000030350000}"/>
    <cellStyle name="40% - Accent1 3 2 2 2 4 3 2" xfId="25134" xr:uid="{00000000-0005-0000-0000-000031350000}"/>
    <cellStyle name="40% - Accent1 3 2 2 2 4 3 2 2" xfId="54140" xr:uid="{00000000-0005-0000-0000-000032350000}"/>
    <cellStyle name="40% - Accent1 3 2 2 2 4 3 3" xfId="39641" xr:uid="{00000000-0005-0000-0000-000033350000}"/>
    <cellStyle name="40% - Accent1 3 2 2 2 4 4" xfId="17886" xr:uid="{00000000-0005-0000-0000-000034350000}"/>
    <cellStyle name="40% - Accent1 3 2 2 2 4 4 2" xfId="46892" xr:uid="{00000000-0005-0000-0000-000035350000}"/>
    <cellStyle name="40% - Accent1 3 2 2 2 4 5" xfId="32393" xr:uid="{00000000-0005-0000-0000-000036350000}"/>
    <cellStyle name="40% - Accent1 3 2 2 2 5" xfId="4360" xr:uid="{00000000-0005-0000-0000-000037350000}"/>
    <cellStyle name="40% - Accent1 3 2 2 2 5 2" xfId="11632" xr:uid="{00000000-0005-0000-0000-000038350000}"/>
    <cellStyle name="40% - Accent1 3 2 2 2 5 2 2" xfId="26166" xr:uid="{00000000-0005-0000-0000-000039350000}"/>
    <cellStyle name="40% - Accent1 3 2 2 2 5 2 2 2" xfId="55172" xr:uid="{00000000-0005-0000-0000-00003A350000}"/>
    <cellStyle name="40% - Accent1 3 2 2 2 5 2 3" xfId="40673" xr:uid="{00000000-0005-0000-0000-00003B350000}"/>
    <cellStyle name="40% - Accent1 3 2 2 2 5 3" xfId="18918" xr:uid="{00000000-0005-0000-0000-00003C350000}"/>
    <cellStyle name="40% - Accent1 3 2 2 2 5 3 2" xfId="47924" xr:uid="{00000000-0005-0000-0000-00003D350000}"/>
    <cellStyle name="40% - Accent1 3 2 2 2 5 4" xfId="33425" xr:uid="{00000000-0005-0000-0000-00003E350000}"/>
    <cellStyle name="40% - Accent1 3 2 2 2 6" xfId="7464" xr:uid="{00000000-0005-0000-0000-00003F350000}"/>
    <cellStyle name="40% - Accent1 3 2 2 2 6 2" xfId="14736" xr:uid="{00000000-0005-0000-0000-000040350000}"/>
    <cellStyle name="40% - Accent1 3 2 2 2 6 2 2" xfId="29270" xr:uid="{00000000-0005-0000-0000-000041350000}"/>
    <cellStyle name="40% - Accent1 3 2 2 2 6 2 2 2" xfId="58276" xr:uid="{00000000-0005-0000-0000-000042350000}"/>
    <cellStyle name="40% - Accent1 3 2 2 2 6 2 3" xfId="43777" xr:uid="{00000000-0005-0000-0000-000043350000}"/>
    <cellStyle name="40% - Accent1 3 2 2 2 6 3" xfId="22022" xr:uid="{00000000-0005-0000-0000-000044350000}"/>
    <cellStyle name="40% - Accent1 3 2 2 2 6 3 2" xfId="51028" xr:uid="{00000000-0005-0000-0000-000045350000}"/>
    <cellStyle name="40% - Accent1 3 2 2 2 6 4" xfId="36529" xr:uid="{00000000-0005-0000-0000-000046350000}"/>
    <cellStyle name="40% - Accent1 3 2 2 2 7" xfId="8528" xr:uid="{00000000-0005-0000-0000-000047350000}"/>
    <cellStyle name="40% - Accent1 3 2 2 2 7 2" xfId="23062" xr:uid="{00000000-0005-0000-0000-000048350000}"/>
    <cellStyle name="40% - Accent1 3 2 2 2 7 2 2" xfId="52068" xr:uid="{00000000-0005-0000-0000-000049350000}"/>
    <cellStyle name="40% - Accent1 3 2 2 2 7 3" xfId="37569" xr:uid="{00000000-0005-0000-0000-00004A350000}"/>
    <cellStyle name="40% - Accent1 3 2 2 2 8" xfId="15814" xr:uid="{00000000-0005-0000-0000-00004B350000}"/>
    <cellStyle name="40% - Accent1 3 2 2 2 8 2" xfId="44820" xr:uid="{00000000-0005-0000-0000-00004C350000}"/>
    <cellStyle name="40% - Accent1 3 2 2 2 9" xfId="30321" xr:uid="{00000000-0005-0000-0000-00004D350000}"/>
    <cellStyle name="40% - Accent1 3 2 2 3" xfId="1444" xr:uid="{00000000-0005-0000-0000-00004E350000}"/>
    <cellStyle name="40% - Accent1 3 2 2 3 2" xfId="2502" xr:uid="{00000000-0005-0000-0000-00004F350000}"/>
    <cellStyle name="40% - Accent1 3 2 2 3 2 2" xfId="5606" xr:uid="{00000000-0005-0000-0000-000050350000}"/>
    <cellStyle name="40% - Accent1 3 2 2 3 2 2 2" xfId="12878" xr:uid="{00000000-0005-0000-0000-000051350000}"/>
    <cellStyle name="40% - Accent1 3 2 2 3 2 2 2 2" xfId="27412" xr:uid="{00000000-0005-0000-0000-000052350000}"/>
    <cellStyle name="40% - Accent1 3 2 2 3 2 2 2 2 2" xfId="56418" xr:uid="{00000000-0005-0000-0000-000053350000}"/>
    <cellStyle name="40% - Accent1 3 2 2 3 2 2 2 3" xfId="41919" xr:uid="{00000000-0005-0000-0000-000054350000}"/>
    <cellStyle name="40% - Accent1 3 2 2 3 2 2 3" xfId="20164" xr:uid="{00000000-0005-0000-0000-000055350000}"/>
    <cellStyle name="40% - Accent1 3 2 2 3 2 2 3 2" xfId="49170" xr:uid="{00000000-0005-0000-0000-000056350000}"/>
    <cellStyle name="40% - Accent1 3 2 2 3 2 2 4" xfId="34671" xr:uid="{00000000-0005-0000-0000-000057350000}"/>
    <cellStyle name="40% - Accent1 3 2 2 3 2 3" xfId="9774" xr:uid="{00000000-0005-0000-0000-000058350000}"/>
    <cellStyle name="40% - Accent1 3 2 2 3 2 3 2" xfId="24308" xr:uid="{00000000-0005-0000-0000-000059350000}"/>
    <cellStyle name="40% - Accent1 3 2 2 3 2 3 2 2" xfId="53314" xr:uid="{00000000-0005-0000-0000-00005A350000}"/>
    <cellStyle name="40% - Accent1 3 2 2 3 2 3 3" xfId="38815" xr:uid="{00000000-0005-0000-0000-00005B350000}"/>
    <cellStyle name="40% - Accent1 3 2 2 3 2 4" xfId="17060" xr:uid="{00000000-0005-0000-0000-00005C350000}"/>
    <cellStyle name="40% - Accent1 3 2 2 3 2 4 2" xfId="46066" xr:uid="{00000000-0005-0000-0000-00005D350000}"/>
    <cellStyle name="40% - Accent1 3 2 2 3 2 5" xfId="31567" xr:uid="{00000000-0005-0000-0000-00005E350000}"/>
    <cellStyle name="40% - Accent1 3 2 2 3 3" xfId="3534" xr:uid="{00000000-0005-0000-0000-00005F350000}"/>
    <cellStyle name="40% - Accent1 3 2 2 3 3 2" xfId="6638" xr:uid="{00000000-0005-0000-0000-000060350000}"/>
    <cellStyle name="40% - Accent1 3 2 2 3 3 2 2" xfId="13910" xr:uid="{00000000-0005-0000-0000-000061350000}"/>
    <cellStyle name="40% - Accent1 3 2 2 3 3 2 2 2" xfId="28444" xr:uid="{00000000-0005-0000-0000-000062350000}"/>
    <cellStyle name="40% - Accent1 3 2 2 3 3 2 2 2 2" xfId="57450" xr:uid="{00000000-0005-0000-0000-000063350000}"/>
    <cellStyle name="40% - Accent1 3 2 2 3 3 2 2 3" xfId="42951" xr:uid="{00000000-0005-0000-0000-000064350000}"/>
    <cellStyle name="40% - Accent1 3 2 2 3 3 2 3" xfId="21196" xr:uid="{00000000-0005-0000-0000-000065350000}"/>
    <cellStyle name="40% - Accent1 3 2 2 3 3 2 3 2" xfId="50202" xr:uid="{00000000-0005-0000-0000-000066350000}"/>
    <cellStyle name="40% - Accent1 3 2 2 3 3 2 4" xfId="35703" xr:uid="{00000000-0005-0000-0000-000067350000}"/>
    <cellStyle name="40% - Accent1 3 2 2 3 3 3" xfId="10806" xr:uid="{00000000-0005-0000-0000-000068350000}"/>
    <cellStyle name="40% - Accent1 3 2 2 3 3 3 2" xfId="25340" xr:uid="{00000000-0005-0000-0000-000069350000}"/>
    <cellStyle name="40% - Accent1 3 2 2 3 3 3 2 2" xfId="54346" xr:uid="{00000000-0005-0000-0000-00006A350000}"/>
    <cellStyle name="40% - Accent1 3 2 2 3 3 3 3" xfId="39847" xr:uid="{00000000-0005-0000-0000-00006B350000}"/>
    <cellStyle name="40% - Accent1 3 2 2 3 3 4" xfId="18092" xr:uid="{00000000-0005-0000-0000-00006C350000}"/>
    <cellStyle name="40% - Accent1 3 2 2 3 3 4 2" xfId="47098" xr:uid="{00000000-0005-0000-0000-00006D350000}"/>
    <cellStyle name="40% - Accent1 3 2 2 3 3 5" xfId="32599" xr:uid="{00000000-0005-0000-0000-00006E350000}"/>
    <cellStyle name="40% - Accent1 3 2 2 3 4" xfId="4566" xr:uid="{00000000-0005-0000-0000-00006F350000}"/>
    <cellStyle name="40% - Accent1 3 2 2 3 4 2" xfId="11838" xr:uid="{00000000-0005-0000-0000-000070350000}"/>
    <cellStyle name="40% - Accent1 3 2 2 3 4 2 2" xfId="26372" xr:uid="{00000000-0005-0000-0000-000071350000}"/>
    <cellStyle name="40% - Accent1 3 2 2 3 4 2 2 2" xfId="55378" xr:uid="{00000000-0005-0000-0000-000072350000}"/>
    <cellStyle name="40% - Accent1 3 2 2 3 4 2 3" xfId="40879" xr:uid="{00000000-0005-0000-0000-000073350000}"/>
    <cellStyle name="40% - Accent1 3 2 2 3 4 3" xfId="19124" xr:uid="{00000000-0005-0000-0000-000074350000}"/>
    <cellStyle name="40% - Accent1 3 2 2 3 4 3 2" xfId="48130" xr:uid="{00000000-0005-0000-0000-000075350000}"/>
    <cellStyle name="40% - Accent1 3 2 2 3 4 4" xfId="33631" xr:uid="{00000000-0005-0000-0000-000076350000}"/>
    <cellStyle name="40% - Accent1 3 2 2 3 5" xfId="7670" xr:uid="{00000000-0005-0000-0000-000077350000}"/>
    <cellStyle name="40% - Accent1 3 2 2 3 5 2" xfId="14942" xr:uid="{00000000-0005-0000-0000-000078350000}"/>
    <cellStyle name="40% - Accent1 3 2 2 3 5 2 2" xfId="29476" xr:uid="{00000000-0005-0000-0000-000079350000}"/>
    <cellStyle name="40% - Accent1 3 2 2 3 5 2 2 2" xfId="58482" xr:uid="{00000000-0005-0000-0000-00007A350000}"/>
    <cellStyle name="40% - Accent1 3 2 2 3 5 2 3" xfId="43983" xr:uid="{00000000-0005-0000-0000-00007B350000}"/>
    <cellStyle name="40% - Accent1 3 2 2 3 5 3" xfId="22228" xr:uid="{00000000-0005-0000-0000-00007C350000}"/>
    <cellStyle name="40% - Accent1 3 2 2 3 5 3 2" xfId="51234" xr:uid="{00000000-0005-0000-0000-00007D350000}"/>
    <cellStyle name="40% - Accent1 3 2 2 3 5 4" xfId="36735" xr:uid="{00000000-0005-0000-0000-00007E350000}"/>
    <cellStyle name="40% - Accent1 3 2 2 3 6" xfId="8734" xr:uid="{00000000-0005-0000-0000-00007F350000}"/>
    <cellStyle name="40% - Accent1 3 2 2 3 6 2" xfId="23268" xr:uid="{00000000-0005-0000-0000-000080350000}"/>
    <cellStyle name="40% - Accent1 3 2 2 3 6 2 2" xfId="52274" xr:uid="{00000000-0005-0000-0000-000081350000}"/>
    <cellStyle name="40% - Accent1 3 2 2 3 6 3" xfId="37775" xr:uid="{00000000-0005-0000-0000-000082350000}"/>
    <cellStyle name="40% - Accent1 3 2 2 3 7" xfId="16020" xr:uid="{00000000-0005-0000-0000-000083350000}"/>
    <cellStyle name="40% - Accent1 3 2 2 3 7 2" xfId="45026" xr:uid="{00000000-0005-0000-0000-000084350000}"/>
    <cellStyle name="40% - Accent1 3 2 2 3 8" xfId="30527" xr:uid="{00000000-0005-0000-0000-000085350000}"/>
    <cellStyle name="40% - Accent1 3 2 2 4" xfId="1990" xr:uid="{00000000-0005-0000-0000-000086350000}"/>
    <cellStyle name="40% - Accent1 3 2 2 4 2" xfId="5094" xr:uid="{00000000-0005-0000-0000-000087350000}"/>
    <cellStyle name="40% - Accent1 3 2 2 4 2 2" xfId="12366" xr:uid="{00000000-0005-0000-0000-000088350000}"/>
    <cellStyle name="40% - Accent1 3 2 2 4 2 2 2" xfId="26900" xr:uid="{00000000-0005-0000-0000-000089350000}"/>
    <cellStyle name="40% - Accent1 3 2 2 4 2 2 2 2" xfId="55906" xr:uid="{00000000-0005-0000-0000-00008A350000}"/>
    <cellStyle name="40% - Accent1 3 2 2 4 2 2 3" xfId="41407" xr:uid="{00000000-0005-0000-0000-00008B350000}"/>
    <cellStyle name="40% - Accent1 3 2 2 4 2 3" xfId="19652" xr:uid="{00000000-0005-0000-0000-00008C350000}"/>
    <cellStyle name="40% - Accent1 3 2 2 4 2 3 2" xfId="48658" xr:uid="{00000000-0005-0000-0000-00008D350000}"/>
    <cellStyle name="40% - Accent1 3 2 2 4 2 4" xfId="34159" xr:uid="{00000000-0005-0000-0000-00008E350000}"/>
    <cellStyle name="40% - Accent1 3 2 2 4 3" xfId="9262" xr:uid="{00000000-0005-0000-0000-00008F350000}"/>
    <cellStyle name="40% - Accent1 3 2 2 4 3 2" xfId="23796" xr:uid="{00000000-0005-0000-0000-000090350000}"/>
    <cellStyle name="40% - Accent1 3 2 2 4 3 2 2" xfId="52802" xr:uid="{00000000-0005-0000-0000-000091350000}"/>
    <cellStyle name="40% - Accent1 3 2 2 4 3 3" xfId="38303" xr:uid="{00000000-0005-0000-0000-000092350000}"/>
    <cellStyle name="40% - Accent1 3 2 2 4 4" xfId="16548" xr:uid="{00000000-0005-0000-0000-000093350000}"/>
    <cellStyle name="40% - Accent1 3 2 2 4 4 2" xfId="45554" xr:uid="{00000000-0005-0000-0000-000094350000}"/>
    <cellStyle name="40% - Accent1 3 2 2 4 5" xfId="31055" xr:uid="{00000000-0005-0000-0000-000095350000}"/>
    <cellStyle name="40% - Accent1 3 2 2 5" xfId="3022" xr:uid="{00000000-0005-0000-0000-000096350000}"/>
    <cellStyle name="40% - Accent1 3 2 2 5 2" xfId="6126" xr:uid="{00000000-0005-0000-0000-000097350000}"/>
    <cellStyle name="40% - Accent1 3 2 2 5 2 2" xfId="13398" xr:uid="{00000000-0005-0000-0000-000098350000}"/>
    <cellStyle name="40% - Accent1 3 2 2 5 2 2 2" xfId="27932" xr:uid="{00000000-0005-0000-0000-000099350000}"/>
    <cellStyle name="40% - Accent1 3 2 2 5 2 2 2 2" xfId="56938" xr:uid="{00000000-0005-0000-0000-00009A350000}"/>
    <cellStyle name="40% - Accent1 3 2 2 5 2 2 3" xfId="42439" xr:uid="{00000000-0005-0000-0000-00009B350000}"/>
    <cellStyle name="40% - Accent1 3 2 2 5 2 3" xfId="20684" xr:uid="{00000000-0005-0000-0000-00009C350000}"/>
    <cellStyle name="40% - Accent1 3 2 2 5 2 3 2" xfId="49690" xr:uid="{00000000-0005-0000-0000-00009D350000}"/>
    <cellStyle name="40% - Accent1 3 2 2 5 2 4" xfId="35191" xr:uid="{00000000-0005-0000-0000-00009E350000}"/>
    <cellStyle name="40% - Accent1 3 2 2 5 3" xfId="10294" xr:uid="{00000000-0005-0000-0000-00009F350000}"/>
    <cellStyle name="40% - Accent1 3 2 2 5 3 2" xfId="24828" xr:uid="{00000000-0005-0000-0000-0000A0350000}"/>
    <cellStyle name="40% - Accent1 3 2 2 5 3 2 2" xfId="53834" xr:uid="{00000000-0005-0000-0000-0000A1350000}"/>
    <cellStyle name="40% - Accent1 3 2 2 5 3 3" xfId="39335" xr:uid="{00000000-0005-0000-0000-0000A2350000}"/>
    <cellStyle name="40% - Accent1 3 2 2 5 4" xfId="17580" xr:uid="{00000000-0005-0000-0000-0000A3350000}"/>
    <cellStyle name="40% - Accent1 3 2 2 5 4 2" xfId="46586" xr:uid="{00000000-0005-0000-0000-0000A4350000}"/>
    <cellStyle name="40% - Accent1 3 2 2 5 5" xfId="32087" xr:uid="{00000000-0005-0000-0000-0000A5350000}"/>
    <cellStyle name="40% - Accent1 3 2 2 6" xfId="4054" xr:uid="{00000000-0005-0000-0000-0000A6350000}"/>
    <cellStyle name="40% - Accent1 3 2 2 6 2" xfId="11326" xr:uid="{00000000-0005-0000-0000-0000A7350000}"/>
    <cellStyle name="40% - Accent1 3 2 2 6 2 2" xfId="25860" xr:uid="{00000000-0005-0000-0000-0000A8350000}"/>
    <cellStyle name="40% - Accent1 3 2 2 6 2 2 2" xfId="54866" xr:uid="{00000000-0005-0000-0000-0000A9350000}"/>
    <cellStyle name="40% - Accent1 3 2 2 6 2 3" xfId="40367" xr:uid="{00000000-0005-0000-0000-0000AA350000}"/>
    <cellStyle name="40% - Accent1 3 2 2 6 3" xfId="18612" xr:uid="{00000000-0005-0000-0000-0000AB350000}"/>
    <cellStyle name="40% - Accent1 3 2 2 6 3 2" xfId="47618" xr:uid="{00000000-0005-0000-0000-0000AC350000}"/>
    <cellStyle name="40% - Accent1 3 2 2 6 4" xfId="33119" xr:uid="{00000000-0005-0000-0000-0000AD350000}"/>
    <cellStyle name="40% - Accent1 3 2 2 7" xfId="7158" xr:uid="{00000000-0005-0000-0000-0000AE350000}"/>
    <cellStyle name="40% - Accent1 3 2 2 7 2" xfId="14430" xr:uid="{00000000-0005-0000-0000-0000AF350000}"/>
    <cellStyle name="40% - Accent1 3 2 2 7 2 2" xfId="28964" xr:uid="{00000000-0005-0000-0000-0000B0350000}"/>
    <cellStyle name="40% - Accent1 3 2 2 7 2 2 2" xfId="57970" xr:uid="{00000000-0005-0000-0000-0000B1350000}"/>
    <cellStyle name="40% - Accent1 3 2 2 7 2 3" xfId="43471" xr:uid="{00000000-0005-0000-0000-0000B2350000}"/>
    <cellStyle name="40% - Accent1 3 2 2 7 3" xfId="21716" xr:uid="{00000000-0005-0000-0000-0000B3350000}"/>
    <cellStyle name="40% - Accent1 3 2 2 7 3 2" xfId="50722" xr:uid="{00000000-0005-0000-0000-0000B4350000}"/>
    <cellStyle name="40% - Accent1 3 2 2 7 4" xfId="36223" xr:uid="{00000000-0005-0000-0000-0000B5350000}"/>
    <cellStyle name="40% - Accent1 3 2 2 8" xfId="8222" xr:uid="{00000000-0005-0000-0000-0000B6350000}"/>
    <cellStyle name="40% - Accent1 3 2 2 8 2" xfId="22756" xr:uid="{00000000-0005-0000-0000-0000B7350000}"/>
    <cellStyle name="40% - Accent1 3 2 2 8 2 2" xfId="51762" xr:uid="{00000000-0005-0000-0000-0000B8350000}"/>
    <cellStyle name="40% - Accent1 3 2 2 8 3" xfId="37263" xr:uid="{00000000-0005-0000-0000-0000B9350000}"/>
    <cellStyle name="40% - Accent1 3 2 2 9" xfId="15508" xr:uid="{00000000-0005-0000-0000-0000BA350000}"/>
    <cellStyle name="40% - Accent1 3 2 2 9 2" xfId="44514" xr:uid="{00000000-0005-0000-0000-0000BB350000}"/>
    <cellStyle name="40% - Accent1 3 2 3" xfId="1147" xr:uid="{00000000-0005-0000-0000-0000BC350000}"/>
    <cellStyle name="40% - Accent1 3 2 3 2" xfId="1646" xr:uid="{00000000-0005-0000-0000-0000BD350000}"/>
    <cellStyle name="40% - Accent1 3 2 3 2 2" xfId="2705" xr:uid="{00000000-0005-0000-0000-0000BE350000}"/>
    <cellStyle name="40% - Accent1 3 2 3 2 2 2" xfId="5809" xr:uid="{00000000-0005-0000-0000-0000BF350000}"/>
    <cellStyle name="40% - Accent1 3 2 3 2 2 2 2" xfId="13081" xr:uid="{00000000-0005-0000-0000-0000C0350000}"/>
    <cellStyle name="40% - Accent1 3 2 3 2 2 2 2 2" xfId="27615" xr:uid="{00000000-0005-0000-0000-0000C1350000}"/>
    <cellStyle name="40% - Accent1 3 2 3 2 2 2 2 2 2" xfId="56621" xr:uid="{00000000-0005-0000-0000-0000C2350000}"/>
    <cellStyle name="40% - Accent1 3 2 3 2 2 2 2 3" xfId="42122" xr:uid="{00000000-0005-0000-0000-0000C3350000}"/>
    <cellStyle name="40% - Accent1 3 2 3 2 2 2 3" xfId="20367" xr:uid="{00000000-0005-0000-0000-0000C4350000}"/>
    <cellStyle name="40% - Accent1 3 2 3 2 2 2 3 2" xfId="49373" xr:uid="{00000000-0005-0000-0000-0000C5350000}"/>
    <cellStyle name="40% - Accent1 3 2 3 2 2 2 4" xfId="34874" xr:uid="{00000000-0005-0000-0000-0000C6350000}"/>
    <cellStyle name="40% - Accent1 3 2 3 2 2 3" xfId="9977" xr:uid="{00000000-0005-0000-0000-0000C7350000}"/>
    <cellStyle name="40% - Accent1 3 2 3 2 2 3 2" xfId="24511" xr:uid="{00000000-0005-0000-0000-0000C8350000}"/>
    <cellStyle name="40% - Accent1 3 2 3 2 2 3 2 2" xfId="53517" xr:uid="{00000000-0005-0000-0000-0000C9350000}"/>
    <cellStyle name="40% - Accent1 3 2 3 2 2 3 3" xfId="39018" xr:uid="{00000000-0005-0000-0000-0000CA350000}"/>
    <cellStyle name="40% - Accent1 3 2 3 2 2 4" xfId="17263" xr:uid="{00000000-0005-0000-0000-0000CB350000}"/>
    <cellStyle name="40% - Accent1 3 2 3 2 2 4 2" xfId="46269" xr:uid="{00000000-0005-0000-0000-0000CC350000}"/>
    <cellStyle name="40% - Accent1 3 2 3 2 2 5" xfId="31770" xr:uid="{00000000-0005-0000-0000-0000CD350000}"/>
    <cellStyle name="40% - Accent1 3 2 3 2 3" xfId="3737" xr:uid="{00000000-0005-0000-0000-0000CE350000}"/>
    <cellStyle name="40% - Accent1 3 2 3 2 3 2" xfId="6841" xr:uid="{00000000-0005-0000-0000-0000CF350000}"/>
    <cellStyle name="40% - Accent1 3 2 3 2 3 2 2" xfId="14113" xr:uid="{00000000-0005-0000-0000-0000D0350000}"/>
    <cellStyle name="40% - Accent1 3 2 3 2 3 2 2 2" xfId="28647" xr:uid="{00000000-0005-0000-0000-0000D1350000}"/>
    <cellStyle name="40% - Accent1 3 2 3 2 3 2 2 2 2" xfId="57653" xr:uid="{00000000-0005-0000-0000-0000D2350000}"/>
    <cellStyle name="40% - Accent1 3 2 3 2 3 2 2 3" xfId="43154" xr:uid="{00000000-0005-0000-0000-0000D3350000}"/>
    <cellStyle name="40% - Accent1 3 2 3 2 3 2 3" xfId="21399" xr:uid="{00000000-0005-0000-0000-0000D4350000}"/>
    <cellStyle name="40% - Accent1 3 2 3 2 3 2 3 2" xfId="50405" xr:uid="{00000000-0005-0000-0000-0000D5350000}"/>
    <cellStyle name="40% - Accent1 3 2 3 2 3 2 4" xfId="35906" xr:uid="{00000000-0005-0000-0000-0000D6350000}"/>
    <cellStyle name="40% - Accent1 3 2 3 2 3 3" xfId="11009" xr:uid="{00000000-0005-0000-0000-0000D7350000}"/>
    <cellStyle name="40% - Accent1 3 2 3 2 3 3 2" xfId="25543" xr:uid="{00000000-0005-0000-0000-0000D8350000}"/>
    <cellStyle name="40% - Accent1 3 2 3 2 3 3 2 2" xfId="54549" xr:uid="{00000000-0005-0000-0000-0000D9350000}"/>
    <cellStyle name="40% - Accent1 3 2 3 2 3 3 3" xfId="40050" xr:uid="{00000000-0005-0000-0000-0000DA350000}"/>
    <cellStyle name="40% - Accent1 3 2 3 2 3 4" xfId="18295" xr:uid="{00000000-0005-0000-0000-0000DB350000}"/>
    <cellStyle name="40% - Accent1 3 2 3 2 3 4 2" xfId="47301" xr:uid="{00000000-0005-0000-0000-0000DC350000}"/>
    <cellStyle name="40% - Accent1 3 2 3 2 3 5" xfId="32802" xr:uid="{00000000-0005-0000-0000-0000DD350000}"/>
    <cellStyle name="40% - Accent1 3 2 3 2 4" xfId="4769" xr:uid="{00000000-0005-0000-0000-0000DE350000}"/>
    <cellStyle name="40% - Accent1 3 2 3 2 4 2" xfId="12041" xr:uid="{00000000-0005-0000-0000-0000DF350000}"/>
    <cellStyle name="40% - Accent1 3 2 3 2 4 2 2" xfId="26575" xr:uid="{00000000-0005-0000-0000-0000E0350000}"/>
    <cellStyle name="40% - Accent1 3 2 3 2 4 2 2 2" xfId="55581" xr:uid="{00000000-0005-0000-0000-0000E1350000}"/>
    <cellStyle name="40% - Accent1 3 2 3 2 4 2 3" xfId="41082" xr:uid="{00000000-0005-0000-0000-0000E2350000}"/>
    <cellStyle name="40% - Accent1 3 2 3 2 4 3" xfId="19327" xr:uid="{00000000-0005-0000-0000-0000E3350000}"/>
    <cellStyle name="40% - Accent1 3 2 3 2 4 3 2" xfId="48333" xr:uid="{00000000-0005-0000-0000-0000E4350000}"/>
    <cellStyle name="40% - Accent1 3 2 3 2 4 4" xfId="33834" xr:uid="{00000000-0005-0000-0000-0000E5350000}"/>
    <cellStyle name="40% - Accent1 3 2 3 2 5" xfId="7873" xr:uid="{00000000-0005-0000-0000-0000E6350000}"/>
    <cellStyle name="40% - Accent1 3 2 3 2 5 2" xfId="15145" xr:uid="{00000000-0005-0000-0000-0000E7350000}"/>
    <cellStyle name="40% - Accent1 3 2 3 2 5 2 2" xfId="29679" xr:uid="{00000000-0005-0000-0000-0000E8350000}"/>
    <cellStyle name="40% - Accent1 3 2 3 2 5 2 2 2" xfId="58685" xr:uid="{00000000-0005-0000-0000-0000E9350000}"/>
    <cellStyle name="40% - Accent1 3 2 3 2 5 2 3" xfId="44186" xr:uid="{00000000-0005-0000-0000-0000EA350000}"/>
    <cellStyle name="40% - Accent1 3 2 3 2 5 3" xfId="22431" xr:uid="{00000000-0005-0000-0000-0000EB350000}"/>
    <cellStyle name="40% - Accent1 3 2 3 2 5 3 2" xfId="51437" xr:uid="{00000000-0005-0000-0000-0000EC350000}"/>
    <cellStyle name="40% - Accent1 3 2 3 2 5 4" xfId="36938" xr:uid="{00000000-0005-0000-0000-0000ED350000}"/>
    <cellStyle name="40% - Accent1 3 2 3 2 6" xfId="8937" xr:uid="{00000000-0005-0000-0000-0000EE350000}"/>
    <cellStyle name="40% - Accent1 3 2 3 2 6 2" xfId="23471" xr:uid="{00000000-0005-0000-0000-0000EF350000}"/>
    <cellStyle name="40% - Accent1 3 2 3 2 6 2 2" xfId="52477" xr:uid="{00000000-0005-0000-0000-0000F0350000}"/>
    <cellStyle name="40% - Accent1 3 2 3 2 6 3" xfId="37978" xr:uid="{00000000-0005-0000-0000-0000F1350000}"/>
    <cellStyle name="40% - Accent1 3 2 3 2 7" xfId="16223" xr:uid="{00000000-0005-0000-0000-0000F2350000}"/>
    <cellStyle name="40% - Accent1 3 2 3 2 7 2" xfId="45229" xr:uid="{00000000-0005-0000-0000-0000F3350000}"/>
    <cellStyle name="40% - Accent1 3 2 3 2 8" xfId="30730" xr:uid="{00000000-0005-0000-0000-0000F4350000}"/>
    <cellStyle name="40% - Accent1 3 2 3 3" xfId="2193" xr:uid="{00000000-0005-0000-0000-0000F5350000}"/>
    <cellStyle name="40% - Accent1 3 2 3 3 2" xfId="5297" xr:uid="{00000000-0005-0000-0000-0000F6350000}"/>
    <cellStyle name="40% - Accent1 3 2 3 3 2 2" xfId="12569" xr:uid="{00000000-0005-0000-0000-0000F7350000}"/>
    <cellStyle name="40% - Accent1 3 2 3 3 2 2 2" xfId="27103" xr:uid="{00000000-0005-0000-0000-0000F8350000}"/>
    <cellStyle name="40% - Accent1 3 2 3 3 2 2 2 2" xfId="56109" xr:uid="{00000000-0005-0000-0000-0000F9350000}"/>
    <cellStyle name="40% - Accent1 3 2 3 3 2 2 3" xfId="41610" xr:uid="{00000000-0005-0000-0000-0000FA350000}"/>
    <cellStyle name="40% - Accent1 3 2 3 3 2 3" xfId="19855" xr:uid="{00000000-0005-0000-0000-0000FB350000}"/>
    <cellStyle name="40% - Accent1 3 2 3 3 2 3 2" xfId="48861" xr:uid="{00000000-0005-0000-0000-0000FC350000}"/>
    <cellStyle name="40% - Accent1 3 2 3 3 2 4" xfId="34362" xr:uid="{00000000-0005-0000-0000-0000FD350000}"/>
    <cellStyle name="40% - Accent1 3 2 3 3 3" xfId="9465" xr:uid="{00000000-0005-0000-0000-0000FE350000}"/>
    <cellStyle name="40% - Accent1 3 2 3 3 3 2" xfId="23999" xr:uid="{00000000-0005-0000-0000-0000FF350000}"/>
    <cellStyle name="40% - Accent1 3 2 3 3 3 2 2" xfId="53005" xr:uid="{00000000-0005-0000-0000-000000360000}"/>
    <cellStyle name="40% - Accent1 3 2 3 3 3 3" xfId="38506" xr:uid="{00000000-0005-0000-0000-000001360000}"/>
    <cellStyle name="40% - Accent1 3 2 3 3 4" xfId="16751" xr:uid="{00000000-0005-0000-0000-000002360000}"/>
    <cellStyle name="40% - Accent1 3 2 3 3 4 2" xfId="45757" xr:uid="{00000000-0005-0000-0000-000003360000}"/>
    <cellStyle name="40% - Accent1 3 2 3 3 5" xfId="31258" xr:uid="{00000000-0005-0000-0000-000004360000}"/>
    <cellStyle name="40% - Accent1 3 2 3 4" xfId="3225" xr:uid="{00000000-0005-0000-0000-000005360000}"/>
    <cellStyle name="40% - Accent1 3 2 3 4 2" xfId="6329" xr:uid="{00000000-0005-0000-0000-000006360000}"/>
    <cellStyle name="40% - Accent1 3 2 3 4 2 2" xfId="13601" xr:uid="{00000000-0005-0000-0000-000007360000}"/>
    <cellStyle name="40% - Accent1 3 2 3 4 2 2 2" xfId="28135" xr:uid="{00000000-0005-0000-0000-000008360000}"/>
    <cellStyle name="40% - Accent1 3 2 3 4 2 2 2 2" xfId="57141" xr:uid="{00000000-0005-0000-0000-000009360000}"/>
    <cellStyle name="40% - Accent1 3 2 3 4 2 2 3" xfId="42642" xr:uid="{00000000-0005-0000-0000-00000A360000}"/>
    <cellStyle name="40% - Accent1 3 2 3 4 2 3" xfId="20887" xr:uid="{00000000-0005-0000-0000-00000B360000}"/>
    <cellStyle name="40% - Accent1 3 2 3 4 2 3 2" xfId="49893" xr:uid="{00000000-0005-0000-0000-00000C360000}"/>
    <cellStyle name="40% - Accent1 3 2 3 4 2 4" xfId="35394" xr:uid="{00000000-0005-0000-0000-00000D360000}"/>
    <cellStyle name="40% - Accent1 3 2 3 4 3" xfId="10497" xr:uid="{00000000-0005-0000-0000-00000E360000}"/>
    <cellStyle name="40% - Accent1 3 2 3 4 3 2" xfId="25031" xr:uid="{00000000-0005-0000-0000-00000F360000}"/>
    <cellStyle name="40% - Accent1 3 2 3 4 3 2 2" xfId="54037" xr:uid="{00000000-0005-0000-0000-000010360000}"/>
    <cellStyle name="40% - Accent1 3 2 3 4 3 3" xfId="39538" xr:uid="{00000000-0005-0000-0000-000011360000}"/>
    <cellStyle name="40% - Accent1 3 2 3 4 4" xfId="17783" xr:uid="{00000000-0005-0000-0000-000012360000}"/>
    <cellStyle name="40% - Accent1 3 2 3 4 4 2" xfId="46789" xr:uid="{00000000-0005-0000-0000-000013360000}"/>
    <cellStyle name="40% - Accent1 3 2 3 4 5" xfId="32290" xr:uid="{00000000-0005-0000-0000-000014360000}"/>
    <cellStyle name="40% - Accent1 3 2 3 5" xfId="4257" xr:uid="{00000000-0005-0000-0000-000015360000}"/>
    <cellStyle name="40% - Accent1 3 2 3 5 2" xfId="11529" xr:uid="{00000000-0005-0000-0000-000016360000}"/>
    <cellStyle name="40% - Accent1 3 2 3 5 2 2" xfId="26063" xr:uid="{00000000-0005-0000-0000-000017360000}"/>
    <cellStyle name="40% - Accent1 3 2 3 5 2 2 2" xfId="55069" xr:uid="{00000000-0005-0000-0000-000018360000}"/>
    <cellStyle name="40% - Accent1 3 2 3 5 2 3" xfId="40570" xr:uid="{00000000-0005-0000-0000-000019360000}"/>
    <cellStyle name="40% - Accent1 3 2 3 5 3" xfId="18815" xr:uid="{00000000-0005-0000-0000-00001A360000}"/>
    <cellStyle name="40% - Accent1 3 2 3 5 3 2" xfId="47821" xr:uid="{00000000-0005-0000-0000-00001B360000}"/>
    <cellStyle name="40% - Accent1 3 2 3 5 4" xfId="33322" xr:uid="{00000000-0005-0000-0000-00001C360000}"/>
    <cellStyle name="40% - Accent1 3 2 3 6" xfId="7361" xr:uid="{00000000-0005-0000-0000-00001D360000}"/>
    <cellStyle name="40% - Accent1 3 2 3 6 2" xfId="14633" xr:uid="{00000000-0005-0000-0000-00001E360000}"/>
    <cellStyle name="40% - Accent1 3 2 3 6 2 2" xfId="29167" xr:uid="{00000000-0005-0000-0000-00001F360000}"/>
    <cellStyle name="40% - Accent1 3 2 3 6 2 2 2" xfId="58173" xr:uid="{00000000-0005-0000-0000-000020360000}"/>
    <cellStyle name="40% - Accent1 3 2 3 6 2 3" xfId="43674" xr:uid="{00000000-0005-0000-0000-000021360000}"/>
    <cellStyle name="40% - Accent1 3 2 3 6 3" xfId="21919" xr:uid="{00000000-0005-0000-0000-000022360000}"/>
    <cellStyle name="40% - Accent1 3 2 3 6 3 2" xfId="50925" xr:uid="{00000000-0005-0000-0000-000023360000}"/>
    <cellStyle name="40% - Accent1 3 2 3 6 4" xfId="36426" xr:uid="{00000000-0005-0000-0000-000024360000}"/>
    <cellStyle name="40% - Accent1 3 2 3 7" xfId="8425" xr:uid="{00000000-0005-0000-0000-000025360000}"/>
    <cellStyle name="40% - Accent1 3 2 3 7 2" xfId="22959" xr:uid="{00000000-0005-0000-0000-000026360000}"/>
    <cellStyle name="40% - Accent1 3 2 3 7 2 2" xfId="51965" xr:uid="{00000000-0005-0000-0000-000027360000}"/>
    <cellStyle name="40% - Accent1 3 2 3 7 3" xfId="37466" xr:uid="{00000000-0005-0000-0000-000028360000}"/>
    <cellStyle name="40% - Accent1 3 2 3 8" xfId="15711" xr:uid="{00000000-0005-0000-0000-000029360000}"/>
    <cellStyle name="40% - Accent1 3 2 3 8 2" xfId="44717" xr:uid="{00000000-0005-0000-0000-00002A360000}"/>
    <cellStyle name="40% - Accent1 3 2 3 9" xfId="30218" xr:uid="{00000000-0005-0000-0000-00002B360000}"/>
    <cellStyle name="40% - Accent1 3 2 4" xfId="1056" xr:uid="{00000000-0005-0000-0000-00002C360000}"/>
    <cellStyle name="40% - Accent1 3 2 4 2" xfId="1547" xr:uid="{00000000-0005-0000-0000-00002D360000}"/>
    <cellStyle name="40% - Accent1 3 2 4 2 2" xfId="2605" xr:uid="{00000000-0005-0000-0000-00002E360000}"/>
    <cellStyle name="40% - Accent1 3 2 4 2 2 2" xfId="5709" xr:uid="{00000000-0005-0000-0000-00002F360000}"/>
    <cellStyle name="40% - Accent1 3 2 4 2 2 2 2" xfId="12981" xr:uid="{00000000-0005-0000-0000-000030360000}"/>
    <cellStyle name="40% - Accent1 3 2 4 2 2 2 2 2" xfId="27515" xr:uid="{00000000-0005-0000-0000-000031360000}"/>
    <cellStyle name="40% - Accent1 3 2 4 2 2 2 2 2 2" xfId="56521" xr:uid="{00000000-0005-0000-0000-000032360000}"/>
    <cellStyle name="40% - Accent1 3 2 4 2 2 2 2 3" xfId="42022" xr:uid="{00000000-0005-0000-0000-000033360000}"/>
    <cellStyle name="40% - Accent1 3 2 4 2 2 2 3" xfId="20267" xr:uid="{00000000-0005-0000-0000-000034360000}"/>
    <cellStyle name="40% - Accent1 3 2 4 2 2 2 3 2" xfId="49273" xr:uid="{00000000-0005-0000-0000-000035360000}"/>
    <cellStyle name="40% - Accent1 3 2 4 2 2 2 4" xfId="34774" xr:uid="{00000000-0005-0000-0000-000036360000}"/>
    <cellStyle name="40% - Accent1 3 2 4 2 2 3" xfId="9877" xr:uid="{00000000-0005-0000-0000-000037360000}"/>
    <cellStyle name="40% - Accent1 3 2 4 2 2 3 2" xfId="24411" xr:uid="{00000000-0005-0000-0000-000038360000}"/>
    <cellStyle name="40% - Accent1 3 2 4 2 2 3 2 2" xfId="53417" xr:uid="{00000000-0005-0000-0000-000039360000}"/>
    <cellStyle name="40% - Accent1 3 2 4 2 2 3 3" xfId="38918" xr:uid="{00000000-0005-0000-0000-00003A360000}"/>
    <cellStyle name="40% - Accent1 3 2 4 2 2 4" xfId="17163" xr:uid="{00000000-0005-0000-0000-00003B360000}"/>
    <cellStyle name="40% - Accent1 3 2 4 2 2 4 2" xfId="46169" xr:uid="{00000000-0005-0000-0000-00003C360000}"/>
    <cellStyle name="40% - Accent1 3 2 4 2 2 5" xfId="31670" xr:uid="{00000000-0005-0000-0000-00003D360000}"/>
    <cellStyle name="40% - Accent1 3 2 4 2 3" xfId="3637" xr:uid="{00000000-0005-0000-0000-00003E360000}"/>
    <cellStyle name="40% - Accent1 3 2 4 2 3 2" xfId="6741" xr:uid="{00000000-0005-0000-0000-00003F360000}"/>
    <cellStyle name="40% - Accent1 3 2 4 2 3 2 2" xfId="14013" xr:uid="{00000000-0005-0000-0000-000040360000}"/>
    <cellStyle name="40% - Accent1 3 2 4 2 3 2 2 2" xfId="28547" xr:uid="{00000000-0005-0000-0000-000041360000}"/>
    <cellStyle name="40% - Accent1 3 2 4 2 3 2 2 2 2" xfId="57553" xr:uid="{00000000-0005-0000-0000-000042360000}"/>
    <cellStyle name="40% - Accent1 3 2 4 2 3 2 2 3" xfId="43054" xr:uid="{00000000-0005-0000-0000-000043360000}"/>
    <cellStyle name="40% - Accent1 3 2 4 2 3 2 3" xfId="21299" xr:uid="{00000000-0005-0000-0000-000044360000}"/>
    <cellStyle name="40% - Accent1 3 2 4 2 3 2 3 2" xfId="50305" xr:uid="{00000000-0005-0000-0000-000045360000}"/>
    <cellStyle name="40% - Accent1 3 2 4 2 3 2 4" xfId="35806" xr:uid="{00000000-0005-0000-0000-000046360000}"/>
    <cellStyle name="40% - Accent1 3 2 4 2 3 3" xfId="10909" xr:uid="{00000000-0005-0000-0000-000047360000}"/>
    <cellStyle name="40% - Accent1 3 2 4 2 3 3 2" xfId="25443" xr:uid="{00000000-0005-0000-0000-000048360000}"/>
    <cellStyle name="40% - Accent1 3 2 4 2 3 3 2 2" xfId="54449" xr:uid="{00000000-0005-0000-0000-000049360000}"/>
    <cellStyle name="40% - Accent1 3 2 4 2 3 3 3" xfId="39950" xr:uid="{00000000-0005-0000-0000-00004A360000}"/>
    <cellStyle name="40% - Accent1 3 2 4 2 3 4" xfId="18195" xr:uid="{00000000-0005-0000-0000-00004B360000}"/>
    <cellStyle name="40% - Accent1 3 2 4 2 3 4 2" xfId="47201" xr:uid="{00000000-0005-0000-0000-00004C360000}"/>
    <cellStyle name="40% - Accent1 3 2 4 2 3 5" xfId="32702" xr:uid="{00000000-0005-0000-0000-00004D360000}"/>
    <cellStyle name="40% - Accent1 3 2 4 2 4" xfId="4669" xr:uid="{00000000-0005-0000-0000-00004E360000}"/>
    <cellStyle name="40% - Accent1 3 2 4 2 4 2" xfId="11941" xr:uid="{00000000-0005-0000-0000-00004F360000}"/>
    <cellStyle name="40% - Accent1 3 2 4 2 4 2 2" xfId="26475" xr:uid="{00000000-0005-0000-0000-000050360000}"/>
    <cellStyle name="40% - Accent1 3 2 4 2 4 2 2 2" xfId="55481" xr:uid="{00000000-0005-0000-0000-000051360000}"/>
    <cellStyle name="40% - Accent1 3 2 4 2 4 2 3" xfId="40982" xr:uid="{00000000-0005-0000-0000-000052360000}"/>
    <cellStyle name="40% - Accent1 3 2 4 2 4 3" xfId="19227" xr:uid="{00000000-0005-0000-0000-000053360000}"/>
    <cellStyle name="40% - Accent1 3 2 4 2 4 3 2" xfId="48233" xr:uid="{00000000-0005-0000-0000-000054360000}"/>
    <cellStyle name="40% - Accent1 3 2 4 2 4 4" xfId="33734" xr:uid="{00000000-0005-0000-0000-000055360000}"/>
    <cellStyle name="40% - Accent1 3 2 4 2 5" xfId="7773" xr:uid="{00000000-0005-0000-0000-000056360000}"/>
    <cellStyle name="40% - Accent1 3 2 4 2 5 2" xfId="15045" xr:uid="{00000000-0005-0000-0000-000057360000}"/>
    <cellStyle name="40% - Accent1 3 2 4 2 5 2 2" xfId="29579" xr:uid="{00000000-0005-0000-0000-000058360000}"/>
    <cellStyle name="40% - Accent1 3 2 4 2 5 2 2 2" xfId="58585" xr:uid="{00000000-0005-0000-0000-000059360000}"/>
    <cellStyle name="40% - Accent1 3 2 4 2 5 2 3" xfId="44086" xr:uid="{00000000-0005-0000-0000-00005A360000}"/>
    <cellStyle name="40% - Accent1 3 2 4 2 5 3" xfId="22331" xr:uid="{00000000-0005-0000-0000-00005B360000}"/>
    <cellStyle name="40% - Accent1 3 2 4 2 5 3 2" xfId="51337" xr:uid="{00000000-0005-0000-0000-00005C360000}"/>
    <cellStyle name="40% - Accent1 3 2 4 2 5 4" xfId="36838" xr:uid="{00000000-0005-0000-0000-00005D360000}"/>
    <cellStyle name="40% - Accent1 3 2 4 2 6" xfId="8837" xr:uid="{00000000-0005-0000-0000-00005E360000}"/>
    <cellStyle name="40% - Accent1 3 2 4 2 6 2" xfId="23371" xr:uid="{00000000-0005-0000-0000-00005F360000}"/>
    <cellStyle name="40% - Accent1 3 2 4 2 6 2 2" xfId="52377" xr:uid="{00000000-0005-0000-0000-000060360000}"/>
    <cellStyle name="40% - Accent1 3 2 4 2 6 3" xfId="37878" xr:uid="{00000000-0005-0000-0000-000061360000}"/>
    <cellStyle name="40% - Accent1 3 2 4 2 7" xfId="16123" xr:uid="{00000000-0005-0000-0000-000062360000}"/>
    <cellStyle name="40% - Accent1 3 2 4 2 7 2" xfId="45129" xr:uid="{00000000-0005-0000-0000-000063360000}"/>
    <cellStyle name="40% - Accent1 3 2 4 2 8" xfId="30630" xr:uid="{00000000-0005-0000-0000-000064360000}"/>
    <cellStyle name="40% - Accent1 3 2 4 3" xfId="2093" xr:uid="{00000000-0005-0000-0000-000065360000}"/>
    <cellStyle name="40% - Accent1 3 2 4 3 2" xfId="5197" xr:uid="{00000000-0005-0000-0000-000066360000}"/>
    <cellStyle name="40% - Accent1 3 2 4 3 2 2" xfId="12469" xr:uid="{00000000-0005-0000-0000-000067360000}"/>
    <cellStyle name="40% - Accent1 3 2 4 3 2 2 2" xfId="27003" xr:uid="{00000000-0005-0000-0000-000068360000}"/>
    <cellStyle name="40% - Accent1 3 2 4 3 2 2 2 2" xfId="56009" xr:uid="{00000000-0005-0000-0000-000069360000}"/>
    <cellStyle name="40% - Accent1 3 2 4 3 2 2 3" xfId="41510" xr:uid="{00000000-0005-0000-0000-00006A360000}"/>
    <cellStyle name="40% - Accent1 3 2 4 3 2 3" xfId="19755" xr:uid="{00000000-0005-0000-0000-00006B360000}"/>
    <cellStyle name="40% - Accent1 3 2 4 3 2 3 2" xfId="48761" xr:uid="{00000000-0005-0000-0000-00006C360000}"/>
    <cellStyle name="40% - Accent1 3 2 4 3 2 4" xfId="34262" xr:uid="{00000000-0005-0000-0000-00006D360000}"/>
    <cellStyle name="40% - Accent1 3 2 4 3 3" xfId="9365" xr:uid="{00000000-0005-0000-0000-00006E360000}"/>
    <cellStyle name="40% - Accent1 3 2 4 3 3 2" xfId="23899" xr:uid="{00000000-0005-0000-0000-00006F360000}"/>
    <cellStyle name="40% - Accent1 3 2 4 3 3 2 2" xfId="52905" xr:uid="{00000000-0005-0000-0000-000070360000}"/>
    <cellStyle name="40% - Accent1 3 2 4 3 3 3" xfId="38406" xr:uid="{00000000-0005-0000-0000-000071360000}"/>
    <cellStyle name="40% - Accent1 3 2 4 3 4" xfId="16651" xr:uid="{00000000-0005-0000-0000-000072360000}"/>
    <cellStyle name="40% - Accent1 3 2 4 3 4 2" xfId="45657" xr:uid="{00000000-0005-0000-0000-000073360000}"/>
    <cellStyle name="40% - Accent1 3 2 4 3 5" xfId="31158" xr:uid="{00000000-0005-0000-0000-000074360000}"/>
    <cellStyle name="40% - Accent1 3 2 4 4" xfId="3125" xr:uid="{00000000-0005-0000-0000-000075360000}"/>
    <cellStyle name="40% - Accent1 3 2 4 4 2" xfId="6229" xr:uid="{00000000-0005-0000-0000-000076360000}"/>
    <cellStyle name="40% - Accent1 3 2 4 4 2 2" xfId="13501" xr:uid="{00000000-0005-0000-0000-000077360000}"/>
    <cellStyle name="40% - Accent1 3 2 4 4 2 2 2" xfId="28035" xr:uid="{00000000-0005-0000-0000-000078360000}"/>
    <cellStyle name="40% - Accent1 3 2 4 4 2 2 2 2" xfId="57041" xr:uid="{00000000-0005-0000-0000-000079360000}"/>
    <cellStyle name="40% - Accent1 3 2 4 4 2 2 3" xfId="42542" xr:uid="{00000000-0005-0000-0000-00007A360000}"/>
    <cellStyle name="40% - Accent1 3 2 4 4 2 3" xfId="20787" xr:uid="{00000000-0005-0000-0000-00007B360000}"/>
    <cellStyle name="40% - Accent1 3 2 4 4 2 3 2" xfId="49793" xr:uid="{00000000-0005-0000-0000-00007C360000}"/>
    <cellStyle name="40% - Accent1 3 2 4 4 2 4" xfId="35294" xr:uid="{00000000-0005-0000-0000-00007D360000}"/>
    <cellStyle name="40% - Accent1 3 2 4 4 3" xfId="10397" xr:uid="{00000000-0005-0000-0000-00007E360000}"/>
    <cellStyle name="40% - Accent1 3 2 4 4 3 2" xfId="24931" xr:uid="{00000000-0005-0000-0000-00007F360000}"/>
    <cellStyle name="40% - Accent1 3 2 4 4 3 2 2" xfId="53937" xr:uid="{00000000-0005-0000-0000-000080360000}"/>
    <cellStyle name="40% - Accent1 3 2 4 4 3 3" xfId="39438" xr:uid="{00000000-0005-0000-0000-000081360000}"/>
    <cellStyle name="40% - Accent1 3 2 4 4 4" xfId="17683" xr:uid="{00000000-0005-0000-0000-000082360000}"/>
    <cellStyle name="40% - Accent1 3 2 4 4 4 2" xfId="46689" xr:uid="{00000000-0005-0000-0000-000083360000}"/>
    <cellStyle name="40% - Accent1 3 2 4 4 5" xfId="32190" xr:uid="{00000000-0005-0000-0000-000084360000}"/>
    <cellStyle name="40% - Accent1 3 2 4 5" xfId="4157" xr:uid="{00000000-0005-0000-0000-000085360000}"/>
    <cellStyle name="40% - Accent1 3 2 4 5 2" xfId="11429" xr:uid="{00000000-0005-0000-0000-000086360000}"/>
    <cellStyle name="40% - Accent1 3 2 4 5 2 2" xfId="25963" xr:uid="{00000000-0005-0000-0000-000087360000}"/>
    <cellStyle name="40% - Accent1 3 2 4 5 2 2 2" xfId="54969" xr:uid="{00000000-0005-0000-0000-000088360000}"/>
    <cellStyle name="40% - Accent1 3 2 4 5 2 3" xfId="40470" xr:uid="{00000000-0005-0000-0000-000089360000}"/>
    <cellStyle name="40% - Accent1 3 2 4 5 3" xfId="18715" xr:uid="{00000000-0005-0000-0000-00008A360000}"/>
    <cellStyle name="40% - Accent1 3 2 4 5 3 2" xfId="47721" xr:uid="{00000000-0005-0000-0000-00008B360000}"/>
    <cellStyle name="40% - Accent1 3 2 4 5 4" xfId="33222" xr:uid="{00000000-0005-0000-0000-00008C360000}"/>
    <cellStyle name="40% - Accent1 3 2 4 6" xfId="7261" xr:uid="{00000000-0005-0000-0000-00008D360000}"/>
    <cellStyle name="40% - Accent1 3 2 4 6 2" xfId="14533" xr:uid="{00000000-0005-0000-0000-00008E360000}"/>
    <cellStyle name="40% - Accent1 3 2 4 6 2 2" xfId="29067" xr:uid="{00000000-0005-0000-0000-00008F360000}"/>
    <cellStyle name="40% - Accent1 3 2 4 6 2 2 2" xfId="58073" xr:uid="{00000000-0005-0000-0000-000090360000}"/>
    <cellStyle name="40% - Accent1 3 2 4 6 2 3" xfId="43574" xr:uid="{00000000-0005-0000-0000-000091360000}"/>
    <cellStyle name="40% - Accent1 3 2 4 6 3" xfId="21819" xr:uid="{00000000-0005-0000-0000-000092360000}"/>
    <cellStyle name="40% - Accent1 3 2 4 6 3 2" xfId="50825" xr:uid="{00000000-0005-0000-0000-000093360000}"/>
    <cellStyle name="40% - Accent1 3 2 4 6 4" xfId="36326" xr:uid="{00000000-0005-0000-0000-000094360000}"/>
    <cellStyle name="40% - Accent1 3 2 4 7" xfId="8325" xr:uid="{00000000-0005-0000-0000-000095360000}"/>
    <cellStyle name="40% - Accent1 3 2 4 7 2" xfId="22859" xr:uid="{00000000-0005-0000-0000-000096360000}"/>
    <cellStyle name="40% - Accent1 3 2 4 7 2 2" xfId="51865" xr:uid="{00000000-0005-0000-0000-000097360000}"/>
    <cellStyle name="40% - Accent1 3 2 4 7 3" xfId="37366" xr:uid="{00000000-0005-0000-0000-000098360000}"/>
    <cellStyle name="40% - Accent1 3 2 4 8" xfId="15611" xr:uid="{00000000-0005-0000-0000-000099360000}"/>
    <cellStyle name="40% - Accent1 3 2 4 8 2" xfId="44617" xr:uid="{00000000-0005-0000-0000-00009A360000}"/>
    <cellStyle name="40% - Accent1 3 2 4 9" xfId="30118" xr:uid="{00000000-0005-0000-0000-00009B360000}"/>
    <cellStyle name="40% - Accent1 3 2 5" xfId="1342" xr:uid="{00000000-0005-0000-0000-00009C360000}"/>
    <cellStyle name="40% - Accent1 3 2 5 2" xfId="2399" xr:uid="{00000000-0005-0000-0000-00009D360000}"/>
    <cellStyle name="40% - Accent1 3 2 5 2 2" xfId="5503" xr:uid="{00000000-0005-0000-0000-00009E360000}"/>
    <cellStyle name="40% - Accent1 3 2 5 2 2 2" xfId="12775" xr:uid="{00000000-0005-0000-0000-00009F360000}"/>
    <cellStyle name="40% - Accent1 3 2 5 2 2 2 2" xfId="27309" xr:uid="{00000000-0005-0000-0000-0000A0360000}"/>
    <cellStyle name="40% - Accent1 3 2 5 2 2 2 2 2" xfId="56315" xr:uid="{00000000-0005-0000-0000-0000A1360000}"/>
    <cellStyle name="40% - Accent1 3 2 5 2 2 2 3" xfId="41816" xr:uid="{00000000-0005-0000-0000-0000A2360000}"/>
    <cellStyle name="40% - Accent1 3 2 5 2 2 3" xfId="20061" xr:uid="{00000000-0005-0000-0000-0000A3360000}"/>
    <cellStyle name="40% - Accent1 3 2 5 2 2 3 2" xfId="49067" xr:uid="{00000000-0005-0000-0000-0000A4360000}"/>
    <cellStyle name="40% - Accent1 3 2 5 2 2 4" xfId="34568" xr:uid="{00000000-0005-0000-0000-0000A5360000}"/>
    <cellStyle name="40% - Accent1 3 2 5 2 3" xfId="9671" xr:uid="{00000000-0005-0000-0000-0000A6360000}"/>
    <cellStyle name="40% - Accent1 3 2 5 2 3 2" xfId="24205" xr:uid="{00000000-0005-0000-0000-0000A7360000}"/>
    <cellStyle name="40% - Accent1 3 2 5 2 3 2 2" xfId="53211" xr:uid="{00000000-0005-0000-0000-0000A8360000}"/>
    <cellStyle name="40% - Accent1 3 2 5 2 3 3" xfId="38712" xr:uid="{00000000-0005-0000-0000-0000A9360000}"/>
    <cellStyle name="40% - Accent1 3 2 5 2 4" xfId="16957" xr:uid="{00000000-0005-0000-0000-0000AA360000}"/>
    <cellStyle name="40% - Accent1 3 2 5 2 4 2" xfId="45963" xr:uid="{00000000-0005-0000-0000-0000AB360000}"/>
    <cellStyle name="40% - Accent1 3 2 5 2 5" xfId="31464" xr:uid="{00000000-0005-0000-0000-0000AC360000}"/>
    <cellStyle name="40% - Accent1 3 2 5 3" xfId="3431" xr:uid="{00000000-0005-0000-0000-0000AD360000}"/>
    <cellStyle name="40% - Accent1 3 2 5 3 2" xfId="6535" xr:uid="{00000000-0005-0000-0000-0000AE360000}"/>
    <cellStyle name="40% - Accent1 3 2 5 3 2 2" xfId="13807" xr:uid="{00000000-0005-0000-0000-0000AF360000}"/>
    <cellStyle name="40% - Accent1 3 2 5 3 2 2 2" xfId="28341" xr:uid="{00000000-0005-0000-0000-0000B0360000}"/>
    <cellStyle name="40% - Accent1 3 2 5 3 2 2 2 2" xfId="57347" xr:uid="{00000000-0005-0000-0000-0000B1360000}"/>
    <cellStyle name="40% - Accent1 3 2 5 3 2 2 3" xfId="42848" xr:uid="{00000000-0005-0000-0000-0000B2360000}"/>
    <cellStyle name="40% - Accent1 3 2 5 3 2 3" xfId="21093" xr:uid="{00000000-0005-0000-0000-0000B3360000}"/>
    <cellStyle name="40% - Accent1 3 2 5 3 2 3 2" xfId="50099" xr:uid="{00000000-0005-0000-0000-0000B4360000}"/>
    <cellStyle name="40% - Accent1 3 2 5 3 2 4" xfId="35600" xr:uid="{00000000-0005-0000-0000-0000B5360000}"/>
    <cellStyle name="40% - Accent1 3 2 5 3 3" xfId="10703" xr:uid="{00000000-0005-0000-0000-0000B6360000}"/>
    <cellStyle name="40% - Accent1 3 2 5 3 3 2" xfId="25237" xr:uid="{00000000-0005-0000-0000-0000B7360000}"/>
    <cellStyle name="40% - Accent1 3 2 5 3 3 2 2" xfId="54243" xr:uid="{00000000-0005-0000-0000-0000B8360000}"/>
    <cellStyle name="40% - Accent1 3 2 5 3 3 3" xfId="39744" xr:uid="{00000000-0005-0000-0000-0000B9360000}"/>
    <cellStyle name="40% - Accent1 3 2 5 3 4" xfId="17989" xr:uid="{00000000-0005-0000-0000-0000BA360000}"/>
    <cellStyle name="40% - Accent1 3 2 5 3 4 2" xfId="46995" xr:uid="{00000000-0005-0000-0000-0000BB360000}"/>
    <cellStyle name="40% - Accent1 3 2 5 3 5" xfId="32496" xr:uid="{00000000-0005-0000-0000-0000BC360000}"/>
    <cellStyle name="40% - Accent1 3 2 5 4" xfId="4463" xr:uid="{00000000-0005-0000-0000-0000BD360000}"/>
    <cellStyle name="40% - Accent1 3 2 5 4 2" xfId="11735" xr:uid="{00000000-0005-0000-0000-0000BE360000}"/>
    <cellStyle name="40% - Accent1 3 2 5 4 2 2" xfId="26269" xr:uid="{00000000-0005-0000-0000-0000BF360000}"/>
    <cellStyle name="40% - Accent1 3 2 5 4 2 2 2" xfId="55275" xr:uid="{00000000-0005-0000-0000-0000C0360000}"/>
    <cellStyle name="40% - Accent1 3 2 5 4 2 3" xfId="40776" xr:uid="{00000000-0005-0000-0000-0000C1360000}"/>
    <cellStyle name="40% - Accent1 3 2 5 4 3" xfId="19021" xr:uid="{00000000-0005-0000-0000-0000C2360000}"/>
    <cellStyle name="40% - Accent1 3 2 5 4 3 2" xfId="48027" xr:uid="{00000000-0005-0000-0000-0000C3360000}"/>
    <cellStyle name="40% - Accent1 3 2 5 4 4" xfId="33528" xr:uid="{00000000-0005-0000-0000-0000C4360000}"/>
    <cellStyle name="40% - Accent1 3 2 5 5" xfId="7567" xr:uid="{00000000-0005-0000-0000-0000C5360000}"/>
    <cellStyle name="40% - Accent1 3 2 5 5 2" xfId="14839" xr:uid="{00000000-0005-0000-0000-0000C6360000}"/>
    <cellStyle name="40% - Accent1 3 2 5 5 2 2" xfId="29373" xr:uid="{00000000-0005-0000-0000-0000C7360000}"/>
    <cellStyle name="40% - Accent1 3 2 5 5 2 2 2" xfId="58379" xr:uid="{00000000-0005-0000-0000-0000C8360000}"/>
    <cellStyle name="40% - Accent1 3 2 5 5 2 3" xfId="43880" xr:uid="{00000000-0005-0000-0000-0000C9360000}"/>
    <cellStyle name="40% - Accent1 3 2 5 5 3" xfId="22125" xr:uid="{00000000-0005-0000-0000-0000CA360000}"/>
    <cellStyle name="40% - Accent1 3 2 5 5 3 2" xfId="51131" xr:uid="{00000000-0005-0000-0000-0000CB360000}"/>
    <cellStyle name="40% - Accent1 3 2 5 5 4" xfId="36632" xr:uid="{00000000-0005-0000-0000-0000CC360000}"/>
    <cellStyle name="40% - Accent1 3 2 5 6" xfId="8631" xr:uid="{00000000-0005-0000-0000-0000CD360000}"/>
    <cellStyle name="40% - Accent1 3 2 5 6 2" xfId="23165" xr:uid="{00000000-0005-0000-0000-0000CE360000}"/>
    <cellStyle name="40% - Accent1 3 2 5 6 2 2" xfId="52171" xr:uid="{00000000-0005-0000-0000-0000CF360000}"/>
    <cellStyle name="40% - Accent1 3 2 5 6 3" xfId="37672" xr:uid="{00000000-0005-0000-0000-0000D0360000}"/>
    <cellStyle name="40% - Accent1 3 2 5 7" xfId="15917" xr:uid="{00000000-0005-0000-0000-0000D1360000}"/>
    <cellStyle name="40% - Accent1 3 2 5 7 2" xfId="44923" xr:uid="{00000000-0005-0000-0000-0000D2360000}"/>
    <cellStyle name="40% - Accent1 3 2 5 8" xfId="30424" xr:uid="{00000000-0005-0000-0000-0000D3360000}"/>
    <cellStyle name="40% - Accent1 3 2 6" xfId="1887" xr:uid="{00000000-0005-0000-0000-0000D4360000}"/>
    <cellStyle name="40% - Accent1 3 2 6 2" xfId="4991" xr:uid="{00000000-0005-0000-0000-0000D5360000}"/>
    <cellStyle name="40% - Accent1 3 2 6 2 2" xfId="12263" xr:uid="{00000000-0005-0000-0000-0000D6360000}"/>
    <cellStyle name="40% - Accent1 3 2 6 2 2 2" xfId="26797" xr:uid="{00000000-0005-0000-0000-0000D7360000}"/>
    <cellStyle name="40% - Accent1 3 2 6 2 2 2 2" xfId="55803" xr:uid="{00000000-0005-0000-0000-0000D8360000}"/>
    <cellStyle name="40% - Accent1 3 2 6 2 2 3" xfId="41304" xr:uid="{00000000-0005-0000-0000-0000D9360000}"/>
    <cellStyle name="40% - Accent1 3 2 6 2 3" xfId="19549" xr:uid="{00000000-0005-0000-0000-0000DA360000}"/>
    <cellStyle name="40% - Accent1 3 2 6 2 3 2" xfId="48555" xr:uid="{00000000-0005-0000-0000-0000DB360000}"/>
    <cellStyle name="40% - Accent1 3 2 6 2 4" xfId="34056" xr:uid="{00000000-0005-0000-0000-0000DC360000}"/>
    <cellStyle name="40% - Accent1 3 2 6 3" xfId="9159" xr:uid="{00000000-0005-0000-0000-0000DD360000}"/>
    <cellStyle name="40% - Accent1 3 2 6 3 2" xfId="23693" xr:uid="{00000000-0005-0000-0000-0000DE360000}"/>
    <cellStyle name="40% - Accent1 3 2 6 3 2 2" xfId="52699" xr:uid="{00000000-0005-0000-0000-0000DF360000}"/>
    <cellStyle name="40% - Accent1 3 2 6 3 3" xfId="38200" xr:uid="{00000000-0005-0000-0000-0000E0360000}"/>
    <cellStyle name="40% - Accent1 3 2 6 4" xfId="16445" xr:uid="{00000000-0005-0000-0000-0000E1360000}"/>
    <cellStyle name="40% - Accent1 3 2 6 4 2" xfId="45451" xr:uid="{00000000-0005-0000-0000-0000E2360000}"/>
    <cellStyle name="40% - Accent1 3 2 6 5" xfId="30952" xr:uid="{00000000-0005-0000-0000-0000E3360000}"/>
    <cellStyle name="40% - Accent1 3 2 7" xfId="2919" xr:uid="{00000000-0005-0000-0000-0000E4360000}"/>
    <cellStyle name="40% - Accent1 3 2 7 2" xfId="6023" xr:uid="{00000000-0005-0000-0000-0000E5360000}"/>
    <cellStyle name="40% - Accent1 3 2 7 2 2" xfId="13295" xr:uid="{00000000-0005-0000-0000-0000E6360000}"/>
    <cellStyle name="40% - Accent1 3 2 7 2 2 2" xfId="27829" xr:uid="{00000000-0005-0000-0000-0000E7360000}"/>
    <cellStyle name="40% - Accent1 3 2 7 2 2 2 2" xfId="56835" xr:uid="{00000000-0005-0000-0000-0000E8360000}"/>
    <cellStyle name="40% - Accent1 3 2 7 2 2 3" xfId="42336" xr:uid="{00000000-0005-0000-0000-0000E9360000}"/>
    <cellStyle name="40% - Accent1 3 2 7 2 3" xfId="20581" xr:uid="{00000000-0005-0000-0000-0000EA360000}"/>
    <cellStyle name="40% - Accent1 3 2 7 2 3 2" xfId="49587" xr:uid="{00000000-0005-0000-0000-0000EB360000}"/>
    <cellStyle name="40% - Accent1 3 2 7 2 4" xfId="35088" xr:uid="{00000000-0005-0000-0000-0000EC360000}"/>
    <cellStyle name="40% - Accent1 3 2 7 3" xfId="10191" xr:uid="{00000000-0005-0000-0000-0000ED360000}"/>
    <cellStyle name="40% - Accent1 3 2 7 3 2" xfId="24725" xr:uid="{00000000-0005-0000-0000-0000EE360000}"/>
    <cellStyle name="40% - Accent1 3 2 7 3 2 2" xfId="53731" xr:uid="{00000000-0005-0000-0000-0000EF360000}"/>
    <cellStyle name="40% - Accent1 3 2 7 3 3" xfId="39232" xr:uid="{00000000-0005-0000-0000-0000F0360000}"/>
    <cellStyle name="40% - Accent1 3 2 7 4" xfId="17477" xr:uid="{00000000-0005-0000-0000-0000F1360000}"/>
    <cellStyle name="40% - Accent1 3 2 7 4 2" xfId="46483" xr:uid="{00000000-0005-0000-0000-0000F2360000}"/>
    <cellStyle name="40% - Accent1 3 2 7 5" xfId="31984" xr:uid="{00000000-0005-0000-0000-0000F3360000}"/>
    <cellStyle name="40% - Accent1 3 2 8" xfId="3951" xr:uid="{00000000-0005-0000-0000-0000F4360000}"/>
    <cellStyle name="40% - Accent1 3 2 8 2" xfId="11223" xr:uid="{00000000-0005-0000-0000-0000F5360000}"/>
    <cellStyle name="40% - Accent1 3 2 8 2 2" xfId="25757" xr:uid="{00000000-0005-0000-0000-0000F6360000}"/>
    <cellStyle name="40% - Accent1 3 2 8 2 2 2" xfId="54763" xr:uid="{00000000-0005-0000-0000-0000F7360000}"/>
    <cellStyle name="40% - Accent1 3 2 8 2 3" xfId="40264" xr:uid="{00000000-0005-0000-0000-0000F8360000}"/>
    <cellStyle name="40% - Accent1 3 2 8 3" xfId="18509" xr:uid="{00000000-0005-0000-0000-0000F9360000}"/>
    <cellStyle name="40% - Accent1 3 2 8 3 2" xfId="47515" xr:uid="{00000000-0005-0000-0000-0000FA360000}"/>
    <cellStyle name="40% - Accent1 3 2 8 4" xfId="33016" xr:uid="{00000000-0005-0000-0000-0000FB360000}"/>
    <cellStyle name="40% - Accent1 3 2 9" xfId="7055" xr:uid="{00000000-0005-0000-0000-0000FC360000}"/>
    <cellStyle name="40% - Accent1 3 2 9 2" xfId="14327" xr:uid="{00000000-0005-0000-0000-0000FD360000}"/>
    <cellStyle name="40% - Accent1 3 2 9 2 2" xfId="28861" xr:uid="{00000000-0005-0000-0000-0000FE360000}"/>
    <cellStyle name="40% - Accent1 3 2 9 2 2 2" xfId="57867" xr:uid="{00000000-0005-0000-0000-0000FF360000}"/>
    <cellStyle name="40% - Accent1 3 2 9 2 3" xfId="43368" xr:uid="{00000000-0005-0000-0000-000000370000}"/>
    <cellStyle name="40% - Accent1 3 2 9 3" xfId="21613" xr:uid="{00000000-0005-0000-0000-000001370000}"/>
    <cellStyle name="40% - Accent1 3 2 9 3 2" xfId="50619" xr:uid="{00000000-0005-0000-0000-000002370000}"/>
    <cellStyle name="40% - Accent1 3 2 9 4" xfId="36120" xr:uid="{00000000-0005-0000-0000-000003370000}"/>
    <cellStyle name="40% - Accent1 3 3" xfId="922" xr:uid="{00000000-0005-0000-0000-000004370000}"/>
    <cellStyle name="40% - Accent1 3 3 10" xfId="29963" xr:uid="{00000000-0005-0000-0000-000005370000}"/>
    <cellStyle name="40% - Accent1 3 3 2" xfId="1194" xr:uid="{00000000-0005-0000-0000-000006370000}"/>
    <cellStyle name="40% - Accent1 3 3 2 2" xfId="1697" xr:uid="{00000000-0005-0000-0000-000007370000}"/>
    <cellStyle name="40% - Accent1 3 3 2 2 2" xfId="2756" xr:uid="{00000000-0005-0000-0000-000008370000}"/>
    <cellStyle name="40% - Accent1 3 3 2 2 2 2" xfId="5860" xr:uid="{00000000-0005-0000-0000-000009370000}"/>
    <cellStyle name="40% - Accent1 3 3 2 2 2 2 2" xfId="13132" xr:uid="{00000000-0005-0000-0000-00000A370000}"/>
    <cellStyle name="40% - Accent1 3 3 2 2 2 2 2 2" xfId="27666" xr:uid="{00000000-0005-0000-0000-00000B370000}"/>
    <cellStyle name="40% - Accent1 3 3 2 2 2 2 2 2 2" xfId="56672" xr:uid="{00000000-0005-0000-0000-00000C370000}"/>
    <cellStyle name="40% - Accent1 3 3 2 2 2 2 2 3" xfId="42173" xr:uid="{00000000-0005-0000-0000-00000D370000}"/>
    <cellStyle name="40% - Accent1 3 3 2 2 2 2 3" xfId="20418" xr:uid="{00000000-0005-0000-0000-00000E370000}"/>
    <cellStyle name="40% - Accent1 3 3 2 2 2 2 3 2" xfId="49424" xr:uid="{00000000-0005-0000-0000-00000F370000}"/>
    <cellStyle name="40% - Accent1 3 3 2 2 2 2 4" xfId="34925" xr:uid="{00000000-0005-0000-0000-000010370000}"/>
    <cellStyle name="40% - Accent1 3 3 2 2 2 3" xfId="10028" xr:uid="{00000000-0005-0000-0000-000011370000}"/>
    <cellStyle name="40% - Accent1 3 3 2 2 2 3 2" xfId="24562" xr:uid="{00000000-0005-0000-0000-000012370000}"/>
    <cellStyle name="40% - Accent1 3 3 2 2 2 3 2 2" xfId="53568" xr:uid="{00000000-0005-0000-0000-000013370000}"/>
    <cellStyle name="40% - Accent1 3 3 2 2 2 3 3" xfId="39069" xr:uid="{00000000-0005-0000-0000-000014370000}"/>
    <cellStyle name="40% - Accent1 3 3 2 2 2 4" xfId="17314" xr:uid="{00000000-0005-0000-0000-000015370000}"/>
    <cellStyle name="40% - Accent1 3 3 2 2 2 4 2" xfId="46320" xr:uid="{00000000-0005-0000-0000-000016370000}"/>
    <cellStyle name="40% - Accent1 3 3 2 2 2 5" xfId="31821" xr:uid="{00000000-0005-0000-0000-000017370000}"/>
    <cellStyle name="40% - Accent1 3 3 2 2 3" xfId="3788" xr:uid="{00000000-0005-0000-0000-000018370000}"/>
    <cellStyle name="40% - Accent1 3 3 2 2 3 2" xfId="6892" xr:uid="{00000000-0005-0000-0000-000019370000}"/>
    <cellStyle name="40% - Accent1 3 3 2 2 3 2 2" xfId="14164" xr:uid="{00000000-0005-0000-0000-00001A370000}"/>
    <cellStyle name="40% - Accent1 3 3 2 2 3 2 2 2" xfId="28698" xr:uid="{00000000-0005-0000-0000-00001B370000}"/>
    <cellStyle name="40% - Accent1 3 3 2 2 3 2 2 2 2" xfId="57704" xr:uid="{00000000-0005-0000-0000-00001C370000}"/>
    <cellStyle name="40% - Accent1 3 3 2 2 3 2 2 3" xfId="43205" xr:uid="{00000000-0005-0000-0000-00001D370000}"/>
    <cellStyle name="40% - Accent1 3 3 2 2 3 2 3" xfId="21450" xr:uid="{00000000-0005-0000-0000-00001E370000}"/>
    <cellStyle name="40% - Accent1 3 3 2 2 3 2 3 2" xfId="50456" xr:uid="{00000000-0005-0000-0000-00001F370000}"/>
    <cellStyle name="40% - Accent1 3 3 2 2 3 2 4" xfId="35957" xr:uid="{00000000-0005-0000-0000-000020370000}"/>
    <cellStyle name="40% - Accent1 3 3 2 2 3 3" xfId="11060" xr:uid="{00000000-0005-0000-0000-000021370000}"/>
    <cellStyle name="40% - Accent1 3 3 2 2 3 3 2" xfId="25594" xr:uid="{00000000-0005-0000-0000-000022370000}"/>
    <cellStyle name="40% - Accent1 3 3 2 2 3 3 2 2" xfId="54600" xr:uid="{00000000-0005-0000-0000-000023370000}"/>
    <cellStyle name="40% - Accent1 3 3 2 2 3 3 3" xfId="40101" xr:uid="{00000000-0005-0000-0000-000024370000}"/>
    <cellStyle name="40% - Accent1 3 3 2 2 3 4" xfId="18346" xr:uid="{00000000-0005-0000-0000-000025370000}"/>
    <cellStyle name="40% - Accent1 3 3 2 2 3 4 2" xfId="47352" xr:uid="{00000000-0005-0000-0000-000026370000}"/>
    <cellStyle name="40% - Accent1 3 3 2 2 3 5" xfId="32853" xr:uid="{00000000-0005-0000-0000-000027370000}"/>
    <cellStyle name="40% - Accent1 3 3 2 2 4" xfId="4820" xr:uid="{00000000-0005-0000-0000-000028370000}"/>
    <cellStyle name="40% - Accent1 3 3 2 2 4 2" xfId="12092" xr:uid="{00000000-0005-0000-0000-000029370000}"/>
    <cellStyle name="40% - Accent1 3 3 2 2 4 2 2" xfId="26626" xr:uid="{00000000-0005-0000-0000-00002A370000}"/>
    <cellStyle name="40% - Accent1 3 3 2 2 4 2 2 2" xfId="55632" xr:uid="{00000000-0005-0000-0000-00002B370000}"/>
    <cellStyle name="40% - Accent1 3 3 2 2 4 2 3" xfId="41133" xr:uid="{00000000-0005-0000-0000-00002C370000}"/>
    <cellStyle name="40% - Accent1 3 3 2 2 4 3" xfId="19378" xr:uid="{00000000-0005-0000-0000-00002D370000}"/>
    <cellStyle name="40% - Accent1 3 3 2 2 4 3 2" xfId="48384" xr:uid="{00000000-0005-0000-0000-00002E370000}"/>
    <cellStyle name="40% - Accent1 3 3 2 2 4 4" xfId="33885" xr:uid="{00000000-0005-0000-0000-00002F370000}"/>
    <cellStyle name="40% - Accent1 3 3 2 2 5" xfId="7924" xr:uid="{00000000-0005-0000-0000-000030370000}"/>
    <cellStyle name="40% - Accent1 3 3 2 2 5 2" xfId="15196" xr:uid="{00000000-0005-0000-0000-000031370000}"/>
    <cellStyle name="40% - Accent1 3 3 2 2 5 2 2" xfId="29730" xr:uid="{00000000-0005-0000-0000-000032370000}"/>
    <cellStyle name="40% - Accent1 3 3 2 2 5 2 2 2" xfId="58736" xr:uid="{00000000-0005-0000-0000-000033370000}"/>
    <cellStyle name="40% - Accent1 3 3 2 2 5 2 3" xfId="44237" xr:uid="{00000000-0005-0000-0000-000034370000}"/>
    <cellStyle name="40% - Accent1 3 3 2 2 5 3" xfId="22482" xr:uid="{00000000-0005-0000-0000-000035370000}"/>
    <cellStyle name="40% - Accent1 3 3 2 2 5 3 2" xfId="51488" xr:uid="{00000000-0005-0000-0000-000036370000}"/>
    <cellStyle name="40% - Accent1 3 3 2 2 5 4" xfId="36989" xr:uid="{00000000-0005-0000-0000-000037370000}"/>
    <cellStyle name="40% - Accent1 3 3 2 2 6" xfId="8988" xr:uid="{00000000-0005-0000-0000-000038370000}"/>
    <cellStyle name="40% - Accent1 3 3 2 2 6 2" xfId="23522" xr:uid="{00000000-0005-0000-0000-000039370000}"/>
    <cellStyle name="40% - Accent1 3 3 2 2 6 2 2" xfId="52528" xr:uid="{00000000-0005-0000-0000-00003A370000}"/>
    <cellStyle name="40% - Accent1 3 3 2 2 6 3" xfId="38029" xr:uid="{00000000-0005-0000-0000-00003B370000}"/>
    <cellStyle name="40% - Accent1 3 3 2 2 7" xfId="16274" xr:uid="{00000000-0005-0000-0000-00003C370000}"/>
    <cellStyle name="40% - Accent1 3 3 2 2 7 2" xfId="45280" xr:uid="{00000000-0005-0000-0000-00003D370000}"/>
    <cellStyle name="40% - Accent1 3 3 2 2 8" xfId="30781" xr:uid="{00000000-0005-0000-0000-00003E370000}"/>
    <cellStyle name="40% - Accent1 3 3 2 3" xfId="2244" xr:uid="{00000000-0005-0000-0000-00003F370000}"/>
    <cellStyle name="40% - Accent1 3 3 2 3 2" xfId="5348" xr:uid="{00000000-0005-0000-0000-000040370000}"/>
    <cellStyle name="40% - Accent1 3 3 2 3 2 2" xfId="12620" xr:uid="{00000000-0005-0000-0000-000041370000}"/>
    <cellStyle name="40% - Accent1 3 3 2 3 2 2 2" xfId="27154" xr:uid="{00000000-0005-0000-0000-000042370000}"/>
    <cellStyle name="40% - Accent1 3 3 2 3 2 2 2 2" xfId="56160" xr:uid="{00000000-0005-0000-0000-000043370000}"/>
    <cellStyle name="40% - Accent1 3 3 2 3 2 2 3" xfId="41661" xr:uid="{00000000-0005-0000-0000-000044370000}"/>
    <cellStyle name="40% - Accent1 3 3 2 3 2 3" xfId="19906" xr:uid="{00000000-0005-0000-0000-000045370000}"/>
    <cellStyle name="40% - Accent1 3 3 2 3 2 3 2" xfId="48912" xr:uid="{00000000-0005-0000-0000-000046370000}"/>
    <cellStyle name="40% - Accent1 3 3 2 3 2 4" xfId="34413" xr:uid="{00000000-0005-0000-0000-000047370000}"/>
    <cellStyle name="40% - Accent1 3 3 2 3 3" xfId="9516" xr:uid="{00000000-0005-0000-0000-000048370000}"/>
    <cellStyle name="40% - Accent1 3 3 2 3 3 2" xfId="24050" xr:uid="{00000000-0005-0000-0000-000049370000}"/>
    <cellStyle name="40% - Accent1 3 3 2 3 3 2 2" xfId="53056" xr:uid="{00000000-0005-0000-0000-00004A370000}"/>
    <cellStyle name="40% - Accent1 3 3 2 3 3 3" xfId="38557" xr:uid="{00000000-0005-0000-0000-00004B370000}"/>
    <cellStyle name="40% - Accent1 3 3 2 3 4" xfId="16802" xr:uid="{00000000-0005-0000-0000-00004C370000}"/>
    <cellStyle name="40% - Accent1 3 3 2 3 4 2" xfId="45808" xr:uid="{00000000-0005-0000-0000-00004D370000}"/>
    <cellStyle name="40% - Accent1 3 3 2 3 5" xfId="31309" xr:uid="{00000000-0005-0000-0000-00004E370000}"/>
    <cellStyle name="40% - Accent1 3 3 2 4" xfId="3276" xr:uid="{00000000-0005-0000-0000-00004F370000}"/>
    <cellStyle name="40% - Accent1 3 3 2 4 2" xfId="6380" xr:uid="{00000000-0005-0000-0000-000050370000}"/>
    <cellStyle name="40% - Accent1 3 3 2 4 2 2" xfId="13652" xr:uid="{00000000-0005-0000-0000-000051370000}"/>
    <cellStyle name="40% - Accent1 3 3 2 4 2 2 2" xfId="28186" xr:uid="{00000000-0005-0000-0000-000052370000}"/>
    <cellStyle name="40% - Accent1 3 3 2 4 2 2 2 2" xfId="57192" xr:uid="{00000000-0005-0000-0000-000053370000}"/>
    <cellStyle name="40% - Accent1 3 3 2 4 2 2 3" xfId="42693" xr:uid="{00000000-0005-0000-0000-000054370000}"/>
    <cellStyle name="40% - Accent1 3 3 2 4 2 3" xfId="20938" xr:uid="{00000000-0005-0000-0000-000055370000}"/>
    <cellStyle name="40% - Accent1 3 3 2 4 2 3 2" xfId="49944" xr:uid="{00000000-0005-0000-0000-000056370000}"/>
    <cellStyle name="40% - Accent1 3 3 2 4 2 4" xfId="35445" xr:uid="{00000000-0005-0000-0000-000057370000}"/>
    <cellStyle name="40% - Accent1 3 3 2 4 3" xfId="10548" xr:uid="{00000000-0005-0000-0000-000058370000}"/>
    <cellStyle name="40% - Accent1 3 3 2 4 3 2" xfId="25082" xr:uid="{00000000-0005-0000-0000-000059370000}"/>
    <cellStyle name="40% - Accent1 3 3 2 4 3 2 2" xfId="54088" xr:uid="{00000000-0005-0000-0000-00005A370000}"/>
    <cellStyle name="40% - Accent1 3 3 2 4 3 3" xfId="39589" xr:uid="{00000000-0005-0000-0000-00005B370000}"/>
    <cellStyle name="40% - Accent1 3 3 2 4 4" xfId="17834" xr:uid="{00000000-0005-0000-0000-00005C370000}"/>
    <cellStyle name="40% - Accent1 3 3 2 4 4 2" xfId="46840" xr:uid="{00000000-0005-0000-0000-00005D370000}"/>
    <cellStyle name="40% - Accent1 3 3 2 4 5" xfId="32341" xr:uid="{00000000-0005-0000-0000-00005E370000}"/>
    <cellStyle name="40% - Accent1 3 3 2 5" xfId="4308" xr:uid="{00000000-0005-0000-0000-00005F370000}"/>
    <cellStyle name="40% - Accent1 3 3 2 5 2" xfId="11580" xr:uid="{00000000-0005-0000-0000-000060370000}"/>
    <cellStyle name="40% - Accent1 3 3 2 5 2 2" xfId="26114" xr:uid="{00000000-0005-0000-0000-000061370000}"/>
    <cellStyle name="40% - Accent1 3 3 2 5 2 2 2" xfId="55120" xr:uid="{00000000-0005-0000-0000-000062370000}"/>
    <cellStyle name="40% - Accent1 3 3 2 5 2 3" xfId="40621" xr:uid="{00000000-0005-0000-0000-000063370000}"/>
    <cellStyle name="40% - Accent1 3 3 2 5 3" xfId="18866" xr:uid="{00000000-0005-0000-0000-000064370000}"/>
    <cellStyle name="40% - Accent1 3 3 2 5 3 2" xfId="47872" xr:uid="{00000000-0005-0000-0000-000065370000}"/>
    <cellStyle name="40% - Accent1 3 3 2 5 4" xfId="33373" xr:uid="{00000000-0005-0000-0000-000066370000}"/>
    <cellStyle name="40% - Accent1 3 3 2 6" xfId="7412" xr:uid="{00000000-0005-0000-0000-000067370000}"/>
    <cellStyle name="40% - Accent1 3 3 2 6 2" xfId="14684" xr:uid="{00000000-0005-0000-0000-000068370000}"/>
    <cellStyle name="40% - Accent1 3 3 2 6 2 2" xfId="29218" xr:uid="{00000000-0005-0000-0000-000069370000}"/>
    <cellStyle name="40% - Accent1 3 3 2 6 2 2 2" xfId="58224" xr:uid="{00000000-0005-0000-0000-00006A370000}"/>
    <cellStyle name="40% - Accent1 3 3 2 6 2 3" xfId="43725" xr:uid="{00000000-0005-0000-0000-00006B370000}"/>
    <cellStyle name="40% - Accent1 3 3 2 6 3" xfId="21970" xr:uid="{00000000-0005-0000-0000-00006C370000}"/>
    <cellStyle name="40% - Accent1 3 3 2 6 3 2" xfId="50976" xr:uid="{00000000-0005-0000-0000-00006D370000}"/>
    <cellStyle name="40% - Accent1 3 3 2 6 4" xfId="36477" xr:uid="{00000000-0005-0000-0000-00006E370000}"/>
    <cellStyle name="40% - Accent1 3 3 2 7" xfId="8476" xr:uid="{00000000-0005-0000-0000-00006F370000}"/>
    <cellStyle name="40% - Accent1 3 3 2 7 2" xfId="23010" xr:uid="{00000000-0005-0000-0000-000070370000}"/>
    <cellStyle name="40% - Accent1 3 3 2 7 2 2" xfId="52016" xr:uid="{00000000-0005-0000-0000-000071370000}"/>
    <cellStyle name="40% - Accent1 3 3 2 7 3" xfId="37517" xr:uid="{00000000-0005-0000-0000-000072370000}"/>
    <cellStyle name="40% - Accent1 3 3 2 8" xfId="15762" xr:uid="{00000000-0005-0000-0000-000073370000}"/>
    <cellStyle name="40% - Accent1 3 3 2 8 2" xfId="44768" xr:uid="{00000000-0005-0000-0000-000074370000}"/>
    <cellStyle name="40% - Accent1 3 3 2 9" xfId="30269" xr:uid="{00000000-0005-0000-0000-000075370000}"/>
    <cellStyle name="40% - Accent1 3 3 3" xfId="1392" xr:uid="{00000000-0005-0000-0000-000076370000}"/>
    <cellStyle name="40% - Accent1 3 3 3 2" xfId="2450" xr:uid="{00000000-0005-0000-0000-000077370000}"/>
    <cellStyle name="40% - Accent1 3 3 3 2 2" xfId="5554" xr:uid="{00000000-0005-0000-0000-000078370000}"/>
    <cellStyle name="40% - Accent1 3 3 3 2 2 2" xfId="12826" xr:uid="{00000000-0005-0000-0000-000079370000}"/>
    <cellStyle name="40% - Accent1 3 3 3 2 2 2 2" xfId="27360" xr:uid="{00000000-0005-0000-0000-00007A370000}"/>
    <cellStyle name="40% - Accent1 3 3 3 2 2 2 2 2" xfId="56366" xr:uid="{00000000-0005-0000-0000-00007B370000}"/>
    <cellStyle name="40% - Accent1 3 3 3 2 2 2 3" xfId="41867" xr:uid="{00000000-0005-0000-0000-00007C370000}"/>
    <cellStyle name="40% - Accent1 3 3 3 2 2 3" xfId="20112" xr:uid="{00000000-0005-0000-0000-00007D370000}"/>
    <cellStyle name="40% - Accent1 3 3 3 2 2 3 2" xfId="49118" xr:uid="{00000000-0005-0000-0000-00007E370000}"/>
    <cellStyle name="40% - Accent1 3 3 3 2 2 4" xfId="34619" xr:uid="{00000000-0005-0000-0000-00007F370000}"/>
    <cellStyle name="40% - Accent1 3 3 3 2 3" xfId="9722" xr:uid="{00000000-0005-0000-0000-000080370000}"/>
    <cellStyle name="40% - Accent1 3 3 3 2 3 2" xfId="24256" xr:uid="{00000000-0005-0000-0000-000081370000}"/>
    <cellStyle name="40% - Accent1 3 3 3 2 3 2 2" xfId="53262" xr:uid="{00000000-0005-0000-0000-000082370000}"/>
    <cellStyle name="40% - Accent1 3 3 3 2 3 3" xfId="38763" xr:uid="{00000000-0005-0000-0000-000083370000}"/>
    <cellStyle name="40% - Accent1 3 3 3 2 4" xfId="17008" xr:uid="{00000000-0005-0000-0000-000084370000}"/>
    <cellStyle name="40% - Accent1 3 3 3 2 4 2" xfId="46014" xr:uid="{00000000-0005-0000-0000-000085370000}"/>
    <cellStyle name="40% - Accent1 3 3 3 2 5" xfId="31515" xr:uid="{00000000-0005-0000-0000-000086370000}"/>
    <cellStyle name="40% - Accent1 3 3 3 3" xfId="3482" xr:uid="{00000000-0005-0000-0000-000087370000}"/>
    <cellStyle name="40% - Accent1 3 3 3 3 2" xfId="6586" xr:uid="{00000000-0005-0000-0000-000088370000}"/>
    <cellStyle name="40% - Accent1 3 3 3 3 2 2" xfId="13858" xr:uid="{00000000-0005-0000-0000-000089370000}"/>
    <cellStyle name="40% - Accent1 3 3 3 3 2 2 2" xfId="28392" xr:uid="{00000000-0005-0000-0000-00008A370000}"/>
    <cellStyle name="40% - Accent1 3 3 3 3 2 2 2 2" xfId="57398" xr:uid="{00000000-0005-0000-0000-00008B370000}"/>
    <cellStyle name="40% - Accent1 3 3 3 3 2 2 3" xfId="42899" xr:uid="{00000000-0005-0000-0000-00008C370000}"/>
    <cellStyle name="40% - Accent1 3 3 3 3 2 3" xfId="21144" xr:uid="{00000000-0005-0000-0000-00008D370000}"/>
    <cellStyle name="40% - Accent1 3 3 3 3 2 3 2" xfId="50150" xr:uid="{00000000-0005-0000-0000-00008E370000}"/>
    <cellStyle name="40% - Accent1 3 3 3 3 2 4" xfId="35651" xr:uid="{00000000-0005-0000-0000-00008F370000}"/>
    <cellStyle name="40% - Accent1 3 3 3 3 3" xfId="10754" xr:uid="{00000000-0005-0000-0000-000090370000}"/>
    <cellStyle name="40% - Accent1 3 3 3 3 3 2" xfId="25288" xr:uid="{00000000-0005-0000-0000-000091370000}"/>
    <cellStyle name="40% - Accent1 3 3 3 3 3 2 2" xfId="54294" xr:uid="{00000000-0005-0000-0000-000092370000}"/>
    <cellStyle name="40% - Accent1 3 3 3 3 3 3" xfId="39795" xr:uid="{00000000-0005-0000-0000-000093370000}"/>
    <cellStyle name="40% - Accent1 3 3 3 3 4" xfId="18040" xr:uid="{00000000-0005-0000-0000-000094370000}"/>
    <cellStyle name="40% - Accent1 3 3 3 3 4 2" xfId="47046" xr:uid="{00000000-0005-0000-0000-000095370000}"/>
    <cellStyle name="40% - Accent1 3 3 3 3 5" xfId="32547" xr:uid="{00000000-0005-0000-0000-000096370000}"/>
    <cellStyle name="40% - Accent1 3 3 3 4" xfId="4514" xr:uid="{00000000-0005-0000-0000-000097370000}"/>
    <cellStyle name="40% - Accent1 3 3 3 4 2" xfId="11786" xr:uid="{00000000-0005-0000-0000-000098370000}"/>
    <cellStyle name="40% - Accent1 3 3 3 4 2 2" xfId="26320" xr:uid="{00000000-0005-0000-0000-000099370000}"/>
    <cellStyle name="40% - Accent1 3 3 3 4 2 2 2" xfId="55326" xr:uid="{00000000-0005-0000-0000-00009A370000}"/>
    <cellStyle name="40% - Accent1 3 3 3 4 2 3" xfId="40827" xr:uid="{00000000-0005-0000-0000-00009B370000}"/>
    <cellStyle name="40% - Accent1 3 3 3 4 3" xfId="19072" xr:uid="{00000000-0005-0000-0000-00009C370000}"/>
    <cellStyle name="40% - Accent1 3 3 3 4 3 2" xfId="48078" xr:uid="{00000000-0005-0000-0000-00009D370000}"/>
    <cellStyle name="40% - Accent1 3 3 3 4 4" xfId="33579" xr:uid="{00000000-0005-0000-0000-00009E370000}"/>
    <cellStyle name="40% - Accent1 3 3 3 5" xfId="7618" xr:uid="{00000000-0005-0000-0000-00009F370000}"/>
    <cellStyle name="40% - Accent1 3 3 3 5 2" xfId="14890" xr:uid="{00000000-0005-0000-0000-0000A0370000}"/>
    <cellStyle name="40% - Accent1 3 3 3 5 2 2" xfId="29424" xr:uid="{00000000-0005-0000-0000-0000A1370000}"/>
    <cellStyle name="40% - Accent1 3 3 3 5 2 2 2" xfId="58430" xr:uid="{00000000-0005-0000-0000-0000A2370000}"/>
    <cellStyle name="40% - Accent1 3 3 3 5 2 3" xfId="43931" xr:uid="{00000000-0005-0000-0000-0000A3370000}"/>
    <cellStyle name="40% - Accent1 3 3 3 5 3" xfId="22176" xr:uid="{00000000-0005-0000-0000-0000A4370000}"/>
    <cellStyle name="40% - Accent1 3 3 3 5 3 2" xfId="51182" xr:uid="{00000000-0005-0000-0000-0000A5370000}"/>
    <cellStyle name="40% - Accent1 3 3 3 5 4" xfId="36683" xr:uid="{00000000-0005-0000-0000-0000A6370000}"/>
    <cellStyle name="40% - Accent1 3 3 3 6" xfId="8682" xr:uid="{00000000-0005-0000-0000-0000A7370000}"/>
    <cellStyle name="40% - Accent1 3 3 3 6 2" xfId="23216" xr:uid="{00000000-0005-0000-0000-0000A8370000}"/>
    <cellStyle name="40% - Accent1 3 3 3 6 2 2" xfId="52222" xr:uid="{00000000-0005-0000-0000-0000A9370000}"/>
    <cellStyle name="40% - Accent1 3 3 3 6 3" xfId="37723" xr:uid="{00000000-0005-0000-0000-0000AA370000}"/>
    <cellStyle name="40% - Accent1 3 3 3 7" xfId="15968" xr:uid="{00000000-0005-0000-0000-0000AB370000}"/>
    <cellStyle name="40% - Accent1 3 3 3 7 2" xfId="44974" xr:uid="{00000000-0005-0000-0000-0000AC370000}"/>
    <cellStyle name="40% - Accent1 3 3 3 8" xfId="30475" xr:uid="{00000000-0005-0000-0000-0000AD370000}"/>
    <cellStyle name="40% - Accent1 3 3 4" xfId="1938" xr:uid="{00000000-0005-0000-0000-0000AE370000}"/>
    <cellStyle name="40% - Accent1 3 3 4 2" xfId="5042" xr:uid="{00000000-0005-0000-0000-0000AF370000}"/>
    <cellStyle name="40% - Accent1 3 3 4 2 2" xfId="12314" xr:uid="{00000000-0005-0000-0000-0000B0370000}"/>
    <cellStyle name="40% - Accent1 3 3 4 2 2 2" xfId="26848" xr:uid="{00000000-0005-0000-0000-0000B1370000}"/>
    <cellStyle name="40% - Accent1 3 3 4 2 2 2 2" xfId="55854" xr:uid="{00000000-0005-0000-0000-0000B2370000}"/>
    <cellStyle name="40% - Accent1 3 3 4 2 2 3" xfId="41355" xr:uid="{00000000-0005-0000-0000-0000B3370000}"/>
    <cellStyle name="40% - Accent1 3 3 4 2 3" xfId="19600" xr:uid="{00000000-0005-0000-0000-0000B4370000}"/>
    <cellStyle name="40% - Accent1 3 3 4 2 3 2" xfId="48606" xr:uid="{00000000-0005-0000-0000-0000B5370000}"/>
    <cellStyle name="40% - Accent1 3 3 4 2 4" xfId="34107" xr:uid="{00000000-0005-0000-0000-0000B6370000}"/>
    <cellStyle name="40% - Accent1 3 3 4 3" xfId="9210" xr:uid="{00000000-0005-0000-0000-0000B7370000}"/>
    <cellStyle name="40% - Accent1 3 3 4 3 2" xfId="23744" xr:uid="{00000000-0005-0000-0000-0000B8370000}"/>
    <cellStyle name="40% - Accent1 3 3 4 3 2 2" xfId="52750" xr:uid="{00000000-0005-0000-0000-0000B9370000}"/>
    <cellStyle name="40% - Accent1 3 3 4 3 3" xfId="38251" xr:uid="{00000000-0005-0000-0000-0000BA370000}"/>
    <cellStyle name="40% - Accent1 3 3 4 4" xfId="16496" xr:uid="{00000000-0005-0000-0000-0000BB370000}"/>
    <cellStyle name="40% - Accent1 3 3 4 4 2" xfId="45502" xr:uid="{00000000-0005-0000-0000-0000BC370000}"/>
    <cellStyle name="40% - Accent1 3 3 4 5" xfId="31003" xr:uid="{00000000-0005-0000-0000-0000BD370000}"/>
    <cellStyle name="40% - Accent1 3 3 5" xfId="2970" xr:uid="{00000000-0005-0000-0000-0000BE370000}"/>
    <cellStyle name="40% - Accent1 3 3 5 2" xfId="6074" xr:uid="{00000000-0005-0000-0000-0000BF370000}"/>
    <cellStyle name="40% - Accent1 3 3 5 2 2" xfId="13346" xr:uid="{00000000-0005-0000-0000-0000C0370000}"/>
    <cellStyle name="40% - Accent1 3 3 5 2 2 2" xfId="27880" xr:uid="{00000000-0005-0000-0000-0000C1370000}"/>
    <cellStyle name="40% - Accent1 3 3 5 2 2 2 2" xfId="56886" xr:uid="{00000000-0005-0000-0000-0000C2370000}"/>
    <cellStyle name="40% - Accent1 3 3 5 2 2 3" xfId="42387" xr:uid="{00000000-0005-0000-0000-0000C3370000}"/>
    <cellStyle name="40% - Accent1 3 3 5 2 3" xfId="20632" xr:uid="{00000000-0005-0000-0000-0000C4370000}"/>
    <cellStyle name="40% - Accent1 3 3 5 2 3 2" xfId="49638" xr:uid="{00000000-0005-0000-0000-0000C5370000}"/>
    <cellStyle name="40% - Accent1 3 3 5 2 4" xfId="35139" xr:uid="{00000000-0005-0000-0000-0000C6370000}"/>
    <cellStyle name="40% - Accent1 3 3 5 3" xfId="10242" xr:uid="{00000000-0005-0000-0000-0000C7370000}"/>
    <cellStyle name="40% - Accent1 3 3 5 3 2" xfId="24776" xr:uid="{00000000-0005-0000-0000-0000C8370000}"/>
    <cellStyle name="40% - Accent1 3 3 5 3 2 2" xfId="53782" xr:uid="{00000000-0005-0000-0000-0000C9370000}"/>
    <cellStyle name="40% - Accent1 3 3 5 3 3" xfId="39283" xr:uid="{00000000-0005-0000-0000-0000CA370000}"/>
    <cellStyle name="40% - Accent1 3 3 5 4" xfId="17528" xr:uid="{00000000-0005-0000-0000-0000CB370000}"/>
    <cellStyle name="40% - Accent1 3 3 5 4 2" xfId="46534" xr:uid="{00000000-0005-0000-0000-0000CC370000}"/>
    <cellStyle name="40% - Accent1 3 3 5 5" xfId="32035" xr:uid="{00000000-0005-0000-0000-0000CD370000}"/>
    <cellStyle name="40% - Accent1 3 3 6" xfId="4002" xr:uid="{00000000-0005-0000-0000-0000CE370000}"/>
    <cellStyle name="40% - Accent1 3 3 6 2" xfId="11274" xr:uid="{00000000-0005-0000-0000-0000CF370000}"/>
    <cellStyle name="40% - Accent1 3 3 6 2 2" xfId="25808" xr:uid="{00000000-0005-0000-0000-0000D0370000}"/>
    <cellStyle name="40% - Accent1 3 3 6 2 2 2" xfId="54814" xr:uid="{00000000-0005-0000-0000-0000D1370000}"/>
    <cellStyle name="40% - Accent1 3 3 6 2 3" xfId="40315" xr:uid="{00000000-0005-0000-0000-0000D2370000}"/>
    <cellStyle name="40% - Accent1 3 3 6 3" xfId="18560" xr:uid="{00000000-0005-0000-0000-0000D3370000}"/>
    <cellStyle name="40% - Accent1 3 3 6 3 2" xfId="47566" xr:uid="{00000000-0005-0000-0000-0000D4370000}"/>
    <cellStyle name="40% - Accent1 3 3 6 4" xfId="33067" xr:uid="{00000000-0005-0000-0000-0000D5370000}"/>
    <cellStyle name="40% - Accent1 3 3 7" xfId="7106" xr:uid="{00000000-0005-0000-0000-0000D6370000}"/>
    <cellStyle name="40% - Accent1 3 3 7 2" xfId="14378" xr:uid="{00000000-0005-0000-0000-0000D7370000}"/>
    <cellStyle name="40% - Accent1 3 3 7 2 2" xfId="28912" xr:uid="{00000000-0005-0000-0000-0000D8370000}"/>
    <cellStyle name="40% - Accent1 3 3 7 2 2 2" xfId="57918" xr:uid="{00000000-0005-0000-0000-0000D9370000}"/>
    <cellStyle name="40% - Accent1 3 3 7 2 3" xfId="43419" xr:uid="{00000000-0005-0000-0000-0000DA370000}"/>
    <cellStyle name="40% - Accent1 3 3 7 3" xfId="21664" xr:uid="{00000000-0005-0000-0000-0000DB370000}"/>
    <cellStyle name="40% - Accent1 3 3 7 3 2" xfId="50670" xr:uid="{00000000-0005-0000-0000-0000DC370000}"/>
    <cellStyle name="40% - Accent1 3 3 7 4" xfId="36171" xr:uid="{00000000-0005-0000-0000-0000DD370000}"/>
    <cellStyle name="40% - Accent1 3 3 8" xfId="8170" xr:uid="{00000000-0005-0000-0000-0000DE370000}"/>
    <cellStyle name="40% - Accent1 3 3 8 2" xfId="22704" xr:uid="{00000000-0005-0000-0000-0000DF370000}"/>
    <cellStyle name="40% - Accent1 3 3 8 2 2" xfId="51710" xr:uid="{00000000-0005-0000-0000-0000E0370000}"/>
    <cellStyle name="40% - Accent1 3 3 8 3" xfId="37211" xr:uid="{00000000-0005-0000-0000-0000E1370000}"/>
    <cellStyle name="40% - Accent1 3 3 9" xfId="15456" xr:uid="{00000000-0005-0000-0000-0000E2370000}"/>
    <cellStyle name="40% - Accent1 3 3 9 2" xfId="44462" xr:uid="{00000000-0005-0000-0000-0000E3370000}"/>
    <cellStyle name="40% - Accent1 3 4" xfId="1097" xr:uid="{00000000-0005-0000-0000-0000E4370000}"/>
    <cellStyle name="40% - Accent1 3 4 2" xfId="1594" xr:uid="{00000000-0005-0000-0000-0000E5370000}"/>
    <cellStyle name="40% - Accent1 3 4 2 2" xfId="2653" xr:uid="{00000000-0005-0000-0000-0000E6370000}"/>
    <cellStyle name="40% - Accent1 3 4 2 2 2" xfId="5757" xr:uid="{00000000-0005-0000-0000-0000E7370000}"/>
    <cellStyle name="40% - Accent1 3 4 2 2 2 2" xfId="13029" xr:uid="{00000000-0005-0000-0000-0000E8370000}"/>
    <cellStyle name="40% - Accent1 3 4 2 2 2 2 2" xfId="27563" xr:uid="{00000000-0005-0000-0000-0000E9370000}"/>
    <cellStyle name="40% - Accent1 3 4 2 2 2 2 2 2" xfId="56569" xr:uid="{00000000-0005-0000-0000-0000EA370000}"/>
    <cellStyle name="40% - Accent1 3 4 2 2 2 2 3" xfId="42070" xr:uid="{00000000-0005-0000-0000-0000EB370000}"/>
    <cellStyle name="40% - Accent1 3 4 2 2 2 3" xfId="20315" xr:uid="{00000000-0005-0000-0000-0000EC370000}"/>
    <cellStyle name="40% - Accent1 3 4 2 2 2 3 2" xfId="49321" xr:uid="{00000000-0005-0000-0000-0000ED370000}"/>
    <cellStyle name="40% - Accent1 3 4 2 2 2 4" xfId="34822" xr:uid="{00000000-0005-0000-0000-0000EE370000}"/>
    <cellStyle name="40% - Accent1 3 4 2 2 3" xfId="9925" xr:uid="{00000000-0005-0000-0000-0000EF370000}"/>
    <cellStyle name="40% - Accent1 3 4 2 2 3 2" xfId="24459" xr:uid="{00000000-0005-0000-0000-0000F0370000}"/>
    <cellStyle name="40% - Accent1 3 4 2 2 3 2 2" xfId="53465" xr:uid="{00000000-0005-0000-0000-0000F1370000}"/>
    <cellStyle name="40% - Accent1 3 4 2 2 3 3" xfId="38966" xr:uid="{00000000-0005-0000-0000-0000F2370000}"/>
    <cellStyle name="40% - Accent1 3 4 2 2 4" xfId="17211" xr:uid="{00000000-0005-0000-0000-0000F3370000}"/>
    <cellStyle name="40% - Accent1 3 4 2 2 4 2" xfId="46217" xr:uid="{00000000-0005-0000-0000-0000F4370000}"/>
    <cellStyle name="40% - Accent1 3 4 2 2 5" xfId="31718" xr:uid="{00000000-0005-0000-0000-0000F5370000}"/>
    <cellStyle name="40% - Accent1 3 4 2 3" xfId="3685" xr:uid="{00000000-0005-0000-0000-0000F6370000}"/>
    <cellStyle name="40% - Accent1 3 4 2 3 2" xfId="6789" xr:uid="{00000000-0005-0000-0000-0000F7370000}"/>
    <cellStyle name="40% - Accent1 3 4 2 3 2 2" xfId="14061" xr:uid="{00000000-0005-0000-0000-0000F8370000}"/>
    <cellStyle name="40% - Accent1 3 4 2 3 2 2 2" xfId="28595" xr:uid="{00000000-0005-0000-0000-0000F9370000}"/>
    <cellStyle name="40% - Accent1 3 4 2 3 2 2 2 2" xfId="57601" xr:uid="{00000000-0005-0000-0000-0000FA370000}"/>
    <cellStyle name="40% - Accent1 3 4 2 3 2 2 3" xfId="43102" xr:uid="{00000000-0005-0000-0000-0000FB370000}"/>
    <cellStyle name="40% - Accent1 3 4 2 3 2 3" xfId="21347" xr:uid="{00000000-0005-0000-0000-0000FC370000}"/>
    <cellStyle name="40% - Accent1 3 4 2 3 2 3 2" xfId="50353" xr:uid="{00000000-0005-0000-0000-0000FD370000}"/>
    <cellStyle name="40% - Accent1 3 4 2 3 2 4" xfId="35854" xr:uid="{00000000-0005-0000-0000-0000FE370000}"/>
    <cellStyle name="40% - Accent1 3 4 2 3 3" xfId="10957" xr:uid="{00000000-0005-0000-0000-0000FF370000}"/>
    <cellStyle name="40% - Accent1 3 4 2 3 3 2" xfId="25491" xr:uid="{00000000-0005-0000-0000-000000380000}"/>
    <cellStyle name="40% - Accent1 3 4 2 3 3 2 2" xfId="54497" xr:uid="{00000000-0005-0000-0000-000001380000}"/>
    <cellStyle name="40% - Accent1 3 4 2 3 3 3" xfId="39998" xr:uid="{00000000-0005-0000-0000-000002380000}"/>
    <cellStyle name="40% - Accent1 3 4 2 3 4" xfId="18243" xr:uid="{00000000-0005-0000-0000-000003380000}"/>
    <cellStyle name="40% - Accent1 3 4 2 3 4 2" xfId="47249" xr:uid="{00000000-0005-0000-0000-000004380000}"/>
    <cellStyle name="40% - Accent1 3 4 2 3 5" xfId="32750" xr:uid="{00000000-0005-0000-0000-000005380000}"/>
    <cellStyle name="40% - Accent1 3 4 2 4" xfId="4717" xr:uid="{00000000-0005-0000-0000-000006380000}"/>
    <cellStyle name="40% - Accent1 3 4 2 4 2" xfId="11989" xr:uid="{00000000-0005-0000-0000-000007380000}"/>
    <cellStyle name="40% - Accent1 3 4 2 4 2 2" xfId="26523" xr:uid="{00000000-0005-0000-0000-000008380000}"/>
    <cellStyle name="40% - Accent1 3 4 2 4 2 2 2" xfId="55529" xr:uid="{00000000-0005-0000-0000-000009380000}"/>
    <cellStyle name="40% - Accent1 3 4 2 4 2 3" xfId="41030" xr:uid="{00000000-0005-0000-0000-00000A380000}"/>
    <cellStyle name="40% - Accent1 3 4 2 4 3" xfId="19275" xr:uid="{00000000-0005-0000-0000-00000B380000}"/>
    <cellStyle name="40% - Accent1 3 4 2 4 3 2" xfId="48281" xr:uid="{00000000-0005-0000-0000-00000C380000}"/>
    <cellStyle name="40% - Accent1 3 4 2 4 4" xfId="33782" xr:uid="{00000000-0005-0000-0000-00000D380000}"/>
    <cellStyle name="40% - Accent1 3 4 2 5" xfId="7821" xr:uid="{00000000-0005-0000-0000-00000E380000}"/>
    <cellStyle name="40% - Accent1 3 4 2 5 2" xfId="15093" xr:uid="{00000000-0005-0000-0000-00000F380000}"/>
    <cellStyle name="40% - Accent1 3 4 2 5 2 2" xfId="29627" xr:uid="{00000000-0005-0000-0000-000010380000}"/>
    <cellStyle name="40% - Accent1 3 4 2 5 2 2 2" xfId="58633" xr:uid="{00000000-0005-0000-0000-000011380000}"/>
    <cellStyle name="40% - Accent1 3 4 2 5 2 3" xfId="44134" xr:uid="{00000000-0005-0000-0000-000012380000}"/>
    <cellStyle name="40% - Accent1 3 4 2 5 3" xfId="22379" xr:uid="{00000000-0005-0000-0000-000013380000}"/>
    <cellStyle name="40% - Accent1 3 4 2 5 3 2" xfId="51385" xr:uid="{00000000-0005-0000-0000-000014380000}"/>
    <cellStyle name="40% - Accent1 3 4 2 5 4" xfId="36886" xr:uid="{00000000-0005-0000-0000-000015380000}"/>
    <cellStyle name="40% - Accent1 3 4 2 6" xfId="8885" xr:uid="{00000000-0005-0000-0000-000016380000}"/>
    <cellStyle name="40% - Accent1 3 4 2 6 2" xfId="23419" xr:uid="{00000000-0005-0000-0000-000017380000}"/>
    <cellStyle name="40% - Accent1 3 4 2 6 2 2" xfId="52425" xr:uid="{00000000-0005-0000-0000-000018380000}"/>
    <cellStyle name="40% - Accent1 3 4 2 6 3" xfId="37926" xr:uid="{00000000-0005-0000-0000-000019380000}"/>
    <cellStyle name="40% - Accent1 3 4 2 7" xfId="16171" xr:uid="{00000000-0005-0000-0000-00001A380000}"/>
    <cellStyle name="40% - Accent1 3 4 2 7 2" xfId="45177" xr:uid="{00000000-0005-0000-0000-00001B380000}"/>
    <cellStyle name="40% - Accent1 3 4 2 8" xfId="30678" xr:uid="{00000000-0005-0000-0000-00001C380000}"/>
    <cellStyle name="40% - Accent1 3 4 3" xfId="2141" xr:uid="{00000000-0005-0000-0000-00001D380000}"/>
    <cellStyle name="40% - Accent1 3 4 3 2" xfId="5245" xr:uid="{00000000-0005-0000-0000-00001E380000}"/>
    <cellStyle name="40% - Accent1 3 4 3 2 2" xfId="12517" xr:uid="{00000000-0005-0000-0000-00001F380000}"/>
    <cellStyle name="40% - Accent1 3 4 3 2 2 2" xfId="27051" xr:uid="{00000000-0005-0000-0000-000020380000}"/>
    <cellStyle name="40% - Accent1 3 4 3 2 2 2 2" xfId="56057" xr:uid="{00000000-0005-0000-0000-000021380000}"/>
    <cellStyle name="40% - Accent1 3 4 3 2 2 3" xfId="41558" xr:uid="{00000000-0005-0000-0000-000022380000}"/>
    <cellStyle name="40% - Accent1 3 4 3 2 3" xfId="19803" xr:uid="{00000000-0005-0000-0000-000023380000}"/>
    <cellStyle name="40% - Accent1 3 4 3 2 3 2" xfId="48809" xr:uid="{00000000-0005-0000-0000-000024380000}"/>
    <cellStyle name="40% - Accent1 3 4 3 2 4" xfId="34310" xr:uid="{00000000-0005-0000-0000-000025380000}"/>
    <cellStyle name="40% - Accent1 3 4 3 3" xfId="9413" xr:uid="{00000000-0005-0000-0000-000026380000}"/>
    <cellStyle name="40% - Accent1 3 4 3 3 2" xfId="23947" xr:uid="{00000000-0005-0000-0000-000027380000}"/>
    <cellStyle name="40% - Accent1 3 4 3 3 2 2" xfId="52953" xr:uid="{00000000-0005-0000-0000-000028380000}"/>
    <cellStyle name="40% - Accent1 3 4 3 3 3" xfId="38454" xr:uid="{00000000-0005-0000-0000-000029380000}"/>
    <cellStyle name="40% - Accent1 3 4 3 4" xfId="16699" xr:uid="{00000000-0005-0000-0000-00002A380000}"/>
    <cellStyle name="40% - Accent1 3 4 3 4 2" xfId="45705" xr:uid="{00000000-0005-0000-0000-00002B380000}"/>
    <cellStyle name="40% - Accent1 3 4 3 5" xfId="31206" xr:uid="{00000000-0005-0000-0000-00002C380000}"/>
    <cellStyle name="40% - Accent1 3 4 4" xfId="3173" xr:uid="{00000000-0005-0000-0000-00002D380000}"/>
    <cellStyle name="40% - Accent1 3 4 4 2" xfId="6277" xr:uid="{00000000-0005-0000-0000-00002E380000}"/>
    <cellStyle name="40% - Accent1 3 4 4 2 2" xfId="13549" xr:uid="{00000000-0005-0000-0000-00002F380000}"/>
    <cellStyle name="40% - Accent1 3 4 4 2 2 2" xfId="28083" xr:uid="{00000000-0005-0000-0000-000030380000}"/>
    <cellStyle name="40% - Accent1 3 4 4 2 2 2 2" xfId="57089" xr:uid="{00000000-0005-0000-0000-000031380000}"/>
    <cellStyle name="40% - Accent1 3 4 4 2 2 3" xfId="42590" xr:uid="{00000000-0005-0000-0000-000032380000}"/>
    <cellStyle name="40% - Accent1 3 4 4 2 3" xfId="20835" xr:uid="{00000000-0005-0000-0000-000033380000}"/>
    <cellStyle name="40% - Accent1 3 4 4 2 3 2" xfId="49841" xr:uid="{00000000-0005-0000-0000-000034380000}"/>
    <cellStyle name="40% - Accent1 3 4 4 2 4" xfId="35342" xr:uid="{00000000-0005-0000-0000-000035380000}"/>
    <cellStyle name="40% - Accent1 3 4 4 3" xfId="10445" xr:uid="{00000000-0005-0000-0000-000036380000}"/>
    <cellStyle name="40% - Accent1 3 4 4 3 2" xfId="24979" xr:uid="{00000000-0005-0000-0000-000037380000}"/>
    <cellStyle name="40% - Accent1 3 4 4 3 2 2" xfId="53985" xr:uid="{00000000-0005-0000-0000-000038380000}"/>
    <cellStyle name="40% - Accent1 3 4 4 3 3" xfId="39486" xr:uid="{00000000-0005-0000-0000-000039380000}"/>
    <cellStyle name="40% - Accent1 3 4 4 4" xfId="17731" xr:uid="{00000000-0005-0000-0000-00003A380000}"/>
    <cellStyle name="40% - Accent1 3 4 4 4 2" xfId="46737" xr:uid="{00000000-0005-0000-0000-00003B380000}"/>
    <cellStyle name="40% - Accent1 3 4 4 5" xfId="32238" xr:uid="{00000000-0005-0000-0000-00003C380000}"/>
    <cellStyle name="40% - Accent1 3 4 5" xfId="4205" xr:uid="{00000000-0005-0000-0000-00003D380000}"/>
    <cellStyle name="40% - Accent1 3 4 5 2" xfId="11477" xr:uid="{00000000-0005-0000-0000-00003E380000}"/>
    <cellStyle name="40% - Accent1 3 4 5 2 2" xfId="26011" xr:uid="{00000000-0005-0000-0000-00003F380000}"/>
    <cellStyle name="40% - Accent1 3 4 5 2 2 2" xfId="55017" xr:uid="{00000000-0005-0000-0000-000040380000}"/>
    <cellStyle name="40% - Accent1 3 4 5 2 3" xfId="40518" xr:uid="{00000000-0005-0000-0000-000041380000}"/>
    <cellStyle name="40% - Accent1 3 4 5 3" xfId="18763" xr:uid="{00000000-0005-0000-0000-000042380000}"/>
    <cellStyle name="40% - Accent1 3 4 5 3 2" xfId="47769" xr:uid="{00000000-0005-0000-0000-000043380000}"/>
    <cellStyle name="40% - Accent1 3 4 5 4" xfId="33270" xr:uid="{00000000-0005-0000-0000-000044380000}"/>
    <cellStyle name="40% - Accent1 3 4 6" xfId="7309" xr:uid="{00000000-0005-0000-0000-000045380000}"/>
    <cellStyle name="40% - Accent1 3 4 6 2" xfId="14581" xr:uid="{00000000-0005-0000-0000-000046380000}"/>
    <cellStyle name="40% - Accent1 3 4 6 2 2" xfId="29115" xr:uid="{00000000-0005-0000-0000-000047380000}"/>
    <cellStyle name="40% - Accent1 3 4 6 2 2 2" xfId="58121" xr:uid="{00000000-0005-0000-0000-000048380000}"/>
    <cellStyle name="40% - Accent1 3 4 6 2 3" xfId="43622" xr:uid="{00000000-0005-0000-0000-000049380000}"/>
    <cellStyle name="40% - Accent1 3 4 6 3" xfId="21867" xr:uid="{00000000-0005-0000-0000-00004A380000}"/>
    <cellStyle name="40% - Accent1 3 4 6 3 2" xfId="50873" xr:uid="{00000000-0005-0000-0000-00004B380000}"/>
    <cellStyle name="40% - Accent1 3 4 6 4" xfId="36374" xr:uid="{00000000-0005-0000-0000-00004C380000}"/>
    <cellStyle name="40% - Accent1 3 4 7" xfId="8373" xr:uid="{00000000-0005-0000-0000-00004D380000}"/>
    <cellStyle name="40% - Accent1 3 4 7 2" xfId="22907" xr:uid="{00000000-0005-0000-0000-00004E380000}"/>
    <cellStyle name="40% - Accent1 3 4 7 2 2" xfId="51913" xr:uid="{00000000-0005-0000-0000-00004F380000}"/>
    <cellStyle name="40% - Accent1 3 4 7 3" xfId="37414" xr:uid="{00000000-0005-0000-0000-000050380000}"/>
    <cellStyle name="40% - Accent1 3 4 8" xfId="15659" xr:uid="{00000000-0005-0000-0000-000051380000}"/>
    <cellStyle name="40% - Accent1 3 4 8 2" xfId="44665" xr:uid="{00000000-0005-0000-0000-000052380000}"/>
    <cellStyle name="40% - Accent1 3 4 9" xfId="30166" xr:uid="{00000000-0005-0000-0000-000053380000}"/>
    <cellStyle name="40% - Accent1 3 5" xfId="1007" xr:uid="{00000000-0005-0000-0000-000054380000}"/>
    <cellStyle name="40% - Accent1 3 5 2" xfId="1495" xr:uid="{00000000-0005-0000-0000-000055380000}"/>
    <cellStyle name="40% - Accent1 3 5 2 2" xfId="2553" xr:uid="{00000000-0005-0000-0000-000056380000}"/>
    <cellStyle name="40% - Accent1 3 5 2 2 2" xfId="5657" xr:uid="{00000000-0005-0000-0000-000057380000}"/>
    <cellStyle name="40% - Accent1 3 5 2 2 2 2" xfId="12929" xr:uid="{00000000-0005-0000-0000-000058380000}"/>
    <cellStyle name="40% - Accent1 3 5 2 2 2 2 2" xfId="27463" xr:uid="{00000000-0005-0000-0000-000059380000}"/>
    <cellStyle name="40% - Accent1 3 5 2 2 2 2 2 2" xfId="56469" xr:uid="{00000000-0005-0000-0000-00005A380000}"/>
    <cellStyle name="40% - Accent1 3 5 2 2 2 2 3" xfId="41970" xr:uid="{00000000-0005-0000-0000-00005B380000}"/>
    <cellStyle name="40% - Accent1 3 5 2 2 2 3" xfId="20215" xr:uid="{00000000-0005-0000-0000-00005C380000}"/>
    <cellStyle name="40% - Accent1 3 5 2 2 2 3 2" xfId="49221" xr:uid="{00000000-0005-0000-0000-00005D380000}"/>
    <cellStyle name="40% - Accent1 3 5 2 2 2 4" xfId="34722" xr:uid="{00000000-0005-0000-0000-00005E380000}"/>
    <cellStyle name="40% - Accent1 3 5 2 2 3" xfId="9825" xr:uid="{00000000-0005-0000-0000-00005F380000}"/>
    <cellStyle name="40% - Accent1 3 5 2 2 3 2" xfId="24359" xr:uid="{00000000-0005-0000-0000-000060380000}"/>
    <cellStyle name="40% - Accent1 3 5 2 2 3 2 2" xfId="53365" xr:uid="{00000000-0005-0000-0000-000061380000}"/>
    <cellStyle name="40% - Accent1 3 5 2 2 3 3" xfId="38866" xr:uid="{00000000-0005-0000-0000-000062380000}"/>
    <cellStyle name="40% - Accent1 3 5 2 2 4" xfId="17111" xr:uid="{00000000-0005-0000-0000-000063380000}"/>
    <cellStyle name="40% - Accent1 3 5 2 2 4 2" xfId="46117" xr:uid="{00000000-0005-0000-0000-000064380000}"/>
    <cellStyle name="40% - Accent1 3 5 2 2 5" xfId="31618" xr:uid="{00000000-0005-0000-0000-000065380000}"/>
    <cellStyle name="40% - Accent1 3 5 2 3" xfId="3585" xr:uid="{00000000-0005-0000-0000-000066380000}"/>
    <cellStyle name="40% - Accent1 3 5 2 3 2" xfId="6689" xr:uid="{00000000-0005-0000-0000-000067380000}"/>
    <cellStyle name="40% - Accent1 3 5 2 3 2 2" xfId="13961" xr:uid="{00000000-0005-0000-0000-000068380000}"/>
    <cellStyle name="40% - Accent1 3 5 2 3 2 2 2" xfId="28495" xr:uid="{00000000-0005-0000-0000-000069380000}"/>
    <cellStyle name="40% - Accent1 3 5 2 3 2 2 2 2" xfId="57501" xr:uid="{00000000-0005-0000-0000-00006A380000}"/>
    <cellStyle name="40% - Accent1 3 5 2 3 2 2 3" xfId="43002" xr:uid="{00000000-0005-0000-0000-00006B380000}"/>
    <cellStyle name="40% - Accent1 3 5 2 3 2 3" xfId="21247" xr:uid="{00000000-0005-0000-0000-00006C380000}"/>
    <cellStyle name="40% - Accent1 3 5 2 3 2 3 2" xfId="50253" xr:uid="{00000000-0005-0000-0000-00006D380000}"/>
    <cellStyle name="40% - Accent1 3 5 2 3 2 4" xfId="35754" xr:uid="{00000000-0005-0000-0000-00006E380000}"/>
    <cellStyle name="40% - Accent1 3 5 2 3 3" xfId="10857" xr:uid="{00000000-0005-0000-0000-00006F380000}"/>
    <cellStyle name="40% - Accent1 3 5 2 3 3 2" xfId="25391" xr:uid="{00000000-0005-0000-0000-000070380000}"/>
    <cellStyle name="40% - Accent1 3 5 2 3 3 2 2" xfId="54397" xr:uid="{00000000-0005-0000-0000-000071380000}"/>
    <cellStyle name="40% - Accent1 3 5 2 3 3 3" xfId="39898" xr:uid="{00000000-0005-0000-0000-000072380000}"/>
    <cellStyle name="40% - Accent1 3 5 2 3 4" xfId="18143" xr:uid="{00000000-0005-0000-0000-000073380000}"/>
    <cellStyle name="40% - Accent1 3 5 2 3 4 2" xfId="47149" xr:uid="{00000000-0005-0000-0000-000074380000}"/>
    <cellStyle name="40% - Accent1 3 5 2 3 5" xfId="32650" xr:uid="{00000000-0005-0000-0000-000075380000}"/>
    <cellStyle name="40% - Accent1 3 5 2 4" xfId="4617" xr:uid="{00000000-0005-0000-0000-000076380000}"/>
    <cellStyle name="40% - Accent1 3 5 2 4 2" xfId="11889" xr:uid="{00000000-0005-0000-0000-000077380000}"/>
    <cellStyle name="40% - Accent1 3 5 2 4 2 2" xfId="26423" xr:uid="{00000000-0005-0000-0000-000078380000}"/>
    <cellStyle name="40% - Accent1 3 5 2 4 2 2 2" xfId="55429" xr:uid="{00000000-0005-0000-0000-000079380000}"/>
    <cellStyle name="40% - Accent1 3 5 2 4 2 3" xfId="40930" xr:uid="{00000000-0005-0000-0000-00007A380000}"/>
    <cellStyle name="40% - Accent1 3 5 2 4 3" xfId="19175" xr:uid="{00000000-0005-0000-0000-00007B380000}"/>
    <cellStyle name="40% - Accent1 3 5 2 4 3 2" xfId="48181" xr:uid="{00000000-0005-0000-0000-00007C380000}"/>
    <cellStyle name="40% - Accent1 3 5 2 4 4" xfId="33682" xr:uid="{00000000-0005-0000-0000-00007D380000}"/>
    <cellStyle name="40% - Accent1 3 5 2 5" xfId="7721" xr:uid="{00000000-0005-0000-0000-00007E380000}"/>
    <cellStyle name="40% - Accent1 3 5 2 5 2" xfId="14993" xr:uid="{00000000-0005-0000-0000-00007F380000}"/>
    <cellStyle name="40% - Accent1 3 5 2 5 2 2" xfId="29527" xr:uid="{00000000-0005-0000-0000-000080380000}"/>
    <cellStyle name="40% - Accent1 3 5 2 5 2 2 2" xfId="58533" xr:uid="{00000000-0005-0000-0000-000081380000}"/>
    <cellStyle name="40% - Accent1 3 5 2 5 2 3" xfId="44034" xr:uid="{00000000-0005-0000-0000-000082380000}"/>
    <cellStyle name="40% - Accent1 3 5 2 5 3" xfId="22279" xr:uid="{00000000-0005-0000-0000-000083380000}"/>
    <cellStyle name="40% - Accent1 3 5 2 5 3 2" xfId="51285" xr:uid="{00000000-0005-0000-0000-000084380000}"/>
    <cellStyle name="40% - Accent1 3 5 2 5 4" xfId="36786" xr:uid="{00000000-0005-0000-0000-000085380000}"/>
    <cellStyle name="40% - Accent1 3 5 2 6" xfId="8785" xr:uid="{00000000-0005-0000-0000-000086380000}"/>
    <cellStyle name="40% - Accent1 3 5 2 6 2" xfId="23319" xr:uid="{00000000-0005-0000-0000-000087380000}"/>
    <cellStyle name="40% - Accent1 3 5 2 6 2 2" xfId="52325" xr:uid="{00000000-0005-0000-0000-000088380000}"/>
    <cellStyle name="40% - Accent1 3 5 2 6 3" xfId="37826" xr:uid="{00000000-0005-0000-0000-000089380000}"/>
    <cellStyle name="40% - Accent1 3 5 2 7" xfId="16071" xr:uid="{00000000-0005-0000-0000-00008A380000}"/>
    <cellStyle name="40% - Accent1 3 5 2 7 2" xfId="45077" xr:uid="{00000000-0005-0000-0000-00008B380000}"/>
    <cellStyle name="40% - Accent1 3 5 2 8" xfId="30578" xr:uid="{00000000-0005-0000-0000-00008C380000}"/>
    <cellStyle name="40% - Accent1 3 5 3" xfId="2041" xr:uid="{00000000-0005-0000-0000-00008D380000}"/>
    <cellStyle name="40% - Accent1 3 5 3 2" xfId="5145" xr:uid="{00000000-0005-0000-0000-00008E380000}"/>
    <cellStyle name="40% - Accent1 3 5 3 2 2" xfId="12417" xr:uid="{00000000-0005-0000-0000-00008F380000}"/>
    <cellStyle name="40% - Accent1 3 5 3 2 2 2" xfId="26951" xr:uid="{00000000-0005-0000-0000-000090380000}"/>
    <cellStyle name="40% - Accent1 3 5 3 2 2 2 2" xfId="55957" xr:uid="{00000000-0005-0000-0000-000091380000}"/>
    <cellStyle name="40% - Accent1 3 5 3 2 2 3" xfId="41458" xr:uid="{00000000-0005-0000-0000-000092380000}"/>
    <cellStyle name="40% - Accent1 3 5 3 2 3" xfId="19703" xr:uid="{00000000-0005-0000-0000-000093380000}"/>
    <cellStyle name="40% - Accent1 3 5 3 2 3 2" xfId="48709" xr:uid="{00000000-0005-0000-0000-000094380000}"/>
    <cellStyle name="40% - Accent1 3 5 3 2 4" xfId="34210" xr:uid="{00000000-0005-0000-0000-000095380000}"/>
    <cellStyle name="40% - Accent1 3 5 3 3" xfId="9313" xr:uid="{00000000-0005-0000-0000-000096380000}"/>
    <cellStyle name="40% - Accent1 3 5 3 3 2" xfId="23847" xr:uid="{00000000-0005-0000-0000-000097380000}"/>
    <cellStyle name="40% - Accent1 3 5 3 3 2 2" xfId="52853" xr:uid="{00000000-0005-0000-0000-000098380000}"/>
    <cellStyle name="40% - Accent1 3 5 3 3 3" xfId="38354" xr:uid="{00000000-0005-0000-0000-000099380000}"/>
    <cellStyle name="40% - Accent1 3 5 3 4" xfId="16599" xr:uid="{00000000-0005-0000-0000-00009A380000}"/>
    <cellStyle name="40% - Accent1 3 5 3 4 2" xfId="45605" xr:uid="{00000000-0005-0000-0000-00009B380000}"/>
    <cellStyle name="40% - Accent1 3 5 3 5" xfId="31106" xr:uid="{00000000-0005-0000-0000-00009C380000}"/>
    <cellStyle name="40% - Accent1 3 5 4" xfId="3073" xr:uid="{00000000-0005-0000-0000-00009D380000}"/>
    <cellStyle name="40% - Accent1 3 5 4 2" xfId="6177" xr:uid="{00000000-0005-0000-0000-00009E380000}"/>
    <cellStyle name="40% - Accent1 3 5 4 2 2" xfId="13449" xr:uid="{00000000-0005-0000-0000-00009F380000}"/>
    <cellStyle name="40% - Accent1 3 5 4 2 2 2" xfId="27983" xr:uid="{00000000-0005-0000-0000-0000A0380000}"/>
    <cellStyle name="40% - Accent1 3 5 4 2 2 2 2" xfId="56989" xr:uid="{00000000-0005-0000-0000-0000A1380000}"/>
    <cellStyle name="40% - Accent1 3 5 4 2 2 3" xfId="42490" xr:uid="{00000000-0005-0000-0000-0000A2380000}"/>
    <cellStyle name="40% - Accent1 3 5 4 2 3" xfId="20735" xr:uid="{00000000-0005-0000-0000-0000A3380000}"/>
    <cellStyle name="40% - Accent1 3 5 4 2 3 2" xfId="49741" xr:uid="{00000000-0005-0000-0000-0000A4380000}"/>
    <cellStyle name="40% - Accent1 3 5 4 2 4" xfId="35242" xr:uid="{00000000-0005-0000-0000-0000A5380000}"/>
    <cellStyle name="40% - Accent1 3 5 4 3" xfId="10345" xr:uid="{00000000-0005-0000-0000-0000A6380000}"/>
    <cellStyle name="40% - Accent1 3 5 4 3 2" xfId="24879" xr:uid="{00000000-0005-0000-0000-0000A7380000}"/>
    <cellStyle name="40% - Accent1 3 5 4 3 2 2" xfId="53885" xr:uid="{00000000-0005-0000-0000-0000A8380000}"/>
    <cellStyle name="40% - Accent1 3 5 4 3 3" xfId="39386" xr:uid="{00000000-0005-0000-0000-0000A9380000}"/>
    <cellStyle name="40% - Accent1 3 5 4 4" xfId="17631" xr:uid="{00000000-0005-0000-0000-0000AA380000}"/>
    <cellStyle name="40% - Accent1 3 5 4 4 2" xfId="46637" xr:uid="{00000000-0005-0000-0000-0000AB380000}"/>
    <cellStyle name="40% - Accent1 3 5 4 5" xfId="32138" xr:uid="{00000000-0005-0000-0000-0000AC380000}"/>
    <cellStyle name="40% - Accent1 3 5 5" xfId="4105" xr:uid="{00000000-0005-0000-0000-0000AD380000}"/>
    <cellStyle name="40% - Accent1 3 5 5 2" xfId="11377" xr:uid="{00000000-0005-0000-0000-0000AE380000}"/>
    <cellStyle name="40% - Accent1 3 5 5 2 2" xfId="25911" xr:uid="{00000000-0005-0000-0000-0000AF380000}"/>
    <cellStyle name="40% - Accent1 3 5 5 2 2 2" xfId="54917" xr:uid="{00000000-0005-0000-0000-0000B0380000}"/>
    <cellStyle name="40% - Accent1 3 5 5 2 3" xfId="40418" xr:uid="{00000000-0005-0000-0000-0000B1380000}"/>
    <cellStyle name="40% - Accent1 3 5 5 3" xfId="18663" xr:uid="{00000000-0005-0000-0000-0000B2380000}"/>
    <cellStyle name="40% - Accent1 3 5 5 3 2" xfId="47669" xr:uid="{00000000-0005-0000-0000-0000B3380000}"/>
    <cellStyle name="40% - Accent1 3 5 5 4" xfId="33170" xr:uid="{00000000-0005-0000-0000-0000B4380000}"/>
    <cellStyle name="40% - Accent1 3 5 6" xfId="7209" xr:uid="{00000000-0005-0000-0000-0000B5380000}"/>
    <cellStyle name="40% - Accent1 3 5 6 2" xfId="14481" xr:uid="{00000000-0005-0000-0000-0000B6380000}"/>
    <cellStyle name="40% - Accent1 3 5 6 2 2" xfId="29015" xr:uid="{00000000-0005-0000-0000-0000B7380000}"/>
    <cellStyle name="40% - Accent1 3 5 6 2 2 2" xfId="58021" xr:uid="{00000000-0005-0000-0000-0000B8380000}"/>
    <cellStyle name="40% - Accent1 3 5 6 2 3" xfId="43522" xr:uid="{00000000-0005-0000-0000-0000B9380000}"/>
    <cellStyle name="40% - Accent1 3 5 6 3" xfId="21767" xr:uid="{00000000-0005-0000-0000-0000BA380000}"/>
    <cellStyle name="40% - Accent1 3 5 6 3 2" xfId="50773" xr:uid="{00000000-0005-0000-0000-0000BB380000}"/>
    <cellStyle name="40% - Accent1 3 5 6 4" xfId="36274" xr:uid="{00000000-0005-0000-0000-0000BC380000}"/>
    <cellStyle name="40% - Accent1 3 5 7" xfId="8273" xr:uid="{00000000-0005-0000-0000-0000BD380000}"/>
    <cellStyle name="40% - Accent1 3 5 7 2" xfId="22807" xr:uid="{00000000-0005-0000-0000-0000BE380000}"/>
    <cellStyle name="40% - Accent1 3 5 7 2 2" xfId="51813" xr:uid="{00000000-0005-0000-0000-0000BF380000}"/>
    <cellStyle name="40% - Accent1 3 5 7 3" xfId="37314" xr:uid="{00000000-0005-0000-0000-0000C0380000}"/>
    <cellStyle name="40% - Accent1 3 5 8" xfId="15559" xr:uid="{00000000-0005-0000-0000-0000C1380000}"/>
    <cellStyle name="40% - Accent1 3 5 8 2" xfId="44565" xr:uid="{00000000-0005-0000-0000-0000C2380000}"/>
    <cellStyle name="40% - Accent1 3 5 9" xfId="30066" xr:uid="{00000000-0005-0000-0000-0000C3380000}"/>
    <cellStyle name="40% - Accent1 3 6" xfId="1291" xr:uid="{00000000-0005-0000-0000-0000C4380000}"/>
    <cellStyle name="40% - Accent1 3 6 2" xfId="2347" xr:uid="{00000000-0005-0000-0000-0000C5380000}"/>
    <cellStyle name="40% - Accent1 3 6 2 2" xfId="5451" xr:uid="{00000000-0005-0000-0000-0000C6380000}"/>
    <cellStyle name="40% - Accent1 3 6 2 2 2" xfId="12723" xr:uid="{00000000-0005-0000-0000-0000C7380000}"/>
    <cellStyle name="40% - Accent1 3 6 2 2 2 2" xfId="27257" xr:uid="{00000000-0005-0000-0000-0000C8380000}"/>
    <cellStyle name="40% - Accent1 3 6 2 2 2 2 2" xfId="56263" xr:uid="{00000000-0005-0000-0000-0000C9380000}"/>
    <cellStyle name="40% - Accent1 3 6 2 2 2 3" xfId="41764" xr:uid="{00000000-0005-0000-0000-0000CA380000}"/>
    <cellStyle name="40% - Accent1 3 6 2 2 3" xfId="20009" xr:uid="{00000000-0005-0000-0000-0000CB380000}"/>
    <cellStyle name="40% - Accent1 3 6 2 2 3 2" xfId="49015" xr:uid="{00000000-0005-0000-0000-0000CC380000}"/>
    <cellStyle name="40% - Accent1 3 6 2 2 4" xfId="34516" xr:uid="{00000000-0005-0000-0000-0000CD380000}"/>
    <cellStyle name="40% - Accent1 3 6 2 3" xfId="9619" xr:uid="{00000000-0005-0000-0000-0000CE380000}"/>
    <cellStyle name="40% - Accent1 3 6 2 3 2" xfId="24153" xr:uid="{00000000-0005-0000-0000-0000CF380000}"/>
    <cellStyle name="40% - Accent1 3 6 2 3 2 2" xfId="53159" xr:uid="{00000000-0005-0000-0000-0000D0380000}"/>
    <cellStyle name="40% - Accent1 3 6 2 3 3" xfId="38660" xr:uid="{00000000-0005-0000-0000-0000D1380000}"/>
    <cellStyle name="40% - Accent1 3 6 2 4" xfId="16905" xr:uid="{00000000-0005-0000-0000-0000D2380000}"/>
    <cellStyle name="40% - Accent1 3 6 2 4 2" xfId="45911" xr:uid="{00000000-0005-0000-0000-0000D3380000}"/>
    <cellStyle name="40% - Accent1 3 6 2 5" xfId="31412" xr:uid="{00000000-0005-0000-0000-0000D4380000}"/>
    <cellStyle name="40% - Accent1 3 6 3" xfId="3379" xr:uid="{00000000-0005-0000-0000-0000D5380000}"/>
    <cellStyle name="40% - Accent1 3 6 3 2" xfId="6483" xr:uid="{00000000-0005-0000-0000-0000D6380000}"/>
    <cellStyle name="40% - Accent1 3 6 3 2 2" xfId="13755" xr:uid="{00000000-0005-0000-0000-0000D7380000}"/>
    <cellStyle name="40% - Accent1 3 6 3 2 2 2" xfId="28289" xr:uid="{00000000-0005-0000-0000-0000D8380000}"/>
    <cellStyle name="40% - Accent1 3 6 3 2 2 2 2" xfId="57295" xr:uid="{00000000-0005-0000-0000-0000D9380000}"/>
    <cellStyle name="40% - Accent1 3 6 3 2 2 3" xfId="42796" xr:uid="{00000000-0005-0000-0000-0000DA380000}"/>
    <cellStyle name="40% - Accent1 3 6 3 2 3" xfId="21041" xr:uid="{00000000-0005-0000-0000-0000DB380000}"/>
    <cellStyle name="40% - Accent1 3 6 3 2 3 2" xfId="50047" xr:uid="{00000000-0005-0000-0000-0000DC380000}"/>
    <cellStyle name="40% - Accent1 3 6 3 2 4" xfId="35548" xr:uid="{00000000-0005-0000-0000-0000DD380000}"/>
    <cellStyle name="40% - Accent1 3 6 3 3" xfId="10651" xr:uid="{00000000-0005-0000-0000-0000DE380000}"/>
    <cellStyle name="40% - Accent1 3 6 3 3 2" xfId="25185" xr:uid="{00000000-0005-0000-0000-0000DF380000}"/>
    <cellStyle name="40% - Accent1 3 6 3 3 2 2" xfId="54191" xr:uid="{00000000-0005-0000-0000-0000E0380000}"/>
    <cellStyle name="40% - Accent1 3 6 3 3 3" xfId="39692" xr:uid="{00000000-0005-0000-0000-0000E1380000}"/>
    <cellStyle name="40% - Accent1 3 6 3 4" xfId="17937" xr:uid="{00000000-0005-0000-0000-0000E2380000}"/>
    <cellStyle name="40% - Accent1 3 6 3 4 2" xfId="46943" xr:uid="{00000000-0005-0000-0000-0000E3380000}"/>
    <cellStyle name="40% - Accent1 3 6 3 5" xfId="32444" xr:uid="{00000000-0005-0000-0000-0000E4380000}"/>
    <cellStyle name="40% - Accent1 3 6 4" xfId="4411" xr:uid="{00000000-0005-0000-0000-0000E5380000}"/>
    <cellStyle name="40% - Accent1 3 6 4 2" xfId="11683" xr:uid="{00000000-0005-0000-0000-0000E6380000}"/>
    <cellStyle name="40% - Accent1 3 6 4 2 2" xfId="26217" xr:uid="{00000000-0005-0000-0000-0000E7380000}"/>
    <cellStyle name="40% - Accent1 3 6 4 2 2 2" xfId="55223" xr:uid="{00000000-0005-0000-0000-0000E8380000}"/>
    <cellStyle name="40% - Accent1 3 6 4 2 3" xfId="40724" xr:uid="{00000000-0005-0000-0000-0000E9380000}"/>
    <cellStyle name="40% - Accent1 3 6 4 3" xfId="18969" xr:uid="{00000000-0005-0000-0000-0000EA380000}"/>
    <cellStyle name="40% - Accent1 3 6 4 3 2" xfId="47975" xr:uid="{00000000-0005-0000-0000-0000EB380000}"/>
    <cellStyle name="40% - Accent1 3 6 4 4" xfId="33476" xr:uid="{00000000-0005-0000-0000-0000EC380000}"/>
    <cellStyle name="40% - Accent1 3 6 5" xfId="7515" xr:uid="{00000000-0005-0000-0000-0000ED380000}"/>
    <cellStyle name="40% - Accent1 3 6 5 2" xfId="14787" xr:uid="{00000000-0005-0000-0000-0000EE380000}"/>
    <cellStyle name="40% - Accent1 3 6 5 2 2" xfId="29321" xr:uid="{00000000-0005-0000-0000-0000EF380000}"/>
    <cellStyle name="40% - Accent1 3 6 5 2 2 2" xfId="58327" xr:uid="{00000000-0005-0000-0000-0000F0380000}"/>
    <cellStyle name="40% - Accent1 3 6 5 2 3" xfId="43828" xr:uid="{00000000-0005-0000-0000-0000F1380000}"/>
    <cellStyle name="40% - Accent1 3 6 5 3" xfId="22073" xr:uid="{00000000-0005-0000-0000-0000F2380000}"/>
    <cellStyle name="40% - Accent1 3 6 5 3 2" xfId="51079" xr:uid="{00000000-0005-0000-0000-0000F3380000}"/>
    <cellStyle name="40% - Accent1 3 6 5 4" xfId="36580" xr:uid="{00000000-0005-0000-0000-0000F4380000}"/>
    <cellStyle name="40% - Accent1 3 6 6" xfId="8579" xr:uid="{00000000-0005-0000-0000-0000F5380000}"/>
    <cellStyle name="40% - Accent1 3 6 6 2" xfId="23113" xr:uid="{00000000-0005-0000-0000-0000F6380000}"/>
    <cellStyle name="40% - Accent1 3 6 6 2 2" xfId="52119" xr:uid="{00000000-0005-0000-0000-0000F7380000}"/>
    <cellStyle name="40% - Accent1 3 6 6 3" xfId="37620" xr:uid="{00000000-0005-0000-0000-0000F8380000}"/>
    <cellStyle name="40% - Accent1 3 6 7" xfId="15865" xr:uid="{00000000-0005-0000-0000-0000F9380000}"/>
    <cellStyle name="40% - Accent1 3 6 7 2" xfId="44871" xr:uid="{00000000-0005-0000-0000-0000FA380000}"/>
    <cellStyle name="40% - Accent1 3 6 8" xfId="30372" xr:uid="{00000000-0005-0000-0000-0000FB380000}"/>
    <cellStyle name="40% - Accent1 3 7" xfId="1835" xr:uid="{00000000-0005-0000-0000-0000FC380000}"/>
    <cellStyle name="40% - Accent1 3 7 2" xfId="4939" xr:uid="{00000000-0005-0000-0000-0000FD380000}"/>
    <cellStyle name="40% - Accent1 3 7 2 2" xfId="12211" xr:uid="{00000000-0005-0000-0000-0000FE380000}"/>
    <cellStyle name="40% - Accent1 3 7 2 2 2" xfId="26745" xr:uid="{00000000-0005-0000-0000-0000FF380000}"/>
    <cellStyle name="40% - Accent1 3 7 2 2 2 2" xfId="55751" xr:uid="{00000000-0005-0000-0000-000000390000}"/>
    <cellStyle name="40% - Accent1 3 7 2 2 3" xfId="41252" xr:uid="{00000000-0005-0000-0000-000001390000}"/>
    <cellStyle name="40% - Accent1 3 7 2 3" xfId="19497" xr:uid="{00000000-0005-0000-0000-000002390000}"/>
    <cellStyle name="40% - Accent1 3 7 2 3 2" xfId="48503" xr:uid="{00000000-0005-0000-0000-000003390000}"/>
    <cellStyle name="40% - Accent1 3 7 2 4" xfId="34004" xr:uid="{00000000-0005-0000-0000-000004390000}"/>
    <cellStyle name="40% - Accent1 3 7 3" xfId="9107" xr:uid="{00000000-0005-0000-0000-000005390000}"/>
    <cellStyle name="40% - Accent1 3 7 3 2" xfId="23641" xr:uid="{00000000-0005-0000-0000-000006390000}"/>
    <cellStyle name="40% - Accent1 3 7 3 2 2" xfId="52647" xr:uid="{00000000-0005-0000-0000-000007390000}"/>
    <cellStyle name="40% - Accent1 3 7 3 3" xfId="38148" xr:uid="{00000000-0005-0000-0000-000008390000}"/>
    <cellStyle name="40% - Accent1 3 7 4" xfId="16393" xr:uid="{00000000-0005-0000-0000-000009390000}"/>
    <cellStyle name="40% - Accent1 3 7 4 2" xfId="45399" xr:uid="{00000000-0005-0000-0000-00000A390000}"/>
    <cellStyle name="40% - Accent1 3 7 5" xfId="30900" xr:uid="{00000000-0005-0000-0000-00000B390000}"/>
    <cellStyle name="40% - Accent1 3 8" xfId="2867" xr:uid="{00000000-0005-0000-0000-00000C390000}"/>
    <cellStyle name="40% - Accent1 3 8 2" xfId="5971" xr:uid="{00000000-0005-0000-0000-00000D390000}"/>
    <cellStyle name="40% - Accent1 3 8 2 2" xfId="13243" xr:uid="{00000000-0005-0000-0000-00000E390000}"/>
    <cellStyle name="40% - Accent1 3 8 2 2 2" xfId="27777" xr:uid="{00000000-0005-0000-0000-00000F390000}"/>
    <cellStyle name="40% - Accent1 3 8 2 2 2 2" xfId="56783" xr:uid="{00000000-0005-0000-0000-000010390000}"/>
    <cellStyle name="40% - Accent1 3 8 2 2 3" xfId="42284" xr:uid="{00000000-0005-0000-0000-000011390000}"/>
    <cellStyle name="40% - Accent1 3 8 2 3" xfId="20529" xr:uid="{00000000-0005-0000-0000-000012390000}"/>
    <cellStyle name="40% - Accent1 3 8 2 3 2" xfId="49535" xr:uid="{00000000-0005-0000-0000-000013390000}"/>
    <cellStyle name="40% - Accent1 3 8 2 4" xfId="35036" xr:uid="{00000000-0005-0000-0000-000014390000}"/>
    <cellStyle name="40% - Accent1 3 8 3" xfId="10139" xr:uid="{00000000-0005-0000-0000-000015390000}"/>
    <cellStyle name="40% - Accent1 3 8 3 2" xfId="24673" xr:uid="{00000000-0005-0000-0000-000016390000}"/>
    <cellStyle name="40% - Accent1 3 8 3 2 2" xfId="53679" xr:uid="{00000000-0005-0000-0000-000017390000}"/>
    <cellStyle name="40% - Accent1 3 8 3 3" xfId="39180" xr:uid="{00000000-0005-0000-0000-000018390000}"/>
    <cellStyle name="40% - Accent1 3 8 4" xfId="17425" xr:uid="{00000000-0005-0000-0000-000019390000}"/>
    <cellStyle name="40% - Accent1 3 8 4 2" xfId="46431" xr:uid="{00000000-0005-0000-0000-00001A390000}"/>
    <cellStyle name="40% - Accent1 3 8 5" xfId="31932" xr:uid="{00000000-0005-0000-0000-00001B390000}"/>
    <cellStyle name="40% - Accent1 3 9" xfId="3899" xr:uid="{00000000-0005-0000-0000-00001C390000}"/>
    <cellStyle name="40% - Accent1 3 9 2" xfId="11171" xr:uid="{00000000-0005-0000-0000-00001D390000}"/>
    <cellStyle name="40% - Accent1 3 9 2 2" xfId="25705" xr:uid="{00000000-0005-0000-0000-00001E390000}"/>
    <cellStyle name="40% - Accent1 3 9 2 2 2" xfId="54711" xr:uid="{00000000-0005-0000-0000-00001F390000}"/>
    <cellStyle name="40% - Accent1 3 9 2 3" xfId="40212" xr:uid="{00000000-0005-0000-0000-000020390000}"/>
    <cellStyle name="40% - Accent1 3 9 3" xfId="18457" xr:uid="{00000000-0005-0000-0000-000021390000}"/>
    <cellStyle name="40% - Accent1 3 9 3 2" xfId="47463" xr:uid="{00000000-0005-0000-0000-000022390000}"/>
    <cellStyle name="40% - Accent1 3 9 4" xfId="32964" xr:uid="{00000000-0005-0000-0000-000023390000}"/>
    <cellStyle name="40% - Accent1 4" xfId="865" xr:uid="{00000000-0005-0000-0000-000024390000}"/>
    <cellStyle name="40% - Accent1 4 10" xfId="8095" xr:uid="{00000000-0005-0000-0000-000025390000}"/>
    <cellStyle name="40% - Accent1 4 10 2" xfId="22629" xr:uid="{00000000-0005-0000-0000-000026390000}"/>
    <cellStyle name="40% - Accent1 4 10 2 2" xfId="51635" xr:uid="{00000000-0005-0000-0000-000027390000}"/>
    <cellStyle name="40% - Accent1 4 10 3" xfId="37136" xr:uid="{00000000-0005-0000-0000-000028390000}"/>
    <cellStyle name="40% - Accent1 4 11" xfId="15381" xr:uid="{00000000-0005-0000-0000-000029390000}"/>
    <cellStyle name="40% - Accent1 4 11 2" xfId="44387" xr:uid="{00000000-0005-0000-0000-00002A390000}"/>
    <cellStyle name="40% - Accent1 4 12" xfId="29888" xr:uid="{00000000-0005-0000-0000-00002B390000}"/>
    <cellStyle name="40% - Accent1 4 2" xfId="945" xr:uid="{00000000-0005-0000-0000-00002C390000}"/>
    <cellStyle name="40% - Accent1 4 2 10" xfId="29991" xr:uid="{00000000-0005-0000-0000-00002D390000}"/>
    <cellStyle name="40% - Accent1 4 2 2" xfId="1220" xr:uid="{00000000-0005-0000-0000-00002E390000}"/>
    <cellStyle name="40% - Accent1 4 2 2 2" xfId="1725" xr:uid="{00000000-0005-0000-0000-00002F390000}"/>
    <cellStyle name="40% - Accent1 4 2 2 2 2" xfId="2784" xr:uid="{00000000-0005-0000-0000-000030390000}"/>
    <cellStyle name="40% - Accent1 4 2 2 2 2 2" xfId="5888" xr:uid="{00000000-0005-0000-0000-000031390000}"/>
    <cellStyle name="40% - Accent1 4 2 2 2 2 2 2" xfId="13160" xr:uid="{00000000-0005-0000-0000-000032390000}"/>
    <cellStyle name="40% - Accent1 4 2 2 2 2 2 2 2" xfId="27694" xr:uid="{00000000-0005-0000-0000-000033390000}"/>
    <cellStyle name="40% - Accent1 4 2 2 2 2 2 2 2 2" xfId="56700" xr:uid="{00000000-0005-0000-0000-000034390000}"/>
    <cellStyle name="40% - Accent1 4 2 2 2 2 2 2 3" xfId="42201" xr:uid="{00000000-0005-0000-0000-000035390000}"/>
    <cellStyle name="40% - Accent1 4 2 2 2 2 2 3" xfId="20446" xr:uid="{00000000-0005-0000-0000-000036390000}"/>
    <cellStyle name="40% - Accent1 4 2 2 2 2 2 3 2" xfId="49452" xr:uid="{00000000-0005-0000-0000-000037390000}"/>
    <cellStyle name="40% - Accent1 4 2 2 2 2 2 4" xfId="34953" xr:uid="{00000000-0005-0000-0000-000038390000}"/>
    <cellStyle name="40% - Accent1 4 2 2 2 2 3" xfId="10056" xr:uid="{00000000-0005-0000-0000-000039390000}"/>
    <cellStyle name="40% - Accent1 4 2 2 2 2 3 2" xfId="24590" xr:uid="{00000000-0005-0000-0000-00003A390000}"/>
    <cellStyle name="40% - Accent1 4 2 2 2 2 3 2 2" xfId="53596" xr:uid="{00000000-0005-0000-0000-00003B390000}"/>
    <cellStyle name="40% - Accent1 4 2 2 2 2 3 3" xfId="39097" xr:uid="{00000000-0005-0000-0000-00003C390000}"/>
    <cellStyle name="40% - Accent1 4 2 2 2 2 4" xfId="17342" xr:uid="{00000000-0005-0000-0000-00003D390000}"/>
    <cellStyle name="40% - Accent1 4 2 2 2 2 4 2" xfId="46348" xr:uid="{00000000-0005-0000-0000-00003E390000}"/>
    <cellStyle name="40% - Accent1 4 2 2 2 2 5" xfId="31849" xr:uid="{00000000-0005-0000-0000-00003F390000}"/>
    <cellStyle name="40% - Accent1 4 2 2 2 3" xfId="3816" xr:uid="{00000000-0005-0000-0000-000040390000}"/>
    <cellStyle name="40% - Accent1 4 2 2 2 3 2" xfId="6920" xr:uid="{00000000-0005-0000-0000-000041390000}"/>
    <cellStyle name="40% - Accent1 4 2 2 2 3 2 2" xfId="14192" xr:uid="{00000000-0005-0000-0000-000042390000}"/>
    <cellStyle name="40% - Accent1 4 2 2 2 3 2 2 2" xfId="28726" xr:uid="{00000000-0005-0000-0000-000043390000}"/>
    <cellStyle name="40% - Accent1 4 2 2 2 3 2 2 2 2" xfId="57732" xr:uid="{00000000-0005-0000-0000-000044390000}"/>
    <cellStyle name="40% - Accent1 4 2 2 2 3 2 2 3" xfId="43233" xr:uid="{00000000-0005-0000-0000-000045390000}"/>
    <cellStyle name="40% - Accent1 4 2 2 2 3 2 3" xfId="21478" xr:uid="{00000000-0005-0000-0000-000046390000}"/>
    <cellStyle name="40% - Accent1 4 2 2 2 3 2 3 2" xfId="50484" xr:uid="{00000000-0005-0000-0000-000047390000}"/>
    <cellStyle name="40% - Accent1 4 2 2 2 3 2 4" xfId="35985" xr:uid="{00000000-0005-0000-0000-000048390000}"/>
    <cellStyle name="40% - Accent1 4 2 2 2 3 3" xfId="11088" xr:uid="{00000000-0005-0000-0000-000049390000}"/>
    <cellStyle name="40% - Accent1 4 2 2 2 3 3 2" xfId="25622" xr:uid="{00000000-0005-0000-0000-00004A390000}"/>
    <cellStyle name="40% - Accent1 4 2 2 2 3 3 2 2" xfId="54628" xr:uid="{00000000-0005-0000-0000-00004B390000}"/>
    <cellStyle name="40% - Accent1 4 2 2 2 3 3 3" xfId="40129" xr:uid="{00000000-0005-0000-0000-00004C390000}"/>
    <cellStyle name="40% - Accent1 4 2 2 2 3 4" xfId="18374" xr:uid="{00000000-0005-0000-0000-00004D390000}"/>
    <cellStyle name="40% - Accent1 4 2 2 2 3 4 2" xfId="47380" xr:uid="{00000000-0005-0000-0000-00004E390000}"/>
    <cellStyle name="40% - Accent1 4 2 2 2 3 5" xfId="32881" xr:uid="{00000000-0005-0000-0000-00004F390000}"/>
    <cellStyle name="40% - Accent1 4 2 2 2 4" xfId="4848" xr:uid="{00000000-0005-0000-0000-000050390000}"/>
    <cellStyle name="40% - Accent1 4 2 2 2 4 2" xfId="12120" xr:uid="{00000000-0005-0000-0000-000051390000}"/>
    <cellStyle name="40% - Accent1 4 2 2 2 4 2 2" xfId="26654" xr:uid="{00000000-0005-0000-0000-000052390000}"/>
    <cellStyle name="40% - Accent1 4 2 2 2 4 2 2 2" xfId="55660" xr:uid="{00000000-0005-0000-0000-000053390000}"/>
    <cellStyle name="40% - Accent1 4 2 2 2 4 2 3" xfId="41161" xr:uid="{00000000-0005-0000-0000-000054390000}"/>
    <cellStyle name="40% - Accent1 4 2 2 2 4 3" xfId="19406" xr:uid="{00000000-0005-0000-0000-000055390000}"/>
    <cellStyle name="40% - Accent1 4 2 2 2 4 3 2" xfId="48412" xr:uid="{00000000-0005-0000-0000-000056390000}"/>
    <cellStyle name="40% - Accent1 4 2 2 2 4 4" xfId="33913" xr:uid="{00000000-0005-0000-0000-000057390000}"/>
    <cellStyle name="40% - Accent1 4 2 2 2 5" xfId="7952" xr:uid="{00000000-0005-0000-0000-000058390000}"/>
    <cellStyle name="40% - Accent1 4 2 2 2 5 2" xfId="15224" xr:uid="{00000000-0005-0000-0000-000059390000}"/>
    <cellStyle name="40% - Accent1 4 2 2 2 5 2 2" xfId="29758" xr:uid="{00000000-0005-0000-0000-00005A390000}"/>
    <cellStyle name="40% - Accent1 4 2 2 2 5 2 2 2" xfId="58764" xr:uid="{00000000-0005-0000-0000-00005B390000}"/>
    <cellStyle name="40% - Accent1 4 2 2 2 5 2 3" xfId="44265" xr:uid="{00000000-0005-0000-0000-00005C390000}"/>
    <cellStyle name="40% - Accent1 4 2 2 2 5 3" xfId="22510" xr:uid="{00000000-0005-0000-0000-00005D390000}"/>
    <cellStyle name="40% - Accent1 4 2 2 2 5 3 2" xfId="51516" xr:uid="{00000000-0005-0000-0000-00005E390000}"/>
    <cellStyle name="40% - Accent1 4 2 2 2 5 4" xfId="37017" xr:uid="{00000000-0005-0000-0000-00005F390000}"/>
    <cellStyle name="40% - Accent1 4 2 2 2 6" xfId="9016" xr:uid="{00000000-0005-0000-0000-000060390000}"/>
    <cellStyle name="40% - Accent1 4 2 2 2 6 2" xfId="23550" xr:uid="{00000000-0005-0000-0000-000061390000}"/>
    <cellStyle name="40% - Accent1 4 2 2 2 6 2 2" xfId="52556" xr:uid="{00000000-0005-0000-0000-000062390000}"/>
    <cellStyle name="40% - Accent1 4 2 2 2 6 3" xfId="38057" xr:uid="{00000000-0005-0000-0000-000063390000}"/>
    <cellStyle name="40% - Accent1 4 2 2 2 7" xfId="16302" xr:uid="{00000000-0005-0000-0000-000064390000}"/>
    <cellStyle name="40% - Accent1 4 2 2 2 7 2" xfId="45308" xr:uid="{00000000-0005-0000-0000-000065390000}"/>
    <cellStyle name="40% - Accent1 4 2 2 2 8" xfId="30809" xr:uid="{00000000-0005-0000-0000-000066390000}"/>
    <cellStyle name="40% - Accent1 4 2 2 3" xfId="2272" xr:uid="{00000000-0005-0000-0000-000067390000}"/>
    <cellStyle name="40% - Accent1 4 2 2 3 2" xfId="5376" xr:uid="{00000000-0005-0000-0000-000068390000}"/>
    <cellStyle name="40% - Accent1 4 2 2 3 2 2" xfId="12648" xr:uid="{00000000-0005-0000-0000-000069390000}"/>
    <cellStyle name="40% - Accent1 4 2 2 3 2 2 2" xfId="27182" xr:uid="{00000000-0005-0000-0000-00006A390000}"/>
    <cellStyle name="40% - Accent1 4 2 2 3 2 2 2 2" xfId="56188" xr:uid="{00000000-0005-0000-0000-00006B390000}"/>
    <cellStyle name="40% - Accent1 4 2 2 3 2 2 3" xfId="41689" xr:uid="{00000000-0005-0000-0000-00006C390000}"/>
    <cellStyle name="40% - Accent1 4 2 2 3 2 3" xfId="19934" xr:uid="{00000000-0005-0000-0000-00006D390000}"/>
    <cellStyle name="40% - Accent1 4 2 2 3 2 3 2" xfId="48940" xr:uid="{00000000-0005-0000-0000-00006E390000}"/>
    <cellStyle name="40% - Accent1 4 2 2 3 2 4" xfId="34441" xr:uid="{00000000-0005-0000-0000-00006F390000}"/>
    <cellStyle name="40% - Accent1 4 2 2 3 3" xfId="9544" xr:uid="{00000000-0005-0000-0000-000070390000}"/>
    <cellStyle name="40% - Accent1 4 2 2 3 3 2" xfId="24078" xr:uid="{00000000-0005-0000-0000-000071390000}"/>
    <cellStyle name="40% - Accent1 4 2 2 3 3 2 2" xfId="53084" xr:uid="{00000000-0005-0000-0000-000072390000}"/>
    <cellStyle name="40% - Accent1 4 2 2 3 3 3" xfId="38585" xr:uid="{00000000-0005-0000-0000-000073390000}"/>
    <cellStyle name="40% - Accent1 4 2 2 3 4" xfId="16830" xr:uid="{00000000-0005-0000-0000-000074390000}"/>
    <cellStyle name="40% - Accent1 4 2 2 3 4 2" xfId="45836" xr:uid="{00000000-0005-0000-0000-000075390000}"/>
    <cellStyle name="40% - Accent1 4 2 2 3 5" xfId="31337" xr:uid="{00000000-0005-0000-0000-000076390000}"/>
    <cellStyle name="40% - Accent1 4 2 2 4" xfId="3304" xr:uid="{00000000-0005-0000-0000-000077390000}"/>
    <cellStyle name="40% - Accent1 4 2 2 4 2" xfId="6408" xr:uid="{00000000-0005-0000-0000-000078390000}"/>
    <cellStyle name="40% - Accent1 4 2 2 4 2 2" xfId="13680" xr:uid="{00000000-0005-0000-0000-000079390000}"/>
    <cellStyle name="40% - Accent1 4 2 2 4 2 2 2" xfId="28214" xr:uid="{00000000-0005-0000-0000-00007A390000}"/>
    <cellStyle name="40% - Accent1 4 2 2 4 2 2 2 2" xfId="57220" xr:uid="{00000000-0005-0000-0000-00007B390000}"/>
    <cellStyle name="40% - Accent1 4 2 2 4 2 2 3" xfId="42721" xr:uid="{00000000-0005-0000-0000-00007C390000}"/>
    <cellStyle name="40% - Accent1 4 2 2 4 2 3" xfId="20966" xr:uid="{00000000-0005-0000-0000-00007D390000}"/>
    <cellStyle name="40% - Accent1 4 2 2 4 2 3 2" xfId="49972" xr:uid="{00000000-0005-0000-0000-00007E390000}"/>
    <cellStyle name="40% - Accent1 4 2 2 4 2 4" xfId="35473" xr:uid="{00000000-0005-0000-0000-00007F390000}"/>
    <cellStyle name="40% - Accent1 4 2 2 4 3" xfId="10576" xr:uid="{00000000-0005-0000-0000-000080390000}"/>
    <cellStyle name="40% - Accent1 4 2 2 4 3 2" xfId="25110" xr:uid="{00000000-0005-0000-0000-000081390000}"/>
    <cellStyle name="40% - Accent1 4 2 2 4 3 2 2" xfId="54116" xr:uid="{00000000-0005-0000-0000-000082390000}"/>
    <cellStyle name="40% - Accent1 4 2 2 4 3 3" xfId="39617" xr:uid="{00000000-0005-0000-0000-000083390000}"/>
    <cellStyle name="40% - Accent1 4 2 2 4 4" xfId="17862" xr:uid="{00000000-0005-0000-0000-000084390000}"/>
    <cellStyle name="40% - Accent1 4 2 2 4 4 2" xfId="46868" xr:uid="{00000000-0005-0000-0000-000085390000}"/>
    <cellStyle name="40% - Accent1 4 2 2 4 5" xfId="32369" xr:uid="{00000000-0005-0000-0000-000086390000}"/>
    <cellStyle name="40% - Accent1 4 2 2 5" xfId="4336" xr:uid="{00000000-0005-0000-0000-000087390000}"/>
    <cellStyle name="40% - Accent1 4 2 2 5 2" xfId="11608" xr:uid="{00000000-0005-0000-0000-000088390000}"/>
    <cellStyle name="40% - Accent1 4 2 2 5 2 2" xfId="26142" xr:uid="{00000000-0005-0000-0000-000089390000}"/>
    <cellStyle name="40% - Accent1 4 2 2 5 2 2 2" xfId="55148" xr:uid="{00000000-0005-0000-0000-00008A390000}"/>
    <cellStyle name="40% - Accent1 4 2 2 5 2 3" xfId="40649" xr:uid="{00000000-0005-0000-0000-00008B390000}"/>
    <cellStyle name="40% - Accent1 4 2 2 5 3" xfId="18894" xr:uid="{00000000-0005-0000-0000-00008C390000}"/>
    <cellStyle name="40% - Accent1 4 2 2 5 3 2" xfId="47900" xr:uid="{00000000-0005-0000-0000-00008D390000}"/>
    <cellStyle name="40% - Accent1 4 2 2 5 4" xfId="33401" xr:uid="{00000000-0005-0000-0000-00008E390000}"/>
    <cellStyle name="40% - Accent1 4 2 2 6" xfId="7440" xr:uid="{00000000-0005-0000-0000-00008F390000}"/>
    <cellStyle name="40% - Accent1 4 2 2 6 2" xfId="14712" xr:uid="{00000000-0005-0000-0000-000090390000}"/>
    <cellStyle name="40% - Accent1 4 2 2 6 2 2" xfId="29246" xr:uid="{00000000-0005-0000-0000-000091390000}"/>
    <cellStyle name="40% - Accent1 4 2 2 6 2 2 2" xfId="58252" xr:uid="{00000000-0005-0000-0000-000092390000}"/>
    <cellStyle name="40% - Accent1 4 2 2 6 2 3" xfId="43753" xr:uid="{00000000-0005-0000-0000-000093390000}"/>
    <cellStyle name="40% - Accent1 4 2 2 6 3" xfId="21998" xr:uid="{00000000-0005-0000-0000-000094390000}"/>
    <cellStyle name="40% - Accent1 4 2 2 6 3 2" xfId="51004" xr:uid="{00000000-0005-0000-0000-000095390000}"/>
    <cellStyle name="40% - Accent1 4 2 2 6 4" xfId="36505" xr:uid="{00000000-0005-0000-0000-000096390000}"/>
    <cellStyle name="40% - Accent1 4 2 2 7" xfId="8504" xr:uid="{00000000-0005-0000-0000-000097390000}"/>
    <cellStyle name="40% - Accent1 4 2 2 7 2" xfId="23038" xr:uid="{00000000-0005-0000-0000-000098390000}"/>
    <cellStyle name="40% - Accent1 4 2 2 7 2 2" xfId="52044" xr:uid="{00000000-0005-0000-0000-000099390000}"/>
    <cellStyle name="40% - Accent1 4 2 2 7 3" xfId="37545" xr:uid="{00000000-0005-0000-0000-00009A390000}"/>
    <cellStyle name="40% - Accent1 4 2 2 8" xfId="15790" xr:uid="{00000000-0005-0000-0000-00009B390000}"/>
    <cellStyle name="40% - Accent1 4 2 2 8 2" xfId="44796" xr:uid="{00000000-0005-0000-0000-00009C390000}"/>
    <cellStyle name="40% - Accent1 4 2 2 9" xfId="30297" xr:uid="{00000000-0005-0000-0000-00009D390000}"/>
    <cellStyle name="40% - Accent1 4 2 3" xfId="1420" xr:uid="{00000000-0005-0000-0000-00009E390000}"/>
    <cellStyle name="40% - Accent1 4 2 3 2" xfId="2478" xr:uid="{00000000-0005-0000-0000-00009F390000}"/>
    <cellStyle name="40% - Accent1 4 2 3 2 2" xfId="5582" xr:uid="{00000000-0005-0000-0000-0000A0390000}"/>
    <cellStyle name="40% - Accent1 4 2 3 2 2 2" xfId="12854" xr:uid="{00000000-0005-0000-0000-0000A1390000}"/>
    <cellStyle name="40% - Accent1 4 2 3 2 2 2 2" xfId="27388" xr:uid="{00000000-0005-0000-0000-0000A2390000}"/>
    <cellStyle name="40% - Accent1 4 2 3 2 2 2 2 2" xfId="56394" xr:uid="{00000000-0005-0000-0000-0000A3390000}"/>
    <cellStyle name="40% - Accent1 4 2 3 2 2 2 3" xfId="41895" xr:uid="{00000000-0005-0000-0000-0000A4390000}"/>
    <cellStyle name="40% - Accent1 4 2 3 2 2 3" xfId="20140" xr:uid="{00000000-0005-0000-0000-0000A5390000}"/>
    <cellStyle name="40% - Accent1 4 2 3 2 2 3 2" xfId="49146" xr:uid="{00000000-0005-0000-0000-0000A6390000}"/>
    <cellStyle name="40% - Accent1 4 2 3 2 2 4" xfId="34647" xr:uid="{00000000-0005-0000-0000-0000A7390000}"/>
    <cellStyle name="40% - Accent1 4 2 3 2 3" xfId="9750" xr:uid="{00000000-0005-0000-0000-0000A8390000}"/>
    <cellStyle name="40% - Accent1 4 2 3 2 3 2" xfId="24284" xr:uid="{00000000-0005-0000-0000-0000A9390000}"/>
    <cellStyle name="40% - Accent1 4 2 3 2 3 2 2" xfId="53290" xr:uid="{00000000-0005-0000-0000-0000AA390000}"/>
    <cellStyle name="40% - Accent1 4 2 3 2 3 3" xfId="38791" xr:uid="{00000000-0005-0000-0000-0000AB390000}"/>
    <cellStyle name="40% - Accent1 4 2 3 2 4" xfId="17036" xr:uid="{00000000-0005-0000-0000-0000AC390000}"/>
    <cellStyle name="40% - Accent1 4 2 3 2 4 2" xfId="46042" xr:uid="{00000000-0005-0000-0000-0000AD390000}"/>
    <cellStyle name="40% - Accent1 4 2 3 2 5" xfId="31543" xr:uid="{00000000-0005-0000-0000-0000AE390000}"/>
    <cellStyle name="40% - Accent1 4 2 3 3" xfId="3510" xr:uid="{00000000-0005-0000-0000-0000AF390000}"/>
    <cellStyle name="40% - Accent1 4 2 3 3 2" xfId="6614" xr:uid="{00000000-0005-0000-0000-0000B0390000}"/>
    <cellStyle name="40% - Accent1 4 2 3 3 2 2" xfId="13886" xr:uid="{00000000-0005-0000-0000-0000B1390000}"/>
    <cellStyle name="40% - Accent1 4 2 3 3 2 2 2" xfId="28420" xr:uid="{00000000-0005-0000-0000-0000B2390000}"/>
    <cellStyle name="40% - Accent1 4 2 3 3 2 2 2 2" xfId="57426" xr:uid="{00000000-0005-0000-0000-0000B3390000}"/>
    <cellStyle name="40% - Accent1 4 2 3 3 2 2 3" xfId="42927" xr:uid="{00000000-0005-0000-0000-0000B4390000}"/>
    <cellStyle name="40% - Accent1 4 2 3 3 2 3" xfId="21172" xr:uid="{00000000-0005-0000-0000-0000B5390000}"/>
    <cellStyle name="40% - Accent1 4 2 3 3 2 3 2" xfId="50178" xr:uid="{00000000-0005-0000-0000-0000B6390000}"/>
    <cellStyle name="40% - Accent1 4 2 3 3 2 4" xfId="35679" xr:uid="{00000000-0005-0000-0000-0000B7390000}"/>
    <cellStyle name="40% - Accent1 4 2 3 3 3" xfId="10782" xr:uid="{00000000-0005-0000-0000-0000B8390000}"/>
    <cellStyle name="40% - Accent1 4 2 3 3 3 2" xfId="25316" xr:uid="{00000000-0005-0000-0000-0000B9390000}"/>
    <cellStyle name="40% - Accent1 4 2 3 3 3 2 2" xfId="54322" xr:uid="{00000000-0005-0000-0000-0000BA390000}"/>
    <cellStyle name="40% - Accent1 4 2 3 3 3 3" xfId="39823" xr:uid="{00000000-0005-0000-0000-0000BB390000}"/>
    <cellStyle name="40% - Accent1 4 2 3 3 4" xfId="18068" xr:uid="{00000000-0005-0000-0000-0000BC390000}"/>
    <cellStyle name="40% - Accent1 4 2 3 3 4 2" xfId="47074" xr:uid="{00000000-0005-0000-0000-0000BD390000}"/>
    <cellStyle name="40% - Accent1 4 2 3 3 5" xfId="32575" xr:uid="{00000000-0005-0000-0000-0000BE390000}"/>
    <cellStyle name="40% - Accent1 4 2 3 4" xfId="4542" xr:uid="{00000000-0005-0000-0000-0000BF390000}"/>
    <cellStyle name="40% - Accent1 4 2 3 4 2" xfId="11814" xr:uid="{00000000-0005-0000-0000-0000C0390000}"/>
    <cellStyle name="40% - Accent1 4 2 3 4 2 2" xfId="26348" xr:uid="{00000000-0005-0000-0000-0000C1390000}"/>
    <cellStyle name="40% - Accent1 4 2 3 4 2 2 2" xfId="55354" xr:uid="{00000000-0005-0000-0000-0000C2390000}"/>
    <cellStyle name="40% - Accent1 4 2 3 4 2 3" xfId="40855" xr:uid="{00000000-0005-0000-0000-0000C3390000}"/>
    <cellStyle name="40% - Accent1 4 2 3 4 3" xfId="19100" xr:uid="{00000000-0005-0000-0000-0000C4390000}"/>
    <cellStyle name="40% - Accent1 4 2 3 4 3 2" xfId="48106" xr:uid="{00000000-0005-0000-0000-0000C5390000}"/>
    <cellStyle name="40% - Accent1 4 2 3 4 4" xfId="33607" xr:uid="{00000000-0005-0000-0000-0000C6390000}"/>
    <cellStyle name="40% - Accent1 4 2 3 5" xfId="7646" xr:uid="{00000000-0005-0000-0000-0000C7390000}"/>
    <cellStyle name="40% - Accent1 4 2 3 5 2" xfId="14918" xr:uid="{00000000-0005-0000-0000-0000C8390000}"/>
    <cellStyle name="40% - Accent1 4 2 3 5 2 2" xfId="29452" xr:uid="{00000000-0005-0000-0000-0000C9390000}"/>
    <cellStyle name="40% - Accent1 4 2 3 5 2 2 2" xfId="58458" xr:uid="{00000000-0005-0000-0000-0000CA390000}"/>
    <cellStyle name="40% - Accent1 4 2 3 5 2 3" xfId="43959" xr:uid="{00000000-0005-0000-0000-0000CB390000}"/>
    <cellStyle name="40% - Accent1 4 2 3 5 3" xfId="22204" xr:uid="{00000000-0005-0000-0000-0000CC390000}"/>
    <cellStyle name="40% - Accent1 4 2 3 5 3 2" xfId="51210" xr:uid="{00000000-0005-0000-0000-0000CD390000}"/>
    <cellStyle name="40% - Accent1 4 2 3 5 4" xfId="36711" xr:uid="{00000000-0005-0000-0000-0000CE390000}"/>
    <cellStyle name="40% - Accent1 4 2 3 6" xfId="8710" xr:uid="{00000000-0005-0000-0000-0000CF390000}"/>
    <cellStyle name="40% - Accent1 4 2 3 6 2" xfId="23244" xr:uid="{00000000-0005-0000-0000-0000D0390000}"/>
    <cellStyle name="40% - Accent1 4 2 3 6 2 2" xfId="52250" xr:uid="{00000000-0005-0000-0000-0000D1390000}"/>
    <cellStyle name="40% - Accent1 4 2 3 6 3" xfId="37751" xr:uid="{00000000-0005-0000-0000-0000D2390000}"/>
    <cellStyle name="40% - Accent1 4 2 3 7" xfId="15996" xr:uid="{00000000-0005-0000-0000-0000D3390000}"/>
    <cellStyle name="40% - Accent1 4 2 3 7 2" xfId="45002" xr:uid="{00000000-0005-0000-0000-0000D4390000}"/>
    <cellStyle name="40% - Accent1 4 2 3 8" xfId="30503" xr:uid="{00000000-0005-0000-0000-0000D5390000}"/>
    <cellStyle name="40% - Accent1 4 2 4" xfId="1966" xr:uid="{00000000-0005-0000-0000-0000D6390000}"/>
    <cellStyle name="40% - Accent1 4 2 4 2" xfId="5070" xr:uid="{00000000-0005-0000-0000-0000D7390000}"/>
    <cellStyle name="40% - Accent1 4 2 4 2 2" xfId="12342" xr:uid="{00000000-0005-0000-0000-0000D8390000}"/>
    <cellStyle name="40% - Accent1 4 2 4 2 2 2" xfId="26876" xr:uid="{00000000-0005-0000-0000-0000D9390000}"/>
    <cellStyle name="40% - Accent1 4 2 4 2 2 2 2" xfId="55882" xr:uid="{00000000-0005-0000-0000-0000DA390000}"/>
    <cellStyle name="40% - Accent1 4 2 4 2 2 3" xfId="41383" xr:uid="{00000000-0005-0000-0000-0000DB390000}"/>
    <cellStyle name="40% - Accent1 4 2 4 2 3" xfId="19628" xr:uid="{00000000-0005-0000-0000-0000DC390000}"/>
    <cellStyle name="40% - Accent1 4 2 4 2 3 2" xfId="48634" xr:uid="{00000000-0005-0000-0000-0000DD390000}"/>
    <cellStyle name="40% - Accent1 4 2 4 2 4" xfId="34135" xr:uid="{00000000-0005-0000-0000-0000DE390000}"/>
    <cellStyle name="40% - Accent1 4 2 4 3" xfId="9238" xr:uid="{00000000-0005-0000-0000-0000DF390000}"/>
    <cellStyle name="40% - Accent1 4 2 4 3 2" xfId="23772" xr:uid="{00000000-0005-0000-0000-0000E0390000}"/>
    <cellStyle name="40% - Accent1 4 2 4 3 2 2" xfId="52778" xr:uid="{00000000-0005-0000-0000-0000E1390000}"/>
    <cellStyle name="40% - Accent1 4 2 4 3 3" xfId="38279" xr:uid="{00000000-0005-0000-0000-0000E2390000}"/>
    <cellStyle name="40% - Accent1 4 2 4 4" xfId="16524" xr:uid="{00000000-0005-0000-0000-0000E3390000}"/>
    <cellStyle name="40% - Accent1 4 2 4 4 2" xfId="45530" xr:uid="{00000000-0005-0000-0000-0000E4390000}"/>
    <cellStyle name="40% - Accent1 4 2 4 5" xfId="31031" xr:uid="{00000000-0005-0000-0000-0000E5390000}"/>
    <cellStyle name="40% - Accent1 4 2 5" xfId="2998" xr:uid="{00000000-0005-0000-0000-0000E6390000}"/>
    <cellStyle name="40% - Accent1 4 2 5 2" xfId="6102" xr:uid="{00000000-0005-0000-0000-0000E7390000}"/>
    <cellStyle name="40% - Accent1 4 2 5 2 2" xfId="13374" xr:uid="{00000000-0005-0000-0000-0000E8390000}"/>
    <cellStyle name="40% - Accent1 4 2 5 2 2 2" xfId="27908" xr:uid="{00000000-0005-0000-0000-0000E9390000}"/>
    <cellStyle name="40% - Accent1 4 2 5 2 2 2 2" xfId="56914" xr:uid="{00000000-0005-0000-0000-0000EA390000}"/>
    <cellStyle name="40% - Accent1 4 2 5 2 2 3" xfId="42415" xr:uid="{00000000-0005-0000-0000-0000EB390000}"/>
    <cellStyle name="40% - Accent1 4 2 5 2 3" xfId="20660" xr:uid="{00000000-0005-0000-0000-0000EC390000}"/>
    <cellStyle name="40% - Accent1 4 2 5 2 3 2" xfId="49666" xr:uid="{00000000-0005-0000-0000-0000ED390000}"/>
    <cellStyle name="40% - Accent1 4 2 5 2 4" xfId="35167" xr:uid="{00000000-0005-0000-0000-0000EE390000}"/>
    <cellStyle name="40% - Accent1 4 2 5 3" xfId="10270" xr:uid="{00000000-0005-0000-0000-0000EF390000}"/>
    <cellStyle name="40% - Accent1 4 2 5 3 2" xfId="24804" xr:uid="{00000000-0005-0000-0000-0000F0390000}"/>
    <cellStyle name="40% - Accent1 4 2 5 3 2 2" xfId="53810" xr:uid="{00000000-0005-0000-0000-0000F1390000}"/>
    <cellStyle name="40% - Accent1 4 2 5 3 3" xfId="39311" xr:uid="{00000000-0005-0000-0000-0000F2390000}"/>
    <cellStyle name="40% - Accent1 4 2 5 4" xfId="17556" xr:uid="{00000000-0005-0000-0000-0000F3390000}"/>
    <cellStyle name="40% - Accent1 4 2 5 4 2" xfId="46562" xr:uid="{00000000-0005-0000-0000-0000F4390000}"/>
    <cellStyle name="40% - Accent1 4 2 5 5" xfId="32063" xr:uid="{00000000-0005-0000-0000-0000F5390000}"/>
    <cellStyle name="40% - Accent1 4 2 6" xfId="4030" xr:uid="{00000000-0005-0000-0000-0000F6390000}"/>
    <cellStyle name="40% - Accent1 4 2 6 2" xfId="11302" xr:uid="{00000000-0005-0000-0000-0000F7390000}"/>
    <cellStyle name="40% - Accent1 4 2 6 2 2" xfId="25836" xr:uid="{00000000-0005-0000-0000-0000F8390000}"/>
    <cellStyle name="40% - Accent1 4 2 6 2 2 2" xfId="54842" xr:uid="{00000000-0005-0000-0000-0000F9390000}"/>
    <cellStyle name="40% - Accent1 4 2 6 2 3" xfId="40343" xr:uid="{00000000-0005-0000-0000-0000FA390000}"/>
    <cellStyle name="40% - Accent1 4 2 6 3" xfId="18588" xr:uid="{00000000-0005-0000-0000-0000FB390000}"/>
    <cellStyle name="40% - Accent1 4 2 6 3 2" xfId="47594" xr:uid="{00000000-0005-0000-0000-0000FC390000}"/>
    <cellStyle name="40% - Accent1 4 2 6 4" xfId="33095" xr:uid="{00000000-0005-0000-0000-0000FD390000}"/>
    <cellStyle name="40% - Accent1 4 2 7" xfId="7134" xr:uid="{00000000-0005-0000-0000-0000FE390000}"/>
    <cellStyle name="40% - Accent1 4 2 7 2" xfId="14406" xr:uid="{00000000-0005-0000-0000-0000FF390000}"/>
    <cellStyle name="40% - Accent1 4 2 7 2 2" xfId="28940" xr:uid="{00000000-0005-0000-0000-0000003A0000}"/>
    <cellStyle name="40% - Accent1 4 2 7 2 2 2" xfId="57946" xr:uid="{00000000-0005-0000-0000-0000013A0000}"/>
    <cellStyle name="40% - Accent1 4 2 7 2 3" xfId="43447" xr:uid="{00000000-0005-0000-0000-0000023A0000}"/>
    <cellStyle name="40% - Accent1 4 2 7 3" xfId="21692" xr:uid="{00000000-0005-0000-0000-0000033A0000}"/>
    <cellStyle name="40% - Accent1 4 2 7 3 2" xfId="50698" xr:uid="{00000000-0005-0000-0000-0000043A0000}"/>
    <cellStyle name="40% - Accent1 4 2 7 4" xfId="36199" xr:uid="{00000000-0005-0000-0000-0000053A0000}"/>
    <cellStyle name="40% - Accent1 4 2 8" xfId="8198" xr:uid="{00000000-0005-0000-0000-0000063A0000}"/>
    <cellStyle name="40% - Accent1 4 2 8 2" xfId="22732" xr:uid="{00000000-0005-0000-0000-0000073A0000}"/>
    <cellStyle name="40% - Accent1 4 2 8 2 2" xfId="51738" xr:uid="{00000000-0005-0000-0000-0000083A0000}"/>
    <cellStyle name="40% - Accent1 4 2 8 3" xfId="37239" xr:uid="{00000000-0005-0000-0000-0000093A0000}"/>
    <cellStyle name="40% - Accent1 4 2 9" xfId="15484" xr:uid="{00000000-0005-0000-0000-00000A3A0000}"/>
    <cellStyle name="40% - Accent1 4 2 9 2" xfId="44490" xr:uid="{00000000-0005-0000-0000-00000B3A0000}"/>
    <cellStyle name="40% - Accent1 4 3" xfId="1124" xr:uid="{00000000-0005-0000-0000-00000C3A0000}"/>
    <cellStyle name="40% - Accent1 4 3 2" xfId="1622" xr:uid="{00000000-0005-0000-0000-00000D3A0000}"/>
    <cellStyle name="40% - Accent1 4 3 2 2" xfId="2681" xr:uid="{00000000-0005-0000-0000-00000E3A0000}"/>
    <cellStyle name="40% - Accent1 4 3 2 2 2" xfId="5785" xr:uid="{00000000-0005-0000-0000-00000F3A0000}"/>
    <cellStyle name="40% - Accent1 4 3 2 2 2 2" xfId="13057" xr:uid="{00000000-0005-0000-0000-0000103A0000}"/>
    <cellStyle name="40% - Accent1 4 3 2 2 2 2 2" xfId="27591" xr:uid="{00000000-0005-0000-0000-0000113A0000}"/>
    <cellStyle name="40% - Accent1 4 3 2 2 2 2 2 2" xfId="56597" xr:uid="{00000000-0005-0000-0000-0000123A0000}"/>
    <cellStyle name="40% - Accent1 4 3 2 2 2 2 3" xfId="42098" xr:uid="{00000000-0005-0000-0000-0000133A0000}"/>
    <cellStyle name="40% - Accent1 4 3 2 2 2 3" xfId="20343" xr:uid="{00000000-0005-0000-0000-0000143A0000}"/>
    <cellStyle name="40% - Accent1 4 3 2 2 2 3 2" xfId="49349" xr:uid="{00000000-0005-0000-0000-0000153A0000}"/>
    <cellStyle name="40% - Accent1 4 3 2 2 2 4" xfId="34850" xr:uid="{00000000-0005-0000-0000-0000163A0000}"/>
    <cellStyle name="40% - Accent1 4 3 2 2 3" xfId="9953" xr:uid="{00000000-0005-0000-0000-0000173A0000}"/>
    <cellStyle name="40% - Accent1 4 3 2 2 3 2" xfId="24487" xr:uid="{00000000-0005-0000-0000-0000183A0000}"/>
    <cellStyle name="40% - Accent1 4 3 2 2 3 2 2" xfId="53493" xr:uid="{00000000-0005-0000-0000-0000193A0000}"/>
    <cellStyle name="40% - Accent1 4 3 2 2 3 3" xfId="38994" xr:uid="{00000000-0005-0000-0000-00001A3A0000}"/>
    <cellStyle name="40% - Accent1 4 3 2 2 4" xfId="17239" xr:uid="{00000000-0005-0000-0000-00001B3A0000}"/>
    <cellStyle name="40% - Accent1 4 3 2 2 4 2" xfId="46245" xr:uid="{00000000-0005-0000-0000-00001C3A0000}"/>
    <cellStyle name="40% - Accent1 4 3 2 2 5" xfId="31746" xr:uid="{00000000-0005-0000-0000-00001D3A0000}"/>
    <cellStyle name="40% - Accent1 4 3 2 3" xfId="3713" xr:uid="{00000000-0005-0000-0000-00001E3A0000}"/>
    <cellStyle name="40% - Accent1 4 3 2 3 2" xfId="6817" xr:uid="{00000000-0005-0000-0000-00001F3A0000}"/>
    <cellStyle name="40% - Accent1 4 3 2 3 2 2" xfId="14089" xr:uid="{00000000-0005-0000-0000-0000203A0000}"/>
    <cellStyle name="40% - Accent1 4 3 2 3 2 2 2" xfId="28623" xr:uid="{00000000-0005-0000-0000-0000213A0000}"/>
    <cellStyle name="40% - Accent1 4 3 2 3 2 2 2 2" xfId="57629" xr:uid="{00000000-0005-0000-0000-0000223A0000}"/>
    <cellStyle name="40% - Accent1 4 3 2 3 2 2 3" xfId="43130" xr:uid="{00000000-0005-0000-0000-0000233A0000}"/>
    <cellStyle name="40% - Accent1 4 3 2 3 2 3" xfId="21375" xr:uid="{00000000-0005-0000-0000-0000243A0000}"/>
    <cellStyle name="40% - Accent1 4 3 2 3 2 3 2" xfId="50381" xr:uid="{00000000-0005-0000-0000-0000253A0000}"/>
    <cellStyle name="40% - Accent1 4 3 2 3 2 4" xfId="35882" xr:uid="{00000000-0005-0000-0000-0000263A0000}"/>
    <cellStyle name="40% - Accent1 4 3 2 3 3" xfId="10985" xr:uid="{00000000-0005-0000-0000-0000273A0000}"/>
    <cellStyle name="40% - Accent1 4 3 2 3 3 2" xfId="25519" xr:uid="{00000000-0005-0000-0000-0000283A0000}"/>
    <cellStyle name="40% - Accent1 4 3 2 3 3 2 2" xfId="54525" xr:uid="{00000000-0005-0000-0000-0000293A0000}"/>
    <cellStyle name="40% - Accent1 4 3 2 3 3 3" xfId="40026" xr:uid="{00000000-0005-0000-0000-00002A3A0000}"/>
    <cellStyle name="40% - Accent1 4 3 2 3 4" xfId="18271" xr:uid="{00000000-0005-0000-0000-00002B3A0000}"/>
    <cellStyle name="40% - Accent1 4 3 2 3 4 2" xfId="47277" xr:uid="{00000000-0005-0000-0000-00002C3A0000}"/>
    <cellStyle name="40% - Accent1 4 3 2 3 5" xfId="32778" xr:uid="{00000000-0005-0000-0000-00002D3A0000}"/>
    <cellStyle name="40% - Accent1 4 3 2 4" xfId="4745" xr:uid="{00000000-0005-0000-0000-00002E3A0000}"/>
    <cellStyle name="40% - Accent1 4 3 2 4 2" xfId="12017" xr:uid="{00000000-0005-0000-0000-00002F3A0000}"/>
    <cellStyle name="40% - Accent1 4 3 2 4 2 2" xfId="26551" xr:uid="{00000000-0005-0000-0000-0000303A0000}"/>
    <cellStyle name="40% - Accent1 4 3 2 4 2 2 2" xfId="55557" xr:uid="{00000000-0005-0000-0000-0000313A0000}"/>
    <cellStyle name="40% - Accent1 4 3 2 4 2 3" xfId="41058" xr:uid="{00000000-0005-0000-0000-0000323A0000}"/>
    <cellStyle name="40% - Accent1 4 3 2 4 3" xfId="19303" xr:uid="{00000000-0005-0000-0000-0000333A0000}"/>
    <cellStyle name="40% - Accent1 4 3 2 4 3 2" xfId="48309" xr:uid="{00000000-0005-0000-0000-0000343A0000}"/>
    <cellStyle name="40% - Accent1 4 3 2 4 4" xfId="33810" xr:uid="{00000000-0005-0000-0000-0000353A0000}"/>
    <cellStyle name="40% - Accent1 4 3 2 5" xfId="7849" xr:uid="{00000000-0005-0000-0000-0000363A0000}"/>
    <cellStyle name="40% - Accent1 4 3 2 5 2" xfId="15121" xr:uid="{00000000-0005-0000-0000-0000373A0000}"/>
    <cellStyle name="40% - Accent1 4 3 2 5 2 2" xfId="29655" xr:uid="{00000000-0005-0000-0000-0000383A0000}"/>
    <cellStyle name="40% - Accent1 4 3 2 5 2 2 2" xfId="58661" xr:uid="{00000000-0005-0000-0000-0000393A0000}"/>
    <cellStyle name="40% - Accent1 4 3 2 5 2 3" xfId="44162" xr:uid="{00000000-0005-0000-0000-00003A3A0000}"/>
    <cellStyle name="40% - Accent1 4 3 2 5 3" xfId="22407" xr:uid="{00000000-0005-0000-0000-00003B3A0000}"/>
    <cellStyle name="40% - Accent1 4 3 2 5 3 2" xfId="51413" xr:uid="{00000000-0005-0000-0000-00003C3A0000}"/>
    <cellStyle name="40% - Accent1 4 3 2 5 4" xfId="36914" xr:uid="{00000000-0005-0000-0000-00003D3A0000}"/>
    <cellStyle name="40% - Accent1 4 3 2 6" xfId="8913" xr:uid="{00000000-0005-0000-0000-00003E3A0000}"/>
    <cellStyle name="40% - Accent1 4 3 2 6 2" xfId="23447" xr:uid="{00000000-0005-0000-0000-00003F3A0000}"/>
    <cellStyle name="40% - Accent1 4 3 2 6 2 2" xfId="52453" xr:uid="{00000000-0005-0000-0000-0000403A0000}"/>
    <cellStyle name="40% - Accent1 4 3 2 6 3" xfId="37954" xr:uid="{00000000-0005-0000-0000-0000413A0000}"/>
    <cellStyle name="40% - Accent1 4 3 2 7" xfId="16199" xr:uid="{00000000-0005-0000-0000-0000423A0000}"/>
    <cellStyle name="40% - Accent1 4 3 2 7 2" xfId="45205" xr:uid="{00000000-0005-0000-0000-0000433A0000}"/>
    <cellStyle name="40% - Accent1 4 3 2 8" xfId="30706" xr:uid="{00000000-0005-0000-0000-0000443A0000}"/>
    <cellStyle name="40% - Accent1 4 3 3" xfId="2169" xr:uid="{00000000-0005-0000-0000-0000453A0000}"/>
    <cellStyle name="40% - Accent1 4 3 3 2" xfId="5273" xr:uid="{00000000-0005-0000-0000-0000463A0000}"/>
    <cellStyle name="40% - Accent1 4 3 3 2 2" xfId="12545" xr:uid="{00000000-0005-0000-0000-0000473A0000}"/>
    <cellStyle name="40% - Accent1 4 3 3 2 2 2" xfId="27079" xr:uid="{00000000-0005-0000-0000-0000483A0000}"/>
    <cellStyle name="40% - Accent1 4 3 3 2 2 2 2" xfId="56085" xr:uid="{00000000-0005-0000-0000-0000493A0000}"/>
    <cellStyle name="40% - Accent1 4 3 3 2 2 3" xfId="41586" xr:uid="{00000000-0005-0000-0000-00004A3A0000}"/>
    <cellStyle name="40% - Accent1 4 3 3 2 3" xfId="19831" xr:uid="{00000000-0005-0000-0000-00004B3A0000}"/>
    <cellStyle name="40% - Accent1 4 3 3 2 3 2" xfId="48837" xr:uid="{00000000-0005-0000-0000-00004C3A0000}"/>
    <cellStyle name="40% - Accent1 4 3 3 2 4" xfId="34338" xr:uid="{00000000-0005-0000-0000-00004D3A0000}"/>
    <cellStyle name="40% - Accent1 4 3 3 3" xfId="9441" xr:uid="{00000000-0005-0000-0000-00004E3A0000}"/>
    <cellStyle name="40% - Accent1 4 3 3 3 2" xfId="23975" xr:uid="{00000000-0005-0000-0000-00004F3A0000}"/>
    <cellStyle name="40% - Accent1 4 3 3 3 2 2" xfId="52981" xr:uid="{00000000-0005-0000-0000-0000503A0000}"/>
    <cellStyle name="40% - Accent1 4 3 3 3 3" xfId="38482" xr:uid="{00000000-0005-0000-0000-0000513A0000}"/>
    <cellStyle name="40% - Accent1 4 3 3 4" xfId="16727" xr:uid="{00000000-0005-0000-0000-0000523A0000}"/>
    <cellStyle name="40% - Accent1 4 3 3 4 2" xfId="45733" xr:uid="{00000000-0005-0000-0000-0000533A0000}"/>
    <cellStyle name="40% - Accent1 4 3 3 5" xfId="31234" xr:uid="{00000000-0005-0000-0000-0000543A0000}"/>
    <cellStyle name="40% - Accent1 4 3 4" xfId="3201" xr:uid="{00000000-0005-0000-0000-0000553A0000}"/>
    <cellStyle name="40% - Accent1 4 3 4 2" xfId="6305" xr:uid="{00000000-0005-0000-0000-0000563A0000}"/>
    <cellStyle name="40% - Accent1 4 3 4 2 2" xfId="13577" xr:uid="{00000000-0005-0000-0000-0000573A0000}"/>
    <cellStyle name="40% - Accent1 4 3 4 2 2 2" xfId="28111" xr:uid="{00000000-0005-0000-0000-0000583A0000}"/>
    <cellStyle name="40% - Accent1 4 3 4 2 2 2 2" xfId="57117" xr:uid="{00000000-0005-0000-0000-0000593A0000}"/>
    <cellStyle name="40% - Accent1 4 3 4 2 2 3" xfId="42618" xr:uid="{00000000-0005-0000-0000-00005A3A0000}"/>
    <cellStyle name="40% - Accent1 4 3 4 2 3" xfId="20863" xr:uid="{00000000-0005-0000-0000-00005B3A0000}"/>
    <cellStyle name="40% - Accent1 4 3 4 2 3 2" xfId="49869" xr:uid="{00000000-0005-0000-0000-00005C3A0000}"/>
    <cellStyle name="40% - Accent1 4 3 4 2 4" xfId="35370" xr:uid="{00000000-0005-0000-0000-00005D3A0000}"/>
    <cellStyle name="40% - Accent1 4 3 4 3" xfId="10473" xr:uid="{00000000-0005-0000-0000-00005E3A0000}"/>
    <cellStyle name="40% - Accent1 4 3 4 3 2" xfId="25007" xr:uid="{00000000-0005-0000-0000-00005F3A0000}"/>
    <cellStyle name="40% - Accent1 4 3 4 3 2 2" xfId="54013" xr:uid="{00000000-0005-0000-0000-0000603A0000}"/>
    <cellStyle name="40% - Accent1 4 3 4 3 3" xfId="39514" xr:uid="{00000000-0005-0000-0000-0000613A0000}"/>
    <cellStyle name="40% - Accent1 4 3 4 4" xfId="17759" xr:uid="{00000000-0005-0000-0000-0000623A0000}"/>
    <cellStyle name="40% - Accent1 4 3 4 4 2" xfId="46765" xr:uid="{00000000-0005-0000-0000-0000633A0000}"/>
    <cellStyle name="40% - Accent1 4 3 4 5" xfId="32266" xr:uid="{00000000-0005-0000-0000-0000643A0000}"/>
    <cellStyle name="40% - Accent1 4 3 5" xfId="4233" xr:uid="{00000000-0005-0000-0000-0000653A0000}"/>
    <cellStyle name="40% - Accent1 4 3 5 2" xfId="11505" xr:uid="{00000000-0005-0000-0000-0000663A0000}"/>
    <cellStyle name="40% - Accent1 4 3 5 2 2" xfId="26039" xr:uid="{00000000-0005-0000-0000-0000673A0000}"/>
    <cellStyle name="40% - Accent1 4 3 5 2 2 2" xfId="55045" xr:uid="{00000000-0005-0000-0000-0000683A0000}"/>
    <cellStyle name="40% - Accent1 4 3 5 2 3" xfId="40546" xr:uid="{00000000-0005-0000-0000-0000693A0000}"/>
    <cellStyle name="40% - Accent1 4 3 5 3" xfId="18791" xr:uid="{00000000-0005-0000-0000-00006A3A0000}"/>
    <cellStyle name="40% - Accent1 4 3 5 3 2" xfId="47797" xr:uid="{00000000-0005-0000-0000-00006B3A0000}"/>
    <cellStyle name="40% - Accent1 4 3 5 4" xfId="33298" xr:uid="{00000000-0005-0000-0000-00006C3A0000}"/>
    <cellStyle name="40% - Accent1 4 3 6" xfId="7337" xr:uid="{00000000-0005-0000-0000-00006D3A0000}"/>
    <cellStyle name="40% - Accent1 4 3 6 2" xfId="14609" xr:uid="{00000000-0005-0000-0000-00006E3A0000}"/>
    <cellStyle name="40% - Accent1 4 3 6 2 2" xfId="29143" xr:uid="{00000000-0005-0000-0000-00006F3A0000}"/>
    <cellStyle name="40% - Accent1 4 3 6 2 2 2" xfId="58149" xr:uid="{00000000-0005-0000-0000-0000703A0000}"/>
    <cellStyle name="40% - Accent1 4 3 6 2 3" xfId="43650" xr:uid="{00000000-0005-0000-0000-0000713A0000}"/>
    <cellStyle name="40% - Accent1 4 3 6 3" xfId="21895" xr:uid="{00000000-0005-0000-0000-0000723A0000}"/>
    <cellStyle name="40% - Accent1 4 3 6 3 2" xfId="50901" xr:uid="{00000000-0005-0000-0000-0000733A0000}"/>
    <cellStyle name="40% - Accent1 4 3 6 4" xfId="36402" xr:uid="{00000000-0005-0000-0000-0000743A0000}"/>
    <cellStyle name="40% - Accent1 4 3 7" xfId="8401" xr:uid="{00000000-0005-0000-0000-0000753A0000}"/>
    <cellStyle name="40% - Accent1 4 3 7 2" xfId="22935" xr:uid="{00000000-0005-0000-0000-0000763A0000}"/>
    <cellStyle name="40% - Accent1 4 3 7 2 2" xfId="51941" xr:uid="{00000000-0005-0000-0000-0000773A0000}"/>
    <cellStyle name="40% - Accent1 4 3 7 3" xfId="37442" xr:uid="{00000000-0005-0000-0000-0000783A0000}"/>
    <cellStyle name="40% - Accent1 4 3 8" xfId="15687" xr:uid="{00000000-0005-0000-0000-0000793A0000}"/>
    <cellStyle name="40% - Accent1 4 3 8 2" xfId="44693" xr:uid="{00000000-0005-0000-0000-00007A3A0000}"/>
    <cellStyle name="40% - Accent1 4 3 9" xfId="30194" xr:uid="{00000000-0005-0000-0000-00007B3A0000}"/>
    <cellStyle name="40% - Accent1 4 4" xfId="1033" xr:uid="{00000000-0005-0000-0000-00007C3A0000}"/>
    <cellStyle name="40% - Accent1 4 4 2" xfId="1523" xr:uid="{00000000-0005-0000-0000-00007D3A0000}"/>
    <cellStyle name="40% - Accent1 4 4 2 2" xfId="2581" xr:uid="{00000000-0005-0000-0000-00007E3A0000}"/>
    <cellStyle name="40% - Accent1 4 4 2 2 2" xfId="5685" xr:uid="{00000000-0005-0000-0000-00007F3A0000}"/>
    <cellStyle name="40% - Accent1 4 4 2 2 2 2" xfId="12957" xr:uid="{00000000-0005-0000-0000-0000803A0000}"/>
    <cellStyle name="40% - Accent1 4 4 2 2 2 2 2" xfId="27491" xr:uid="{00000000-0005-0000-0000-0000813A0000}"/>
    <cellStyle name="40% - Accent1 4 4 2 2 2 2 2 2" xfId="56497" xr:uid="{00000000-0005-0000-0000-0000823A0000}"/>
    <cellStyle name="40% - Accent1 4 4 2 2 2 2 3" xfId="41998" xr:uid="{00000000-0005-0000-0000-0000833A0000}"/>
    <cellStyle name="40% - Accent1 4 4 2 2 2 3" xfId="20243" xr:uid="{00000000-0005-0000-0000-0000843A0000}"/>
    <cellStyle name="40% - Accent1 4 4 2 2 2 3 2" xfId="49249" xr:uid="{00000000-0005-0000-0000-0000853A0000}"/>
    <cellStyle name="40% - Accent1 4 4 2 2 2 4" xfId="34750" xr:uid="{00000000-0005-0000-0000-0000863A0000}"/>
    <cellStyle name="40% - Accent1 4 4 2 2 3" xfId="9853" xr:uid="{00000000-0005-0000-0000-0000873A0000}"/>
    <cellStyle name="40% - Accent1 4 4 2 2 3 2" xfId="24387" xr:uid="{00000000-0005-0000-0000-0000883A0000}"/>
    <cellStyle name="40% - Accent1 4 4 2 2 3 2 2" xfId="53393" xr:uid="{00000000-0005-0000-0000-0000893A0000}"/>
    <cellStyle name="40% - Accent1 4 4 2 2 3 3" xfId="38894" xr:uid="{00000000-0005-0000-0000-00008A3A0000}"/>
    <cellStyle name="40% - Accent1 4 4 2 2 4" xfId="17139" xr:uid="{00000000-0005-0000-0000-00008B3A0000}"/>
    <cellStyle name="40% - Accent1 4 4 2 2 4 2" xfId="46145" xr:uid="{00000000-0005-0000-0000-00008C3A0000}"/>
    <cellStyle name="40% - Accent1 4 4 2 2 5" xfId="31646" xr:uid="{00000000-0005-0000-0000-00008D3A0000}"/>
    <cellStyle name="40% - Accent1 4 4 2 3" xfId="3613" xr:uid="{00000000-0005-0000-0000-00008E3A0000}"/>
    <cellStyle name="40% - Accent1 4 4 2 3 2" xfId="6717" xr:uid="{00000000-0005-0000-0000-00008F3A0000}"/>
    <cellStyle name="40% - Accent1 4 4 2 3 2 2" xfId="13989" xr:uid="{00000000-0005-0000-0000-0000903A0000}"/>
    <cellStyle name="40% - Accent1 4 4 2 3 2 2 2" xfId="28523" xr:uid="{00000000-0005-0000-0000-0000913A0000}"/>
    <cellStyle name="40% - Accent1 4 4 2 3 2 2 2 2" xfId="57529" xr:uid="{00000000-0005-0000-0000-0000923A0000}"/>
    <cellStyle name="40% - Accent1 4 4 2 3 2 2 3" xfId="43030" xr:uid="{00000000-0005-0000-0000-0000933A0000}"/>
    <cellStyle name="40% - Accent1 4 4 2 3 2 3" xfId="21275" xr:uid="{00000000-0005-0000-0000-0000943A0000}"/>
    <cellStyle name="40% - Accent1 4 4 2 3 2 3 2" xfId="50281" xr:uid="{00000000-0005-0000-0000-0000953A0000}"/>
    <cellStyle name="40% - Accent1 4 4 2 3 2 4" xfId="35782" xr:uid="{00000000-0005-0000-0000-0000963A0000}"/>
    <cellStyle name="40% - Accent1 4 4 2 3 3" xfId="10885" xr:uid="{00000000-0005-0000-0000-0000973A0000}"/>
    <cellStyle name="40% - Accent1 4 4 2 3 3 2" xfId="25419" xr:uid="{00000000-0005-0000-0000-0000983A0000}"/>
    <cellStyle name="40% - Accent1 4 4 2 3 3 2 2" xfId="54425" xr:uid="{00000000-0005-0000-0000-0000993A0000}"/>
    <cellStyle name="40% - Accent1 4 4 2 3 3 3" xfId="39926" xr:uid="{00000000-0005-0000-0000-00009A3A0000}"/>
    <cellStyle name="40% - Accent1 4 4 2 3 4" xfId="18171" xr:uid="{00000000-0005-0000-0000-00009B3A0000}"/>
    <cellStyle name="40% - Accent1 4 4 2 3 4 2" xfId="47177" xr:uid="{00000000-0005-0000-0000-00009C3A0000}"/>
    <cellStyle name="40% - Accent1 4 4 2 3 5" xfId="32678" xr:uid="{00000000-0005-0000-0000-00009D3A0000}"/>
    <cellStyle name="40% - Accent1 4 4 2 4" xfId="4645" xr:uid="{00000000-0005-0000-0000-00009E3A0000}"/>
    <cellStyle name="40% - Accent1 4 4 2 4 2" xfId="11917" xr:uid="{00000000-0005-0000-0000-00009F3A0000}"/>
    <cellStyle name="40% - Accent1 4 4 2 4 2 2" xfId="26451" xr:uid="{00000000-0005-0000-0000-0000A03A0000}"/>
    <cellStyle name="40% - Accent1 4 4 2 4 2 2 2" xfId="55457" xr:uid="{00000000-0005-0000-0000-0000A13A0000}"/>
    <cellStyle name="40% - Accent1 4 4 2 4 2 3" xfId="40958" xr:uid="{00000000-0005-0000-0000-0000A23A0000}"/>
    <cellStyle name="40% - Accent1 4 4 2 4 3" xfId="19203" xr:uid="{00000000-0005-0000-0000-0000A33A0000}"/>
    <cellStyle name="40% - Accent1 4 4 2 4 3 2" xfId="48209" xr:uid="{00000000-0005-0000-0000-0000A43A0000}"/>
    <cellStyle name="40% - Accent1 4 4 2 4 4" xfId="33710" xr:uid="{00000000-0005-0000-0000-0000A53A0000}"/>
    <cellStyle name="40% - Accent1 4 4 2 5" xfId="7749" xr:uid="{00000000-0005-0000-0000-0000A63A0000}"/>
    <cellStyle name="40% - Accent1 4 4 2 5 2" xfId="15021" xr:uid="{00000000-0005-0000-0000-0000A73A0000}"/>
    <cellStyle name="40% - Accent1 4 4 2 5 2 2" xfId="29555" xr:uid="{00000000-0005-0000-0000-0000A83A0000}"/>
    <cellStyle name="40% - Accent1 4 4 2 5 2 2 2" xfId="58561" xr:uid="{00000000-0005-0000-0000-0000A93A0000}"/>
    <cellStyle name="40% - Accent1 4 4 2 5 2 3" xfId="44062" xr:uid="{00000000-0005-0000-0000-0000AA3A0000}"/>
    <cellStyle name="40% - Accent1 4 4 2 5 3" xfId="22307" xr:uid="{00000000-0005-0000-0000-0000AB3A0000}"/>
    <cellStyle name="40% - Accent1 4 4 2 5 3 2" xfId="51313" xr:uid="{00000000-0005-0000-0000-0000AC3A0000}"/>
    <cellStyle name="40% - Accent1 4 4 2 5 4" xfId="36814" xr:uid="{00000000-0005-0000-0000-0000AD3A0000}"/>
    <cellStyle name="40% - Accent1 4 4 2 6" xfId="8813" xr:uid="{00000000-0005-0000-0000-0000AE3A0000}"/>
    <cellStyle name="40% - Accent1 4 4 2 6 2" xfId="23347" xr:uid="{00000000-0005-0000-0000-0000AF3A0000}"/>
    <cellStyle name="40% - Accent1 4 4 2 6 2 2" xfId="52353" xr:uid="{00000000-0005-0000-0000-0000B03A0000}"/>
    <cellStyle name="40% - Accent1 4 4 2 6 3" xfId="37854" xr:uid="{00000000-0005-0000-0000-0000B13A0000}"/>
    <cellStyle name="40% - Accent1 4 4 2 7" xfId="16099" xr:uid="{00000000-0005-0000-0000-0000B23A0000}"/>
    <cellStyle name="40% - Accent1 4 4 2 7 2" xfId="45105" xr:uid="{00000000-0005-0000-0000-0000B33A0000}"/>
    <cellStyle name="40% - Accent1 4 4 2 8" xfId="30606" xr:uid="{00000000-0005-0000-0000-0000B43A0000}"/>
    <cellStyle name="40% - Accent1 4 4 3" xfId="2069" xr:uid="{00000000-0005-0000-0000-0000B53A0000}"/>
    <cellStyle name="40% - Accent1 4 4 3 2" xfId="5173" xr:uid="{00000000-0005-0000-0000-0000B63A0000}"/>
    <cellStyle name="40% - Accent1 4 4 3 2 2" xfId="12445" xr:uid="{00000000-0005-0000-0000-0000B73A0000}"/>
    <cellStyle name="40% - Accent1 4 4 3 2 2 2" xfId="26979" xr:uid="{00000000-0005-0000-0000-0000B83A0000}"/>
    <cellStyle name="40% - Accent1 4 4 3 2 2 2 2" xfId="55985" xr:uid="{00000000-0005-0000-0000-0000B93A0000}"/>
    <cellStyle name="40% - Accent1 4 4 3 2 2 3" xfId="41486" xr:uid="{00000000-0005-0000-0000-0000BA3A0000}"/>
    <cellStyle name="40% - Accent1 4 4 3 2 3" xfId="19731" xr:uid="{00000000-0005-0000-0000-0000BB3A0000}"/>
    <cellStyle name="40% - Accent1 4 4 3 2 3 2" xfId="48737" xr:uid="{00000000-0005-0000-0000-0000BC3A0000}"/>
    <cellStyle name="40% - Accent1 4 4 3 2 4" xfId="34238" xr:uid="{00000000-0005-0000-0000-0000BD3A0000}"/>
    <cellStyle name="40% - Accent1 4 4 3 3" xfId="9341" xr:uid="{00000000-0005-0000-0000-0000BE3A0000}"/>
    <cellStyle name="40% - Accent1 4 4 3 3 2" xfId="23875" xr:uid="{00000000-0005-0000-0000-0000BF3A0000}"/>
    <cellStyle name="40% - Accent1 4 4 3 3 2 2" xfId="52881" xr:uid="{00000000-0005-0000-0000-0000C03A0000}"/>
    <cellStyle name="40% - Accent1 4 4 3 3 3" xfId="38382" xr:uid="{00000000-0005-0000-0000-0000C13A0000}"/>
    <cellStyle name="40% - Accent1 4 4 3 4" xfId="16627" xr:uid="{00000000-0005-0000-0000-0000C23A0000}"/>
    <cellStyle name="40% - Accent1 4 4 3 4 2" xfId="45633" xr:uid="{00000000-0005-0000-0000-0000C33A0000}"/>
    <cellStyle name="40% - Accent1 4 4 3 5" xfId="31134" xr:uid="{00000000-0005-0000-0000-0000C43A0000}"/>
    <cellStyle name="40% - Accent1 4 4 4" xfId="3101" xr:uid="{00000000-0005-0000-0000-0000C53A0000}"/>
    <cellStyle name="40% - Accent1 4 4 4 2" xfId="6205" xr:uid="{00000000-0005-0000-0000-0000C63A0000}"/>
    <cellStyle name="40% - Accent1 4 4 4 2 2" xfId="13477" xr:uid="{00000000-0005-0000-0000-0000C73A0000}"/>
    <cellStyle name="40% - Accent1 4 4 4 2 2 2" xfId="28011" xr:uid="{00000000-0005-0000-0000-0000C83A0000}"/>
    <cellStyle name="40% - Accent1 4 4 4 2 2 2 2" xfId="57017" xr:uid="{00000000-0005-0000-0000-0000C93A0000}"/>
    <cellStyle name="40% - Accent1 4 4 4 2 2 3" xfId="42518" xr:uid="{00000000-0005-0000-0000-0000CA3A0000}"/>
    <cellStyle name="40% - Accent1 4 4 4 2 3" xfId="20763" xr:uid="{00000000-0005-0000-0000-0000CB3A0000}"/>
    <cellStyle name="40% - Accent1 4 4 4 2 3 2" xfId="49769" xr:uid="{00000000-0005-0000-0000-0000CC3A0000}"/>
    <cellStyle name="40% - Accent1 4 4 4 2 4" xfId="35270" xr:uid="{00000000-0005-0000-0000-0000CD3A0000}"/>
    <cellStyle name="40% - Accent1 4 4 4 3" xfId="10373" xr:uid="{00000000-0005-0000-0000-0000CE3A0000}"/>
    <cellStyle name="40% - Accent1 4 4 4 3 2" xfId="24907" xr:uid="{00000000-0005-0000-0000-0000CF3A0000}"/>
    <cellStyle name="40% - Accent1 4 4 4 3 2 2" xfId="53913" xr:uid="{00000000-0005-0000-0000-0000D03A0000}"/>
    <cellStyle name="40% - Accent1 4 4 4 3 3" xfId="39414" xr:uid="{00000000-0005-0000-0000-0000D13A0000}"/>
    <cellStyle name="40% - Accent1 4 4 4 4" xfId="17659" xr:uid="{00000000-0005-0000-0000-0000D23A0000}"/>
    <cellStyle name="40% - Accent1 4 4 4 4 2" xfId="46665" xr:uid="{00000000-0005-0000-0000-0000D33A0000}"/>
    <cellStyle name="40% - Accent1 4 4 4 5" xfId="32166" xr:uid="{00000000-0005-0000-0000-0000D43A0000}"/>
    <cellStyle name="40% - Accent1 4 4 5" xfId="4133" xr:uid="{00000000-0005-0000-0000-0000D53A0000}"/>
    <cellStyle name="40% - Accent1 4 4 5 2" xfId="11405" xr:uid="{00000000-0005-0000-0000-0000D63A0000}"/>
    <cellStyle name="40% - Accent1 4 4 5 2 2" xfId="25939" xr:uid="{00000000-0005-0000-0000-0000D73A0000}"/>
    <cellStyle name="40% - Accent1 4 4 5 2 2 2" xfId="54945" xr:uid="{00000000-0005-0000-0000-0000D83A0000}"/>
    <cellStyle name="40% - Accent1 4 4 5 2 3" xfId="40446" xr:uid="{00000000-0005-0000-0000-0000D93A0000}"/>
    <cellStyle name="40% - Accent1 4 4 5 3" xfId="18691" xr:uid="{00000000-0005-0000-0000-0000DA3A0000}"/>
    <cellStyle name="40% - Accent1 4 4 5 3 2" xfId="47697" xr:uid="{00000000-0005-0000-0000-0000DB3A0000}"/>
    <cellStyle name="40% - Accent1 4 4 5 4" xfId="33198" xr:uid="{00000000-0005-0000-0000-0000DC3A0000}"/>
    <cellStyle name="40% - Accent1 4 4 6" xfId="7237" xr:uid="{00000000-0005-0000-0000-0000DD3A0000}"/>
    <cellStyle name="40% - Accent1 4 4 6 2" xfId="14509" xr:uid="{00000000-0005-0000-0000-0000DE3A0000}"/>
    <cellStyle name="40% - Accent1 4 4 6 2 2" xfId="29043" xr:uid="{00000000-0005-0000-0000-0000DF3A0000}"/>
    <cellStyle name="40% - Accent1 4 4 6 2 2 2" xfId="58049" xr:uid="{00000000-0005-0000-0000-0000E03A0000}"/>
    <cellStyle name="40% - Accent1 4 4 6 2 3" xfId="43550" xr:uid="{00000000-0005-0000-0000-0000E13A0000}"/>
    <cellStyle name="40% - Accent1 4 4 6 3" xfId="21795" xr:uid="{00000000-0005-0000-0000-0000E23A0000}"/>
    <cellStyle name="40% - Accent1 4 4 6 3 2" xfId="50801" xr:uid="{00000000-0005-0000-0000-0000E33A0000}"/>
    <cellStyle name="40% - Accent1 4 4 6 4" xfId="36302" xr:uid="{00000000-0005-0000-0000-0000E43A0000}"/>
    <cellStyle name="40% - Accent1 4 4 7" xfId="8301" xr:uid="{00000000-0005-0000-0000-0000E53A0000}"/>
    <cellStyle name="40% - Accent1 4 4 7 2" xfId="22835" xr:uid="{00000000-0005-0000-0000-0000E63A0000}"/>
    <cellStyle name="40% - Accent1 4 4 7 2 2" xfId="51841" xr:uid="{00000000-0005-0000-0000-0000E73A0000}"/>
    <cellStyle name="40% - Accent1 4 4 7 3" xfId="37342" xr:uid="{00000000-0005-0000-0000-0000E83A0000}"/>
    <cellStyle name="40% - Accent1 4 4 8" xfId="15587" xr:uid="{00000000-0005-0000-0000-0000E93A0000}"/>
    <cellStyle name="40% - Accent1 4 4 8 2" xfId="44593" xr:uid="{00000000-0005-0000-0000-0000EA3A0000}"/>
    <cellStyle name="40% - Accent1 4 4 9" xfId="30094" xr:uid="{00000000-0005-0000-0000-0000EB3A0000}"/>
    <cellStyle name="40% - Accent1 4 5" xfId="1318" xr:uid="{00000000-0005-0000-0000-0000EC3A0000}"/>
    <cellStyle name="40% - Accent1 4 5 2" xfId="2375" xr:uid="{00000000-0005-0000-0000-0000ED3A0000}"/>
    <cellStyle name="40% - Accent1 4 5 2 2" xfId="5479" xr:uid="{00000000-0005-0000-0000-0000EE3A0000}"/>
    <cellStyle name="40% - Accent1 4 5 2 2 2" xfId="12751" xr:uid="{00000000-0005-0000-0000-0000EF3A0000}"/>
    <cellStyle name="40% - Accent1 4 5 2 2 2 2" xfId="27285" xr:uid="{00000000-0005-0000-0000-0000F03A0000}"/>
    <cellStyle name="40% - Accent1 4 5 2 2 2 2 2" xfId="56291" xr:uid="{00000000-0005-0000-0000-0000F13A0000}"/>
    <cellStyle name="40% - Accent1 4 5 2 2 2 3" xfId="41792" xr:uid="{00000000-0005-0000-0000-0000F23A0000}"/>
    <cellStyle name="40% - Accent1 4 5 2 2 3" xfId="20037" xr:uid="{00000000-0005-0000-0000-0000F33A0000}"/>
    <cellStyle name="40% - Accent1 4 5 2 2 3 2" xfId="49043" xr:uid="{00000000-0005-0000-0000-0000F43A0000}"/>
    <cellStyle name="40% - Accent1 4 5 2 2 4" xfId="34544" xr:uid="{00000000-0005-0000-0000-0000F53A0000}"/>
    <cellStyle name="40% - Accent1 4 5 2 3" xfId="9647" xr:uid="{00000000-0005-0000-0000-0000F63A0000}"/>
    <cellStyle name="40% - Accent1 4 5 2 3 2" xfId="24181" xr:uid="{00000000-0005-0000-0000-0000F73A0000}"/>
    <cellStyle name="40% - Accent1 4 5 2 3 2 2" xfId="53187" xr:uid="{00000000-0005-0000-0000-0000F83A0000}"/>
    <cellStyle name="40% - Accent1 4 5 2 3 3" xfId="38688" xr:uid="{00000000-0005-0000-0000-0000F93A0000}"/>
    <cellStyle name="40% - Accent1 4 5 2 4" xfId="16933" xr:uid="{00000000-0005-0000-0000-0000FA3A0000}"/>
    <cellStyle name="40% - Accent1 4 5 2 4 2" xfId="45939" xr:uid="{00000000-0005-0000-0000-0000FB3A0000}"/>
    <cellStyle name="40% - Accent1 4 5 2 5" xfId="31440" xr:uid="{00000000-0005-0000-0000-0000FC3A0000}"/>
    <cellStyle name="40% - Accent1 4 5 3" xfId="3407" xr:uid="{00000000-0005-0000-0000-0000FD3A0000}"/>
    <cellStyle name="40% - Accent1 4 5 3 2" xfId="6511" xr:uid="{00000000-0005-0000-0000-0000FE3A0000}"/>
    <cellStyle name="40% - Accent1 4 5 3 2 2" xfId="13783" xr:uid="{00000000-0005-0000-0000-0000FF3A0000}"/>
    <cellStyle name="40% - Accent1 4 5 3 2 2 2" xfId="28317" xr:uid="{00000000-0005-0000-0000-0000003B0000}"/>
    <cellStyle name="40% - Accent1 4 5 3 2 2 2 2" xfId="57323" xr:uid="{00000000-0005-0000-0000-0000013B0000}"/>
    <cellStyle name="40% - Accent1 4 5 3 2 2 3" xfId="42824" xr:uid="{00000000-0005-0000-0000-0000023B0000}"/>
    <cellStyle name="40% - Accent1 4 5 3 2 3" xfId="21069" xr:uid="{00000000-0005-0000-0000-0000033B0000}"/>
    <cellStyle name="40% - Accent1 4 5 3 2 3 2" xfId="50075" xr:uid="{00000000-0005-0000-0000-0000043B0000}"/>
    <cellStyle name="40% - Accent1 4 5 3 2 4" xfId="35576" xr:uid="{00000000-0005-0000-0000-0000053B0000}"/>
    <cellStyle name="40% - Accent1 4 5 3 3" xfId="10679" xr:uid="{00000000-0005-0000-0000-0000063B0000}"/>
    <cellStyle name="40% - Accent1 4 5 3 3 2" xfId="25213" xr:uid="{00000000-0005-0000-0000-0000073B0000}"/>
    <cellStyle name="40% - Accent1 4 5 3 3 2 2" xfId="54219" xr:uid="{00000000-0005-0000-0000-0000083B0000}"/>
    <cellStyle name="40% - Accent1 4 5 3 3 3" xfId="39720" xr:uid="{00000000-0005-0000-0000-0000093B0000}"/>
    <cellStyle name="40% - Accent1 4 5 3 4" xfId="17965" xr:uid="{00000000-0005-0000-0000-00000A3B0000}"/>
    <cellStyle name="40% - Accent1 4 5 3 4 2" xfId="46971" xr:uid="{00000000-0005-0000-0000-00000B3B0000}"/>
    <cellStyle name="40% - Accent1 4 5 3 5" xfId="32472" xr:uid="{00000000-0005-0000-0000-00000C3B0000}"/>
    <cellStyle name="40% - Accent1 4 5 4" xfId="4439" xr:uid="{00000000-0005-0000-0000-00000D3B0000}"/>
    <cellStyle name="40% - Accent1 4 5 4 2" xfId="11711" xr:uid="{00000000-0005-0000-0000-00000E3B0000}"/>
    <cellStyle name="40% - Accent1 4 5 4 2 2" xfId="26245" xr:uid="{00000000-0005-0000-0000-00000F3B0000}"/>
    <cellStyle name="40% - Accent1 4 5 4 2 2 2" xfId="55251" xr:uid="{00000000-0005-0000-0000-0000103B0000}"/>
    <cellStyle name="40% - Accent1 4 5 4 2 3" xfId="40752" xr:uid="{00000000-0005-0000-0000-0000113B0000}"/>
    <cellStyle name="40% - Accent1 4 5 4 3" xfId="18997" xr:uid="{00000000-0005-0000-0000-0000123B0000}"/>
    <cellStyle name="40% - Accent1 4 5 4 3 2" xfId="48003" xr:uid="{00000000-0005-0000-0000-0000133B0000}"/>
    <cellStyle name="40% - Accent1 4 5 4 4" xfId="33504" xr:uid="{00000000-0005-0000-0000-0000143B0000}"/>
    <cellStyle name="40% - Accent1 4 5 5" xfId="7543" xr:uid="{00000000-0005-0000-0000-0000153B0000}"/>
    <cellStyle name="40% - Accent1 4 5 5 2" xfId="14815" xr:uid="{00000000-0005-0000-0000-0000163B0000}"/>
    <cellStyle name="40% - Accent1 4 5 5 2 2" xfId="29349" xr:uid="{00000000-0005-0000-0000-0000173B0000}"/>
    <cellStyle name="40% - Accent1 4 5 5 2 2 2" xfId="58355" xr:uid="{00000000-0005-0000-0000-0000183B0000}"/>
    <cellStyle name="40% - Accent1 4 5 5 2 3" xfId="43856" xr:uid="{00000000-0005-0000-0000-0000193B0000}"/>
    <cellStyle name="40% - Accent1 4 5 5 3" xfId="22101" xr:uid="{00000000-0005-0000-0000-00001A3B0000}"/>
    <cellStyle name="40% - Accent1 4 5 5 3 2" xfId="51107" xr:uid="{00000000-0005-0000-0000-00001B3B0000}"/>
    <cellStyle name="40% - Accent1 4 5 5 4" xfId="36608" xr:uid="{00000000-0005-0000-0000-00001C3B0000}"/>
    <cellStyle name="40% - Accent1 4 5 6" xfId="8607" xr:uid="{00000000-0005-0000-0000-00001D3B0000}"/>
    <cellStyle name="40% - Accent1 4 5 6 2" xfId="23141" xr:uid="{00000000-0005-0000-0000-00001E3B0000}"/>
    <cellStyle name="40% - Accent1 4 5 6 2 2" xfId="52147" xr:uid="{00000000-0005-0000-0000-00001F3B0000}"/>
    <cellStyle name="40% - Accent1 4 5 6 3" xfId="37648" xr:uid="{00000000-0005-0000-0000-0000203B0000}"/>
    <cellStyle name="40% - Accent1 4 5 7" xfId="15893" xr:uid="{00000000-0005-0000-0000-0000213B0000}"/>
    <cellStyle name="40% - Accent1 4 5 7 2" xfId="44899" xr:uid="{00000000-0005-0000-0000-0000223B0000}"/>
    <cellStyle name="40% - Accent1 4 5 8" xfId="30400" xr:uid="{00000000-0005-0000-0000-0000233B0000}"/>
    <cellStyle name="40% - Accent1 4 6" xfId="1863" xr:uid="{00000000-0005-0000-0000-0000243B0000}"/>
    <cellStyle name="40% - Accent1 4 6 2" xfId="4967" xr:uid="{00000000-0005-0000-0000-0000253B0000}"/>
    <cellStyle name="40% - Accent1 4 6 2 2" xfId="12239" xr:uid="{00000000-0005-0000-0000-0000263B0000}"/>
    <cellStyle name="40% - Accent1 4 6 2 2 2" xfId="26773" xr:uid="{00000000-0005-0000-0000-0000273B0000}"/>
    <cellStyle name="40% - Accent1 4 6 2 2 2 2" xfId="55779" xr:uid="{00000000-0005-0000-0000-0000283B0000}"/>
    <cellStyle name="40% - Accent1 4 6 2 2 3" xfId="41280" xr:uid="{00000000-0005-0000-0000-0000293B0000}"/>
    <cellStyle name="40% - Accent1 4 6 2 3" xfId="19525" xr:uid="{00000000-0005-0000-0000-00002A3B0000}"/>
    <cellStyle name="40% - Accent1 4 6 2 3 2" xfId="48531" xr:uid="{00000000-0005-0000-0000-00002B3B0000}"/>
    <cellStyle name="40% - Accent1 4 6 2 4" xfId="34032" xr:uid="{00000000-0005-0000-0000-00002C3B0000}"/>
    <cellStyle name="40% - Accent1 4 6 3" xfId="9135" xr:uid="{00000000-0005-0000-0000-00002D3B0000}"/>
    <cellStyle name="40% - Accent1 4 6 3 2" xfId="23669" xr:uid="{00000000-0005-0000-0000-00002E3B0000}"/>
    <cellStyle name="40% - Accent1 4 6 3 2 2" xfId="52675" xr:uid="{00000000-0005-0000-0000-00002F3B0000}"/>
    <cellStyle name="40% - Accent1 4 6 3 3" xfId="38176" xr:uid="{00000000-0005-0000-0000-0000303B0000}"/>
    <cellStyle name="40% - Accent1 4 6 4" xfId="16421" xr:uid="{00000000-0005-0000-0000-0000313B0000}"/>
    <cellStyle name="40% - Accent1 4 6 4 2" xfId="45427" xr:uid="{00000000-0005-0000-0000-0000323B0000}"/>
    <cellStyle name="40% - Accent1 4 6 5" xfId="30928" xr:uid="{00000000-0005-0000-0000-0000333B0000}"/>
    <cellStyle name="40% - Accent1 4 7" xfId="2895" xr:uid="{00000000-0005-0000-0000-0000343B0000}"/>
    <cellStyle name="40% - Accent1 4 7 2" xfId="5999" xr:uid="{00000000-0005-0000-0000-0000353B0000}"/>
    <cellStyle name="40% - Accent1 4 7 2 2" xfId="13271" xr:uid="{00000000-0005-0000-0000-0000363B0000}"/>
    <cellStyle name="40% - Accent1 4 7 2 2 2" xfId="27805" xr:uid="{00000000-0005-0000-0000-0000373B0000}"/>
    <cellStyle name="40% - Accent1 4 7 2 2 2 2" xfId="56811" xr:uid="{00000000-0005-0000-0000-0000383B0000}"/>
    <cellStyle name="40% - Accent1 4 7 2 2 3" xfId="42312" xr:uid="{00000000-0005-0000-0000-0000393B0000}"/>
    <cellStyle name="40% - Accent1 4 7 2 3" xfId="20557" xr:uid="{00000000-0005-0000-0000-00003A3B0000}"/>
    <cellStyle name="40% - Accent1 4 7 2 3 2" xfId="49563" xr:uid="{00000000-0005-0000-0000-00003B3B0000}"/>
    <cellStyle name="40% - Accent1 4 7 2 4" xfId="35064" xr:uid="{00000000-0005-0000-0000-00003C3B0000}"/>
    <cellStyle name="40% - Accent1 4 7 3" xfId="10167" xr:uid="{00000000-0005-0000-0000-00003D3B0000}"/>
    <cellStyle name="40% - Accent1 4 7 3 2" xfId="24701" xr:uid="{00000000-0005-0000-0000-00003E3B0000}"/>
    <cellStyle name="40% - Accent1 4 7 3 2 2" xfId="53707" xr:uid="{00000000-0005-0000-0000-00003F3B0000}"/>
    <cellStyle name="40% - Accent1 4 7 3 3" xfId="39208" xr:uid="{00000000-0005-0000-0000-0000403B0000}"/>
    <cellStyle name="40% - Accent1 4 7 4" xfId="17453" xr:uid="{00000000-0005-0000-0000-0000413B0000}"/>
    <cellStyle name="40% - Accent1 4 7 4 2" xfId="46459" xr:uid="{00000000-0005-0000-0000-0000423B0000}"/>
    <cellStyle name="40% - Accent1 4 7 5" xfId="31960" xr:uid="{00000000-0005-0000-0000-0000433B0000}"/>
    <cellStyle name="40% - Accent1 4 8" xfId="3927" xr:uid="{00000000-0005-0000-0000-0000443B0000}"/>
    <cellStyle name="40% - Accent1 4 8 2" xfId="11199" xr:uid="{00000000-0005-0000-0000-0000453B0000}"/>
    <cellStyle name="40% - Accent1 4 8 2 2" xfId="25733" xr:uid="{00000000-0005-0000-0000-0000463B0000}"/>
    <cellStyle name="40% - Accent1 4 8 2 2 2" xfId="54739" xr:uid="{00000000-0005-0000-0000-0000473B0000}"/>
    <cellStyle name="40% - Accent1 4 8 2 3" xfId="40240" xr:uid="{00000000-0005-0000-0000-0000483B0000}"/>
    <cellStyle name="40% - Accent1 4 8 3" xfId="18485" xr:uid="{00000000-0005-0000-0000-0000493B0000}"/>
    <cellStyle name="40% - Accent1 4 8 3 2" xfId="47491" xr:uid="{00000000-0005-0000-0000-00004A3B0000}"/>
    <cellStyle name="40% - Accent1 4 8 4" xfId="32992" xr:uid="{00000000-0005-0000-0000-00004B3B0000}"/>
    <cellStyle name="40% - Accent1 4 9" xfId="7031" xr:uid="{00000000-0005-0000-0000-00004C3B0000}"/>
    <cellStyle name="40% - Accent1 4 9 2" xfId="14303" xr:uid="{00000000-0005-0000-0000-00004D3B0000}"/>
    <cellStyle name="40% - Accent1 4 9 2 2" xfId="28837" xr:uid="{00000000-0005-0000-0000-00004E3B0000}"/>
    <cellStyle name="40% - Accent1 4 9 2 2 2" xfId="57843" xr:uid="{00000000-0005-0000-0000-00004F3B0000}"/>
    <cellStyle name="40% - Accent1 4 9 2 3" xfId="43344" xr:uid="{00000000-0005-0000-0000-0000503B0000}"/>
    <cellStyle name="40% - Accent1 4 9 3" xfId="21589" xr:uid="{00000000-0005-0000-0000-0000513B0000}"/>
    <cellStyle name="40% - Accent1 4 9 3 2" xfId="50595" xr:uid="{00000000-0005-0000-0000-0000523B0000}"/>
    <cellStyle name="40% - Accent1 4 9 4" xfId="36096" xr:uid="{00000000-0005-0000-0000-0000533B0000}"/>
    <cellStyle name="40% - Accent1 5" xfId="904" xr:uid="{00000000-0005-0000-0000-0000543B0000}"/>
    <cellStyle name="40% - Accent1 5 10" xfId="29939" xr:uid="{00000000-0005-0000-0000-0000553B0000}"/>
    <cellStyle name="40% - Accent1 5 2" xfId="1172" xr:uid="{00000000-0005-0000-0000-0000563B0000}"/>
    <cellStyle name="40% - Accent1 5 2 2" xfId="1673" xr:uid="{00000000-0005-0000-0000-0000573B0000}"/>
    <cellStyle name="40% - Accent1 5 2 2 2" xfId="2732" xr:uid="{00000000-0005-0000-0000-0000583B0000}"/>
    <cellStyle name="40% - Accent1 5 2 2 2 2" xfId="5836" xr:uid="{00000000-0005-0000-0000-0000593B0000}"/>
    <cellStyle name="40% - Accent1 5 2 2 2 2 2" xfId="13108" xr:uid="{00000000-0005-0000-0000-00005A3B0000}"/>
    <cellStyle name="40% - Accent1 5 2 2 2 2 2 2" xfId="27642" xr:uid="{00000000-0005-0000-0000-00005B3B0000}"/>
    <cellStyle name="40% - Accent1 5 2 2 2 2 2 2 2" xfId="56648" xr:uid="{00000000-0005-0000-0000-00005C3B0000}"/>
    <cellStyle name="40% - Accent1 5 2 2 2 2 2 3" xfId="42149" xr:uid="{00000000-0005-0000-0000-00005D3B0000}"/>
    <cellStyle name="40% - Accent1 5 2 2 2 2 3" xfId="20394" xr:uid="{00000000-0005-0000-0000-00005E3B0000}"/>
    <cellStyle name="40% - Accent1 5 2 2 2 2 3 2" xfId="49400" xr:uid="{00000000-0005-0000-0000-00005F3B0000}"/>
    <cellStyle name="40% - Accent1 5 2 2 2 2 4" xfId="34901" xr:uid="{00000000-0005-0000-0000-0000603B0000}"/>
    <cellStyle name="40% - Accent1 5 2 2 2 3" xfId="10004" xr:uid="{00000000-0005-0000-0000-0000613B0000}"/>
    <cellStyle name="40% - Accent1 5 2 2 2 3 2" xfId="24538" xr:uid="{00000000-0005-0000-0000-0000623B0000}"/>
    <cellStyle name="40% - Accent1 5 2 2 2 3 2 2" xfId="53544" xr:uid="{00000000-0005-0000-0000-0000633B0000}"/>
    <cellStyle name="40% - Accent1 5 2 2 2 3 3" xfId="39045" xr:uid="{00000000-0005-0000-0000-0000643B0000}"/>
    <cellStyle name="40% - Accent1 5 2 2 2 4" xfId="17290" xr:uid="{00000000-0005-0000-0000-0000653B0000}"/>
    <cellStyle name="40% - Accent1 5 2 2 2 4 2" xfId="46296" xr:uid="{00000000-0005-0000-0000-0000663B0000}"/>
    <cellStyle name="40% - Accent1 5 2 2 2 5" xfId="31797" xr:uid="{00000000-0005-0000-0000-0000673B0000}"/>
    <cellStyle name="40% - Accent1 5 2 2 3" xfId="3764" xr:uid="{00000000-0005-0000-0000-0000683B0000}"/>
    <cellStyle name="40% - Accent1 5 2 2 3 2" xfId="6868" xr:uid="{00000000-0005-0000-0000-0000693B0000}"/>
    <cellStyle name="40% - Accent1 5 2 2 3 2 2" xfId="14140" xr:uid="{00000000-0005-0000-0000-00006A3B0000}"/>
    <cellStyle name="40% - Accent1 5 2 2 3 2 2 2" xfId="28674" xr:uid="{00000000-0005-0000-0000-00006B3B0000}"/>
    <cellStyle name="40% - Accent1 5 2 2 3 2 2 2 2" xfId="57680" xr:uid="{00000000-0005-0000-0000-00006C3B0000}"/>
    <cellStyle name="40% - Accent1 5 2 2 3 2 2 3" xfId="43181" xr:uid="{00000000-0005-0000-0000-00006D3B0000}"/>
    <cellStyle name="40% - Accent1 5 2 2 3 2 3" xfId="21426" xr:uid="{00000000-0005-0000-0000-00006E3B0000}"/>
    <cellStyle name="40% - Accent1 5 2 2 3 2 3 2" xfId="50432" xr:uid="{00000000-0005-0000-0000-00006F3B0000}"/>
    <cellStyle name="40% - Accent1 5 2 2 3 2 4" xfId="35933" xr:uid="{00000000-0005-0000-0000-0000703B0000}"/>
    <cellStyle name="40% - Accent1 5 2 2 3 3" xfId="11036" xr:uid="{00000000-0005-0000-0000-0000713B0000}"/>
    <cellStyle name="40% - Accent1 5 2 2 3 3 2" xfId="25570" xr:uid="{00000000-0005-0000-0000-0000723B0000}"/>
    <cellStyle name="40% - Accent1 5 2 2 3 3 2 2" xfId="54576" xr:uid="{00000000-0005-0000-0000-0000733B0000}"/>
    <cellStyle name="40% - Accent1 5 2 2 3 3 3" xfId="40077" xr:uid="{00000000-0005-0000-0000-0000743B0000}"/>
    <cellStyle name="40% - Accent1 5 2 2 3 4" xfId="18322" xr:uid="{00000000-0005-0000-0000-0000753B0000}"/>
    <cellStyle name="40% - Accent1 5 2 2 3 4 2" xfId="47328" xr:uid="{00000000-0005-0000-0000-0000763B0000}"/>
    <cellStyle name="40% - Accent1 5 2 2 3 5" xfId="32829" xr:uid="{00000000-0005-0000-0000-0000773B0000}"/>
    <cellStyle name="40% - Accent1 5 2 2 4" xfId="4796" xr:uid="{00000000-0005-0000-0000-0000783B0000}"/>
    <cellStyle name="40% - Accent1 5 2 2 4 2" xfId="12068" xr:uid="{00000000-0005-0000-0000-0000793B0000}"/>
    <cellStyle name="40% - Accent1 5 2 2 4 2 2" xfId="26602" xr:uid="{00000000-0005-0000-0000-00007A3B0000}"/>
    <cellStyle name="40% - Accent1 5 2 2 4 2 2 2" xfId="55608" xr:uid="{00000000-0005-0000-0000-00007B3B0000}"/>
    <cellStyle name="40% - Accent1 5 2 2 4 2 3" xfId="41109" xr:uid="{00000000-0005-0000-0000-00007C3B0000}"/>
    <cellStyle name="40% - Accent1 5 2 2 4 3" xfId="19354" xr:uid="{00000000-0005-0000-0000-00007D3B0000}"/>
    <cellStyle name="40% - Accent1 5 2 2 4 3 2" xfId="48360" xr:uid="{00000000-0005-0000-0000-00007E3B0000}"/>
    <cellStyle name="40% - Accent1 5 2 2 4 4" xfId="33861" xr:uid="{00000000-0005-0000-0000-00007F3B0000}"/>
    <cellStyle name="40% - Accent1 5 2 2 5" xfId="7900" xr:uid="{00000000-0005-0000-0000-0000803B0000}"/>
    <cellStyle name="40% - Accent1 5 2 2 5 2" xfId="15172" xr:uid="{00000000-0005-0000-0000-0000813B0000}"/>
    <cellStyle name="40% - Accent1 5 2 2 5 2 2" xfId="29706" xr:uid="{00000000-0005-0000-0000-0000823B0000}"/>
    <cellStyle name="40% - Accent1 5 2 2 5 2 2 2" xfId="58712" xr:uid="{00000000-0005-0000-0000-0000833B0000}"/>
    <cellStyle name="40% - Accent1 5 2 2 5 2 3" xfId="44213" xr:uid="{00000000-0005-0000-0000-0000843B0000}"/>
    <cellStyle name="40% - Accent1 5 2 2 5 3" xfId="22458" xr:uid="{00000000-0005-0000-0000-0000853B0000}"/>
    <cellStyle name="40% - Accent1 5 2 2 5 3 2" xfId="51464" xr:uid="{00000000-0005-0000-0000-0000863B0000}"/>
    <cellStyle name="40% - Accent1 5 2 2 5 4" xfId="36965" xr:uid="{00000000-0005-0000-0000-0000873B0000}"/>
    <cellStyle name="40% - Accent1 5 2 2 6" xfId="8964" xr:uid="{00000000-0005-0000-0000-0000883B0000}"/>
    <cellStyle name="40% - Accent1 5 2 2 6 2" xfId="23498" xr:uid="{00000000-0005-0000-0000-0000893B0000}"/>
    <cellStyle name="40% - Accent1 5 2 2 6 2 2" xfId="52504" xr:uid="{00000000-0005-0000-0000-00008A3B0000}"/>
    <cellStyle name="40% - Accent1 5 2 2 6 3" xfId="38005" xr:uid="{00000000-0005-0000-0000-00008B3B0000}"/>
    <cellStyle name="40% - Accent1 5 2 2 7" xfId="16250" xr:uid="{00000000-0005-0000-0000-00008C3B0000}"/>
    <cellStyle name="40% - Accent1 5 2 2 7 2" xfId="45256" xr:uid="{00000000-0005-0000-0000-00008D3B0000}"/>
    <cellStyle name="40% - Accent1 5 2 2 8" xfId="30757" xr:uid="{00000000-0005-0000-0000-00008E3B0000}"/>
    <cellStyle name="40% - Accent1 5 2 3" xfId="2220" xr:uid="{00000000-0005-0000-0000-00008F3B0000}"/>
    <cellStyle name="40% - Accent1 5 2 3 2" xfId="5324" xr:uid="{00000000-0005-0000-0000-0000903B0000}"/>
    <cellStyle name="40% - Accent1 5 2 3 2 2" xfId="12596" xr:uid="{00000000-0005-0000-0000-0000913B0000}"/>
    <cellStyle name="40% - Accent1 5 2 3 2 2 2" xfId="27130" xr:uid="{00000000-0005-0000-0000-0000923B0000}"/>
    <cellStyle name="40% - Accent1 5 2 3 2 2 2 2" xfId="56136" xr:uid="{00000000-0005-0000-0000-0000933B0000}"/>
    <cellStyle name="40% - Accent1 5 2 3 2 2 3" xfId="41637" xr:uid="{00000000-0005-0000-0000-0000943B0000}"/>
    <cellStyle name="40% - Accent1 5 2 3 2 3" xfId="19882" xr:uid="{00000000-0005-0000-0000-0000953B0000}"/>
    <cellStyle name="40% - Accent1 5 2 3 2 3 2" xfId="48888" xr:uid="{00000000-0005-0000-0000-0000963B0000}"/>
    <cellStyle name="40% - Accent1 5 2 3 2 4" xfId="34389" xr:uid="{00000000-0005-0000-0000-0000973B0000}"/>
    <cellStyle name="40% - Accent1 5 2 3 3" xfId="9492" xr:uid="{00000000-0005-0000-0000-0000983B0000}"/>
    <cellStyle name="40% - Accent1 5 2 3 3 2" xfId="24026" xr:uid="{00000000-0005-0000-0000-0000993B0000}"/>
    <cellStyle name="40% - Accent1 5 2 3 3 2 2" xfId="53032" xr:uid="{00000000-0005-0000-0000-00009A3B0000}"/>
    <cellStyle name="40% - Accent1 5 2 3 3 3" xfId="38533" xr:uid="{00000000-0005-0000-0000-00009B3B0000}"/>
    <cellStyle name="40% - Accent1 5 2 3 4" xfId="16778" xr:uid="{00000000-0005-0000-0000-00009C3B0000}"/>
    <cellStyle name="40% - Accent1 5 2 3 4 2" xfId="45784" xr:uid="{00000000-0005-0000-0000-00009D3B0000}"/>
    <cellStyle name="40% - Accent1 5 2 3 5" xfId="31285" xr:uid="{00000000-0005-0000-0000-00009E3B0000}"/>
    <cellStyle name="40% - Accent1 5 2 4" xfId="3252" xr:uid="{00000000-0005-0000-0000-00009F3B0000}"/>
    <cellStyle name="40% - Accent1 5 2 4 2" xfId="6356" xr:uid="{00000000-0005-0000-0000-0000A03B0000}"/>
    <cellStyle name="40% - Accent1 5 2 4 2 2" xfId="13628" xr:uid="{00000000-0005-0000-0000-0000A13B0000}"/>
    <cellStyle name="40% - Accent1 5 2 4 2 2 2" xfId="28162" xr:uid="{00000000-0005-0000-0000-0000A23B0000}"/>
    <cellStyle name="40% - Accent1 5 2 4 2 2 2 2" xfId="57168" xr:uid="{00000000-0005-0000-0000-0000A33B0000}"/>
    <cellStyle name="40% - Accent1 5 2 4 2 2 3" xfId="42669" xr:uid="{00000000-0005-0000-0000-0000A43B0000}"/>
    <cellStyle name="40% - Accent1 5 2 4 2 3" xfId="20914" xr:uid="{00000000-0005-0000-0000-0000A53B0000}"/>
    <cellStyle name="40% - Accent1 5 2 4 2 3 2" xfId="49920" xr:uid="{00000000-0005-0000-0000-0000A63B0000}"/>
    <cellStyle name="40% - Accent1 5 2 4 2 4" xfId="35421" xr:uid="{00000000-0005-0000-0000-0000A73B0000}"/>
    <cellStyle name="40% - Accent1 5 2 4 3" xfId="10524" xr:uid="{00000000-0005-0000-0000-0000A83B0000}"/>
    <cellStyle name="40% - Accent1 5 2 4 3 2" xfId="25058" xr:uid="{00000000-0005-0000-0000-0000A93B0000}"/>
    <cellStyle name="40% - Accent1 5 2 4 3 2 2" xfId="54064" xr:uid="{00000000-0005-0000-0000-0000AA3B0000}"/>
    <cellStyle name="40% - Accent1 5 2 4 3 3" xfId="39565" xr:uid="{00000000-0005-0000-0000-0000AB3B0000}"/>
    <cellStyle name="40% - Accent1 5 2 4 4" xfId="17810" xr:uid="{00000000-0005-0000-0000-0000AC3B0000}"/>
    <cellStyle name="40% - Accent1 5 2 4 4 2" xfId="46816" xr:uid="{00000000-0005-0000-0000-0000AD3B0000}"/>
    <cellStyle name="40% - Accent1 5 2 4 5" xfId="32317" xr:uid="{00000000-0005-0000-0000-0000AE3B0000}"/>
    <cellStyle name="40% - Accent1 5 2 5" xfId="4284" xr:uid="{00000000-0005-0000-0000-0000AF3B0000}"/>
    <cellStyle name="40% - Accent1 5 2 5 2" xfId="11556" xr:uid="{00000000-0005-0000-0000-0000B03B0000}"/>
    <cellStyle name="40% - Accent1 5 2 5 2 2" xfId="26090" xr:uid="{00000000-0005-0000-0000-0000B13B0000}"/>
    <cellStyle name="40% - Accent1 5 2 5 2 2 2" xfId="55096" xr:uid="{00000000-0005-0000-0000-0000B23B0000}"/>
    <cellStyle name="40% - Accent1 5 2 5 2 3" xfId="40597" xr:uid="{00000000-0005-0000-0000-0000B33B0000}"/>
    <cellStyle name="40% - Accent1 5 2 5 3" xfId="18842" xr:uid="{00000000-0005-0000-0000-0000B43B0000}"/>
    <cellStyle name="40% - Accent1 5 2 5 3 2" xfId="47848" xr:uid="{00000000-0005-0000-0000-0000B53B0000}"/>
    <cellStyle name="40% - Accent1 5 2 5 4" xfId="33349" xr:uid="{00000000-0005-0000-0000-0000B63B0000}"/>
    <cellStyle name="40% - Accent1 5 2 6" xfId="7388" xr:uid="{00000000-0005-0000-0000-0000B73B0000}"/>
    <cellStyle name="40% - Accent1 5 2 6 2" xfId="14660" xr:uid="{00000000-0005-0000-0000-0000B83B0000}"/>
    <cellStyle name="40% - Accent1 5 2 6 2 2" xfId="29194" xr:uid="{00000000-0005-0000-0000-0000B93B0000}"/>
    <cellStyle name="40% - Accent1 5 2 6 2 2 2" xfId="58200" xr:uid="{00000000-0005-0000-0000-0000BA3B0000}"/>
    <cellStyle name="40% - Accent1 5 2 6 2 3" xfId="43701" xr:uid="{00000000-0005-0000-0000-0000BB3B0000}"/>
    <cellStyle name="40% - Accent1 5 2 6 3" xfId="21946" xr:uid="{00000000-0005-0000-0000-0000BC3B0000}"/>
    <cellStyle name="40% - Accent1 5 2 6 3 2" xfId="50952" xr:uid="{00000000-0005-0000-0000-0000BD3B0000}"/>
    <cellStyle name="40% - Accent1 5 2 6 4" xfId="36453" xr:uid="{00000000-0005-0000-0000-0000BE3B0000}"/>
    <cellStyle name="40% - Accent1 5 2 7" xfId="8452" xr:uid="{00000000-0005-0000-0000-0000BF3B0000}"/>
    <cellStyle name="40% - Accent1 5 2 7 2" xfId="22986" xr:uid="{00000000-0005-0000-0000-0000C03B0000}"/>
    <cellStyle name="40% - Accent1 5 2 7 2 2" xfId="51992" xr:uid="{00000000-0005-0000-0000-0000C13B0000}"/>
    <cellStyle name="40% - Accent1 5 2 7 3" xfId="37493" xr:uid="{00000000-0005-0000-0000-0000C23B0000}"/>
    <cellStyle name="40% - Accent1 5 2 8" xfId="15738" xr:uid="{00000000-0005-0000-0000-0000C33B0000}"/>
    <cellStyle name="40% - Accent1 5 2 8 2" xfId="44744" xr:uid="{00000000-0005-0000-0000-0000C43B0000}"/>
    <cellStyle name="40% - Accent1 5 2 9" xfId="30245" xr:uid="{00000000-0005-0000-0000-0000C53B0000}"/>
    <cellStyle name="40% - Accent1 5 3" xfId="1369" xr:uid="{00000000-0005-0000-0000-0000C63B0000}"/>
    <cellStyle name="40% - Accent1 5 3 2" xfId="2426" xr:uid="{00000000-0005-0000-0000-0000C73B0000}"/>
    <cellStyle name="40% - Accent1 5 3 2 2" xfId="5530" xr:uid="{00000000-0005-0000-0000-0000C83B0000}"/>
    <cellStyle name="40% - Accent1 5 3 2 2 2" xfId="12802" xr:uid="{00000000-0005-0000-0000-0000C93B0000}"/>
    <cellStyle name="40% - Accent1 5 3 2 2 2 2" xfId="27336" xr:uid="{00000000-0005-0000-0000-0000CA3B0000}"/>
    <cellStyle name="40% - Accent1 5 3 2 2 2 2 2" xfId="56342" xr:uid="{00000000-0005-0000-0000-0000CB3B0000}"/>
    <cellStyle name="40% - Accent1 5 3 2 2 2 3" xfId="41843" xr:uid="{00000000-0005-0000-0000-0000CC3B0000}"/>
    <cellStyle name="40% - Accent1 5 3 2 2 3" xfId="20088" xr:uid="{00000000-0005-0000-0000-0000CD3B0000}"/>
    <cellStyle name="40% - Accent1 5 3 2 2 3 2" xfId="49094" xr:uid="{00000000-0005-0000-0000-0000CE3B0000}"/>
    <cellStyle name="40% - Accent1 5 3 2 2 4" xfId="34595" xr:uid="{00000000-0005-0000-0000-0000CF3B0000}"/>
    <cellStyle name="40% - Accent1 5 3 2 3" xfId="9698" xr:uid="{00000000-0005-0000-0000-0000D03B0000}"/>
    <cellStyle name="40% - Accent1 5 3 2 3 2" xfId="24232" xr:uid="{00000000-0005-0000-0000-0000D13B0000}"/>
    <cellStyle name="40% - Accent1 5 3 2 3 2 2" xfId="53238" xr:uid="{00000000-0005-0000-0000-0000D23B0000}"/>
    <cellStyle name="40% - Accent1 5 3 2 3 3" xfId="38739" xr:uid="{00000000-0005-0000-0000-0000D33B0000}"/>
    <cellStyle name="40% - Accent1 5 3 2 4" xfId="16984" xr:uid="{00000000-0005-0000-0000-0000D43B0000}"/>
    <cellStyle name="40% - Accent1 5 3 2 4 2" xfId="45990" xr:uid="{00000000-0005-0000-0000-0000D53B0000}"/>
    <cellStyle name="40% - Accent1 5 3 2 5" xfId="31491" xr:uid="{00000000-0005-0000-0000-0000D63B0000}"/>
    <cellStyle name="40% - Accent1 5 3 3" xfId="3458" xr:uid="{00000000-0005-0000-0000-0000D73B0000}"/>
    <cellStyle name="40% - Accent1 5 3 3 2" xfId="6562" xr:uid="{00000000-0005-0000-0000-0000D83B0000}"/>
    <cellStyle name="40% - Accent1 5 3 3 2 2" xfId="13834" xr:uid="{00000000-0005-0000-0000-0000D93B0000}"/>
    <cellStyle name="40% - Accent1 5 3 3 2 2 2" xfId="28368" xr:uid="{00000000-0005-0000-0000-0000DA3B0000}"/>
    <cellStyle name="40% - Accent1 5 3 3 2 2 2 2" xfId="57374" xr:uid="{00000000-0005-0000-0000-0000DB3B0000}"/>
    <cellStyle name="40% - Accent1 5 3 3 2 2 3" xfId="42875" xr:uid="{00000000-0005-0000-0000-0000DC3B0000}"/>
    <cellStyle name="40% - Accent1 5 3 3 2 3" xfId="21120" xr:uid="{00000000-0005-0000-0000-0000DD3B0000}"/>
    <cellStyle name="40% - Accent1 5 3 3 2 3 2" xfId="50126" xr:uid="{00000000-0005-0000-0000-0000DE3B0000}"/>
    <cellStyle name="40% - Accent1 5 3 3 2 4" xfId="35627" xr:uid="{00000000-0005-0000-0000-0000DF3B0000}"/>
    <cellStyle name="40% - Accent1 5 3 3 3" xfId="10730" xr:uid="{00000000-0005-0000-0000-0000E03B0000}"/>
    <cellStyle name="40% - Accent1 5 3 3 3 2" xfId="25264" xr:uid="{00000000-0005-0000-0000-0000E13B0000}"/>
    <cellStyle name="40% - Accent1 5 3 3 3 2 2" xfId="54270" xr:uid="{00000000-0005-0000-0000-0000E23B0000}"/>
    <cellStyle name="40% - Accent1 5 3 3 3 3" xfId="39771" xr:uid="{00000000-0005-0000-0000-0000E33B0000}"/>
    <cellStyle name="40% - Accent1 5 3 3 4" xfId="18016" xr:uid="{00000000-0005-0000-0000-0000E43B0000}"/>
    <cellStyle name="40% - Accent1 5 3 3 4 2" xfId="47022" xr:uid="{00000000-0005-0000-0000-0000E53B0000}"/>
    <cellStyle name="40% - Accent1 5 3 3 5" xfId="32523" xr:uid="{00000000-0005-0000-0000-0000E63B0000}"/>
    <cellStyle name="40% - Accent1 5 3 4" xfId="4490" xr:uid="{00000000-0005-0000-0000-0000E73B0000}"/>
    <cellStyle name="40% - Accent1 5 3 4 2" xfId="11762" xr:uid="{00000000-0005-0000-0000-0000E83B0000}"/>
    <cellStyle name="40% - Accent1 5 3 4 2 2" xfId="26296" xr:uid="{00000000-0005-0000-0000-0000E93B0000}"/>
    <cellStyle name="40% - Accent1 5 3 4 2 2 2" xfId="55302" xr:uid="{00000000-0005-0000-0000-0000EA3B0000}"/>
    <cellStyle name="40% - Accent1 5 3 4 2 3" xfId="40803" xr:uid="{00000000-0005-0000-0000-0000EB3B0000}"/>
    <cellStyle name="40% - Accent1 5 3 4 3" xfId="19048" xr:uid="{00000000-0005-0000-0000-0000EC3B0000}"/>
    <cellStyle name="40% - Accent1 5 3 4 3 2" xfId="48054" xr:uid="{00000000-0005-0000-0000-0000ED3B0000}"/>
    <cellStyle name="40% - Accent1 5 3 4 4" xfId="33555" xr:uid="{00000000-0005-0000-0000-0000EE3B0000}"/>
    <cellStyle name="40% - Accent1 5 3 5" xfId="7594" xr:uid="{00000000-0005-0000-0000-0000EF3B0000}"/>
    <cellStyle name="40% - Accent1 5 3 5 2" xfId="14866" xr:uid="{00000000-0005-0000-0000-0000F03B0000}"/>
    <cellStyle name="40% - Accent1 5 3 5 2 2" xfId="29400" xr:uid="{00000000-0005-0000-0000-0000F13B0000}"/>
    <cellStyle name="40% - Accent1 5 3 5 2 2 2" xfId="58406" xr:uid="{00000000-0005-0000-0000-0000F23B0000}"/>
    <cellStyle name="40% - Accent1 5 3 5 2 3" xfId="43907" xr:uid="{00000000-0005-0000-0000-0000F33B0000}"/>
    <cellStyle name="40% - Accent1 5 3 5 3" xfId="22152" xr:uid="{00000000-0005-0000-0000-0000F43B0000}"/>
    <cellStyle name="40% - Accent1 5 3 5 3 2" xfId="51158" xr:uid="{00000000-0005-0000-0000-0000F53B0000}"/>
    <cellStyle name="40% - Accent1 5 3 5 4" xfId="36659" xr:uid="{00000000-0005-0000-0000-0000F63B0000}"/>
    <cellStyle name="40% - Accent1 5 3 6" xfId="8658" xr:uid="{00000000-0005-0000-0000-0000F73B0000}"/>
    <cellStyle name="40% - Accent1 5 3 6 2" xfId="23192" xr:uid="{00000000-0005-0000-0000-0000F83B0000}"/>
    <cellStyle name="40% - Accent1 5 3 6 2 2" xfId="52198" xr:uid="{00000000-0005-0000-0000-0000F93B0000}"/>
    <cellStyle name="40% - Accent1 5 3 6 3" xfId="37699" xr:uid="{00000000-0005-0000-0000-0000FA3B0000}"/>
    <cellStyle name="40% - Accent1 5 3 7" xfId="15944" xr:uid="{00000000-0005-0000-0000-0000FB3B0000}"/>
    <cellStyle name="40% - Accent1 5 3 7 2" xfId="44950" xr:uid="{00000000-0005-0000-0000-0000FC3B0000}"/>
    <cellStyle name="40% - Accent1 5 3 8" xfId="30451" xr:uid="{00000000-0005-0000-0000-0000FD3B0000}"/>
    <cellStyle name="40% - Accent1 5 4" xfId="1914" xr:uid="{00000000-0005-0000-0000-0000FE3B0000}"/>
    <cellStyle name="40% - Accent1 5 4 2" xfId="5018" xr:uid="{00000000-0005-0000-0000-0000FF3B0000}"/>
    <cellStyle name="40% - Accent1 5 4 2 2" xfId="12290" xr:uid="{00000000-0005-0000-0000-0000003C0000}"/>
    <cellStyle name="40% - Accent1 5 4 2 2 2" xfId="26824" xr:uid="{00000000-0005-0000-0000-0000013C0000}"/>
    <cellStyle name="40% - Accent1 5 4 2 2 2 2" xfId="55830" xr:uid="{00000000-0005-0000-0000-0000023C0000}"/>
    <cellStyle name="40% - Accent1 5 4 2 2 3" xfId="41331" xr:uid="{00000000-0005-0000-0000-0000033C0000}"/>
    <cellStyle name="40% - Accent1 5 4 2 3" xfId="19576" xr:uid="{00000000-0005-0000-0000-0000043C0000}"/>
    <cellStyle name="40% - Accent1 5 4 2 3 2" xfId="48582" xr:uid="{00000000-0005-0000-0000-0000053C0000}"/>
    <cellStyle name="40% - Accent1 5 4 2 4" xfId="34083" xr:uid="{00000000-0005-0000-0000-0000063C0000}"/>
    <cellStyle name="40% - Accent1 5 4 3" xfId="9186" xr:uid="{00000000-0005-0000-0000-0000073C0000}"/>
    <cellStyle name="40% - Accent1 5 4 3 2" xfId="23720" xr:uid="{00000000-0005-0000-0000-0000083C0000}"/>
    <cellStyle name="40% - Accent1 5 4 3 2 2" xfId="52726" xr:uid="{00000000-0005-0000-0000-0000093C0000}"/>
    <cellStyle name="40% - Accent1 5 4 3 3" xfId="38227" xr:uid="{00000000-0005-0000-0000-00000A3C0000}"/>
    <cellStyle name="40% - Accent1 5 4 4" xfId="16472" xr:uid="{00000000-0005-0000-0000-00000B3C0000}"/>
    <cellStyle name="40% - Accent1 5 4 4 2" xfId="45478" xr:uid="{00000000-0005-0000-0000-00000C3C0000}"/>
    <cellStyle name="40% - Accent1 5 4 5" xfId="30979" xr:uid="{00000000-0005-0000-0000-00000D3C0000}"/>
    <cellStyle name="40% - Accent1 5 5" xfId="2946" xr:uid="{00000000-0005-0000-0000-00000E3C0000}"/>
    <cellStyle name="40% - Accent1 5 5 2" xfId="6050" xr:uid="{00000000-0005-0000-0000-00000F3C0000}"/>
    <cellStyle name="40% - Accent1 5 5 2 2" xfId="13322" xr:uid="{00000000-0005-0000-0000-0000103C0000}"/>
    <cellStyle name="40% - Accent1 5 5 2 2 2" xfId="27856" xr:uid="{00000000-0005-0000-0000-0000113C0000}"/>
    <cellStyle name="40% - Accent1 5 5 2 2 2 2" xfId="56862" xr:uid="{00000000-0005-0000-0000-0000123C0000}"/>
    <cellStyle name="40% - Accent1 5 5 2 2 3" xfId="42363" xr:uid="{00000000-0005-0000-0000-0000133C0000}"/>
    <cellStyle name="40% - Accent1 5 5 2 3" xfId="20608" xr:uid="{00000000-0005-0000-0000-0000143C0000}"/>
    <cellStyle name="40% - Accent1 5 5 2 3 2" xfId="49614" xr:uid="{00000000-0005-0000-0000-0000153C0000}"/>
    <cellStyle name="40% - Accent1 5 5 2 4" xfId="35115" xr:uid="{00000000-0005-0000-0000-0000163C0000}"/>
    <cellStyle name="40% - Accent1 5 5 3" xfId="10218" xr:uid="{00000000-0005-0000-0000-0000173C0000}"/>
    <cellStyle name="40% - Accent1 5 5 3 2" xfId="24752" xr:uid="{00000000-0005-0000-0000-0000183C0000}"/>
    <cellStyle name="40% - Accent1 5 5 3 2 2" xfId="53758" xr:uid="{00000000-0005-0000-0000-0000193C0000}"/>
    <cellStyle name="40% - Accent1 5 5 3 3" xfId="39259" xr:uid="{00000000-0005-0000-0000-00001A3C0000}"/>
    <cellStyle name="40% - Accent1 5 5 4" xfId="17504" xr:uid="{00000000-0005-0000-0000-00001B3C0000}"/>
    <cellStyle name="40% - Accent1 5 5 4 2" xfId="46510" xr:uid="{00000000-0005-0000-0000-00001C3C0000}"/>
    <cellStyle name="40% - Accent1 5 5 5" xfId="32011" xr:uid="{00000000-0005-0000-0000-00001D3C0000}"/>
    <cellStyle name="40% - Accent1 5 6" xfId="3978" xr:uid="{00000000-0005-0000-0000-00001E3C0000}"/>
    <cellStyle name="40% - Accent1 5 6 2" xfId="11250" xr:uid="{00000000-0005-0000-0000-00001F3C0000}"/>
    <cellStyle name="40% - Accent1 5 6 2 2" xfId="25784" xr:uid="{00000000-0005-0000-0000-0000203C0000}"/>
    <cellStyle name="40% - Accent1 5 6 2 2 2" xfId="54790" xr:uid="{00000000-0005-0000-0000-0000213C0000}"/>
    <cellStyle name="40% - Accent1 5 6 2 3" xfId="40291" xr:uid="{00000000-0005-0000-0000-0000223C0000}"/>
    <cellStyle name="40% - Accent1 5 6 3" xfId="18536" xr:uid="{00000000-0005-0000-0000-0000233C0000}"/>
    <cellStyle name="40% - Accent1 5 6 3 2" xfId="47542" xr:uid="{00000000-0005-0000-0000-0000243C0000}"/>
    <cellStyle name="40% - Accent1 5 6 4" xfId="33043" xr:uid="{00000000-0005-0000-0000-0000253C0000}"/>
    <cellStyle name="40% - Accent1 5 7" xfId="7082" xr:uid="{00000000-0005-0000-0000-0000263C0000}"/>
    <cellStyle name="40% - Accent1 5 7 2" xfId="14354" xr:uid="{00000000-0005-0000-0000-0000273C0000}"/>
    <cellStyle name="40% - Accent1 5 7 2 2" xfId="28888" xr:uid="{00000000-0005-0000-0000-0000283C0000}"/>
    <cellStyle name="40% - Accent1 5 7 2 2 2" xfId="57894" xr:uid="{00000000-0005-0000-0000-0000293C0000}"/>
    <cellStyle name="40% - Accent1 5 7 2 3" xfId="43395" xr:uid="{00000000-0005-0000-0000-00002A3C0000}"/>
    <cellStyle name="40% - Accent1 5 7 3" xfId="21640" xr:uid="{00000000-0005-0000-0000-00002B3C0000}"/>
    <cellStyle name="40% - Accent1 5 7 3 2" xfId="50646" xr:uid="{00000000-0005-0000-0000-00002C3C0000}"/>
    <cellStyle name="40% - Accent1 5 7 4" xfId="36147" xr:uid="{00000000-0005-0000-0000-00002D3C0000}"/>
    <cellStyle name="40% - Accent1 5 8" xfId="8146" xr:uid="{00000000-0005-0000-0000-00002E3C0000}"/>
    <cellStyle name="40% - Accent1 5 8 2" xfId="22680" xr:uid="{00000000-0005-0000-0000-00002F3C0000}"/>
    <cellStyle name="40% - Accent1 5 8 2 2" xfId="51686" xr:uid="{00000000-0005-0000-0000-0000303C0000}"/>
    <cellStyle name="40% - Accent1 5 8 3" xfId="37187" xr:uid="{00000000-0005-0000-0000-0000313C0000}"/>
    <cellStyle name="40% - Accent1 5 9" xfId="15432" xr:uid="{00000000-0005-0000-0000-0000323C0000}"/>
    <cellStyle name="40% - Accent1 5 9 2" xfId="44438" xr:uid="{00000000-0005-0000-0000-0000333C0000}"/>
    <cellStyle name="40% - Accent1 6" xfId="1078" xr:uid="{00000000-0005-0000-0000-0000343C0000}"/>
    <cellStyle name="40% - Accent1 6 2" xfId="1570" xr:uid="{00000000-0005-0000-0000-0000353C0000}"/>
    <cellStyle name="40% - Accent1 6 2 2" xfId="2629" xr:uid="{00000000-0005-0000-0000-0000363C0000}"/>
    <cellStyle name="40% - Accent1 6 2 2 2" xfId="5733" xr:uid="{00000000-0005-0000-0000-0000373C0000}"/>
    <cellStyle name="40% - Accent1 6 2 2 2 2" xfId="13005" xr:uid="{00000000-0005-0000-0000-0000383C0000}"/>
    <cellStyle name="40% - Accent1 6 2 2 2 2 2" xfId="27539" xr:uid="{00000000-0005-0000-0000-0000393C0000}"/>
    <cellStyle name="40% - Accent1 6 2 2 2 2 2 2" xfId="56545" xr:uid="{00000000-0005-0000-0000-00003A3C0000}"/>
    <cellStyle name="40% - Accent1 6 2 2 2 2 3" xfId="42046" xr:uid="{00000000-0005-0000-0000-00003B3C0000}"/>
    <cellStyle name="40% - Accent1 6 2 2 2 3" xfId="20291" xr:uid="{00000000-0005-0000-0000-00003C3C0000}"/>
    <cellStyle name="40% - Accent1 6 2 2 2 3 2" xfId="49297" xr:uid="{00000000-0005-0000-0000-00003D3C0000}"/>
    <cellStyle name="40% - Accent1 6 2 2 2 4" xfId="34798" xr:uid="{00000000-0005-0000-0000-00003E3C0000}"/>
    <cellStyle name="40% - Accent1 6 2 2 3" xfId="9901" xr:uid="{00000000-0005-0000-0000-00003F3C0000}"/>
    <cellStyle name="40% - Accent1 6 2 2 3 2" xfId="24435" xr:uid="{00000000-0005-0000-0000-0000403C0000}"/>
    <cellStyle name="40% - Accent1 6 2 2 3 2 2" xfId="53441" xr:uid="{00000000-0005-0000-0000-0000413C0000}"/>
    <cellStyle name="40% - Accent1 6 2 2 3 3" xfId="38942" xr:uid="{00000000-0005-0000-0000-0000423C0000}"/>
    <cellStyle name="40% - Accent1 6 2 2 4" xfId="17187" xr:uid="{00000000-0005-0000-0000-0000433C0000}"/>
    <cellStyle name="40% - Accent1 6 2 2 4 2" xfId="46193" xr:uid="{00000000-0005-0000-0000-0000443C0000}"/>
    <cellStyle name="40% - Accent1 6 2 2 5" xfId="31694" xr:uid="{00000000-0005-0000-0000-0000453C0000}"/>
    <cellStyle name="40% - Accent1 6 2 3" xfId="3661" xr:uid="{00000000-0005-0000-0000-0000463C0000}"/>
    <cellStyle name="40% - Accent1 6 2 3 2" xfId="6765" xr:uid="{00000000-0005-0000-0000-0000473C0000}"/>
    <cellStyle name="40% - Accent1 6 2 3 2 2" xfId="14037" xr:uid="{00000000-0005-0000-0000-0000483C0000}"/>
    <cellStyle name="40% - Accent1 6 2 3 2 2 2" xfId="28571" xr:uid="{00000000-0005-0000-0000-0000493C0000}"/>
    <cellStyle name="40% - Accent1 6 2 3 2 2 2 2" xfId="57577" xr:uid="{00000000-0005-0000-0000-00004A3C0000}"/>
    <cellStyle name="40% - Accent1 6 2 3 2 2 3" xfId="43078" xr:uid="{00000000-0005-0000-0000-00004B3C0000}"/>
    <cellStyle name="40% - Accent1 6 2 3 2 3" xfId="21323" xr:uid="{00000000-0005-0000-0000-00004C3C0000}"/>
    <cellStyle name="40% - Accent1 6 2 3 2 3 2" xfId="50329" xr:uid="{00000000-0005-0000-0000-00004D3C0000}"/>
    <cellStyle name="40% - Accent1 6 2 3 2 4" xfId="35830" xr:uid="{00000000-0005-0000-0000-00004E3C0000}"/>
    <cellStyle name="40% - Accent1 6 2 3 3" xfId="10933" xr:uid="{00000000-0005-0000-0000-00004F3C0000}"/>
    <cellStyle name="40% - Accent1 6 2 3 3 2" xfId="25467" xr:uid="{00000000-0005-0000-0000-0000503C0000}"/>
    <cellStyle name="40% - Accent1 6 2 3 3 2 2" xfId="54473" xr:uid="{00000000-0005-0000-0000-0000513C0000}"/>
    <cellStyle name="40% - Accent1 6 2 3 3 3" xfId="39974" xr:uid="{00000000-0005-0000-0000-0000523C0000}"/>
    <cellStyle name="40% - Accent1 6 2 3 4" xfId="18219" xr:uid="{00000000-0005-0000-0000-0000533C0000}"/>
    <cellStyle name="40% - Accent1 6 2 3 4 2" xfId="47225" xr:uid="{00000000-0005-0000-0000-0000543C0000}"/>
    <cellStyle name="40% - Accent1 6 2 3 5" xfId="32726" xr:uid="{00000000-0005-0000-0000-0000553C0000}"/>
    <cellStyle name="40% - Accent1 6 2 4" xfId="4693" xr:uid="{00000000-0005-0000-0000-0000563C0000}"/>
    <cellStyle name="40% - Accent1 6 2 4 2" xfId="11965" xr:uid="{00000000-0005-0000-0000-0000573C0000}"/>
    <cellStyle name="40% - Accent1 6 2 4 2 2" xfId="26499" xr:uid="{00000000-0005-0000-0000-0000583C0000}"/>
    <cellStyle name="40% - Accent1 6 2 4 2 2 2" xfId="55505" xr:uid="{00000000-0005-0000-0000-0000593C0000}"/>
    <cellStyle name="40% - Accent1 6 2 4 2 3" xfId="41006" xr:uid="{00000000-0005-0000-0000-00005A3C0000}"/>
    <cellStyle name="40% - Accent1 6 2 4 3" xfId="19251" xr:uid="{00000000-0005-0000-0000-00005B3C0000}"/>
    <cellStyle name="40% - Accent1 6 2 4 3 2" xfId="48257" xr:uid="{00000000-0005-0000-0000-00005C3C0000}"/>
    <cellStyle name="40% - Accent1 6 2 4 4" xfId="33758" xr:uid="{00000000-0005-0000-0000-00005D3C0000}"/>
    <cellStyle name="40% - Accent1 6 2 5" xfId="7797" xr:uid="{00000000-0005-0000-0000-00005E3C0000}"/>
    <cellStyle name="40% - Accent1 6 2 5 2" xfId="15069" xr:uid="{00000000-0005-0000-0000-00005F3C0000}"/>
    <cellStyle name="40% - Accent1 6 2 5 2 2" xfId="29603" xr:uid="{00000000-0005-0000-0000-0000603C0000}"/>
    <cellStyle name="40% - Accent1 6 2 5 2 2 2" xfId="58609" xr:uid="{00000000-0005-0000-0000-0000613C0000}"/>
    <cellStyle name="40% - Accent1 6 2 5 2 3" xfId="44110" xr:uid="{00000000-0005-0000-0000-0000623C0000}"/>
    <cellStyle name="40% - Accent1 6 2 5 3" xfId="22355" xr:uid="{00000000-0005-0000-0000-0000633C0000}"/>
    <cellStyle name="40% - Accent1 6 2 5 3 2" xfId="51361" xr:uid="{00000000-0005-0000-0000-0000643C0000}"/>
    <cellStyle name="40% - Accent1 6 2 5 4" xfId="36862" xr:uid="{00000000-0005-0000-0000-0000653C0000}"/>
    <cellStyle name="40% - Accent1 6 2 6" xfId="8861" xr:uid="{00000000-0005-0000-0000-0000663C0000}"/>
    <cellStyle name="40% - Accent1 6 2 6 2" xfId="23395" xr:uid="{00000000-0005-0000-0000-0000673C0000}"/>
    <cellStyle name="40% - Accent1 6 2 6 2 2" xfId="52401" xr:uid="{00000000-0005-0000-0000-0000683C0000}"/>
    <cellStyle name="40% - Accent1 6 2 6 3" xfId="37902" xr:uid="{00000000-0005-0000-0000-0000693C0000}"/>
    <cellStyle name="40% - Accent1 6 2 7" xfId="16147" xr:uid="{00000000-0005-0000-0000-00006A3C0000}"/>
    <cellStyle name="40% - Accent1 6 2 7 2" xfId="45153" xr:uid="{00000000-0005-0000-0000-00006B3C0000}"/>
    <cellStyle name="40% - Accent1 6 2 8" xfId="30654" xr:uid="{00000000-0005-0000-0000-00006C3C0000}"/>
    <cellStyle name="40% - Accent1 6 3" xfId="2117" xr:uid="{00000000-0005-0000-0000-00006D3C0000}"/>
    <cellStyle name="40% - Accent1 6 3 2" xfId="5221" xr:uid="{00000000-0005-0000-0000-00006E3C0000}"/>
    <cellStyle name="40% - Accent1 6 3 2 2" xfId="12493" xr:uid="{00000000-0005-0000-0000-00006F3C0000}"/>
    <cellStyle name="40% - Accent1 6 3 2 2 2" xfId="27027" xr:uid="{00000000-0005-0000-0000-0000703C0000}"/>
    <cellStyle name="40% - Accent1 6 3 2 2 2 2" xfId="56033" xr:uid="{00000000-0005-0000-0000-0000713C0000}"/>
    <cellStyle name="40% - Accent1 6 3 2 2 3" xfId="41534" xr:uid="{00000000-0005-0000-0000-0000723C0000}"/>
    <cellStyle name="40% - Accent1 6 3 2 3" xfId="19779" xr:uid="{00000000-0005-0000-0000-0000733C0000}"/>
    <cellStyle name="40% - Accent1 6 3 2 3 2" xfId="48785" xr:uid="{00000000-0005-0000-0000-0000743C0000}"/>
    <cellStyle name="40% - Accent1 6 3 2 4" xfId="34286" xr:uid="{00000000-0005-0000-0000-0000753C0000}"/>
    <cellStyle name="40% - Accent1 6 3 3" xfId="9389" xr:uid="{00000000-0005-0000-0000-0000763C0000}"/>
    <cellStyle name="40% - Accent1 6 3 3 2" xfId="23923" xr:uid="{00000000-0005-0000-0000-0000773C0000}"/>
    <cellStyle name="40% - Accent1 6 3 3 2 2" xfId="52929" xr:uid="{00000000-0005-0000-0000-0000783C0000}"/>
    <cellStyle name="40% - Accent1 6 3 3 3" xfId="38430" xr:uid="{00000000-0005-0000-0000-0000793C0000}"/>
    <cellStyle name="40% - Accent1 6 3 4" xfId="16675" xr:uid="{00000000-0005-0000-0000-00007A3C0000}"/>
    <cellStyle name="40% - Accent1 6 3 4 2" xfId="45681" xr:uid="{00000000-0005-0000-0000-00007B3C0000}"/>
    <cellStyle name="40% - Accent1 6 3 5" xfId="31182" xr:uid="{00000000-0005-0000-0000-00007C3C0000}"/>
    <cellStyle name="40% - Accent1 6 4" xfId="3149" xr:uid="{00000000-0005-0000-0000-00007D3C0000}"/>
    <cellStyle name="40% - Accent1 6 4 2" xfId="6253" xr:uid="{00000000-0005-0000-0000-00007E3C0000}"/>
    <cellStyle name="40% - Accent1 6 4 2 2" xfId="13525" xr:uid="{00000000-0005-0000-0000-00007F3C0000}"/>
    <cellStyle name="40% - Accent1 6 4 2 2 2" xfId="28059" xr:uid="{00000000-0005-0000-0000-0000803C0000}"/>
    <cellStyle name="40% - Accent1 6 4 2 2 2 2" xfId="57065" xr:uid="{00000000-0005-0000-0000-0000813C0000}"/>
    <cellStyle name="40% - Accent1 6 4 2 2 3" xfId="42566" xr:uid="{00000000-0005-0000-0000-0000823C0000}"/>
    <cellStyle name="40% - Accent1 6 4 2 3" xfId="20811" xr:uid="{00000000-0005-0000-0000-0000833C0000}"/>
    <cellStyle name="40% - Accent1 6 4 2 3 2" xfId="49817" xr:uid="{00000000-0005-0000-0000-0000843C0000}"/>
    <cellStyle name="40% - Accent1 6 4 2 4" xfId="35318" xr:uid="{00000000-0005-0000-0000-0000853C0000}"/>
    <cellStyle name="40% - Accent1 6 4 3" xfId="10421" xr:uid="{00000000-0005-0000-0000-0000863C0000}"/>
    <cellStyle name="40% - Accent1 6 4 3 2" xfId="24955" xr:uid="{00000000-0005-0000-0000-0000873C0000}"/>
    <cellStyle name="40% - Accent1 6 4 3 2 2" xfId="53961" xr:uid="{00000000-0005-0000-0000-0000883C0000}"/>
    <cellStyle name="40% - Accent1 6 4 3 3" xfId="39462" xr:uid="{00000000-0005-0000-0000-0000893C0000}"/>
    <cellStyle name="40% - Accent1 6 4 4" xfId="17707" xr:uid="{00000000-0005-0000-0000-00008A3C0000}"/>
    <cellStyle name="40% - Accent1 6 4 4 2" xfId="46713" xr:uid="{00000000-0005-0000-0000-00008B3C0000}"/>
    <cellStyle name="40% - Accent1 6 4 5" xfId="32214" xr:uid="{00000000-0005-0000-0000-00008C3C0000}"/>
    <cellStyle name="40% - Accent1 6 5" xfId="4181" xr:uid="{00000000-0005-0000-0000-00008D3C0000}"/>
    <cellStyle name="40% - Accent1 6 5 2" xfId="11453" xr:uid="{00000000-0005-0000-0000-00008E3C0000}"/>
    <cellStyle name="40% - Accent1 6 5 2 2" xfId="25987" xr:uid="{00000000-0005-0000-0000-00008F3C0000}"/>
    <cellStyle name="40% - Accent1 6 5 2 2 2" xfId="54993" xr:uid="{00000000-0005-0000-0000-0000903C0000}"/>
    <cellStyle name="40% - Accent1 6 5 2 3" xfId="40494" xr:uid="{00000000-0005-0000-0000-0000913C0000}"/>
    <cellStyle name="40% - Accent1 6 5 3" xfId="18739" xr:uid="{00000000-0005-0000-0000-0000923C0000}"/>
    <cellStyle name="40% - Accent1 6 5 3 2" xfId="47745" xr:uid="{00000000-0005-0000-0000-0000933C0000}"/>
    <cellStyle name="40% - Accent1 6 5 4" xfId="33246" xr:uid="{00000000-0005-0000-0000-0000943C0000}"/>
    <cellStyle name="40% - Accent1 6 6" xfId="7285" xr:uid="{00000000-0005-0000-0000-0000953C0000}"/>
    <cellStyle name="40% - Accent1 6 6 2" xfId="14557" xr:uid="{00000000-0005-0000-0000-0000963C0000}"/>
    <cellStyle name="40% - Accent1 6 6 2 2" xfId="29091" xr:uid="{00000000-0005-0000-0000-0000973C0000}"/>
    <cellStyle name="40% - Accent1 6 6 2 2 2" xfId="58097" xr:uid="{00000000-0005-0000-0000-0000983C0000}"/>
    <cellStyle name="40% - Accent1 6 6 2 3" xfId="43598" xr:uid="{00000000-0005-0000-0000-0000993C0000}"/>
    <cellStyle name="40% - Accent1 6 6 3" xfId="21843" xr:uid="{00000000-0005-0000-0000-00009A3C0000}"/>
    <cellStyle name="40% - Accent1 6 6 3 2" xfId="50849" xr:uid="{00000000-0005-0000-0000-00009B3C0000}"/>
    <cellStyle name="40% - Accent1 6 6 4" xfId="36350" xr:uid="{00000000-0005-0000-0000-00009C3C0000}"/>
    <cellStyle name="40% - Accent1 6 7" xfId="8349" xr:uid="{00000000-0005-0000-0000-00009D3C0000}"/>
    <cellStyle name="40% - Accent1 6 7 2" xfId="22883" xr:uid="{00000000-0005-0000-0000-00009E3C0000}"/>
    <cellStyle name="40% - Accent1 6 7 2 2" xfId="51889" xr:uid="{00000000-0005-0000-0000-00009F3C0000}"/>
    <cellStyle name="40% - Accent1 6 7 3" xfId="37390" xr:uid="{00000000-0005-0000-0000-0000A03C0000}"/>
    <cellStyle name="40% - Accent1 6 8" xfId="15635" xr:uid="{00000000-0005-0000-0000-0000A13C0000}"/>
    <cellStyle name="40% - Accent1 6 8 2" xfId="44641" xr:uid="{00000000-0005-0000-0000-0000A23C0000}"/>
    <cellStyle name="40% - Accent1 6 9" xfId="30142" xr:uid="{00000000-0005-0000-0000-0000A33C0000}"/>
    <cellStyle name="40% - Accent1 7" xfId="986" xr:uid="{00000000-0005-0000-0000-0000A43C0000}"/>
    <cellStyle name="40% - Accent1 7 2" xfId="1471" xr:uid="{00000000-0005-0000-0000-0000A53C0000}"/>
    <cellStyle name="40% - Accent1 7 2 2" xfId="2529" xr:uid="{00000000-0005-0000-0000-0000A63C0000}"/>
    <cellStyle name="40% - Accent1 7 2 2 2" xfId="5633" xr:uid="{00000000-0005-0000-0000-0000A73C0000}"/>
    <cellStyle name="40% - Accent1 7 2 2 2 2" xfId="12905" xr:uid="{00000000-0005-0000-0000-0000A83C0000}"/>
    <cellStyle name="40% - Accent1 7 2 2 2 2 2" xfId="27439" xr:uid="{00000000-0005-0000-0000-0000A93C0000}"/>
    <cellStyle name="40% - Accent1 7 2 2 2 2 2 2" xfId="56445" xr:uid="{00000000-0005-0000-0000-0000AA3C0000}"/>
    <cellStyle name="40% - Accent1 7 2 2 2 2 3" xfId="41946" xr:uid="{00000000-0005-0000-0000-0000AB3C0000}"/>
    <cellStyle name="40% - Accent1 7 2 2 2 3" xfId="20191" xr:uid="{00000000-0005-0000-0000-0000AC3C0000}"/>
    <cellStyle name="40% - Accent1 7 2 2 2 3 2" xfId="49197" xr:uid="{00000000-0005-0000-0000-0000AD3C0000}"/>
    <cellStyle name="40% - Accent1 7 2 2 2 4" xfId="34698" xr:uid="{00000000-0005-0000-0000-0000AE3C0000}"/>
    <cellStyle name="40% - Accent1 7 2 2 3" xfId="9801" xr:uid="{00000000-0005-0000-0000-0000AF3C0000}"/>
    <cellStyle name="40% - Accent1 7 2 2 3 2" xfId="24335" xr:uid="{00000000-0005-0000-0000-0000B03C0000}"/>
    <cellStyle name="40% - Accent1 7 2 2 3 2 2" xfId="53341" xr:uid="{00000000-0005-0000-0000-0000B13C0000}"/>
    <cellStyle name="40% - Accent1 7 2 2 3 3" xfId="38842" xr:uid="{00000000-0005-0000-0000-0000B23C0000}"/>
    <cellStyle name="40% - Accent1 7 2 2 4" xfId="17087" xr:uid="{00000000-0005-0000-0000-0000B33C0000}"/>
    <cellStyle name="40% - Accent1 7 2 2 4 2" xfId="46093" xr:uid="{00000000-0005-0000-0000-0000B43C0000}"/>
    <cellStyle name="40% - Accent1 7 2 2 5" xfId="31594" xr:uid="{00000000-0005-0000-0000-0000B53C0000}"/>
    <cellStyle name="40% - Accent1 7 2 3" xfId="3561" xr:uid="{00000000-0005-0000-0000-0000B63C0000}"/>
    <cellStyle name="40% - Accent1 7 2 3 2" xfId="6665" xr:uid="{00000000-0005-0000-0000-0000B73C0000}"/>
    <cellStyle name="40% - Accent1 7 2 3 2 2" xfId="13937" xr:uid="{00000000-0005-0000-0000-0000B83C0000}"/>
    <cellStyle name="40% - Accent1 7 2 3 2 2 2" xfId="28471" xr:uid="{00000000-0005-0000-0000-0000B93C0000}"/>
    <cellStyle name="40% - Accent1 7 2 3 2 2 2 2" xfId="57477" xr:uid="{00000000-0005-0000-0000-0000BA3C0000}"/>
    <cellStyle name="40% - Accent1 7 2 3 2 2 3" xfId="42978" xr:uid="{00000000-0005-0000-0000-0000BB3C0000}"/>
    <cellStyle name="40% - Accent1 7 2 3 2 3" xfId="21223" xr:uid="{00000000-0005-0000-0000-0000BC3C0000}"/>
    <cellStyle name="40% - Accent1 7 2 3 2 3 2" xfId="50229" xr:uid="{00000000-0005-0000-0000-0000BD3C0000}"/>
    <cellStyle name="40% - Accent1 7 2 3 2 4" xfId="35730" xr:uid="{00000000-0005-0000-0000-0000BE3C0000}"/>
    <cellStyle name="40% - Accent1 7 2 3 3" xfId="10833" xr:uid="{00000000-0005-0000-0000-0000BF3C0000}"/>
    <cellStyle name="40% - Accent1 7 2 3 3 2" xfId="25367" xr:uid="{00000000-0005-0000-0000-0000C03C0000}"/>
    <cellStyle name="40% - Accent1 7 2 3 3 2 2" xfId="54373" xr:uid="{00000000-0005-0000-0000-0000C13C0000}"/>
    <cellStyle name="40% - Accent1 7 2 3 3 3" xfId="39874" xr:uid="{00000000-0005-0000-0000-0000C23C0000}"/>
    <cellStyle name="40% - Accent1 7 2 3 4" xfId="18119" xr:uid="{00000000-0005-0000-0000-0000C33C0000}"/>
    <cellStyle name="40% - Accent1 7 2 3 4 2" xfId="47125" xr:uid="{00000000-0005-0000-0000-0000C43C0000}"/>
    <cellStyle name="40% - Accent1 7 2 3 5" xfId="32626" xr:uid="{00000000-0005-0000-0000-0000C53C0000}"/>
    <cellStyle name="40% - Accent1 7 2 4" xfId="4593" xr:uid="{00000000-0005-0000-0000-0000C63C0000}"/>
    <cellStyle name="40% - Accent1 7 2 4 2" xfId="11865" xr:uid="{00000000-0005-0000-0000-0000C73C0000}"/>
    <cellStyle name="40% - Accent1 7 2 4 2 2" xfId="26399" xr:uid="{00000000-0005-0000-0000-0000C83C0000}"/>
    <cellStyle name="40% - Accent1 7 2 4 2 2 2" xfId="55405" xr:uid="{00000000-0005-0000-0000-0000C93C0000}"/>
    <cellStyle name="40% - Accent1 7 2 4 2 3" xfId="40906" xr:uid="{00000000-0005-0000-0000-0000CA3C0000}"/>
    <cellStyle name="40% - Accent1 7 2 4 3" xfId="19151" xr:uid="{00000000-0005-0000-0000-0000CB3C0000}"/>
    <cellStyle name="40% - Accent1 7 2 4 3 2" xfId="48157" xr:uid="{00000000-0005-0000-0000-0000CC3C0000}"/>
    <cellStyle name="40% - Accent1 7 2 4 4" xfId="33658" xr:uid="{00000000-0005-0000-0000-0000CD3C0000}"/>
    <cellStyle name="40% - Accent1 7 2 5" xfId="7697" xr:uid="{00000000-0005-0000-0000-0000CE3C0000}"/>
    <cellStyle name="40% - Accent1 7 2 5 2" xfId="14969" xr:uid="{00000000-0005-0000-0000-0000CF3C0000}"/>
    <cellStyle name="40% - Accent1 7 2 5 2 2" xfId="29503" xr:uid="{00000000-0005-0000-0000-0000D03C0000}"/>
    <cellStyle name="40% - Accent1 7 2 5 2 2 2" xfId="58509" xr:uid="{00000000-0005-0000-0000-0000D13C0000}"/>
    <cellStyle name="40% - Accent1 7 2 5 2 3" xfId="44010" xr:uid="{00000000-0005-0000-0000-0000D23C0000}"/>
    <cellStyle name="40% - Accent1 7 2 5 3" xfId="22255" xr:uid="{00000000-0005-0000-0000-0000D33C0000}"/>
    <cellStyle name="40% - Accent1 7 2 5 3 2" xfId="51261" xr:uid="{00000000-0005-0000-0000-0000D43C0000}"/>
    <cellStyle name="40% - Accent1 7 2 5 4" xfId="36762" xr:uid="{00000000-0005-0000-0000-0000D53C0000}"/>
    <cellStyle name="40% - Accent1 7 2 6" xfId="8761" xr:uid="{00000000-0005-0000-0000-0000D63C0000}"/>
    <cellStyle name="40% - Accent1 7 2 6 2" xfId="23295" xr:uid="{00000000-0005-0000-0000-0000D73C0000}"/>
    <cellStyle name="40% - Accent1 7 2 6 2 2" xfId="52301" xr:uid="{00000000-0005-0000-0000-0000D83C0000}"/>
    <cellStyle name="40% - Accent1 7 2 6 3" xfId="37802" xr:uid="{00000000-0005-0000-0000-0000D93C0000}"/>
    <cellStyle name="40% - Accent1 7 2 7" xfId="16047" xr:uid="{00000000-0005-0000-0000-0000DA3C0000}"/>
    <cellStyle name="40% - Accent1 7 2 7 2" xfId="45053" xr:uid="{00000000-0005-0000-0000-0000DB3C0000}"/>
    <cellStyle name="40% - Accent1 7 2 8" xfId="30554" xr:uid="{00000000-0005-0000-0000-0000DC3C0000}"/>
    <cellStyle name="40% - Accent1 7 3" xfId="2017" xr:uid="{00000000-0005-0000-0000-0000DD3C0000}"/>
    <cellStyle name="40% - Accent1 7 3 2" xfId="5121" xr:uid="{00000000-0005-0000-0000-0000DE3C0000}"/>
    <cellStyle name="40% - Accent1 7 3 2 2" xfId="12393" xr:uid="{00000000-0005-0000-0000-0000DF3C0000}"/>
    <cellStyle name="40% - Accent1 7 3 2 2 2" xfId="26927" xr:uid="{00000000-0005-0000-0000-0000E03C0000}"/>
    <cellStyle name="40% - Accent1 7 3 2 2 2 2" xfId="55933" xr:uid="{00000000-0005-0000-0000-0000E13C0000}"/>
    <cellStyle name="40% - Accent1 7 3 2 2 3" xfId="41434" xr:uid="{00000000-0005-0000-0000-0000E23C0000}"/>
    <cellStyle name="40% - Accent1 7 3 2 3" xfId="19679" xr:uid="{00000000-0005-0000-0000-0000E33C0000}"/>
    <cellStyle name="40% - Accent1 7 3 2 3 2" xfId="48685" xr:uid="{00000000-0005-0000-0000-0000E43C0000}"/>
    <cellStyle name="40% - Accent1 7 3 2 4" xfId="34186" xr:uid="{00000000-0005-0000-0000-0000E53C0000}"/>
    <cellStyle name="40% - Accent1 7 3 3" xfId="9289" xr:uid="{00000000-0005-0000-0000-0000E63C0000}"/>
    <cellStyle name="40% - Accent1 7 3 3 2" xfId="23823" xr:uid="{00000000-0005-0000-0000-0000E73C0000}"/>
    <cellStyle name="40% - Accent1 7 3 3 2 2" xfId="52829" xr:uid="{00000000-0005-0000-0000-0000E83C0000}"/>
    <cellStyle name="40% - Accent1 7 3 3 3" xfId="38330" xr:uid="{00000000-0005-0000-0000-0000E93C0000}"/>
    <cellStyle name="40% - Accent1 7 3 4" xfId="16575" xr:uid="{00000000-0005-0000-0000-0000EA3C0000}"/>
    <cellStyle name="40% - Accent1 7 3 4 2" xfId="45581" xr:uid="{00000000-0005-0000-0000-0000EB3C0000}"/>
    <cellStyle name="40% - Accent1 7 3 5" xfId="31082" xr:uid="{00000000-0005-0000-0000-0000EC3C0000}"/>
    <cellStyle name="40% - Accent1 7 4" xfId="3049" xr:uid="{00000000-0005-0000-0000-0000ED3C0000}"/>
    <cellStyle name="40% - Accent1 7 4 2" xfId="6153" xr:uid="{00000000-0005-0000-0000-0000EE3C0000}"/>
    <cellStyle name="40% - Accent1 7 4 2 2" xfId="13425" xr:uid="{00000000-0005-0000-0000-0000EF3C0000}"/>
    <cellStyle name="40% - Accent1 7 4 2 2 2" xfId="27959" xr:uid="{00000000-0005-0000-0000-0000F03C0000}"/>
    <cellStyle name="40% - Accent1 7 4 2 2 2 2" xfId="56965" xr:uid="{00000000-0005-0000-0000-0000F13C0000}"/>
    <cellStyle name="40% - Accent1 7 4 2 2 3" xfId="42466" xr:uid="{00000000-0005-0000-0000-0000F23C0000}"/>
    <cellStyle name="40% - Accent1 7 4 2 3" xfId="20711" xr:uid="{00000000-0005-0000-0000-0000F33C0000}"/>
    <cellStyle name="40% - Accent1 7 4 2 3 2" xfId="49717" xr:uid="{00000000-0005-0000-0000-0000F43C0000}"/>
    <cellStyle name="40% - Accent1 7 4 2 4" xfId="35218" xr:uid="{00000000-0005-0000-0000-0000F53C0000}"/>
    <cellStyle name="40% - Accent1 7 4 3" xfId="10321" xr:uid="{00000000-0005-0000-0000-0000F63C0000}"/>
    <cellStyle name="40% - Accent1 7 4 3 2" xfId="24855" xr:uid="{00000000-0005-0000-0000-0000F73C0000}"/>
    <cellStyle name="40% - Accent1 7 4 3 2 2" xfId="53861" xr:uid="{00000000-0005-0000-0000-0000F83C0000}"/>
    <cellStyle name="40% - Accent1 7 4 3 3" xfId="39362" xr:uid="{00000000-0005-0000-0000-0000F93C0000}"/>
    <cellStyle name="40% - Accent1 7 4 4" xfId="17607" xr:uid="{00000000-0005-0000-0000-0000FA3C0000}"/>
    <cellStyle name="40% - Accent1 7 4 4 2" xfId="46613" xr:uid="{00000000-0005-0000-0000-0000FB3C0000}"/>
    <cellStyle name="40% - Accent1 7 4 5" xfId="32114" xr:uid="{00000000-0005-0000-0000-0000FC3C0000}"/>
    <cellStyle name="40% - Accent1 7 5" xfId="4081" xr:uid="{00000000-0005-0000-0000-0000FD3C0000}"/>
    <cellStyle name="40% - Accent1 7 5 2" xfId="11353" xr:uid="{00000000-0005-0000-0000-0000FE3C0000}"/>
    <cellStyle name="40% - Accent1 7 5 2 2" xfId="25887" xr:uid="{00000000-0005-0000-0000-0000FF3C0000}"/>
    <cellStyle name="40% - Accent1 7 5 2 2 2" xfId="54893" xr:uid="{00000000-0005-0000-0000-0000003D0000}"/>
    <cellStyle name="40% - Accent1 7 5 2 3" xfId="40394" xr:uid="{00000000-0005-0000-0000-0000013D0000}"/>
    <cellStyle name="40% - Accent1 7 5 3" xfId="18639" xr:uid="{00000000-0005-0000-0000-0000023D0000}"/>
    <cellStyle name="40% - Accent1 7 5 3 2" xfId="47645" xr:uid="{00000000-0005-0000-0000-0000033D0000}"/>
    <cellStyle name="40% - Accent1 7 5 4" xfId="33146" xr:uid="{00000000-0005-0000-0000-0000043D0000}"/>
    <cellStyle name="40% - Accent1 7 6" xfId="7185" xr:uid="{00000000-0005-0000-0000-0000053D0000}"/>
    <cellStyle name="40% - Accent1 7 6 2" xfId="14457" xr:uid="{00000000-0005-0000-0000-0000063D0000}"/>
    <cellStyle name="40% - Accent1 7 6 2 2" xfId="28991" xr:uid="{00000000-0005-0000-0000-0000073D0000}"/>
    <cellStyle name="40% - Accent1 7 6 2 2 2" xfId="57997" xr:uid="{00000000-0005-0000-0000-0000083D0000}"/>
    <cellStyle name="40% - Accent1 7 6 2 3" xfId="43498" xr:uid="{00000000-0005-0000-0000-0000093D0000}"/>
    <cellStyle name="40% - Accent1 7 6 3" xfId="21743" xr:uid="{00000000-0005-0000-0000-00000A3D0000}"/>
    <cellStyle name="40% - Accent1 7 6 3 2" xfId="50749" xr:uid="{00000000-0005-0000-0000-00000B3D0000}"/>
    <cellStyle name="40% - Accent1 7 6 4" xfId="36250" xr:uid="{00000000-0005-0000-0000-00000C3D0000}"/>
    <cellStyle name="40% - Accent1 7 7" xfId="8249" xr:uid="{00000000-0005-0000-0000-00000D3D0000}"/>
    <cellStyle name="40% - Accent1 7 7 2" xfId="22783" xr:uid="{00000000-0005-0000-0000-00000E3D0000}"/>
    <cellStyle name="40% - Accent1 7 7 2 2" xfId="51789" xr:uid="{00000000-0005-0000-0000-00000F3D0000}"/>
    <cellStyle name="40% - Accent1 7 7 3" xfId="37290" xr:uid="{00000000-0005-0000-0000-0000103D0000}"/>
    <cellStyle name="40% - Accent1 7 8" xfId="15535" xr:uid="{00000000-0005-0000-0000-0000113D0000}"/>
    <cellStyle name="40% - Accent1 7 8 2" xfId="44541" xr:uid="{00000000-0005-0000-0000-0000123D0000}"/>
    <cellStyle name="40% - Accent1 7 9" xfId="30042" xr:uid="{00000000-0005-0000-0000-0000133D0000}"/>
    <cellStyle name="40% - Accent1 8" xfId="1268" xr:uid="{00000000-0005-0000-0000-0000143D0000}"/>
    <cellStyle name="40% - Accent1 8 2" xfId="2323" xr:uid="{00000000-0005-0000-0000-0000153D0000}"/>
    <cellStyle name="40% - Accent1 8 2 2" xfId="5427" xr:uid="{00000000-0005-0000-0000-0000163D0000}"/>
    <cellStyle name="40% - Accent1 8 2 2 2" xfId="12699" xr:uid="{00000000-0005-0000-0000-0000173D0000}"/>
    <cellStyle name="40% - Accent1 8 2 2 2 2" xfId="27233" xr:uid="{00000000-0005-0000-0000-0000183D0000}"/>
    <cellStyle name="40% - Accent1 8 2 2 2 2 2" xfId="56239" xr:uid="{00000000-0005-0000-0000-0000193D0000}"/>
    <cellStyle name="40% - Accent1 8 2 2 2 3" xfId="41740" xr:uid="{00000000-0005-0000-0000-00001A3D0000}"/>
    <cellStyle name="40% - Accent1 8 2 2 3" xfId="19985" xr:uid="{00000000-0005-0000-0000-00001B3D0000}"/>
    <cellStyle name="40% - Accent1 8 2 2 3 2" xfId="48991" xr:uid="{00000000-0005-0000-0000-00001C3D0000}"/>
    <cellStyle name="40% - Accent1 8 2 2 4" xfId="34492" xr:uid="{00000000-0005-0000-0000-00001D3D0000}"/>
    <cellStyle name="40% - Accent1 8 2 3" xfId="9595" xr:uid="{00000000-0005-0000-0000-00001E3D0000}"/>
    <cellStyle name="40% - Accent1 8 2 3 2" xfId="24129" xr:uid="{00000000-0005-0000-0000-00001F3D0000}"/>
    <cellStyle name="40% - Accent1 8 2 3 2 2" xfId="53135" xr:uid="{00000000-0005-0000-0000-0000203D0000}"/>
    <cellStyle name="40% - Accent1 8 2 3 3" xfId="38636" xr:uid="{00000000-0005-0000-0000-0000213D0000}"/>
    <cellStyle name="40% - Accent1 8 2 4" xfId="16881" xr:uid="{00000000-0005-0000-0000-0000223D0000}"/>
    <cellStyle name="40% - Accent1 8 2 4 2" xfId="45887" xr:uid="{00000000-0005-0000-0000-0000233D0000}"/>
    <cellStyle name="40% - Accent1 8 2 5" xfId="31388" xr:uid="{00000000-0005-0000-0000-0000243D0000}"/>
    <cellStyle name="40% - Accent1 8 3" xfId="3355" xr:uid="{00000000-0005-0000-0000-0000253D0000}"/>
    <cellStyle name="40% - Accent1 8 3 2" xfId="6459" xr:uid="{00000000-0005-0000-0000-0000263D0000}"/>
    <cellStyle name="40% - Accent1 8 3 2 2" xfId="13731" xr:uid="{00000000-0005-0000-0000-0000273D0000}"/>
    <cellStyle name="40% - Accent1 8 3 2 2 2" xfId="28265" xr:uid="{00000000-0005-0000-0000-0000283D0000}"/>
    <cellStyle name="40% - Accent1 8 3 2 2 2 2" xfId="57271" xr:uid="{00000000-0005-0000-0000-0000293D0000}"/>
    <cellStyle name="40% - Accent1 8 3 2 2 3" xfId="42772" xr:uid="{00000000-0005-0000-0000-00002A3D0000}"/>
    <cellStyle name="40% - Accent1 8 3 2 3" xfId="21017" xr:uid="{00000000-0005-0000-0000-00002B3D0000}"/>
    <cellStyle name="40% - Accent1 8 3 2 3 2" xfId="50023" xr:uid="{00000000-0005-0000-0000-00002C3D0000}"/>
    <cellStyle name="40% - Accent1 8 3 2 4" xfId="35524" xr:uid="{00000000-0005-0000-0000-00002D3D0000}"/>
    <cellStyle name="40% - Accent1 8 3 3" xfId="10627" xr:uid="{00000000-0005-0000-0000-00002E3D0000}"/>
    <cellStyle name="40% - Accent1 8 3 3 2" xfId="25161" xr:uid="{00000000-0005-0000-0000-00002F3D0000}"/>
    <cellStyle name="40% - Accent1 8 3 3 2 2" xfId="54167" xr:uid="{00000000-0005-0000-0000-0000303D0000}"/>
    <cellStyle name="40% - Accent1 8 3 3 3" xfId="39668" xr:uid="{00000000-0005-0000-0000-0000313D0000}"/>
    <cellStyle name="40% - Accent1 8 3 4" xfId="17913" xr:uid="{00000000-0005-0000-0000-0000323D0000}"/>
    <cellStyle name="40% - Accent1 8 3 4 2" xfId="46919" xr:uid="{00000000-0005-0000-0000-0000333D0000}"/>
    <cellStyle name="40% - Accent1 8 3 5" xfId="32420" xr:uid="{00000000-0005-0000-0000-0000343D0000}"/>
    <cellStyle name="40% - Accent1 8 4" xfId="4387" xr:uid="{00000000-0005-0000-0000-0000353D0000}"/>
    <cellStyle name="40% - Accent1 8 4 2" xfId="11659" xr:uid="{00000000-0005-0000-0000-0000363D0000}"/>
    <cellStyle name="40% - Accent1 8 4 2 2" xfId="26193" xr:uid="{00000000-0005-0000-0000-0000373D0000}"/>
    <cellStyle name="40% - Accent1 8 4 2 2 2" xfId="55199" xr:uid="{00000000-0005-0000-0000-0000383D0000}"/>
    <cellStyle name="40% - Accent1 8 4 2 3" xfId="40700" xr:uid="{00000000-0005-0000-0000-0000393D0000}"/>
    <cellStyle name="40% - Accent1 8 4 3" xfId="18945" xr:uid="{00000000-0005-0000-0000-00003A3D0000}"/>
    <cellStyle name="40% - Accent1 8 4 3 2" xfId="47951" xr:uid="{00000000-0005-0000-0000-00003B3D0000}"/>
    <cellStyle name="40% - Accent1 8 4 4" xfId="33452" xr:uid="{00000000-0005-0000-0000-00003C3D0000}"/>
    <cellStyle name="40% - Accent1 8 5" xfId="7491" xr:uid="{00000000-0005-0000-0000-00003D3D0000}"/>
    <cellStyle name="40% - Accent1 8 5 2" xfId="14763" xr:uid="{00000000-0005-0000-0000-00003E3D0000}"/>
    <cellStyle name="40% - Accent1 8 5 2 2" xfId="29297" xr:uid="{00000000-0005-0000-0000-00003F3D0000}"/>
    <cellStyle name="40% - Accent1 8 5 2 2 2" xfId="58303" xr:uid="{00000000-0005-0000-0000-0000403D0000}"/>
    <cellStyle name="40% - Accent1 8 5 2 3" xfId="43804" xr:uid="{00000000-0005-0000-0000-0000413D0000}"/>
    <cellStyle name="40% - Accent1 8 5 3" xfId="22049" xr:uid="{00000000-0005-0000-0000-0000423D0000}"/>
    <cellStyle name="40% - Accent1 8 5 3 2" xfId="51055" xr:uid="{00000000-0005-0000-0000-0000433D0000}"/>
    <cellStyle name="40% - Accent1 8 5 4" xfId="36556" xr:uid="{00000000-0005-0000-0000-0000443D0000}"/>
    <cellStyle name="40% - Accent1 8 6" xfId="8555" xr:uid="{00000000-0005-0000-0000-0000453D0000}"/>
    <cellStyle name="40% - Accent1 8 6 2" xfId="23089" xr:uid="{00000000-0005-0000-0000-0000463D0000}"/>
    <cellStyle name="40% - Accent1 8 6 2 2" xfId="52095" xr:uid="{00000000-0005-0000-0000-0000473D0000}"/>
    <cellStyle name="40% - Accent1 8 6 3" xfId="37596" xr:uid="{00000000-0005-0000-0000-0000483D0000}"/>
    <cellStyle name="40% - Accent1 8 7" xfId="15841" xr:uid="{00000000-0005-0000-0000-0000493D0000}"/>
    <cellStyle name="40% - Accent1 8 7 2" xfId="44847" xr:uid="{00000000-0005-0000-0000-00004A3D0000}"/>
    <cellStyle name="40% - Accent1 8 8" xfId="30348" xr:uid="{00000000-0005-0000-0000-00004B3D0000}"/>
    <cellStyle name="40% - Accent1 9" xfId="1811" xr:uid="{00000000-0005-0000-0000-00004C3D0000}"/>
    <cellStyle name="40% - Accent1 9 2" xfId="4915" xr:uid="{00000000-0005-0000-0000-00004D3D0000}"/>
    <cellStyle name="40% - Accent1 9 2 2" xfId="12187" xr:uid="{00000000-0005-0000-0000-00004E3D0000}"/>
    <cellStyle name="40% - Accent1 9 2 2 2" xfId="26721" xr:uid="{00000000-0005-0000-0000-00004F3D0000}"/>
    <cellStyle name="40% - Accent1 9 2 2 2 2" xfId="55727" xr:uid="{00000000-0005-0000-0000-0000503D0000}"/>
    <cellStyle name="40% - Accent1 9 2 2 3" xfId="41228" xr:uid="{00000000-0005-0000-0000-0000513D0000}"/>
    <cellStyle name="40% - Accent1 9 2 3" xfId="19473" xr:uid="{00000000-0005-0000-0000-0000523D0000}"/>
    <cellStyle name="40% - Accent1 9 2 3 2" xfId="48479" xr:uid="{00000000-0005-0000-0000-0000533D0000}"/>
    <cellStyle name="40% - Accent1 9 2 4" xfId="33980" xr:uid="{00000000-0005-0000-0000-0000543D0000}"/>
    <cellStyle name="40% - Accent1 9 3" xfId="9083" xr:uid="{00000000-0005-0000-0000-0000553D0000}"/>
    <cellStyle name="40% - Accent1 9 3 2" xfId="23617" xr:uid="{00000000-0005-0000-0000-0000563D0000}"/>
    <cellStyle name="40% - Accent1 9 3 2 2" xfId="52623" xr:uid="{00000000-0005-0000-0000-0000573D0000}"/>
    <cellStyle name="40% - Accent1 9 3 3" xfId="38124" xr:uid="{00000000-0005-0000-0000-0000583D0000}"/>
    <cellStyle name="40% - Accent1 9 4" xfId="16369" xr:uid="{00000000-0005-0000-0000-0000593D0000}"/>
    <cellStyle name="40% - Accent1 9 4 2" xfId="45375" xr:uid="{00000000-0005-0000-0000-00005A3D0000}"/>
    <cellStyle name="40% - Accent1 9 5" xfId="30876" xr:uid="{00000000-0005-0000-0000-00005B3D0000}"/>
    <cellStyle name="40% - Accent2" xfId="67" builtinId="35" customBuiltin="1"/>
    <cellStyle name="40% - Accent2 10" xfId="2845" xr:uid="{00000000-0005-0000-0000-00005D3D0000}"/>
    <cellStyle name="40% - Accent2 10 2" xfId="5949" xr:uid="{00000000-0005-0000-0000-00005E3D0000}"/>
    <cellStyle name="40% - Accent2 10 2 2" xfId="13221" xr:uid="{00000000-0005-0000-0000-00005F3D0000}"/>
    <cellStyle name="40% - Accent2 10 2 2 2" xfId="27755" xr:uid="{00000000-0005-0000-0000-0000603D0000}"/>
    <cellStyle name="40% - Accent2 10 2 2 2 2" xfId="56761" xr:uid="{00000000-0005-0000-0000-0000613D0000}"/>
    <cellStyle name="40% - Accent2 10 2 2 3" xfId="42262" xr:uid="{00000000-0005-0000-0000-0000623D0000}"/>
    <cellStyle name="40% - Accent2 10 2 3" xfId="20507" xr:uid="{00000000-0005-0000-0000-0000633D0000}"/>
    <cellStyle name="40% - Accent2 10 2 3 2" xfId="49513" xr:uid="{00000000-0005-0000-0000-0000643D0000}"/>
    <cellStyle name="40% - Accent2 10 2 4" xfId="35014" xr:uid="{00000000-0005-0000-0000-0000653D0000}"/>
    <cellStyle name="40% - Accent2 10 3" xfId="10117" xr:uid="{00000000-0005-0000-0000-0000663D0000}"/>
    <cellStyle name="40% - Accent2 10 3 2" xfId="24651" xr:uid="{00000000-0005-0000-0000-0000673D0000}"/>
    <cellStyle name="40% - Accent2 10 3 2 2" xfId="53657" xr:uid="{00000000-0005-0000-0000-0000683D0000}"/>
    <cellStyle name="40% - Accent2 10 3 3" xfId="39158" xr:uid="{00000000-0005-0000-0000-0000693D0000}"/>
    <cellStyle name="40% - Accent2 10 4" xfId="17403" xr:uid="{00000000-0005-0000-0000-00006A3D0000}"/>
    <cellStyle name="40% - Accent2 10 4 2" xfId="46409" xr:uid="{00000000-0005-0000-0000-00006B3D0000}"/>
    <cellStyle name="40% - Accent2 10 5" xfId="31910" xr:uid="{00000000-0005-0000-0000-00006C3D0000}"/>
    <cellStyle name="40% - Accent2 11" xfId="3877" xr:uid="{00000000-0005-0000-0000-00006D3D0000}"/>
    <cellStyle name="40% - Accent2 11 2" xfId="11149" xr:uid="{00000000-0005-0000-0000-00006E3D0000}"/>
    <cellStyle name="40% - Accent2 11 2 2" xfId="25683" xr:uid="{00000000-0005-0000-0000-00006F3D0000}"/>
    <cellStyle name="40% - Accent2 11 2 2 2" xfId="54689" xr:uid="{00000000-0005-0000-0000-0000703D0000}"/>
    <cellStyle name="40% - Accent2 11 2 3" xfId="40190" xr:uid="{00000000-0005-0000-0000-0000713D0000}"/>
    <cellStyle name="40% - Accent2 11 3" xfId="18435" xr:uid="{00000000-0005-0000-0000-0000723D0000}"/>
    <cellStyle name="40% - Accent2 11 3 2" xfId="47441" xr:uid="{00000000-0005-0000-0000-0000733D0000}"/>
    <cellStyle name="40% - Accent2 11 4" xfId="32942" xr:uid="{00000000-0005-0000-0000-0000743D0000}"/>
    <cellStyle name="40% - Accent2 12" xfId="6981" xr:uid="{00000000-0005-0000-0000-0000753D0000}"/>
    <cellStyle name="40% - Accent2 12 2" xfId="14253" xr:uid="{00000000-0005-0000-0000-0000763D0000}"/>
    <cellStyle name="40% - Accent2 12 2 2" xfId="28787" xr:uid="{00000000-0005-0000-0000-0000773D0000}"/>
    <cellStyle name="40% - Accent2 12 2 2 2" xfId="57793" xr:uid="{00000000-0005-0000-0000-0000783D0000}"/>
    <cellStyle name="40% - Accent2 12 2 3" xfId="43294" xr:uid="{00000000-0005-0000-0000-0000793D0000}"/>
    <cellStyle name="40% - Accent2 12 3" xfId="21539" xr:uid="{00000000-0005-0000-0000-00007A3D0000}"/>
    <cellStyle name="40% - Accent2 12 3 2" xfId="50545" xr:uid="{00000000-0005-0000-0000-00007B3D0000}"/>
    <cellStyle name="40% - Accent2 12 4" xfId="36046" xr:uid="{00000000-0005-0000-0000-00007C3D0000}"/>
    <cellStyle name="40% - Accent2 13" xfId="8045" xr:uid="{00000000-0005-0000-0000-00007D3D0000}"/>
    <cellStyle name="40% - Accent2 13 2" xfId="22579" xr:uid="{00000000-0005-0000-0000-00007E3D0000}"/>
    <cellStyle name="40% - Accent2 13 2 2" xfId="51585" xr:uid="{00000000-0005-0000-0000-00007F3D0000}"/>
    <cellStyle name="40% - Accent2 13 3" xfId="37086" xr:uid="{00000000-0005-0000-0000-0000803D0000}"/>
    <cellStyle name="40% - Accent2 14" xfId="15325" xr:uid="{00000000-0005-0000-0000-0000813D0000}"/>
    <cellStyle name="40% - Accent2 14 2" xfId="44331" xr:uid="{00000000-0005-0000-0000-0000823D0000}"/>
    <cellStyle name="40% - Accent2 15" xfId="29831" xr:uid="{00000000-0005-0000-0000-0000833D0000}"/>
    <cellStyle name="40% - Accent2 16" xfId="359" xr:uid="{00000000-0005-0000-0000-0000843D0000}"/>
    <cellStyle name="40% - Accent2 17" xfId="58830" xr:uid="{00000000-0005-0000-0000-0000853D0000}"/>
    <cellStyle name="40% - Accent2 2" xfId="365" xr:uid="{00000000-0005-0000-0000-0000863D0000}"/>
    <cellStyle name="40% - Accent2 2 2" xfId="368" xr:uid="{00000000-0005-0000-0000-0000873D0000}"/>
    <cellStyle name="40% - Accent2 3" xfId="843" xr:uid="{00000000-0005-0000-0000-0000883D0000}"/>
    <cellStyle name="40% - Accent2 3 10" xfId="7005" xr:uid="{00000000-0005-0000-0000-0000893D0000}"/>
    <cellStyle name="40% - Accent2 3 10 2" xfId="14277" xr:uid="{00000000-0005-0000-0000-00008A3D0000}"/>
    <cellStyle name="40% - Accent2 3 10 2 2" xfId="28811" xr:uid="{00000000-0005-0000-0000-00008B3D0000}"/>
    <cellStyle name="40% - Accent2 3 10 2 2 2" xfId="57817" xr:uid="{00000000-0005-0000-0000-00008C3D0000}"/>
    <cellStyle name="40% - Accent2 3 10 2 3" xfId="43318" xr:uid="{00000000-0005-0000-0000-00008D3D0000}"/>
    <cellStyle name="40% - Accent2 3 10 3" xfId="21563" xr:uid="{00000000-0005-0000-0000-00008E3D0000}"/>
    <cellStyle name="40% - Accent2 3 10 3 2" xfId="50569" xr:uid="{00000000-0005-0000-0000-00008F3D0000}"/>
    <cellStyle name="40% - Accent2 3 10 4" xfId="36070" xr:uid="{00000000-0005-0000-0000-0000903D0000}"/>
    <cellStyle name="40% - Accent2 3 11" xfId="8069" xr:uid="{00000000-0005-0000-0000-0000913D0000}"/>
    <cellStyle name="40% - Accent2 3 11 2" xfId="22603" xr:uid="{00000000-0005-0000-0000-0000923D0000}"/>
    <cellStyle name="40% - Accent2 3 11 2 2" xfId="51609" xr:uid="{00000000-0005-0000-0000-0000933D0000}"/>
    <cellStyle name="40% - Accent2 3 11 3" xfId="37110" xr:uid="{00000000-0005-0000-0000-0000943D0000}"/>
    <cellStyle name="40% - Accent2 3 12" xfId="15355" xr:uid="{00000000-0005-0000-0000-0000953D0000}"/>
    <cellStyle name="40% - Accent2 3 12 2" xfId="44361" xr:uid="{00000000-0005-0000-0000-0000963D0000}"/>
    <cellStyle name="40% - Accent2 3 13" xfId="29862" xr:uid="{00000000-0005-0000-0000-0000973D0000}"/>
    <cellStyle name="40% - Accent2 3 2" xfId="886" xr:uid="{00000000-0005-0000-0000-0000983D0000}"/>
    <cellStyle name="40% - Accent2 3 2 10" xfId="8121" xr:uid="{00000000-0005-0000-0000-0000993D0000}"/>
    <cellStyle name="40% - Accent2 3 2 10 2" xfId="22655" xr:uid="{00000000-0005-0000-0000-00009A3D0000}"/>
    <cellStyle name="40% - Accent2 3 2 10 2 2" xfId="51661" xr:uid="{00000000-0005-0000-0000-00009B3D0000}"/>
    <cellStyle name="40% - Accent2 3 2 10 3" xfId="37162" xr:uid="{00000000-0005-0000-0000-00009C3D0000}"/>
    <cellStyle name="40% - Accent2 3 2 11" xfId="15407" xr:uid="{00000000-0005-0000-0000-00009D3D0000}"/>
    <cellStyle name="40% - Accent2 3 2 11 2" xfId="44413" xr:uid="{00000000-0005-0000-0000-00009E3D0000}"/>
    <cellStyle name="40% - Accent2 3 2 12" xfId="29914" xr:uid="{00000000-0005-0000-0000-00009F3D0000}"/>
    <cellStyle name="40% - Accent2 3 2 2" xfId="966" xr:uid="{00000000-0005-0000-0000-0000A03D0000}"/>
    <cellStyle name="40% - Accent2 3 2 2 10" xfId="30017" xr:uid="{00000000-0005-0000-0000-0000A13D0000}"/>
    <cellStyle name="40% - Accent2 3 2 2 2" xfId="1245" xr:uid="{00000000-0005-0000-0000-0000A23D0000}"/>
    <cellStyle name="40% - Accent2 3 2 2 2 2" xfId="1751" xr:uid="{00000000-0005-0000-0000-0000A33D0000}"/>
    <cellStyle name="40% - Accent2 3 2 2 2 2 2" xfId="2810" xr:uid="{00000000-0005-0000-0000-0000A43D0000}"/>
    <cellStyle name="40% - Accent2 3 2 2 2 2 2 2" xfId="5914" xr:uid="{00000000-0005-0000-0000-0000A53D0000}"/>
    <cellStyle name="40% - Accent2 3 2 2 2 2 2 2 2" xfId="13186" xr:uid="{00000000-0005-0000-0000-0000A63D0000}"/>
    <cellStyle name="40% - Accent2 3 2 2 2 2 2 2 2 2" xfId="27720" xr:uid="{00000000-0005-0000-0000-0000A73D0000}"/>
    <cellStyle name="40% - Accent2 3 2 2 2 2 2 2 2 2 2" xfId="56726" xr:uid="{00000000-0005-0000-0000-0000A83D0000}"/>
    <cellStyle name="40% - Accent2 3 2 2 2 2 2 2 2 3" xfId="42227" xr:uid="{00000000-0005-0000-0000-0000A93D0000}"/>
    <cellStyle name="40% - Accent2 3 2 2 2 2 2 2 3" xfId="20472" xr:uid="{00000000-0005-0000-0000-0000AA3D0000}"/>
    <cellStyle name="40% - Accent2 3 2 2 2 2 2 2 3 2" xfId="49478" xr:uid="{00000000-0005-0000-0000-0000AB3D0000}"/>
    <cellStyle name="40% - Accent2 3 2 2 2 2 2 2 4" xfId="34979" xr:uid="{00000000-0005-0000-0000-0000AC3D0000}"/>
    <cellStyle name="40% - Accent2 3 2 2 2 2 2 3" xfId="10082" xr:uid="{00000000-0005-0000-0000-0000AD3D0000}"/>
    <cellStyle name="40% - Accent2 3 2 2 2 2 2 3 2" xfId="24616" xr:uid="{00000000-0005-0000-0000-0000AE3D0000}"/>
    <cellStyle name="40% - Accent2 3 2 2 2 2 2 3 2 2" xfId="53622" xr:uid="{00000000-0005-0000-0000-0000AF3D0000}"/>
    <cellStyle name="40% - Accent2 3 2 2 2 2 2 3 3" xfId="39123" xr:uid="{00000000-0005-0000-0000-0000B03D0000}"/>
    <cellStyle name="40% - Accent2 3 2 2 2 2 2 4" xfId="17368" xr:uid="{00000000-0005-0000-0000-0000B13D0000}"/>
    <cellStyle name="40% - Accent2 3 2 2 2 2 2 4 2" xfId="46374" xr:uid="{00000000-0005-0000-0000-0000B23D0000}"/>
    <cellStyle name="40% - Accent2 3 2 2 2 2 2 5" xfId="31875" xr:uid="{00000000-0005-0000-0000-0000B33D0000}"/>
    <cellStyle name="40% - Accent2 3 2 2 2 2 3" xfId="3842" xr:uid="{00000000-0005-0000-0000-0000B43D0000}"/>
    <cellStyle name="40% - Accent2 3 2 2 2 2 3 2" xfId="6946" xr:uid="{00000000-0005-0000-0000-0000B53D0000}"/>
    <cellStyle name="40% - Accent2 3 2 2 2 2 3 2 2" xfId="14218" xr:uid="{00000000-0005-0000-0000-0000B63D0000}"/>
    <cellStyle name="40% - Accent2 3 2 2 2 2 3 2 2 2" xfId="28752" xr:uid="{00000000-0005-0000-0000-0000B73D0000}"/>
    <cellStyle name="40% - Accent2 3 2 2 2 2 3 2 2 2 2" xfId="57758" xr:uid="{00000000-0005-0000-0000-0000B83D0000}"/>
    <cellStyle name="40% - Accent2 3 2 2 2 2 3 2 2 3" xfId="43259" xr:uid="{00000000-0005-0000-0000-0000B93D0000}"/>
    <cellStyle name="40% - Accent2 3 2 2 2 2 3 2 3" xfId="21504" xr:uid="{00000000-0005-0000-0000-0000BA3D0000}"/>
    <cellStyle name="40% - Accent2 3 2 2 2 2 3 2 3 2" xfId="50510" xr:uid="{00000000-0005-0000-0000-0000BB3D0000}"/>
    <cellStyle name="40% - Accent2 3 2 2 2 2 3 2 4" xfId="36011" xr:uid="{00000000-0005-0000-0000-0000BC3D0000}"/>
    <cellStyle name="40% - Accent2 3 2 2 2 2 3 3" xfId="11114" xr:uid="{00000000-0005-0000-0000-0000BD3D0000}"/>
    <cellStyle name="40% - Accent2 3 2 2 2 2 3 3 2" xfId="25648" xr:uid="{00000000-0005-0000-0000-0000BE3D0000}"/>
    <cellStyle name="40% - Accent2 3 2 2 2 2 3 3 2 2" xfId="54654" xr:uid="{00000000-0005-0000-0000-0000BF3D0000}"/>
    <cellStyle name="40% - Accent2 3 2 2 2 2 3 3 3" xfId="40155" xr:uid="{00000000-0005-0000-0000-0000C03D0000}"/>
    <cellStyle name="40% - Accent2 3 2 2 2 2 3 4" xfId="18400" xr:uid="{00000000-0005-0000-0000-0000C13D0000}"/>
    <cellStyle name="40% - Accent2 3 2 2 2 2 3 4 2" xfId="47406" xr:uid="{00000000-0005-0000-0000-0000C23D0000}"/>
    <cellStyle name="40% - Accent2 3 2 2 2 2 3 5" xfId="32907" xr:uid="{00000000-0005-0000-0000-0000C33D0000}"/>
    <cellStyle name="40% - Accent2 3 2 2 2 2 4" xfId="4874" xr:uid="{00000000-0005-0000-0000-0000C43D0000}"/>
    <cellStyle name="40% - Accent2 3 2 2 2 2 4 2" xfId="12146" xr:uid="{00000000-0005-0000-0000-0000C53D0000}"/>
    <cellStyle name="40% - Accent2 3 2 2 2 2 4 2 2" xfId="26680" xr:uid="{00000000-0005-0000-0000-0000C63D0000}"/>
    <cellStyle name="40% - Accent2 3 2 2 2 2 4 2 2 2" xfId="55686" xr:uid="{00000000-0005-0000-0000-0000C73D0000}"/>
    <cellStyle name="40% - Accent2 3 2 2 2 2 4 2 3" xfId="41187" xr:uid="{00000000-0005-0000-0000-0000C83D0000}"/>
    <cellStyle name="40% - Accent2 3 2 2 2 2 4 3" xfId="19432" xr:uid="{00000000-0005-0000-0000-0000C93D0000}"/>
    <cellStyle name="40% - Accent2 3 2 2 2 2 4 3 2" xfId="48438" xr:uid="{00000000-0005-0000-0000-0000CA3D0000}"/>
    <cellStyle name="40% - Accent2 3 2 2 2 2 4 4" xfId="33939" xr:uid="{00000000-0005-0000-0000-0000CB3D0000}"/>
    <cellStyle name="40% - Accent2 3 2 2 2 2 5" xfId="7978" xr:uid="{00000000-0005-0000-0000-0000CC3D0000}"/>
    <cellStyle name="40% - Accent2 3 2 2 2 2 5 2" xfId="15250" xr:uid="{00000000-0005-0000-0000-0000CD3D0000}"/>
    <cellStyle name="40% - Accent2 3 2 2 2 2 5 2 2" xfId="29784" xr:uid="{00000000-0005-0000-0000-0000CE3D0000}"/>
    <cellStyle name="40% - Accent2 3 2 2 2 2 5 2 2 2" xfId="58790" xr:uid="{00000000-0005-0000-0000-0000CF3D0000}"/>
    <cellStyle name="40% - Accent2 3 2 2 2 2 5 2 3" xfId="44291" xr:uid="{00000000-0005-0000-0000-0000D03D0000}"/>
    <cellStyle name="40% - Accent2 3 2 2 2 2 5 3" xfId="22536" xr:uid="{00000000-0005-0000-0000-0000D13D0000}"/>
    <cellStyle name="40% - Accent2 3 2 2 2 2 5 3 2" xfId="51542" xr:uid="{00000000-0005-0000-0000-0000D23D0000}"/>
    <cellStyle name="40% - Accent2 3 2 2 2 2 5 4" xfId="37043" xr:uid="{00000000-0005-0000-0000-0000D33D0000}"/>
    <cellStyle name="40% - Accent2 3 2 2 2 2 6" xfId="9042" xr:uid="{00000000-0005-0000-0000-0000D43D0000}"/>
    <cellStyle name="40% - Accent2 3 2 2 2 2 6 2" xfId="23576" xr:uid="{00000000-0005-0000-0000-0000D53D0000}"/>
    <cellStyle name="40% - Accent2 3 2 2 2 2 6 2 2" xfId="52582" xr:uid="{00000000-0005-0000-0000-0000D63D0000}"/>
    <cellStyle name="40% - Accent2 3 2 2 2 2 6 3" xfId="38083" xr:uid="{00000000-0005-0000-0000-0000D73D0000}"/>
    <cellStyle name="40% - Accent2 3 2 2 2 2 7" xfId="16328" xr:uid="{00000000-0005-0000-0000-0000D83D0000}"/>
    <cellStyle name="40% - Accent2 3 2 2 2 2 7 2" xfId="45334" xr:uid="{00000000-0005-0000-0000-0000D93D0000}"/>
    <cellStyle name="40% - Accent2 3 2 2 2 2 8" xfId="30835" xr:uid="{00000000-0005-0000-0000-0000DA3D0000}"/>
    <cellStyle name="40% - Accent2 3 2 2 2 3" xfId="2298" xr:uid="{00000000-0005-0000-0000-0000DB3D0000}"/>
    <cellStyle name="40% - Accent2 3 2 2 2 3 2" xfId="5402" xr:uid="{00000000-0005-0000-0000-0000DC3D0000}"/>
    <cellStyle name="40% - Accent2 3 2 2 2 3 2 2" xfId="12674" xr:uid="{00000000-0005-0000-0000-0000DD3D0000}"/>
    <cellStyle name="40% - Accent2 3 2 2 2 3 2 2 2" xfId="27208" xr:uid="{00000000-0005-0000-0000-0000DE3D0000}"/>
    <cellStyle name="40% - Accent2 3 2 2 2 3 2 2 2 2" xfId="56214" xr:uid="{00000000-0005-0000-0000-0000DF3D0000}"/>
    <cellStyle name="40% - Accent2 3 2 2 2 3 2 2 3" xfId="41715" xr:uid="{00000000-0005-0000-0000-0000E03D0000}"/>
    <cellStyle name="40% - Accent2 3 2 2 2 3 2 3" xfId="19960" xr:uid="{00000000-0005-0000-0000-0000E13D0000}"/>
    <cellStyle name="40% - Accent2 3 2 2 2 3 2 3 2" xfId="48966" xr:uid="{00000000-0005-0000-0000-0000E23D0000}"/>
    <cellStyle name="40% - Accent2 3 2 2 2 3 2 4" xfId="34467" xr:uid="{00000000-0005-0000-0000-0000E33D0000}"/>
    <cellStyle name="40% - Accent2 3 2 2 2 3 3" xfId="9570" xr:uid="{00000000-0005-0000-0000-0000E43D0000}"/>
    <cellStyle name="40% - Accent2 3 2 2 2 3 3 2" xfId="24104" xr:uid="{00000000-0005-0000-0000-0000E53D0000}"/>
    <cellStyle name="40% - Accent2 3 2 2 2 3 3 2 2" xfId="53110" xr:uid="{00000000-0005-0000-0000-0000E63D0000}"/>
    <cellStyle name="40% - Accent2 3 2 2 2 3 3 3" xfId="38611" xr:uid="{00000000-0005-0000-0000-0000E73D0000}"/>
    <cellStyle name="40% - Accent2 3 2 2 2 3 4" xfId="16856" xr:uid="{00000000-0005-0000-0000-0000E83D0000}"/>
    <cellStyle name="40% - Accent2 3 2 2 2 3 4 2" xfId="45862" xr:uid="{00000000-0005-0000-0000-0000E93D0000}"/>
    <cellStyle name="40% - Accent2 3 2 2 2 3 5" xfId="31363" xr:uid="{00000000-0005-0000-0000-0000EA3D0000}"/>
    <cellStyle name="40% - Accent2 3 2 2 2 4" xfId="3330" xr:uid="{00000000-0005-0000-0000-0000EB3D0000}"/>
    <cellStyle name="40% - Accent2 3 2 2 2 4 2" xfId="6434" xr:uid="{00000000-0005-0000-0000-0000EC3D0000}"/>
    <cellStyle name="40% - Accent2 3 2 2 2 4 2 2" xfId="13706" xr:uid="{00000000-0005-0000-0000-0000ED3D0000}"/>
    <cellStyle name="40% - Accent2 3 2 2 2 4 2 2 2" xfId="28240" xr:uid="{00000000-0005-0000-0000-0000EE3D0000}"/>
    <cellStyle name="40% - Accent2 3 2 2 2 4 2 2 2 2" xfId="57246" xr:uid="{00000000-0005-0000-0000-0000EF3D0000}"/>
    <cellStyle name="40% - Accent2 3 2 2 2 4 2 2 3" xfId="42747" xr:uid="{00000000-0005-0000-0000-0000F03D0000}"/>
    <cellStyle name="40% - Accent2 3 2 2 2 4 2 3" xfId="20992" xr:uid="{00000000-0005-0000-0000-0000F13D0000}"/>
    <cellStyle name="40% - Accent2 3 2 2 2 4 2 3 2" xfId="49998" xr:uid="{00000000-0005-0000-0000-0000F23D0000}"/>
    <cellStyle name="40% - Accent2 3 2 2 2 4 2 4" xfId="35499" xr:uid="{00000000-0005-0000-0000-0000F33D0000}"/>
    <cellStyle name="40% - Accent2 3 2 2 2 4 3" xfId="10602" xr:uid="{00000000-0005-0000-0000-0000F43D0000}"/>
    <cellStyle name="40% - Accent2 3 2 2 2 4 3 2" xfId="25136" xr:uid="{00000000-0005-0000-0000-0000F53D0000}"/>
    <cellStyle name="40% - Accent2 3 2 2 2 4 3 2 2" xfId="54142" xr:uid="{00000000-0005-0000-0000-0000F63D0000}"/>
    <cellStyle name="40% - Accent2 3 2 2 2 4 3 3" xfId="39643" xr:uid="{00000000-0005-0000-0000-0000F73D0000}"/>
    <cellStyle name="40% - Accent2 3 2 2 2 4 4" xfId="17888" xr:uid="{00000000-0005-0000-0000-0000F83D0000}"/>
    <cellStyle name="40% - Accent2 3 2 2 2 4 4 2" xfId="46894" xr:uid="{00000000-0005-0000-0000-0000F93D0000}"/>
    <cellStyle name="40% - Accent2 3 2 2 2 4 5" xfId="32395" xr:uid="{00000000-0005-0000-0000-0000FA3D0000}"/>
    <cellStyle name="40% - Accent2 3 2 2 2 5" xfId="4362" xr:uid="{00000000-0005-0000-0000-0000FB3D0000}"/>
    <cellStyle name="40% - Accent2 3 2 2 2 5 2" xfId="11634" xr:uid="{00000000-0005-0000-0000-0000FC3D0000}"/>
    <cellStyle name="40% - Accent2 3 2 2 2 5 2 2" xfId="26168" xr:uid="{00000000-0005-0000-0000-0000FD3D0000}"/>
    <cellStyle name="40% - Accent2 3 2 2 2 5 2 2 2" xfId="55174" xr:uid="{00000000-0005-0000-0000-0000FE3D0000}"/>
    <cellStyle name="40% - Accent2 3 2 2 2 5 2 3" xfId="40675" xr:uid="{00000000-0005-0000-0000-0000FF3D0000}"/>
    <cellStyle name="40% - Accent2 3 2 2 2 5 3" xfId="18920" xr:uid="{00000000-0005-0000-0000-0000003E0000}"/>
    <cellStyle name="40% - Accent2 3 2 2 2 5 3 2" xfId="47926" xr:uid="{00000000-0005-0000-0000-0000013E0000}"/>
    <cellStyle name="40% - Accent2 3 2 2 2 5 4" xfId="33427" xr:uid="{00000000-0005-0000-0000-0000023E0000}"/>
    <cellStyle name="40% - Accent2 3 2 2 2 6" xfId="7466" xr:uid="{00000000-0005-0000-0000-0000033E0000}"/>
    <cellStyle name="40% - Accent2 3 2 2 2 6 2" xfId="14738" xr:uid="{00000000-0005-0000-0000-0000043E0000}"/>
    <cellStyle name="40% - Accent2 3 2 2 2 6 2 2" xfId="29272" xr:uid="{00000000-0005-0000-0000-0000053E0000}"/>
    <cellStyle name="40% - Accent2 3 2 2 2 6 2 2 2" xfId="58278" xr:uid="{00000000-0005-0000-0000-0000063E0000}"/>
    <cellStyle name="40% - Accent2 3 2 2 2 6 2 3" xfId="43779" xr:uid="{00000000-0005-0000-0000-0000073E0000}"/>
    <cellStyle name="40% - Accent2 3 2 2 2 6 3" xfId="22024" xr:uid="{00000000-0005-0000-0000-0000083E0000}"/>
    <cellStyle name="40% - Accent2 3 2 2 2 6 3 2" xfId="51030" xr:uid="{00000000-0005-0000-0000-0000093E0000}"/>
    <cellStyle name="40% - Accent2 3 2 2 2 6 4" xfId="36531" xr:uid="{00000000-0005-0000-0000-00000A3E0000}"/>
    <cellStyle name="40% - Accent2 3 2 2 2 7" xfId="8530" xr:uid="{00000000-0005-0000-0000-00000B3E0000}"/>
    <cellStyle name="40% - Accent2 3 2 2 2 7 2" xfId="23064" xr:uid="{00000000-0005-0000-0000-00000C3E0000}"/>
    <cellStyle name="40% - Accent2 3 2 2 2 7 2 2" xfId="52070" xr:uid="{00000000-0005-0000-0000-00000D3E0000}"/>
    <cellStyle name="40% - Accent2 3 2 2 2 7 3" xfId="37571" xr:uid="{00000000-0005-0000-0000-00000E3E0000}"/>
    <cellStyle name="40% - Accent2 3 2 2 2 8" xfId="15816" xr:uid="{00000000-0005-0000-0000-00000F3E0000}"/>
    <cellStyle name="40% - Accent2 3 2 2 2 8 2" xfId="44822" xr:uid="{00000000-0005-0000-0000-0000103E0000}"/>
    <cellStyle name="40% - Accent2 3 2 2 2 9" xfId="30323" xr:uid="{00000000-0005-0000-0000-0000113E0000}"/>
    <cellStyle name="40% - Accent2 3 2 2 3" xfId="1446" xr:uid="{00000000-0005-0000-0000-0000123E0000}"/>
    <cellStyle name="40% - Accent2 3 2 2 3 2" xfId="2504" xr:uid="{00000000-0005-0000-0000-0000133E0000}"/>
    <cellStyle name="40% - Accent2 3 2 2 3 2 2" xfId="5608" xr:uid="{00000000-0005-0000-0000-0000143E0000}"/>
    <cellStyle name="40% - Accent2 3 2 2 3 2 2 2" xfId="12880" xr:uid="{00000000-0005-0000-0000-0000153E0000}"/>
    <cellStyle name="40% - Accent2 3 2 2 3 2 2 2 2" xfId="27414" xr:uid="{00000000-0005-0000-0000-0000163E0000}"/>
    <cellStyle name="40% - Accent2 3 2 2 3 2 2 2 2 2" xfId="56420" xr:uid="{00000000-0005-0000-0000-0000173E0000}"/>
    <cellStyle name="40% - Accent2 3 2 2 3 2 2 2 3" xfId="41921" xr:uid="{00000000-0005-0000-0000-0000183E0000}"/>
    <cellStyle name="40% - Accent2 3 2 2 3 2 2 3" xfId="20166" xr:uid="{00000000-0005-0000-0000-0000193E0000}"/>
    <cellStyle name="40% - Accent2 3 2 2 3 2 2 3 2" xfId="49172" xr:uid="{00000000-0005-0000-0000-00001A3E0000}"/>
    <cellStyle name="40% - Accent2 3 2 2 3 2 2 4" xfId="34673" xr:uid="{00000000-0005-0000-0000-00001B3E0000}"/>
    <cellStyle name="40% - Accent2 3 2 2 3 2 3" xfId="9776" xr:uid="{00000000-0005-0000-0000-00001C3E0000}"/>
    <cellStyle name="40% - Accent2 3 2 2 3 2 3 2" xfId="24310" xr:uid="{00000000-0005-0000-0000-00001D3E0000}"/>
    <cellStyle name="40% - Accent2 3 2 2 3 2 3 2 2" xfId="53316" xr:uid="{00000000-0005-0000-0000-00001E3E0000}"/>
    <cellStyle name="40% - Accent2 3 2 2 3 2 3 3" xfId="38817" xr:uid="{00000000-0005-0000-0000-00001F3E0000}"/>
    <cellStyle name="40% - Accent2 3 2 2 3 2 4" xfId="17062" xr:uid="{00000000-0005-0000-0000-0000203E0000}"/>
    <cellStyle name="40% - Accent2 3 2 2 3 2 4 2" xfId="46068" xr:uid="{00000000-0005-0000-0000-0000213E0000}"/>
    <cellStyle name="40% - Accent2 3 2 2 3 2 5" xfId="31569" xr:uid="{00000000-0005-0000-0000-0000223E0000}"/>
    <cellStyle name="40% - Accent2 3 2 2 3 3" xfId="3536" xr:uid="{00000000-0005-0000-0000-0000233E0000}"/>
    <cellStyle name="40% - Accent2 3 2 2 3 3 2" xfId="6640" xr:uid="{00000000-0005-0000-0000-0000243E0000}"/>
    <cellStyle name="40% - Accent2 3 2 2 3 3 2 2" xfId="13912" xr:uid="{00000000-0005-0000-0000-0000253E0000}"/>
    <cellStyle name="40% - Accent2 3 2 2 3 3 2 2 2" xfId="28446" xr:uid="{00000000-0005-0000-0000-0000263E0000}"/>
    <cellStyle name="40% - Accent2 3 2 2 3 3 2 2 2 2" xfId="57452" xr:uid="{00000000-0005-0000-0000-0000273E0000}"/>
    <cellStyle name="40% - Accent2 3 2 2 3 3 2 2 3" xfId="42953" xr:uid="{00000000-0005-0000-0000-0000283E0000}"/>
    <cellStyle name="40% - Accent2 3 2 2 3 3 2 3" xfId="21198" xr:uid="{00000000-0005-0000-0000-0000293E0000}"/>
    <cellStyle name="40% - Accent2 3 2 2 3 3 2 3 2" xfId="50204" xr:uid="{00000000-0005-0000-0000-00002A3E0000}"/>
    <cellStyle name="40% - Accent2 3 2 2 3 3 2 4" xfId="35705" xr:uid="{00000000-0005-0000-0000-00002B3E0000}"/>
    <cellStyle name="40% - Accent2 3 2 2 3 3 3" xfId="10808" xr:uid="{00000000-0005-0000-0000-00002C3E0000}"/>
    <cellStyle name="40% - Accent2 3 2 2 3 3 3 2" xfId="25342" xr:uid="{00000000-0005-0000-0000-00002D3E0000}"/>
    <cellStyle name="40% - Accent2 3 2 2 3 3 3 2 2" xfId="54348" xr:uid="{00000000-0005-0000-0000-00002E3E0000}"/>
    <cellStyle name="40% - Accent2 3 2 2 3 3 3 3" xfId="39849" xr:uid="{00000000-0005-0000-0000-00002F3E0000}"/>
    <cellStyle name="40% - Accent2 3 2 2 3 3 4" xfId="18094" xr:uid="{00000000-0005-0000-0000-0000303E0000}"/>
    <cellStyle name="40% - Accent2 3 2 2 3 3 4 2" xfId="47100" xr:uid="{00000000-0005-0000-0000-0000313E0000}"/>
    <cellStyle name="40% - Accent2 3 2 2 3 3 5" xfId="32601" xr:uid="{00000000-0005-0000-0000-0000323E0000}"/>
    <cellStyle name="40% - Accent2 3 2 2 3 4" xfId="4568" xr:uid="{00000000-0005-0000-0000-0000333E0000}"/>
    <cellStyle name="40% - Accent2 3 2 2 3 4 2" xfId="11840" xr:uid="{00000000-0005-0000-0000-0000343E0000}"/>
    <cellStyle name="40% - Accent2 3 2 2 3 4 2 2" xfId="26374" xr:uid="{00000000-0005-0000-0000-0000353E0000}"/>
    <cellStyle name="40% - Accent2 3 2 2 3 4 2 2 2" xfId="55380" xr:uid="{00000000-0005-0000-0000-0000363E0000}"/>
    <cellStyle name="40% - Accent2 3 2 2 3 4 2 3" xfId="40881" xr:uid="{00000000-0005-0000-0000-0000373E0000}"/>
    <cellStyle name="40% - Accent2 3 2 2 3 4 3" xfId="19126" xr:uid="{00000000-0005-0000-0000-0000383E0000}"/>
    <cellStyle name="40% - Accent2 3 2 2 3 4 3 2" xfId="48132" xr:uid="{00000000-0005-0000-0000-0000393E0000}"/>
    <cellStyle name="40% - Accent2 3 2 2 3 4 4" xfId="33633" xr:uid="{00000000-0005-0000-0000-00003A3E0000}"/>
    <cellStyle name="40% - Accent2 3 2 2 3 5" xfId="7672" xr:uid="{00000000-0005-0000-0000-00003B3E0000}"/>
    <cellStyle name="40% - Accent2 3 2 2 3 5 2" xfId="14944" xr:uid="{00000000-0005-0000-0000-00003C3E0000}"/>
    <cellStyle name="40% - Accent2 3 2 2 3 5 2 2" xfId="29478" xr:uid="{00000000-0005-0000-0000-00003D3E0000}"/>
    <cellStyle name="40% - Accent2 3 2 2 3 5 2 2 2" xfId="58484" xr:uid="{00000000-0005-0000-0000-00003E3E0000}"/>
    <cellStyle name="40% - Accent2 3 2 2 3 5 2 3" xfId="43985" xr:uid="{00000000-0005-0000-0000-00003F3E0000}"/>
    <cellStyle name="40% - Accent2 3 2 2 3 5 3" xfId="22230" xr:uid="{00000000-0005-0000-0000-0000403E0000}"/>
    <cellStyle name="40% - Accent2 3 2 2 3 5 3 2" xfId="51236" xr:uid="{00000000-0005-0000-0000-0000413E0000}"/>
    <cellStyle name="40% - Accent2 3 2 2 3 5 4" xfId="36737" xr:uid="{00000000-0005-0000-0000-0000423E0000}"/>
    <cellStyle name="40% - Accent2 3 2 2 3 6" xfId="8736" xr:uid="{00000000-0005-0000-0000-0000433E0000}"/>
    <cellStyle name="40% - Accent2 3 2 2 3 6 2" xfId="23270" xr:uid="{00000000-0005-0000-0000-0000443E0000}"/>
    <cellStyle name="40% - Accent2 3 2 2 3 6 2 2" xfId="52276" xr:uid="{00000000-0005-0000-0000-0000453E0000}"/>
    <cellStyle name="40% - Accent2 3 2 2 3 6 3" xfId="37777" xr:uid="{00000000-0005-0000-0000-0000463E0000}"/>
    <cellStyle name="40% - Accent2 3 2 2 3 7" xfId="16022" xr:uid="{00000000-0005-0000-0000-0000473E0000}"/>
    <cellStyle name="40% - Accent2 3 2 2 3 7 2" xfId="45028" xr:uid="{00000000-0005-0000-0000-0000483E0000}"/>
    <cellStyle name="40% - Accent2 3 2 2 3 8" xfId="30529" xr:uid="{00000000-0005-0000-0000-0000493E0000}"/>
    <cellStyle name="40% - Accent2 3 2 2 4" xfId="1992" xr:uid="{00000000-0005-0000-0000-00004A3E0000}"/>
    <cellStyle name="40% - Accent2 3 2 2 4 2" xfId="5096" xr:uid="{00000000-0005-0000-0000-00004B3E0000}"/>
    <cellStyle name="40% - Accent2 3 2 2 4 2 2" xfId="12368" xr:uid="{00000000-0005-0000-0000-00004C3E0000}"/>
    <cellStyle name="40% - Accent2 3 2 2 4 2 2 2" xfId="26902" xr:uid="{00000000-0005-0000-0000-00004D3E0000}"/>
    <cellStyle name="40% - Accent2 3 2 2 4 2 2 2 2" xfId="55908" xr:uid="{00000000-0005-0000-0000-00004E3E0000}"/>
    <cellStyle name="40% - Accent2 3 2 2 4 2 2 3" xfId="41409" xr:uid="{00000000-0005-0000-0000-00004F3E0000}"/>
    <cellStyle name="40% - Accent2 3 2 2 4 2 3" xfId="19654" xr:uid="{00000000-0005-0000-0000-0000503E0000}"/>
    <cellStyle name="40% - Accent2 3 2 2 4 2 3 2" xfId="48660" xr:uid="{00000000-0005-0000-0000-0000513E0000}"/>
    <cellStyle name="40% - Accent2 3 2 2 4 2 4" xfId="34161" xr:uid="{00000000-0005-0000-0000-0000523E0000}"/>
    <cellStyle name="40% - Accent2 3 2 2 4 3" xfId="9264" xr:uid="{00000000-0005-0000-0000-0000533E0000}"/>
    <cellStyle name="40% - Accent2 3 2 2 4 3 2" xfId="23798" xr:uid="{00000000-0005-0000-0000-0000543E0000}"/>
    <cellStyle name="40% - Accent2 3 2 2 4 3 2 2" xfId="52804" xr:uid="{00000000-0005-0000-0000-0000553E0000}"/>
    <cellStyle name="40% - Accent2 3 2 2 4 3 3" xfId="38305" xr:uid="{00000000-0005-0000-0000-0000563E0000}"/>
    <cellStyle name="40% - Accent2 3 2 2 4 4" xfId="16550" xr:uid="{00000000-0005-0000-0000-0000573E0000}"/>
    <cellStyle name="40% - Accent2 3 2 2 4 4 2" xfId="45556" xr:uid="{00000000-0005-0000-0000-0000583E0000}"/>
    <cellStyle name="40% - Accent2 3 2 2 4 5" xfId="31057" xr:uid="{00000000-0005-0000-0000-0000593E0000}"/>
    <cellStyle name="40% - Accent2 3 2 2 5" xfId="3024" xr:uid="{00000000-0005-0000-0000-00005A3E0000}"/>
    <cellStyle name="40% - Accent2 3 2 2 5 2" xfId="6128" xr:uid="{00000000-0005-0000-0000-00005B3E0000}"/>
    <cellStyle name="40% - Accent2 3 2 2 5 2 2" xfId="13400" xr:uid="{00000000-0005-0000-0000-00005C3E0000}"/>
    <cellStyle name="40% - Accent2 3 2 2 5 2 2 2" xfId="27934" xr:uid="{00000000-0005-0000-0000-00005D3E0000}"/>
    <cellStyle name="40% - Accent2 3 2 2 5 2 2 2 2" xfId="56940" xr:uid="{00000000-0005-0000-0000-00005E3E0000}"/>
    <cellStyle name="40% - Accent2 3 2 2 5 2 2 3" xfId="42441" xr:uid="{00000000-0005-0000-0000-00005F3E0000}"/>
    <cellStyle name="40% - Accent2 3 2 2 5 2 3" xfId="20686" xr:uid="{00000000-0005-0000-0000-0000603E0000}"/>
    <cellStyle name="40% - Accent2 3 2 2 5 2 3 2" xfId="49692" xr:uid="{00000000-0005-0000-0000-0000613E0000}"/>
    <cellStyle name="40% - Accent2 3 2 2 5 2 4" xfId="35193" xr:uid="{00000000-0005-0000-0000-0000623E0000}"/>
    <cellStyle name="40% - Accent2 3 2 2 5 3" xfId="10296" xr:uid="{00000000-0005-0000-0000-0000633E0000}"/>
    <cellStyle name="40% - Accent2 3 2 2 5 3 2" xfId="24830" xr:uid="{00000000-0005-0000-0000-0000643E0000}"/>
    <cellStyle name="40% - Accent2 3 2 2 5 3 2 2" xfId="53836" xr:uid="{00000000-0005-0000-0000-0000653E0000}"/>
    <cellStyle name="40% - Accent2 3 2 2 5 3 3" xfId="39337" xr:uid="{00000000-0005-0000-0000-0000663E0000}"/>
    <cellStyle name="40% - Accent2 3 2 2 5 4" xfId="17582" xr:uid="{00000000-0005-0000-0000-0000673E0000}"/>
    <cellStyle name="40% - Accent2 3 2 2 5 4 2" xfId="46588" xr:uid="{00000000-0005-0000-0000-0000683E0000}"/>
    <cellStyle name="40% - Accent2 3 2 2 5 5" xfId="32089" xr:uid="{00000000-0005-0000-0000-0000693E0000}"/>
    <cellStyle name="40% - Accent2 3 2 2 6" xfId="4056" xr:uid="{00000000-0005-0000-0000-00006A3E0000}"/>
    <cellStyle name="40% - Accent2 3 2 2 6 2" xfId="11328" xr:uid="{00000000-0005-0000-0000-00006B3E0000}"/>
    <cellStyle name="40% - Accent2 3 2 2 6 2 2" xfId="25862" xr:uid="{00000000-0005-0000-0000-00006C3E0000}"/>
    <cellStyle name="40% - Accent2 3 2 2 6 2 2 2" xfId="54868" xr:uid="{00000000-0005-0000-0000-00006D3E0000}"/>
    <cellStyle name="40% - Accent2 3 2 2 6 2 3" xfId="40369" xr:uid="{00000000-0005-0000-0000-00006E3E0000}"/>
    <cellStyle name="40% - Accent2 3 2 2 6 3" xfId="18614" xr:uid="{00000000-0005-0000-0000-00006F3E0000}"/>
    <cellStyle name="40% - Accent2 3 2 2 6 3 2" xfId="47620" xr:uid="{00000000-0005-0000-0000-0000703E0000}"/>
    <cellStyle name="40% - Accent2 3 2 2 6 4" xfId="33121" xr:uid="{00000000-0005-0000-0000-0000713E0000}"/>
    <cellStyle name="40% - Accent2 3 2 2 7" xfId="7160" xr:uid="{00000000-0005-0000-0000-0000723E0000}"/>
    <cellStyle name="40% - Accent2 3 2 2 7 2" xfId="14432" xr:uid="{00000000-0005-0000-0000-0000733E0000}"/>
    <cellStyle name="40% - Accent2 3 2 2 7 2 2" xfId="28966" xr:uid="{00000000-0005-0000-0000-0000743E0000}"/>
    <cellStyle name="40% - Accent2 3 2 2 7 2 2 2" xfId="57972" xr:uid="{00000000-0005-0000-0000-0000753E0000}"/>
    <cellStyle name="40% - Accent2 3 2 2 7 2 3" xfId="43473" xr:uid="{00000000-0005-0000-0000-0000763E0000}"/>
    <cellStyle name="40% - Accent2 3 2 2 7 3" xfId="21718" xr:uid="{00000000-0005-0000-0000-0000773E0000}"/>
    <cellStyle name="40% - Accent2 3 2 2 7 3 2" xfId="50724" xr:uid="{00000000-0005-0000-0000-0000783E0000}"/>
    <cellStyle name="40% - Accent2 3 2 2 7 4" xfId="36225" xr:uid="{00000000-0005-0000-0000-0000793E0000}"/>
    <cellStyle name="40% - Accent2 3 2 2 8" xfId="8224" xr:uid="{00000000-0005-0000-0000-00007A3E0000}"/>
    <cellStyle name="40% - Accent2 3 2 2 8 2" xfId="22758" xr:uid="{00000000-0005-0000-0000-00007B3E0000}"/>
    <cellStyle name="40% - Accent2 3 2 2 8 2 2" xfId="51764" xr:uid="{00000000-0005-0000-0000-00007C3E0000}"/>
    <cellStyle name="40% - Accent2 3 2 2 8 3" xfId="37265" xr:uid="{00000000-0005-0000-0000-00007D3E0000}"/>
    <cellStyle name="40% - Accent2 3 2 2 9" xfId="15510" xr:uid="{00000000-0005-0000-0000-00007E3E0000}"/>
    <cellStyle name="40% - Accent2 3 2 2 9 2" xfId="44516" xr:uid="{00000000-0005-0000-0000-00007F3E0000}"/>
    <cellStyle name="40% - Accent2 3 2 3" xfId="1149" xr:uid="{00000000-0005-0000-0000-0000803E0000}"/>
    <cellStyle name="40% - Accent2 3 2 3 2" xfId="1648" xr:uid="{00000000-0005-0000-0000-0000813E0000}"/>
    <cellStyle name="40% - Accent2 3 2 3 2 2" xfId="2707" xr:uid="{00000000-0005-0000-0000-0000823E0000}"/>
    <cellStyle name="40% - Accent2 3 2 3 2 2 2" xfId="5811" xr:uid="{00000000-0005-0000-0000-0000833E0000}"/>
    <cellStyle name="40% - Accent2 3 2 3 2 2 2 2" xfId="13083" xr:uid="{00000000-0005-0000-0000-0000843E0000}"/>
    <cellStyle name="40% - Accent2 3 2 3 2 2 2 2 2" xfId="27617" xr:uid="{00000000-0005-0000-0000-0000853E0000}"/>
    <cellStyle name="40% - Accent2 3 2 3 2 2 2 2 2 2" xfId="56623" xr:uid="{00000000-0005-0000-0000-0000863E0000}"/>
    <cellStyle name="40% - Accent2 3 2 3 2 2 2 2 3" xfId="42124" xr:uid="{00000000-0005-0000-0000-0000873E0000}"/>
    <cellStyle name="40% - Accent2 3 2 3 2 2 2 3" xfId="20369" xr:uid="{00000000-0005-0000-0000-0000883E0000}"/>
    <cellStyle name="40% - Accent2 3 2 3 2 2 2 3 2" xfId="49375" xr:uid="{00000000-0005-0000-0000-0000893E0000}"/>
    <cellStyle name="40% - Accent2 3 2 3 2 2 2 4" xfId="34876" xr:uid="{00000000-0005-0000-0000-00008A3E0000}"/>
    <cellStyle name="40% - Accent2 3 2 3 2 2 3" xfId="9979" xr:uid="{00000000-0005-0000-0000-00008B3E0000}"/>
    <cellStyle name="40% - Accent2 3 2 3 2 2 3 2" xfId="24513" xr:uid="{00000000-0005-0000-0000-00008C3E0000}"/>
    <cellStyle name="40% - Accent2 3 2 3 2 2 3 2 2" xfId="53519" xr:uid="{00000000-0005-0000-0000-00008D3E0000}"/>
    <cellStyle name="40% - Accent2 3 2 3 2 2 3 3" xfId="39020" xr:uid="{00000000-0005-0000-0000-00008E3E0000}"/>
    <cellStyle name="40% - Accent2 3 2 3 2 2 4" xfId="17265" xr:uid="{00000000-0005-0000-0000-00008F3E0000}"/>
    <cellStyle name="40% - Accent2 3 2 3 2 2 4 2" xfId="46271" xr:uid="{00000000-0005-0000-0000-0000903E0000}"/>
    <cellStyle name="40% - Accent2 3 2 3 2 2 5" xfId="31772" xr:uid="{00000000-0005-0000-0000-0000913E0000}"/>
    <cellStyle name="40% - Accent2 3 2 3 2 3" xfId="3739" xr:uid="{00000000-0005-0000-0000-0000923E0000}"/>
    <cellStyle name="40% - Accent2 3 2 3 2 3 2" xfId="6843" xr:uid="{00000000-0005-0000-0000-0000933E0000}"/>
    <cellStyle name="40% - Accent2 3 2 3 2 3 2 2" xfId="14115" xr:uid="{00000000-0005-0000-0000-0000943E0000}"/>
    <cellStyle name="40% - Accent2 3 2 3 2 3 2 2 2" xfId="28649" xr:uid="{00000000-0005-0000-0000-0000953E0000}"/>
    <cellStyle name="40% - Accent2 3 2 3 2 3 2 2 2 2" xfId="57655" xr:uid="{00000000-0005-0000-0000-0000963E0000}"/>
    <cellStyle name="40% - Accent2 3 2 3 2 3 2 2 3" xfId="43156" xr:uid="{00000000-0005-0000-0000-0000973E0000}"/>
    <cellStyle name="40% - Accent2 3 2 3 2 3 2 3" xfId="21401" xr:uid="{00000000-0005-0000-0000-0000983E0000}"/>
    <cellStyle name="40% - Accent2 3 2 3 2 3 2 3 2" xfId="50407" xr:uid="{00000000-0005-0000-0000-0000993E0000}"/>
    <cellStyle name="40% - Accent2 3 2 3 2 3 2 4" xfId="35908" xr:uid="{00000000-0005-0000-0000-00009A3E0000}"/>
    <cellStyle name="40% - Accent2 3 2 3 2 3 3" xfId="11011" xr:uid="{00000000-0005-0000-0000-00009B3E0000}"/>
    <cellStyle name="40% - Accent2 3 2 3 2 3 3 2" xfId="25545" xr:uid="{00000000-0005-0000-0000-00009C3E0000}"/>
    <cellStyle name="40% - Accent2 3 2 3 2 3 3 2 2" xfId="54551" xr:uid="{00000000-0005-0000-0000-00009D3E0000}"/>
    <cellStyle name="40% - Accent2 3 2 3 2 3 3 3" xfId="40052" xr:uid="{00000000-0005-0000-0000-00009E3E0000}"/>
    <cellStyle name="40% - Accent2 3 2 3 2 3 4" xfId="18297" xr:uid="{00000000-0005-0000-0000-00009F3E0000}"/>
    <cellStyle name="40% - Accent2 3 2 3 2 3 4 2" xfId="47303" xr:uid="{00000000-0005-0000-0000-0000A03E0000}"/>
    <cellStyle name="40% - Accent2 3 2 3 2 3 5" xfId="32804" xr:uid="{00000000-0005-0000-0000-0000A13E0000}"/>
    <cellStyle name="40% - Accent2 3 2 3 2 4" xfId="4771" xr:uid="{00000000-0005-0000-0000-0000A23E0000}"/>
    <cellStyle name="40% - Accent2 3 2 3 2 4 2" xfId="12043" xr:uid="{00000000-0005-0000-0000-0000A33E0000}"/>
    <cellStyle name="40% - Accent2 3 2 3 2 4 2 2" xfId="26577" xr:uid="{00000000-0005-0000-0000-0000A43E0000}"/>
    <cellStyle name="40% - Accent2 3 2 3 2 4 2 2 2" xfId="55583" xr:uid="{00000000-0005-0000-0000-0000A53E0000}"/>
    <cellStyle name="40% - Accent2 3 2 3 2 4 2 3" xfId="41084" xr:uid="{00000000-0005-0000-0000-0000A63E0000}"/>
    <cellStyle name="40% - Accent2 3 2 3 2 4 3" xfId="19329" xr:uid="{00000000-0005-0000-0000-0000A73E0000}"/>
    <cellStyle name="40% - Accent2 3 2 3 2 4 3 2" xfId="48335" xr:uid="{00000000-0005-0000-0000-0000A83E0000}"/>
    <cellStyle name="40% - Accent2 3 2 3 2 4 4" xfId="33836" xr:uid="{00000000-0005-0000-0000-0000A93E0000}"/>
    <cellStyle name="40% - Accent2 3 2 3 2 5" xfId="7875" xr:uid="{00000000-0005-0000-0000-0000AA3E0000}"/>
    <cellStyle name="40% - Accent2 3 2 3 2 5 2" xfId="15147" xr:uid="{00000000-0005-0000-0000-0000AB3E0000}"/>
    <cellStyle name="40% - Accent2 3 2 3 2 5 2 2" xfId="29681" xr:uid="{00000000-0005-0000-0000-0000AC3E0000}"/>
    <cellStyle name="40% - Accent2 3 2 3 2 5 2 2 2" xfId="58687" xr:uid="{00000000-0005-0000-0000-0000AD3E0000}"/>
    <cellStyle name="40% - Accent2 3 2 3 2 5 2 3" xfId="44188" xr:uid="{00000000-0005-0000-0000-0000AE3E0000}"/>
    <cellStyle name="40% - Accent2 3 2 3 2 5 3" xfId="22433" xr:uid="{00000000-0005-0000-0000-0000AF3E0000}"/>
    <cellStyle name="40% - Accent2 3 2 3 2 5 3 2" xfId="51439" xr:uid="{00000000-0005-0000-0000-0000B03E0000}"/>
    <cellStyle name="40% - Accent2 3 2 3 2 5 4" xfId="36940" xr:uid="{00000000-0005-0000-0000-0000B13E0000}"/>
    <cellStyle name="40% - Accent2 3 2 3 2 6" xfId="8939" xr:uid="{00000000-0005-0000-0000-0000B23E0000}"/>
    <cellStyle name="40% - Accent2 3 2 3 2 6 2" xfId="23473" xr:uid="{00000000-0005-0000-0000-0000B33E0000}"/>
    <cellStyle name="40% - Accent2 3 2 3 2 6 2 2" xfId="52479" xr:uid="{00000000-0005-0000-0000-0000B43E0000}"/>
    <cellStyle name="40% - Accent2 3 2 3 2 6 3" xfId="37980" xr:uid="{00000000-0005-0000-0000-0000B53E0000}"/>
    <cellStyle name="40% - Accent2 3 2 3 2 7" xfId="16225" xr:uid="{00000000-0005-0000-0000-0000B63E0000}"/>
    <cellStyle name="40% - Accent2 3 2 3 2 7 2" xfId="45231" xr:uid="{00000000-0005-0000-0000-0000B73E0000}"/>
    <cellStyle name="40% - Accent2 3 2 3 2 8" xfId="30732" xr:uid="{00000000-0005-0000-0000-0000B83E0000}"/>
    <cellStyle name="40% - Accent2 3 2 3 3" xfId="2195" xr:uid="{00000000-0005-0000-0000-0000B93E0000}"/>
    <cellStyle name="40% - Accent2 3 2 3 3 2" xfId="5299" xr:uid="{00000000-0005-0000-0000-0000BA3E0000}"/>
    <cellStyle name="40% - Accent2 3 2 3 3 2 2" xfId="12571" xr:uid="{00000000-0005-0000-0000-0000BB3E0000}"/>
    <cellStyle name="40% - Accent2 3 2 3 3 2 2 2" xfId="27105" xr:uid="{00000000-0005-0000-0000-0000BC3E0000}"/>
    <cellStyle name="40% - Accent2 3 2 3 3 2 2 2 2" xfId="56111" xr:uid="{00000000-0005-0000-0000-0000BD3E0000}"/>
    <cellStyle name="40% - Accent2 3 2 3 3 2 2 3" xfId="41612" xr:uid="{00000000-0005-0000-0000-0000BE3E0000}"/>
    <cellStyle name="40% - Accent2 3 2 3 3 2 3" xfId="19857" xr:uid="{00000000-0005-0000-0000-0000BF3E0000}"/>
    <cellStyle name="40% - Accent2 3 2 3 3 2 3 2" xfId="48863" xr:uid="{00000000-0005-0000-0000-0000C03E0000}"/>
    <cellStyle name="40% - Accent2 3 2 3 3 2 4" xfId="34364" xr:uid="{00000000-0005-0000-0000-0000C13E0000}"/>
    <cellStyle name="40% - Accent2 3 2 3 3 3" xfId="9467" xr:uid="{00000000-0005-0000-0000-0000C23E0000}"/>
    <cellStyle name="40% - Accent2 3 2 3 3 3 2" xfId="24001" xr:uid="{00000000-0005-0000-0000-0000C33E0000}"/>
    <cellStyle name="40% - Accent2 3 2 3 3 3 2 2" xfId="53007" xr:uid="{00000000-0005-0000-0000-0000C43E0000}"/>
    <cellStyle name="40% - Accent2 3 2 3 3 3 3" xfId="38508" xr:uid="{00000000-0005-0000-0000-0000C53E0000}"/>
    <cellStyle name="40% - Accent2 3 2 3 3 4" xfId="16753" xr:uid="{00000000-0005-0000-0000-0000C63E0000}"/>
    <cellStyle name="40% - Accent2 3 2 3 3 4 2" xfId="45759" xr:uid="{00000000-0005-0000-0000-0000C73E0000}"/>
    <cellStyle name="40% - Accent2 3 2 3 3 5" xfId="31260" xr:uid="{00000000-0005-0000-0000-0000C83E0000}"/>
    <cellStyle name="40% - Accent2 3 2 3 4" xfId="3227" xr:uid="{00000000-0005-0000-0000-0000C93E0000}"/>
    <cellStyle name="40% - Accent2 3 2 3 4 2" xfId="6331" xr:uid="{00000000-0005-0000-0000-0000CA3E0000}"/>
    <cellStyle name="40% - Accent2 3 2 3 4 2 2" xfId="13603" xr:uid="{00000000-0005-0000-0000-0000CB3E0000}"/>
    <cellStyle name="40% - Accent2 3 2 3 4 2 2 2" xfId="28137" xr:uid="{00000000-0005-0000-0000-0000CC3E0000}"/>
    <cellStyle name="40% - Accent2 3 2 3 4 2 2 2 2" xfId="57143" xr:uid="{00000000-0005-0000-0000-0000CD3E0000}"/>
    <cellStyle name="40% - Accent2 3 2 3 4 2 2 3" xfId="42644" xr:uid="{00000000-0005-0000-0000-0000CE3E0000}"/>
    <cellStyle name="40% - Accent2 3 2 3 4 2 3" xfId="20889" xr:uid="{00000000-0005-0000-0000-0000CF3E0000}"/>
    <cellStyle name="40% - Accent2 3 2 3 4 2 3 2" xfId="49895" xr:uid="{00000000-0005-0000-0000-0000D03E0000}"/>
    <cellStyle name="40% - Accent2 3 2 3 4 2 4" xfId="35396" xr:uid="{00000000-0005-0000-0000-0000D13E0000}"/>
    <cellStyle name="40% - Accent2 3 2 3 4 3" xfId="10499" xr:uid="{00000000-0005-0000-0000-0000D23E0000}"/>
    <cellStyle name="40% - Accent2 3 2 3 4 3 2" xfId="25033" xr:uid="{00000000-0005-0000-0000-0000D33E0000}"/>
    <cellStyle name="40% - Accent2 3 2 3 4 3 2 2" xfId="54039" xr:uid="{00000000-0005-0000-0000-0000D43E0000}"/>
    <cellStyle name="40% - Accent2 3 2 3 4 3 3" xfId="39540" xr:uid="{00000000-0005-0000-0000-0000D53E0000}"/>
    <cellStyle name="40% - Accent2 3 2 3 4 4" xfId="17785" xr:uid="{00000000-0005-0000-0000-0000D63E0000}"/>
    <cellStyle name="40% - Accent2 3 2 3 4 4 2" xfId="46791" xr:uid="{00000000-0005-0000-0000-0000D73E0000}"/>
    <cellStyle name="40% - Accent2 3 2 3 4 5" xfId="32292" xr:uid="{00000000-0005-0000-0000-0000D83E0000}"/>
    <cellStyle name="40% - Accent2 3 2 3 5" xfId="4259" xr:uid="{00000000-0005-0000-0000-0000D93E0000}"/>
    <cellStyle name="40% - Accent2 3 2 3 5 2" xfId="11531" xr:uid="{00000000-0005-0000-0000-0000DA3E0000}"/>
    <cellStyle name="40% - Accent2 3 2 3 5 2 2" xfId="26065" xr:uid="{00000000-0005-0000-0000-0000DB3E0000}"/>
    <cellStyle name="40% - Accent2 3 2 3 5 2 2 2" xfId="55071" xr:uid="{00000000-0005-0000-0000-0000DC3E0000}"/>
    <cellStyle name="40% - Accent2 3 2 3 5 2 3" xfId="40572" xr:uid="{00000000-0005-0000-0000-0000DD3E0000}"/>
    <cellStyle name="40% - Accent2 3 2 3 5 3" xfId="18817" xr:uid="{00000000-0005-0000-0000-0000DE3E0000}"/>
    <cellStyle name="40% - Accent2 3 2 3 5 3 2" xfId="47823" xr:uid="{00000000-0005-0000-0000-0000DF3E0000}"/>
    <cellStyle name="40% - Accent2 3 2 3 5 4" xfId="33324" xr:uid="{00000000-0005-0000-0000-0000E03E0000}"/>
    <cellStyle name="40% - Accent2 3 2 3 6" xfId="7363" xr:uid="{00000000-0005-0000-0000-0000E13E0000}"/>
    <cellStyle name="40% - Accent2 3 2 3 6 2" xfId="14635" xr:uid="{00000000-0005-0000-0000-0000E23E0000}"/>
    <cellStyle name="40% - Accent2 3 2 3 6 2 2" xfId="29169" xr:uid="{00000000-0005-0000-0000-0000E33E0000}"/>
    <cellStyle name="40% - Accent2 3 2 3 6 2 2 2" xfId="58175" xr:uid="{00000000-0005-0000-0000-0000E43E0000}"/>
    <cellStyle name="40% - Accent2 3 2 3 6 2 3" xfId="43676" xr:uid="{00000000-0005-0000-0000-0000E53E0000}"/>
    <cellStyle name="40% - Accent2 3 2 3 6 3" xfId="21921" xr:uid="{00000000-0005-0000-0000-0000E63E0000}"/>
    <cellStyle name="40% - Accent2 3 2 3 6 3 2" xfId="50927" xr:uid="{00000000-0005-0000-0000-0000E73E0000}"/>
    <cellStyle name="40% - Accent2 3 2 3 6 4" xfId="36428" xr:uid="{00000000-0005-0000-0000-0000E83E0000}"/>
    <cellStyle name="40% - Accent2 3 2 3 7" xfId="8427" xr:uid="{00000000-0005-0000-0000-0000E93E0000}"/>
    <cellStyle name="40% - Accent2 3 2 3 7 2" xfId="22961" xr:uid="{00000000-0005-0000-0000-0000EA3E0000}"/>
    <cellStyle name="40% - Accent2 3 2 3 7 2 2" xfId="51967" xr:uid="{00000000-0005-0000-0000-0000EB3E0000}"/>
    <cellStyle name="40% - Accent2 3 2 3 7 3" xfId="37468" xr:uid="{00000000-0005-0000-0000-0000EC3E0000}"/>
    <cellStyle name="40% - Accent2 3 2 3 8" xfId="15713" xr:uid="{00000000-0005-0000-0000-0000ED3E0000}"/>
    <cellStyle name="40% - Accent2 3 2 3 8 2" xfId="44719" xr:uid="{00000000-0005-0000-0000-0000EE3E0000}"/>
    <cellStyle name="40% - Accent2 3 2 3 9" xfId="30220" xr:uid="{00000000-0005-0000-0000-0000EF3E0000}"/>
    <cellStyle name="40% - Accent2 3 2 4" xfId="1058" xr:uid="{00000000-0005-0000-0000-0000F03E0000}"/>
    <cellStyle name="40% - Accent2 3 2 4 2" xfId="1549" xr:uid="{00000000-0005-0000-0000-0000F13E0000}"/>
    <cellStyle name="40% - Accent2 3 2 4 2 2" xfId="2607" xr:uid="{00000000-0005-0000-0000-0000F23E0000}"/>
    <cellStyle name="40% - Accent2 3 2 4 2 2 2" xfId="5711" xr:uid="{00000000-0005-0000-0000-0000F33E0000}"/>
    <cellStyle name="40% - Accent2 3 2 4 2 2 2 2" xfId="12983" xr:uid="{00000000-0005-0000-0000-0000F43E0000}"/>
    <cellStyle name="40% - Accent2 3 2 4 2 2 2 2 2" xfId="27517" xr:uid="{00000000-0005-0000-0000-0000F53E0000}"/>
    <cellStyle name="40% - Accent2 3 2 4 2 2 2 2 2 2" xfId="56523" xr:uid="{00000000-0005-0000-0000-0000F63E0000}"/>
    <cellStyle name="40% - Accent2 3 2 4 2 2 2 2 3" xfId="42024" xr:uid="{00000000-0005-0000-0000-0000F73E0000}"/>
    <cellStyle name="40% - Accent2 3 2 4 2 2 2 3" xfId="20269" xr:uid="{00000000-0005-0000-0000-0000F83E0000}"/>
    <cellStyle name="40% - Accent2 3 2 4 2 2 2 3 2" xfId="49275" xr:uid="{00000000-0005-0000-0000-0000F93E0000}"/>
    <cellStyle name="40% - Accent2 3 2 4 2 2 2 4" xfId="34776" xr:uid="{00000000-0005-0000-0000-0000FA3E0000}"/>
    <cellStyle name="40% - Accent2 3 2 4 2 2 3" xfId="9879" xr:uid="{00000000-0005-0000-0000-0000FB3E0000}"/>
    <cellStyle name="40% - Accent2 3 2 4 2 2 3 2" xfId="24413" xr:uid="{00000000-0005-0000-0000-0000FC3E0000}"/>
    <cellStyle name="40% - Accent2 3 2 4 2 2 3 2 2" xfId="53419" xr:uid="{00000000-0005-0000-0000-0000FD3E0000}"/>
    <cellStyle name="40% - Accent2 3 2 4 2 2 3 3" xfId="38920" xr:uid="{00000000-0005-0000-0000-0000FE3E0000}"/>
    <cellStyle name="40% - Accent2 3 2 4 2 2 4" xfId="17165" xr:uid="{00000000-0005-0000-0000-0000FF3E0000}"/>
    <cellStyle name="40% - Accent2 3 2 4 2 2 4 2" xfId="46171" xr:uid="{00000000-0005-0000-0000-0000003F0000}"/>
    <cellStyle name="40% - Accent2 3 2 4 2 2 5" xfId="31672" xr:uid="{00000000-0005-0000-0000-0000013F0000}"/>
    <cellStyle name="40% - Accent2 3 2 4 2 3" xfId="3639" xr:uid="{00000000-0005-0000-0000-0000023F0000}"/>
    <cellStyle name="40% - Accent2 3 2 4 2 3 2" xfId="6743" xr:uid="{00000000-0005-0000-0000-0000033F0000}"/>
    <cellStyle name="40% - Accent2 3 2 4 2 3 2 2" xfId="14015" xr:uid="{00000000-0005-0000-0000-0000043F0000}"/>
    <cellStyle name="40% - Accent2 3 2 4 2 3 2 2 2" xfId="28549" xr:uid="{00000000-0005-0000-0000-0000053F0000}"/>
    <cellStyle name="40% - Accent2 3 2 4 2 3 2 2 2 2" xfId="57555" xr:uid="{00000000-0005-0000-0000-0000063F0000}"/>
    <cellStyle name="40% - Accent2 3 2 4 2 3 2 2 3" xfId="43056" xr:uid="{00000000-0005-0000-0000-0000073F0000}"/>
    <cellStyle name="40% - Accent2 3 2 4 2 3 2 3" xfId="21301" xr:uid="{00000000-0005-0000-0000-0000083F0000}"/>
    <cellStyle name="40% - Accent2 3 2 4 2 3 2 3 2" xfId="50307" xr:uid="{00000000-0005-0000-0000-0000093F0000}"/>
    <cellStyle name="40% - Accent2 3 2 4 2 3 2 4" xfId="35808" xr:uid="{00000000-0005-0000-0000-00000A3F0000}"/>
    <cellStyle name="40% - Accent2 3 2 4 2 3 3" xfId="10911" xr:uid="{00000000-0005-0000-0000-00000B3F0000}"/>
    <cellStyle name="40% - Accent2 3 2 4 2 3 3 2" xfId="25445" xr:uid="{00000000-0005-0000-0000-00000C3F0000}"/>
    <cellStyle name="40% - Accent2 3 2 4 2 3 3 2 2" xfId="54451" xr:uid="{00000000-0005-0000-0000-00000D3F0000}"/>
    <cellStyle name="40% - Accent2 3 2 4 2 3 3 3" xfId="39952" xr:uid="{00000000-0005-0000-0000-00000E3F0000}"/>
    <cellStyle name="40% - Accent2 3 2 4 2 3 4" xfId="18197" xr:uid="{00000000-0005-0000-0000-00000F3F0000}"/>
    <cellStyle name="40% - Accent2 3 2 4 2 3 4 2" xfId="47203" xr:uid="{00000000-0005-0000-0000-0000103F0000}"/>
    <cellStyle name="40% - Accent2 3 2 4 2 3 5" xfId="32704" xr:uid="{00000000-0005-0000-0000-0000113F0000}"/>
    <cellStyle name="40% - Accent2 3 2 4 2 4" xfId="4671" xr:uid="{00000000-0005-0000-0000-0000123F0000}"/>
    <cellStyle name="40% - Accent2 3 2 4 2 4 2" xfId="11943" xr:uid="{00000000-0005-0000-0000-0000133F0000}"/>
    <cellStyle name="40% - Accent2 3 2 4 2 4 2 2" xfId="26477" xr:uid="{00000000-0005-0000-0000-0000143F0000}"/>
    <cellStyle name="40% - Accent2 3 2 4 2 4 2 2 2" xfId="55483" xr:uid="{00000000-0005-0000-0000-0000153F0000}"/>
    <cellStyle name="40% - Accent2 3 2 4 2 4 2 3" xfId="40984" xr:uid="{00000000-0005-0000-0000-0000163F0000}"/>
    <cellStyle name="40% - Accent2 3 2 4 2 4 3" xfId="19229" xr:uid="{00000000-0005-0000-0000-0000173F0000}"/>
    <cellStyle name="40% - Accent2 3 2 4 2 4 3 2" xfId="48235" xr:uid="{00000000-0005-0000-0000-0000183F0000}"/>
    <cellStyle name="40% - Accent2 3 2 4 2 4 4" xfId="33736" xr:uid="{00000000-0005-0000-0000-0000193F0000}"/>
    <cellStyle name="40% - Accent2 3 2 4 2 5" xfId="7775" xr:uid="{00000000-0005-0000-0000-00001A3F0000}"/>
    <cellStyle name="40% - Accent2 3 2 4 2 5 2" xfId="15047" xr:uid="{00000000-0005-0000-0000-00001B3F0000}"/>
    <cellStyle name="40% - Accent2 3 2 4 2 5 2 2" xfId="29581" xr:uid="{00000000-0005-0000-0000-00001C3F0000}"/>
    <cellStyle name="40% - Accent2 3 2 4 2 5 2 2 2" xfId="58587" xr:uid="{00000000-0005-0000-0000-00001D3F0000}"/>
    <cellStyle name="40% - Accent2 3 2 4 2 5 2 3" xfId="44088" xr:uid="{00000000-0005-0000-0000-00001E3F0000}"/>
    <cellStyle name="40% - Accent2 3 2 4 2 5 3" xfId="22333" xr:uid="{00000000-0005-0000-0000-00001F3F0000}"/>
    <cellStyle name="40% - Accent2 3 2 4 2 5 3 2" xfId="51339" xr:uid="{00000000-0005-0000-0000-0000203F0000}"/>
    <cellStyle name="40% - Accent2 3 2 4 2 5 4" xfId="36840" xr:uid="{00000000-0005-0000-0000-0000213F0000}"/>
    <cellStyle name="40% - Accent2 3 2 4 2 6" xfId="8839" xr:uid="{00000000-0005-0000-0000-0000223F0000}"/>
    <cellStyle name="40% - Accent2 3 2 4 2 6 2" xfId="23373" xr:uid="{00000000-0005-0000-0000-0000233F0000}"/>
    <cellStyle name="40% - Accent2 3 2 4 2 6 2 2" xfId="52379" xr:uid="{00000000-0005-0000-0000-0000243F0000}"/>
    <cellStyle name="40% - Accent2 3 2 4 2 6 3" xfId="37880" xr:uid="{00000000-0005-0000-0000-0000253F0000}"/>
    <cellStyle name="40% - Accent2 3 2 4 2 7" xfId="16125" xr:uid="{00000000-0005-0000-0000-0000263F0000}"/>
    <cellStyle name="40% - Accent2 3 2 4 2 7 2" xfId="45131" xr:uid="{00000000-0005-0000-0000-0000273F0000}"/>
    <cellStyle name="40% - Accent2 3 2 4 2 8" xfId="30632" xr:uid="{00000000-0005-0000-0000-0000283F0000}"/>
    <cellStyle name="40% - Accent2 3 2 4 3" xfId="2095" xr:uid="{00000000-0005-0000-0000-0000293F0000}"/>
    <cellStyle name="40% - Accent2 3 2 4 3 2" xfId="5199" xr:uid="{00000000-0005-0000-0000-00002A3F0000}"/>
    <cellStyle name="40% - Accent2 3 2 4 3 2 2" xfId="12471" xr:uid="{00000000-0005-0000-0000-00002B3F0000}"/>
    <cellStyle name="40% - Accent2 3 2 4 3 2 2 2" xfId="27005" xr:uid="{00000000-0005-0000-0000-00002C3F0000}"/>
    <cellStyle name="40% - Accent2 3 2 4 3 2 2 2 2" xfId="56011" xr:uid="{00000000-0005-0000-0000-00002D3F0000}"/>
    <cellStyle name="40% - Accent2 3 2 4 3 2 2 3" xfId="41512" xr:uid="{00000000-0005-0000-0000-00002E3F0000}"/>
    <cellStyle name="40% - Accent2 3 2 4 3 2 3" xfId="19757" xr:uid="{00000000-0005-0000-0000-00002F3F0000}"/>
    <cellStyle name="40% - Accent2 3 2 4 3 2 3 2" xfId="48763" xr:uid="{00000000-0005-0000-0000-0000303F0000}"/>
    <cellStyle name="40% - Accent2 3 2 4 3 2 4" xfId="34264" xr:uid="{00000000-0005-0000-0000-0000313F0000}"/>
    <cellStyle name="40% - Accent2 3 2 4 3 3" xfId="9367" xr:uid="{00000000-0005-0000-0000-0000323F0000}"/>
    <cellStyle name="40% - Accent2 3 2 4 3 3 2" xfId="23901" xr:uid="{00000000-0005-0000-0000-0000333F0000}"/>
    <cellStyle name="40% - Accent2 3 2 4 3 3 2 2" xfId="52907" xr:uid="{00000000-0005-0000-0000-0000343F0000}"/>
    <cellStyle name="40% - Accent2 3 2 4 3 3 3" xfId="38408" xr:uid="{00000000-0005-0000-0000-0000353F0000}"/>
    <cellStyle name="40% - Accent2 3 2 4 3 4" xfId="16653" xr:uid="{00000000-0005-0000-0000-0000363F0000}"/>
    <cellStyle name="40% - Accent2 3 2 4 3 4 2" xfId="45659" xr:uid="{00000000-0005-0000-0000-0000373F0000}"/>
    <cellStyle name="40% - Accent2 3 2 4 3 5" xfId="31160" xr:uid="{00000000-0005-0000-0000-0000383F0000}"/>
    <cellStyle name="40% - Accent2 3 2 4 4" xfId="3127" xr:uid="{00000000-0005-0000-0000-0000393F0000}"/>
    <cellStyle name="40% - Accent2 3 2 4 4 2" xfId="6231" xr:uid="{00000000-0005-0000-0000-00003A3F0000}"/>
    <cellStyle name="40% - Accent2 3 2 4 4 2 2" xfId="13503" xr:uid="{00000000-0005-0000-0000-00003B3F0000}"/>
    <cellStyle name="40% - Accent2 3 2 4 4 2 2 2" xfId="28037" xr:uid="{00000000-0005-0000-0000-00003C3F0000}"/>
    <cellStyle name="40% - Accent2 3 2 4 4 2 2 2 2" xfId="57043" xr:uid="{00000000-0005-0000-0000-00003D3F0000}"/>
    <cellStyle name="40% - Accent2 3 2 4 4 2 2 3" xfId="42544" xr:uid="{00000000-0005-0000-0000-00003E3F0000}"/>
    <cellStyle name="40% - Accent2 3 2 4 4 2 3" xfId="20789" xr:uid="{00000000-0005-0000-0000-00003F3F0000}"/>
    <cellStyle name="40% - Accent2 3 2 4 4 2 3 2" xfId="49795" xr:uid="{00000000-0005-0000-0000-0000403F0000}"/>
    <cellStyle name="40% - Accent2 3 2 4 4 2 4" xfId="35296" xr:uid="{00000000-0005-0000-0000-0000413F0000}"/>
    <cellStyle name="40% - Accent2 3 2 4 4 3" xfId="10399" xr:uid="{00000000-0005-0000-0000-0000423F0000}"/>
    <cellStyle name="40% - Accent2 3 2 4 4 3 2" xfId="24933" xr:uid="{00000000-0005-0000-0000-0000433F0000}"/>
    <cellStyle name="40% - Accent2 3 2 4 4 3 2 2" xfId="53939" xr:uid="{00000000-0005-0000-0000-0000443F0000}"/>
    <cellStyle name="40% - Accent2 3 2 4 4 3 3" xfId="39440" xr:uid="{00000000-0005-0000-0000-0000453F0000}"/>
    <cellStyle name="40% - Accent2 3 2 4 4 4" xfId="17685" xr:uid="{00000000-0005-0000-0000-0000463F0000}"/>
    <cellStyle name="40% - Accent2 3 2 4 4 4 2" xfId="46691" xr:uid="{00000000-0005-0000-0000-0000473F0000}"/>
    <cellStyle name="40% - Accent2 3 2 4 4 5" xfId="32192" xr:uid="{00000000-0005-0000-0000-0000483F0000}"/>
    <cellStyle name="40% - Accent2 3 2 4 5" xfId="4159" xr:uid="{00000000-0005-0000-0000-0000493F0000}"/>
    <cellStyle name="40% - Accent2 3 2 4 5 2" xfId="11431" xr:uid="{00000000-0005-0000-0000-00004A3F0000}"/>
    <cellStyle name="40% - Accent2 3 2 4 5 2 2" xfId="25965" xr:uid="{00000000-0005-0000-0000-00004B3F0000}"/>
    <cellStyle name="40% - Accent2 3 2 4 5 2 2 2" xfId="54971" xr:uid="{00000000-0005-0000-0000-00004C3F0000}"/>
    <cellStyle name="40% - Accent2 3 2 4 5 2 3" xfId="40472" xr:uid="{00000000-0005-0000-0000-00004D3F0000}"/>
    <cellStyle name="40% - Accent2 3 2 4 5 3" xfId="18717" xr:uid="{00000000-0005-0000-0000-00004E3F0000}"/>
    <cellStyle name="40% - Accent2 3 2 4 5 3 2" xfId="47723" xr:uid="{00000000-0005-0000-0000-00004F3F0000}"/>
    <cellStyle name="40% - Accent2 3 2 4 5 4" xfId="33224" xr:uid="{00000000-0005-0000-0000-0000503F0000}"/>
    <cellStyle name="40% - Accent2 3 2 4 6" xfId="7263" xr:uid="{00000000-0005-0000-0000-0000513F0000}"/>
    <cellStyle name="40% - Accent2 3 2 4 6 2" xfId="14535" xr:uid="{00000000-0005-0000-0000-0000523F0000}"/>
    <cellStyle name="40% - Accent2 3 2 4 6 2 2" xfId="29069" xr:uid="{00000000-0005-0000-0000-0000533F0000}"/>
    <cellStyle name="40% - Accent2 3 2 4 6 2 2 2" xfId="58075" xr:uid="{00000000-0005-0000-0000-0000543F0000}"/>
    <cellStyle name="40% - Accent2 3 2 4 6 2 3" xfId="43576" xr:uid="{00000000-0005-0000-0000-0000553F0000}"/>
    <cellStyle name="40% - Accent2 3 2 4 6 3" xfId="21821" xr:uid="{00000000-0005-0000-0000-0000563F0000}"/>
    <cellStyle name="40% - Accent2 3 2 4 6 3 2" xfId="50827" xr:uid="{00000000-0005-0000-0000-0000573F0000}"/>
    <cellStyle name="40% - Accent2 3 2 4 6 4" xfId="36328" xr:uid="{00000000-0005-0000-0000-0000583F0000}"/>
    <cellStyle name="40% - Accent2 3 2 4 7" xfId="8327" xr:uid="{00000000-0005-0000-0000-0000593F0000}"/>
    <cellStyle name="40% - Accent2 3 2 4 7 2" xfId="22861" xr:uid="{00000000-0005-0000-0000-00005A3F0000}"/>
    <cellStyle name="40% - Accent2 3 2 4 7 2 2" xfId="51867" xr:uid="{00000000-0005-0000-0000-00005B3F0000}"/>
    <cellStyle name="40% - Accent2 3 2 4 7 3" xfId="37368" xr:uid="{00000000-0005-0000-0000-00005C3F0000}"/>
    <cellStyle name="40% - Accent2 3 2 4 8" xfId="15613" xr:uid="{00000000-0005-0000-0000-00005D3F0000}"/>
    <cellStyle name="40% - Accent2 3 2 4 8 2" xfId="44619" xr:uid="{00000000-0005-0000-0000-00005E3F0000}"/>
    <cellStyle name="40% - Accent2 3 2 4 9" xfId="30120" xr:uid="{00000000-0005-0000-0000-00005F3F0000}"/>
    <cellStyle name="40% - Accent2 3 2 5" xfId="1344" xr:uid="{00000000-0005-0000-0000-0000603F0000}"/>
    <cellStyle name="40% - Accent2 3 2 5 2" xfId="2401" xr:uid="{00000000-0005-0000-0000-0000613F0000}"/>
    <cellStyle name="40% - Accent2 3 2 5 2 2" xfId="5505" xr:uid="{00000000-0005-0000-0000-0000623F0000}"/>
    <cellStyle name="40% - Accent2 3 2 5 2 2 2" xfId="12777" xr:uid="{00000000-0005-0000-0000-0000633F0000}"/>
    <cellStyle name="40% - Accent2 3 2 5 2 2 2 2" xfId="27311" xr:uid="{00000000-0005-0000-0000-0000643F0000}"/>
    <cellStyle name="40% - Accent2 3 2 5 2 2 2 2 2" xfId="56317" xr:uid="{00000000-0005-0000-0000-0000653F0000}"/>
    <cellStyle name="40% - Accent2 3 2 5 2 2 2 3" xfId="41818" xr:uid="{00000000-0005-0000-0000-0000663F0000}"/>
    <cellStyle name="40% - Accent2 3 2 5 2 2 3" xfId="20063" xr:uid="{00000000-0005-0000-0000-0000673F0000}"/>
    <cellStyle name="40% - Accent2 3 2 5 2 2 3 2" xfId="49069" xr:uid="{00000000-0005-0000-0000-0000683F0000}"/>
    <cellStyle name="40% - Accent2 3 2 5 2 2 4" xfId="34570" xr:uid="{00000000-0005-0000-0000-0000693F0000}"/>
    <cellStyle name="40% - Accent2 3 2 5 2 3" xfId="9673" xr:uid="{00000000-0005-0000-0000-00006A3F0000}"/>
    <cellStyle name="40% - Accent2 3 2 5 2 3 2" xfId="24207" xr:uid="{00000000-0005-0000-0000-00006B3F0000}"/>
    <cellStyle name="40% - Accent2 3 2 5 2 3 2 2" xfId="53213" xr:uid="{00000000-0005-0000-0000-00006C3F0000}"/>
    <cellStyle name="40% - Accent2 3 2 5 2 3 3" xfId="38714" xr:uid="{00000000-0005-0000-0000-00006D3F0000}"/>
    <cellStyle name="40% - Accent2 3 2 5 2 4" xfId="16959" xr:uid="{00000000-0005-0000-0000-00006E3F0000}"/>
    <cellStyle name="40% - Accent2 3 2 5 2 4 2" xfId="45965" xr:uid="{00000000-0005-0000-0000-00006F3F0000}"/>
    <cellStyle name="40% - Accent2 3 2 5 2 5" xfId="31466" xr:uid="{00000000-0005-0000-0000-0000703F0000}"/>
    <cellStyle name="40% - Accent2 3 2 5 3" xfId="3433" xr:uid="{00000000-0005-0000-0000-0000713F0000}"/>
    <cellStyle name="40% - Accent2 3 2 5 3 2" xfId="6537" xr:uid="{00000000-0005-0000-0000-0000723F0000}"/>
    <cellStyle name="40% - Accent2 3 2 5 3 2 2" xfId="13809" xr:uid="{00000000-0005-0000-0000-0000733F0000}"/>
    <cellStyle name="40% - Accent2 3 2 5 3 2 2 2" xfId="28343" xr:uid="{00000000-0005-0000-0000-0000743F0000}"/>
    <cellStyle name="40% - Accent2 3 2 5 3 2 2 2 2" xfId="57349" xr:uid="{00000000-0005-0000-0000-0000753F0000}"/>
    <cellStyle name="40% - Accent2 3 2 5 3 2 2 3" xfId="42850" xr:uid="{00000000-0005-0000-0000-0000763F0000}"/>
    <cellStyle name="40% - Accent2 3 2 5 3 2 3" xfId="21095" xr:uid="{00000000-0005-0000-0000-0000773F0000}"/>
    <cellStyle name="40% - Accent2 3 2 5 3 2 3 2" xfId="50101" xr:uid="{00000000-0005-0000-0000-0000783F0000}"/>
    <cellStyle name="40% - Accent2 3 2 5 3 2 4" xfId="35602" xr:uid="{00000000-0005-0000-0000-0000793F0000}"/>
    <cellStyle name="40% - Accent2 3 2 5 3 3" xfId="10705" xr:uid="{00000000-0005-0000-0000-00007A3F0000}"/>
    <cellStyle name="40% - Accent2 3 2 5 3 3 2" xfId="25239" xr:uid="{00000000-0005-0000-0000-00007B3F0000}"/>
    <cellStyle name="40% - Accent2 3 2 5 3 3 2 2" xfId="54245" xr:uid="{00000000-0005-0000-0000-00007C3F0000}"/>
    <cellStyle name="40% - Accent2 3 2 5 3 3 3" xfId="39746" xr:uid="{00000000-0005-0000-0000-00007D3F0000}"/>
    <cellStyle name="40% - Accent2 3 2 5 3 4" xfId="17991" xr:uid="{00000000-0005-0000-0000-00007E3F0000}"/>
    <cellStyle name="40% - Accent2 3 2 5 3 4 2" xfId="46997" xr:uid="{00000000-0005-0000-0000-00007F3F0000}"/>
    <cellStyle name="40% - Accent2 3 2 5 3 5" xfId="32498" xr:uid="{00000000-0005-0000-0000-0000803F0000}"/>
    <cellStyle name="40% - Accent2 3 2 5 4" xfId="4465" xr:uid="{00000000-0005-0000-0000-0000813F0000}"/>
    <cellStyle name="40% - Accent2 3 2 5 4 2" xfId="11737" xr:uid="{00000000-0005-0000-0000-0000823F0000}"/>
    <cellStyle name="40% - Accent2 3 2 5 4 2 2" xfId="26271" xr:uid="{00000000-0005-0000-0000-0000833F0000}"/>
    <cellStyle name="40% - Accent2 3 2 5 4 2 2 2" xfId="55277" xr:uid="{00000000-0005-0000-0000-0000843F0000}"/>
    <cellStyle name="40% - Accent2 3 2 5 4 2 3" xfId="40778" xr:uid="{00000000-0005-0000-0000-0000853F0000}"/>
    <cellStyle name="40% - Accent2 3 2 5 4 3" xfId="19023" xr:uid="{00000000-0005-0000-0000-0000863F0000}"/>
    <cellStyle name="40% - Accent2 3 2 5 4 3 2" xfId="48029" xr:uid="{00000000-0005-0000-0000-0000873F0000}"/>
    <cellStyle name="40% - Accent2 3 2 5 4 4" xfId="33530" xr:uid="{00000000-0005-0000-0000-0000883F0000}"/>
    <cellStyle name="40% - Accent2 3 2 5 5" xfId="7569" xr:uid="{00000000-0005-0000-0000-0000893F0000}"/>
    <cellStyle name="40% - Accent2 3 2 5 5 2" xfId="14841" xr:uid="{00000000-0005-0000-0000-00008A3F0000}"/>
    <cellStyle name="40% - Accent2 3 2 5 5 2 2" xfId="29375" xr:uid="{00000000-0005-0000-0000-00008B3F0000}"/>
    <cellStyle name="40% - Accent2 3 2 5 5 2 2 2" xfId="58381" xr:uid="{00000000-0005-0000-0000-00008C3F0000}"/>
    <cellStyle name="40% - Accent2 3 2 5 5 2 3" xfId="43882" xr:uid="{00000000-0005-0000-0000-00008D3F0000}"/>
    <cellStyle name="40% - Accent2 3 2 5 5 3" xfId="22127" xr:uid="{00000000-0005-0000-0000-00008E3F0000}"/>
    <cellStyle name="40% - Accent2 3 2 5 5 3 2" xfId="51133" xr:uid="{00000000-0005-0000-0000-00008F3F0000}"/>
    <cellStyle name="40% - Accent2 3 2 5 5 4" xfId="36634" xr:uid="{00000000-0005-0000-0000-0000903F0000}"/>
    <cellStyle name="40% - Accent2 3 2 5 6" xfId="8633" xr:uid="{00000000-0005-0000-0000-0000913F0000}"/>
    <cellStyle name="40% - Accent2 3 2 5 6 2" xfId="23167" xr:uid="{00000000-0005-0000-0000-0000923F0000}"/>
    <cellStyle name="40% - Accent2 3 2 5 6 2 2" xfId="52173" xr:uid="{00000000-0005-0000-0000-0000933F0000}"/>
    <cellStyle name="40% - Accent2 3 2 5 6 3" xfId="37674" xr:uid="{00000000-0005-0000-0000-0000943F0000}"/>
    <cellStyle name="40% - Accent2 3 2 5 7" xfId="15919" xr:uid="{00000000-0005-0000-0000-0000953F0000}"/>
    <cellStyle name="40% - Accent2 3 2 5 7 2" xfId="44925" xr:uid="{00000000-0005-0000-0000-0000963F0000}"/>
    <cellStyle name="40% - Accent2 3 2 5 8" xfId="30426" xr:uid="{00000000-0005-0000-0000-0000973F0000}"/>
    <cellStyle name="40% - Accent2 3 2 6" xfId="1889" xr:uid="{00000000-0005-0000-0000-0000983F0000}"/>
    <cellStyle name="40% - Accent2 3 2 6 2" xfId="4993" xr:uid="{00000000-0005-0000-0000-0000993F0000}"/>
    <cellStyle name="40% - Accent2 3 2 6 2 2" xfId="12265" xr:uid="{00000000-0005-0000-0000-00009A3F0000}"/>
    <cellStyle name="40% - Accent2 3 2 6 2 2 2" xfId="26799" xr:uid="{00000000-0005-0000-0000-00009B3F0000}"/>
    <cellStyle name="40% - Accent2 3 2 6 2 2 2 2" xfId="55805" xr:uid="{00000000-0005-0000-0000-00009C3F0000}"/>
    <cellStyle name="40% - Accent2 3 2 6 2 2 3" xfId="41306" xr:uid="{00000000-0005-0000-0000-00009D3F0000}"/>
    <cellStyle name="40% - Accent2 3 2 6 2 3" xfId="19551" xr:uid="{00000000-0005-0000-0000-00009E3F0000}"/>
    <cellStyle name="40% - Accent2 3 2 6 2 3 2" xfId="48557" xr:uid="{00000000-0005-0000-0000-00009F3F0000}"/>
    <cellStyle name="40% - Accent2 3 2 6 2 4" xfId="34058" xr:uid="{00000000-0005-0000-0000-0000A03F0000}"/>
    <cellStyle name="40% - Accent2 3 2 6 3" xfId="9161" xr:uid="{00000000-0005-0000-0000-0000A13F0000}"/>
    <cellStyle name="40% - Accent2 3 2 6 3 2" xfId="23695" xr:uid="{00000000-0005-0000-0000-0000A23F0000}"/>
    <cellStyle name="40% - Accent2 3 2 6 3 2 2" xfId="52701" xr:uid="{00000000-0005-0000-0000-0000A33F0000}"/>
    <cellStyle name="40% - Accent2 3 2 6 3 3" xfId="38202" xr:uid="{00000000-0005-0000-0000-0000A43F0000}"/>
    <cellStyle name="40% - Accent2 3 2 6 4" xfId="16447" xr:uid="{00000000-0005-0000-0000-0000A53F0000}"/>
    <cellStyle name="40% - Accent2 3 2 6 4 2" xfId="45453" xr:uid="{00000000-0005-0000-0000-0000A63F0000}"/>
    <cellStyle name="40% - Accent2 3 2 6 5" xfId="30954" xr:uid="{00000000-0005-0000-0000-0000A73F0000}"/>
    <cellStyle name="40% - Accent2 3 2 7" xfId="2921" xr:uid="{00000000-0005-0000-0000-0000A83F0000}"/>
    <cellStyle name="40% - Accent2 3 2 7 2" xfId="6025" xr:uid="{00000000-0005-0000-0000-0000A93F0000}"/>
    <cellStyle name="40% - Accent2 3 2 7 2 2" xfId="13297" xr:uid="{00000000-0005-0000-0000-0000AA3F0000}"/>
    <cellStyle name="40% - Accent2 3 2 7 2 2 2" xfId="27831" xr:uid="{00000000-0005-0000-0000-0000AB3F0000}"/>
    <cellStyle name="40% - Accent2 3 2 7 2 2 2 2" xfId="56837" xr:uid="{00000000-0005-0000-0000-0000AC3F0000}"/>
    <cellStyle name="40% - Accent2 3 2 7 2 2 3" xfId="42338" xr:uid="{00000000-0005-0000-0000-0000AD3F0000}"/>
    <cellStyle name="40% - Accent2 3 2 7 2 3" xfId="20583" xr:uid="{00000000-0005-0000-0000-0000AE3F0000}"/>
    <cellStyle name="40% - Accent2 3 2 7 2 3 2" xfId="49589" xr:uid="{00000000-0005-0000-0000-0000AF3F0000}"/>
    <cellStyle name="40% - Accent2 3 2 7 2 4" xfId="35090" xr:uid="{00000000-0005-0000-0000-0000B03F0000}"/>
    <cellStyle name="40% - Accent2 3 2 7 3" xfId="10193" xr:uid="{00000000-0005-0000-0000-0000B13F0000}"/>
    <cellStyle name="40% - Accent2 3 2 7 3 2" xfId="24727" xr:uid="{00000000-0005-0000-0000-0000B23F0000}"/>
    <cellStyle name="40% - Accent2 3 2 7 3 2 2" xfId="53733" xr:uid="{00000000-0005-0000-0000-0000B33F0000}"/>
    <cellStyle name="40% - Accent2 3 2 7 3 3" xfId="39234" xr:uid="{00000000-0005-0000-0000-0000B43F0000}"/>
    <cellStyle name="40% - Accent2 3 2 7 4" xfId="17479" xr:uid="{00000000-0005-0000-0000-0000B53F0000}"/>
    <cellStyle name="40% - Accent2 3 2 7 4 2" xfId="46485" xr:uid="{00000000-0005-0000-0000-0000B63F0000}"/>
    <cellStyle name="40% - Accent2 3 2 7 5" xfId="31986" xr:uid="{00000000-0005-0000-0000-0000B73F0000}"/>
    <cellStyle name="40% - Accent2 3 2 8" xfId="3953" xr:uid="{00000000-0005-0000-0000-0000B83F0000}"/>
    <cellStyle name="40% - Accent2 3 2 8 2" xfId="11225" xr:uid="{00000000-0005-0000-0000-0000B93F0000}"/>
    <cellStyle name="40% - Accent2 3 2 8 2 2" xfId="25759" xr:uid="{00000000-0005-0000-0000-0000BA3F0000}"/>
    <cellStyle name="40% - Accent2 3 2 8 2 2 2" xfId="54765" xr:uid="{00000000-0005-0000-0000-0000BB3F0000}"/>
    <cellStyle name="40% - Accent2 3 2 8 2 3" xfId="40266" xr:uid="{00000000-0005-0000-0000-0000BC3F0000}"/>
    <cellStyle name="40% - Accent2 3 2 8 3" xfId="18511" xr:uid="{00000000-0005-0000-0000-0000BD3F0000}"/>
    <cellStyle name="40% - Accent2 3 2 8 3 2" xfId="47517" xr:uid="{00000000-0005-0000-0000-0000BE3F0000}"/>
    <cellStyle name="40% - Accent2 3 2 8 4" xfId="33018" xr:uid="{00000000-0005-0000-0000-0000BF3F0000}"/>
    <cellStyle name="40% - Accent2 3 2 9" xfId="7057" xr:uid="{00000000-0005-0000-0000-0000C03F0000}"/>
    <cellStyle name="40% - Accent2 3 2 9 2" xfId="14329" xr:uid="{00000000-0005-0000-0000-0000C13F0000}"/>
    <cellStyle name="40% - Accent2 3 2 9 2 2" xfId="28863" xr:uid="{00000000-0005-0000-0000-0000C23F0000}"/>
    <cellStyle name="40% - Accent2 3 2 9 2 2 2" xfId="57869" xr:uid="{00000000-0005-0000-0000-0000C33F0000}"/>
    <cellStyle name="40% - Accent2 3 2 9 2 3" xfId="43370" xr:uid="{00000000-0005-0000-0000-0000C43F0000}"/>
    <cellStyle name="40% - Accent2 3 2 9 3" xfId="21615" xr:uid="{00000000-0005-0000-0000-0000C53F0000}"/>
    <cellStyle name="40% - Accent2 3 2 9 3 2" xfId="50621" xr:uid="{00000000-0005-0000-0000-0000C63F0000}"/>
    <cellStyle name="40% - Accent2 3 2 9 4" xfId="36122" xr:uid="{00000000-0005-0000-0000-0000C73F0000}"/>
    <cellStyle name="40% - Accent2 3 3" xfId="924" xr:uid="{00000000-0005-0000-0000-0000C83F0000}"/>
    <cellStyle name="40% - Accent2 3 3 10" xfId="29965" xr:uid="{00000000-0005-0000-0000-0000C93F0000}"/>
    <cellStyle name="40% - Accent2 3 3 2" xfId="1196" xr:uid="{00000000-0005-0000-0000-0000CA3F0000}"/>
    <cellStyle name="40% - Accent2 3 3 2 2" xfId="1699" xr:uid="{00000000-0005-0000-0000-0000CB3F0000}"/>
    <cellStyle name="40% - Accent2 3 3 2 2 2" xfId="2758" xr:uid="{00000000-0005-0000-0000-0000CC3F0000}"/>
    <cellStyle name="40% - Accent2 3 3 2 2 2 2" xfId="5862" xr:uid="{00000000-0005-0000-0000-0000CD3F0000}"/>
    <cellStyle name="40% - Accent2 3 3 2 2 2 2 2" xfId="13134" xr:uid="{00000000-0005-0000-0000-0000CE3F0000}"/>
    <cellStyle name="40% - Accent2 3 3 2 2 2 2 2 2" xfId="27668" xr:uid="{00000000-0005-0000-0000-0000CF3F0000}"/>
    <cellStyle name="40% - Accent2 3 3 2 2 2 2 2 2 2" xfId="56674" xr:uid="{00000000-0005-0000-0000-0000D03F0000}"/>
    <cellStyle name="40% - Accent2 3 3 2 2 2 2 2 3" xfId="42175" xr:uid="{00000000-0005-0000-0000-0000D13F0000}"/>
    <cellStyle name="40% - Accent2 3 3 2 2 2 2 3" xfId="20420" xr:uid="{00000000-0005-0000-0000-0000D23F0000}"/>
    <cellStyle name="40% - Accent2 3 3 2 2 2 2 3 2" xfId="49426" xr:uid="{00000000-0005-0000-0000-0000D33F0000}"/>
    <cellStyle name="40% - Accent2 3 3 2 2 2 2 4" xfId="34927" xr:uid="{00000000-0005-0000-0000-0000D43F0000}"/>
    <cellStyle name="40% - Accent2 3 3 2 2 2 3" xfId="10030" xr:uid="{00000000-0005-0000-0000-0000D53F0000}"/>
    <cellStyle name="40% - Accent2 3 3 2 2 2 3 2" xfId="24564" xr:uid="{00000000-0005-0000-0000-0000D63F0000}"/>
    <cellStyle name="40% - Accent2 3 3 2 2 2 3 2 2" xfId="53570" xr:uid="{00000000-0005-0000-0000-0000D73F0000}"/>
    <cellStyle name="40% - Accent2 3 3 2 2 2 3 3" xfId="39071" xr:uid="{00000000-0005-0000-0000-0000D83F0000}"/>
    <cellStyle name="40% - Accent2 3 3 2 2 2 4" xfId="17316" xr:uid="{00000000-0005-0000-0000-0000D93F0000}"/>
    <cellStyle name="40% - Accent2 3 3 2 2 2 4 2" xfId="46322" xr:uid="{00000000-0005-0000-0000-0000DA3F0000}"/>
    <cellStyle name="40% - Accent2 3 3 2 2 2 5" xfId="31823" xr:uid="{00000000-0005-0000-0000-0000DB3F0000}"/>
    <cellStyle name="40% - Accent2 3 3 2 2 3" xfId="3790" xr:uid="{00000000-0005-0000-0000-0000DC3F0000}"/>
    <cellStyle name="40% - Accent2 3 3 2 2 3 2" xfId="6894" xr:uid="{00000000-0005-0000-0000-0000DD3F0000}"/>
    <cellStyle name="40% - Accent2 3 3 2 2 3 2 2" xfId="14166" xr:uid="{00000000-0005-0000-0000-0000DE3F0000}"/>
    <cellStyle name="40% - Accent2 3 3 2 2 3 2 2 2" xfId="28700" xr:uid="{00000000-0005-0000-0000-0000DF3F0000}"/>
    <cellStyle name="40% - Accent2 3 3 2 2 3 2 2 2 2" xfId="57706" xr:uid="{00000000-0005-0000-0000-0000E03F0000}"/>
    <cellStyle name="40% - Accent2 3 3 2 2 3 2 2 3" xfId="43207" xr:uid="{00000000-0005-0000-0000-0000E13F0000}"/>
    <cellStyle name="40% - Accent2 3 3 2 2 3 2 3" xfId="21452" xr:uid="{00000000-0005-0000-0000-0000E23F0000}"/>
    <cellStyle name="40% - Accent2 3 3 2 2 3 2 3 2" xfId="50458" xr:uid="{00000000-0005-0000-0000-0000E33F0000}"/>
    <cellStyle name="40% - Accent2 3 3 2 2 3 2 4" xfId="35959" xr:uid="{00000000-0005-0000-0000-0000E43F0000}"/>
    <cellStyle name="40% - Accent2 3 3 2 2 3 3" xfId="11062" xr:uid="{00000000-0005-0000-0000-0000E53F0000}"/>
    <cellStyle name="40% - Accent2 3 3 2 2 3 3 2" xfId="25596" xr:uid="{00000000-0005-0000-0000-0000E63F0000}"/>
    <cellStyle name="40% - Accent2 3 3 2 2 3 3 2 2" xfId="54602" xr:uid="{00000000-0005-0000-0000-0000E73F0000}"/>
    <cellStyle name="40% - Accent2 3 3 2 2 3 3 3" xfId="40103" xr:uid="{00000000-0005-0000-0000-0000E83F0000}"/>
    <cellStyle name="40% - Accent2 3 3 2 2 3 4" xfId="18348" xr:uid="{00000000-0005-0000-0000-0000E93F0000}"/>
    <cellStyle name="40% - Accent2 3 3 2 2 3 4 2" xfId="47354" xr:uid="{00000000-0005-0000-0000-0000EA3F0000}"/>
    <cellStyle name="40% - Accent2 3 3 2 2 3 5" xfId="32855" xr:uid="{00000000-0005-0000-0000-0000EB3F0000}"/>
    <cellStyle name="40% - Accent2 3 3 2 2 4" xfId="4822" xr:uid="{00000000-0005-0000-0000-0000EC3F0000}"/>
    <cellStyle name="40% - Accent2 3 3 2 2 4 2" xfId="12094" xr:uid="{00000000-0005-0000-0000-0000ED3F0000}"/>
    <cellStyle name="40% - Accent2 3 3 2 2 4 2 2" xfId="26628" xr:uid="{00000000-0005-0000-0000-0000EE3F0000}"/>
    <cellStyle name="40% - Accent2 3 3 2 2 4 2 2 2" xfId="55634" xr:uid="{00000000-0005-0000-0000-0000EF3F0000}"/>
    <cellStyle name="40% - Accent2 3 3 2 2 4 2 3" xfId="41135" xr:uid="{00000000-0005-0000-0000-0000F03F0000}"/>
    <cellStyle name="40% - Accent2 3 3 2 2 4 3" xfId="19380" xr:uid="{00000000-0005-0000-0000-0000F13F0000}"/>
    <cellStyle name="40% - Accent2 3 3 2 2 4 3 2" xfId="48386" xr:uid="{00000000-0005-0000-0000-0000F23F0000}"/>
    <cellStyle name="40% - Accent2 3 3 2 2 4 4" xfId="33887" xr:uid="{00000000-0005-0000-0000-0000F33F0000}"/>
    <cellStyle name="40% - Accent2 3 3 2 2 5" xfId="7926" xr:uid="{00000000-0005-0000-0000-0000F43F0000}"/>
    <cellStyle name="40% - Accent2 3 3 2 2 5 2" xfId="15198" xr:uid="{00000000-0005-0000-0000-0000F53F0000}"/>
    <cellStyle name="40% - Accent2 3 3 2 2 5 2 2" xfId="29732" xr:uid="{00000000-0005-0000-0000-0000F63F0000}"/>
    <cellStyle name="40% - Accent2 3 3 2 2 5 2 2 2" xfId="58738" xr:uid="{00000000-0005-0000-0000-0000F73F0000}"/>
    <cellStyle name="40% - Accent2 3 3 2 2 5 2 3" xfId="44239" xr:uid="{00000000-0005-0000-0000-0000F83F0000}"/>
    <cellStyle name="40% - Accent2 3 3 2 2 5 3" xfId="22484" xr:uid="{00000000-0005-0000-0000-0000F93F0000}"/>
    <cellStyle name="40% - Accent2 3 3 2 2 5 3 2" xfId="51490" xr:uid="{00000000-0005-0000-0000-0000FA3F0000}"/>
    <cellStyle name="40% - Accent2 3 3 2 2 5 4" xfId="36991" xr:uid="{00000000-0005-0000-0000-0000FB3F0000}"/>
    <cellStyle name="40% - Accent2 3 3 2 2 6" xfId="8990" xr:uid="{00000000-0005-0000-0000-0000FC3F0000}"/>
    <cellStyle name="40% - Accent2 3 3 2 2 6 2" xfId="23524" xr:uid="{00000000-0005-0000-0000-0000FD3F0000}"/>
    <cellStyle name="40% - Accent2 3 3 2 2 6 2 2" xfId="52530" xr:uid="{00000000-0005-0000-0000-0000FE3F0000}"/>
    <cellStyle name="40% - Accent2 3 3 2 2 6 3" xfId="38031" xr:uid="{00000000-0005-0000-0000-0000FF3F0000}"/>
    <cellStyle name="40% - Accent2 3 3 2 2 7" xfId="16276" xr:uid="{00000000-0005-0000-0000-000000400000}"/>
    <cellStyle name="40% - Accent2 3 3 2 2 7 2" xfId="45282" xr:uid="{00000000-0005-0000-0000-000001400000}"/>
    <cellStyle name="40% - Accent2 3 3 2 2 8" xfId="30783" xr:uid="{00000000-0005-0000-0000-000002400000}"/>
    <cellStyle name="40% - Accent2 3 3 2 3" xfId="2246" xr:uid="{00000000-0005-0000-0000-000003400000}"/>
    <cellStyle name="40% - Accent2 3 3 2 3 2" xfId="5350" xr:uid="{00000000-0005-0000-0000-000004400000}"/>
    <cellStyle name="40% - Accent2 3 3 2 3 2 2" xfId="12622" xr:uid="{00000000-0005-0000-0000-000005400000}"/>
    <cellStyle name="40% - Accent2 3 3 2 3 2 2 2" xfId="27156" xr:uid="{00000000-0005-0000-0000-000006400000}"/>
    <cellStyle name="40% - Accent2 3 3 2 3 2 2 2 2" xfId="56162" xr:uid="{00000000-0005-0000-0000-000007400000}"/>
    <cellStyle name="40% - Accent2 3 3 2 3 2 2 3" xfId="41663" xr:uid="{00000000-0005-0000-0000-000008400000}"/>
    <cellStyle name="40% - Accent2 3 3 2 3 2 3" xfId="19908" xr:uid="{00000000-0005-0000-0000-000009400000}"/>
    <cellStyle name="40% - Accent2 3 3 2 3 2 3 2" xfId="48914" xr:uid="{00000000-0005-0000-0000-00000A400000}"/>
    <cellStyle name="40% - Accent2 3 3 2 3 2 4" xfId="34415" xr:uid="{00000000-0005-0000-0000-00000B400000}"/>
    <cellStyle name="40% - Accent2 3 3 2 3 3" xfId="9518" xr:uid="{00000000-0005-0000-0000-00000C400000}"/>
    <cellStyle name="40% - Accent2 3 3 2 3 3 2" xfId="24052" xr:uid="{00000000-0005-0000-0000-00000D400000}"/>
    <cellStyle name="40% - Accent2 3 3 2 3 3 2 2" xfId="53058" xr:uid="{00000000-0005-0000-0000-00000E400000}"/>
    <cellStyle name="40% - Accent2 3 3 2 3 3 3" xfId="38559" xr:uid="{00000000-0005-0000-0000-00000F400000}"/>
    <cellStyle name="40% - Accent2 3 3 2 3 4" xfId="16804" xr:uid="{00000000-0005-0000-0000-000010400000}"/>
    <cellStyle name="40% - Accent2 3 3 2 3 4 2" xfId="45810" xr:uid="{00000000-0005-0000-0000-000011400000}"/>
    <cellStyle name="40% - Accent2 3 3 2 3 5" xfId="31311" xr:uid="{00000000-0005-0000-0000-000012400000}"/>
    <cellStyle name="40% - Accent2 3 3 2 4" xfId="3278" xr:uid="{00000000-0005-0000-0000-000013400000}"/>
    <cellStyle name="40% - Accent2 3 3 2 4 2" xfId="6382" xr:uid="{00000000-0005-0000-0000-000014400000}"/>
    <cellStyle name="40% - Accent2 3 3 2 4 2 2" xfId="13654" xr:uid="{00000000-0005-0000-0000-000015400000}"/>
    <cellStyle name="40% - Accent2 3 3 2 4 2 2 2" xfId="28188" xr:uid="{00000000-0005-0000-0000-000016400000}"/>
    <cellStyle name="40% - Accent2 3 3 2 4 2 2 2 2" xfId="57194" xr:uid="{00000000-0005-0000-0000-000017400000}"/>
    <cellStyle name="40% - Accent2 3 3 2 4 2 2 3" xfId="42695" xr:uid="{00000000-0005-0000-0000-000018400000}"/>
    <cellStyle name="40% - Accent2 3 3 2 4 2 3" xfId="20940" xr:uid="{00000000-0005-0000-0000-000019400000}"/>
    <cellStyle name="40% - Accent2 3 3 2 4 2 3 2" xfId="49946" xr:uid="{00000000-0005-0000-0000-00001A400000}"/>
    <cellStyle name="40% - Accent2 3 3 2 4 2 4" xfId="35447" xr:uid="{00000000-0005-0000-0000-00001B400000}"/>
    <cellStyle name="40% - Accent2 3 3 2 4 3" xfId="10550" xr:uid="{00000000-0005-0000-0000-00001C400000}"/>
    <cellStyle name="40% - Accent2 3 3 2 4 3 2" xfId="25084" xr:uid="{00000000-0005-0000-0000-00001D400000}"/>
    <cellStyle name="40% - Accent2 3 3 2 4 3 2 2" xfId="54090" xr:uid="{00000000-0005-0000-0000-00001E400000}"/>
    <cellStyle name="40% - Accent2 3 3 2 4 3 3" xfId="39591" xr:uid="{00000000-0005-0000-0000-00001F400000}"/>
    <cellStyle name="40% - Accent2 3 3 2 4 4" xfId="17836" xr:uid="{00000000-0005-0000-0000-000020400000}"/>
    <cellStyle name="40% - Accent2 3 3 2 4 4 2" xfId="46842" xr:uid="{00000000-0005-0000-0000-000021400000}"/>
    <cellStyle name="40% - Accent2 3 3 2 4 5" xfId="32343" xr:uid="{00000000-0005-0000-0000-000022400000}"/>
    <cellStyle name="40% - Accent2 3 3 2 5" xfId="4310" xr:uid="{00000000-0005-0000-0000-000023400000}"/>
    <cellStyle name="40% - Accent2 3 3 2 5 2" xfId="11582" xr:uid="{00000000-0005-0000-0000-000024400000}"/>
    <cellStyle name="40% - Accent2 3 3 2 5 2 2" xfId="26116" xr:uid="{00000000-0005-0000-0000-000025400000}"/>
    <cellStyle name="40% - Accent2 3 3 2 5 2 2 2" xfId="55122" xr:uid="{00000000-0005-0000-0000-000026400000}"/>
    <cellStyle name="40% - Accent2 3 3 2 5 2 3" xfId="40623" xr:uid="{00000000-0005-0000-0000-000027400000}"/>
    <cellStyle name="40% - Accent2 3 3 2 5 3" xfId="18868" xr:uid="{00000000-0005-0000-0000-000028400000}"/>
    <cellStyle name="40% - Accent2 3 3 2 5 3 2" xfId="47874" xr:uid="{00000000-0005-0000-0000-000029400000}"/>
    <cellStyle name="40% - Accent2 3 3 2 5 4" xfId="33375" xr:uid="{00000000-0005-0000-0000-00002A400000}"/>
    <cellStyle name="40% - Accent2 3 3 2 6" xfId="7414" xr:uid="{00000000-0005-0000-0000-00002B400000}"/>
    <cellStyle name="40% - Accent2 3 3 2 6 2" xfId="14686" xr:uid="{00000000-0005-0000-0000-00002C400000}"/>
    <cellStyle name="40% - Accent2 3 3 2 6 2 2" xfId="29220" xr:uid="{00000000-0005-0000-0000-00002D400000}"/>
    <cellStyle name="40% - Accent2 3 3 2 6 2 2 2" xfId="58226" xr:uid="{00000000-0005-0000-0000-00002E400000}"/>
    <cellStyle name="40% - Accent2 3 3 2 6 2 3" xfId="43727" xr:uid="{00000000-0005-0000-0000-00002F400000}"/>
    <cellStyle name="40% - Accent2 3 3 2 6 3" xfId="21972" xr:uid="{00000000-0005-0000-0000-000030400000}"/>
    <cellStyle name="40% - Accent2 3 3 2 6 3 2" xfId="50978" xr:uid="{00000000-0005-0000-0000-000031400000}"/>
    <cellStyle name="40% - Accent2 3 3 2 6 4" xfId="36479" xr:uid="{00000000-0005-0000-0000-000032400000}"/>
    <cellStyle name="40% - Accent2 3 3 2 7" xfId="8478" xr:uid="{00000000-0005-0000-0000-000033400000}"/>
    <cellStyle name="40% - Accent2 3 3 2 7 2" xfId="23012" xr:uid="{00000000-0005-0000-0000-000034400000}"/>
    <cellStyle name="40% - Accent2 3 3 2 7 2 2" xfId="52018" xr:uid="{00000000-0005-0000-0000-000035400000}"/>
    <cellStyle name="40% - Accent2 3 3 2 7 3" xfId="37519" xr:uid="{00000000-0005-0000-0000-000036400000}"/>
    <cellStyle name="40% - Accent2 3 3 2 8" xfId="15764" xr:uid="{00000000-0005-0000-0000-000037400000}"/>
    <cellStyle name="40% - Accent2 3 3 2 8 2" xfId="44770" xr:uid="{00000000-0005-0000-0000-000038400000}"/>
    <cellStyle name="40% - Accent2 3 3 2 9" xfId="30271" xr:uid="{00000000-0005-0000-0000-000039400000}"/>
    <cellStyle name="40% - Accent2 3 3 3" xfId="1394" xr:uid="{00000000-0005-0000-0000-00003A400000}"/>
    <cellStyle name="40% - Accent2 3 3 3 2" xfId="2452" xr:uid="{00000000-0005-0000-0000-00003B400000}"/>
    <cellStyle name="40% - Accent2 3 3 3 2 2" xfId="5556" xr:uid="{00000000-0005-0000-0000-00003C400000}"/>
    <cellStyle name="40% - Accent2 3 3 3 2 2 2" xfId="12828" xr:uid="{00000000-0005-0000-0000-00003D400000}"/>
    <cellStyle name="40% - Accent2 3 3 3 2 2 2 2" xfId="27362" xr:uid="{00000000-0005-0000-0000-00003E400000}"/>
    <cellStyle name="40% - Accent2 3 3 3 2 2 2 2 2" xfId="56368" xr:uid="{00000000-0005-0000-0000-00003F400000}"/>
    <cellStyle name="40% - Accent2 3 3 3 2 2 2 3" xfId="41869" xr:uid="{00000000-0005-0000-0000-000040400000}"/>
    <cellStyle name="40% - Accent2 3 3 3 2 2 3" xfId="20114" xr:uid="{00000000-0005-0000-0000-000041400000}"/>
    <cellStyle name="40% - Accent2 3 3 3 2 2 3 2" xfId="49120" xr:uid="{00000000-0005-0000-0000-000042400000}"/>
    <cellStyle name="40% - Accent2 3 3 3 2 2 4" xfId="34621" xr:uid="{00000000-0005-0000-0000-000043400000}"/>
    <cellStyle name="40% - Accent2 3 3 3 2 3" xfId="9724" xr:uid="{00000000-0005-0000-0000-000044400000}"/>
    <cellStyle name="40% - Accent2 3 3 3 2 3 2" xfId="24258" xr:uid="{00000000-0005-0000-0000-000045400000}"/>
    <cellStyle name="40% - Accent2 3 3 3 2 3 2 2" xfId="53264" xr:uid="{00000000-0005-0000-0000-000046400000}"/>
    <cellStyle name="40% - Accent2 3 3 3 2 3 3" xfId="38765" xr:uid="{00000000-0005-0000-0000-000047400000}"/>
    <cellStyle name="40% - Accent2 3 3 3 2 4" xfId="17010" xr:uid="{00000000-0005-0000-0000-000048400000}"/>
    <cellStyle name="40% - Accent2 3 3 3 2 4 2" xfId="46016" xr:uid="{00000000-0005-0000-0000-000049400000}"/>
    <cellStyle name="40% - Accent2 3 3 3 2 5" xfId="31517" xr:uid="{00000000-0005-0000-0000-00004A400000}"/>
    <cellStyle name="40% - Accent2 3 3 3 3" xfId="3484" xr:uid="{00000000-0005-0000-0000-00004B400000}"/>
    <cellStyle name="40% - Accent2 3 3 3 3 2" xfId="6588" xr:uid="{00000000-0005-0000-0000-00004C400000}"/>
    <cellStyle name="40% - Accent2 3 3 3 3 2 2" xfId="13860" xr:uid="{00000000-0005-0000-0000-00004D400000}"/>
    <cellStyle name="40% - Accent2 3 3 3 3 2 2 2" xfId="28394" xr:uid="{00000000-0005-0000-0000-00004E400000}"/>
    <cellStyle name="40% - Accent2 3 3 3 3 2 2 2 2" xfId="57400" xr:uid="{00000000-0005-0000-0000-00004F400000}"/>
    <cellStyle name="40% - Accent2 3 3 3 3 2 2 3" xfId="42901" xr:uid="{00000000-0005-0000-0000-000050400000}"/>
    <cellStyle name="40% - Accent2 3 3 3 3 2 3" xfId="21146" xr:uid="{00000000-0005-0000-0000-000051400000}"/>
    <cellStyle name="40% - Accent2 3 3 3 3 2 3 2" xfId="50152" xr:uid="{00000000-0005-0000-0000-000052400000}"/>
    <cellStyle name="40% - Accent2 3 3 3 3 2 4" xfId="35653" xr:uid="{00000000-0005-0000-0000-000053400000}"/>
    <cellStyle name="40% - Accent2 3 3 3 3 3" xfId="10756" xr:uid="{00000000-0005-0000-0000-000054400000}"/>
    <cellStyle name="40% - Accent2 3 3 3 3 3 2" xfId="25290" xr:uid="{00000000-0005-0000-0000-000055400000}"/>
    <cellStyle name="40% - Accent2 3 3 3 3 3 2 2" xfId="54296" xr:uid="{00000000-0005-0000-0000-000056400000}"/>
    <cellStyle name="40% - Accent2 3 3 3 3 3 3" xfId="39797" xr:uid="{00000000-0005-0000-0000-000057400000}"/>
    <cellStyle name="40% - Accent2 3 3 3 3 4" xfId="18042" xr:uid="{00000000-0005-0000-0000-000058400000}"/>
    <cellStyle name="40% - Accent2 3 3 3 3 4 2" xfId="47048" xr:uid="{00000000-0005-0000-0000-000059400000}"/>
    <cellStyle name="40% - Accent2 3 3 3 3 5" xfId="32549" xr:uid="{00000000-0005-0000-0000-00005A400000}"/>
    <cellStyle name="40% - Accent2 3 3 3 4" xfId="4516" xr:uid="{00000000-0005-0000-0000-00005B400000}"/>
    <cellStyle name="40% - Accent2 3 3 3 4 2" xfId="11788" xr:uid="{00000000-0005-0000-0000-00005C400000}"/>
    <cellStyle name="40% - Accent2 3 3 3 4 2 2" xfId="26322" xr:uid="{00000000-0005-0000-0000-00005D400000}"/>
    <cellStyle name="40% - Accent2 3 3 3 4 2 2 2" xfId="55328" xr:uid="{00000000-0005-0000-0000-00005E400000}"/>
    <cellStyle name="40% - Accent2 3 3 3 4 2 3" xfId="40829" xr:uid="{00000000-0005-0000-0000-00005F400000}"/>
    <cellStyle name="40% - Accent2 3 3 3 4 3" xfId="19074" xr:uid="{00000000-0005-0000-0000-000060400000}"/>
    <cellStyle name="40% - Accent2 3 3 3 4 3 2" xfId="48080" xr:uid="{00000000-0005-0000-0000-000061400000}"/>
    <cellStyle name="40% - Accent2 3 3 3 4 4" xfId="33581" xr:uid="{00000000-0005-0000-0000-000062400000}"/>
    <cellStyle name="40% - Accent2 3 3 3 5" xfId="7620" xr:uid="{00000000-0005-0000-0000-000063400000}"/>
    <cellStyle name="40% - Accent2 3 3 3 5 2" xfId="14892" xr:uid="{00000000-0005-0000-0000-000064400000}"/>
    <cellStyle name="40% - Accent2 3 3 3 5 2 2" xfId="29426" xr:uid="{00000000-0005-0000-0000-000065400000}"/>
    <cellStyle name="40% - Accent2 3 3 3 5 2 2 2" xfId="58432" xr:uid="{00000000-0005-0000-0000-000066400000}"/>
    <cellStyle name="40% - Accent2 3 3 3 5 2 3" xfId="43933" xr:uid="{00000000-0005-0000-0000-000067400000}"/>
    <cellStyle name="40% - Accent2 3 3 3 5 3" xfId="22178" xr:uid="{00000000-0005-0000-0000-000068400000}"/>
    <cellStyle name="40% - Accent2 3 3 3 5 3 2" xfId="51184" xr:uid="{00000000-0005-0000-0000-000069400000}"/>
    <cellStyle name="40% - Accent2 3 3 3 5 4" xfId="36685" xr:uid="{00000000-0005-0000-0000-00006A400000}"/>
    <cellStyle name="40% - Accent2 3 3 3 6" xfId="8684" xr:uid="{00000000-0005-0000-0000-00006B400000}"/>
    <cellStyle name="40% - Accent2 3 3 3 6 2" xfId="23218" xr:uid="{00000000-0005-0000-0000-00006C400000}"/>
    <cellStyle name="40% - Accent2 3 3 3 6 2 2" xfId="52224" xr:uid="{00000000-0005-0000-0000-00006D400000}"/>
    <cellStyle name="40% - Accent2 3 3 3 6 3" xfId="37725" xr:uid="{00000000-0005-0000-0000-00006E400000}"/>
    <cellStyle name="40% - Accent2 3 3 3 7" xfId="15970" xr:uid="{00000000-0005-0000-0000-00006F400000}"/>
    <cellStyle name="40% - Accent2 3 3 3 7 2" xfId="44976" xr:uid="{00000000-0005-0000-0000-000070400000}"/>
    <cellStyle name="40% - Accent2 3 3 3 8" xfId="30477" xr:uid="{00000000-0005-0000-0000-000071400000}"/>
    <cellStyle name="40% - Accent2 3 3 4" xfId="1940" xr:uid="{00000000-0005-0000-0000-000072400000}"/>
    <cellStyle name="40% - Accent2 3 3 4 2" xfId="5044" xr:uid="{00000000-0005-0000-0000-000073400000}"/>
    <cellStyle name="40% - Accent2 3 3 4 2 2" xfId="12316" xr:uid="{00000000-0005-0000-0000-000074400000}"/>
    <cellStyle name="40% - Accent2 3 3 4 2 2 2" xfId="26850" xr:uid="{00000000-0005-0000-0000-000075400000}"/>
    <cellStyle name="40% - Accent2 3 3 4 2 2 2 2" xfId="55856" xr:uid="{00000000-0005-0000-0000-000076400000}"/>
    <cellStyle name="40% - Accent2 3 3 4 2 2 3" xfId="41357" xr:uid="{00000000-0005-0000-0000-000077400000}"/>
    <cellStyle name="40% - Accent2 3 3 4 2 3" xfId="19602" xr:uid="{00000000-0005-0000-0000-000078400000}"/>
    <cellStyle name="40% - Accent2 3 3 4 2 3 2" xfId="48608" xr:uid="{00000000-0005-0000-0000-000079400000}"/>
    <cellStyle name="40% - Accent2 3 3 4 2 4" xfId="34109" xr:uid="{00000000-0005-0000-0000-00007A400000}"/>
    <cellStyle name="40% - Accent2 3 3 4 3" xfId="9212" xr:uid="{00000000-0005-0000-0000-00007B400000}"/>
    <cellStyle name="40% - Accent2 3 3 4 3 2" xfId="23746" xr:uid="{00000000-0005-0000-0000-00007C400000}"/>
    <cellStyle name="40% - Accent2 3 3 4 3 2 2" xfId="52752" xr:uid="{00000000-0005-0000-0000-00007D400000}"/>
    <cellStyle name="40% - Accent2 3 3 4 3 3" xfId="38253" xr:uid="{00000000-0005-0000-0000-00007E400000}"/>
    <cellStyle name="40% - Accent2 3 3 4 4" xfId="16498" xr:uid="{00000000-0005-0000-0000-00007F400000}"/>
    <cellStyle name="40% - Accent2 3 3 4 4 2" xfId="45504" xr:uid="{00000000-0005-0000-0000-000080400000}"/>
    <cellStyle name="40% - Accent2 3 3 4 5" xfId="31005" xr:uid="{00000000-0005-0000-0000-000081400000}"/>
    <cellStyle name="40% - Accent2 3 3 5" xfId="2972" xr:uid="{00000000-0005-0000-0000-000082400000}"/>
    <cellStyle name="40% - Accent2 3 3 5 2" xfId="6076" xr:uid="{00000000-0005-0000-0000-000083400000}"/>
    <cellStyle name="40% - Accent2 3 3 5 2 2" xfId="13348" xr:uid="{00000000-0005-0000-0000-000084400000}"/>
    <cellStyle name="40% - Accent2 3 3 5 2 2 2" xfId="27882" xr:uid="{00000000-0005-0000-0000-000085400000}"/>
    <cellStyle name="40% - Accent2 3 3 5 2 2 2 2" xfId="56888" xr:uid="{00000000-0005-0000-0000-000086400000}"/>
    <cellStyle name="40% - Accent2 3 3 5 2 2 3" xfId="42389" xr:uid="{00000000-0005-0000-0000-000087400000}"/>
    <cellStyle name="40% - Accent2 3 3 5 2 3" xfId="20634" xr:uid="{00000000-0005-0000-0000-000088400000}"/>
    <cellStyle name="40% - Accent2 3 3 5 2 3 2" xfId="49640" xr:uid="{00000000-0005-0000-0000-000089400000}"/>
    <cellStyle name="40% - Accent2 3 3 5 2 4" xfId="35141" xr:uid="{00000000-0005-0000-0000-00008A400000}"/>
    <cellStyle name="40% - Accent2 3 3 5 3" xfId="10244" xr:uid="{00000000-0005-0000-0000-00008B400000}"/>
    <cellStyle name="40% - Accent2 3 3 5 3 2" xfId="24778" xr:uid="{00000000-0005-0000-0000-00008C400000}"/>
    <cellStyle name="40% - Accent2 3 3 5 3 2 2" xfId="53784" xr:uid="{00000000-0005-0000-0000-00008D400000}"/>
    <cellStyle name="40% - Accent2 3 3 5 3 3" xfId="39285" xr:uid="{00000000-0005-0000-0000-00008E400000}"/>
    <cellStyle name="40% - Accent2 3 3 5 4" xfId="17530" xr:uid="{00000000-0005-0000-0000-00008F400000}"/>
    <cellStyle name="40% - Accent2 3 3 5 4 2" xfId="46536" xr:uid="{00000000-0005-0000-0000-000090400000}"/>
    <cellStyle name="40% - Accent2 3 3 5 5" xfId="32037" xr:uid="{00000000-0005-0000-0000-000091400000}"/>
    <cellStyle name="40% - Accent2 3 3 6" xfId="4004" xr:uid="{00000000-0005-0000-0000-000092400000}"/>
    <cellStyle name="40% - Accent2 3 3 6 2" xfId="11276" xr:uid="{00000000-0005-0000-0000-000093400000}"/>
    <cellStyle name="40% - Accent2 3 3 6 2 2" xfId="25810" xr:uid="{00000000-0005-0000-0000-000094400000}"/>
    <cellStyle name="40% - Accent2 3 3 6 2 2 2" xfId="54816" xr:uid="{00000000-0005-0000-0000-000095400000}"/>
    <cellStyle name="40% - Accent2 3 3 6 2 3" xfId="40317" xr:uid="{00000000-0005-0000-0000-000096400000}"/>
    <cellStyle name="40% - Accent2 3 3 6 3" xfId="18562" xr:uid="{00000000-0005-0000-0000-000097400000}"/>
    <cellStyle name="40% - Accent2 3 3 6 3 2" xfId="47568" xr:uid="{00000000-0005-0000-0000-000098400000}"/>
    <cellStyle name="40% - Accent2 3 3 6 4" xfId="33069" xr:uid="{00000000-0005-0000-0000-000099400000}"/>
    <cellStyle name="40% - Accent2 3 3 7" xfId="7108" xr:uid="{00000000-0005-0000-0000-00009A400000}"/>
    <cellStyle name="40% - Accent2 3 3 7 2" xfId="14380" xr:uid="{00000000-0005-0000-0000-00009B400000}"/>
    <cellStyle name="40% - Accent2 3 3 7 2 2" xfId="28914" xr:uid="{00000000-0005-0000-0000-00009C400000}"/>
    <cellStyle name="40% - Accent2 3 3 7 2 2 2" xfId="57920" xr:uid="{00000000-0005-0000-0000-00009D400000}"/>
    <cellStyle name="40% - Accent2 3 3 7 2 3" xfId="43421" xr:uid="{00000000-0005-0000-0000-00009E400000}"/>
    <cellStyle name="40% - Accent2 3 3 7 3" xfId="21666" xr:uid="{00000000-0005-0000-0000-00009F400000}"/>
    <cellStyle name="40% - Accent2 3 3 7 3 2" xfId="50672" xr:uid="{00000000-0005-0000-0000-0000A0400000}"/>
    <cellStyle name="40% - Accent2 3 3 7 4" xfId="36173" xr:uid="{00000000-0005-0000-0000-0000A1400000}"/>
    <cellStyle name="40% - Accent2 3 3 8" xfId="8172" xr:uid="{00000000-0005-0000-0000-0000A2400000}"/>
    <cellStyle name="40% - Accent2 3 3 8 2" xfId="22706" xr:uid="{00000000-0005-0000-0000-0000A3400000}"/>
    <cellStyle name="40% - Accent2 3 3 8 2 2" xfId="51712" xr:uid="{00000000-0005-0000-0000-0000A4400000}"/>
    <cellStyle name="40% - Accent2 3 3 8 3" xfId="37213" xr:uid="{00000000-0005-0000-0000-0000A5400000}"/>
    <cellStyle name="40% - Accent2 3 3 9" xfId="15458" xr:uid="{00000000-0005-0000-0000-0000A6400000}"/>
    <cellStyle name="40% - Accent2 3 3 9 2" xfId="44464" xr:uid="{00000000-0005-0000-0000-0000A7400000}"/>
    <cellStyle name="40% - Accent2 3 4" xfId="1099" xr:uid="{00000000-0005-0000-0000-0000A8400000}"/>
    <cellStyle name="40% - Accent2 3 4 2" xfId="1596" xr:uid="{00000000-0005-0000-0000-0000A9400000}"/>
    <cellStyle name="40% - Accent2 3 4 2 2" xfId="2655" xr:uid="{00000000-0005-0000-0000-0000AA400000}"/>
    <cellStyle name="40% - Accent2 3 4 2 2 2" xfId="5759" xr:uid="{00000000-0005-0000-0000-0000AB400000}"/>
    <cellStyle name="40% - Accent2 3 4 2 2 2 2" xfId="13031" xr:uid="{00000000-0005-0000-0000-0000AC400000}"/>
    <cellStyle name="40% - Accent2 3 4 2 2 2 2 2" xfId="27565" xr:uid="{00000000-0005-0000-0000-0000AD400000}"/>
    <cellStyle name="40% - Accent2 3 4 2 2 2 2 2 2" xfId="56571" xr:uid="{00000000-0005-0000-0000-0000AE400000}"/>
    <cellStyle name="40% - Accent2 3 4 2 2 2 2 3" xfId="42072" xr:uid="{00000000-0005-0000-0000-0000AF400000}"/>
    <cellStyle name="40% - Accent2 3 4 2 2 2 3" xfId="20317" xr:uid="{00000000-0005-0000-0000-0000B0400000}"/>
    <cellStyle name="40% - Accent2 3 4 2 2 2 3 2" xfId="49323" xr:uid="{00000000-0005-0000-0000-0000B1400000}"/>
    <cellStyle name="40% - Accent2 3 4 2 2 2 4" xfId="34824" xr:uid="{00000000-0005-0000-0000-0000B2400000}"/>
    <cellStyle name="40% - Accent2 3 4 2 2 3" xfId="9927" xr:uid="{00000000-0005-0000-0000-0000B3400000}"/>
    <cellStyle name="40% - Accent2 3 4 2 2 3 2" xfId="24461" xr:uid="{00000000-0005-0000-0000-0000B4400000}"/>
    <cellStyle name="40% - Accent2 3 4 2 2 3 2 2" xfId="53467" xr:uid="{00000000-0005-0000-0000-0000B5400000}"/>
    <cellStyle name="40% - Accent2 3 4 2 2 3 3" xfId="38968" xr:uid="{00000000-0005-0000-0000-0000B6400000}"/>
    <cellStyle name="40% - Accent2 3 4 2 2 4" xfId="17213" xr:uid="{00000000-0005-0000-0000-0000B7400000}"/>
    <cellStyle name="40% - Accent2 3 4 2 2 4 2" xfId="46219" xr:uid="{00000000-0005-0000-0000-0000B8400000}"/>
    <cellStyle name="40% - Accent2 3 4 2 2 5" xfId="31720" xr:uid="{00000000-0005-0000-0000-0000B9400000}"/>
    <cellStyle name="40% - Accent2 3 4 2 3" xfId="3687" xr:uid="{00000000-0005-0000-0000-0000BA400000}"/>
    <cellStyle name="40% - Accent2 3 4 2 3 2" xfId="6791" xr:uid="{00000000-0005-0000-0000-0000BB400000}"/>
    <cellStyle name="40% - Accent2 3 4 2 3 2 2" xfId="14063" xr:uid="{00000000-0005-0000-0000-0000BC400000}"/>
    <cellStyle name="40% - Accent2 3 4 2 3 2 2 2" xfId="28597" xr:uid="{00000000-0005-0000-0000-0000BD400000}"/>
    <cellStyle name="40% - Accent2 3 4 2 3 2 2 2 2" xfId="57603" xr:uid="{00000000-0005-0000-0000-0000BE400000}"/>
    <cellStyle name="40% - Accent2 3 4 2 3 2 2 3" xfId="43104" xr:uid="{00000000-0005-0000-0000-0000BF400000}"/>
    <cellStyle name="40% - Accent2 3 4 2 3 2 3" xfId="21349" xr:uid="{00000000-0005-0000-0000-0000C0400000}"/>
    <cellStyle name="40% - Accent2 3 4 2 3 2 3 2" xfId="50355" xr:uid="{00000000-0005-0000-0000-0000C1400000}"/>
    <cellStyle name="40% - Accent2 3 4 2 3 2 4" xfId="35856" xr:uid="{00000000-0005-0000-0000-0000C2400000}"/>
    <cellStyle name="40% - Accent2 3 4 2 3 3" xfId="10959" xr:uid="{00000000-0005-0000-0000-0000C3400000}"/>
    <cellStyle name="40% - Accent2 3 4 2 3 3 2" xfId="25493" xr:uid="{00000000-0005-0000-0000-0000C4400000}"/>
    <cellStyle name="40% - Accent2 3 4 2 3 3 2 2" xfId="54499" xr:uid="{00000000-0005-0000-0000-0000C5400000}"/>
    <cellStyle name="40% - Accent2 3 4 2 3 3 3" xfId="40000" xr:uid="{00000000-0005-0000-0000-0000C6400000}"/>
    <cellStyle name="40% - Accent2 3 4 2 3 4" xfId="18245" xr:uid="{00000000-0005-0000-0000-0000C7400000}"/>
    <cellStyle name="40% - Accent2 3 4 2 3 4 2" xfId="47251" xr:uid="{00000000-0005-0000-0000-0000C8400000}"/>
    <cellStyle name="40% - Accent2 3 4 2 3 5" xfId="32752" xr:uid="{00000000-0005-0000-0000-0000C9400000}"/>
    <cellStyle name="40% - Accent2 3 4 2 4" xfId="4719" xr:uid="{00000000-0005-0000-0000-0000CA400000}"/>
    <cellStyle name="40% - Accent2 3 4 2 4 2" xfId="11991" xr:uid="{00000000-0005-0000-0000-0000CB400000}"/>
    <cellStyle name="40% - Accent2 3 4 2 4 2 2" xfId="26525" xr:uid="{00000000-0005-0000-0000-0000CC400000}"/>
    <cellStyle name="40% - Accent2 3 4 2 4 2 2 2" xfId="55531" xr:uid="{00000000-0005-0000-0000-0000CD400000}"/>
    <cellStyle name="40% - Accent2 3 4 2 4 2 3" xfId="41032" xr:uid="{00000000-0005-0000-0000-0000CE400000}"/>
    <cellStyle name="40% - Accent2 3 4 2 4 3" xfId="19277" xr:uid="{00000000-0005-0000-0000-0000CF400000}"/>
    <cellStyle name="40% - Accent2 3 4 2 4 3 2" xfId="48283" xr:uid="{00000000-0005-0000-0000-0000D0400000}"/>
    <cellStyle name="40% - Accent2 3 4 2 4 4" xfId="33784" xr:uid="{00000000-0005-0000-0000-0000D1400000}"/>
    <cellStyle name="40% - Accent2 3 4 2 5" xfId="7823" xr:uid="{00000000-0005-0000-0000-0000D2400000}"/>
    <cellStyle name="40% - Accent2 3 4 2 5 2" xfId="15095" xr:uid="{00000000-0005-0000-0000-0000D3400000}"/>
    <cellStyle name="40% - Accent2 3 4 2 5 2 2" xfId="29629" xr:uid="{00000000-0005-0000-0000-0000D4400000}"/>
    <cellStyle name="40% - Accent2 3 4 2 5 2 2 2" xfId="58635" xr:uid="{00000000-0005-0000-0000-0000D5400000}"/>
    <cellStyle name="40% - Accent2 3 4 2 5 2 3" xfId="44136" xr:uid="{00000000-0005-0000-0000-0000D6400000}"/>
    <cellStyle name="40% - Accent2 3 4 2 5 3" xfId="22381" xr:uid="{00000000-0005-0000-0000-0000D7400000}"/>
    <cellStyle name="40% - Accent2 3 4 2 5 3 2" xfId="51387" xr:uid="{00000000-0005-0000-0000-0000D8400000}"/>
    <cellStyle name="40% - Accent2 3 4 2 5 4" xfId="36888" xr:uid="{00000000-0005-0000-0000-0000D9400000}"/>
    <cellStyle name="40% - Accent2 3 4 2 6" xfId="8887" xr:uid="{00000000-0005-0000-0000-0000DA400000}"/>
    <cellStyle name="40% - Accent2 3 4 2 6 2" xfId="23421" xr:uid="{00000000-0005-0000-0000-0000DB400000}"/>
    <cellStyle name="40% - Accent2 3 4 2 6 2 2" xfId="52427" xr:uid="{00000000-0005-0000-0000-0000DC400000}"/>
    <cellStyle name="40% - Accent2 3 4 2 6 3" xfId="37928" xr:uid="{00000000-0005-0000-0000-0000DD400000}"/>
    <cellStyle name="40% - Accent2 3 4 2 7" xfId="16173" xr:uid="{00000000-0005-0000-0000-0000DE400000}"/>
    <cellStyle name="40% - Accent2 3 4 2 7 2" xfId="45179" xr:uid="{00000000-0005-0000-0000-0000DF400000}"/>
    <cellStyle name="40% - Accent2 3 4 2 8" xfId="30680" xr:uid="{00000000-0005-0000-0000-0000E0400000}"/>
    <cellStyle name="40% - Accent2 3 4 3" xfId="2143" xr:uid="{00000000-0005-0000-0000-0000E1400000}"/>
    <cellStyle name="40% - Accent2 3 4 3 2" xfId="5247" xr:uid="{00000000-0005-0000-0000-0000E2400000}"/>
    <cellStyle name="40% - Accent2 3 4 3 2 2" xfId="12519" xr:uid="{00000000-0005-0000-0000-0000E3400000}"/>
    <cellStyle name="40% - Accent2 3 4 3 2 2 2" xfId="27053" xr:uid="{00000000-0005-0000-0000-0000E4400000}"/>
    <cellStyle name="40% - Accent2 3 4 3 2 2 2 2" xfId="56059" xr:uid="{00000000-0005-0000-0000-0000E5400000}"/>
    <cellStyle name="40% - Accent2 3 4 3 2 2 3" xfId="41560" xr:uid="{00000000-0005-0000-0000-0000E6400000}"/>
    <cellStyle name="40% - Accent2 3 4 3 2 3" xfId="19805" xr:uid="{00000000-0005-0000-0000-0000E7400000}"/>
    <cellStyle name="40% - Accent2 3 4 3 2 3 2" xfId="48811" xr:uid="{00000000-0005-0000-0000-0000E8400000}"/>
    <cellStyle name="40% - Accent2 3 4 3 2 4" xfId="34312" xr:uid="{00000000-0005-0000-0000-0000E9400000}"/>
    <cellStyle name="40% - Accent2 3 4 3 3" xfId="9415" xr:uid="{00000000-0005-0000-0000-0000EA400000}"/>
    <cellStyle name="40% - Accent2 3 4 3 3 2" xfId="23949" xr:uid="{00000000-0005-0000-0000-0000EB400000}"/>
    <cellStyle name="40% - Accent2 3 4 3 3 2 2" xfId="52955" xr:uid="{00000000-0005-0000-0000-0000EC400000}"/>
    <cellStyle name="40% - Accent2 3 4 3 3 3" xfId="38456" xr:uid="{00000000-0005-0000-0000-0000ED400000}"/>
    <cellStyle name="40% - Accent2 3 4 3 4" xfId="16701" xr:uid="{00000000-0005-0000-0000-0000EE400000}"/>
    <cellStyle name="40% - Accent2 3 4 3 4 2" xfId="45707" xr:uid="{00000000-0005-0000-0000-0000EF400000}"/>
    <cellStyle name="40% - Accent2 3 4 3 5" xfId="31208" xr:uid="{00000000-0005-0000-0000-0000F0400000}"/>
    <cellStyle name="40% - Accent2 3 4 4" xfId="3175" xr:uid="{00000000-0005-0000-0000-0000F1400000}"/>
    <cellStyle name="40% - Accent2 3 4 4 2" xfId="6279" xr:uid="{00000000-0005-0000-0000-0000F2400000}"/>
    <cellStyle name="40% - Accent2 3 4 4 2 2" xfId="13551" xr:uid="{00000000-0005-0000-0000-0000F3400000}"/>
    <cellStyle name="40% - Accent2 3 4 4 2 2 2" xfId="28085" xr:uid="{00000000-0005-0000-0000-0000F4400000}"/>
    <cellStyle name="40% - Accent2 3 4 4 2 2 2 2" xfId="57091" xr:uid="{00000000-0005-0000-0000-0000F5400000}"/>
    <cellStyle name="40% - Accent2 3 4 4 2 2 3" xfId="42592" xr:uid="{00000000-0005-0000-0000-0000F6400000}"/>
    <cellStyle name="40% - Accent2 3 4 4 2 3" xfId="20837" xr:uid="{00000000-0005-0000-0000-0000F7400000}"/>
    <cellStyle name="40% - Accent2 3 4 4 2 3 2" xfId="49843" xr:uid="{00000000-0005-0000-0000-0000F8400000}"/>
    <cellStyle name="40% - Accent2 3 4 4 2 4" xfId="35344" xr:uid="{00000000-0005-0000-0000-0000F9400000}"/>
    <cellStyle name="40% - Accent2 3 4 4 3" xfId="10447" xr:uid="{00000000-0005-0000-0000-0000FA400000}"/>
    <cellStyle name="40% - Accent2 3 4 4 3 2" xfId="24981" xr:uid="{00000000-0005-0000-0000-0000FB400000}"/>
    <cellStyle name="40% - Accent2 3 4 4 3 2 2" xfId="53987" xr:uid="{00000000-0005-0000-0000-0000FC400000}"/>
    <cellStyle name="40% - Accent2 3 4 4 3 3" xfId="39488" xr:uid="{00000000-0005-0000-0000-0000FD400000}"/>
    <cellStyle name="40% - Accent2 3 4 4 4" xfId="17733" xr:uid="{00000000-0005-0000-0000-0000FE400000}"/>
    <cellStyle name="40% - Accent2 3 4 4 4 2" xfId="46739" xr:uid="{00000000-0005-0000-0000-0000FF400000}"/>
    <cellStyle name="40% - Accent2 3 4 4 5" xfId="32240" xr:uid="{00000000-0005-0000-0000-000000410000}"/>
    <cellStyle name="40% - Accent2 3 4 5" xfId="4207" xr:uid="{00000000-0005-0000-0000-000001410000}"/>
    <cellStyle name="40% - Accent2 3 4 5 2" xfId="11479" xr:uid="{00000000-0005-0000-0000-000002410000}"/>
    <cellStyle name="40% - Accent2 3 4 5 2 2" xfId="26013" xr:uid="{00000000-0005-0000-0000-000003410000}"/>
    <cellStyle name="40% - Accent2 3 4 5 2 2 2" xfId="55019" xr:uid="{00000000-0005-0000-0000-000004410000}"/>
    <cellStyle name="40% - Accent2 3 4 5 2 3" xfId="40520" xr:uid="{00000000-0005-0000-0000-000005410000}"/>
    <cellStyle name="40% - Accent2 3 4 5 3" xfId="18765" xr:uid="{00000000-0005-0000-0000-000006410000}"/>
    <cellStyle name="40% - Accent2 3 4 5 3 2" xfId="47771" xr:uid="{00000000-0005-0000-0000-000007410000}"/>
    <cellStyle name="40% - Accent2 3 4 5 4" xfId="33272" xr:uid="{00000000-0005-0000-0000-000008410000}"/>
    <cellStyle name="40% - Accent2 3 4 6" xfId="7311" xr:uid="{00000000-0005-0000-0000-000009410000}"/>
    <cellStyle name="40% - Accent2 3 4 6 2" xfId="14583" xr:uid="{00000000-0005-0000-0000-00000A410000}"/>
    <cellStyle name="40% - Accent2 3 4 6 2 2" xfId="29117" xr:uid="{00000000-0005-0000-0000-00000B410000}"/>
    <cellStyle name="40% - Accent2 3 4 6 2 2 2" xfId="58123" xr:uid="{00000000-0005-0000-0000-00000C410000}"/>
    <cellStyle name="40% - Accent2 3 4 6 2 3" xfId="43624" xr:uid="{00000000-0005-0000-0000-00000D410000}"/>
    <cellStyle name="40% - Accent2 3 4 6 3" xfId="21869" xr:uid="{00000000-0005-0000-0000-00000E410000}"/>
    <cellStyle name="40% - Accent2 3 4 6 3 2" xfId="50875" xr:uid="{00000000-0005-0000-0000-00000F410000}"/>
    <cellStyle name="40% - Accent2 3 4 6 4" xfId="36376" xr:uid="{00000000-0005-0000-0000-000010410000}"/>
    <cellStyle name="40% - Accent2 3 4 7" xfId="8375" xr:uid="{00000000-0005-0000-0000-000011410000}"/>
    <cellStyle name="40% - Accent2 3 4 7 2" xfId="22909" xr:uid="{00000000-0005-0000-0000-000012410000}"/>
    <cellStyle name="40% - Accent2 3 4 7 2 2" xfId="51915" xr:uid="{00000000-0005-0000-0000-000013410000}"/>
    <cellStyle name="40% - Accent2 3 4 7 3" xfId="37416" xr:uid="{00000000-0005-0000-0000-000014410000}"/>
    <cellStyle name="40% - Accent2 3 4 8" xfId="15661" xr:uid="{00000000-0005-0000-0000-000015410000}"/>
    <cellStyle name="40% - Accent2 3 4 8 2" xfId="44667" xr:uid="{00000000-0005-0000-0000-000016410000}"/>
    <cellStyle name="40% - Accent2 3 4 9" xfId="30168" xr:uid="{00000000-0005-0000-0000-000017410000}"/>
    <cellStyle name="40% - Accent2 3 5" xfId="1009" xr:uid="{00000000-0005-0000-0000-000018410000}"/>
    <cellStyle name="40% - Accent2 3 5 2" xfId="1497" xr:uid="{00000000-0005-0000-0000-000019410000}"/>
    <cellStyle name="40% - Accent2 3 5 2 2" xfId="2555" xr:uid="{00000000-0005-0000-0000-00001A410000}"/>
    <cellStyle name="40% - Accent2 3 5 2 2 2" xfId="5659" xr:uid="{00000000-0005-0000-0000-00001B410000}"/>
    <cellStyle name="40% - Accent2 3 5 2 2 2 2" xfId="12931" xr:uid="{00000000-0005-0000-0000-00001C410000}"/>
    <cellStyle name="40% - Accent2 3 5 2 2 2 2 2" xfId="27465" xr:uid="{00000000-0005-0000-0000-00001D410000}"/>
    <cellStyle name="40% - Accent2 3 5 2 2 2 2 2 2" xfId="56471" xr:uid="{00000000-0005-0000-0000-00001E410000}"/>
    <cellStyle name="40% - Accent2 3 5 2 2 2 2 3" xfId="41972" xr:uid="{00000000-0005-0000-0000-00001F410000}"/>
    <cellStyle name="40% - Accent2 3 5 2 2 2 3" xfId="20217" xr:uid="{00000000-0005-0000-0000-000020410000}"/>
    <cellStyle name="40% - Accent2 3 5 2 2 2 3 2" xfId="49223" xr:uid="{00000000-0005-0000-0000-000021410000}"/>
    <cellStyle name="40% - Accent2 3 5 2 2 2 4" xfId="34724" xr:uid="{00000000-0005-0000-0000-000022410000}"/>
    <cellStyle name="40% - Accent2 3 5 2 2 3" xfId="9827" xr:uid="{00000000-0005-0000-0000-000023410000}"/>
    <cellStyle name="40% - Accent2 3 5 2 2 3 2" xfId="24361" xr:uid="{00000000-0005-0000-0000-000024410000}"/>
    <cellStyle name="40% - Accent2 3 5 2 2 3 2 2" xfId="53367" xr:uid="{00000000-0005-0000-0000-000025410000}"/>
    <cellStyle name="40% - Accent2 3 5 2 2 3 3" xfId="38868" xr:uid="{00000000-0005-0000-0000-000026410000}"/>
    <cellStyle name="40% - Accent2 3 5 2 2 4" xfId="17113" xr:uid="{00000000-0005-0000-0000-000027410000}"/>
    <cellStyle name="40% - Accent2 3 5 2 2 4 2" xfId="46119" xr:uid="{00000000-0005-0000-0000-000028410000}"/>
    <cellStyle name="40% - Accent2 3 5 2 2 5" xfId="31620" xr:uid="{00000000-0005-0000-0000-000029410000}"/>
    <cellStyle name="40% - Accent2 3 5 2 3" xfId="3587" xr:uid="{00000000-0005-0000-0000-00002A410000}"/>
    <cellStyle name="40% - Accent2 3 5 2 3 2" xfId="6691" xr:uid="{00000000-0005-0000-0000-00002B410000}"/>
    <cellStyle name="40% - Accent2 3 5 2 3 2 2" xfId="13963" xr:uid="{00000000-0005-0000-0000-00002C410000}"/>
    <cellStyle name="40% - Accent2 3 5 2 3 2 2 2" xfId="28497" xr:uid="{00000000-0005-0000-0000-00002D410000}"/>
    <cellStyle name="40% - Accent2 3 5 2 3 2 2 2 2" xfId="57503" xr:uid="{00000000-0005-0000-0000-00002E410000}"/>
    <cellStyle name="40% - Accent2 3 5 2 3 2 2 3" xfId="43004" xr:uid="{00000000-0005-0000-0000-00002F410000}"/>
    <cellStyle name="40% - Accent2 3 5 2 3 2 3" xfId="21249" xr:uid="{00000000-0005-0000-0000-000030410000}"/>
    <cellStyle name="40% - Accent2 3 5 2 3 2 3 2" xfId="50255" xr:uid="{00000000-0005-0000-0000-000031410000}"/>
    <cellStyle name="40% - Accent2 3 5 2 3 2 4" xfId="35756" xr:uid="{00000000-0005-0000-0000-000032410000}"/>
    <cellStyle name="40% - Accent2 3 5 2 3 3" xfId="10859" xr:uid="{00000000-0005-0000-0000-000033410000}"/>
    <cellStyle name="40% - Accent2 3 5 2 3 3 2" xfId="25393" xr:uid="{00000000-0005-0000-0000-000034410000}"/>
    <cellStyle name="40% - Accent2 3 5 2 3 3 2 2" xfId="54399" xr:uid="{00000000-0005-0000-0000-000035410000}"/>
    <cellStyle name="40% - Accent2 3 5 2 3 3 3" xfId="39900" xr:uid="{00000000-0005-0000-0000-000036410000}"/>
    <cellStyle name="40% - Accent2 3 5 2 3 4" xfId="18145" xr:uid="{00000000-0005-0000-0000-000037410000}"/>
    <cellStyle name="40% - Accent2 3 5 2 3 4 2" xfId="47151" xr:uid="{00000000-0005-0000-0000-000038410000}"/>
    <cellStyle name="40% - Accent2 3 5 2 3 5" xfId="32652" xr:uid="{00000000-0005-0000-0000-000039410000}"/>
    <cellStyle name="40% - Accent2 3 5 2 4" xfId="4619" xr:uid="{00000000-0005-0000-0000-00003A410000}"/>
    <cellStyle name="40% - Accent2 3 5 2 4 2" xfId="11891" xr:uid="{00000000-0005-0000-0000-00003B410000}"/>
    <cellStyle name="40% - Accent2 3 5 2 4 2 2" xfId="26425" xr:uid="{00000000-0005-0000-0000-00003C410000}"/>
    <cellStyle name="40% - Accent2 3 5 2 4 2 2 2" xfId="55431" xr:uid="{00000000-0005-0000-0000-00003D410000}"/>
    <cellStyle name="40% - Accent2 3 5 2 4 2 3" xfId="40932" xr:uid="{00000000-0005-0000-0000-00003E410000}"/>
    <cellStyle name="40% - Accent2 3 5 2 4 3" xfId="19177" xr:uid="{00000000-0005-0000-0000-00003F410000}"/>
    <cellStyle name="40% - Accent2 3 5 2 4 3 2" xfId="48183" xr:uid="{00000000-0005-0000-0000-000040410000}"/>
    <cellStyle name="40% - Accent2 3 5 2 4 4" xfId="33684" xr:uid="{00000000-0005-0000-0000-000041410000}"/>
    <cellStyle name="40% - Accent2 3 5 2 5" xfId="7723" xr:uid="{00000000-0005-0000-0000-000042410000}"/>
    <cellStyle name="40% - Accent2 3 5 2 5 2" xfId="14995" xr:uid="{00000000-0005-0000-0000-000043410000}"/>
    <cellStyle name="40% - Accent2 3 5 2 5 2 2" xfId="29529" xr:uid="{00000000-0005-0000-0000-000044410000}"/>
    <cellStyle name="40% - Accent2 3 5 2 5 2 2 2" xfId="58535" xr:uid="{00000000-0005-0000-0000-000045410000}"/>
    <cellStyle name="40% - Accent2 3 5 2 5 2 3" xfId="44036" xr:uid="{00000000-0005-0000-0000-000046410000}"/>
    <cellStyle name="40% - Accent2 3 5 2 5 3" xfId="22281" xr:uid="{00000000-0005-0000-0000-000047410000}"/>
    <cellStyle name="40% - Accent2 3 5 2 5 3 2" xfId="51287" xr:uid="{00000000-0005-0000-0000-000048410000}"/>
    <cellStyle name="40% - Accent2 3 5 2 5 4" xfId="36788" xr:uid="{00000000-0005-0000-0000-000049410000}"/>
    <cellStyle name="40% - Accent2 3 5 2 6" xfId="8787" xr:uid="{00000000-0005-0000-0000-00004A410000}"/>
    <cellStyle name="40% - Accent2 3 5 2 6 2" xfId="23321" xr:uid="{00000000-0005-0000-0000-00004B410000}"/>
    <cellStyle name="40% - Accent2 3 5 2 6 2 2" xfId="52327" xr:uid="{00000000-0005-0000-0000-00004C410000}"/>
    <cellStyle name="40% - Accent2 3 5 2 6 3" xfId="37828" xr:uid="{00000000-0005-0000-0000-00004D410000}"/>
    <cellStyle name="40% - Accent2 3 5 2 7" xfId="16073" xr:uid="{00000000-0005-0000-0000-00004E410000}"/>
    <cellStyle name="40% - Accent2 3 5 2 7 2" xfId="45079" xr:uid="{00000000-0005-0000-0000-00004F410000}"/>
    <cellStyle name="40% - Accent2 3 5 2 8" xfId="30580" xr:uid="{00000000-0005-0000-0000-000050410000}"/>
    <cellStyle name="40% - Accent2 3 5 3" xfId="2043" xr:uid="{00000000-0005-0000-0000-000051410000}"/>
    <cellStyle name="40% - Accent2 3 5 3 2" xfId="5147" xr:uid="{00000000-0005-0000-0000-000052410000}"/>
    <cellStyle name="40% - Accent2 3 5 3 2 2" xfId="12419" xr:uid="{00000000-0005-0000-0000-000053410000}"/>
    <cellStyle name="40% - Accent2 3 5 3 2 2 2" xfId="26953" xr:uid="{00000000-0005-0000-0000-000054410000}"/>
    <cellStyle name="40% - Accent2 3 5 3 2 2 2 2" xfId="55959" xr:uid="{00000000-0005-0000-0000-000055410000}"/>
    <cellStyle name="40% - Accent2 3 5 3 2 2 3" xfId="41460" xr:uid="{00000000-0005-0000-0000-000056410000}"/>
    <cellStyle name="40% - Accent2 3 5 3 2 3" xfId="19705" xr:uid="{00000000-0005-0000-0000-000057410000}"/>
    <cellStyle name="40% - Accent2 3 5 3 2 3 2" xfId="48711" xr:uid="{00000000-0005-0000-0000-000058410000}"/>
    <cellStyle name="40% - Accent2 3 5 3 2 4" xfId="34212" xr:uid="{00000000-0005-0000-0000-000059410000}"/>
    <cellStyle name="40% - Accent2 3 5 3 3" xfId="9315" xr:uid="{00000000-0005-0000-0000-00005A410000}"/>
    <cellStyle name="40% - Accent2 3 5 3 3 2" xfId="23849" xr:uid="{00000000-0005-0000-0000-00005B410000}"/>
    <cellStyle name="40% - Accent2 3 5 3 3 2 2" xfId="52855" xr:uid="{00000000-0005-0000-0000-00005C410000}"/>
    <cellStyle name="40% - Accent2 3 5 3 3 3" xfId="38356" xr:uid="{00000000-0005-0000-0000-00005D410000}"/>
    <cellStyle name="40% - Accent2 3 5 3 4" xfId="16601" xr:uid="{00000000-0005-0000-0000-00005E410000}"/>
    <cellStyle name="40% - Accent2 3 5 3 4 2" xfId="45607" xr:uid="{00000000-0005-0000-0000-00005F410000}"/>
    <cellStyle name="40% - Accent2 3 5 3 5" xfId="31108" xr:uid="{00000000-0005-0000-0000-000060410000}"/>
    <cellStyle name="40% - Accent2 3 5 4" xfId="3075" xr:uid="{00000000-0005-0000-0000-000061410000}"/>
    <cellStyle name="40% - Accent2 3 5 4 2" xfId="6179" xr:uid="{00000000-0005-0000-0000-000062410000}"/>
    <cellStyle name="40% - Accent2 3 5 4 2 2" xfId="13451" xr:uid="{00000000-0005-0000-0000-000063410000}"/>
    <cellStyle name="40% - Accent2 3 5 4 2 2 2" xfId="27985" xr:uid="{00000000-0005-0000-0000-000064410000}"/>
    <cellStyle name="40% - Accent2 3 5 4 2 2 2 2" xfId="56991" xr:uid="{00000000-0005-0000-0000-000065410000}"/>
    <cellStyle name="40% - Accent2 3 5 4 2 2 3" xfId="42492" xr:uid="{00000000-0005-0000-0000-000066410000}"/>
    <cellStyle name="40% - Accent2 3 5 4 2 3" xfId="20737" xr:uid="{00000000-0005-0000-0000-000067410000}"/>
    <cellStyle name="40% - Accent2 3 5 4 2 3 2" xfId="49743" xr:uid="{00000000-0005-0000-0000-000068410000}"/>
    <cellStyle name="40% - Accent2 3 5 4 2 4" xfId="35244" xr:uid="{00000000-0005-0000-0000-000069410000}"/>
    <cellStyle name="40% - Accent2 3 5 4 3" xfId="10347" xr:uid="{00000000-0005-0000-0000-00006A410000}"/>
    <cellStyle name="40% - Accent2 3 5 4 3 2" xfId="24881" xr:uid="{00000000-0005-0000-0000-00006B410000}"/>
    <cellStyle name="40% - Accent2 3 5 4 3 2 2" xfId="53887" xr:uid="{00000000-0005-0000-0000-00006C410000}"/>
    <cellStyle name="40% - Accent2 3 5 4 3 3" xfId="39388" xr:uid="{00000000-0005-0000-0000-00006D410000}"/>
    <cellStyle name="40% - Accent2 3 5 4 4" xfId="17633" xr:uid="{00000000-0005-0000-0000-00006E410000}"/>
    <cellStyle name="40% - Accent2 3 5 4 4 2" xfId="46639" xr:uid="{00000000-0005-0000-0000-00006F410000}"/>
    <cellStyle name="40% - Accent2 3 5 4 5" xfId="32140" xr:uid="{00000000-0005-0000-0000-000070410000}"/>
    <cellStyle name="40% - Accent2 3 5 5" xfId="4107" xr:uid="{00000000-0005-0000-0000-000071410000}"/>
    <cellStyle name="40% - Accent2 3 5 5 2" xfId="11379" xr:uid="{00000000-0005-0000-0000-000072410000}"/>
    <cellStyle name="40% - Accent2 3 5 5 2 2" xfId="25913" xr:uid="{00000000-0005-0000-0000-000073410000}"/>
    <cellStyle name="40% - Accent2 3 5 5 2 2 2" xfId="54919" xr:uid="{00000000-0005-0000-0000-000074410000}"/>
    <cellStyle name="40% - Accent2 3 5 5 2 3" xfId="40420" xr:uid="{00000000-0005-0000-0000-000075410000}"/>
    <cellStyle name="40% - Accent2 3 5 5 3" xfId="18665" xr:uid="{00000000-0005-0000-0000-000076410000}"/>
    <cellStyle name="40% - Accent2 3 5 5 3 2" xfId="47671" xr:uid="{00000000-0005-0000-0000-000077410000}"/>
    <cellStyle name="40% - Accent2 3 5 5 4" xfId="33172" xr:uid="{00000000-0005-0000-0000-000078410000}"/>
    <cellStyle name="40% - Accent2 3 5 6" xfId="7211" xr:uid="{00000000-0005-0000-0000-000079410000}"/>
    <cellStyle name="40% - Accent2 3 5 6 2" xfId="14483" xr:uid="{00000000-0005-0000-0000-00007A410000}"/>
    <cellStyle name="40% - Accent2 3 5 6 2 2" xfId="29017" xr:uid="{00000000-0005-0000-0000-00007B410000}"/>
    <cellStyle name="40% - Accent2 3 5 6 2 2 2" xfId="58023" xr:uid="{00000000-0005-0000-0000-00007C410000}"/>
    <cellStyle name="40% - Accent2 3 5 6 2 3" xfId="43524" xr:uid="{00000000-0005-0000-0000-00007D410000}"/>
    <cellStyle name="40% - Accent2 3 5 6 3" xfId="21769" xr:uid="{00000000-0005-0000-0000-00007E410000}"/>
    <cellStyle name="40% - Accent2 3 5 6 3 2" xfId="50775" xr:uid="{00000000-0005-0000-0000-00007F410000}"/>
    <cellStyle name="40% - Accent2 3 5 6 4" xfId="36276" xr:uid="{00000000-0005-0000-0000-000080410000}"/>
    <cellStyle name="40% - Accent2 3 5 7" xfId="8275" xr:uid="{00000000-0005-0000-0000-000081410000}"/>
    <cellStyle name="40% - Accent2 3 5 7 2" xfId="22809" xr:uid="{00000000-0005-0000-0000-000082410000}"/>
    <cellStyle name="40% - Accent2 3 5 7 2 2" xfId="51815" xr:uid="{00000000-0005-0000-0000-000083410000}"/>
    <cellStyle name="40% - Accent2 3 5 7 3" xfId="37316" xr:uid="{00000000-0005-0000-0000-000084410000}"/>
    <cellStyle name="40% - Accent2 3 5 8" xfId="15561" xr:uid="{00000000-0005-0000-0000-000085410000}"/>
    <cellStyle name="40% - Accent2 3 5 8 2" xfId="44567" xr:uid="{00000000-0005-0000-0000-000086410000}"/>
    <cellStyle name="40% - Accent2 3 5 9" xfId="30068" xr:uid="{00000000-0005-0000-0000-000087410000}"/>
    <cellStyle name="40% - Accent2 3 6" xfId="1293" xr:uid="{00000000-0005-0000-0000-000088410000}"/>
    <cellStyle name="40% - Accent2 3 6 2" xfId="2349" xr:uid="{00000000-0005-0000-0000-000089410000}"/>
    <cellStyle name="40% - Accent2 3 6 2 2" xfId="5453" xr:uid="{00000000-0005-0000-0000-00008A410000}"/>
    <cellStyle name="40% - Accent2 3 6 2 2 2" xfId="12725" xr:uid="{00000000-0005-0000-0000-00008B410000}"/>
    <cellStyle name="40% - Accent2 3 6 2 2 2 2" xfId="27259" xr:uid="{00000000-0005-0000-0000-00008C410000}"/>
    <cellStyle name="40% - Accent2 3 6 2 2 2 2 2" xfId="56265" xr:uid="{00000000-0005-0000-0000-00008D410000}"/>
    <cellStyle name="40% - Accent2 3 6 2 2 2 3" xfId="41766" xr:uid="{00000000-0005-0000-0000-00008E410000}"/>
    <cellStyle name="40% - Accent2 3 6 2 2 3" xfId="20011" xr:uid="{00000000-0005-0000-0000-00008F410000}"/>
    <cellStyle name="40% - Accent2 3 6 2 2 3 2" xfId="49017" xr:uid="{00000000-0005-0000-0000-000090410000}"/>
    <cellStyle name="40% - Accent2 3 6 2 2 4" xfId="34518" xr:uid="{00000000-0005-0000-0000-000091410000}"/>
    <cellStyle name="40% - Accent2 3 6 2 3" xfId="9621" xr:uid="{00000000-0005-0000-0000-000092410000}"/>
    <cellStyle name="40% - Accent2 3 6 2 3 2" xfId="24155" xr:uid="{00000000-0005-0000-0000-000093410000}"/>
    <cellStyle name="40% - Accent2 3 6 2 3 2 2" xfId="53161" xr:uid="{00000000-0005-0000-0000-000094410000}"/>
    <cellStyle name="40% - Accent2 3 6 2 3 3" xfId="38662" xr:uid="{00000000-0005-0000-0000-000095410000}"/>
    <cellStyle name="40% - Accent2 3 6 2 4" xfId="16907" xr:uid="{00000000-0005-0000-0000-000096410000}"/>
    <cellStyle name="40% - Accent2 3 6 2 4 2" xfId="45913" xr:uid="{00000000-0005-0000-0000-000097410000}"/>
    <cellStyle name="40% - Accent2 3 6 2 5" xfId="31414" xr:uid="{00000000-0005-0000-0000-000098410000}"/>
    <cellStyle name="40% - Accent2 3 6 3" xfId="3381" xr:uid="{00000000-0005-0000-0000-000099410000}"/>
    <cellStyle name="40% - Accent2 3 6 3 2" xfId="6485" xr:uid="{00000000-0005-0000-0000-00009A410000}"/>
    <cellStyle name="40% - Accent2 3 6 3 2 2" xfId="13757" xr:uid="{00000000-0005-0000-0000-00009B410000}"/>
    <cellStyle name="40% - Accent2 3 6 3 2 2 2" xfId="28291" xr:uid="{00000000-0005-0000-0000-00009C410000}"/>
    <cellStyle name="40% - Accent2 3 6 3 2 2 2 2" xfId="57297" xr:uid="{00000000-0005-0000-0000-00009D410000}"/>
    <cellStyle name="40% - Accent2 3 6 3 2 2 3" xfId="42798" xr:uid="{00000000-0005-0000-0000-00009E410000}"/>
    <cellStyle name="40% - Accent2 3 6 3 2 3" xfId="21043" xr:uid="{00000000-0005-0000-0000-00009F410000}"/>
    <cellStyle name="40% - Accent2 3 6 3 2 3 2" xfId="50049" xr:uid="{00000000-0005-0000-0000-0000A0410000}"/>
    <cellStyle name="40% - Accent2 3 6 3 2 4" xfId="35550" xr:uid="{00000000-0005-0000-0000-0000A1410000}"/>
    <cellStyle name="40% - Accent2 3 6 3 3" xfId="10653" xr:uid="{00000000-0005-0000-0000-0000A2410000}"/>
    <cellStyle name="40% - Accent2 3 6 3 3 2" xfId="25187" xr:uid="{00000000-0005-0000-0000-0000A3410000}"/>
    <cellStyle name="40% - Accent2 3 6 3 3 2 2" xfId="54193" xr:uid="{00000000-0005-0000-0000-0000A4410000}"/>
    <cellStyle name="40% - Accent2 3 6 3 3 3" xfId="39694" xr:uid="{00000000-0005-0000-0000-0000A5410000}"/>
    <cellStyle name="40% - Accent2 3 6 3 4" xfId="17939" xr:uid="{00000000-0005-0000-0000-0000A6410000}"/>
    <cellStyle name="40% - Accent2 3 6 3 4 2" xfId="46945" xr:uid="{00000000-0005-0000-0000-0000A7410000}"/>
    <cellStyle name="40% - Accent2 3 6 3 5" xfId="32446" xr:uid="{00000000-0005-0000-0000-0000A8410000}"/>
    <cellStyle name="40% - Accent2 3 6 4" xfId="4413" xr:uid="{00000000-0005-0000-0000-0000A9410000}"/>
    <cellStyle name="40% - Accent2 3 6 4 2" xfId="11685" xr:uid="{00000000-0005-0000-0000-0000AA410000}"/>
    <cellStyle name="40% - Accent2 3 6 4 2 2" xfId="26219" xr:uid="{00000000-0005-0000-0000-0000AB410000}"/>
    <cellStyle name="40% - Accent2 3 6 4 2 2 2" xfId="55225" xr:uid="{00000000-0005-0000-0000-0000AC410000}"/>
    <cellStyle name="40% - Accent2 3 6 4 2 3" xfId="40726" xr:uid="{00000000-0005-0000-0000-0000AD410000}"/>
    <cellStyle name="40% - Accent2 3 6 4 3" xfId="18971" xr:uid="{00000000-0005-0000-0000-0000AE410000}"/>
    <cellStyle name="40% - Accent2 3 6 4 3 2" xfId="47977" xr:uid="{00000000-0005-0000-0000-0000AF410000}"/>
    <cellStyle name="40% - Accent2 3 6 4 4" xfId="33478" xr:uid="{00000000-0005-0000-0000-0000B0410000}"/>
    <cellStyle name="40% - Accent2 3 6 5" xfId="7517" xr:uid="{00000000-0005-0000-0000-0000B1410000}"/>
    <cellStyle name="40% - Accent2 3 6 5 2" xfId="14789" xr:uid="{00000000-0005-0000-0000-0000B2410000}"/>
    <cellStyle name="40% - Accent2 3 6 5 2 2" xfId="29323" xr:uid="{00000000-0005-0000-0000-0000B3410000}"/>
    <cellStyle name="40% - Accent2 3 6 5 2 2 2" xfId="58329" xr:uid="{00000000-0005-0000-0000-0000B4410000}"/>
    <cellStyle name="40% - Accent2 3 6 5 2 3" xfId="43830" xr:uid="{00000000-0005-0000-0000-0000B5410000}"/>
    <cellStyle name="40% - Accent2 3 6 5 3" xfId="22075" xr:uid="{00000000-0005-0000-0000-0000B6410000}"/>
    <cellStyle name="40% - Accent2 3 6 5 3 2" xfId="51081" xr:uid="{00000000-0005-0000-0000-0000B7410000}"/>
    <cellStyle name="40% - Accent2 3 6 5 4" xfId="36582" xr:uid="{00000000-0005-0000-0000-0000B8410000}"/>
    <cellStyle name="40% - Accent2 3 6 6" xfId="8581" xr:uid="{00000000-0005-0000-0000-0000B9410000}"/>
    <cellStyle name="40% - Accent2 3 6 6 2" xfId="23115" xr:uid="{00000000-0005-0000-0000-0000BA410000}"/>
    <cellStyle name="40% - Accent2 3 6 6 2 2" xfId="52121" xr:uid="{00000000-0005-0000-0000-0000BB410000}"/>
    <cellStyle name="40% - Accent2 3 6 6 3" xfId="37622" xr:uid="{00000000-0005-0000-0000-0000BC410000}"/>
    <cellStyle name="40% - Accent2 3 6 7" xfId="15867" xr:uid="{00000000-0005-0000-0000-0000BD410000}"/>
    <cellStyle name="40% - Accent2 3 6 7 2" xfId="44873" xr:uid="{00000000-0005-0000-0000-0000BE410000}"/>
    <cellStyle name="40% - Accent2 3 6 8" xfId="30374" xr:uid="{00000000-0005-0000-0000-0000BF410000}"/>
    <cellStyle name="40% - Accent2 3 7" xfId="1837" xr:uid="{00000000-0005-0000-0000-0000C0410000}"/>
    <cellStyle name="40% - Accent2 3 7 2" xfId="4941" xr:uid="{00000000-0005-0000-0000-0000C1410000}"/>
    <cellStyle name="40% - Accent2 3 7 2 2" xfId="12213" xr:uid="{00000000-0005-0000-0000-0000C2410000}"/>
    <cellStyle name="40% - Accent2 3 7 2 2 2" xfId="26747" xr:uid="{00000000-0005-0000-0000-0000C3410000}"/>
    <cellStyle name="40% - Accent2 3 7 2 2 2 2" xfId="55753" xr:uid="{00000000-0005-0000-0000-0000C4410000}"/>
    <cellStyle name="40% - Accent2 3 7 2 2 3" xfId="41254" xr:uid="{00000000-0005-0000-0000-0000C5410000}"/>
    <cellStyle name="40% - Accent2 3 7 2 3" xfId="19499" xr:uid="{00000000-0005-0000-0000-0000C6410000}"/>
    <cellStyle name="40% - Accent2 3 7 2 3 2" xfId="48505" xr:uid="{00000000-0005-0000-0000-0000C7410000}"/>
    <cellStyle name="40% - Accent2 3 7 2 4" xfId="34006" xr:uid="{00000000-0005-0000-0000-0000C8410000}"/>
    <cellStyle name="40% - Accent2 3 7 3" xfId="9109" xr:uid="{00000000-0005-0000-0000-0000C9410000}"/>
    <cellStyle name="40% - Accent2 3 7 3 2" xfId="23643" xr:uid="{00000000-0005-0000-0000-0000CA410000}"/>
    <cellStyle name="40% - Accent2 3 7 3 2 2" xfId="52649" xr:uid="{00000000-0005-0000-0000-0000CB410000}"/>
    <cellStyle name="40% - Accent2 3 7 3 3" xfId="38150" xr:uid="{00000000-0005-0000-0000-0000CC410000}"/>
    <cellStyle name="40% - Accent2 3 7 4" xfId="16395" xr:uid="{00000000-0005-0000-0000-0000CD410000}"/>
    <cellStyle name="40% - Accent2 3 7 4 2" xfId="45401" xr:uid="{00000000-0005-0000-0000-0000CE410000}"/>
    <cellStyle name="40% - Accent2 3 7 5" xfId="30902" xr:uid="{00000000-0005-0000-0000-0000CF410000}"/>
    <cellStyle name="40% - Accent2 3 8" xfId="2869" xr:uid="{00000000-0005-0000-0000-0000D0410000}"/>
    <cellStyle name="40% - Accent2 3 8 2" xfId="5973" xr:uid="{00000000-0005-0000-0000-0000D1410000}"/>
    <cellStyle name="40% - Accent2 3 8 2 2" xfId="13245" xr:uid="{00000000-0005-0000-0000-0000D2410000}"/>
    <cellStyle name="40% - Accent2 3 8 2 2 2" xfId="27779" xr:uid="{00000000-0005-0000-0000-0000D3410000}"/>
    <cellStyle name="40% - Accent2 3 8 2 2 2 2" xfId="56785" xr:uid="{00000000-0005-0000-0000-0000D4410000}"/>
    <cellStyle name="40% - Accent2 3 8 2 2 3" xfId="42286" xr:uid="{00000000-0005-0000-0000-0000D5410000}"/>
    <cellStyle name="40% - Accent2 3 8 2 3" xfId="20531" xr:uid="{00000000-0005-0000-0000-0000D6410000}"/>
    <cellStyle name="40% - Accent2 3 8 2 3 2" xfId="49537" xr:uid="{00000000-0005-0000-0000-0000D7410000}"/>
    <cellStyle name="40% - Accent2 3 8 2 4" xfId="35038" xr:uid="{00000000-0005-0000-0000-0000D8410000}"/>
    <cellStyle name="40% - Accent2 3 8 3" xfId="10141" xr:uid="{00000000-0005-0000-0000-0000D9410000}"/>
    <cellStyle name="40% - Accent2 3 8 3 2" xfId="24675" xr:uid="{00000000-0005-0000-0000-0000DA410000}"/>
    <cellStyle name="40% - Accent2 3 8 3 2 2" xfId="53681" xr:uid="{00000000-0005-0000-0000-0000DB410000}"/>
    <cellStyle name="40% - Accent2 3 8 3 3" xfId="39182" xr:uid="{00000000-0005-0000-0000-0000DC410000}"/>
    <cellStyle name="40% - Accent2 3 8 4" xfId="17427" xr:uid="{00000000-0005-0000-0000-0000DD410000}"/>
    <cellStyle name="40% - Accent2 3 8 4 2" xfId="46433" xr:uid="{00000000-0005-0000-0000-0000DE410000}"/>
    <cellStyle name="40% - Accent2 3 8 5" xfId="31934" xr:uid="{00000000-0005-0000-0000-0000DF410000}"/>
    <cellStyle name="40% - Accent2 3 9" xfId="3901" xr:uid="{00000000-0005-0000-0000-0000E0410000}"/>
    <cellStyle name="40% - Accent2 3 9 2" xfId="11173" xr:uid="{00000000-0005-0000-0000-0000E1410000}"/>
    <cellStyle name="40% - Accent2 3 9 2 2" xfId="25707" xr:uid="{00000000-0005-0000-0000-0000E2410000}"/>
    <cellStyle name="40% - Accent2 3 9 2 2 2" xfId="54713" xr:uid="{00000000-0005-0000-0000-0000E3410000}"/>
    <cellStyle name="40% - Accent2 3 9 2 3" xfId="40214" xr:uid="{00000000-0005-0000-0000-0000E4410000}"/>
    <cellStyle name="40% - Accent2 3 9 3" xfId="18459" xr:uid="{00000000-0005-0000-0000-0000E5410000}"/>
    <cellStyle name="40% - Accent2 3 9 3 2" xfId="47465" xr:uid="{00000000-0005-0000-0000-0000E6410000}"/>
    <cellStyle name="40% - Accent2 3 9 4" xfId="32966" xr:uid="{00000000-0005-0000-0000-0000E7410000}"/>
    <cellStyle name="40% - Accent2 4" xfId="867" xr:uid="{00000000-0005-0000-0000-0000E8410000}"/>
    <cellStyle name="40% - Accent2 4 10" xfId="8097" xr:uid="{00000000-0005-0000-0000-0000E9410000}"/>
    <cellStyle name="40% - Accent2 4 10 2" xfId="22631" xr:uid="{00000000-0005-0000-0000-0000EA410000}"/>
    <cellStyle name="40% - Accent2 4 10 2 2" xfId="51637" xr:uid="{00000000-0005-0000-0000-0000EB410000}"/>
    <cellStyle name="40% - Accent2 4 10 3" xfId="37138" xr:uid="{00000000-0005-0000-0000-0000EC410000}"/>
    <cellStyle name="40% - Accent2 4 11" xfId="15383" xr:uid="{00000000-0005-0000-0000-0000ED410000}"/>
    <cellStyle name="40% - Accent2 4 11 2" xfId="44389" xr:uid="{00000000-0005-0000-0000-0000EE410000}"/>
    <cellStyle name="40% - Accent2 4 12" xfId="29890" xr:uid="{00000000-0005-0000-0000-0000EF410000}"/>
    <cellStyle name="40% - Accent2 4 2" xfId="947" xr:uid="{00000000-0005-0000-0000-0000F0410000}"/>
    <cellStyle name="40% - Accent2 4 2 10" xfId="29993" xr:uid="{00000000-0005-0000-0000-0000F1410000}"/>
    <cellStyle name="40% - Accent2 4 2 2" xfId="1222" xr:uid="{00000000-0005-0000-0000-0000F2410000}"/>
    <cellStyle name="40% - Accent2 4 2 2 2" xfId="1727" xr:uid="{00000000-0005-0000-0000-0000F3410000}"/>
    <cellStyle name="40% - Accent2 4 2 2 2 2" xfId="2786" xr:uid="{00000000-0005-0000-0000-0000F4410000}"/>
    <cellStyle name="40% - Accent2 4 2 2 2 2 2" xfId="5890" xr:uid="{00000000-0005-0000-0000-0000F5410000}"/>
    <cellStyle name="40% - Accent2 4 2 2 2 2 2 2" xfId="13162" xr:uid="{00000000-0005-0000-0000-0000F6410000}"/>
    <cellStyle name="40% - Accent2 4 2 2 2 2 2 2 2" xfId="27696" xr:uid="{00000000-0005-0000-0000-0000F7410000}"/>
    <cellStyle name="40% - Accent2 4 2 2 2 2 2 2 2 2" xfId="56702" xr:uid="{00000000-0005-0000-0000-0000F8410000}"/>
    <cellStyle name="40% - Accent2 4 2 2 2 2 2 2 3" xfId="42203" xr:uid="{00000000-0005-0000-0000-0000F9410000}"/>
    <cellStyle name="40% - Accent2 4 2 2 2 2 2 3" xfId="20448" xr:uid="{00000000-0005-0000-0000-0000FA410000}"/>
    <cellStyle name="40% - Accent2 4 2 2 2 2 2 3 2" xfId="49454" xr:uid="{00000000-0005-0000-0000-0000FB410000}"/>
    <cellStyle name="40% - Accent2 4 2 2 2 2 2 4" xfId="34955" xr:uid="{00000000-0005-0000-0000-0000FC410000}"/>
    <cellStyle name="40% - Accent2 4 2 2 2 2 3" xfId="10058" xr:uid="{00000000-0005-0000-0000-0000FD410000}"/>
    <cellStyle name="40% - Accent2 4 2 2 2 2 3 2" xfId="24592" xr:uid="{00000000-0005-0000-0000-0000FE410000}"/>
    <cellStyle name="40% - Accent2 4 2 2 2 2 3 2 2" xfId="53598" xr:uid="{00000000-0005-0000-0000-0000FF410000}"/>
    <cellStyle name="40% - Accent2 4 2 2 2 2 3 3" xfId="39099" xr:uid="{00000000-0005-0000-0000-000000420000}"/>
    <cellStyle name="40% - Accent2 4 2 2 2 2 4" xfId="17344" xr:uid="{00000000-0005-0000-0000-000001420000}"/>
    <cellStyle name="40% - Accent2 4 2 2 2 2 4 2" xfId="46350" xr:uid="{00000000-0005-0000-0000-000002420000}"/>
    <cellStyle name="40% - Accent2 4 2 2 2 2 5" xfId="31851" xr:uid="{00000000-0005-0000-0000-000003420000}"/>
    <cellStyle name="40% - Accent2 4 2 2 2 3" xfId="3818" xr:uid="{00000000-0005-0000-0000-000004420000}"/>
    <cellStyle name="40% - Accent2 4 2 2 2 3 2" xfId="6922" xr:uid="{00000000-0005-0000-0000-000005420000}"/>
    <cellStyle name="40% - Accent2 4 2 2 2 3 2 2" xfId="14194" xr:uid="{00000000-0005-0000-0000-000006420000}"/>
    <cellStyle name="40% - Accent2 4 2 2 2 3 2 2 2" xfId="28728" xr:uid="{00000000-0005-0000-0000-000007420000}"/>
    <cellStyle name="40% - Accent2 4 2 2 2 3 2 2 2 2" xfId="57734" xr:uid="{00000000-0005-0000-0000-000008420000}"/>
    <cellStyle name="40% - Accent2 4 2 2 2 3 2 2 3" xfId="43235" xr:uid="{00000000-0005-0000-0000-000009420000}"/>
    <cellStyle name="40% - Accent2 4 2 2 2 3 2 3" xfId="21480" xr:uid="{00000000-0005-0000-0000-00000A420000}"/>
    <cellStyle name="40% - Accent2 4 2 2 2 3 2 3 2" xfId="50486" xr:uid="{00000000-0005-0000-0000-00000B420000}"/>
    <cellStyle name="40% - Accent2 4 2 2 2 3 2 4" xfId="35987" xr:uid="{00000000-0005-0000-0000-00000C420000}"/>
    <cellStyle name="40% - Accent2 4 2 2 2 3 3" xfId="11090" xr:uid="{00000000-0005-0000-0000-00000D420000}"/>
    <cellStyle name="40% - Accent2 4 2 2 2 3 3 2" xfId="25624" xr:uid="{00000000-0005-0000-0000-00000E420000}"/>
    <cellStyle name="40% - Accent2 4 2 2 2 3 3 2 2" xfId="54630" xr:uid="{00000000-0005-0000-0000-00000F420000}"/>
    <cellStyle name="40% - Accent2 4 2 2 2 3 3 3" xfId="40131" xr:uid="{00000000-0005-0000-0000-000010420000}"/>
    <cellStyle name="40% - Accent2 4 2 2 2 3 4" xfId="18376" xr:uid="{00000000-0005-0000-0000-000011420000}"/>
    <cellStyle name="40% - Accent2 4 2 2 2 3 4 2" xfId="47382" xr:uid="{00000000-0005-0000-0000-000012420000}"/>
    <cellStyle name="40% - Accent2 4 2 2 2 3 5" xfId="32883" xr:uid="{00000000-0005-0000-0000-000013420000}"/>
    <cellStyle name="40% - Accent2 4 2 2 2 4" xfId="4850" xr:uid="{00000000-0005-0000-0000-000014420000}"/>
    <cellStyle name="40% - Accent2 4 2 2 2 4 2" xfId="12122" xr:uid="{00000000-0005-0000-0000-000015420000}"/>
    <cellStyle name="40% - Accent2 4 2 2 2 4 2 2" xfId="26656" xr:uid="{00000000-0005-0000-0000-000016420000}"/>
    <cellStyle name="40% - Accent2 4 2 2 2 4 2 2 2" xfId="55662" xr:uid="{00000000-0005-0000-0000-000017420000}"/>
    <cellStyle name="40% - Accent2 4 2 2 2 4 2 3" xfId="41163" xr:uid="{00000000-0005-0000-0000-000018420000}"/>
    <cellStyle name="40% - Accent2 4 2 2 2 4 3" xfId="19408" xr:uid="{00000000-0005-0000-0000-000019420000}"/>
    <cellStyle name="40% - Accent2 4 2 2 2 4 3 2" xfId="48414" xr:uid="{00000000-0005-0000-0000-00001A420000}"/>
    <cellStyle name="40% - Accent2 4 2 2 2 4 4" xfId="33915" xr:uid="{00000000-0005-0000-0000-00001B420000}"/>
    <cellStyle name="40% - Accent2 4 2 2 2 5" xfId="7954" xr:uid="{00000000-0005-0000-0000-00001C420000}"/>
    <cellStyle name="40% - Accent2 4 2 2 2 5 2" xfId="15226" xr:uid="{00000000-0005-0000-0000-00001D420000}"/>
    <cellStyle name="40% - Accent2 4 2 2 2 5 2 2" xfId="29760" xr:uid="{00000000-0005-0000-0000-00001E420000}"/>
    <cellStyle name="40% - Accent2 4 2 2 2 5 2 2 2" xfId="58766" xr:uid="{00000000-0005-0000-0000-00001F420000}"/>
    <cellStyle name="40% - Accent2 4 2 2 2 5 2 3" xfId="44267" xr:uid="{00000000-0005-0000-0000-000020420000}"/>
    <cellStyle name="40% - Accent2 4 2 2 2 5 3" xfId="22512" xr:uid="{00000000-0005-0000-0000-000021420000}"/>
    <cellStyle name="40% - Accent2 4 2 2 2 5 3 2" xfId="51518" xr:uid="{00000000-0005-0000-0000-000022420000}"/>
    <cellStyle name="40% - Accent2 4 2 2 2 5 4" xfId="37019" xr:uid="{00000000-0005-0000-0000-000023420000}"/>
    <cellStyle name="40% - Accent2 4 2 2 2 6" xfId="9018" xr:uid="{00000000-0005-0000-0000-000024420000}"/>
    <cellStyle name="40% - Accent2 4 2 2 2 6 2" xfId="23552" xr:uid="{00000000-0005-0000-0000-000025420000}"/>
    <cellStyle name="40% - Accent2 4 2 2 2 6 2 2" xfId="52558" xr:uid="{00000000-0005-0000-0000-000026420000}"/>
    <cellStyle name="40% - Accent2 4 2 2 2 6 3" xfId="38059" xr:uid="{00000000-0005-0000-0000-000027420000}"/>
    <cellStyle name="40% - Accent2 4 2 2 2 7" xfId="16304" xr:uid="{00000000-0005-0000-0000-000028420000}"/>
    <cellStyle name="40% - Accent2 4 2 2 2 7 2" xfId="45310" xr:uid="{00000000-0005-0000-0000-000029420000}"/>
    <cellStyle name="40% - Accent2 4 2 2 2 8" xfId="30811" xr:uid="{00000000-0005-0000-0000-00002A420000}"/>
    <cellStyle name="40% - Accent2 4 2 2 3" xfId="2274" xr:uid="{00000000-0005-0000-0000-00002B420000}"/>
    <cellStyle name="40% - Accent2 4 2 2 3 2" xfId="5378" xr:uid="{00000000-0005-0000-0000-00002C420000}"/>
    <cellStyle name="40% - Accent2 4 2 2 3 2 2" xfId="12650" xr:uid="{00000000-0005-0000-0000-00002D420000}"/>
    <cellStyle name="40% - Accent2 4 2 2 3 2 2 2" xfId="27184" xr:uid="{00000000-0005-0000-0000-00002E420000}"/>
    <cellStyle name="40% - Accent2 4 2 2 3 2 2 2 2" xfId="56190" xr:uid="{00000000-0005-0000-0000-00002F420000}"/>
    <cellStyle name="40% - Accent2 4 2 2 3 2 2 3" xfId="41691" xr:uid="{00000000-0005-0000-0000-000030420000}"/>
    <cellStyle name="40% - Accent2 4 2 2 3 2 3" xfId="19936" xr:uid="{00000000-0005-0000-0000-000031420000}"/>
    <cellStyle name="40% - Accent2 4 2 2 3 2 3 2" xfId="48942" xr:uid="{00000000-0005-0000-0000-000032420000}"/>
    <cellStyle name="40% - Accent2 4 2 2 3 2 4" xfId="34443" xr:uid="{00000000-0005-0000-0000-000033420000}"/>
    <cellStyle name="40% - Accent2 4 2 2 3 3" xfId="9546" xr:uid="{00000000-0005-0000-0000-000034420000}"/>
    <cellStyle name="40% - Accent2 4 2 2 3 3 2" xfId="24080" xr:uid="{00000000-0005-0000-0000-000035420000}"/>
    <cellStyle name="40% - Accent2 4 2 2 3 3 2 2" xfId="53086" xr:uid="{00000000-0005-0000-0000-000036420000}"/>
    <cellStyle name="40% - Accent2 4 2 2 3 3 3" xfId="38587" xr:uid="{00000000-0005-0000-0000-000037420000}"/>
    <cellStyle name="40% - Accent2 4 2 2 3 4" xfId="16832" xr:uid="{00000000-0005-0000-0000-000038420000}"/>
    <cellStyle name="40% - Accent2 4 2 2 3 4 2" xfId="45838" xr:uid="{00000000-0005-0000-0000-000039420000}"/>
    <cellStyle name="40% - Accent2 4 2 2 3 5" xfId="31339" xr:uid="{00000000-0005-0000-0000-00003A420000}"/>
    <cellStyle name="40% - Accent2 4 2 2 4" xfId="3306" xr:uid="{00000000-0005-0000-0000-00003B420000}"/>
    <cellStyle name="40% - Accent2 4 2 2 4 2" xfId="6410" xr:uid="{00000000-0005-0000-0000-00003C420000}"/>
    <cellStyle name="40% - Accent2 4 2 2 4 2 2" xfId="13682" xr:uid="{00000000-0005-0000-0000-00003D420000}"/>
    <cellStyle name="40% - Accent2 4 2 2 4 2 2 2" xfId="28216" xr:uid="{00000000-0005-0000-0000-00003E420000}"/>
    <cellStyle name="40% - Accent2 4 2 2 4 2 2 2 2" xfId="57222" xr:uid="{00000000-0005-0000-0000-00003F420000}"/>
    <cellStyle name="40% - Accent2 4 2 2 4 2 2 3" xfId="42723" xr:uid="{00000000-0005-0000-0000-000040420000}"/>
    <cellStyle name="40% - Accent2 4 2 2 4 2 3" xfId="20968" xr:uid="{00000000-0005-0000-0000-000041420000}"/>
    <cellStyle name="40% - Accent2 4 2 2 4 2 3 2" xfId="49974" xr:uid="{00000000-0005-0000-0000-000042420000}"/>
    <cellStyle name="40% - Accent2 4 2 2 4 2 4" xfId="35475" xr:uid="{00000000-0005-0000-0000-000043420000}"/>
    <cellStyle name="40% - Accent2 4 2 2 4 3" xfId="10578" xr:uid="{00000000-0005-0000-0000-000044420000}"/>
    <cellStyle name="40% - Accent2 4 2 2 4 3 2" xfId="25112" xr:uid="{00000000-0005-0000-0000-000045420000}"/>
    <cellStyle name="40% - Accent2 4 2 2 4 3 2 2" xfId="54118" xr:uid="{00000000-0005-0000-0000-000046420000}"/>
    <cellStyle name="40% - Accent2 4 2 2 4 3 3" xfId="39619" xr:uid="{00000000-0005-0000-0000-000047420000}"/>
    <cellStyle name="40% - Accent2 4 2 2 4 4" xfId="17864" xr:uid="{00000000-0005-0000-0000-000048420000}"/>
    <cellStyle name="40% - Accent2 4 2 2 4 4 2" xfId="46870" xr:uid="{00000000-0005-0000-0000-000049420000}"/>
    <cellStyle name="40% - Accent2 4 2 2 4 5" xfId="32371" xr:uid="{00000000-0005-0000-0000-00004A420000}"/>
    <cellStyle name="40% - Accent2 4 2 2 5" xfId="4338" xr:uid="{00000000-0005-0000-0000-00004B420000}"/>
    <cellStyle name="40% - Accent2 4 2 2 5 2" xfId="11610" xr:uid="{00000000-0005-0000-0000-00004C420000}"/>
    <cellStyle name="40% - Accent2 4 2 2 5 2 2" xfId="26144" xr:uid="{00000000-0005-0000-0000-00004D420000}"/>
    <cellStyle name="40% - Accent2 4 2 2 5 2 2 2" xfId="55150" xr:uid="{00000000-0005-0000-0000-00004E420000}"/>
    <cellStyle name="40% - Accent2 4 2 2 5 2 3" xfId="40651" xr:uid="{00000000-0005-0000-0000-00004F420000}"/>
    <cellStyle name="40% - Accent2 4 2 2 5 3" xfId="18896" xr:uid="{00000000-0005-0000-0000-000050420000}"/>
    <cellStyle name="40% - Accent2 4 2 2 5 3 2" xfId="47902" xr:uid="{00000000-0005-0000-0000-000051420000}"/>
    <cellStyle name="40% - Accent2 4 2 2 5 4" xfId="33403" xr:uid="{00000000-0005-0000-0000-000052420000}"/>
    <cellStyle name="40% - Accent2 4 2 2 6" xfId="7442" xr:uid="{00000000-0005-0000-0000-000053420000}"/>
    <cellStyle name="40% - Accent2 4 2 2 6 2" xfId="14714" xr:uid="{00000000-0005-0000-0000-000054420000}"/>
    <cellStyle name="40% - Accent2 4 2 2 6 2 2" xfId="29248" xr:uid="{00000000-0005-0000-0000-000055420000}"/>
    <cellStyle name="40% - Accent2 4 2 2 6 2 2 2" xfId="58254" xr:uid="{00000000-0005-0000-0000-000056420000}"/>
    <cellStyle name="40% - Accent2 4 2 2 6 2 3" xfId="43755" xr:uid="{00000000-0005-0000-0000-000057420000}"/>
    <cellStyle name="40% - Accent2 4 2 2 6 3" xfId="22000" xr:uid="{00000000-0005-0000-0000-000058420000}"/>
    <cellStyle name="40% - Accent2 4 2 2 6 3 2" xfId="51006" xr:uid="{00000000-0005-0000-0000-000059420000}"/>
    <cellStyle name="40% - Accent2 4 2 2 6 4" xfId="36507" xr:uid="{00000000-0005-0000-0000-00005A420000}"/>
    <cellStyle name="40% - Accent2 4 2 2 7" xfId="8506" xr:uid="{00000000-0005-0000-0000-00005B420000}"/>
    <cellStyle name="40% - Accent2 4 2 2 7 2" xfId="23040" xr:uid="{00000000-0005-0000-0000-00005C420000}"/>
    <cellStyle name="40% - Accent2 4 2 2 7 2 2" xfId="52046" xr:uid="{00000000-0005-0000-0000-00005D420000}"/>
    <cellStyle name="40% - Accent2 4 2 2 7 3" xfId="37547" xr:uid="{00000000-0005-0000-0000-00005E420000}"/>
    <cellStyle name="40% - Accent2 4 2 2 8" xfId="15792" xr:uid="{00000000-0005-0000-0000-00005F420000}"/>
    <cellStyle name="40% - Accent2 4 2 2 8 2" xfId="44798" xr:uid="{00000000-0005-0000-0000-000060420000}"/>
    <cellStyle name="40% - Accent2 4 2 2 9" xfId="30299" xr:uid="{00000000-0005-0000-0000-000061420000}"/>
    <cellStyle name="40% - Accent2 4 2 3" xfId="1422" xr:uid="{00000000-0005-0000-0000-000062420000}"/>
    <cellStyle name="40% - Accent2 4 2 3 2" xfId="2480" xr:uid="{00000000-0005-0000-0000-000063420000}"/>
    <cellStyle name="40% - Accent2 4 2 3 2 2" xfId="5584" xr:uid="{00000000-0005-0000-0000-000064420000}"/>
    <cellStyle name="40% - Accent2 4 2 3 2 2 2" xfId="12856" xr:uid="{00000000-0005-0000-0000-000065420000}"/>
    <cellStyle name="40% - Accent2 4 2 3 2 2 2 2" xfId="27390" xr:uid="{00000000-0005-0000-0000-000066420000}"/>
    <cellStyle name="40% - Accent2 4 2 3 2 2 2 2 2" xfId="56396" xr:uid="{00000000-0005-0000-0000-000067420000}"/>
    <cellStyle name="40% - Accent2 4 2 3 2 2 2 3" xfId="41897" xr:uid="{00000000-0005-0000-0000-000068420000}"/>
    <cellStyle name="40% - Accent2 4 2 3 2 2 3" xfId="20142" xr:uid="{00000000-0005-0000-0000-000069420000}"/>
    <cellStyle name="40% - Accent2 4 2 3 2 2 3 2" xfId="49148" xr:uid="{00000000-0005-0000-0000-00006A420000}"/>
    <cellStyle name="40% - Accent2 4 2 3 2 2 4" xfId="34649" xr:uid="{00000000-0005-0000-0000-00006B420000}"/>
    <cellStyle name="40% - Accent2 4 2 3 2 3" xfId="9752" xr:uid="{00000000-0005-0000-0000-00006C420000}"/>
    <cellStyle name="40% - Accent2 4 2 3 2 3 2" xfId="24286" xr:uid="{00000000-0005-0000-0000-00006D420000}"/>
    <cellStyle name="40% - Accent2 4 2 3 2 3 2 2" xfId="53292" xr:uid="{00000000-0005-0000-0000-00006E420000}"/>
    <cellStyle name="40% - Accent2 4 2 3 2 3 3" xfId="38793" xr:uid="{00000000-0005-0000-0000-00006F420000}"/>
    <cellStyle name="40% - Accent2 4 2 3 2 4" xfId="17038" xr:uid="{00000000-0005-0000-0000-000070420000}"/>
    <cellStyle name="40% - Accent2 4 2 3 2 4 2" xfId="46044" xr:uid="{00000000-0005-0000-0000-000071420000}"/>
    <cellStyle name="40% - Accent2 4 2 3 2 5" xfId="31545" xr:uid="{00000000-0005-0000-0000-000072420000}"/>
    <cellStyle name="40% - Accent2 4 2 3 3" xfId="3512" xr:uid="{00000000-0005-0000-0000-000073420000}"/>
    <cellStyle name="40% - Accent2 4 2 3 3 2" xfId="6616" xr:uid="{00000000-0005-0000-0000-000074420000}"/>
    <cellStyle name="40% - Accent2 4 2 3 3 2 2" xfId="13888" xr:uid="{00000000-0005-0000-0000-000075420000}"/>
    <cellStyle name="40% - Accent2 4 2 3 3 2 2 2" xfId="28422" xr:uid="{00000000-0005-0000-0000-000076420000}"/>
    <cellStyle name="40% - Accent2 4 2 3 3 2 2 2 2" xfId="57428" xr:uid="{00000000-0005-0000-0000-000077420000}"/>
    <cellStyle name="40% - Accent2 4 2 3 3 2 2 3" xfId="42929" xr:uid="{00000000-0005-0000-0000-000078420000}"/>
    <cellStyle name="40% - Accent2 4 2 3 3 2 3" xfId="21174" xr:uid="{00000000-0005-0000-0000-000079420000}"/>
    <cellStyle name="40% - Accent2 4 2 3 3 2 3 2" xfId="50180" xr:uid="{00000000-0005-0000-0000-00007A420000}"/>
    <cellStyle name="40% - Accent2 4 2 3 3 2 4" xfId="35681" xr:uid="{00000000-0005-0000-0000-00007B420000}"/>
    <cellStyle name="40% - Accent2 4 2 3 3 3" xfId="10784" xr:uid="{00000000-0005-0000-0000-00007C420000}"/>
    <cellStyle name="40% - Accent2 4 2 3 3 3 2" xfId="25318" xr:uid="{00000000-0005-0000-0000-00007D420000}"/>
    <cellStyle name="40% - Accent2 4 2 3 3 3 2 2" xfId="54324" xr:uid="{00000000-0005-0000-0000-00007E420000}"/>
    <cellStyle name="40% - Accent2 4 2 3 3 3 3" xfId="39825" xr:uid="{00000000-0005-0000-0000-00007F420000}"/>
    <cellStyle name="40% - Accent2 4 2 3 3 4" xfId="18070" xr:uid="{00000000-0005-0000-0000-000080420000}"/>
    <cellStyle name="40% - Accent2 4 2 3 3 4 2" xfId="47076" xr:uid="{00000000-0005-0000-0000-000081420000}"/>
    <cellStyle name="40% - Accent2 4 2 3 3 5" xfId="32577" xr:uid="{00000000-0005-0000-0000-000082420000}"/>
    <cellStyle name="40% - Accent2 4 2 3 4" xfId="4544" xr:uid="{00000000-0005-0000-0000-000083420000}"/>
    <cellStyle name="40% - Accent2 4 2 3 4 2" xfId="11816" xr:uid="{00000000-0005-0000-0000-000084420000}"/>
    <cellStyle name="40% - Accent2 4 2 3 4 2 2" xfId="26350" xr:uid="{00000000-0005-0000-0000-000085420000}"/>
    <cellStyle name="40% - Accent2 4 2 3 4 2 2 2" xfId="55356" xr:uid="{00000000-0005-0000-0000-000086420000}"/>
    <cellStyle name="40% - Accent2 4 2 3 4 2 3" xfId="40857" xr:uid="{00000000-0005-0000-0000-000087420000}"/>
    <cellStyle name="40% - Accent2 4 2 3 4 3" xfId="19102" xr:uid="{00000000-0005-0000-0000-000088420000}"/>
    <cellStyle name="40% - Accent2 4 2 3 4 3 2" xfId="48108" xr:uid="{00000000-0005-0000-0000-000089420000}"/>
    <cellStyle name="40% - Accent2 4 2 3 4 4" xfId="33609" xr:uid="{00000000-0005-0000-0000-00008A420000}"/>
    <cellStyle name="40% - Accent2 4 2 3 5" xfId="7648" xr:uid="{00000000-0005-0000-0000-00008B420000}"/>
    <cellStyle name="40% - Accent2 4 2 3 5 2" xfId="14920" xr:uid="{00000000-0005-0000-0000-00008C420000}"/>
    <cellStyle name="40% - Accent2 4 2 3 5 2 2" xfId="29454" xr:uid="{00000000-0005-0000-0000-00008D420000}"/>
    <cellStyle name="40% - Accent2 4 2 3 5 2 2 2" xfId="58460" xr:uid="{00000000-0005-0000-0000-00008E420000}"/>
    <cellStyle name="40% - Accent2 4 2 3 5 2 3" xfId="43961" xr:uid="{00000000-0005-0000-0000-00008F420000}"/>
    <cellStyle name="40% - Accent2 4 2 3 5 3" xfId="22206" xr:uid="{00000000-0005-0000-0000-000090420000}"/>
    <cellStyle name="40% - Accent2 4 2 3 5 3 2" xfId="51212" xr:uid="{00000000-0005-0000-0000-000091420000}"/>
    <cellStyle name="40% - Accent2 4 2 3 5 4" xfId="36713" xr:uid="{00000000-0005-0000-0000-000092420000}"/>
    <cellStyle name="40% - Accent2 4 2 3 6" xfId="8712" xr:uid="{00000000-0005-0000-0000-000093420000}"/>
    <cellStyle name="40% - Accent2 4 2 3 6 2" xfId="23246" xr:uid="{00000000-0005-0000-0000-000094420000}"/>
    <cellStyle name="40% - Accent2 4 2 3 6 2 2" xfId="52252" xr:uid="{00000000-0005-0000-0000-000095420000}"/>
    <cellStyle name="40% - Accent2 4 2 3 6 3" xfId="37753" xr:uid="{00000000-0005-0000-0000-000096420000}"/>
    <cellStyle name="40% - Accent2 4 2 3 7" xfId="15998" xr:uid="{00000000-0005-0000-0000-000097420000}"/>
    <cellStyle name="40% - Accent2 4 2 3 7 2" xfId="45004" xr:uid="{00000000-0005-0000-0000-000098420000}"/>
    <cellStyle name="40% - Accent2 4 2 3 8" xfId="30505" xr:uid="{00000000-0005-0000-0000-000099420000}"/>
    <cellStyle name="40% - Accent2 4 2 4" xfId="1968" xr:uid="{00000000-0005-0000-0000-00009A420000}"/>
    <cellStyle name="40% - Accent2 4 2 4 2" xfId="5072" xr:uid="{00000000-0005-0000-0000-00009B420000}"/>
    <cellStyle name="40% - Accent2 4 2 4 2 2" xfId="12344" xr:uid="{00000000-0005-0000-0000-00009C420000}"/>
    <cellStyle name="40% - Accent2 4 2 4 2 2 2" xfId="26878" xr:uid="{00000000-0005-0000-0000-00009D420000}"/>
    <cellStyle name="40% - Accent2 4 2 4 2 2 2 2" xfId="55884" xr:uid="{00000000-0005-0000-0000-00009E420000}"/>
    <cellStyle name="40% - Accent2 4 2 4 2 2 3" xfId="41385" xr:uid="{00000000-0005-0000-0000-00009F420000}"/>
    <cellStyle name="40% - Accent2 4 2 4 2 3" xfId="19630" xr:uid="{00000000-0005-0000-0000-0000A0420000}"/>
    <cellStyle name="40% - Accent2 4 2 4 2 3 2" xfId="48636" xr:uid="{00000000-0005-0000-0000-0000A1420000}"/>
    <cellStyle name="40% - Accent2 4 2 4 2 4" xfId="34137" xr:uid="{00000000-0005-0000-0000-0000A2420000}"/>
    <cellStyle name="40% - Accent2 4 2 4 3" xfId="9240" xr:uid="{00000000-0005-0000-0000-0000A3420000}"/>
    <cellStyle name="40% - Accent2 4 2 4 3 2" xfId="23774" xr:uid="{00000000-0005-0000-0000-0000A4420000}"/>
    <cellStyle name="40% - Accent2 4 2 4 3 2 2" xfId="52780" xr:uid="{00000000-0005-0000-0000-0000A5420000}"/>
    <cellStyle name="40% - Accent2 4 2 4 3 3" xfId="38281" xr:uid="{00000000-0005-0000-0000-0000A6420000}"/>
    <cellStyle name="40% - Accent2 4 2 4 4" xfId="16526" xr:uid="{00000000-0005-0000-0000-0000A7420000}"/>
    <cellStyle name="40% - Accent2 4 2 4 4 2" xfId="45532" xr:uid="{00000000-0005-0000-0000-0000A8420000}"/>
    <cellStyle name="40% - Accent2 4 2 4 5" xfId="31033" xr:uid="{00000000-0005-0000-0000-0000A9420000}"/>
    <cellStyle name="40% - Accent2 4 2 5" xfId="3000" xr:uid="{00000000-0005-0000-0000-0000AA420000}"/>
    <cellStyle name="40% - Accent2 4 2 5 2" xfId="6104" xr:uid="{00000000-0005-0000-0000-0000AB420000}"/>
    <cellStyle name="40% - Accent2 4 2 5 2 2" xfId="13376" xr:uid="{00000000-0005-0000-0000-0000AC420000}"/>
    <cellStyle name="40% - Accent2 4 2 5 2 2 2" xfId="27910" xr:uid="{00000000-0005-0000-0000-0000AD420000}"/>
    <cellStyle name="40% - Accent2 4 2 5 2 2 2 2" xfId="56916" xr:uid="{00000000-0005-0000-0000-0000AE420000}"/>
    <cellStyle name="40% - Accent2 4 2 5 2 2 3" xfId="42417" xr:uid="{00000000-0005-0000-0000-0000AF420000}"/>
    <cellStyle name="40% - Accent2 4 2 5 2 3" xfId="20662" xr:uid="{00000000-0005-0000-0000-0000B0420000}"/>
    <cellStyle name="40% - Accent2 4 2 5 2 3 2" xfId="49668" xr:uid="{00000000-0005-0000-0000-0000B1420000}"/>
    <cellStyle name="40% - Accent2 4 2 5 2 4" xfId="35169" xr:uid="{00000000-0005-0000-0000-0000B2420000}"/>
    <cellStyle name="40% - Accent2 4 2 5 3" xfId="10272" xr:uid="{00000000-0005-0000-0000-0000B3420000}"/>
    <cellStyle name="40% - Accent2 4 2 5 3 2" xfId="24806" xr:uid="{00000000-0005-0000-0000-0000B4420000}"/>
    <cellStyle name="40% - Accent2 4 2 5 3 2 2" xfId="53812" xr:uid="{00000000-0005-0000-0000-0000B5420000}"/>
    <cellStyle name="40% - Accent2 4 2 5 3 3" xfId="39313" xr:uid="{00000000-0005-0000-0000-0000B6420000}"/>
    <cellStyle name="40% - Accent2 4 2 5 4" xfId="17558" xr:uid="{00000000-0005-0000-0000-0000B7420000}"/>
    <cellStyle name="40% - Accent2 4 2 5 4 2" xfId="46564" xr:uid="{00000000-0005-0000-0000-0000B8420000}"/>
    <cellStyle name="40% - Accent2 4 2 5 5" xfId="32065" xr:uid="{00000000-0005-0000-0000-0000B9420000}"/>
    <cellStyle name="40% - Accent2 4 2 6" xfId="4032" xr:uid="{00000000-0005-0000-0000-0000BA420000}"/>
    <cellStyle name="40% - Accent2 4 2 6 2" xfId="11304" xr:uid="{00000000-0005-0000-0000-0000BB420000}"/>
    <cellStyle name="40% - Accent2 4 2 6 2 2" xfId="25838" xr:uid="{00000000-0005-0000-0000-0000BC420000}"/>
    <cellStyle name="40% - Accent2 4 2 6 2 2 2" xfId="54844" xr:uid="{00000000-0005-0000-0000-0000BD420000}"/>
    <cellStyle name="40% - Accent2 4 2 6 2 3" xfId="40345" xr:uid="{00000000-0005-0000-0000-0000BE420000}"/>
    <cellStyle name="40% - Accent2 4 2 6 3" xfId="18590" xr:uid="{00000000-0005-0000-0000-0000BF420000}"/>
    <cellStyle name="40% - Accent2 4 2 6 3 2" xfId="47596" xr:uid="{00000000-0005-0000-0000-0000C0420000}"/>
    <cellStyle name="40% - Accent2 4 2 6 4" xfId="33097" xr:uid="{00000000-0005-0000-0000-0000C1420000}"/>
    <cellStyle name="40% - Accent2 4 2 7" xfId="7136" xr:uid="{00000000-0005-0000-0000-0000C2420000}"/>
    <cellStyle name="40% - Accent2 4 2 7 2" xfId="14408" xr:uid="{00000000-0005-0000-0000-0000C3420000}"/>
    <cellStyle name="40% - Accent2 4 2 7 2 2" xfId="28942" xr:uid="{00000000-0005-0000-0000-0000C4420000}"/>
    <cellStyle name="40% - Accent2 4 2 7 2 2 2" xfId="57948" xr:uid="{00000000-0005-0000-0000-0000C5420000}"/>
    <cellStyle name="40% - Accent2 4 2 7 2 3" xfId="43449" xr:uid="{00000000-0005-0000-0000-0000C6420000}"/>
    <cellStyle name="40% - Accent2 4 2 7 3" xfId="21694" xr:uid="{00000000-0005-0000-0000-0000C7420000}"/>
    <cellStyle name="40% - Accent2 4 2 7 3 2" xfId="50700" xr:uid="{00000000-0005-0000-0000-0000C8420000}"/>
    <cellStyle name="40% - Accent2 4 2 7 4" xfId="36201" xr:uid="{00000000-0005-0000-0000-0000C9420000}"/>
    <cellStyle name="40% - Accent2 4 2 8" xfId="8200" xr:uid="{00000000-0005-0000-0000-0000CA420000}"/>
    <cellStyle name="40% - Accent2 4 2 8 2" xfId="22734" xr:uid="{00000000-0005-0000-0000-0000CB420000}"/>
    <cellStyle name="40% - Accent2 4 2 8 2 2" xfId="51740" xr:uid="{00000000-0005-0000-0000-0000CC420000}"/>
    <cellStyle name="40% - Accent2 4 2 8 3" xfId="37241" xr:uid="{00000000-0005-0000-0000-0000CD420000}"/>
    <cellStyle name="40% - Accent2 4 2 9" xfId="15486" xr:uid="{00000000-0005-0000-0000-0000CE420000}"/>
    <cellStyle name="40% - Accent2 4 2 9 2" xfId="44492" xr:uid="{00000000-0005-0000-0000-0000CF420000}"/>
    <cellStyle name="40% - Accent2 4 3" xfId="1126" xr:uid="{00000000-0005-0000-0000-0000D0420000}"/>
    <cellStyle name="40% - Accent2 4 3 2" xfId="1624" xr:uid="{00000000-0005-0000-0000-0000D1420000}"/>
    <cellStyle name="40% - Accent2 4 3 2 2" xfId="2683" xr:uid="{00000000-0005-0000-0000-0000D2420000}"/>
    <cellStyle name="40% - Accent2 4 3 2 2 2" xfId="5787" xr:uid="{00000000-0005-0000-0000-0000D3420000}"/>
    <cellStyle name="40% - Accent2 4 3 2 2 2 2" xfId="13059" xr:uid="{00000000-0005-0000-0000-0000D4420000}"/>
    <cellStyle name="40% - Accent2 4 3 2 2 2 2 2" xfId="27593" xr:uid="{00000000-0005-0000-0000-0000D5420000}"/>
    <cellStyle name="40% - Accent2 4 3 2 2 2 2 2 2" xfId="56599" xr:uid="{00000000-0005-0000-0000-0000D6420000}"/>
    <cellStyle name="40% - Accent2 4 3 2 2 2 2 3" xfId="42100" xr:uid="{00000000-0005-0000-0000-0000D7420000}"/>
    <cellStyle name="40% - Accent2 4 3 2 2 2 3" xfId="20345" xr:uid="{00000000-0005-0000-0000-0000D8420000}"/>
    <cellStyle name="40% - Accent2 4 3 2 2 2 3 2" xfId="49351" xr:uid="{00000000-0005-0000-0000-0000D9420000}"/>
    <cellStyle name="40% - Accent2 4 3 2 2 2 4" xfId="34852" xr:uid="{00000000-0005-0000-0000-0000DA420000}"/>
    <cellStyle name="40% - Accent2 4 3 2 2 3" xfId="9955" xr:uid="{00000000-0005-0000-0000-0000DB420000}"/>
    <cellStyle name="40% - Accent2 4 3 2 2 3 2" xfId="24489" xr:uid="{00000000-0005-0000-0000-0000DC420000}"/>
    <cellStyle name="40% - Accent2 4 3 2 2 3 2 2" xfId="53495" xr:uid="{00000000-0005-0000-0000-0000DD420000}"/>
    <cellStyle name="40% - Accent2 4 3 2 2 3 3" xfId="38996" xr:uid="{00000000-0005-0000-0000-0000DE420000}"/>
    <cellStyle name="40% - Accent2 4 3 2 2 4" xfId="17241" xr:uid="{00000000-0005-0000-0000-0000DF420000}"/>
    <cellStyle name="40% - Accent2 4 3 2 2 4 2" xfId="46247" xr:uid="{00000000-0005-0000-0000-0000E0420000}"/>
    <cellStyle name="40% - Accent2 4 3 2 2 5" xfId="31748" xr:uid="{00000000-0005-0000-0000-0000E1420000}"/>
    <cellStyle name="40% - Accent2 4 3 2 3" xfId="3715" xr:uid="{00000000-0005-0000-0000-0000E2420000}"/>
    <cellStyle name="40% - Accent2 4 3 2 3 2" xfId="6819" xr:uid="{00000000-0005-0000-0000-0000E3420000}"/>
    <cellStyle name="40% - Accent2 4 3 2 3 2 2" xfId="14091" xr:uid="{00000000-0005-0000-0000-0000E4420000}"/>
    <cellStyle name="40% - Accent2 4 3 2 3 2 2 2" xfId="28625" xr:uid="{00000000-0005-0000-0000-0000E5420000}"/>
    <cellStyle name="40% - Accent2 4 3 2 3 2 2 2 2" xfId="57631" xr:uid="{00000000-0005-0000-0000-0000E6420000}"/>
    <cellStyle name="40% - Accent2 4 3 2 3 2 2 3" xfId="43132" xr:uid="{00000000-0005-0000-0000-0000E7420000}"/>
    <cellStyle name="40% - Accent2 4 3 2 3 2 3" xfId="21377" xr:uid="{00000000-0005-0000-0000-0000E8420000}"/>
    <cellStyle name="40% - Accent2 4 3 2 3 2 3 2" xfId="50383" xr:uid="{00000000-0005-0000-0000-0000E9420000}"/>
    <cellStyle name="40% - Accent2 4 3 2 3 2 4" xfId="35884" xr:uid="{00000000-0005-0000-0000-0000EA420000}"/>
    <cellStyle name="40% - Accent2 4 3 2 3 3" xfId="10987" xr:uid="{00000000-0005-0000-0000-0000EB420000}"/>
    <cellStyle name="40% - Accent2 4 3 2 3 3 2" xfId="25521" xr:uid="{00000000-0005-0000-0000-0000EC420000}"/>
    <cellStyle name="40% - Accent2 4 3 2 3 3 2 2" xfId="54527" xr:uid="{00000000-0005-0000-0000-0000ED420000}"/>
    <cellStyle name="40% - Accent2 4 3 2 3 3 3" xfId="40028" xr:uid="{00000000-0005-0000-0000-0000EE420000}"/>
    <cellStyle name="40% - Accent2 4 3 2 3 4" xfId="18273" xr:uid="{00000000-0005-0000-0000-0000EF420000}"/>
    <cellStyle name="40% - Accent2 4 3 2 3 4 2" xfId="47279" xr:uid="{00000000-0005-0000-0000-0000F0420000}"/>
    <cellStyle name="40% - Accent2 4 3 2 3 5" xfId="32780" xr:uid="{00000000-0005-0000-0000-0000F1420000}"/>
    <cellStyle name="40% - Accent2 4 3 2 4" xfId="4747" xr:uid="{00000000-0005-0000-0000-0000F2420000}"/>
    <cellStyle name="40% - Accent2 4 3 2 4 2" xfId="12019" xr:uid="{00000000-0005-0000-0000-0000F3420000}"/>
    <cellStyle name="40% - Accent2 4 3 2 4 2 2" xfId="26553" xr:uid="{00000000-0005-0000-0000-0000F4420000}"/>
    <cellStyle name="40% - Accent2 4 3 2 4 2 2 2" xfId="55559" xr:uid="{00000000-0005-0000-0000-0000F5420000}"/>
    <cellStyle name="40% - Accent2 4 3 2 4 2 3" xfId="41060" xr:uid="{00000000-0005-0000-0000-0000F6420000}"/>
    <cellStyle name="40% - Accent2 4 3 2 4 3" xfId="19305" xr:uid="{00000000-0005-0000-0000-0000F7420000}"/>
    <cellStyle name="40% - Accent2 4 3 2 4 3 2" xfId="48311" xr:uid="{00000000-0005-0000-0000-0000F8420000}"/>
    <cellStyle name="40% - Accent2 4 3 2 4 4" xfId="33812" xr:uid="{00000000-0005-0000-0000-0000F9420000}"/>
    <cellStyle name="40% - Accent2 4 3 2 5" xfId="7851" xr:uid="{00000000-0005-0000-0000-0000FA420000}"/>
    <cellStyle name="40% - Accent2 4 3 2 5 2" xfId="15123" xr:uid="{00000000-0005-0000-0000-0000FB420000}"/>
    <cellStyle name="40% - Accent2 4 3 2 5 2 2" xfId="29657" xr:uid="{00000000-0005-0000-0000-0000FC420000}"/>
    <cellStyle name="40% - Accent2 4 3 2 5 2 2 2" xfId="58663" xr:uid="{00000000-0005-0000-0000-0000FD420000}"/>
    <cellStyle name="40% - Accent2 4 3 2 5 2 3" xfId="44164" xr:uid="{00000000-0005-0000-0000-0000FE420000}"/>
    <cellStyle name="40% - Accent2 4 3 2 5 3" xfId="22409" xr:uid="{00000000-0005-0000-0000-0000FF420000}"/>
    <cellStyle name="40% - Accent2 4 3 2 5 3 2" xfId="51415" xr:uid="{00000000-0005-0000-0000-000000430000}"/>
    <cellStyle name="40% - Accent2 4 3 2 5 4" xfId="36916" xr:uid="{00000000-0005-0000-0000-000001430000}"/>
    <cellStyle name="40% - Accent2 4 3 2 6" xfId="8915" xr:uid="{00000000-0005-0000-0000-000002430000}"/>
    <cellStyle name="40% - Accent2 4 3 2 6 2" xfId="23449" xr:uid="{00000000-0005-0000-0000-000003430000}"/>
    <cellStyle name="40% - Accent2 4 3 2 6 2 2" xfId="52455" xr:uid="{00000000-0005-0000-0000-000004430000}"/>
    <cellStyle name="40% - Accent2 4 3 2 6 3" xfId="37956" xr:uid="{00000000-0005-0000-0000-000005430000}"/>
    <cellStyle name="40% - Accent2 4 3 2 7" xfId="16201" xr:uid="{00000000-0005-0000-0000-000006430000}"/>
    <cellStyle name="40% - Accent2 4 3 2 7 2" xfId="45207" xr:uid="{00000000-0005-0000-0000-000007430000}"/>
    <cellStyle name="40% - Accent2 4 3 2 8" xfId="30708" xr:uid="{00000000-0005-0000-0000-000008430000}"/>
    <cellStyle name="40% - Accent2 4 3 3" xfId="2171" xr:uid="{00000000-0005-0000-0000-000009430000}"/>
    <cellStyle name="40% - Accent2 4 3 3 2" xfId="5275" xr:uid="{00000000-0005-0000-0000-00000A430000}"/>
    <cellStyle name="40% - Accent2 4 3 3 2 2" xfId="12547" xr:uid="{00000000-0005-0000-0000-00000B430000}"/>
    <cellStyle name="40% - Accent2 4 3 3 2 2 2" xfId="27081" xr:uid="{00000000-0005-0000-0000-00000C430000}"/>
    <cellStyle name="40% - Accent2 4 3 3 2 2 2 2" xfId="56087" xr:uid="{00000000-0005-0000-0000-00000D430000}"/>
    <cellStyle name="40% - Accent2 4 3 3 2 2 3" xfId="41588" xr:uid="{00000000-0005-0000-0000-00000E430000}"/>
    <cellStyle name="40% - Accent2 4 3 3 2 3" xfId="19833" xr:uid="{00000000-0005-0000-0000-00000F430000}"/>
    <cellStyle name="40% - Accent2 4 3 3 2 3 2" xfId="48839" xr:uid="{00000000-0005-0000-0000-000010430000}"/>
    <cellStyle name="40% - Accent2 4 3 3 2 4" xfId="34340" xr:uid="{00000000-0005-0000-0000-000011430000}"/>
    <cellStyle name="40% - Accent2 4 3 3 3" xfId="9443" xr:uid="{00000000-0005-0000-0000-000012430000}"/>
    <cellStyle name="40% - Accent2 4 3 3 3 2" xfId="23977" xr:uid="{00000000-0005-0000-0000-000013430000}"/>
    <cellStyle name="40% - Accent2 4 3 3 3 2 2" xfId="52983" xr:uid="{00000000-0005-0000-0000-000014430000}"/>
    <cellStyle name="40% - Accent2 4 3 3 3 3" xfId="38484" xr:uid="{00000000-0005-0000-0000-000015430000}"/>
    <cellStyle name="40% - Accent2 4 3 3 4" xfId="16729" xr:uid="{00000000-0005-0000-0000-000016430000}"/>
    <cellStyle name="40% - Accent2 4 3 3 4 2" xfId="45735" xr:uid="{00000000-0005-0000-0000-000017430000}"/>
    <cellStyle name="40% - Accent2 4 3 3 5" xfId="31236" xr:uid="{00000000-0005-0000-0000-000018430000}"/>
    <cellStyle name="40% - Accent2 4 3 4" xfId="3203" xr:uid="{00000000-0005-0000-0000-000019430000}"/>
    <cellStyle name="40% - Accent2 4 3 4 2" xfId="6307" xr:uid="{00000000-0005-0000-0000-00001A430000}"/>
    <cellStyle name="40% - Accent2 4 3 4 2 2" xfId="13579" xr:uid="{00000000-0005-0000-0000-00001B430000}"/>
    <cellStyle name="40% - Accent2 4 3 4 2 2 2" xfId="28113" xr:uid="{00000000-0005-0000-0000-00001C430000}"/>
    <cellStyle name="40% - Accent2 4 3 4 2 2 2 2" xfId="57119" xr:uid="{00000000-0005-0000-0000-00001D430000}"/>
    <cellStyle name="40% - Accent2 4 3 4 2 2 3" xfId="42620" xr:uid="{00000000-0005-0000-0000-00001E430000}"/>
    <cellStyle name="40% - Accent2 4 3 4 2 3" xfId="20865" xr:uid="{00000000-0005-0000-0000-00001F430000}"/>
    <cellStyle name="40% - Accent2 4 3 4 2 3 2" xfId="49871" xr:uid="{00000000-0005-0000-0000-000020430000}"/>
    <cellStyle name="40% - Accent2 4 3 4 2 4" xfId="35372" xr:uid="{00000000-0005-0000-0000-000021430000}"/>
    <cellStyle name="40% - Accent2 4 3 4 3" xfId="10475" xr:uid="{00000000-0005-0000-0000-000022430000}"/>
    <cellStyle name="40% - Accent2 4 3 4 3 2" xfId="25009" xr:uid="{00000000-0005-0000-0000-000023430000}"/>
    <cellStyle name="40% - Accent2 4 3 4 3 2 2" xfId="54015" xr:uid="{00000000-0005-0000-0000-000024430000}"/>
    <cellStyle name="40% - Accent2 4 3 4 3 3" xfId="39516" xr:uid="{00000000-0005-0000-0000-000025430000}"/>
    <cellStyle name="40% - Accent2 4 3 4 4" xfId="17761" xr:uid="{00000000-0005-0000-0000-000026430000}"/>
    <cellStyle name="40% - Accent2 4 3 4 4 2" xfId="46767" xr:uid="{00000000-0005-0000-0000-000027430000}"/>
    <cellStyle name="40% - Accent2 4 3 4 5" xfId="32268" xr:uid="{00000000-0005-0000-0000-000028430000}"/>
    <cellStyle name="40% - Accent2 4 3 5" xfId="4235" xr:uid="{00000000-0005-0000-0000-000029430000}"/>
    <cellStyle name="40% - Accent2 4 3 5 2" xfId="11507" xr:uid="{00000000-0005-0000-0000-00002A430000}"/>
    <cellStyle name="40% - Accent2 4 3 5 2 2" xfId="26041" xr:uid="{00000000-0005-0000-0000-00002B430000}"/>
    <cellStyle name="40% - Accent2 4 3 5 2 2 2" xfId="55047" xr:uid="{00000000-0005-0000-0000-00002C430000}"/>
    <cellStyle name="40% - Accent2 4 3 5 2 3" xfId="40548" xr:uid="{00000000-0005-0000-0000-00002D430000}"/>
    <cellStyle name="40% - Accent2 4 3 5 3" xfId="18793" xr:uid="{00000000-0005-0000-0000-00002E430000}"/>
    <cellStyle name="40% - Accent2 4 3 5 3 2" xfId="47799" xr:uid="{00000000-0005-0000-0000-00002F430000}"/>
    <cellStyle name="40% - Accent2 4 3 5 4" xfId="33300" xr:uid="{00000000-0005-0000-0000-000030430000}"/>
    <cellStyle name="40% - Accent2 4 3 6" xfId="7339" xr:uid="{00000000-0005-0000-0000-000031430000}"/>
    <cellStyle name="40% - Accent2 4 3 6 2" xfId="14611" xr:uid="{00000000-0005-0000-0000-000032430000}"/>
    <cellStyle name="40% - Accent2 4 3 6 2 2" xfId="29145" xr:uid="{00000000-0005-0000-0000-000033430000}"/>
    <cellStyle name="40% - Accent2 4 3 6 2 2 2" xfId="58151" xr:uid="{00000000-0005-0000-0000-000034430000}"/>
    <cellStyle name="40% - Accent2 4 3 6 2 3" xfId="43652" xr:uid="{00000000-0005-0000-0000-000035430000}"/>
    <cellStyle name="40% - Accent2 4 3 6 3" xfId="21897" xr:uid="{00000000-0005-0000-0000-000036430000}"/>
    <cellStyle name="40% - Accent2 4 3 6 3 2" xfId="50903" xr:uid="{00000000-0005-0000-0000-000037430000}"/>
    <cellStyle name="40% - Accent2 4 3 6 4" xfId="36404" xr:uid="{00000000-0005-0000-0000-000038430000}"/>
    <cellStyle name="40% - Accent2 4 3 7" xfId="8403" xr:uid="{00000000-0005-0000-0000-000039430000}"/>
    <cellStyle name="40% - Accent2 4 3 7 2" xfId="22937" xr:uid="{00000000-0005-0000-0000-00003A430000}"/>
    <cellStyle name="40% - Accent2 4 3 7 2 2" xfId="51943" xr:uid="{00000000-0005-0000-0000-00003B430000}"/>
    <cellStyle name="40% - Accent2 4 3 7 3" xfId="37444" xr:uid="{00000000-0005-0000-0000-00003C430000}"/>
    <cellStyle name="40% - Accent2 4 3 8" xfId="15689" xr:uid="{00000000-0005-0000-0000-00003D430000}"/>
    <cellStyle name="40% - Accent2 4 3 8 2" xfId="44695" xr:uid="{00000000-0005-0000-0000-00003E430000}"/>
    <cellStyle name="40% - Accent2 4 3 9" xfId="30196" xr:uid="{00000000-0005-0000-0000-00003F430000}"/>
    <cellStyle name="40% - Accent2 4 4" xfId="1035" xr:uid="{00000000-0005-0000-0000-000040430000}"/>
    <cellStyle name="40% - Accent2 4 4 2" xfId="1525" xr:uid="{00000000-0005-0000-0000-000041430000}"/>
    <cellStyle name="40% - Accent2 4 4 2 2" xfId="2583" xr:uid="{00000000-0005-0000-0000-000042430000}"/>
    <cellStyle name="40% - Accent2 4 4 2 2 2" xfId="5687" xr:uid="{00000000-0005-0000-0000-000043430000}"/>
    <cellStyle name="40% - Accent2 4 4 2 2 2 2" xfId="12959" xr:uid="{00000000-0005-0000-0000-000044430000}"/>
    <cellStyle name="40% - Accent2 4 4 2 2 2 2 2" xfId="27493" xr:uid="{00000000-0005-0000-0000-000045430000}"/>
    <cellStyle name="40% - Accent2 4 4 2 2 2 2 2 2" xfId="56499" xr:uid="{00000000-0005-0000-0000-000046430000}"/>
    <cellStyle name="40% - Accent2 4 4 2 2 2 2 3" xfId="42000" xr:uid="{00000000-0005-0000-0000-000047430000}"/>
    <cellStyle name="40% - Accent2 4 4 2 2 2 3" xfId="20245" xr:uid="{00000000-0005-0000-0000-000048430000}"/>
    <cellStyle name="40% - Accent2 4 4 2 2 2 3 2" xfId="49251" xr:uid="{00000000-0005-0000-0000-000049430000}"/>
    <cellStyle name="40% - Accent2 4 4 2 2 2 4" xfId="34752" xr:uid="{00000000-0005-0000-0000-00004A430000}"/>
    <cellStyle name="40% - Accent2 4 4 2 2 3" xfId="9855" xr:uid="{00000000-0005-0000-0000-00004B430000}"/>
    <cellStyle name="40% - Accent2 4 4 2 2 3 2" xfId="24389" xr:uid="{00000000-0005-0000-0000-00004C430000}"/>
    <cellStyle name="40% - Accent2 4 4 2 2 3 2 2" xfId="53395" xr:uid="{00000000-0005-0000-0000-00004D430000}"/>
    <cellStyle name="40% - Accent2 4 4 2 2 3 3" xfId="38896" xr:uid="{00000000-0005-0000-0000-00004E430000}"/>
    <cellStyle name="40% - Accent2 4 4 2 2 4" xfId="17141" xr:uid="{00000000-0005-0000-0000-00004F430000}"/>
    <cellStyle name="40% - Accent2 4 4 2 2 4 2" xfId="46147" xr:uid="{00000000-0005-0000-0000-000050430000}"/>
    <cellStyle name="40% - Accent2 4 4 2 2 5" xfId="31648" xr:uid="{00000000-0005-0000-0000-000051430000}"/>
    <cellStyle name="40% - Accent2 4 4 2 3" xfId="3615" xr:uid="{00000000-0005-0000-0000-000052430000}"/>
    <cellStyle name="40% - Accent2 4 4 2 3 2" xfId="6719" xr:uid="{00000000-0005-0000-0000-000053430000}"/>
    <cellStyle name="40% - Accent2 4 4 2 3 2 2" xfId="13991" xr:uid="{00000000-0005-0000-0000-000054430000}"/>
    <cellStyle name="40% - Accent2 4 4 2 3 2 2 2" xfId="28525" xr:uid="{00000000-0005-0000-0000-000055430000}"/>
    <cellStyle name="40% - Accent2 4 4 2 3 2 2 2 2" xfId="57531" xr:uid="{00000000-0005-0000-0000-000056430000}"/>
    <cellStyle name="40% - Accent2 4 4 2 3 2 2 3" xfId="43032" xr:uid="{00000000-0005-0000-0000-000057430000}"/>
    <cellStyle name="40% - Accent2 4 4 2 3 2 3" xfId="21277" xr:uid="{00000000-0005-0000-0000-000058430000}"/>
    <cellStyle name="40% - Accent2 4 4 2 3 2 3 2" xfId="50283" xr:uid="{00000000-0005-0000-0000-000059430000}"/>
    <cellStyle name="40% - Accent2 4 4 2 3 2 4" xfId="35784" xr:uid="{00000000-0005-0000-0000-00005A430000}"/>
    <cellStyle name="40% - Accent2 4 4 2 3 3" xfId="10887" xr:uid="{00000000-0005-0000-0000-00005B430000}"/>
    <cellStyle name="40% - Accent2 4 4 2 3 3 2" xfId="25421" xr:uid="{00000000-0005-0000-0000-00005C430000}"/>
    <cellStyle name="40% - Accent2 4 4 2 3 3 2 2" xfId="54427" xr:uid="{00000000-0005-0000-0000-00005D430000}"/>
    <cellStyle name="40% - Accent2 4 4 2 3 3 3" xfId="39928" xr:uid="{00000000-0005-0000-0000-00005E430000}"/>
    <cellStyle name="40% - Accent2 4 4 2 3 4" xfId="18173" xr:uid="{00000000-0005-0000-0000-00005F430000}"/>
    <cellStyle name="40% - Accent2 4 4 2 3 4 2" xfId="47179" xr:uid="{00000000-0005-0000-0000-000060430000}"/>
    <cellStyle name="40% - Accent2 4 4 2 3 5" xfId="32680" xr:uid="{00000000-0005-0000-0000-000061430000}"/>
    <cellStyle name="40% - Accent2 4 4 2 4" xfId="4647" xr:uid="{00000000-0005-0000-0000-000062430000}"/>
    <cellStyle name="40% - Accent2 4 4 2 4 2" xfId="11919" xr:uid="{00000000-0005-0000-0000-000063430000}"/>
    <cellStyle name="40% - Accent2 4 4 2 4 2 2" xfId="26453" xr:uid="{00000000-0005-0000-0000-000064430000}"/>
    <cellStyle name="40% - Accent2 4 4 2 4 2 2 2" xfId="55459" xr:uid="{00000000-0005-0000-0000-000065430000}"/>
    <cellStyle name="40% - Accent2 4 4 2 4 2 3" xfId="40960" xr:uid="{00000000-0005-0000-0000-000066430000}"/>
    <cellStyle name="40% - Accent2 4 4 2 4 3" xfId="19205" xr:uid="{00000000-0005-0000-0000-000067430000}"/>
    <cellStyle name="40% - Accent2 4 4 2 4 3 2" xfId="48211" xr:uid="{00000000-0005-0000-0000-000068430000}"/>
    <cellStyle name="40% - Accent2 4 4 2 4 4" xfId="33712" xr:uid="{00000000-0005-0000-0000-000069430000}"/>
    <cellStyle name="40% - Accent2 4 4 2 5" xfId="7751" xr:uid="{00000000-0005-0000-0000-00006A430000}"/>
    <cellStyle name="40% - Accent2 4 4 2 5 2" xfId="15023" xr:uid="{00000000-0005-0000-0000-00006B430000}"/>
    <cellStyle name="40% - Accent2 4 4 2 5 2 2" xfId="29557" xr:uid="{00000000-0005-0000-0000-00006C430000}"/>
    <cellStyle name="40% - Accent2 4 4 2 5 2 2 2" xfId="58563" xr:uid="{00000000-0005-0000-0000-00006D430000}"/>
    <cellStyle name="40% - Accent2 4 4 2 5 2 3" xfId="44064" xr:uid="{00000000-0005-0000-0000-00006E430000}"/>
    <cellStyle name="40% - Accent2 4 4 2 5 3" xfId="22309" xr:uid="{00000000-0005-0000-0000-00006F430000}"/>
    <cellStyle name="40% - Accent2 4 4 2 5 3 2" xfId="51315" xr:uid="{00000000-0005-0000-0000-000070430000}"/>
    <cellStyle name="40% - Accent2 4 4 2 5 4" xfId="36816" xr:uid="{00000000-0005-0000-0000-000071430000}"/>
    <cellStyle name="40% - Accent2 4 4 2 6" xfId="8815" xr:uid="{00000000-0005-0000-0000-000072430000}"/>
    <cellStyle name="40% - Accent2 4 4 2 6 2" xfId="23349" xr:uid="{00000000-0005-0000-0000-000073430000}"/>
    <cellStyle name="40% - Accent2 4 4 2 6 2 2" xfId="52355" xr:uid="{00000000-0005-0000-0000-000074430000}"/>
    <cellStyle name="40% - Accent2 4 4 2 6 3" xfId="37856" xr:uid="{00000000-0005-0000-0000-000075430000}"/>
    <cellStyle name="40% - Accent2 4 4 2 7" xfId="16101" xr:uid="{00000000-0005-0000-0000-000076430000}"/>
    <cellStyle name="40% - Accent2 4 4 2 7 2" xfId="45107" xr:uid="{00000000-0005-0000-0000-000077430000}"/>
    <cellStyle name="40% - Accent2 4 4 2 8" xfId="30608" xr:uid="{00000000-0005-0000-0000-000078430000}"/>
    <cellStyle name="40% - Accent2 4 4 3" xfId="2071" xr:uid="{00000000-0005-0000-0000-000079430000}"/>
    <cellStyle name="40% - Accent2 4 4 3 2" xfId="5175" xr:uid="{00000000-0005-0000-0000-00007A430000}"/>
    <cellStyle name="40% - Accent2 4 4 3 2 2" xfId="12447" xr:uid="{00000000-0005-0000-0000-00007B430000}"/>
    <cellStyle name="40% - Accent2 4 4 3 2 2 2" xfId="26981" xr:uid="{00000000-0005-0000-0000-00007C430000}"/>
    <cellStyle name="40% - Accent2 4 4 3 2 2 2 2" xfId="55987" xr:uid="{00000000-0005-0000-0000-00007D430000}"/>
    <cellStyle name="40% - Accent2 4 4 3 2 2 3" xfId="41488" xr:uid="{00000000-0005-0000-0000-00007E430000}"/>
    <cellStyle name="40% - Accent2 4 4 3 2 3" xfId="19733" xr:uid="{00000000-0005-0000-0000-00007F430000}"/>
    <cellStyle name="40% - Accent2 4 4 3 2 3 2" xfId="48739" xr:uid="{00000000-0005-0000-0000-000080430000}"/>
    <cellStyle name="40% - Accent2 4 4 3 2 4" xfId="34240" xr:uid="{00000000-0005-0000-0000-000081430000}"/>
    <cellStyle name="40% - Accent2 4 4 3 3" xfId="9343" xr:uid="{00000000-0005-0000-0000-000082430000}"/>
    <cellStyle name="40% - Accent2 4 4 3 3 2" xfId="23877" xr:uid="{00000000-0005-0000-0000-000083430000}"/>
    <cellStyle name="40% - Accent2 4 4 3 3 2 2" xfId="52883" xr:uid="{00000000-0005-0000-0000-000084430000}"/>
    <cellStyle name="40% - Accent2 4 4 3 3 3" xfId="38384" xr:uid="{00000000-0005-0000-0000-000085430000}"/>
    <cellStyle name="40% - Accent2 4 4 3 4" xfId="16629" xr:uid="{00000000-0005-0000-0000-000086430000}"/>
    <cellStyle name="40% - Accent2 4 4 3 4 2" xfId="45635" xr:uid="{00000000-0005-0000-0000-000087430000}"/>
    <cellStyle name="40% - Accent2 4 4 3 5" xfId="31136" xr:uid="{00000000-0005-0000-0000-000088430000}"/>
    <cellStyle name="40% - Accent2 4 4 4" xfId="3103" xr:uid="{00000000-0005-0000-0000-000089430000}"/>
    <cellStyle name="40% - Accent2 4 4 4 2" xfId="6207" xr:uid="{00000000-0005-0000-0000-00008A430000}"/>
    <cellStyle name="40% - Accent2 4 4 4 2 2" xfId="13479" xr:uid="{00000000-0005-0000-0000-00008B430000}"/>
    <cellStyle name="40% - Accent2 4 4 4 2 2 2" xfId="28013" xr:uid="{00000000-0005-0000-0000-00008C430000}"/>
    <cellStyle name="40% - Accent2 4 4 4 2 2 2 2" xfId="57019" xr:uid="{00000000-0005-0000-0000-00008D430000}"/>
    <cellStyle name="40% - Accent2 4 4 4 2 2 3" xfId="42520" xr:uid="{00000000-0005-0000-0000-00008E430000}"/>
    <cellStyle name="40% - Accent2 4 4 4 2 3" xfId="20765" xr:uid="{00000000-0005-0000-0000-00008F430000}"/>
    <cellStyle name="40% - Accent2 4 4 4 2 3 2" xfId="49771" xr:uid="{00000000-0005-0000-0000-000090430000}"/>
    <cellStyle name="40% - Accent2 4 4 4 2 4" xfId="35272" xr:uid="{00000000-0005-0000-0000-000091430000}"/>
    <cellStyle name="40% - Accent2 4 4 4 3" xfId="10375" xr:uid="{00000000-0005-0000-0000-000092430000}"/>
    <cellStyle name="40% - Accent2 4 4 4 3 2" xfId="24909" xr:uid="{00000000-0005-0000-0000-000093430000}"/>
    <cellStyle name="40% - Accent2 4 4 4 3 2 2" xfId="53915" xr:uid="{00000000-0005-0000-0000-000094430000}"/>
    <cellStyle name="40% - Accent2 4 4 4 3 3" xfId="39416" xr:uid="{00000000-0005-0000-0000-000095430000}"/>
    <cellStyle name="40% - Accent2 4 4 4 4" xfId="17661" xr:uid="{00000000-0005-0000-0000-000096430000}"/>
    <cellStyle name="40% - Accent2 4 4 4 4 2" xfId="46667" xr:uid="{00000000-0005-0000-0000-000097430000}"/>
    <cellStyle name="40% - Accent2 4 4 4 5" xfId="32168" xr:uid="{00000000-0005-0000-0000-000098430000}"/>
    <cellStyle name="40% - Accent2 4 4 5" xfId="4135" xr:uid="{00000000-0005-0000-0000-000099430000}"/>
    <cellStyle name="40% - Accent2 4 4 5 2" xfId="11407" xr:uid="{00000000-0005-0000-0000-00009A430000}"/>
    <cellStyle name="40% - Accent2 4 4 5 2 2" xfId="25941" xr:uid="{00000000-0005-0000-0000-00009B430000}"/>
    <cellStyle name="40% - Accent2 4 4 5 2 2 2" xfId="54947" xr:uid="{00000000-0005-0000-0000-00009C430000}"/>
    <cellStyle name="40% - Accent2 4 4 5 2 3" xfId="40448" xr:uid="{00000000-0005-0000-0000-00009D430000}"/>
    <cellStyle name="40% - Accent2 4 4 5 3" xfId="18693" xr:uid="{00000000-0005-0000-0000-00009E430000}"/>
    <cellStyle name="40% - Accent2 4 4 5 3 2" xfId="47699" xr:uid="{00000000-0005-0000-0000-00009F430000}"/>
    <cellStyle name="40% - Accent2 4 4 5 4" xfId="33200" xr:uid="{00000000-0005-0000-0000-0000A0430000}"/>
    <cellStyle name="40% - Accent2 4 4 6" xfId="7239" xr:uid="{00000000-0005-0000-0000-0000A1430000}"/>
    <cellStyle name="40% - Accent2 4 4 6 2" xfId="14511" xr:uid="{00000000-0005-0000-0000-0000A2430000}"/>
    <cellStyle name="40% - Accent2 4 4 6 2 2" xfId="29045" xr:uid="{00000000-0005-0000-0000-0000A3430000}"/>
    <cellStyle name="40% - Accent2 4 4 6 2 2 2" xfId="58051" xr:uid="{00000000-0005-0000-0000-0000A4430000}"/>
    <cellStyle name="40% - Accent2 4 4 6 2 3" xfId="43552" xr:uid="{00000000-0005-0000-0000-0000A5430000}"/>
    <cellStyle name="40% - Accent2 4 4 6 3" xfId="21797" xr:uid="{00000000-0005-0000-0000-0000A6430000}"/>
    <cellStyle name="40% - Accent2 4 4 6 3 2" xfId="50803" xr:uid="{00000000-0005-0000-0000-0000A7430000}"/>
    <cellStyle name="40% - Accent2 4 4 6 4" xfId="36304" xr:uid="{00000000-0005-0000-0000-0000A8430000}"/>
    <cellStyle name="40% - Accent2 4 4 7" xfId="8303" xr:uid="{00000000-0005-0000-0000-0000A9430000}"/>
    <cellStyle name="40% - Accent2 4 4 7 2" xfId="22837" xr:uid="{00000000-0005-0000-0000-0000AA430000}"/>
    <cellStyle name="40% - Accent2 4 4 7 2 2" xfId="51843" xr:uid="{00000000-0005-0000-0000-0000AB430000}"/>
    <cellStyle name="40% - Accent2 4 4 7 3" xfId="37344" xr:uid="{00000000-0005-0000-0000-0000AC430000}"/>
    <cellStyle name="40% - Accent2 4 4 8" xfId="15589" xr:uid="{00000000-0005-0000-0000-0000AD430000}"/>
    <cellStyle name="40% - Accent2 4 4 8 2" xfId="44595" xr:uid="{00000000-0005-0000-0000-0000AE430000}"/>
    <cellStyle name="40% - Accent2 4 4 9" xfId="30096" xr:uid="{00000000-0005-0000-0000-0000AF430000}"/>
    <cellStyle name="40% - Accent2 4 5" xfId="1320" xr:uid="{00000000-0005-0000-0000-0000B0430000}"/>
    <cellStyle name="40% - Accent2 4 5 2" xfId="2377" xr:uid="{00000000-0005-0000-0000-0000B1430000}"/>
    <cellStyle name="40% - Accent2 4 5 2 2" xfId="5481" xr:uid="{00000000-0005-0000-0000-0000B2430000}"/>
    <cellStyle name="40% - Accent2 4 5 2 2 2" xfId="12753" xr:uid="{00000000-0005-0000-0000-0000B3430000}"/>
    <cellStyle name="40% - Accent2 4 5 2 2 2 2" xfId="27287" xr:uid="{00000000-0005-0000-0000-0000B4430000}"/>
    <cellStyle name="40% - Accent2 4 5 2 2 2 2 2" xfId="56293" xr:uid="{00000000-0005-0000-0000-0000B5430000}"/>
    <cellStyle name="40% - Accent2 4 5 2 2 2 3" xfId="41794" xr:uid="{00000000-0005-0000-0000-0000B6430000}"/>
    <cellStyle name="40% - Accent2 4 5 2 2 3" xfId="20039" xr:uid="{00000000-0005-0000-0000-0000B7430000}"/>
    <cellStyle name="40% - Accent2 4 5 2 2 3 2" xfId="49045" xr:uid="{00000000-0005-0000-0000-0000B8430000}"/>
    <cellStyle name="40% - Accent2 4 5 2 2 4" xfId="34546" xr:uid="{00000000-0005-0000-0000-0000B9430000}"/>
    <cellStyle name="40% - Accent2 4 5 2 3" xfId="9649" xr:uid="{00000000-0005-0000-0000-0000BA430000}"/>
    <cellStyle name="40% - Accent2 4 5 2 3 2" xfId="24183" xr:uid="{00000000-0005-0000-0000-0000BB430000}"/>
    <cellStyle name="40% - Accent2 4 5 2 3 2 2" xfId="53189" xr:uid="{00000000-0005-0000-0000-0000BC430000}"/>
    <cellStyle name="40% - Accent2 4 5 2 3 3" xfId="38690" xr:uid="{00000000-0005-0000-0000-0000BD430000}"/>
    <cellStyle name="40% - Accent2 4 5 2 4" xfId="16935" xr:uid="{00000000-0005-0000-0000-0000BE430000}"/>
    <cellStyle name="40% - Accent2 4 5 2 4 2" xfId="45941" xr:uid="{00000000-0005-0000-0000-0000BF430000}"/>
    <cellStyle name="40% - Accent2 4 5 2 5" xfId="31442" xr:uid="{00000000-0005-0000-0000-0000C0430000}"/>
    <cellStyle name="40% - Accent2 4 5 3" xfId="3409" xr:uid="{00000000-0005-0000-0000-0000C1430000}"/>
    <cellStyle name="40% - Accent2 4 5 3 2" xfId="6513" xr:uid="{00000000-0005-0000-0000-0000C2430000}"/>
    <cellStyle name="40% - Accent2 4 5 3 2 2" xfId="13785" xr:uid="{00000000-0005-0000-0000-0000C3430000}"/>
    <cellStyle name="40% - Accent2 4 5 3 2 2 2" xfId="28319" xr:uid="{00000000-0005-0000-0000-0000C4430000}"/>
    <cellStyle name="40% - Accent2 4 5 3 2 2 2 2" xfId="57325" xr:uid="{00000000-0005-0000-0000-0000C5430000}"/>
    <cellStyle name="40% - Accent2 4 5 3 2 2 3" xfId="42826" xr:uid="{00000000-0005-0000-0000-0000C6430000}"/>
    <cellStyle name="40% - Accent2 4 5 3 2 3" xfId="21071" xr:uid="{00000000-0005-0000-0000-0000C7430000}"/>
    <cellStyle name="40% - Accent2 4 5 3 2 3 2" xfId="50077" xr:uid="{00000000-0005-0000-0000-0000C8430000}"/>
    <cellStyle name="40% - Accent2 4 5 3 2 4" xfId="35578" xr:uid="{00000000-0005-0000-0000-0000C9430000}"/>
    <cellStyle name="40% - Accent2 4 5 3 3" xfId="10681" xr:uid="{00000000-0005-0000-0000-0000CA430000}"/>
    <cellStyle name="40% - Accent2 4 5 3 3 2" xfId="25215" xr:uid="{00000000-0005-0000-0000-0000CB430000}"/>
    <cellStyle name="40% - Accent2 4 5 3 3 2 2" xfId="54221" xr:uid="{00000000-0005-0000-0000-0000CC430000}"/>
    <cellStyle name="40% - Accent2 4 5 3 3 3" xfId="39722" xr:uid="{00000000-0005-0000-0000-0000CD430000}"/>
    <cellStyle name="40% - Accent2 4 5 3 4" xfId="17967" xr:uid="{00000000-0005-0000-0000-0000CE430000}"/>
    <cellStyle name="40% - Accent2 4 5 3 4 2" xfId="46973" xr:uid="{00000000-0005-0000-0000-0000CF430000}"/>
    <cellStyle name="40% - Accent2 4 5 3 5" xfId="32474" xr:uid="{00000000-0005-0000-0000-0000D0430000}"/>
    <cellStyle name="40% - Accent2 4 5 4" xfId="4441" xr:uid="{00000000-0005-0000-0000-0000D1430000}"/>
    <cellStyle name="40% - Accent2 4 5 4 2" xfId="11713" xr:uid="{00000000-0005-0000-0000-0000D2430000}"/>
    <cellStyle name="40% - Accent2 4 5 4 2 2" xfId="26247" xr:uid="{00000000-0005-0000-0000-0000D3430000}"/>
    <cellStyle name="40% - Accent2 4 5 4 2 2 2" xfId="55253" xr:uid="{00000000-0005-0000-0000-0000D4430000}"/>
    <cellStyle name="40% - Accent2 4 5 4 2 3" xfId="40754" xr:uid="{00000000-0005-0000-0000-0000D5430000}"/>
    <cellStyle name="40% - Accent2 4 5 4 3" xfId="18999" xr:uid="{00000000-0005-0000-0000-0000D6430000}"/>
    <cellStyle name="40% - Accent2 4 5 4 3 2" xfId="48005" xr:uid="{00000000-0005-0000-0000-0000D7430000}"/>
    <cellStyle name="40% - Accent2 4 5 4 4" xfId="33506" xr:uid="{00000000-0005-0000-0000-0000D8430000}"/>
    <cellStyle name="40% - Accent2 4 5 5" xfId="7545" xr:uid="{00000000-0005-0000-0000-0000D9430000}"/>
    <cellStyle name="40% - Accent2 4 5 5 2" xfId="14817" xr:uid="{00000000-0005-0000-0000-0000DA430000}"/>
    <cellStyle name="40% - Accent2 4 5 5 2 2" xfId="29351" xr:uid="{00000000-0005-0000-0000-0000DB430000}"/>
    <cellStyle name="40% - Accent2 4 5 5 2 2 2" xfId="58357" xr:uid="{00000000-0005-0000-0000-0000DC430000}"/>
    <cellStyle name="40% - Accent2 4 5 5 2 3" xfId="43858" xr:uid="{00000000-0005-0000-0000-0000DD430000}"/>
    <cellStyle name="40% - Accent2 4 5 5 3" xfId="22103" xr:uid="{00000000-0005-0000-0000-0000DE430000}"/>
    <cellStyle name="40% - Accent2 4 5 5 3 2" xfId="51109" xr:uid="{00000000-0005-0000-0000-0000DF430000}"/>
    <cellStyle name="40% - Accent2 4 5 5 4" xfId="36610" xr:uid="{00000000-0005-0000-0000-0000E0430000}"/>
    <cellStyle name="40% - Accent2 4 5 6" xfId="8609" xr:uid="{00000000-0005-0000-0000-0000E1430000}"/>
    <cellStyle name="40% - Accent2 4 5 6 2" xfId="23143" xr:uid="{00000000-0005-0000-0000-0000E2430000}"/>
    <cellStyle name="40% - Accent2 4 5 6 2 2" xfId="52149" xr:uid="{00000000-0005-0000-0000-0000E3430000}"/>
    <cellStyle name="40% - Accent2 4 5 6 3" xfId="37650" xr:uid="{00000000-0005-0000-0000-0000E4430000}"/>
    <cellStyle name="40% - Accent2 4 5 7" xfId="15895" xr:uid="{00000000-0005-0000-0000-0000E5430000}"/>
    <cellStyle name="40% - Accent2 4 5 7 2" xfId="44901" xr:uid="{00000000-0005-0000-0000-0000E6430000}"/>
    <cellStyle name="40% - Accent2 4 5 8" xfId="30402" xr:uid="{00000000-0005-0000-0000-0000E7430000}"/>
    <cellStyle name="40% - Accent2 4 6" xfId="1865" xr:uid="{00000000-0005-0000-0000-0000E8430000}"/>
    <cellStyle name="40% - Accent2 4 6 2" xfId="4969" xr:uid="{00000000-0005-0000-0000-0000E9430000}"/>
    <cellStyle name="40% - Accent2 4 6 2 2" xfId="12241" xr:uid="{00000000-0005-0000-0000-0000EA430000}"/>
    <cellStyle name="40% - Accent2 4 6 2 2 2" xfId="26775" xr:uid="{00000000-0005-0000-0000-0000EB430000}"/>
    <cellStyle name="40% - Accent2 4 6 2 2 2 2" xfId="55781" xr:uid="{00000000-0005-0000-0000-0000EC430000}"/>
    <cellStyle name="40% - Accent2 4 6 2 2 3" xfId="41282" xr:uid="{00000000-0005-0000-0000-0000ED430000}"/>
    <cellStyle name="40% - Accent2 4 6 2 3" xfId="19527" xr:uid="{00000000-0005-0000-0000-0000EE430000}"/>
    <cellStyle name="40% - Accent2 4 6 2 3 2" xfId="48533" xr:uid="{00000000-0005-0000-0000-0000EF430000}"/>
    <cellStyle name="40% - Accent2 4 6 2 4" xfId="34034" xr:uid="{00000000-0005-0000-0000-0000F0430000}"/>
    <cellStyle name="40% - Accent2 4 6 3" xfId="9137" xr:uid="{00000000-0005-0000-0000-0000F1430000}"/>
    <cellStyle name="40% - Accent2 4 6 3 2" xfId="23671" xr:uid="{00000000-0005-0000-0000-0000F2430000}"/>
    <cellStyle name="40% - Accent2 4 6 3 2 2" xfId="52677" xr:uid="{00000000-0005-0000-0000-0000F3430000}"/>
    <cellStyle name="40% - Accent2 4 6 3 3" xfId="38178" xr:uid="{00000000-0005-0000-0000-0000F4430000}"/>
    <cellStyle name="40% - Accent2 4 6 4" xfId="16423" xr:uid="{00000000-0005-0000-0000-0000F5430000}"/>
    <cellStyle name="40% - Accent2 4 6 4 2" xfId="45429" xr:uid="{00000000-0005-0000-0000-0000F6430000}"/>
    <cellStyle name="40% - Accent2 4 6 5" xfId="30930" xr:uid="{00000000-0005-0000-0000-0000F7430000}"/>
    <cellStyle name="40% - Accent2 4 7" xfId="2897" xr:uid="{00000000-0005-0000-0000-0000F8430000}"/>
    <cellStyle name="40% - Accent2 4 7 2" xfId="6001" xr:uid="{00000000-0005-0000-0000-0000F9430000}"/>
    <cellStyle name="40% - Accent2 4 7 2 2" xfId="13273" xr:uid="{00000000-0005-0000-0000-0000FA430000}"/>
    <cellStyle name="40% - Accent2 4 7 2 2 2" xfId="27807" xr:uid="{00000000-0005-0000-0000-0000FB430000}"/>
    <cellStyle name="40% - Accent2 4 7 2 2 2 2" xfId="56813" xr:uid="{00000000-0005-0000-0000-0000FC430000}"/>
    <cellStyle name="40% - Accent2 4 7 2 2 3" xfId="42314" xr:uid="{00000000-0005-0000-0000-0000FD430000}"/>
    <cellStyle name="40% - Accent2 4 7 2 3" xfId="20559" xr:uid="{00000000-0005-0000-0000-0000FE430000}"/>
    <cellStyle name="40% - Accent2 4 7 2 3 2" xfId="49565" xr:uid="{00000000-0005-0000-0000-0000FF430000}"/>
    <cellStyle name="40% - Accent2 4 7 2 4" xfId="35066" xr:uid="{00000000-0005-0000-0000-000000440000}"/>
    <cellStyle name="40% - Accent2 4 7 3" xfId="10169" xr:uid="{00000000-0005-0000-0000-000001440000}"/>
    <cellStyle name="40% - Accent2 4 7 3 2" xfId="24703" xr:uid="{00000000-0005-0000-0000-000002440000}"/>
    <cellStyle name="40% - Accent2 4 7 3 2 2" xfId="53709" xr:uid="{00000000-0005-0000-0000-000003440000}"/>
    <cellStyle name="40% - Accent2 4 7 3 3" xfId="39210" xr:uid="{00000000-0005-0000-0000-000004440000}"/>
    <cellStyle name="40% - Accent2 4 7 4" xfId="17455" xr:uid="{00000000-0005-0000-0000-000005440000}"/>
    <cellStyle name="40% - Accent2 4 7 4 2" xfId="46461" xr:uid="{00000000-0005-0000-0000-000006440000}"/>
    <cellStyle name="40% - Accent2 4 7 5" xfId="31962" xr:uid="{00000000-0005-0000-0000-000007440000}"/>
    <cellStyle name="40% - Accent2 4 8" xfId="3929" xr:uid="{00000000-0005-0000-0000-000008440000}"/>
    <cellStyle name="40% - Accent2 4 8 2" xfId="11201" xr:uid="{00000000-0005-0000-0000-000009440000}"/>
    <cellStyle name="40% - Accent2 4 8 2 2" xfId="25735" xr:uid="{00000000-0005-0000-0000-00000A440000}"/>
    <cellStyle name="40% - Accent2 4 8 2 2 2" xfId="54741" xr:uid="{00000000-0005-0000-0000-00000B440000}"/>
    <cellStyle name="40% - Accent2 4 8 2 3" xfId="40242" xr:uid="{00000000-0005-0000-0000-00000C440000}"/>
    <cellStyle name="40% - Accent2 4 8 3" xfId="18487" xr:uid="{00000000-0005-0000-0000-00000D440000}"/>
    <cellStyle name="40% - Accent2 4 8 3 2" xfId="47493" xr:uid="{00000000-0005-0000-0000-00000E440000}"/>
    <cellStyle name="40% - Accent2 4 8 4" xfId="32994" xr:uid="{00000000-0005-0000-0000-00000F440000}"/>
    <cellStyle name="40% - Accent2 4 9" xfId="7033" xr:uid="{00000000-0005-0000-0000-000010440000}"/>
    <cellStyle name="40% - Accent2 4 9 2" xfId="14305" xr:uid="{00000000-0005-0000-0000-000011440000}"/>
    <cellStyle name="40% - Accent2 4 9 2 2" xfId="28839" xr:uid="{00000000-0005-0000-0000-000012440000}"/>
    <cellStyle name="40% - Accent2 4 9 2 2 2" xfId="57845" xr:uid="{00000000-0005-0000-0000-000013440000}"/>
    <cellStyle name="40% - Accent2 4 9 2 3" xfId="43346" xr:uid="{00000000-0005-0000-0000-000014440000}"/>
    <cellStyle name="40% - Accent2 4 9 3" xfId="21591" xr:uid="{00000000-0005-0000-0000-000015440000}"/>
    <cellStyle name="40% - Accent2 4 9 3 2" xfId="50597" xr:uid="{00000000-0005-0000-0000-000016440000}"/>
    <cellStyle name="40% - Accent2 4 9 4" xfId="36098" xr:uid="{00000000-0005-0000-0000-000017440000}"/>
    <cellStyle name="40% - Accent2 5" xfId="906" xr:uid="{00000000-0005-0000-0000-000018440000}"/>
    <cellStyle name="40% - Accent2 5 10" xfId="29941" xr:uid="{00000000-0005-0000-0000-000019440000}"/>
    <cellStyle name="40% - Accent2 5 2" xfId="1174" xr:uid="{00000000-0005-0000-0000-00001A440000}"/>
    <cellStyle name="40% - Accent2 5 2 2" xfId="1675" xr:uid="{00000000-0005-0000-0000-00001B440000}"/>
    <cellStyle name="40% - Accent2 5 2 2 2" xfId="2734" xr:uid="{00000000-0005-0000-0000-00001C440000}"/>
    <cellStyle name="40% - Accent2 5 2 2 2 2" xfId="5838" xr:uid="{00000000-0005-0000-0000-00001D440000}"/>
    <cellStyle name="40% - Accent2 5 2 2 2 2 2" xfId="13110" xr:uid="{00000000-0005-0000-0000-00001E440000}"/>
    <cellStyle name="40% - Accent2 5 2 2 2 2 2 2" xfId="27644" xr:uid="{00000000-0005-0000-0000-00001F440000}"/>
    <cellStyle name="40% - Accent2 5 2 2 2 2 2 2 2" xfId="56650" xr:uid="{00000000-0005-0000-0000-000020440000}"/>
    <cellStyle name="40% - Accent2 5 2 2 2 2 2 3" xfId="42151" xr:uid="{00000000-0005-0000-0000-000021440000}"/>
    <cellStyle name="40% - Accent2 5 2 2 2 2 3" xfId="20396" xr:uid="{00000000-0005-0000-0000-000022440000}"/>
    <cellStyle name="40% - Accent2 5 2 2 2 2 3 2" xfId="49402" xr:uid="{00000000-0005-0000-0000-000023440000}"/>
    <cellStyle name="40% - Accent2 5 2 2 2 2 4" xfId="34903" xr:uid="{00000000-0005-0000-0000-000024440000}"/>
    <cellStyle name="40% - Accent2 5 2 2 2 3" xfId="10006" xr:uid="{00000000-0005-0000-0000-000025440000}"/>
    <cellStyle name="40% - Accent2 5 2 2 2 3 2" xfId="24540" xr:uid="{00000000-0005-0000-0000-000026440000}"/>
    <cellStyle name="40% - Accent2 5 2 2 2 3 2 2" xfId="53546" xr:uid="{00000000-0005-0000-0000-000027440000}"/>
    <cellStyle name="40% - Accent2 5 2 2 2 3 3" xfId="39047" xr:uid="{00000000-0005-0000-0000-000028440000}"/>
    <cellStyle name="40% - Accent2 5 2 2 2 4" xfId="17292" xr:uid="{00000000-0005-0000-0000-000029440000}"/>
    <cellStyle name="40% - Accent2 5 2 2 2 4 2" xfId="46298" xr:uid="{00000000-0005-0000-0000-00002A440000}"/>
    <cellStyle name="40% - Accent2 5 2 2 2 5" xfId="31799" xr:uid="{00000000-0005-0000-0000-00002B440000}"/>
    <cellStyle name="40% - Accent2 5 2 2 3" xfId="3766" xr:uid="{00000000-0005-0000-0000-00002C440000}"/>
    <cellStyle name="40% - Accent2 5 2 2 3 2" xfId="6870" xr:uid="{00000000-0005-0000-0000-00002D440000}"/>
    <cellStyle name="40% - Accent2 5 2 2 3 2 2" xfId="14142" xr:uid="{00000000-0005-0000-0000-00002E440000}"/>
    <cellStyle name="40% - Accent2 5 2 2 3 2 2 2" xfId="28676" xr:uid="{00000000-0005-0000-0000-00002F440000}"/>
    <cellStyle name="40% - Accent2 5 2 2 3 2 2 2 2" xfId="57682" xr:uid="{00000000-0005-0000-0000-000030440000}"/>
    <cellStyle name="40% - Accent2 5 2 2 3 2 2 3" xfId="43183" xr:uid="{00000000-0005-0000-0000-000031440000}"/>
    <cellStyle name="40% - Accent2 5 2 2 3 2 3" xfId="21428" xr:uid="{00000000-0005-0000-0000-000032440000}"/>
    <cellStyle name="40% - Accent2 5 2 2 3 2 3 2" xfId="50434" xr:uid="{00000000-0005-0000-0000-000033440000}"/>
    <cellStyle name="40% - Accent2 5 2 2 3 2 4" xfId="35935" xr:uid="{00000000-0005-0000-0000-000034440000}"/>
    <cellStyle name="40% - Accent2 5 2 2 3 3" xfId="11038" xr:uid="{00000000-0005-0000-0000-000035440000}"/>
    <cellStyle name="40% - Accent2 5 2 2 3 3 2" xfId="25572" xr:uid="{00000000-0005-0000-0000-000036440000}"/>
    <cellStyle name="40% - Accent2 5 2 2 3 3 2 2" xfId="54578" xr:uid="{00000000-0005-0000-0000-000037440000}"/>
    <cellStyle name="40% - Accent2 5 2 2 3 3 3" xfId="40079" xr:uid="{00000000-0005-0000-0000-000038440000}"/>
    <cellStyle name="40% - Accent2 5 2 2 3 4" xfId="18324" xr:uid="{00000000-0005-0000-0000-000039440000}"/>
    <cellStyle name="40% - Accent2 5 2 2 3 4 2" xfId="47330" xr:uid="{00000000-0005-0000-0000-00003A440000}"/>
    <cellStyle name="40% - Accent2 5 2 2 3 5" xfId="32831" xr:uid="{00000000-0005-0000-0000-00003B440000}"/>
    <cellStyle name="40% - Accent2 5 2 2 4" xfId="4798" xr:uid="{00000000-0005-0000-0000-00003C440000}"/>
    <cellStyle name="40% - Accent2 5 2 2 4 2" xfId="12070" xr:uid="{00000000-0005-0000-0000-00003D440000}"/>
    <cellStyle name="40% - Accent2 5 2 2 4 2 2" xfId="26604" xr:uid="{00000000-0005-0000-0000-00003E440000}"/>
    <cellStyle name="40% - Accent2 5 2 2 4 2 2 2" xfId="55610" xr:uid="{00000000-0005-0000-0000-00003F440000}"/>
    <cellStyle name="40% - Accent2 5 2 2 4 2 3" xfId="41111" xr:uid="{00000000-0005-0000-0000-000040440000}"/>
    <cellStyle name="40% - Accent2 5 2 2 4 3" xfId="19356" xr:uid="{00000000-0005-0000-0000-000041440000}"/>
    <cellStyle name="40% - Accent2 5 2 2 4 3 2" xfId="48362" xr:uid="{00000000-0005-0000-0000-000042440000}"/>
    <cellStyle name="40% - Accent2 5 2 2 4 4" xfId="33863" xr:uid="{00000000-0005-0000-0000-000043440000}"/>
    <cellStyle name="40% - Accent2 5 2 2 5" xfId="7902" xr:uid="{00000000-0005-0000-0000-000044440000}"/>
    <cellStyle name="40% - Accent2 5 2 2 5 2" xfId="15174" xr:uid="{00000000-0005-0000-0000-000045440000}"/>
    <cellStyle name="40% - Accent2 5 2 2 5 2 2" xfId="29708" xr:uid="{00000000-0005-0000-0000-000046440000}"/>
    <cellStyle name="40% - Accent2 5 2 2 5 2 2 2" xfId="58714" xr:uid="{00000000-0005-0000-0000-000047440000}"/>
    <cellStyle name="40% - Accent2 5 2 2 5 2 3" xfId="44215" xr:uid="{00000000-0005-0000-0000-000048440000}"/>
    <cellStyle name="40% - Accent2 5 2 2 5 3" xfId="22460" xr:uid="{00000000-0005-0000-0000-000049440000}"/>
    <cellStyle name="40% - Accent2 5 2 2 5 3 2" xfId="51466" xr:uid="{00000000-0005-0000-0000-00004A440000}"/>
    <cellStyle name="40% - Accent2 5 2 2 5 4" xfId="36967" xr:uid="{00000000-0005-0000-0000-00004B440000}"/>
    <cellStyle name="40% - Accent2 5 2 2 6" xfId="8966" xr:uid="{00000000-0005-0000-0000-00004C440000}"/>
    <cellStyle name="40% - Accent2 5 2 2 6 2" xfId="23500" xr:uid="{00000000-0005-0000-0000-00004D440000}"/>
    <cellStyle name="40% - Accent2 5 2 2 6 2 2" xfId="52506" xr:uid="{00000000-0005-0000-0000-00004E440000}"/>
    <cellStyle name="40% - Accent2 5 2 2 6 3" xfId="38007" xr:uid="{00000000-0005-0000-0000-00004F440000}"/>
    <cellStyle name="40% - Accent2 5 2 2 7" xfId="16252" xr:uid="{00000000-0005-0000-0000-000050440000}"/>
    <cellStyle name="40% - Accent2 5 2 2 7 2" xfId="45258" xr:uid="{00000000-0005-0000-0000-000051440000}"/>
    <cellStyle name="40% - Accent2 5 2 2 8" xfId="30759" xr:uid="{00000000-0005-0000-0000-000052440000}"/>
    <cellStyle name="40% - Accent2 5 2 3" xfId="2222" xr:uid="{00000000-0005-0000-0000-000053440000}"/>
    <cellStyle name="40% - Accent2 5 2 3 2" xfId="5326" xr:uid="{00000000-0005-0000-0000-000054440000}"/>
    <cellStyle name="40% - Accent2 5 2 3 2 2" xfId="12598" xr:uid="{00000000-0005-0000-0000-000055440000}"/>
    <cellStyle name="40% - Accent2 5 2 3 2 2 2" xfId="27132" xr:uid="{00000000-0005-0000-0000-000056440000}"/>
    <cellStyle name="40% - Accent2 5 2 3 2 2 2 2" xfId="56138" xr:uid="{00000000-0005-0000-0000-000057440000}"/>
    <cellStyle name="40% - Accent2 5 2 3 2 2 3" xfId="41639" xr:uid="{00000000-0005-0000-0000-000058440000}"/>
    <cellStyle name="40% - Accent2 5 2 3 2 3" xfId="19884" xr:uid="{00000000-0005-0000-0000-000059440000}"/>
    <cellStyle name="40% - Accent2 5 2 3 2 3 2" xfId="48890" xr:uid="{00000000-0005-0000-0000-00005A440000}"/>
    <cellStyle name="40% - Accent2 5 2 3 2 4" xfId="34391" xr:uid="{00000000-0005-0000-0000-00005B440000}"/>
    <cellStyle name="40% - Accent2 5 2 3 3" xfId="9494" xr:uid="{00000000-0005-0000-0000-00005C440000}"/>
    <cellStyle name="40% - Accent2 5 2 3 3 2" xfId="24028" xr:uid="{00000000-0005-0000-0000-00005D440000}"/>
    <cellStyle name="40% - Accent2 5 2 3 3 2 2" xfId="53034" xr:uid="{00000000-0005-0000-0000-00005E440000}"/>
    <cellStyle name="40% - Accent2 5 2 3 3 3" xfId="38535" xr:uid="{00000000-0005-0000-0000-00005F440000}"/>
    <cellStyle name="40% - Accent2 5 2 3 4" xfId="16780" xr:uid="{00000000-0005-0000-0000-000060440000}"/>
    <cellStyle name="40% - Accent2 5 2 3 4 2" xfId="45786" xr:uid="{00000000-0005-0000-0000-000061440000}"/>
    <cellStyle name="40% - Accent2 5 2 3 5" xfId="31287" xr:uid="{00000000-0005-0000-0000-000062440000}"/>
    <cellStyle name="40% - Accent2 5 2 4" xfId="3254" xr:uid="{00000000-0005-0000-0000-000063440000}"/>
    <cellStyle name="40% - Accent2 5 2 4 2" xfId="6358" xr:uid="{00000000-0005-0000-0000-000064440000}"/>
    <cellStyle name="40% - Accent2 5 2 4 2 2" xfId="13630" xr:uid="{00000000-0005-0000-0000-000065440000}"/>
    <cellStyle name="40% - Accent2 5 2 4 2 2 2" xfId="28164" xr:uid="{00000000-0005-0000-0000-000066440000}"/>
    <cellStyle name="40% - Accent2 5 2 4 2 2 2 2" xfId="57170" xr:uid="{00000000-0005-0000-0000-000067440000}"/>
    <cellStyle name="40% - Accent2 5 2 4 2 2 3" xfId="42671" xr:uid="{00000000-0005-0000-0000-000068440000}"/>
    <cellStyle name="40% - Accent2 5 2 4 2 3" xfId="20916" xr:uid="{00000000-0005-0000-0000-000069440000}"/>
    <cellStyle name="40% - Accent2 5 2 4 2 3 2" xfId="49922" xr:uid="{00000000-0005-0000-0000-00006A440000}"/>
    <cellStyle name="40% - Accent2 5 2 4 2 4" xfId="35423" xr:uid="{00000000-0005-0000-0000-00006B440000}"/>
    <cellStyle name="40% - Accent2 5 2 4 3" xfId="10526" xr:uid="{00000000-0005-0000-0000-00006C440000}"/>
    <cellStyle name="40% - Accent2 5 2 4 3 2" xfId="25060" xr:uid="{00000000-0005-0000-0000-00006D440000}"/>
    <cellStyle name="40% - Accent2 5 2 4 3 2 2" xfId="54066" xr:uid="{00000000-0005-0000-0000-00006E440000}"/>
    <cellStyle name="40% - Accent2 5 2 4 3 3" xfId="39567" xr:uid="{00000000-0005-0000-0000-00006F440000}"/>
    <cellStyle name="40% - Accent2 5 2 4 4" xfId="17812" xr:uid="{00000000-0005-0000-0000-000070440000}"/>
    <cellStyle name="40% - Accent2 5 2 4 4 2" xfId="46818" xr:uid="{00000000-0005-0000-0000-000071440000}"/>
    <cellStyle name="40% - Accent2 5 2 4 5" xfId="32319" xr:uid="{00000000-0005-0000-0000-000072440000}"/>
    <cellStyle name="40% - Accent2 5 2 5" xfId="4286" xr:uid="{00000000-0005-0000-0000-000073440000}"/>
    <cellStyle name="40% - Accent2 5 2 5 2" xfId="11558" xr:uid="{00000000-0005-0000-0000-000074440000}"/>
    <cellStyle name="40% - Accent2 5 2 5 2 2" xfId="26092" xr:uid="{00000000-0005-0000-0000-000075440000}"/>
    <cellStyle name="40% - Accent2 5 2 5 2 2 2" xfId="55098" xr:uid="{00000000-0005-0000-0000-000076440000}"/>
    <cellStyle name="40% - Accent2 5 2 5 2 3" xfId="40599" xr:uid="{00000000-0005-0000-0000-000077440000}"/>
    <cellStyle name="40% - Accent2 5 2 5 3" xfId="18844" xr:uid="{00000000-0005-0000-0000-000078440000}"/>
    <cellStyle name="40% - Accent2 5 2 5 3 2" xfId="47850" xr:uid="{00000000-0005-0000-0000-000079440000}"/>
    <cellStyle name="40% - Accent2 5 2 5 4" xfId="33351" xr:uid="{00000000-0005-0000-0000-00007A440000}"/>
    <cellStyle name="40% - Accent2 5 2 6" xfId="7390" xr:uid="{00000000-0005-0000-0000-00007B440000}"/>
    <cellStyle name="40% - Accent2 5 2 6 2" xfId="14662" xr:uid="{00000000-0005-0000-0000-00007C440000}"/>
    <cellStyle name="40% - Accent2 5 2 6 2 2" xfId="29196" xr:uid="{00000000-0005-0000-0000-00007D440000}"/>
    <cellStyle name="40% - Accent2 5 2 6 2 2 2" xfId="58202" xr:uid="{00000000-0005-0000-0000-00007E440000}"/>
    <cellStyle name="40% - Accent2 5 2 6 2 3" xfId="43703" xr:uid="{00000000-0005-0000-0000-00007F440000}"/>
    <cellStyle name="40% - Accent2 5 2 6 3" xfId="21948" xr:uid="{00000000-0005-0000-0000-000080440000}"/>
    <cellStyle name="40% - Accent2 5 2 6 3 2" xfId="50954" xr:uid="{00000000-0005-0000-0000-000081440000}"/>
    <cellStyle name="40% - Accent2 5 2 6 4" xfId="36455" xr:uid="{00000000-0005-0000-0000-000082440000}"/>
    <cellStyle name="40% - Accent2 5 2 7" xfId="8454" xr:uid="{00000000-0005-0000-0000-000083440000}"/>
    <cellStyle name="40% - Accent2 5 2 7 2" xfId="22988" xr:uid="{00000000-0005-0000-0000-000084440000}"/>
    <cellStyle name="40% - Accent2 5 2 7 2 2" xfId="51994" xr:uid="{00000000-0005-0000-0000-000085440000}"/>
    <cellStyle name="40% - Accent2 5 2 7 3" xfId="37495" xr:uid="{00000000-0005-0000-0000-000086440000}"/>
    <cellStyle name="40% - Accent2 5 2 8" xfId="15740" xr:uid="{00000000-0005-0000-0000-000087440000}"/>
    <cellStyle name="40% - Accent2 5 2 8 2" xfId="44746" xr:uid="{00000000-0005-0000-0000-000088440000}"/>
    <cellStyle name="40% - Accent2 5 2 9" xfId="30247" xr:uid="{00000000-0005-0000-0000-000089440000}"/>
    <cellStyle name="40% - Accent2 5 3" xfId="1371" xr:uid="{00000000-0005-0000-0000-00008A440000}"/>
    <cellStyle name="40% - Accent2 5 3 2" xfId="2428" xr:uid="{00000000-0005-0000-0000-00008B440000}"/>
    <cellStyle name="40% - Accent2 5 3 2 2" xfId="5532" xr:uid="{00000000-0005-0000-0000-00008C440000}"/>
    <cellStyle name="40% - Accent2 5 3 2 2 2" xfId="12804" xr:uid="{00000000-0005-0000-0000-00008D440000}"/>
    <cellStyle name="40% - Accent2 5 3 2 2 2 2" xfId="27338" xr:uid="{00000000-0005-0000-0000-00008E440000}"/>
    <cellStyle name="40% - Accent2 5 3 2 2 2 2 2" xfId="56344" xr:uid="{00000000-0005-0000-0000-00008F440000}"/>
    <cellStyle name="40% - Accent2 5 3 2 2 2 3" xfId="41845" xr:uid="{00000000-0005-0000-0000-000090440000}"/>
    <cellStyle name="40% - Accent2 5 3 2 2 3" xfId="20090" xr:uid="{00000000-0005-0000-0000-000091440000}"/>
    <cellStyle name="40% - Accent2 5 3 2 2 3 2" xfId="49096" xr:uid="{00000000-0005-0000-0000-000092440000}"/>
    <cellStyle name="40% - Accent2 5 3 2 2 4" xfId="34597" xr:uid="{00000000-0005-0000-0000-000093440000}"/>
    <cellStyle name="40% - Accent2 5 3 2 3" xfId="9700" xr:uid="{00000000-0005-0000-0000-000094440000}"/>
    <cellStyle name="40% - Accent2 5 3 2 3 2" xfId="24234" xr:uid="{00000000-0005-0000-0000-000095440000}"/>
    <cellStyle name="40% - Accent2 5 3 2 3 2 2" xfId="53240" xr:uid="{00000000-0005-0000-0000-000096440000}"/>
    <cellStyle name="40% - Accent2 5 3 2 3 3" xfId="38741" xr:uid="{00000000-0005-0000-0000-000097440000}"/>
    <cellStyle name="40% - Accent2 5 3 2 4" xfId="16986" xr:uid="{00000000-0005-0000-0000-000098440000}"/>
    <cellStyle name="40% - Accent2 5 3 2 4 2" xfId="45992" xr:uid="{00000000-0005-0000-0000-000099440000}"/>
    <cellStyle name="40% - Accent2 5 3 2 5" xfId="31493" xr:uid="{00000000-0005-0000-0000-00009A440000}"/>
    <cellStyle name="40% - Accent2 5 3 3" xfId="3460" xr:uid="{00000000-0005-0000-0000-00009B440000}"/>
    <cellStyle name="40% - Accent2 5 3 3 2" xfId="6564" xr:uid="{00000000-0005-0000-0000-00009C440000}"/>
    <cellStyle name="40% - Accent2 5 3 3 2 2" xfId="13836" xr:uid="{00000000-0005-0000-0000-00009D440000}"/>
    <cellStyle name="40% - Accent2 5 3 3 2 2 2" xfId="28370" xr:uid="{00000000-0005-0000-0000-00009E440000}"/>
    <cellStyle name="40% - Accent2 5 3 3 2 2 2 2" xfId="57376" xr:uid="{00000000-0005-0000-0000-00009F440000}"/>
    <cellStyle name="40% - Accent2 5 3 3 2 2 3" xfId="42877" xr:uid="{00000000-0005-0000-0000-0000A0440000}"/>
    <cellStyle name="40% - Accent2 5 3 3 2 3" xfId="21122" xr:uid="{00000000-0005-0000-0000-0000A1440000}"/>
    <cellStyle name="40% - Accent2 5 3 3 2 3 2" xfId="50128" xr:uid="{00000000-0005-0000-0000-0000A2440000}"/>
    <cellStyle name="40% - Accent2 5 3 3 2 4" xfId="35629" xr:uid="{00000000-0005-0000-0000-0000A3440000}"/>
    <cellStyle name="40% - Accent2 5 3 3 3" xfId="10732" xr:uid="{00000000-0005-0000-0000-0000A4440000}"/>
    <cellStyle name="40% - Accent2 5 3 3 3 2" xfId="25266" xr:uid="{00000000-0005-0000-0000-0000A5440000}"/>
    <cellStyle name="40% - Accent2 5 3 3 3 2 2" xfId="54272" xr:uid="{00000000-0005-0000-0000-0000A6440000}"/>
    <cellStyle name="40% - Accent2 5 3 3 3 3" xfId="39773" xr:uid="{00000000-0005-0000-0000-0000A7440000}"/>
    <cellStyle name="40% - Accent2 5 3 3 4" xfId="18018" xr:uid="{00000000-0005-0000-0000-0000A8440000}"/>
    <cellStyle name="40% - Accent2 5 3 3 4 2" xfId="47024" xr:uid="{00000000-0005-0000-0000-0000A9440000}"/>
    <cellStyle name="40% - Accent2 5 3 3 5" xfId="32525" xr:uid="{00000000-0005-0000-0000-0000AA440000}"/>
    <cellStyle name="40% - Accent2 5 3 4" xfId="4492" xr:uid="{00000000-0005-0000-0000-0000AB440000}"/>
    <cellStyle name="40% - Accent2 5 3 4 2" xfId="11764" xr:uid="{00000000-0005-0000-0000-0000AC440000}"/>
    <cellStyle name="40% - Accent2 5 3 4 2 2" xfId="26298" xr:uid="{00000000-0005-0000-0000-0000AD440000}"/>
    <cellStyle name="40% - Accent2 5 3 4 2 2 2" xfId="55304" xr:uid="{00000000-0005-0000-0000-0000AE440000}"/>
    <cellStyle name="40% - Accent2 5 3 4 2 3" xfId="40805" xr:uid="{00000000-0005-0000-0000-0000AF440000}"/>
    <cellStyle name="40% - Accent2 5 3 4 3" xfId="19050" xr:uid="{00000000-0005-0000-0000-0000B0440000}"/>
    <cellStyle name="40% - Accent2 5 3 4 3 2" xfId="48056" xr:uid="{00000000-0005-0000-0000-0000B1440000}"/>
    <cellStyle name="40% - Accent2 5 3 4 4" xfId="33557" xr:uid="{00000000-0005-0000-0000-0000B2440000}"/>
    <cellStyle name="40% - Accent2 5 3 5" xfId="7596" xr:uid="{00000000-0005-0000-0000-0000B3440000}"/>
    <cellStyle name="40% - Accent2 5 3 5 2" xfId="14868" xr:uid="{00000000-0005-0000-0000-0000B4440000}"/>
    <cellStyle name="40% - Accent2 5 3 5 2 2" xfId="29402" xr:uid="{00000000-0005-0000-0000-0000B5440000}"/>
    <cellStyle name="40% - Accent2 5 3 5 2 2 2" xfId="58408" xr:uid="{00000000-0005-0000-0000-0000B6440000}"/>
    <cellStyle name="40% - Accent2 5 3 5 2 3" xfId="43909" xr:uid="{00000000-0005-0000-0000-0000B7440000}"/>
    <cellStyle name="40% - Accent2 5 3 5 3" xfId="22154" xr:uid="{00000000-0005-0000-0000-0000B8440000}"/>
    <cellStyle name="40% - Accent2 5 3 5 3 2" xfId="51160" xr:uid="{00000000-0005-0000-0000-0000B9440000}"/>
    <cellStyle name="40% - Accent2 5 3 5 4" xfId="36661" xr:uid="{00000000-0005-0000-0000-0000BA440000}"/>
    <cellStyle name="40% - Accent2 5 3 6" xfId="8660" xr:uid="{00000000-0005-0000-0000-0000BB440000}"/>
    <cellStyle name="40% - Accent2 5 3 6 2" xfId="23194" xr:uid="{00000000-0005-0000-0000-0000BC440000}"/>
    <cellStyle name="40% - Accent2 5 3 6 2 2" xfId="52200" xr:uid="{00000000-0005-0000-0000-0000BD440000}"/>
    <cellStyle name="40% - Accent2 5 3 6 3" xfId="37701" xr:uid="{00000000-0005-0000-0000-0000BE440000}"/>
    <cellStyle name="40% - Accent2 5 3 7" xfId="15946" xr:uid="{00000000-0005-0000-0000-0000BF440000}"/>
    <cellStyle name="40% - Accent2 5 3 7 2" xfId="44952" xr:uid="{00000000-0005-0000-0000-0000C0440000}"/>
    <cellStyle name="40% - Accent2 5 3 8" xfId="30453" xr:uid="{00000000-0005-0000-0000-0000C1440000}"/>
    <cellStyle name="40% - Accent2 5 4" xfId="1916" xr:uid="{00000000-0005-0000-0000-0000C2440000}"/>
    <cellStyle name="40% - Accent2 5 4 2" xfId="5020" xr:uid="{00000000-0005-0000-0000-0000C3440000}"/>
    <cellStyle name="40% - Accent2 5 4 2 2" xfId="12292" xr:uid="{00000000-0005-0000-0000-0000C4440000}"/>
    <cellStyle name="40% - Accent2 5 4 2 2 2" xfId="26826" xr:uid="{00000000-0005-0000-0000-0000C5440000}"/>
    <cellStyle name="40% - Accent2 5 4 2 2 2 2" xfId="55832" xr:uid="{00000000-0005-0000-0000-0000C6440000}"/>
    <cellStyle name="40% - Accent2 5 4 2 2 3" xfId="41333" xr:uid="{00000000-0005-0000-0000-0000C7440000}"/>
    <cellStyle name="40% - Accent2 5 4 2 3" xfId="19578" xr:uid="{00000000-0005-0000-0000-0000C8440000}"/>
    <cellStyle name="40% - Accent2 5 4 2 3 2" xfId="48584" xr:uid="{00000000-0005-0000-0000-0000C9440000}"/>
    <cellStyle name="40% - Accent2 5 4 2 4" xfId="34085" xr:uid="{00000000-0005-0000-0000-0000CA440000}"/>
    <cellStyle name="40% - Accent2 5 4 3" xfId="9188" xr:uid="{00000000-0005-0000-0000-0000CB440000}"/>
    <cellStyle name="40% - Accent2 5 4 3 2" xfId="23722" xr:uid="{00000000-0005-0000-0000-0000CC440000}"/>
    <cellStyle name="40% - Accent2 5 4 3 2 2" xfId="52728" xr:uid="{00000000-0005-0000-0000-0000CD440000}"/>
    <cellStyle name="40% - Accent2 5 4 3 3" xfId="38229" xr:uid="{00000000-0005-0000-0000-0000CE440000}"/>
    <cellStyle name="40% - Accent2 5 4 4" xfId="16474" xr:uid="{00000000-0005-0000-0000-0000CF440000}"/>
    <cellStyle name="40% - Accent2 5 4 4 2" xfId="45480" xr:uid="{00000000-0005-0000-0000-0000D0440000}"/>
    <cellStyle name="40% - Accent2 5 4 5" xfId="30981" xr:uid="{00000000-0005-0000-0000-0000D1440000}"/>
    <cellStyle name="40% - Accent2 5 5" xfId="2948" xr:uid="{00000000-0005-0000-0000-0000D2440000}"/>
    <cellStyle name="40% - Accent2 5 5 2" xfId="6052" xr:uid="{00000000-0005-0000-0000-0000D3440000}"/>
    <cellStyle name="40% - Accent2 5 5 2 2" xfId="13324" xr:uid="{00000000-0005-0000-0000-0000D4440000}"/>
    <cellStyle name="40% - Accent2 5 5 2 2 2" xfId="27858" xr:uid="{00000000-0005-0000-0000-0000D5440000}"/>
    <cellStyle name="40% - Accent2 5 5 2 2 2 2" xfId="56864" xr:uid="{00000000-0005-0000-0000-0000D6440000}"/>
    <cellStyle name="40% - Accent2 5 5 2 2 3" xfId="42365" xr:uid="{00000000-0005-0000-0000-0000D7440000}"/>
    <cellStyle name="40% - Accent2 5 5 2 3" xfId="20610" xr:uid="{00000000-0005-0000-0000-0000D8440000}"/>
    <cellStyle name="40% - Accent2 5 5 2 3 2" xfId="49616" xr:uid="{00000000-0005-0000-0000-0000D9440000}"/>
    <cellStyle name="40% - Accent2 5 5 2 4" xfId="35117" xr:uid="{00000000-0005-0000-0000-0000DA440000}"/>
    <cellStyle name="40% - Accent2 5 5 3" xfId="10220" xr:uid="{00000000-0005-0000-0000-0000DB440000}"/>
    <cellStyle name="40% - Accent2 5 5 3 2" xfId="24754" xr:uid="{00000000-0005-0000-0000-0000DC440000}"/>
    <cellStyle name="40% - Accent2 5 5 3 2 2" xfId="53760" xr:uid="{00000000-0005-0000-0000-0000DD440000}"/>
    <cellStyle name="40% - Accent2 5 5 3 3" xfId="39261" xr:uid="{00000000-0005-0000-0000-0000DE440000}"/>
    <cellStyle name="40% - Accent2 5 5 4" xfId="17506" xr:uid="{00000000-0005-0000-0000-0000DF440000}"/>
    <cellStyle name="40% - Accent2 5 5 4 2" xfId="46512" xr:uid="{00000000-0005-0000-0000-0000E0440000}"/>
    <cellStyle name="40% - Accent2 5 5 5" xfId="32013" xr:uid="{00000000-0005-0000-0000-0000E1440000}"/>
    <cellStyle name="40% - Accent2 5 6" xfId="3980" xr:uid="{00000000-0005-0000-0000-0000E2440000}"/>
    <cellStyle name="40% - Accent2 5 6 2" xfId="11252" xr:uid="{00000000-0005-0000-0000-0000E3440000}"/>
    <cellStyle name="40% - Accent2 5 6 2 2" xfId="25786" xr:uid="{00000000-0005-0000-0000-0000E4440000}"/>
    <cellStyle name="40% - Accent2 5 6 2 2 2" xfId="54792" xr:uid="{00000000-0005-0000-0000-0000E5440000}"/>
    <cellStyle name="40% - Accent2 5 6 2 3" xfId="40293" xr:uid="{00000000-0005-0000-0000-0000E6440000}"/>
    <cellStyle name="40% - Accent2 5 6 3" xfId="18538" xr:uid="{00000000-0005-0000-0000-0000E7440000}"/>
    <cellStyle name="40% - Accent2 5 6 3 2" xfId="47544" xr:uid="{00000000-0005-0000-0000-0000E8440000}"/>
    <cellStyle name="40% - Accent2 5 6 4" xfId="33045" xr:uid="{00000000-0005-0000-0000-0000E9440000}"/>
    <cellStyle name="40% - Accent2 5 7" xfId="7084" xr:uid="{00000000-0005-0000-0000-0000EA440000}"/>
    <cellStyle name="40% - Accent2 5 7 2" xfId="14356" xr:uid="{00000000-0005-0000-0000-0000EB440000}"/>
    <cellStyle name="40% - Accent2 5 7 2 2" xfId="28890" xr:uid="{00000000-0005-0000-0000-0000EC440000}"/>
    <cellStyle name="40% - Accent2 5 7 2 2 2" xfId="57896" xr:uid="{00000000-0005-0000-0000-0000ED440000}"/>
    <cellStyle name="40% - Accent2 5 7 2 3" xfId="43397" xr:uid="{00000000-0005-0000-0000-0000EE440000}"/>
    <cellStyle name="40% - Accent2 5 7 3" xfId="21642" xr:uid="{00000000-0005-0000-0000-0000EF440000}"/>
    <cellStyle name="40% - Accent2 5 7 3 2" xfId="50648" xr:uid="{00000000-0005-0000-0000-0000F0440000}"/>
    <cellStyle name="40% - Accent2 5 7 4" xfId="36149" xr:uid="{00000000-0005-0000-0000-0000F1440000}"/>
    <cellStyle name="40% - Accent2 5 8" xfId="8148" xr:uid="{00000000-0005-0000-0000-0000F2440000}"/>
    <cellStyle name="40% - Accent2 5 8 2" xfId="22682" xr:uid="{00000000-0005-0000-0000-0000F3440000}"/>
    <cellStyle name="40% - Accent2 5 8 2 2" xfId="51688" xr:uid="{00000000-0005-0000-0000-0000F4440000}"/>
    <cellStyle name="40% - Accent2 5 8 3" xfId="37189" xr:uid="{00000000-0005-0000-0000-0000F5440000}"/>
    <cellStyle name="40% - Accent2 5 9" xfId="15434" xr:uid="{00000000-0005-0000-0000-0000F6440000}"/>
    <cellStyle name="40% - Accent2 5 9 2" xfId="44440" xr:uid="{00000000-0005-0000-0000-0000F7440000}"/>
    <cellStyle name="40% - Accent2 6" xfId="1080" xr:uid="{00000000-0005-0000-0000-0000F8440000}"/>
    <cellStyle name="40% - Accent2 6 2" xfId="1572" xr:uid="{00000000-0005-0000-0000-0000F9440000}"/>
    <cellStyle name="40% - Accent2 6 2 2" xfId="2631" xr:uid="{00000000-0005-0000-0000-0000FA440000}"/>
    <cellStyle name="40% - Accent2 6 2 2 2" xfId="5735" xr:uid="{00000000-0005-0000-0000-0000FB440000}"/>
    <cellStyle name="40% - Accent2 6 2 2 2 2" xfId="13007" xr:uid="{00000000-0005-0000-0000-0000FC440000}"/>
    <cellStyle name="40% - Accent2 6 2 2 2 2 2" xfId="27541" xr:uid="{00000000-0005-0000-0000-0000FD440000}"/>
    <cellStyle name="40% - Accent2 6 2 2 2 2 2 2" xfId="56547" xr:uid="{00000000-0005-0000-0000-0000FE440000}"/>
    <cellStyle name="40% - Accent2 6 2 2 2 2 3" xfId="42048" xr:uid="{00000000-0005-0000-0000-0000FF440000}"/>
    <cellStyle name="40% - Accent2 6 2 2 2 3" xfId="20293" xr:uid="{00000000-0005-0000-0000-000000450000}"/>
    <cellStyle name="40% - Accent2 6 2 2 2 3 2" xfId="49299" xr:uid="{00000000-0005-0000-0000-000001450000}"/>
    <cellStyle name="40% - Accent2 6 2 2 2 4" xfId="34800" xr:uid="{00000000-0005-0000-0000-000002450000}"/>
    <cellStyle name="40% - Accent2 6 2 2 3" xfId="9903" xr:uid="{00000000-0005-0000-0000-000003450000}"/>
    <cellStyle name="40% - Accent2 6 2 2 3 2" xfId="24437" xr:uid="{00000000-0005-0000-0000-000004450000}"/>
    <cellStyle name="40% - Accent2 6 2 2 3 2 2" xfId="53443" xr:uid="{00000000-0005-0000-0000-000005450000}"/>
    <cellStyle name="40% - Accent2 6 2 2 3 3" xfId="38944" xr:uid="{00000000-0005-0000-0000-000006450000}"/>
    <cellStyle name="40% - Accent2 6 2 2 4" xfId="17189" xr:uid="{00000000-0005-0000-0000-000007450000}"/>
    <cellStyle name="40% - Accent2 6 2 2 4 2" xfId="46195" xr:uid="{00000000-0005-0000-0000-000008450000}"/>
    <cellStyle name="40% - Accent2 6 2 2 5" xfId="31696" xr:uid="{00000000-0005-0000-0000-000009450000}"/>
    <cellStyle name="40% - Accent2 6 2 3" xfId="3663" xr:uid="{00000000-0005-0000-0000-00000A450000}"/>
    <cellStyle name="40% - Accent2 6 2 3 2" xfId="6767" xr:uid="{00000000-0005-0000-0000-00000B450000}"/>
    <cellStyle name="40% - Accent2 6 2 3 2 2" xfId="14039" xr:uid="{00000000-0005-0000-0000-00000C450000}"/>
    <cellStyle name="40% - Accent2 6 2 3 2 2 2" xfId="28573" xr:uid="{00000000-0005-0000-0000-00000D450000}"/>
    <cellStyle name="40% - Accent2 6 2 3 2 2 2 2" xfId="57579" xr:uid="{00000000-0005-0000-0000-00000E450000}"/>
    <cellStyle name="40% - Accent2 6 2 3 2 2 3" xfId="43080" xr:uid="{00000000-0005-0000-0000-00000F450000}"/>
    <cellStyle name="40% - Accent2 6 2 3 2 3" xfId="21325" xr:uid="{00000000-0005-0000-0000-000010450000}"/>
    <cellStyle name="40% - Accent2 6 2 3 2 3 2" xfId="50331" xr:uid="{00000000-0005-0000-0000-000011450000}"/>
    <cellStyle name="40% - Accent2 6 2 3 2 4" xfId="35832" xr:uid="{00000000-0005-0000-0000-000012450000}"/>
    <cellStyle name="40% - Accent2 6 2 3 3" xfId="10935" xr:uid="{00000000-0005-0000-0000-000013450000}"/>
    <cellStyle name="40% - Accent2 6 2 3 3 2" xfId="25469" xr:uid="{00000000-0005-0000-0000-000014450000}"/>
    <cellStyle name="40% - Accent2 6 2 3 3 2 2" xfId="54475" xr:uid="{00000000-0005-0000-0000-000015450000}"/>
    <cellStyle name="40% - Accent2 6 2 3 3 3" xfId="39976" xr:uid="{00000000-0005-0000-0000-000016450000}"/>
    <cellStyle name="40% - Accent2 6 2 3 4" xfId="18221" xr:uid="{00000000-0005-0000-0000-000017450000}"/>
    <cellStyle name="40% - Accent2 6 2 3 4 2" xfId="47227" xr:uid="{00000000-0005-0000-0000-000018450000}"/>
    <cellStyle name="40% - Accent2 6 2 3 5" xfId="32728" xr:uid="{00000000-0005-0000-0000-000019450000}"/>
    <cellStyle name="40% - Accent2 6 2 4" xfId="4695" xr:uid="{00000000-0005-0000-0000-00001A450000}"/>
    <cellStyle name="40% - Accent2 6 2 4 2" xfId="11967" xr:uid="{00000000-0005-0000-0000-00001B450000}"/>
    <cellStyle name="40% - Accent2 6 2 4 2 2" xfId="26501" xr:uid="{00000000-0005-0000-0000-00001C450000}"/>
    <cellStyle name="40% - Accent2 6 2 4 2 2 2" xfId="55507" xr:uid="{00000000-0005-0000-0000-00001D450000}"/>
    <cellStyle name="40% - Accent2 6 2 4 2 3" xfId="41008" xr:uid="{00000000-0005-0000-0000-00001E450000}"/>
    <cellStyle name="40% - Accent2 6 2 4 3" xfId="19253" xr:uid="{00000000-0005-0000-0000-00001F450000}"/>
    <cellStyle name="40% - Accent2 6 2 4 3 2" xfId="48259" xr:uid="{00000000-0005-0000-0000-000020450000}"/>
    <cellStyle name="40% - Accent2 6 2 4 4" xfId="33760" xr:uid="{00000000-0005-0000-0000-000021450000}"/>
    <cellStyle name="40% - Accent2 6 2 5" xfId="7799" xr:uid="{00000000-0005-0000-0000-000022450000}"/>
    <cellStyle name="40% - Accent2 6 2 5 2" xfId="15071" xr:uid="{00000000-0005-0000-0000-000023450000}"/>
    <cellStyle name="40% - Accent2 6 2 5 2 2" xfId="29605" xr:uid="{00000000-0005-0000-0000-000024450000}"/>
    <cellStyle name="40% - Accent2 6 2 5 2 2 2" xfId="58611" xr:uid="{00000000-0005-0000-0000-000025450000}"/>
    <cellStyle name="40% - Accent2 6 2 5 2 3" xfId="44112" xr:uid="{00000000-0005-0000-0000-000026450000}"/>
    <cellStyle name="40% - Accent2 6 2 5 3" xfId="22357" xr:uid="{00000000-0005-0000-0000-000027450000}"/>
    <cellStyle name="40% - Accent2 6 2 5 3 2" xfId="51363" xr:uid="{00000000-0005-0000-0000-000028450000}"/>
    <cellStyle name="40% - Accent2 6 2 5 4" xfId="36864" xr:uid="{00000000-0005-0000-0000-000029450000}"/>
    <cellStyle name="40% - Accent2 6 2 6" xfId="8863" xr:uid="{00000000-0005-0000-0000-00002A450000}"/>
    <cellStyle name="40% - Accent2 6 2 6 2" xfId="23397" xr:uid="{00000000-0005-0000-0000-00002B450000}"/>
    <cellStyle name="40% - Accent2 6 2 6 2 2" xfId="52403" xr:uid="{00000000-0005-0000-0000-00002C450000}"/>
    <cellStyle name="40% - Accent2 6 2 6 3" xfId="37904" xr:uid="{00000000-0005-0000-0000-00002D450000}"/>
    <cellStyle name="40% - Accent2 6 2 7" xfId="16149" xr:uid="{00000000-0005-0000-0000-00002E450000}"/>
    <cellStyle name="40% - Accent2 6 2 7 2" xfId="45155" xr:uid="{00000000-0005-0000-0000-00002F450000}"/>
    <cellStyle name="40% - Accent2 6 2 8" xfId="30656" xr:uid="{00000000-0005-0000-0000-000030450000}"/>
    <cellStyle name="40% - Accent2 6 3" xfId="2119" xr:uid="{00000000-0005-0000-0000-000031450000}"/>
    <cellStyle name="40% - Accent2 6 3 2" xfId="5223" xr:uid="{00000000-0005-0000-0000-000032450000}"/>
    <cellStyle name="40% - Accent2 6 3 2 2" xfId="12495" xr:uid="{00000000-0005-0000-0000-000033450000}"/>
    <cellStyle name="40% - Accent2 6 3 2 2 2" xfId="27029" xr:uid="{00000000-0005-0000-0000-000034450000}"/>
    <cellStyle name="40% - Accent2 6 3 2 2 2 2" xfId="56035" xr:uid="{00000000-0005-0000-0000-000035450000}"/>
    <cellStyle name="40% - Accent2 6 3 2 2 3" xfId="41536" xr:uid="{00000000-0005-0000-0000-000036450000}"/>
    <cellStyle name="40% - Accent2 6 3 2 3" xfId="19781" xr:uid="{00000000-0005-0000-0000-000037450000}"/>
    <cellStyle name="40% - Accent2 6 3 2 3 2" xfId="48787" xr:uid="{00000000-0005-0000-0000-000038450000}"/>
    <cellStyle name="40% - Accent2 6 3 2 4" xfId="34288" xr:uid="{00000000-0005-0000-0000-000039450000}"/>
    <cellStyle name="40% - Accent2 6 3 3" xfId="9391" xr:uid="{00000000-0005-0000-0000-00003A450000}"/>
    <cellStyle name="40% - Accent2 6 3 3 2" xfId="23925" xr:uid="{00000000-0005-0000-0000-00003B450000}"/>
    <cellStyle name="40% - Accent2 6 3 3 2 2" xfId="52931" xr:uid="{00000000-0005-0000-0000-00003C450000}"/>
    <cellStyle name="40% - Accent2 6 3 3 3" xfId="38432" xr:uid="{00000000-0005-0000-0000-00003D450000}"/>
    <cellStyle name="40% - Accent2 6 3 4" xfId="16677" xr:uid="{00000000-0005-0000-0000-00003E450000}"/>
    <cellStyle name="40% - Accent2 6 3 4 2" xfId="45683" xr:uid="{00000000-0005-0000-0000-00003F450000}"/>
    <cellStyle name="40% - Accent2 6 3 5" xfId="31184" xr:uid="{00000000-0005-0000-0000-000040450000}"/>
    <cellStyle name="40% - Accent2 6 4" xfId="3151" xr:uid="{00000000-0005-0000-0000-000041450000}"/>
    <cellStyle name="40% - Accent2 6 4 2" xfId="6255" xr:uid="{00000000-0005-0000-0000-000042450000}"/>
    <cellStyle name="40% - Accent2 6 4 2 2" xfId="13527" xr:uid="{00000000-0005-0000-0000-000043450000}"/>
    <cellStyle name="40% - Accent2 6 4 2 2 2" xfId="28061" xr:uid="{00000000-0005-0000-0000-000044450000}"/>
    <cellStyle name="40% - Accent2 6 4 2 2 2 2" xfId="57067" xr:uid="{00000000-0005-0000-0000-000045450000}"/>
    <cellStyle name="40% - Accent2 6 4 2 2 3" xfId="42568" xr:uid="{00000000-0005-0000-0000-000046450000}"/>
    <cellStyle name="40% - Accent2 6 4 2 3" xfId="20813" xr:uid="{00000000-0005-0000-0000-000047450000}"/>
    <cellStyle name="40% - Accent2 6 4 2 3 2" xfId="49819" xr:uid="{00000000-0005-0000-0000-000048450000}"/>
    <cellStyle name="40% - Accent2 6 4 2 4" xfId="35320" xr:uid="{00000000-0005-0000-0000-000049450000}"/>
    <cellStyle name="40% - Accent2 6 4 3" xfId="10423" xr:uid="{00000000-0005-0000-0000-00004A450000}"/>
    <cellStyle name="40% - Accent2 6 4 3 2" xfId="24957" xr:uid="{00000000-0005-0000-0000-00004B450000}"/>
    <cellStyle name="40% - Accent2 6 4 3 2 2" xfId="53963" xr:uid="{00000000-0005-0000-0000-00004C450000}"/>
    <cellStyle name="40% - Accent2 6 4 3 3" xfId="39464" xr:uid="{00000000-0005-0000-0000-00004D450000}"/>
    <cellStyle name="40% - Accent2 6 4 4" xfId="17709" xr:uid="{00000000-0005-0000-0000-00004E450000}"/>
    <cellStyle name="40% - Accent2 6 4 4 2" xfId="46715" xr:uid="{00000000-0005-0000-0000-00004F450000}"/>
    <cellStyle name="40% - Accent2 6 4 5" xfId="32216" xr:uid="{00000000-0005-0000-0000-000050450000}"/>
    <cellStyle name="40% - Accent2 6 5" xfId="4183" xr:uid="{00000000-0005-0000-0000-000051450000}"/>
    <cellStyle name="40% - Accent2 6 5 2" xfId="11455" xr:uid="{00000000-0005-0000-0000-000052450000}"/>
    <cellStyle name="40% - Accent2 6 5 2 2" xfId="25989" xr:uid="{00000000-0005-0000-0000-000053450000}"/>
    <cellStyle name="40% - Accent2 6 5 2 2 2" xfId="54995" xr:uid="{00000000-0005-0000-0000-000054450000}"/>
    <cellStyle name="40% - Accent2 6 5 2 3" xfId="40496" xr:uid="{00000000-0005-0000-0000-000055450000}"/>
    <cellStyle name="40% - Accent2 6 5 3" xfId="18741" xr:uid="{00000000-0005-0000-0000-000056450000}"/>
    <cellStyle name="40% - Accent2 6 5 3 2" xfId="47747" xr:uid="{00000000-0005-0000-0000-000057450000}"/>
    <cellStyle name="40% - Accent2 6 5 4" xfId="33248" xr:uid="{00000000-0005-0000-0000-000058450000}"/>
    <cellStyle name="40% - Accent2 6 6" xfId="7287" xr:uid="{00000000-0005-0000-0000-000059450000}"/>
    <cellStyle name="40% - Accent2 6 6 2" xfId="14559" xr:uid="{00000000-0005-0000-0000-00005A450000}"/>
    <cellStyle name="40% - Accent2 6 6 2 2" xfId="29093" xr:uid="{00000000-0005-0000-0000-00005B450000}"/>
    <cellStyle name="40% - Accent2 6 6 2 2 2" xfId="58099" xr:uid="{00000000-0005-0000-0000-00005C450000}"/>
    <cellStyle name="40% - Accent2 6 6 2 3" xfId="43600" xr:uid="{00000000-0005-0000-0000-00005D450000}"/>
    <cellStyle name="40% - Accent2 6 6 3" xfId="21845" xr:uid="{00000000-0005-0000-0000-00005E450000}"/>
    <cellStyle name="40% - Accent2 6 6 3 2" xfId="50851" xr:uid="{00000000-0005-0000-0000-00005F450000}"/>
    <cellStyle name="40% - Accent2 6 6 4" xfId="36352" xr:uid="{00000000-0005-0000-0000-000060450000}"/>
    <cellStyle name="40% - Accent2 6 7" xfId="8351" xr:uid="{00000000-0005-0000-0000-000061450000}"/>
    <cellStyle name="40% - Accent2 6 7 2" xfId="22885" xr:uid="{00000000-0005-0000-0000-000062450000}"/>
    <cellStyle name="40% - Accent2 6 7 2 2" xfId="51891" xr:uid="{00000000-0005-0000-0000-000063450000}"/>
    <cellStyle name="40% - Accent2 6 7 3" xfId="37392" xr:uid="{00000000-0005-0000-0000-000064450000}"/>
    <cellStyle name="40% - Accent2 6 8" xfId="15637" xr:uid="{00000000-0005-0000-0000-000065450000}"/>
    <cellStyle name="40% - Accent2 6 8 2" xfId="44643" xr:uid="{00000000-0005-0000-0000-000066450000}"/>
    <cellStyle name="40% - Accent2 6 9" xfId="30144" xr:uid="{00000000-0005-0000-0000-000067450000}"/>
    <cellStyle name="40% - Accent2 7" xfId="988" xr:uid="{00000000-0005-0000-0000-000068450000}"/>
    <cellStyle name="40% - Accent2 7 2" xfId="1473" xr:uid="{00000000-0005-0000-0000-000069450000}"/>
    <cellStyle name="40% - Accent2 7 2 2" xfId="2531" xr:uid="{00000000-0005-0000-0000-00006A450000}"/>
    <cellStyle name="40% - Accent2 7 2 2 2" xfId="5635" xr:uid="{00000000-0005-0000-0000-00006B450000}"/>
    <cellStyle name="40% - Accent2 7 2 2 2 2" xfId="12907" xr:uid="{00000000-0005-0000-0000-00006C450000}"/>
    <cellStyle name="40% - Accent2 7 2 2 2 2 2" xfId="27441" xr:uid="{00000000-0005-0000-0000-00006D450000}"/>
    <cellStyle name="40% - Accent2 7 2 2 2 2 2 2" xfId="56447" xr:uid="{00000000-0005-0000-0000-00006E450000}"/>
    <cellStyle name="40% - Accent2 7 2 2 2 2 3" xfId="41948" xr:uid="{00000000-0005-0000-0000-00006F450000}"/>
    <cellStyle name="40% - Accent2 7 2 2 2 3" xfId="20193" xr:uid="{00000000-0005-0000-0000-000070450000}"/>
    <cellStyle name="40% - Accent2 7 2 2 2 3 2" xfId="49199" xr:uid="{00000000-0005-0000-0000-000071450000}"/>
    <cellStyle name="40% - Accent2 7 2 2 2 4" xfId="34700" xr:uid="{00000000-0005-0000-0000-000072450000}"/>
    <cellStyle name="40% - Accent2 7 2 2 3" xfId="9803" xr:uid="{00000000-0005-0000-0000-000073450000}"/>
    <cellStyle name="40% - Accent2 7 2 2 3 2" xfId="24337" xr:uid="{00000000-0005-0000-0000-000074450000}"/>
    <cellStyle name="40% - Accent2 7 2 2 3 2 2" xfId="53343" xr:uid="{00000000-0005-0000-0000-000075450000}"/>
    <cellStyle name="40% - Accent2 7 2 2 3 3" xfId="38844" xr:uid="{00000000-0005-0000-0000-000076450000}"/>
    <cellStyle name="40% - Accent2 7 2 2 4" xfId="17089" xr:uid="{00000000-0005-0000-0000-000077450000}"/>
    <cellStyle name="40% - Accent2 7 2 2 4 2" xfId="46095" xr:uid="{00000000-0005-0000-0000-000078450000}"/>
    <cellStyle name="40% - Accent2 7 2 2 5" xfId="31596" xr:uid="{00000000-0005-0000-0000-000079450000}"/>
    <cellStyle name="40% - Accent2 7 2 3" xfId="3563" xr:uid="{00000000-0005-0000-0000-00007A450000}"/>
    <cellStyle name="40% - Accent2 7 2 3 2" xfId="6667" xr:uid="{00000000-0005-0000-0000-00007B450000}"/>
    <cellStyle name="40% - Accent2 7 2 3 2 2" xfId="13939" xr:uid="{00000000-0005-0000-0000-00007C450000}"/>
    <cellStyle name="40% - Accent2 7 2 3 2 2 2" xfId="28473" xr:uid="{00000000-0005-0000-0000-00007D450000}"/>
    <cellStyle name="40% - Accent2 7 2 3 2 2 2 2" xfId="57479" xr:uid="{00000000-0005-0000-0000-00007E450000}"/>
    <cellStyle name="40% - Accent2 7 2 3 2 2 3" xfId="42980" xr:uid="{00000000-0005-0000-0000-00007F450000}"/>
    <cellStyle name="40% - Accent2 7 2 3 2 3" xfId="21225" xr:uid="{00000000-0005-0000-0000-000080450000}"/>
    <cellStyle name="40% - Accent2 7 2 3 2 3 2" xfId="50231" xr:uid="{00000000-0005-0000-0000-000081450000}"/>
    <cellStyle name="40% - Accent2 7 2 3 2 4" xfId="35732" xr:uid="{00000000-0005-0000-0000-000082450000}"/>
    <cellStyle name="40% - Accent2 7 2 3 3" xfId="10835" xr:uid="{00000000-0005-0000-0000-000083450000}"/>
    <cellStyle name="40% - Accent2 7 2 3 3 2" xfId="25369" xr:uid="{00000000-0005-0000-0000-000084450000}"/>
    <cellStyle name="40% - Accent2 7 2 3 3 2 2" xfId="54375" xr:uid="{00000000-0005-0000-0000-000085450000}"/>
    <cellStyle name="40% - Accent2 7 2 3 3 3" xfId="39876" xr:uid="{00000000-0005-0000-0000-000086450000}"/>
    <cellStyle name="40% - Accent2 7 2 3 4" xfId="18121" xr:uid="{00000000-0005-0000-0000-000087450000}"/>
    <cellStyle name="40% - Accent2 7 2 3 4 2" xfId="47127" xr:uid="{00000000-0005-0000-0000-000088450000}"/>
    <cellStyle name="40% - Accent2 7 2 3 5" xfId="32628" xr:uid="{00000000-0005-0000-0000-000089450000}"/>
    <cellStyle name="40% - Accent2 7 2 4" xfId="4595" xr:uid="{00000000-0005-0000-0000-00008A450000}"/>
    <cellStyle name="40% - Accent2 7 2 4 2" xfId="11867" xr:uid="{00000000-0005-0000-0000-00008B450000}"/>
    <cellStyle name="40% - Accent2 7 2 4 2 2" xfId="26401" xr:uid="{00000000-0005-0000-0000-00008C450000}"/>
    <cellStyle name="40% - Accent2 7 2 4 2 2 2" xfId="55407" xr:uid="{00000000-0005-0000-0000-00008D450000}"/>
    <cellStyle name="40% - Accent2 7 2 4 2 3" xfId="40908" xr:uid="{00000000-0005-0000-0000-00008E450000}"/>
    <cellStyle name="40% - Accent2 7 2 4 3" xfId="19153" xr:uid="{00000000-0005-0000-0000-00008F450000}"/>
    <cellStyle name="40% - Accent2 7 2 4 3 2" xfId="48159" xr:uid="{00000000-0005-0000-0000-000090450000}"/>
    <cellStyle name="40% - Accent2 7 2 4 4" xfId="33660" xr:uid="{00000000-0005-0000-0000-000091450000}"/>
    <cellStyle name="40% - Accent2 7 2 5" xfId="7699" xr:uid="{00000000-0005-0000-0000-000092450000}"/>
    <cellStyle name="40% - Accent2 7 2 5 2" xfId="14971" xr:uid="{00000000-0005-0000-0000-000093450000}"/>
    <cellStyle name="40% - Accent2 7 2 5 2 2" xfId="29505" xr:uid="{00000000-0005-0000-0000-000094450000}"/>
    <cellStyle name="40% - Accent2 7 2 5 2 2 2" xfId="58511" xr:uid="{00000000-0005-0000-0000-000095450000}"/>
    <cellStyle name="40% - Accent2 7 2 5 2 3" xfId="44012" xr:uid="{00000000-0005-0000-0000-000096450000}"/>
    <cellStyle name="40% - Accent2 7 2 5 3" xfId="22257" xr:uid="{00000000-0005-0000-0000-000097450000}"/>
    <cellStyle name="40% - Accent2 7 2 5 3 2" xfId="51263" xr:uid="{00000000-0005-0000-0000-000098450000}"/>
    <cellStyle name="40% - Accent2 7 2 5 4" xfId="36764" xr:uid="{00000000-0005-0000-0000-000099450000}"/>
    <cellStyle name="40% - Accent2 7 2 6" xfId="8763" xr:uid="{00000000-0005-0000-0000-00009A450000}"/>
    <cellStyle name="40% - Accent2 7 2 6 2" xfId="23297" xr:uid="{00000000-0005-0000-0000-00009B450000}"/>
    <cellStyle name="40% - Accent2 7 2 6 2 2" xfId="52303" xr:uid="{00000000-0005-0000-0000-00009C450000}"/>
    <cellStyle name="40% - Accent2 7 2 6 3" xfId="37804" xr:uid="{00000000-0005-0000-0000-00009D450000}"/>
    <cellStyle name="40% - Accent2 7 2 7" xfId="16049" xr:uid="{00000000-0005-0000-0000-00009E450000}"/>
    <cellStyle name="40% - Accent2 7 2 7 2" xfId="45055" xr:uid="{00000000-0005-0000-0000-00009F450000}"/>
    <cellStyle name="40% - Accent2 7 2 8" xfId="30556" xr:uid="{00000000-0005-0000-0000-0000A0450000}"/>
    <cellStyle name="40% - Accent2 7 3" xfId="2019" xr:uid="{00000000-0005-0000-0000-0000A1450000}"/>
    <cellStyle name="40% - Accent2 7 3 2" xfId="5123" xr:uid="{00000000-0005-0000-0000-0000A2450000}"/>
    <cellStyle name="40% - Accent2 7 3 2 2" xfId="12395" xr:uid="{00000000-0005-0000-0000-0000A3450000}"/>
    <cellStyle name="40% - Accent2 7 3 2 2 2" xfId="26929" xr:uid="{00000000-0005-0000-0000-0000A4450000}"/>
    <cellStyle name="40% - Accent2 7 3 2 2 2 2" xfId="55935" xr:uid="{00000000-0005-0000-0000-0000A5450000}"/>
    <cellStyle name="40% - Accent2 7 3 2 2 3" xfId="41436" xr:uid="{00000000-0005-0000-0000-0000A6450000}"/>
    <cellStyle name="40% - Accent2 7 3 2 3" xfId="19681" xr:uid="{00000000-0005-0000-0000-0000A7450000}"/>
    <cellStyle name="40% - Accent2 7 3 2 3 2" xfId="48687" xr:uid="{00000000-0005-0000-0000-0000A8450000}"/>
    <cellStyle name="40% - Accent2 7 3 2 4" xfId="34188" xr:uid="{00000000-0005-0000-0000-0000A9450000}"/>
    <cellStyle name="40% - Accent2 7 3 3" xfId="9291" xr:uid="{00000000-0005-0000-0000-0000AA450000}"/>
    <cellStyle name="40% - Accent2 7 3 3 2" xfId="23825" xr:uid="{00000000-0005-0000-0000-0000AB450000}"/>
    <cellStyle name="40% - Accent2 7 3 3 2 2" xfId="52831" xr:uid="{00000000-0005-0000-0000-0000AC450000}"/>
    <cellStyle name="40% - Accent2 7 3 3 3" xfId="38332" xr:uid="{00000000-0005-0000-0000-0000AD450000}"/>
    <cellStyle name="40% - Accent2 7 3 4" xfId="16577" xr:uid="{00000000-0005-0000-0000-0000AE450000}"/>
    <cellStyle name="40% - Accent2 7 3 4 2" xfId="45583" xr:uid="{00000000-0005-0000-0000-0000AF450000}"/>
    <cellStyle name="40% - Accent2 7 3 5" xfId="31084" xr:uid="{00000000-0005-0000-0000-0000B0450000}"/>
    <cellStyle name="40% - Accent2 7 4" xfId="3051" xr:uid="{00000000-0005-0000-0000-0000B1450000}"/>
    <cellStyle name="40% - Accent2 7 4 2" xfId="6155" xr:uid="{00000000-0005-0000-0000-0000B2450000}"/>
    <cellStyle name="40% - Accent2 7 4 2 2" xfId="13427" xr:uid="{00000000-0005-0000-0000-0000B3450000}"/>
    <cellStyle name="40% - Accent2 7 4 2 2 2" xfId="27961" xr:uid="{00000000-0005-0000-0000-0000B4450000}"/>
    <cellStyle name="40% - Accent2 7 4 2 2 2 2" xfId="56967" xr:uid="{00000000-0005-0000-0000-0000B5450000}"/>
    <cellStyle name="40% - Accent2 7 4 2 2 3" xfId="42468" xr:uid="{00000000-0005-0000-0000-0000B6450000}"/>
    <cellStyle name="40% - Accent2 7 4 2 3" xfId="20713" xr:uid="{00000000-0005-0000-0000-0000B7450000}"/>
    <cellStyle name="40% - Accent2 7 4 2 3 2" xfId="49719" xr:uid="{00000000-0005-0000-0000-0000B8450000}"/>
    <cellStyle name="40% - Accent2 7 4 2 4" xfId="35220" xr:uid="{00000000-0005-0000-0000-0000B9450000}"/>
    <cellStyle name="40% - Accent2 7 4 3" xfId="10323" xr:uid="{00000000-0005-0000-0000-0000BA450000}"/>
    <cellStyle name="40% - Accent2 7 4 3 2" xfId="24857" xr:uid="{00000000-0005-0000-0000-0000BB450000}"/>
    <cellStyle name="40% - Accent2 7 4 3 2 2" xfId="53863" xr:uid="{00000000-0005-0000-0000-0000BC450000}"/>
    <cellStyle name="40% - Accent2 7 4 3 3" xfId="39364" xr:uid="{00000000-0005-0000-0000-0000BD450000}"/>
    <cellStyle name="40% - Accent2 7 4 4" xfId="17609" xr:uid="{00000000-0005-0000-0000-0000BE450000}"/>
    <cellStyle name="40% - Accent2 7 4 4 2" xfId="46615" xr:uid="{00000000-0005-0000-0000-0000BF450000}"/>
    <cellStyle name="40% - Accent2 7 4 5" xfId="32116" xr:uid="{00000000-0005-0000-0000-0000C0450000}"/>
    <cellStyle name="40% - Accent2 7 5" xfId="4083" xr:uid="{00000000-0005-0000-0000-0000C1450000}"/>
    <cellStyle name="40% - Accent2 7 5 2" xfId="11355" xr:uid="{00000000-0005-0000-0000-0000C2450000}"/>
    <cellStyle name="40% - Accent2 7 5 2 2" xfId="25889" xr:uid="{00000000-0005-0000-0000-0000C3450000}"/>
    <cellStyle name="40% - Accent2 7 5 2 2 2" xfId="54895" xr:uid="{00000000-0005-0000-0000-0000C4450000}"/>
    <cellStyle name="40% - Accent2 7 5 2 3" xfId="40396" xr:uid="{00000000-0005-0000-0000-0000C5450000}"/>
    <cellStyle name="40% - Accent2 7 5 3" xfId="18641" xr:uid="{00000000-0005-0000-0000-0000C6450000}"/>
    <cellStyle name="40% - Accent2 7 5 3 2" xfId="47647" xr:uid="{00000000-0005-0000-0000-0000C7450000}"/>
    <cellStyle name="40% - Accent2 7 5 4" xfId="33148" xr:uid="{00000000-0005-0000-0000-0000C8450000}"/>
    <cellStyle name="40% - Accent2 7 6" xfId="7187" xr:uid="{00000000-0005-0000-0000-0000C9450000}"/>
    <cellStyle name="40% - Accent2 7 6 2" xfId="14459" xr:uid="{00000000-0005-0000-0000-0000CA450000}"/>
    <cellStyle name="40% - Accent2 7 6 2 2" xfId="28993" xr:uid="{00000000-0005-0000-0000-0000CB450000}"/>
    <cellStyle name="40% - Accent2 7 6 2 2 2" xfId="57999" xr:uid="{00000000-0005-0000-0000-0000CC450000}"/>
    <cellStyle name="40% - Accent2 7 6 2 3" xfId="43500" xr:uid="{00000000-0005-0000-0000-0000CD450000}"/>
    <cellStyle name="40% - Accent2 7 6 3" xfId="21745" xr:uid="{00000000-0005-0000-0000-0000CE450000}"/>
    <cellStyle name="40% - Accent2 7 6 3 2" xfId="50751" xr:uid="{00000000-0005-0000-0000-0000CF450000}"/>
    <cellStyle name="40% - Accent2 7 6 4" xfId="36252" xr:uid="{00000000-0005-0000-0000-0000D0450000}"/>
    <cellStyle name="40% - Accent2 7 7" xfId="8251" xr:uid="{00000000-0005-0000-0000-0000D1450000}"/>
    <cellStyle name="40% - Accent2 7 7 2" xfId="22785" xr:uid="{00000000-0005-0000-0000-0000D2450000}"/>
    <cellStyle name="40% - Accent2 7 7 2 2" xfId="51791" xr:uid="{00000000-0005-0000-0000-0000D3450000}"/>
    <cellStyle name="40% - Accent2 7 7 3" xfId="37292" xr:uid="{00000000-0005-0000-0000-0000D4450000}"/>
    <cellStyle name="40% - Accent2 7 8" xfId="15537" xr:uid="{00000000-0005-0000-0000-0000D5450000}"/>
    <cellStyle name="40% - Accent2 7 8 2" xfId="44543" xr:uid="{00000000-0005-0000-0000-0000D6450000}"/>
    <cellStyle name="40% - Accent2 7 9" xfId="30044" xr:uid="{00000000-0005-0000-0000-0000D7450000}"/>
    <cellStyle name="40% - Accent2 8" xfId="1270" xr:uid="{00000000-0005-0000-0000-0000D8450000}"/>
    <cellStyle name="40% - Accent2 8 2" xfId="2325" xr:uid="{00000000-0005-0000-0000-0000D9450000}"/>
    <cellStyle name="40% - Accent2 8 2 2" xfId="5429" xr:uid="{00000000-0005-0000-0000-0000DA450000}"/>
    <cellStyle name="40% - Accent2 8 2 2 2" xfId="12701" xr:uid="{00000000-0005-0000-0000-0000DB450000}"/>
    <cellStyle name="40% - Accent2 8 2 2 2 2" xfId="27235" xr:uid="{00000000-0005-0000-0000-0000DC450000}"/>
    <cellStyle name="40% - Accent2 8 2 2 2 2 2" xfId="56241" xr:uid="{00000000-0005-0000-0000-0000DD450000}"/>
    <cellStyle name="40% - Accent2 8 2 2 2 3" xfId="41742" xr:uid="{00000000-0005-0000-0000-0000DE450000}"/>
    <cellStyle name="40% - Accent2 8 2 2 3" xfId="19987" xr:uid="{00000000-0005-0000-0000-0000DF450000}"/>
    <cellStyle name="40% - Accent2 8 2 2 3 2" xfId="48993" xr:uid="{00000000-0005-0000-0000-0000E0450000}"/>
    <cellStyle name="40% - Accent2 8 2 2 4" xfId="34494" xr:uid="{00000000-0005-0000-0000-0000E1450000}"/>
    <cellStyle name="40% - Accent2 8 2 3" xfId="9597" xr:uid="{00000000-0005-0000-0000-0000E2450000}"/>
    <cellStyle name="40% - Accent2 8 2 3 2" xfId="24131" xr:uid="{00000000-0005-0000-0000-0000E3450000}"/>
    <cellStyle name="40% - Accent2 8 2 3 2 2" xfId="53137" xr:uid="{00000000-0005-0000-0000-0000E4450000}"/>
    <cellStyle name="40% - Accent2 8 2 3 3" xfId="38638" xr:uid="{00000000-0005-0000-0000-0000E5450000}"/>
    <cellStyle name="40% - Accent2 8 2 4" xfId="16883" xr:uid="{00000000-0005-0000-0000-0000E6450000}"/>
    <cellStyle name="40% - Accent2 8 2 4 2" xfId="45889" xr:uid="{00000000-0005-0000-0000-0000E7450000}"/>
    <cellStyle name="40% - Accent2 8 2 5" xfId="31390" xr:uid="{00000000-0005-0000-0000-0000E8450000}"/>
    <cellStyle name="40% - Accent2 8 3" xfId="3357" xr:uid="{00000000-0005-0000-0000-0000E9450000}"/>
    <cellStyle name="40% - Accent2 8 3 2" xfId="6461" xr:uid="{00000000-0005-0000-0000-0000EA450000}"/>
    <cellStyle name="40% - Accent2 8 3 2 2" xfId="13733" xr:uid="{00000000-0005-0000-0000-0000EB450000}"/>
    <cellStyle name="40% - Accent2 8 3 2 2 2" xfId="28267" xr:uid="{00000000-0005-0000-0000-0000EC450000}"/>
    <cellStyle name="40% - Accent2 8 3 2 2 2 2" xfId="57273" xr:uid="{00000000-0005-0000-0000-0000ED450000}"/>
    <cellStyle name="40% - Accent2 8 3 2 2 3" xfId="42774" xr:uid="{00000000-0005-0000-0000-0000EE450000}"/>
    <cellStyle name="40% - Accent2 8 3 2 3" xfId="21019" xr:uid="{00000000-0005-0000-0000-0000EF450000}"/>
    <cellStyle name="40% - Accent2 8 3 2 3 2" xfId="50025" xr:uid="{00000000-0005-0000-0000-0000F0450000}"/>
    <cellStyle name="40% - Accent2 8 3 2 4" xfId="35526" xr:uid="{00000000-0005-0000-0000-0000F1450000}"/>
    <cellStyle name="40% - Accent2 8 3 3" xfId="10629" xr:uid="{00000000-0005-0000-0000-0000F2450000}"/>
    <cellStyle name="40% - Accent2 8 3 3 2" xfId="25163" xr:uid="{00000000-0005-0000-0000-0000F3450000}"/>
    <cellStyle name="40% - Accent2 8 3 3 2 2" xfId="54169" xr:uid="{00000000-0005-0000-0000-0000F4450000}"/>
    <cellStyle name="40% - Accent2 8 3 3 3" xfId="39670" xr:uid="{00000000-0005-0000-0000-0000F5450000}"/>
    <cellStyle name="40% - Accent2 8 3 4" xfId="17915" xr:uid="{00000000-0005-0000-0000-0000F6450000}"/>
    <cellStyle name="40% - Accent2 8 3 4 2" xfId="46921" xr:uid="{00000000-0005-0000-0000-0000F7450000}"/>
    <cellStyle name="40% - Accent2 8 3 5" xfId="32422" xr:uid="{00000000-0005-0000-0000-0000F8450000}"/>
    <cellStyle name="40% - Accent2 8 4" xfId="4389" xr:uid="{00000000-0005-0000-0000-0000F9450000}"/>
    <cellStyle name="40% - Accent2 8 4 2" xfId="11661" xr:uid="{00000000-0005-0000-0000-0000FA450000}"/>
    <cellStyle name="40% - Accent2 8 4 2 2" xfId="26195" xr:uid="{00000000-0005-0000-0000-0000FB450000}"/>
    <cellStyle name="40% - Accent2 8 4 2 2 2" xfId="55201" xr:uid="{00000000-0005-0000-0000-0000FC450000}"/>
    <cellStyle name="40% - Accent2 8 4 2 3" xfId="40702" xr:uid="{00000000-0005-0000-0000-0000FD450000}"/>
    <cellStyle name="40% - Accent2 8 4 3" xfId="18947" xr:uid="{00000000-0005-0000-0000-0000FE450000}"/>
    <cellStyle name="40% - Accent2 8 4 3 2" xfId="47953" xr:uid="{00000000-0005-0000-0000-0000FF450000}"/>
    <cellStyle name="40% - Accent2 8 4 4" xfId="33454" xr:uid="{00000000-0005-0000-0000-000000460000}"/>
    <cellStyle name="40% - Accent2 8 5" xfId="7493" xr:uid="{00000000-0005-0000-0000-000001460000}"/>
    <cellStyle name="40% - Accent2 8 5 2" xfId="14765" xr:uid="{00000000-0005-0000-0000-000002460000}"/>
    <cellStyle name="40% - Accent2 8 5 2 2" xfId="29299" xr:uid="{00000000-0005-0000-0000-000003460000}"/>
    <cellStyle name="40% - Accent2 8 5 2 2 2" xfId="58305" xr:uid="{00000000-0005-0000-0000-000004460000}"/>
    <cellStyle name="40% - Accent2 8 5 2 3" xfId="43806" xr:uid="{00000000-0005-0000-0000-000005460000}"/>
    <cellStyle name="40% - Accent2 8 5 3" xfId="22051" xr:uid="{00000000-0005-0000-0000-000006460000}"/>
    <cellStyle name="40% - Accent2 8 5 3 2" xfId="51057" xr:uid="{00000000-0005-0000-0000-000007460000}"/>
    <cellStyle name="40% - Accent2 8 5 4" xfId="36558" xr:uid="{00000000-0005-0000-0000-000008460000}"/>
    <cellStyle name="40% - Accent2 8 6" xfId="8557" xr:uid="{00000000-0005-0000-0000-000009460000}"/>
    <cellStyle name="40% - Accent2 8 6 2" xfId="23091" xr:uid="{00000000-0005-0000-0000-00000A460000}"/>
    <cellStyle name="40% - Accent2 8 6 2 2" xfId="52097" xr:uid="{00000000-0005-0000-0000-00000B460000}"/>
    <cellStyle name="40% - Accent2 8 6 3" xfId="37598" xr:uid="{00000000-0005-0000-0000-00000C460000}"/>
    <cellStyle name="40% - Accent2 8 7" xfId="15843" xr:uid="{00000000-0005-0000-0000-00000D460000}"/>
    <cellStyle name="40% - Accent2 8 7 2" xfId="44849" xr:uid="{00000000-0005-0000-0000-00000E460000}"/>
    <cellStyle name="40% - Accent2 8 8" xfId="30350" xr:uid="{00000000-0005-0000-0000-00000F460000}"/>
    <cellStyle name="40% - Accent2 9" xfId="1813" xr:uid="{00000000-0005-0000-0000-000010460000}"/>
    <cellStyle name="40% - Accent2 9 2" xfId="4917" xr:uid="{00000000-0005-0000-0000-000011460000}"/>
    <cellStyle name="40% - Accent2 9 2 2" xfId="12189" xr:uid="{00000000-0005-0000-0000-000012460000}"/>
    <cellStyle name="40% - Accent2 9 2 2 2" xfId="26723" xr:uid="{00000000-0005-0000-0000-000013460000}"/>
    <cellStyle name="40% - Accent2 9 2 2 2 2" xfId="55729" xr:uid="{00000000-0005-0000-0000-000014460000}"/>
    <cellStyle name="40% - Accent2 9 2 2 3" xfId="41230" xr:uid="{00000000-0005-0000-0000-000015460000}"/>
    <cellStyle name="40% - Accent2 9 2 3" xfId="19475" xr:uid="{00000000-0005-0000-0000-000016460000}"/>
    <cellStyle name="40% - Accent2 9 2 3 2" xfId="48481" xr:uid="{00000000-0005-0000-0000-000017460000}"/>
    <cellStyle name="40% - Accent2 9 2 4" xfId="33982" xr:uid="{00000000-0005-0000-0000-000018460000}"/>
    <cellStyle name="40% - Accent2 9 3" xfId="9085" xr:uid="{00000000-0005-0000-0000-000019460000}"/>
    <cellStyle name="40% - Accent2 9 3 2" xfId="23619" xr:uid="{00000000-0005-0000-0000-00001A460000}"/>
    <cellStyle name="40% - Accent2 9 3 2 2" xfId="52625" xr:uid="{00000000-0005-0000-0000-00001B460000}"/>
    <cellStyle name="40% - Accent2 9 3 3" xfId="38126" xr:uid="{00000000-0005-0000-0000-00001C460000}"/>
    <cellStyle name="40% - Accent2 9 4" xfId="16371" xr:uid="{00000000-0005-0000-0000-00001D460000}"/>
    <cellStyle name="40% - Accent2 9 4 2" xfId="45377" xr:uid="{00000000-0005-0000-0000-00001E460000}"/>
    <cellStyle name="40% - Accent2 9 5" xfId="30878" xr:uid="{00000000-0005-0000-0000-00001F460000}"/>
    <cellStyle name="40% - Accent3" xfId="71" builtinId="39" customBuiltin="1"/>
    <cellStyle name="40% - Accent3 10" xfId="2847" xr:uid="{00000000-0005-0000-0000-000021460000}"/>
    <cellStyle name="40% - Accent3 10 2" xfId="5951" xr:uid="{00000000-0005-0000-0000-000022460000}"/>
    <cellStyle name="40% - Accent3 10 2 2" xfId="13223" xr:uid="{00000000-0005-0000-0000-000023460000}"/>
    <cellStyle name="40% - Accent3 10 2 2 2" xfId="27757" xr:uid="{00000000-0005-0000-0000-000024460000}"/>
    <cellStyle name="40% - Accent3 10 2 2 2 2" xfId="56763" xr:uid="{00000000-0005-0000-0000-000025460000}"/>
    <cellStyle name="40% - Accent3 10 2 2 3" xfId="42264" xr:uid="{00000000-0005-0000-0000-000026460000}"/>
    <cellStyle name="40% - Accent3 10 2 3" xfId="20509" xr:uid="{00000000-0005-0000-0000-000027460000}"/>
    <cellStyle name="40% - Accent3 10 2 3 2" xfId="49515" xr:uid="{00000000-0005-0000-0000-000028460000}"/>
    <cellStyle name="40% - Accent3 10 2 4" xfId="35016" xr:uid="{00000000-0005-0000-0000-000029460000}"/>
    <cellStyle name="40% - Accent3 10 3" xfId="10119" xr:uid="{00000000-0005-0000-0000-00002A460000}"/>
    <cellStyle name="40% - Accent3 10 3 2" xfId="24653" xr:uid="{00000000-0005-0000-0000-00002B460000}"/>
    <cellStyle name="40% - Accent3 10 3 2 2" xfId="53659" xr:uid="{00000000-0005-0000-0000-00002C460000}"/>
    <cellStyle name="40% - Accent3 10 3 3" xfId="39160" xr:uid="{00000000-0005-0000-0000-00002D460000}"/>
    <cellStyle name="40% - Accent3 10 4" xfId="17405" xr:uid="{00000000-0005-0000-0000-00002E460000}"/>
    <cellStyle name="40% - Accent3 10 4 2" xfId="46411" xr:uid="{00000000-0005-0000-0000-00002F460000}"/>
    <cellStyle name="40% - Accent3 10 5" xfId="31912" xr:uid="{00000000-0005-0000-0000-000030460000}"/>
    <cellStyle name="40% - Accent3 11" xfId="3879" xr:uid="{00000000-0005-0000-0000-000031460000}"/>
    <cellStyle name="40% - Accent3 11 2" xfId="11151" xr:uid="{00000000-0005-0000-0000-000032460000}"/>
    <cellStyle name="40% - Accent3 11 2 2" xfId="25685" xr:uid="{00000000-0005-0000-0000-000033460000}"/>
    <cellStyle name="40% - Accent3 11 2 2 2" xfId="54691" xr:uid="{00000000-0005-0000-0000-000034460000}"/>
    <cellStyle name="40% - Accent3 11 2 3" xfId="40192" xr:uid="{00000000-0005-0000-0000-000035460000}"/>
    <cellStyle name="40% - Accent3 11 3" xfId="18437" xr:uid="{00000000-0005-0000-0000-000036460000}"/>
    <cellStyle name="40% - Accent3 11 3 2" xfId="47443" xr:uid="{00000000-0005-0000-0000-000037460000}"/>
    <cellStyle name="40% - Accent3 11 4" xfId="32944" xr:uid="{00000000-0005-0000-0000-000038460000}"/>
    <cellStyle name="40% - Accent3 12" xfId="6983" xr:uid="{00000000-0005-0000-0000-000039460000}"/>
    <cellStyle name="40% - Accent3 12 2" xfId="14255" xr:uid="{00000000-0005-0000-0000-00003A460000}"/>
    <cellStyle name="40% - Accent3 12 2 2" xfId="28789" xr:uid="{00000000-0005-0000-0000-00003B460000}"/>
    <cellStyle name="40% - Accent3 12 2 2 2" xfId="57795" xr:uid="{00000000-0005-0000-0000-00003C460000}"/>
    <cellStyle name="40% - Accent3 12 2 3" xfId="43296" xr:uid="{00000000-0005-0000-0000-00003D460000}"/>
    <cellStyle name="40% - Accent3 12 3" xfId="21541" xr:uid="{00000000-0005-0000-0000-00003E460000}"/>
    <cellStyle name="40% - Accent3 12 3 2" xfId="50547" xr:uid="{00000000-0005-0000-0000-00003F460000}"/>
    <cellStyle name="40% - Accent3 12 4" xfId="36048" xr:uid="{00000000-0005-0000-0000-000040460000}"/>
    <cellStyle name="40% - Accent3 13" xfId="8047" xr:uid="{00000000-0005-0000-0000-000041460000}"/>
    <cellStyle name="40% - Accent3 13 2" xfId="22581" xr:uid="{00000000-0005-0000-0000-000042460000}"/>
    <cellStyle name="40% - Accent3 13 2 2" xfId="51587" xr:uid="{00000000-0005-0000-0000-000043460000}"/>
    <cellStyle name="40% - Accent3 13 3" xfId="37088" xr:uid="{00000000-0005-0000-0000-000044460000}"/>
    <cellStyle name="40% - Accent3 14" xfId="15327" xr:uid="{00000000-0005-0000-0000-000045460000}"/>
    <cellStyle name="40% - Accent3 14 2" xfId="44333" xr:uid="{00000000-0005-0000-0000-000046460000}"/>
    <cellStyle name="40% - Accent3 15" xfId="29833" xr:uid="{00000000-0005-0000-0000-000047460000}"/>
    <cellStyle name="40% - Accent3 16" xfId="327" xr:uid="{00000000-0005-0000-0000-000048460000}"/>
    <cellStyle name="40% - Accent3 17" xfId="58832" xr:uid="{00000000-0005-0000-0000-000049460000}"/>
    <cellStyle name="40% - Accent3 2" xfId="318" xr:uid="{00000000-0005-0000-0000-00004A460000}"/>
    <cellStyle name="40% - Accent3 2 2" xfId="249" xr:uid="{00000000-0005-0000-0000-00004B460000}"/>
    <cellStyle name="40% - Accent3 3" xfId="845" xr:uid="{00000000-0005-0000-0000-00004C460000}"/>
    <cellStyle name="40% - Accent3 3 10" xfId="7007" xr:uid="{00000000-0005-0000-0000-00004D460000}"/>
    <cellStyle name="40% - Accent3 3 10 2" xfId="14279" xr:uid="{00000000-0005-0000-0000-00004E460000}"/>
    <cellStyle name="40% - Accent3 3 10 2 2" xfId="28813" xr:uid="{00000000-0005-0000-0000-00004F460000}"/>
    <cellStyle name="40% - Accent3 3 10 2 2 2" xfId="57819" xr:uid="{00000000-0005-0000-0000-000050460000}"/>
    <cellStyle name="40% - Accent3 3 10 2 3" xfId="43320" xr:uid="{00000000-0005-0000-0000-000051460000}"/>
    <cellStyle name="40% - Accent3 3 10 3" xfId="21565" xr:uid="{00000000-0005-0000-0000-000052460000}"/>
    <cellStyle name="40% - Accent3 3 10 3 2" xfId="50571" xr:uid="{00000000-0005-0000-0000-000053460000}"/>
    <cellStyle name="40% - Accent3 3 10 4" xfId="36072" xr:uid="{00000000-0005-0000-0000-000054460000}"/>
    <cellStyle name="40% - Accent3 3 11" xfId="8071" xr:uid="{00000000-0005-0000-0000-000055460000}"/>
    <cellStyle name="40% - Accent3 3 11 2" xfId="22605" xr:uid="{00000000-0005-0000-0000-000056460000}"/>
    <cellStyle name="40% - Accent3 3 11 2 2" xfId="51611" xr:uid="{00000000-0005-0000-0000-000057460000}"/>
    <cellStyle name="40% - Accent3 3 11 3" xfId="37112" xr:uid="{00000000-0005-0000-0000-000058460000}"/>
    <cellStyle name="40% - Accent3 3 12" xfId="15357" xr:uid="{00000000-0005-0000-0000-000059460000}"/>
    <cellStyle name="40% - Accent3 3 12 2" xfId="44363" xr:uid="{00000000-0005-0000-0000-00005A460000}"/>
    <cellStyle name="40% - Accent3 3 13" xfId="29864" xr:uid="{00000000-0005-0000-0000-00005B460000}"/>
    <cellStyle name="40% - Accent3 3 2" xfId="888" xr:uid="{00000000-0005-0000-0000-00005C460000}"/>
    <cellStyle name="40% - Accent3 3 2 10" xfId="8123" xr:uid="{00000000-0005-0000-0000-00005D460000}"/>
    <cellStyle name="40% - Accent3 3 2 10 2" xfId="22657" xr:uid="{00000000-0005-0000-0000-00005E460000}"/>
    <cellStyle name="40% - Accent3 3 2 10 2 2" xfId="51663" xr:uid="{00000000-0005-0000-0000-00005F460000}"/>
    <cellStyle name="40% - Accent3 3 2 10 3" xfId="37164" xr:uid="{00000000-0005-0000-0000-000060460000}"/>
    <cellStyle name="40% - Accent3 3 2 11" xfId="15409" xr:uid="{00000000-0005-0000-0000-000061460000}"/>
    <cellStyle name="40% - Accent3 3 2 11 2" xfId="44415" xr:uid="{00000000-0005-0000-0000-000062460000}"/>
    <cellStyle name="40% - Accent3 3 2 12" xfId="29916" xr:uid="{00000000-0005-0000-0000-000063460000}"/>
    <cellStyle name="40% - Accent3 3 2 2" xfId="968" xr:uid="{00000000-0005-0000-0000-000064460000}"/>
    <cellStyle name="40% - Accent3 3 2 2 10" xfId="30019" xr:uid="{00000000-0005-0000-0000-000065460000}"/>
    <cellStyle name="40% - Accent3 3 2 2 2" xfId="1247" xr:uid="{00000000-0005-0000-0000-000066460000}"/>
    <cellStyle name="40% - Accent3 3 2 2 2 2" xfId="1753" xr:uid="{00000000-0005-0000-0000-000067460000}"/>
    <cellStyle name="40% - Accent3 3 2 2 2 2 2" xfId="2812" xr:uid="{00000000-0005-0000-0000-000068460000}"/>
    <cellStyle name="40% - Accent3 3 2 2 2 2 2 2" xfId="5916" xr:uid="{00000000-0005-0000-0000-000069460000}"/>
    <cellStyle name="40% - Accent3 3 2 2 2 2 2 2 2" xfId="13188" xr:uid="{00000000-0005-0000-0000-00006A460000}"/>
    <cellStyle name="40% - Accent3 3 2 2 2 2 2 2 2 2" xfId="27722" xr:uid="{00000000-0005-0000-0000-00006B460000}"/>
    <cellStyle name="40% - Accent3 3 2 2 2 2 2 2 2 2 2" xfId="56728" xr:uid="{00000000-0005-0000-0000-00006C460000}"/>
    <cellStyle name="40% - Accent3 3 2 2 2 2 2 2 2 3" xfId="42229" xr:uid="{00000000-0005-0000-0000-00006D460000}"/>
    <cellStyle name="40% - Accent3 3 2 2 2 2 2 2 3" xfId="20474" xr:uid="{00000000-0005-0000-0000-00006E460000}"/>
    <cellStyle name="40% - Accent3 3 2 2 2 2 2 2 3 2" xfId="49480" xr:uid="{00000000-0005-0000-0000-00006F460000}"/>
    <cellStyle name="40% - Accent3 3 2 2 2 2 2 2 4" xfId="34981" xr:uid="{00000000-0005-0000-0000-000070460000}"/>
    <cellStyle name="40% - Accent3 3 2 2 2 2 2 3" xfId="10084" xr:uid="{00000000-0005-0000-0000-000071460000}"/>
    <cellStyle name="40% - Accent3 3 2 2 2 2 2 3 2" xfId="24618" xr:uid="{00000000-0005-0000-0000-000072460000}"/>
    <cellStyle name="40% - Accent3 3 2 2 2 2 2 3 2 2" xfId="53624" xr:uid="{00000000-0005-0000-0000-000073460000}"/>
    <cellStyle name="40% - Accent3 3 2 2 2 2 2 3 3" xfId="39125" xr:uid="{00000000-0005-0000-0000-000074460000}"/>
    <cellStyle name="40% - Accent3 3 2 2 2 2 2 4" xfId="17370" xr:uid="{00000000-0005-0000-0000-000075460000}"/>
    <cellStyle name="40% - Accent3 3 2 2 2 2 2 4 2" xfId="46376" xr:uid="{00000000-0005-0000-0000-000076460000}"/>
    <cellStyle name="40% - Accent3 3 2 2 2 2 2 5" xfId="31877" xr:uid="{00000000-0005-0000-0000-000077460000}"/>
    <cellStyle name="40% - Accent3 3 2 2 2 2 3" xfId="3844" xr:uid="{00000000-0005-0000-0000-000078460000}"/>
    <cellStyle name="40% - Accent3 3 2 2 2 2 3 2" xfId="6948" xr:uid="{00000000-0005-0000-0000-000079460000}"/>
    <cellStyle name="40% - Accent3 3 2 2 2 2 3 2 2" xfId="14220" xr:uid="{00000000-0005-0000-0000-00007A460000}"/>
    <cellStyle name="40% - Accent3 3 2 2 2 2 3 2 2 2" xfId="28754" xr:uid="{00000000-0005-0000-0000-00007B460000}"/>
    <cellStyle name="40% - Accent3 3 2 2 2 2 3 2 2 2 2" xfId="57760" xr:uid="{00000000-0005-0000-0000-00007C460000}"/>
    <cellStyle name="40% - Accent3 3 2 2 2 2 3 2 2 3" xfId="43261" xr:uid="{00000000-0005-0000-0000-00007D460000}"/>
    <cellStyle name="40% - Accent3 3 2 2 2 2 3 2 3" xfId="21506" xr:uid="{00000000-0005-0000-0000-00007E460000}"/>
    <cellStyle name="40% - Accent3 3 2 2 2 2 3 2 3 2" xfId="50512" xr:uid="{00000000-0005-0000-0000-00007F460000}"/>
    <cellStyle name="40% - Accent3 3 2 2 2 2 3 2 4" xfId="36013" xr:uid="{00000000-0005-0000-0000-000080460000}"/>
    <cellStyle name="40% - Accent3 3 2 2 2 2 3 3" xfId="11116" xr:uid="{00000000-0005-0000-0000-000081460000}"/>
    <cellStyle name="40% - Accent3 3 2 2 2 2 3 3 2" xfId="25650" xr:uid="{00000000-0005-0000-0000-000082460000}"/>
    <cellStyle name="40% - Accent3 3 2 2 2 2 3 3 2 2" xfId="54656" xr:uid="{00000000-0005-0000-0000-000083460000}"/>
    <cellStyle name="40% - Accent3 3 2 2 2 2 3 3 3" xfId="40157" xr:uid="{00000000-0005-0000-0000-000084460000}"/>
    <cellStyle name="40% - Accent3 3 2 2 2 2 3 4" xfId="18402" xr:uid="{00000000-0005-0000-0000-000085460000}"/>
    <cellStyle name="40% - Accent3 3 2 2 2 2 3 4 2" xfId="47408" xr:uid="{00000000-0005-0000-0000-000086460000}"/>
    <cellStyle name="40% - Accent3 3 2 2 2 2 3 5" xfId="32909" xr:uid="{00000000-0005-0000-0000-000087460000}"/>
    <cellStyle name="40% - Accent3 3 2 2 2 2 4" xfId="4876" xr:uid="{00000000-0005-0000-0000-000088460000}"/>
    <cellStyle name="40% - Accent3 3 2 2 2 2 4 2" xfId="12148" xr:uid="{00000000-0005-0000-0000-000089460000}"/>
    <cellStyle name="40% - Accent3 3 2 2 2 2 4 2 2" xfId="26682" xr:uid="{00000000-0005-0000-0000-00008A460000}"/>
    <cellStyle name="40% - Accent3 3 2 2 2 2 4 2 2 2" xfId="55688" xr:uid="{00000000-0005-0000-0000-00008B460000}"/>
    <cellStyle name="40% - Accent3 3 2 2 2 2 4 2 3" xfId="41189" xr:uid="{00000000-0005-0000-0000-00008C460000}"/>
    <cellStyle name="40% - Accent3 3 2 2 2 2 4 3" xfId="19434" xr:uid="{00000000-0005-0000-0000-00008D460000}"/>
    <cellStyle name="40% - Accent3 3 2 2 2 2 4 3 2" xfId="48440" xr:uid="{00000000-0005-0000-0000-00008E460000}"/>
    <cellStyle name="40% - Accent3 3 2 2 2 2 4 4" xfId="33941" xr:uid="{00000000-0005-0000-0000-00008F460000}"/>
    <cellStyle name="40% - Accent3 3 2 2 2 2 5" xfId="7980" xr:uid="{00000000-0005-0000-0000-000090460000}"/>
    <cellStyle name="40% - Accent3 3 2 2 2 2 5 2" xfId="15252" xr:uid="{00000000-0005-0000-0000-000091460000}"/>
    <cellStyle name="40% - Accent3 3 2 2 2 2 5 2 2" xfId="29786" xr:uid="{00000000-0005-0000-0000-000092460000}"/>
    <cellStyle name="40% - Accent3 3 2 2 2 2 5 2 2 2" xfId="58792" xr:uid="{00000000-0005-0000-0000-000093460000}"/>
    <cellStyle name="40% - Accent3 3 2 2 2 2 5 2 3" xfId="44293" xr:uid="{00000000-0005-0000-0000-000094460000}"/>
    <cellStyle name="40% - Accent3 3 2 2 2 2 5 3" xfId="22538" xr:uid="{00000000-0005-0000-0000-000095460000}"/>
    <cellStyle name="40% - Accent3 3 2 2 2 2 5 3 2" xfId="51544" xr:uid="{00000000-0005-0000-0000-000096460000}"/>
    <cellStyle name="40% - Accent3 3 2 2 2 2 5 4" xfId="37045" xr:uid="{00000000-0005-0000-0000-000097460000}"/>
    <cellStyle name="40% - Accent3 3 2 2 2 2 6" xfId="9044" xr:uid="{00000000-0005-0000-0000-000098460000}"/>
    <cellStyle name="40% - Accent3 3 2 2 2 2 6 2" xfId="23578" xr:uid="{00000000-0005-0000-0000-000099460000}"/>
    <cellStyle name="40% - Accent3 3 2 2 2 2 6 2 2" xfId="52584" xr:uid="{00000000-0005-0000-0000-00009A460000}"/>
    <cellStyle name="40% - Accent3 3 2 2 2 2 6 3" xfId="38085" xr:uid="{00000000-0005-0000-0000-00009B460000}"/>
    <cellStyle name="40% - Accent3 3 2 2 2 2 7" xfId="16330" xr:uid="{00000000-0005-0000-0000-00009C460000}"/>
    <cellStyle name="40% - Accent3 3 2 2 2 2 7 2" xfId="45336" xr:uid="{00000000-0005-0000-0000-00009D460000}"/>
    <cellStyle name="40% - Accent3 3 2 2 2 2 8" xfId="30837" xr:uid="{00000000-0005-0000-0000-00009E460000}"/>
    <cellStyle name="40% - Accent3 3 2 2 2 3" xfId="2300" xr:uid="{00000000-0005-0000-0000-00009F460000}"/>
    <cellStyle name="40% - Accent3 3 2 2 2 3 2" xfId="5404" xr:uid="{00000000-0005-0000-0000-0000A0460000}"/>
    <cellStyle name="40% - Accent3 3 2 2 2 3 2 2" xfId="12676" xr:uid="{00000000-0005-0000-0000-0000A1460000}"/>
    <cellStyle name="40% - Accent3 3 2 2 2 3 2 2 2" xfId="27210" xr:uid="{00000000-0005-0000-0000-0000A2460000}"/>
    <cellStyle name="40% - Accent3 3 2 2 2 3 2 2 2 2" xfId="56216" xr:uid="{00000000-0005-0000-0000-0000A3460000}"/>
    <cellStyle name="40% - Accent3 3 2 2 2 3 2 2 3" xfId="41717" xr:uid="{00000000-0005-0000-0000-0000A4460000}"/>
    <cellStyle name="40% - Accent3 3 2 2 2 3 2 3" xfId="19962" xr:uid="{00000000-0005-0000-0000-0000A5460000}"/>
    <cellStyle name="40% - Accent3 3 2 2 2 3 2 3 2" xfId="48968" xr:uid="{00000000-0005-0000-0000-0000A6460000}"/>
    <cellStyle name="40% - Accent3 3 2 2 2 3 2 4" xfId="34469" xr:uid="{00000000-0005-0000-0000-0000A7460000}"/>
    <cellStyle name="40% - Accent3 3 2 2 2 3 3" xfId="9572" xr:uid="{00000000-0005-0000-0000-0000A8460000}"/>
    <cellStyle name="40% - Accent3 3 2 2 2 3 3 2" xfId="24106" xr:uid="{00000000-0005-0000-0000-0000A9460000}"/>
    <cellStyle name="40% - Accent3 3 2 2 2 3 3 2 2" xfId="53112" xr:uid="{00000000-0005-0000-0000-0000AA460000}"/>
    <cellStyle name="40% - Accent3 3 2 2 2 3 3 3" xfId="38613" xr:uid="{00000000-0005-0000-0000-0000AB460000}"/>
    <cellStyle name="40% - Accent3 3 2 2 2 3 4" xfId="16858" xr:uid="{00000000-0005-0000-0000-0000AC460000}"/>
    <cellStyle name="40% - Accent3 3 2 2 2 3 4 2" xfId="45864" xr:uid="{00000000-0005-0000-0000-0000AD460000}"/>
    <cellStyle name="40% - Accent3 3 2 2 2 3 5" xfId="31365" xr:uid="{00000000-0005-0000-0000-0000AE460000}"/>
    <cellStyle name="40% - Accent3 3 2 2 2 4" xfId="3332" xr:uid="{00000000-0005-0000-0000-0000AF460000}"/>
    <cellStyle name="40% - Accent3 3 2 2 2 4 2" xfId="6436" xr:uid="{00000000-0005-0000-0000-0000B0460000}"/>
    <cellStyle name="40% - Accent3 3 2 2 2 4 2 2" xfId="13708" xr:uid="{00000000-0005-0000-0000-0000B1460000}"/>
    <cellStyle name="40% - Accent3 3 2 2 2 4 2 2 2" xfId="28242" xr:uid="{00000000-0005-0000-0000-0000B2460000}"/>
    <cellStyle name="40% - Accent3 3 2 2 2 4 2 2 2 2" xfId="57248" xr:uid="{00000000-0005-0000-0000-0000B3460000}"/>
    <cellStyle name="40% - Accent3 3 2 2 2 4 2 2 3" xfId="42749" xr:uid="{00000000-0005-0000-0000-0000B4460000}"/>
    <cellStyle name="40% - Accent3 3 2 2 2 4 2 3" xfId="20994" xr:uid="{00000000-0005-0000-0000-0000B5460000}"/>
    <cellStyle name="40% - Accent3 3 2 2 2 4 2 3 2" xfId="50000" xr:uid="{00000000-0005-0000-0000-0000B6460000}"/>
    <cellStyle name="40% - Accent3 3 2 2 2 4 2 4" xfId="35501" xr:uid="{00000000-0005-0000-0000-0000B7460000}"/>
    <cellStyle name="40% - Accent3 3 2 2 2 4 3" xfId="10604" xr:uid="{00000000-0005-0000-0000-0000B8460000}"/>
    <cellStyle name="40% - Accent3 3 2 2 2 4 3 2" xfId="25138" xr:uid="{00000000-0005-0000-0000-0000B9460000}"/>
    <cellStyle name="40% - Accent3 3 2 2 2 4 3 2 2" xfId="54144" xr:uid="{00000000-0005-0000-0000-0000BA460000}"/>
    <cellStyle name="40% - Accent3 3 2 2 2 4 3 3" xfId="39645" xr:uid="{00000000-0005-0000-0000-0000BB460000}"/>
    <cellStyle name="40% - Accent3 3 2 2 2 4 4" xfId="17890" xr:uid="{00000000-0005-0000-0000-0000BC460000}"/>
    <cellStyle name="40% - Accent3 3 2 2 2 4 4 2" xfId="46896" xr:uid="{00000000-0005-0000-0000-0000BD460000}"/>
    <cellStyle name="40% - Accent3 3 2 2 2 4 5" xfId="32397" xr:uid="{00000000-0005-0000-0000-0000BE460000}"/>
    <cellStyle name="40% - Accent3 3 2 2 2 5" xfId="4364" xr:uid="{00000000-0005-0000-0000-0000BF460000}"/>
    <cellStyle name="40% - Accent3 3 2 2 2 5 2" xfId="11636" xr:uid="{00000000-0005-0000-0000-0000C0460000}"/>
    <cellStyle name="40% - Accent3 3 2 2 2 5 2 2" xfId="26170" xr:uid="{00000000-0005-0000-0000-0000C1460000}"/>
    <cellStyle name="40% - Accent3 3 2 2 2 5 2 2 2" xfId="55176" xr:uid="{00000000-0005-0000-0000-0000C2460000}"/>
    <cellStyle name="40% - Accent3 3 2 2 2 5 2 3" xfId="40677" xr:uid="{00000000-0005-0000-0000-0000C3460000}"/>
    <cellStyle name="40% - Accent3 3 2 2 2 5 3" xfId="18922" xr:uid="{00000000-0005-0000-0000-0000C4460000}"/>
    <cellStyle name="40% - Accent3 3 2 2 2 5 3 2" xfId="47928" xr:uid="{00000000-0005-0000-0000-0000C5460000}"/>
    <cellStyle name="40% - Accent3 3 2 2 2 5 4" xfId="33429" xr:uid="{00000000-0005-0000-0000-0000C6460000}"/>
    <cellStyle name="40% - Accent3 3 2 2 2 6" xfId="7468" xr:uid="{00000000-0005-0000-0000-0000C7460000}"/>
    <cellStyle name="40% - Accent3 3 2 2 2 6 2" xfId="14740" xr:uid="{00000000-0005-0000-0000-0000C8460000}"/>
    <cellStyle name="40% - Accent3 3 2 2 2 6 2 2" xfId="29274" xr:uid="{00000000-0005-0000-0000-0000C9460000}"/>
    <cellStyle name="40% - Accent3 3 2 2 2 6 2 2 2" xfId="58280" xr:uid="{00000000-0005-0000-0000-0000CA460000}"/>
    <cellStyle name="40% - Accent3 3 2 2 2 6 2 3" xfId="43781" xr:uid="{00000000-0005-0000-0000-0000CB460000}"/>
    <cellStyle name="40% - Accent3 3 2 2 2 6 3" xfId="22026" xr:uid="{00000000-0005-0000-0000-0000CC460000}"/>
    <cellStyle name="40% - Accent3 3 2 2 2 6 3 2" xfId="51032" xr:uid="{00000000-0005-0000-0000-0000CD460000}"/>
    <cellStyle name="40% - Accent3 3 2 2 2 6 4" xfId="36533" xr:uid="{00000000-0005-0000-0000-0000CE460000}"/>
    <cellStyle name="40% - Accent3 3 2 2 2 7" xfId="8532" xr:uid="{00000000-0005-0000-0000-0000CF460000}"/>
    <cellStyle name="40% - Accent3 3 2 2 2 7 2" xfId="23066" xr:uid="{00000000-0005-0000-0000-0000D0460000}"/>
    <cellStyle name="40% - Accent3 3 2 2 2 7 2 2" xfId="52072" xr:uid="{00000000-0005-0000-0000-0000D1460000}"/>
    <cellStyle name="40% - Accent3 3 2 2 2 7 3" xfId="37573" xr:uid="{00000000-0005-0000-0000-0000D2460000}"/>
    <cellStyle name="40% - Accent3 3 2 2 2 8" xfId="15818" xr:uid="{00000000-0005-0000-0000-0000D3460000}"/>
    <cellStyle name="40% - Accent3 3 2 2 2 8 2" xfId="44824" xr:uid="{00000000-0005-0000-0000-0000D4460000}"/>
    <cellStyle name="40% - Accent3 3 2 2 2 9" xfId="30325" xr:uid="{00000000-0005-0000-0000-0000D5460000}"/>
    <cellStyle name="40% - Accent3 3 2 2 3" xfId="1448" xr:uid="{00000000-0005-0000-0000-0000D6460000}"/>
    <cellStyle name="40% - Accent3 3 2 2 3 2" xfId="2506" xr:uid="{00000000-0005-0000-0000-0000D7460000}"/>
    <cellStyle name="40% - Accent3 3 2 2 3 2 2" xfId="5610" xr:uid="{00000000-0005-0000-0000-0000D8460000}"/>
    <cellStyle name="40% - Accent3 3 2 2 3 2 2 2" xfId="12882" xr:uid="{00000000-0005-0000-0000-0000D9460000}"/>
    <cellStyle name="40% - Accent3 3 2 2 3 2 2 2 2" xfId="27416" xr:uid="{00000000-0005-0000-0000-0000DA460000}"/>
    <cellStyle name="40% - Accent3 3 2 2 3 2 2 2 2 2" xfId="56422" xr:uid="{00000000-0005-0000-0000-0000DB460000}"/>
    <cellStyle name="40% - Accent3 3 2 2 3 2 2 2 3" xfId="41923" xr:uid="{00000000-0005-0000-0000-0000DC460000}"/>
    <cellStyle name="40% - Accent3 3 2 2 3 2 2 3" xfId="20168" xr:uid="{00000000-0005-0000-0000-0000DD460000}"/>
    <cellStyle name="40% - Accent3 3 2 2 3 2 2 3 2" xfId="49174" xr:uid="{00000000-0005-0000-0000-0000DE460000}"/>
    <cellStyle name="40% - Accent3 3 2 2 3 2 2 4" xfId="34675" xr:uid="{00000000-0005-0000-0000-0000DF460000}"/>
    <cellStyle name="40% - Accent3 3 2 2 3 2 3" xfId="9778" xr:uid="{00000000-0005-0000-0000-0000E0460000}"/>
    <cellStyle name="40% - Accent3 3 2 2 3 2 3 2" xfId="24312" xr:uid="{00000000-0005-0000-0000-0000E1460000}"/>
    <cellStyle name="40% - Accent3 3 2 2 3 2 3 2 2" xfId="53318" xr:uid="{00000000-0005-0000-0000-0000E2460000}"/>
    <cellStyle name="40% - Accent3 3 2 2 3 2 3 3" xfId="38819" xr:uid="{00000000-0005-0000-0000-0000E3460000}"/>
    <cellStyle name="40% - Accent3 3 2 2 3 2 4" xfId="17064" xr:uid="{00000000-0005-0000-0000-0000E4460000}"/>
    <cellStyle name="40% - Accent3 3 2 2 3 2 4 2" xfId="46070" xr:uid="{00000000-0005-0000-0000-0000E5460000}"/>
    <cellStyle name="40% - Accent3 3 2 2 3 2 5" xfId="31571" xr:uid="{00000000-0005-0000-0000-0000E6460000}"/>
    <cellStyle name="40% - Accent3 3 2 2 3 3" xfId="3538" xr:uid="{00000000-0005-0000-0000-0000E7460000}"/>
    <cellStyle name="40% - Accent3 3 2 2 3 3 2" xfId="6642" xr:uid="{00000000-0005-0000-0000-0000E8460000}"/>
    <cellStyle name="40% - Accent3 3 2 2 3 3 2 2" xfId="13914" xr:uid="{00000000-0005-0000-0000-0000E9460000}"/>
    <cellStyle name="40% - Accent3 3 2 2 3 3 2 2 2" xfId="28448" xr:uid="{00000000-0005-0000-0000-0000EA460000}"/>
    <cellStyle name="40% - Accent3 3 2 2 3 3 2 2 2 2" xfId="57454" xr:uid="{00000000-0005-0000-0000-0000EB460000}"/>
    <cellStyle name="40% - Accent3 3 2 2 3 3 2 2 3" xfId="42955" xr:uid="{00000000-0005-0000-0000-0000EC460000}"/>
    <cellStyle name="40% - Accent3 3 2 2 3 3 2 3" xfId="21200" xr:uid="{00000000-0005-0000-0000-0000ED460000}"/>
    <cellStyle name="40% - Accent3 3 2 2 3 3 2 3 2" xfId="50206" xr:uid="{00000000-0005-0000-0000-0000EE460000}"/>
    <cellStyle name="40% - Accent3 3 2 2 3 3 2 4" xfId="35707" xr:uid="{00000000-0005-0000-0000-0000EF460000}"/>
    <cellStyle name="40% - Accent3 3 2 2 3 3 3" xfId="10810" xr:uid="{00000000-0005-0000-0000-0000F0460000}"/>
    <cellStyle name="40% - Accent3 3 2 2 3 3 3 2" xfId="25344" xr:uid="{00000000-0005-0000-0000-0000F1460000}"/>
    <cellStyle name="40% - Accent3 3 2 2 3 3 3 2 2" xfId="54350" xr:uid="{00000000-0005-0000-0000-0000F2460000}"/>
    <cellStyle name="40% - Accent3 3 2 2 3 3 3 3" xfId="39851" xr:uid="{00000000-0005-0000-0000-0000F3460000}"/>
    <cellStyle name="40% - Accent3 3 2 2 3 3 4" xfId="18096" xr:uid="{00000000-0005-0000-0000-0000F4460000}"/>
    <cellStyle name="40% - Accent3 3 2 2 3 3 4 2" xfId="47102" xr:uid="{00000000-0005-0000-0000-0000F5460000}"/>
    <cellStyle name="40% - Accent3 3 2 2 3 3 5" xfId="32603" xr:uid="{00000000-0005-0000-0000-0000F6460000}"/>
    <cellStyle name="40% - Accent3 3 2 2 3 4" xfId="4570" xr:uid="{00000000-0005-0000-0000-0000F7460000}"/>
    <cellStyle name="40% - Accent3 3 2 2 3 4 2" xfId="11842" xr:uid="{00000000-0005-0000-0000-0000F8460000}"/>
    <cellStyle name="40% - Accent3 3 2 2 3 4 2 2" xfId="26376" xr:uid="{00000000-0005-0000-0000-0000F9460000}"/>
    <cellStyle name="40% - Accent3 3 2 2 3 4 2 2 2" xfId="55382" xr:uid="{00000000-0005-0000-0000-0000FA460000}"/>
    <cellStyle name="40% - Accent3 3 2 2 3 4 2 3" xfId="40883" xr:uid="{00000000-0005-0000-0000-0000FB460000}"/>
    <cellStyle name="40% - Accent3 3 2 2 3 4 3" xfId="19128" xr:uid="{00000000-0005-0000-0000-0000FC460000}"/>
    <cellStyle name="40% - Accent3 3 2 2 3 4 3 2" xfId="48134" xr:uid="{00000000-0005-0000-0000-0000FD460000}"/>
    <cellStyle name="40% - Accent3 3 2 2 3 4 4" xfId="33635" xr:uid="{00000000-0005-0000-0000-0000FE460000}"/>
    <cellStyle name="40% - Accent3 3 2 2 3 5" xfId="7674" xr:uid="{00000000-0005-0000-0000-0000FF460000}"/>
    <cellStyle name="40% - Accent3 3 2 2 3 5 2" xfId="14946" xr:uid="{00000000-0005-0000-0000-000000470000}"/>
    <cellStyle name="40% - Accent3 3 2 2 3 5 2 2" xfId="29480" xr:uid="{00000000-0005-0000-0000-000001470000}"/>
    <cellStyle name="40% - Accent3 3 2 2 3 5 2 2 2" xfId="58486" xr:uid="{00000000-0005-0000-0000-000002470000}"/>
    <cellStyle name="40% - Accent3 3 2 2 3 5 2 3" xfId="43987" xr:uid="{00000000-0005-0000-0000-000003470000}"/>
    <cellStyle name="40% - Accent3 3 2 2 3 5 3" xfId="22232" xr:uid="{00000000-0005-0000-0000-000004470000}"/>
    <cellStyle name="40% - Accent3 3 2 2 3 5 3 2" xfId="51238" xr:uid="{00000000-0005-0000-0000-000005470000}"/>
    <cellStyle name="40% - Accent3 3 2 2 3 5 4" xfId="36739" xr:uid="{00000000-0005-0000-0000-000006470000}"/>
    <cellStyle name="40% - Accent3 3 2 2 3 6" xfId="8738" xr:uid="{00000000-0005-0000-0000-000007470000}"/>
    <cellStyle name="40% - Accent3 3 2 2 3 6 2" xfId="23272" xr:uid="{00000000-0005-0000-0000-000008470000}"/>
    <cellStyle name="40% - Accent3 3 2 2 3 6 2 2" xfId="52278" xr:uid="{00000000-0005-0000-0000-000009470000}"/>
    <cellStyle name="40% - Accent3 3 2 2 3 6 3" xfId="37779" xr:uid="{00000000-0005-0000-0000-00000A470000}"/>
    <cellStyle name="40% - Accent3 3 2 2 3 7" xfId="16024" xr:uid="{00000000-0005-0000-0000-00000B470000}"/>
    <cellStyle name="40% - Accent3 3 2 2 3 7 2" xfId="45030" xr:uid="{00000000-0005-0000-0000-00000C470000}"/>
    <cellStyle name="40% - Accent3 3 2 2 3 8" xfId="30531" xr:uid="{00000000-0005-0000-0000-00000D470000}"/>
    <cellStyle name="40% - Accent3 3 2 2 4" xfId="1994" xr:uid="{00000000-0005-0000-0000-00000E470000}"/>
    <cellStyle name="40% - Accent3 3 2 2 4 2" xfId="5098" xr:uid="{00000000-0005-0000-0000-00000F470000}"/>
    <cellStyle name="40% - Accent3 3 2 2 4 2 2" xfId="12370" xr:uid="{00000000-0005-0000-0000-000010470000}"/>
    <cellStyle name="40% - Accent3 3 2 2 4 2 2 2" xfId="26904" xr:uid="{00000000-0005-0000-0000-000011470000}"/>
    <cellStyle name="40% - Accent3 3 2 2 4 2 2 2 2" xfId="55910" xr:uid="{00000000-0005-0000-0000-000012470000}"/>
    <cellStyle name="40% - Accent3 3 2 2 4 2 2 3" xfId="41411" xr:uid="{00000000-0005-0000-0000-000013470000}"/>
    <cellStyle name="40% - Accent3 3 2 2 4 2 3" xfId="19656" xr:uid="{00000000-0005-0000-0000-000014470000}"/>
    <cellStyle name="40% - Accent3 3 2 2 4 2 3 2" xfId="48662" xr:uid="{00000000-0005-0000-0000-000015470000}"/>
    <cellStyle name="40% - Accent3 3 2 2 4 2 4" xfId="34163" xr:uid="{00000000-0005-0000-0000-000016470000}"/>
    <cellStyle name="40% - Accent3 3 2 2 4 3" xfId="9266" xr:uid="{00000000-0005-0000-0000-000017470000}"/>
    <cellStyle name="40% - Accent3 3 2 2 4 3 2" xfId="23800" xr:uid="{00000000-0005-0000-0000-000018470000}"/>
    <cellStyle name="40% - Accent3 3 2 2 4 3 2 2" xfId="52806" xr:uid="{00000000-0005-0000-0000-000019470000}"/>
    <cellStyle name="40% - Accent3 3 2 2 4 3 3" xfId="38307" xr:uid="{00000000-0005-0000-0000-00001A470000}"/>
    <cellStyle name="40% - Accent3 3 2 2 4 4" xfId="16552" xr:uid="{00000000-0005-0000-0000-00001B470000}"/>
    <cellStyle name="40% - Accent3 3 2 2 4 4 2" xfId="45558" xr:uid="{00000000-0005-0000-0000-00001C470000}"/>
    <cellStyle name="40% - Accent3 3 2 2 4 5" xfId="31059" xr:uid="{00000000-0005-0000-0000-00001D470000}"/>
    <cellStyle name="40% - Accent3 3 2 2 5" xfId="3026" xr:uid="{00000000-0005-0000-0000-00001E470000}"/>
    <cellStyle name="40% - Accent3 3 2 2 5 2" xfId="6130" xr:uid="{00000000-0005-0000-0000-00001F470000}"/>
    <cellStyle name="40% - Accent3 3 2 2 5 2 2" xfId="13402" xr:uid="{00000000-0005-0000-0000-000020470000}"/>
    <cellStyle name="40% - Accent3 3 2 2 5 2 2 2" xfId="27936" xr:uid="{00000000-0005-0000-0000-000021470000}"/>
    <cellStyle name="40% - Accent3 3 2 2 5 2 2 2 2" xfId="56942" xr:uid="{00000000-0005-0000-0000-000022470000}"/>
    <cellStyle name="40% - Accent3 3 2 2 5 2 2 3" xfId="42443" xr:uid="{00000000-0005-0000-0000-000023470000}"/>
    <cellStyle name="40% - Accent3 3 2 2 5 2 3" xfId="20688" xr:uid="{00000000-0005-0000-0000-000024470000}"/>
    <cellStyle name="40% - Accent3 3 2 2 5 2 3 2" xfId="49694" xr:uid="{00000000-0005-0000-0000-000025470000}"/>
    <cellStyle name="40% - Accent3 3 2 2 5 2 4" xfId="35195" xr:uid="{00000000-0005-0000-0000-000026470000}"/>
    <cellStyle name="40% - Accent3 3 2 2 5 3" xfId="10298" xr:uid="{00000000-0005-0000-0000-000027470000}"/>
    <cellStyle name="40% - Accent3 3 2 2 5 3 2" xfId="24832" xr:uid="{00000000-0005-0000-0000-000028470000}"/>
    <cellStyle name="40% - Accent3 3 2 2 5 3 2 2" xfId="53838" xr:uid="{00000000-0005-0000-0000-000029470000}"/>
    <cellStyle name="40% - Accent3 3 2 2 5 3 3" xfId="39339" xr:uid="{00000000-0005-0000-0000-00002A470000}"/>
    <cellStyle name="40% - Accent3 3 2 2 5 4" xfId="17584" xr:uid="{00000000-0005-0000-0000-00002B470000}"/>
    <cellStyle name="40% - Accent3 3 2 2 5 4 2" xfId="46590" xr:uid="{00000000-0005-0000-0000-00002C470000}"/>
    <cellStyle name="40% - Accent3 3 2 2 5 5" xfId="32091" xr:uid="{00000000-0005-0000-0000-00002D470000}"/>
    <cellStyle name="40% - Accent3 3 2 2 6" xfId="4058" xr:uid="{00000000-0005-0000-0000-00002E470000}"/>
    <cellStyle name="40% - Accent3 3 2 2 6 2" xfId="11330" xr:uid="{00000000-0005-0000-0000-00002F470000}"/>
    <cellStyle name="40% - Accent3 3 2 2 6 2 2" xfId="25864" xr:uid="{00000000-0005-0000-0000-000030470000}"/>
    <cellStyle name="40% - Accent3 3 2 2 6 2 2 2" xfId="54870" xr:uid="{00000000-0005-0000-0000-000031470000}"/>
    <cellStyle name="40% - Accent3 3 2 2 6 2 3" xfId="40371" xr:uid="{00000000-0005-0000-0000-000032470000}"/>
    <cellStyle name="40% - Accent3 3 2 2 6 3" xfId="18616" xr:uid="{00000000-0005-0000-0000-000033470000}"/>
    <cellStyle name="40% - Accent3 3 2 2 6 3 2" xfId="47622" xr:uid="{00000000-0005-0000-0000-000034470000}"/>
    <cellStyle name="40% - Accent3 3 2 2 6 4" xfId="33123" xr:uid="{00000000-0005-0000-0000-000035470000}"/>
    <cellStyle name="40% - Accent3 3 2 2 7" xfId="7162" xr:uid="{00000000-0005-0000-0000-000036470000}"/>
    <cellStyle name="40% - Accent3 3 2 2 7 2" xfId="14434" xr:uid="{00000000-0005-0000-0000-000037470000}"/>
    <cellStyle name="40% - Accent3 3 2 2 7 2 2" xfId="28968" xr:uid="{00000000-0005-0000-0000-000038470000}"/>
    <cellStyle name="40% - Accent3 3 2 2 7 2 2 2" xfId="57974" xr:uid="{00000000-0005-0000-0000-000039470000}"/>
    <cellStyle name="40% - Accent3 3 2 2 7 2 3" xfId="43475" xr:uid="{00000000-0005-0000-0000-00003A470000}"/>
    <cellStyle name="40% - Accent3 3 2 2 7 3" xfId="21720" xr:uid="{00000000-0005-0000-0000-00003B470000}"/>
    <cellStyle name="40% - Accent3 3 2 2 7 3 2" xfId="50726" xr:uid="{00000000-0005-0000-0000-00003C470000}"/>
    <cellStyle name="40% - Accent3 3 2 2 7 4" xfId="36227" xr:uid="{00000000-0005-0000-0000-00003D470000}"/>
    <cellStyle name="40% - Accent3 3 2 2 8" xfId="8226" xr:uid="{00000000-0005-0000-0000-00003E470000}"/>
    <cellStyle name="40% - Accent3 3 2 2 8 2" xfId="22760" xr:uid="{00000000-0005-0000-0000-00003F470000}"/>
    <cellStyle name="40% - Accent3 3 2 2 8 2 2" xfId="51766" xr:uid="{00000000-0005-0000-0000-000040470000}"/>
    <cellStyle name="40% - Accent3 3 2 2 8 3" xfId="37267" xr:uid="{00000000-0005-0000-0000-000041470000}"/>
    <cellStyle name="40% - Accent3 3 2 2 9" xfId="15512" xr:uid="{00000000-0005-0000-0000-000042470000}"/>
    <cellStyle name="40% - Accent3 3 2 2 9 2" xfId="44518" xr:uid="{00000000-0005-0000-0000-000043470000}"/>
    <cellStyle name="40% - Accent3 3 2 3" xfId="1151" xr:uid="{00000000-0005-0000-0000-000044470000}"/>
    <cellStyle name="40% - Accent3 3 2 3 2" xfId="1650" xr:uid="{00000000-0005-0000-0000-000045470000}"/>
    <cellStyle name="40% - Accent3 3 2 3 2 2" xfId="2709" xr:uid="{00000000-0005-0000-0000-000046470000}"/>
    <cellStyle name="40% - Accent3 3 2 3 2 2 2" xfId="5813" xr:uid="{00000000-0005-0000-0000-000047470000}"/>
    <cellStyle name="40% - Accent3 3 2 3 2 2 2 2" xfId="13085" xr:uid="{00000000-0005-0000-0000-000048470000}"/>
    <cellStyle name="40% - Accent3 3 2 3 2 2 2 2 2" xfId="27619" xr:uid="{00000000-0005-0000-0000-000049470000}"/>
    <cellStyle name="40% - Accent3 3 2 3 2 2 2 2 2 2" xfId="56625" xr:uid="{00000000-0005-0000-0000-00004A470000}"/>
    <cellStyle name="40% - Accent3 3 2 3 2 2 2 2 3" xfId="42126" xr:uid="{00000000-0005-0000-0000-00004B470000}"/>
    <cellStyle name="40% - Accent3 3 2 3 2 2 2 3" xfId="20371" xr:uid="{00000000-0005-0000-0000-00004C470000}"/>
    <cellStyle name="40% - Accent3 3 2 3 2 2 2 3 2" xfId="49377" xr:uid="{00000000-0005-0000-0000-00004D470000}"/>
    <cellStyle name="40% - Accent3 3 2 3 2 2 2 4" xfId="34878" xr:uid="{00000000-0005-0000-0000-00004E470000}"/>
    <cellStyle name="40% - Accent3 3 2 3 2 2 3" xfId="9981" xr:uid="{00000000-0005-0000-0000-00004F470000}"/>
    <cellStyle name="40% - Accent3 3 2 3 2 2 3 2" xfId="24515" xr:uid="{00000000-0005-0000-0000-000050470000}"/>
    <cellStyle name="40% - Accent3 3 2 3 2 2 3 2 2" xfId="53521" xr:uid="{00000000-0005-0000-0000-000051470000}"/>
    <cellStyle name="40% - Accent3 3 2 3 2 2 3 3" xfId="39022" xr:uid="{00000000-0005-0000-0000-000052470000}"/>
    <cellStyle name="40% - Accent3 3 2 3 2 2 4" xfId="17267" xr:uid="{00000000-0005-0000-0000-000053470000}"/>
    <cellStyle name="40% - Accent3 3 2 3 2 2 4 2" xfId="46273" xr:uid="{00000000-0005-0000-0000-000054470000}"/>
    <cellStyle name="40% - Accent3 3 2 3 2 2 5" xfId="31774" xr:uid="{00000000-0005-0000-0000-000055470000}"/>
    <cellStyle name="40% - Accent3 3 2 3 2 3" xfId="3741" xr:uid="{00000000-0005-0000-0000-000056470000}"/>
    <cellStyle name="40% - Accent3 3 2 3 2 3 2" xfId="6845" xr:uid="{00000000-0005-0000-0000-000057470000}"/>
    <cellStyle name="40% - Accent3 3 2 3 2 3 2 2" xfId="14117" xr:uid="{00000000-0005-0000-0000-000058470000}"/>
    <cellStyle name="40% - Accent3 3 2 3 2 3 2 2 2" xfId="28651" xr:uid="{00000000-0005-0000-0000-000059470000}"/>
    <cellStyle name="40% - Accent3 3 2 3 2 3 2 2 2 2" xfId="57657" xr:uid="{00000000-0005-0000-0000-00005A470000}"/>
    <cellStyle name="40% - Accent3 3 2 3 2 3 2 2 3" xfId="43158" xr:uid="{00000000-0005-0000-0000-00005B470000}"/>
    <cellStyle name="40% - Accent3 3 2 3 2 3 2 3" xfId="21403" xr:uid="{00000000-0005-0000-0000-00005C470000}"/>
    <cellStyle name="40% - Accent3 3 2 3 2 3 2 3 2" xfId="50409" xr:uid="{00000000-0005-0000-0000-00005D470000}"/>
    <cellStyle name="40% - Accent3 3 2 3 2 3 2 4" xfId="35910" xr:uid="{00000000-0005-0000-0000-00005E470000}"/>
    <cellStyle name="40% - Accent3 3 2 3 2 3 3" xfId="11013" xr:uid="{00000000-0005-0000-0000-00005F470000}"/>
    <cellStyle name="40% - Accent3 3 2 3 2 3 3 2" xfId="25547" xr:uid="{00000000-0005-0000-0000-000060470000}"/>
    <cellStyle name="40% - Accent3 3 2 3 2 3 3 2 2" xfId="54553" xr:uid="{00000000-0005-0000-0000-000061470000}"/>
    <cellStyle name="40% - Accent3 3 2 3 2 3 3 3" xfId="40054" xr:uid="{00000000-0005-0000-0000-000062470000}"/>
    <cellStyle name="40% - Accent3 3 2 3 2 3 4" xfId="18299" xr:uid="{00000000-0005-0000-0000-000063470000}"/>
    <cellStyle name="40% - Accent3 3 2 3 2 3 4 2" xfId="47305" xr:uid="{00000000-0005-0000-0000-000064470000}"/>
    <cellStyle name="40% - Accent3 3 2 3 2 3 5" xfId="32806" xr:uid="{00000000-0005-0000-0000-000065470000}"/>
    <cellStyle name="40% - Accent3 3 2 3 2 4" xfId="4773" xr:uid="{00000000-0005-0000-0000-000066470000}"/>
    <cellStyle name="40% - Accent3 3 2 3 2 4 2" xfId="12045" xr:uid="{00000000-0005-0000-0000-000067470000}"/>
    <cellStyle name="40% - Accent3 3 2 3 2 4 2 2" xfId="26579" xr:uid="{00000000-0005-0000-0000-000068470000}"/>
    <cellStyle name="40% - Accent3 3 2 3 2 4 2 2 2" xfId="55585" xr:uid="{00000000-0005-0000-0000-000069470000}"/>
    <cellStyle name="40% - Accent3 3 2 3 2 4 2 3" xfId="41086" xr:uid="{00000000-0005-0000-0000-00006A470000}"/>
    <cellStyle name="40% - Accent3 3 2 3 2 4 3" xfId="19331" xr:uid="{00000000-0005-0000-0000-00006B470000}"/>
    <cellStyle name="40% - Accent3 3 2 3 2 4 3 2" xfId="48337" xr:uid="{00000000-0005-0000-0000-00006C470000}"/>
    <cellStyle name="40% - Accent3 3 2 3 2 4 4" xfId="33838" xr:uid="{00000000-0005-0000-0000-00006D470000}"/>
    <cellStyle name="40% - Accent3 3 2 3 2 5" xfId="7877" xr:uid="{00000000-0005-0000-0000-00006E470000}"/>
    <cellStyle name="40% - Accent3 3 2 3 2 5 2" xfId="15149" xr:uid="{00000000-0005-0000-0000-00006F470000}"/>
    <cellStyle name="40% - Accent3 3 2 3 2 5 2 2" xfId="29683" xr:uid="{00000000-0005-0000-0000-000070470000}"/>
    <cellStyle name="40% - Accent3 3 2 3 2 5 2 2 2" xfId="58689" xr:uid="{00000000-0005-0000-0000-000071470000}"/>
    <cellStyle name="40% - Accent3 3 2 3 2 5 2 3" xfId="44190" xr:uid="{00000000-0005-0000-0000-000072470000}"/>
    <cellStyle name="40% - Accent3 3 2 3 2 5 3" xfId="22435" xr:uid="{00000000-0005-0000-0000-000073470000}"/>
    <cellStyle name="40% - Accent3 3 2 3 2 5 3 2" xfId="51441" xr:uid="{00000000-0005-0000-0000-000074470000}"/>
    <cellStyle name="40% - Accent3 3 2 3 2 5 4" xfId="36942" xr:uid="{00000000-0005-0000-0000-000075470000}"/>
    <cellStyle name="40% - Accent3 3 2 3 2 6" xfId="8941" xr:uid="{00000000-0005-0000-0000-000076470000}"/>
    <cellStyle name="40% - Accent3 3 2 3 2 6 2" xfId="23475" xr:uid="{00000000-0005-0000-0000-000077470000}"/>
    <cellStyle name="40% - Accent3 3 2 3 2 6 2 2" xfId="52481" xr:uid="{00000000-0005-0000-0000-000078470000}"/>
    <cellStyle name="40% - Accent3 3 2 3 2 6 3" xfId="37982" xr:uid="{00000000-0005-0000-0000-000079470000}"/>
    <cellStyle name="40% - Accent3 3 2 3 2 7" xfId="16227" xr:uid="{00000000-0005-0000-0000-00007A470000}"/>
    <cellStyle name="40% - Accent3 3 2 3 2 7 2" xfId="45233" xr:uid="{00000000-0005-0000-0000-00007B470000}"/>
    <cellStyle name="40% - Accent3 3 2 3 2 8" xfId="30734" xr:uid="{00000000-0005-0000-0000-00007C470000}"/>
    <cellStyle name="40% - Accent3 3 2 3 3" xfId="2197" xr:uid="{00000000-0005-0000-0000-00007D470000}"/>
    <cellStyle name="40% - Accent3 3 2 3 3 2" xfId="5301" xr:uid="{00000000-0005-0000-0000-00007E470000}"/>
    <cellStyle name="40% - Accent3 3 2 3 3 2 2" xfId="12573" xr:uid="{00000000-0005-0000-0000-00007F470000}"/>
    <cellStyle name="40% - Accent3 3 2 3 3 2 2 2" xfId="27107" xr:uid="{00000000-0005-0000-0000-000080470000}"/>
    <cellStyle name="40% - Accent3 3 2 3 3 2 2 2 2" xfId="56113" xr:uid="{00000000-0005-0000-0000-000081470000}"/>
    <cellStyle name="40% - Accent3 3 2 3 3 2 2 3" xfId="41614" xr:uid="{00000000-0005-0000-0000-000082470000}"/>
    <cellStyle name="40% - Accent3 3 2 3 3 2 3" xfId="19859" xr:uid="{00000000-0005-0000-0000-000083470000}"/>
    <cellStyle name="40% - Accent3 3 2 3 3 2 3 2" xfId="48865" xr:uid="{00000000-0005-0000-0000-000084470000}"/>
    <cellStyle name="40% - Accent3 3 2 3 3 2 4" xfId="34366" xr:uid="{00000000-0005-0000-0000-000085470000}"/>
    <cellStyle name="40% - Accent3 3 2 3 3 3" xfId="9469" xr:uid="{00000000-0005-0000-0000-000086470000}"/>
    <cellStyle name="40% - Accent3 3 2 3 3 3 2" xfId="24003" xr:uid="{00000000-0005-0000-0000-000087470000}"/>
    <cellStyle name="40% - Accent3 3 2 3 3 3 2 2" xfId="53009" xr:uid="{00000000-0005-0000-0000-000088470000}"/>
    <cellStyle name="40% - Accent3 3 2 3 3 3 3" xfId="38510" xr:uid="{00000000-0005-0000-0000-000089470000}"/>
    <cellStyle name="40% - Accent3 3 2 3 3 4" xfId="16755" xr:uid="{00000000-0005-0000-0000-00008A470000}"/>
    <cellStyle name="40% - Accent3 3 2 3 3 4 2" xfId="45761" xr:uid="{00000000-0005-0000-0000-00008B470000}"/>
    <cellStyle name="40% - Accent3 3 2 3 3 5" xfId="31262" xr:uid="{00000000-0005-0000-0000-00008C470000}"/>
    <cellStyle name="40% - Accent3 3 2 3 4" xfId="3229" xr:uid="{00000000-0005-0000-0000-00008D470000}"/>
    <cellStyle name="40% - Accent3 3 2 3 4 2" xfId="6333" xr:uid="{00000000-0005-0000-0000-00008E470000}"/>
    <cellStyle name="40% - Accent3 3 2 3 4 2 2" xfId="13605" xr:uid="{00000000-0005-0000-0000-00008F470000}"/>
    <cellStyle name="40% - Accent3 3 2 3 4 2 2 2" xfId="28139" xr:uid="{00000000-0005-0000-0000-000090470000}"/>
    <cellStyle name="40% - Accent3 3 2 3 4 2 2 2 2" xfId="57145" xr:uid="{00000000-0005-0000-0000-000091470000}"/>
    <cellStyle name="40% - Accent3 3 2 3 4 2 2 3" xfId="42646" xr:uid="{00000000-0005-0000-0000-000092470000}"/>
    <cellStyle name="40% - Accent3 3 2 3 4 2 3" xfId="20891" xr:uid="{00000000-0005-0000-0000-000093470000}"/>
    <cellStyle name="40% - Accent3 3 2 3 4 2 3 2" xfId="49897" xr:uid="{00000000-0005-0000-0000-000094470000}"/>
    <cellStyle name="40% - Accent3 3 2 3 4 2 4" xfId="35398" xr:uid="{00000000-0005-0000-0000-000095470000}"/>
    <cellStyle name="40% - Accent3 3 2 3 4 3" xfId="10501" xr:uid="{00000000-0005-0000-0000-000096470000}"/>
    <cellStyle name="40% - Accent3 3 2 3 4 3 2" xfId="25035" xr:uid="{00000000-0005-0000-0000-000097470000}"/>
    <cellStyle name="40% - Accent3 3 2 3 4 3 2 2" xfId="54041" xr:uid="{00000000-0005-0000-0000-000098470000}"/>
    <cellStyle name="40% - Accent3 3 2 3 4 3 3" xfId="39542" xr:uid="{00000000-0005-0000-0000-000099470000}"/>
    <cellStyle name="40% - Accent3 3 2 3 4 4" xfId="17787" xr:uid="{00000000-0005-0000-0000-00009A470000}"/>
    <cellStyle name="40% - Accent3 3 2 3 4 4 2" xfId="46793" xr:uid="{00000000-0005-0000-0000-00009B470000}"/>
    <cellStyle name="40% - Accent3 3 2 3 4 5" xfId="32294" xr:uid="{00000000-0005-0000-0000-00009C470000}"/>
    <cellStyle name="40% - Accent3 3 2 3 5" xfId="4261" xr:uid="{00000000-0005-0000-0000-00009D470000}"/>
    <cellStyle name="40% - Accent3 3 2 3 5 2" xfId="11533" xr:uid="{00000000-0005-0000-0000-00009E470000}"/>
    <cellStyle name="40% - Accent3 3 2 3 5 2 2" xfId="26067" xr:uid="{00000000-0005-0000-0000-00009F470000}"/>
    <cellStyle name="40% - Accent3 3 2 3 5 2 2 2" xfId="55073" xr:uid="{00000000-0005-0000-0000-0000A0470000}"/>
    <cellStyle name="40% - Accent3 3 2 3 5 2 3" xfId="40574" xr:uid="{00000000-0005-0000-0000-0000A1470000}"/>
    <cellStyle name="40% - Accent3 3 2 3 5 3" xfId="18819" xr:uid="{00000000-0005-0000-0000-0000A2470000}"/>
    <cellStyle name="40% - Accent3 3 2 3 5 3 2" xfId="47825" xr:uid="{00000000-0005-0000-0000-0000A3470000}"/>
    <cellStyle name="40% - Accent3 3 2 3 5 4" xfId="33326" xr:uid="{00000000-0005-0000-0000-0000A4470000}"/>
    <cellStyle name="40% - Accent3 3 2 3 6" xfId="7365" xr:uid="{00000000-0005-0000-0000-0000A5470000}"/>
    <cellStyle name="40% - Accent3 3 2 3 6 2" xfId="14637" xr:uid="{00000000-0005-0000-0000-0000A6470000}"/>
    <cellStyle name="40% - Accent3 3 2 3 6 2 2" xfId="29171" xr:uid="{00000000-0005-0000-0000-0000A7470000}"/>
    <cellStyle name="40% - Accent3 3 2 3 6 2 2 2" xfId="58177" xr:uid="{00000000-0005-0000-0000-0000A8470000}"/>
    <cellStyle name="40% - Accent3 3 2 3 6 2 3" xfId="43678" xr:uid="{00000000-0005-0000-0000-0000A9470000}"/>
    <cellStyle name="40% - Accent3 3 2 3 6 3" xfId="21923" xr:uid="{00000000-0005-0000-0000-0000AA470000}"/>
    <cellStyle name="40% - Accent3 3 2 3 6 3 2" xfId="50929" xr:uid="{00000000-0005-0000-0000-0000AB470000}"/>
    <cellStyle name="40% - Accent3 3 2 3 6 4" xfId="36430" xr:uid="{00000000-0005-0000-0000-0000AC470000}"/>
    <cellStyle name="40% - Accent3 3 2 3 7" xfId="8429" xr:uid="{00000000-0005-0000-0000-0000AD470000}"/>
    <cellStyle name="40% - Accent3 3 2 3 7 2" xfId="22963" xr:uid="{00000000-0005-0000-0000-0000AE470000}"/>
    <cellStyle name="40% - Accent3 3 2 3 7 2 2" xfId="51969" xr:uid="{00000000-0005-0000-0000-0000AF470000}"/>
    <cellStyle name="40% - Accent3 3 2 3 7 3" xfId="37470" xr:uid="{00000000-0005-0000-0000-0000B0470000}"/>
    <cellStyle name="40% - Accent3 3 2 3 8" xfId="15715" xr:uid="{00000000-0005-0000-0000-0000B1470000}"/>
    <cellStyle name="40% - Accent3 3 2 3 8 2" xfId="44721" xr:uid="{00000000-0005-0000-0000-0000B2470000}"/>
    <cellStyle name="40% - Accent3 3 2 3 9" xfId="30222" xr:uid="{00000000-0005-0000-0000-0000B3470000}"/>
    <cellStyle name="40% - Accent3 3 2 4" xfId="1060" xr:uid="{00000000-0005-0000-0000-0000B4470000}"/>
    <cellStyle name="40% - Accent3 3 2 4 2" xfId="1551" xr:uid="{00000000-0005-0000-0000-0000B5470000}"/>
    <cellStyle name="40% - Accent3 3 2 4 2 2" xfId="2609" xr:uid="{00000000-0005-0000-0000-0000B6470000}"/>
    <cellStyle name="40% - Accent3 3 2 4 2 2 2" xfId="5713" xr:uid="{00000000-0005-0000-0000-0000B7470000}"/>
    <cellStyle name="40% - Accent3 3 2 4 2 2 2 2" xfId="12985" xr:uid="{00000000-0005-0000-0000-0000B8470000}"/>
    <cellStyle name="40% - Accent3 3 2 4 2 2 2 2 2" xfId="27519" xr:uid="{00000000-0005-0000-0000-0000B9470000}"/>
    <cellStyle name="40% - Accent3 3 2 4 2 2 2 2 2 2" xfId="56525" xr:uid="{00000000-0005-0000-0000-0000BA470000}"/>
    <cellStyle name="40% - Accent3 3 2 4 2 2 2 2 3" xfId="42026" xr:uid="{00000000-0005-0000-0000-0000BB470000}"/>
    <cellStyle name="40% - Accent3 3 2 4 2 2 2 3" xfId="20271" xr:uid="{00000000-0005-0000-0000-0000BC470000}"/>
    <cellStyle name="40% - Accent3 3 2 4 2 2 2 3 2" xfId="49277" xr:uid="{00000000-0005-0000-0000-0000BD470000}"/>
    <cellStyle name="40% - Accent3 3 2 4 2 2 2 4" xfId="34778" xr:uid="{00000000-0005-0000-0000-0000BE470000}"/>
    <cellStyle name="40% - Accent3 3 2 4 2 2 3" xfId="9881" xr:uid="{00000000-0005-0000-0000-0000BF470000}"/>
    <cellStyle name="40% - Accent3 3 2 4 2 2 3 2" xfId="24415" xr:uid="{00000000-0005-0000-0000-0000C0470000}"/>
    <cellStyle name="40% - Accent3 3 2 4 2 2 3 2 2" xfId="53421" xr:uid="{00000000-0005-0000-0000-0000C1470000}"/>
    <cellStyle name="40% - Accent3 3 2 4 2 2 3 3" xfId="38922" xr:uid="{00000000-0005-0000-0000-0000C2470000}"/>
    <cellStyle name="40% - Accent3 3 2 4 2 2 4" xfId="17167" xr:uid="{00000000-0005-0000-0000-0000C3470000}"/>
    <cellStyle name="40% - Accent3 3 2 4 2 2 4 2" xfId="46173" xr:uid="{00000000-0005-0000-0000-0000C4470000}"/>
    <cellStyle name="40% - Accent3 3 2 4 2 2 5" xfId="31674" xr:uid="{00000000-0005-0000-0000-0000C5470000}"/>
    <cellStyle name="40% - Accent3 3 2 4 2 3" xfId="3641" xr:uid="{00000000-0005-0000-0000-0000C6470000}"/>
    <cellStyle name="40% - Accent3 3 2 4 2 3 2" xfId="6745" xr:uid="{00000000-0005-0000-0000-0000C7470000}"/>
    <cellStyle name="40% - Accent3 3 2 4 2 3 2 2" xfId="14017" xr:uid="{00000000-0005-0000-0000-0000C8470000}"/>
    <cellStyle name="40% - Accent3 3 2 4 2 3 2 2 2" xfId="28551" xr:uid="{00000000-0005-0000-0000-0000C9470000}"/>
    <cellStyle name="40% - Accent3 3 2 4 2 3 2 2 2 2" xfId="57557" xr:uid="{00000000-0005-0000-0000-0000CA470000}"/>
    <cellStyle name="40% - Accent3 3 2 4 2 3 2 2 3" xfId="43058" xr:uid="{00000000-0005-0000-0000-0000CB470000}"/>
    <cellStyle name="40% - Accent3 3 2 4 2 3 2 3" xfId="21303" xr:uid="{00000000-0005-0000-0000-0000CC470000}"/>
    <cellStyle name="40% - Accent3 3 2 4 2 3 2 3 2" xfId="50309" xr:uid="{00000000-0005-0000-0000-0000CD470000}"/>
    <cellStyle name="40% - Accent3 3 2 4 2 3 2 4" xfId="35810" xr:uid="{00000000-0005-0000-0000-0000CE470000}"/>
    <cellStyle name="40% - Accent3 3 2 4 2 3 3" xfId="10913" xr:uid="{00000000-0005-0000-0000-0000CF470000}"/>
    <cellStyle name="40% - Accent3 3 2 4 2 3 3 2" xfId="25447" xr:uid="{00000000-0005-0000-0000-0000D0470000}"/>
    <cellStyle name="40% - Accent3 3 2 4 2 3 3 2 2" xfId="54453" xr:uid="{00000000-0005-0000-0000-0000D1470000}"/>
    <cellStyle name="40% - Accent3 3 2 4 2 3 3 3" xfId="39954" xr:uid="{00000000-0005-0000-0000-0000D2470000}"/>
    <cellStyle name="40% - Accent3 3 2 4 2 3 4" xfId="18199" xr:uid="{00000000-0005-0000-0000-0000D3470000}"/>
    <cellStyle name="40% - Accent3 3 2 4 2 3 4 2" xfId="47205" xr:uid="{00000000-0005-0000-0000-0000D4470000}"/>
    <cellStyle name="40% - Accent3 3 2 4 2 3 5" xfId="32706" xr:uid="{00000000-0005-0000-0000-0000D5470000}"/>
    <cellStyle name="40% - Accent3 3 2 4 2 4" xfId="4673" xr:uid="{00000000-0005-0000-0000-0000D6470000}"/>
    <cellStyle name="40% - Accent3 3 2 4 2 4 2" xfId="11945" xr:uid="{00000000-0005-0000-0000-0000D7470000}"/>
    <cellStyle name="40% - Accent3 3 2 4 2 4 2 2" xfId="26479" xr:uid="{00000000-0005-0000-0000-0000D8470000}"/>
    <cellStyle name="40% - Accent3 3 2 4 2 4 2 2 2" xfId="55485" xr:uid="{00000000-0005-0000-0000-0000D9470000}"/>
    <cellStyle name="40% - Accent3 3 2 4 2 4 2 3" xfId="40986" xr:uid="{00000000-0005-0000-0000-0000DA470000}"/>
    <cellStyle name="40% - Accent3 3 2 4 2 4 3" xfId="19231" xr:uid="{00000000-0005-0000-0000-0000DB470000}"/>
    <cellStyle name="40% - Accent3 3 2 4 2 4 3 2" xfId="48237" xr:uid="{00000000-0005-0000-0000-0000DC470000}"/>
    <cellStyle name="40% - Accent3 3 2 4 2 4 4" xfId="33738" xr:uid="{00000000-0005-0000-0000-0000DD470000}"/>
    <cellStyle name="40% - Accent3 3 2 4 2 5" xfId="7777" xr:uid="{00000000-0005-0000-0000-0000DE470000}"/>
    <cellStyle name="40% - Accent3 3 2 4 2 5 2" xfId="15049" xr:uid="{00000000-0005-0000-0000-0000DF470000}"/>
    <cellStyle name="40% - Accent3 3 2 4 2 5 2 2" xfId="29583" xr:uid="{00000000-0005-0000-0000-0000E0470000}"/>
    <cellStyle name="40% - Accent3 3 2 4 2 5 2 2 2" xfId="58589" xr:uid="{00000000-0005-0000-0000-0000E1470000}"/>
    <cellStyle name="40% - Accent3 3 2 4 2 5 2 3" xfId="44090" xr:uid="{00000000-0005-0000-0000-0000E2470000}"/>
    <cellStyle name="40% - Accent3 3 2 4 2 5 3" xfId="22335" xr:uid="{00000000-0005-0000-0000-0000E3470000}"/>
    <cellStyle name="40% - Accent3 3 2 4 2 5 3 2" xfId="51341" xr:uid="{00000000-0005-0000-0000-0000E4470000}"/>
    <cellStyle name="40% - Accent3 3 2 4 2 5 4" xfId="36842" xr:uid="{00000000-0005-0000-0000-0000E5470000}"/>
    <cellStyle name="40% - Accent3 3 2 4 2 6" xfId="8841" xr:uid="{00000000-0005-0000-0000-0000E6470000}"/>
    <cellStyle name="40% - Accent3 3 2 4 2 6 2" xfId="23375" xr:uid="{00000000-0005-0000-0000-0000E7470000}"/>
    <cellStyle name="40% - Accent3 3 2 4 2 6 2 2" xfId="52381" xr:uid="{00000000-0005-0000-0000-0000E8470000}"/>
    <cellStyle name="40% - Accent3 3 2 4 2 6 3" xfId="37882" xr:uid="{00000000-0005-0000-0000-0000E9470000}"/>
    <cellStyle name="40% - Accent3 3 2 4 2 7" xfId="16127" xr:uid="{00000000-0005-0000-0000-0000EA470000}"/>
    <cellStyle name="40% - Accent3 3 2 4 2 7 2" xfId="45133" xr:uid="{00000000-0005-0000-0000-0000EB470000}"/>
    <cellStyle name="40% - Accent3 3 2 4 2 8" xfId="30634" xr:uid="{00000000-0005-0000-0000-0000EC470000}"/>
    <cellStyle name="40% - Accent3 3 2 4 3" xfId="2097" xr:uid="{00000000-0005-0000-0000-0000ED470000}"/>
    <cellStyle name="40% - Accent3 3 2 4 3 2" xfId="5201" xr:uid="{00000000-0005-0000-0000-0000EE470000}"/>
    <cellStyle name="40% - Accent3 3 2 4 3 2 2" xfId="12473" xr:uid="{00000000-0005-0000-0000-0000EF470000}"/>
    <cellStyle name="40% - Accent3 3 2 4 3 2 2 2" xfId="27007" xr:uid="{00000000-0005-0000-0000-0000F0470000}"/>
    <cellStyle name="40% - Accent3 3 2 4 3 2 2 2 2" xfId="56013" xr:uid="{00000000-0005-0000-0000-0000F1470000}"/>
    <cellStyle name="40% - Accent3 3 2 4 3 2 2 3" xfId="41514" xr:uid="{00000000-0005-0000-0000-0000F2470000}"/>
    <cellStyle name="40% - Accent3 3 2 4 3 2 3" xfId="19759" xr:uid="{00000000-0005-0000-0000-0000F3470000}"/>
    <cellStyle name="40% - Accent3 3 2 4 3 2 3 2" xfId="48765" xr:uid="{00000000-0005-0000-0000-0000F4470000}"/>
    <cellStyle name="40% - Accent3 3 2 4 3 2 4" xfId="34266" xr:uid="{00000000-0005-0000-0000-0000F5470000}"/>
    <cellStyle name="40% - Accent3 3 2 4 3 3" xfId="9369" xr:uid="{00000000-0005-0000-0000-0000F6470000}"/>
    <cellStyle name="40% - Accent3 3 2 4 3 3 2" xfId="23903" xr:uid="{00000000-0005-0000-0000-0000F7470000}"/>
    <cellStyle name="40% - Accent3 3 2 4 3 3 2 2" xfId="52909" xr:uid="{00000000-0005-0000-0000-0000F8470000}"/>
    <cellStyle name="40% - Accent3 3 2 4 3 3 3" xfId="38410" xr:uid="{00000000-0005-0000-0000-0000F9470000}"/>
    <cellStyle name="40% - Accent3 3 2 4 3 4" xfId="16655" xr:uid="{00000000-0005-0000-0000-0000FA470000}"/>
    <cellStyle name="40% - Accent3 3 2 4 3 4 2" xfId="45661" xr:uid="{00000000-0005-0000-0000-0000FB470000}"/>
    <cellStyle name="40% - Accent3 3 2 4 3 5" xfId="31162" xr:uid="{00000000-0005-0000-0000-0000FC470000}"/>
    <cellStyle name="40% - Accent3 3 2 4 4" xfId="3129" xr:uid="{00000000-0005-0000-0000-0000FD470000}"/>
    <cellStyle name="40% - Accent3 3 2 4 4 2" xfId="6233" xr:uid="{00000000-0005-0000-0000-0000FE470000}"/>
    <cellStyle name="40% - Accent3 3 2 4 4 2 2" xfId="13505" xr:uid="{00000000-0005-0000-0000-0000FF470000}"/>
    <cellStyle name="40% - Accent3 3 2 4 4 2 2 2" xfId="28039" xr:uid="{00000000-0005-0000-0000-000000480000}"/>
    <cellStyle name="40% - Accent3 3 2 4 4 2 2 2 2" xfId="57045" xr:uid="{00000000-0005-0000-0000-000001480000}"/>
    <cellStyle name="40% - Accent3 3 2 4 4 2 2 3" xfId="42546" xr:uid="{00000000-0005-0000-0000-000002480000}"/>
    <cellStyle name="40% - Accent3 3 2 4 4 2 3" xfId="20791" xr:uid="{00000000-0005-0000-0000-000003480000}"/>
    <cellStyle name="40% - Accent3 3 2 4 4 2 3 2" xfId="49797" xr:uid="{00000000-0005-0000-0000-000004480000}"/>
    <cellStyle name="40% - Accent3 3 2 4 4 2 4" xfId="35298" xr:uid="{00000000-0005-0000-0000-000005480000}"/>
    <cellStyle name="40% - Accent3 3 2 4 4 3" xfId="10401" xr:uid="{00000000-0005-0000-0000-000006480000}"/>
    <cellStyle name="40% - Accent3 3 2 4 4 3 2" xfId="24935" xr:uid="{00000000-0005-0000-0000-000007480000}"/>
    <cellStyle name="40% - Accent3 3 2 4 4 3 2 2" xfId="53941" xr:uid="{00000000-0005-0000-0000-000008480000}"/>
    <cellStyle name="40% - Accent3 3 2 4 4 3 3" xfId="39442" xr:uid="{00000000-0005-0000-0000-000009480000}"/>
    <cellStyle name="40% - Accent3 3 2 4 4 4" xfId="17687" xr:uid="{00000000-0005-0000-0000-00000A480000}"/>
    <cellStyle name="40% - Accent3 3 2 4 4 4 2" xfId="46693" xr:uid="{00000000-0005-0000-0000-00000B480000}"/>
    <cellStyle name="40% - Accent3 3 2 4 4 5" xfId="32194" xr:uid="{00000000-0005-0000-0000-00000C480000}"/>
    <cellStyle name="40% - Accent3 3 2 4 5" xfId="4161" xr:uid="{00000000-0005-0000-0000-00000D480000}"/>
    <cellStyle name="40% - Accent3 3 2 4 5 2" xfId="11433" xr:uid="{00000000-0005-0000-0000-00000E480000}"/>
    <cellStyle name="40% - Accent3 3 2 4 5 2 2" xfId="25967" xr:uid="{00000000-0005-0000-0000-00000F480000}"/>
    <cellStyle name="40% - Accent3 3 2 4 5 2 2 2" xfId="54973" xr:uid="{00000000-0005-0000-0000-000010480000}"/>
    <cellStyle name="40% - Accent3 3 2 4 5 2 3" xfId="40474" xr:uid="{00000000-0005-0000-0000-000011480000}"/>
    <cellStyle name="40% - Accent3 3 2 4 5 3" xfId="18719" xr:uid="{00000000-0005-0000-0000-000012480000}"/>
    <cellStyle name="40% - Accent3 3 2 4 5 3 2" xfId="47725" xr:uid="{00000000-0005-0000-0000-000013480000}"/>
    <cellStyle name="40% - Accent3 3 2 4 5 4" xfId="33226" xr:uid="{00000000-0005-0000-0000-000014480000}"/>
    <cellStyle name="40% - Accent3 3 2 4 6" xfId="7265" xr:uid="{00000000-0005-0000-0000-000015480000}"/>
    <cellStyle name="40% - Accent3 3 2 4 6 2" xfId="14537" xr:uid="{00000000-0005-0000-0000-000016480000}"/>
    <cellStyle name="40% - Accent3 3 2 4 6 2 2" xfId="29071" xr:uid="{00000000-0005-0000-0000-000017480000}"/>
    <cellStyle name="40% - Accent3 3 2 4 6 2 2 2" xfId="58077" xr:uid="{00000000-0005-0000-0000-000018480000}"/>
    <cellStyle name="40% - Accent3 3 2 4 6 2 3" xfId="43578" xr:uid="{00000000-0005-0000-0000-000019480000}"/>
    <cellStyle name="40% - Accent3 3 2 4 6 3" xfId="21823" xr:uid="{00000000-0005-0000-0000-00001A480000}"/>
    <cellStyle name="40% - Accent3 3 2 4 6 3 2" xfId="50829" xr:uid="{00000000-0005-0000-0000-00001B480000}"/>
    <cellStyle name="40% - Accent3 3 2 4 6 4" xfId="36330" xr:uid="{00000000-0005-0000-0000-00001C480000}"/>
    <cellStyle name="40% - Accent3 3 2 4 7" xfId="8329" xr:uid="{00000000-0005-0000-0000-00001D480000}"/>
    <cellStyle name="40% - Accent3 3 2 4 7 2" xfId="22863" xr:uid="{00000000-0005-0000-0000-00001E480000}"/>
    <cellStyle name="40% - Accent3 3 2 4 7 2 2" xfId="51869" xr:uid="{00000000-0005-0000-0000-00001F480000}"/>
    <cellStyle name="40% - Accent3 3 2 4 7 3" xfId="37370" xr:uid="{00000000-0005-0000-0000-000020480000}"/>
    <cellStyle name="40% - Accent3 3 2 4 8" xfId="15615" xr:uid="{00000000-0005-0000-0000-000021480000}"/>
    <cellStyle name="40% - Accent3 3 2 4 8 2" xfId="44621" xr:uid="{00000000-0005-0000-0000-000022480000}"/>
    <cellStyle name="40% - Accent3 3 2 4 9" xfId="30122" xr:uid="{00000000-0005-0000-0000-000023480000}"/>
    <cellStyle name="40% - Accent3 3 2 5" xfId="1346" xr:uid="{00000000-0005-0000-0000-000024480000}"/>
    <cellStyle name="40% - Accent3 3 2 5 2" xfId="2403" xr:uid="{00000000-0005-0000-0000-000025480000}"/>
    <cellStyle name="40% - Accent3 3 2 5 2 2" xfId="5507" xr:uid="{00000000-0005-0000-0000-000026480000}"/>
    <cellStyle name="40% - Accent3 3 2 5 2 2 2" xfId="12779" xr:uid="{00000000-0005-0000-0000-000027480000}"/>
    <cellStyle name="40% - Accent3 3 2 5 2 2 2 2" xfId="27313" xr:uid="{00000000-0005-0000-0000-000028480000}"/>
    <cellStyle name="40% - Accent3 3 2 5 2 2 2 2 2" xfId="56319" xr:uid="{00000000-0005-0000-0000-000029480000}"/>
    <cellStyle name="40% - Accent3 3 2 5 2 2 2 3" xfId="41820" xr:uid="{00000000-0005-0000-0000-00002A480000}"/>
    <cellStyle name="40% - Accent3 3 2 5 2 2 3" xfId="20065" xr:uid="{00000000-0005-0000-0000-00002B480000}"/>
    <cellStyle name="40% - Accent3 3 2 5 2 2 3 2" xfId="49071" xr:uid="{00000000-0005-0000-0000-00002C480000}"/>
    <cellStyle name="40% - Accent3 3 2 5 2 2 4" xfId="34572" xr:uid="{00000000-0005-0000-0000-00002D480000}"/>
    <cellStyle name="40% - Accent3 3 2 5 2 3" xfId="9675" xr:uid="{00000000-0005-0000-0000-00002E480000}"/>
    <cellStyle name="40% - Accent3 3 2 5 2 3 2" xfId="24209" xr:uid="{00000000-0005-0000-0000-00002F480000}"/>
    <cellStyle name="40% - Accent3 3 2 5 2 3 2 2" xfId="53215" xr:uid="{00000000-0005-0000-0000-000030480000}"/>
    <cellStyle name="40% - Accent3 3 2 5 2 3 3" xfId="38716" xr:uid="{00000000-0005-0000-0000-000031480000}"/>
    <cellStyle name="40% - Accent3 3 2 5 2 4" xfId="16961" xr:uid="{00000000-0005-0000-0000-000032480000}"/>
    <cellStyle name="40% - Accent3 3 2 5 2 4 2" xfId="45967" xr:uid="{00000000-0005-0000-0000-000033480000}"/>
    <cellStyle name="40% - Accent3 3 2 5 2 5" xfId="31468" xr:uid="{00000000-0005-0000-0000-000034480000}"/>
    <cellStyle name="40% - Accent3 3 2 5 3" xfId="3435" xr:uid="{00000000-0005-0000-0000-000035480000}"/>
    <cellStyle name="40% - Accent3 3 2 5 3 2" xfId="6539" xr:uid="{00000000-0005-0000-0000-000036480000}"/>
    <cellStyle name="40% - Accent3 3 2 5 3 2 2" xfId="13811" xr:uid="{00000000-0005-0000-0000-000037480000}"/>
    <cellStyle name="40% - Accent3 3 2 5 3 2 2 2" xfId="28345" xr:uid="{00000000-0005-0000-0000-000038480000}"/>
    <cellStyle name="40% - Accent3 3 2 5 3 2 2 2 2" xfId="57351" xr:uid="{00000000-0005-0000-0000-000039480000}"/>
    <cellStyle name="40% - Accent3 3 2 5 3 2 2 3" xfId="42852" xr:uid="{00000000-0005-0000-0000-00003A480000}"/>
    <cellStyle name="40% - Accent3 3 2 5 3 2 3" xfId="21097" xr:uid="{00000000-0005-0000-0000-00003B480000}"/>
    <cellStyle name="40% - Accent3 3 2 5 3 2 3 2" xfId="50103" xr:uid="{00000000-0005-0000-0000-00003C480000}"/>
    <cellStyle name="40% - Accent3 3 2 5 3 2 4" xfId="35604" xr:uid="{00000000-0005-0000-0000-00003D480000}"/>
    <cellStyle name="40% - Accent3 3 2 5 3 3" xfId="10707" xr:uid="{00000000-0005-0000-0000-00003E480000}"/>
    <cellStyle name="40% - Accent3 3 2 5 3 3 2" xfId="25241" xr:uid="{00000000-0005-0000-0000-00003F480000}"/>
    <cellStyle name="40% - Accent3 3 2 5 3 3 2 2" xfId="54247" xr:uid="{00000000-0005-0000-0000-000040480000}"/>
    <cellStyle name="40% - Accent3 3 2 5 3 3 3" xfId="39748" xr:uid="{00000000-0005-0000-0000-000041480000}"/>
    <cellStyle name="40% - Accent3 3 2 5 3 4" xfId="17993" xr:uid="{00000000-0005-0000-0000-000042480000}"/>
    <cellStyle name="40% - Accent3 3 2 5 3 4 2" xfId="46999" xr:uid="{00000000-0005-0000-0000-000043480000}"/>
    <cellStyle name="40% - Accent3 3 2 5 3 5" xfId="32500" xr:uid="{00000000-0005-0000-0000-000044480000}"/>
    <cellStyle name="40% - Accent3 3 2 5 4" xfId="4467" xr:uid="{00000000-0005-0000-0000-000045480000}"/>
    <cellStyle name="40% - Accent3 3 2 5 4 2" xfId="11739" xr:uid="{00000000-0005-0000-0000-000046480000}"/>
    <cellStyle name="40% - Accent3 3 2 5 4 2 2" xfId="26273" xr:uid="{00000000-0005-0000-0000-000047480000}"/>
    <cellStyle name="40% - Accent3 3 2 5 4 2 2 2" xfId="55279" xr:uid="{00000000-0005-0000-0000-000048480000}"/>
    <cellStyle name="40% - Accent3 3 2 5 4 2 3" xfId="40780" xr:uid="{00000000-0005-0000-0000-000049480000}"/>
    <cellStyle name="40% - Accent3 3 2 5 4 3" xfId="19025" xr:uid="{00000000-0005-0000-0000-00004A480000}"/>
    <cellStyle name="40% - Accent3 3 2 5 4 3 2" xfId="48031" xr:uid="{00000000-0005-0000-0000-00004B480000}"/>
    <cellStyle name="40% - Accent3 3 2 5 4 4" xfId="33532" xr:uid="{00000000-0005-0000-0000-00004C480000}"/>
    <cellStyle name="40% - Accent3 3 2 5 5" xfId="7571" xr:uid="{00000000-0005-0000-0000-00004D480000}"/>
    <cellStyle name="40% - Accent3 3 2 5 5 2" xfId="14843" xr:uid="{00000000-0005-0000-0000-00004E480000}"/>
    <cellStyle name="40% - Accent3 3 2 5 5 2 2" xfId="29377" xr:uid="{00000000-0005-0000-0000-00004F480000}"/>
    <cellStyle name="40% - Accent3 3 2 5 5 2 2 2" xfId="58383" xr:uid="{00000000-0005-0000-0000-000050480000}"/>
    <cellStyle name="40% - Accent3 3 2 5 5 2 3" xfId="43884" xr:uid="{00000000-0005-0000-0000-000051480000}"/>
    <cellStyle name="40% - Accent3 3 2 5 5 3" xfId="22129" xr:uid="{00000000-0005-0000-0000-000052480000}"/>
    <cellStyle name="40% - Accent3 3 2 5 5 3 2" xfId="51135" xr:uid="{00000000-0005-0000-0000-000053480000}"/>
    <cellStyle name="40% - Accent3 3 2 5 5 4" xfId="36636" xr:uid="{00000000-0005-0000-0000-000054480000}"/>
    <cellStyle name="40% - Accent3 3 2 5 6" xfId="8635" xr:uid="{00000000-0005-0000-0000-000055480000}"/>
    <cellStyle name="40% - Accent3 3 2 5 6 2" xfId="23169" xr:uid="{00000000-0005-0000-0000-000056480000}"/>
    <cellStyle name="40% - Accent3 3 2 5 6 2 2" xfId="52175" xr:uid="{00000000-0005-0000-0000-000057480000}"/>
    <cellStyle name="40% - Accent3 3 2 5 6 3" xfId="37676" xr:uid="{00000000-0005-0000-0000-000058480000}"/>
    <cellStyle name="40% - Accent3 3 2 5 7" xfId="15921" xr:uid="{00000000-0005-0000-0000-000059480000}"/>
    <cellStyle name="40% - Accent3 3 2 5 7 2" xfId="44927" xr:uid="{00000000-0005-0000-0000-00005A480000}"/>
    <cellStyle name="40% - Accent3 3 2 5 8" xfId="30428" xr:uid="{00000000-0005-0000-0000-00005B480000}"/>
    <cellStyle name="40% - Accent3 3 2 6" xfId="1891" xr:uid="{00000000-0005-0000-0000-00005C480000}"/>
    <cellStyle name="40% - Accent3 3 2 6 2" xfId="4995" xr:uid="{00000000-0005-0000-0000-00005D480000}"/>
    <cellStyle name="40% - Accent3 3 2 6 2 2" xfId="12267" xr:uid="{00000000-0005-0000-0000-00005E480000}"/>
    <cellStyle name="40% - Accent3 3 2 6 2 2 2" xfId="26801" xr:uid="{00000000-0005-0000-0000-00005F480000}"/>
    <cellStyle name="40% - Accent3 3 2 6 2 2 2 2" xfId="55807" xr:uid="{00000000-0005-0000-0000-000060480000}"/>
    <cellStyle name="40% - Accent3 3 2 6 2 2 3" xfId="41308" xr:uid="{00000000-0005-0000-0000-000061480000}"/>
    <cellStyle name="40% - Accent3 3 2 6 2 3" xfId="19553" xr:uid="{00000000-0005-0000-0000-000062480000}"/>
    <cellStyle name="40% - Accent3 3 2 6 2 3 2" xfId="48559" xr:uid="{00000000-0005-0000-0000-000063480000}"/>
    <cellStyle name="40% - Accent3 3 2 6 2 4" xfId="34060" xr:uid="{00000000-0005-0000-0000-000064480000}"/>
    <cellStyle name="40% - Accent3 3 2 6 3" xfId="9163" xr:uid="{00000000-0005-0000-0000-000065480000}"/>
    <cellStyle name="40% - Accent3 3 2 6 3 2" xfId="23697" xr:uid="{00000000-0005-0000-0000-000066480000}"/>
    <cellStyle name="40% - Accent3 3 2 6 3 2 2" xfId="52703" xr:uid="{00000000-0005-0000-0000-000067480000}"/>
    <cellStyle name="40% - Accent3 3 2 6 3 3" xfId="38204" xr:uid="{00000000-0005-0000-0000-000068480000}"/>
    <cellStyle name="40% - Accent3 3 2 6 4" xfId="16449" xr:uid="{00000000-0005-0000-0000-000069480000}"/>
    <cellStyle name="40% - Accent3 3 2 6 4 2" xfId="45455" xr:uid="{00000000-0005-0000-0000-00006A480000}"/>
    <cellStyle name="40% - Accent3 3 2 6 5" xfId="30956" xr:uid="{00000000-0005-0000-0000-00006B480000}"/>
    <cellStyle name="40% - Accent3 3 2 7" xfId="2923" xr:uid="{00000000-0005-0000-0000-00006C480000}"/>
    <cellStyle name="40% - Accent3 3 2 7 2" xfId="6027" xr:uid="{00000000-0005-0000-0000-00006D480000}"/>
    <cellStyle name="40% - Accent3 3 2 7 2 2" xfId="13299" xr:uid="{00000000-0005-0000-0000-00006E480000}"/>
    <cellStyle name="40% - Accent3 3 2 7 2 2 2" xfId="27833" xr:uid="{00000000-0005-0000-0000-00006F480000}"/>
    <cellStyle name="40% - Accent3 3 2 7 2 2 2 2" xfId="56839" xr:uid="{00000000-0005-0000-0000-000070480000}"/>
    <cellStyle name="40% - Accent3 3 2 7 2 2 3" xfId="42340" xr:uid="{00000000-0005-0000-0000-000071480000}"/>
    <cellStyle name="40% - Accent3 3 2 7 2 3" xfId="20585" xr:uid="{00000000-0005-0000-0000-000072480000}"/>
    <cellStyle name="40% - Accent3 3 2 7 2 3 2" xfId="49591" xr:uid="{00000000-0005-0000-0000-000073480000}"/>
    <cellStyle name="40% - Accent3 3 2 7 2 4" xfId="35092" xr:uid="{00000000-0005-0000-0000-000074480000}"/>
    <cellStyle name="40% - Accent3 3 2 7 3" xfId="10195" xr:uid="{00000000-0005-0000-0000-000075480000}"/>
    <cellStyle name="40% - Accent3 3 2 7 3 2" xfId="24729" xr:uid="{00000000-0005-0000-0000-000076480000}"/>
    <cellStyle name="40% - Accent3 3 2 7 3 2 2" xfId="53735" xr:uid="{00000000-0005-0000-0000-000077480000}"/>
    <cellStyle name="40% - Accent3 3 2 7 3 3" xfId="39236" xr:uid="{00000000-0005-0000-0000-000078480000}"/>
    <cellStyle name="40% - Accent3 3 2 7 4" xfId="17481" xr:uid="{00000000-0005-0000-0000-000079480000}"/>
    <cellStyle name="40% - Accent3 3 2 7 4 2" xfId="46487" xr:uid="{00000000-0005-0000-0000-00007A480000}"/>
    <cellStyle name="40% - Accent3 3 2 7 5" xfId="31988" xr:uid="{00000000-0005-0000-0000-00007B480000}"/>
    <cellStyle name="40% - Accent3 3 2 8" xfId="3955" xr:uid="{00000000-0005-0000-0000-00007C480000}"/>
    <cellStyle name="40% - Accent3 3 2 8 2" xfId="11227" xr:uid="{00000000-0005-0000-0000-00007D480000}"/>
    <cellStyle name="40% - Accent3 3 2 8 2 2" xfId="25761" xr:uid="{00000000-0005-0000-0000-00007E480000}"/>
    <cellStyle name="40% - Accent3 3 2 8 2 2 2" xfId="54767" xr:uid="{00000000-0005-0000-0000-00007F480000}"/>
    <cellStyle name="40% - Accent3 3 2 8 2 3" xfId="40268" xr:uid="{00000000-0005-0000-0000-000080480000}"/>
    <cellStyle name="40% - Accent3 3 2 8 3" xfId="18513" xr:uid="{00000000-0005-0000-0000-000081480000}"/>
    <cellStyle name="40% - Accent3 3 2 8 3 2" xfId="47519" xr:uid="{00000000-0005-0000-0000-000082480000}"/>
    <cellStyle name="40% - Accent3 3 2 8 4" xfId="33020" xr:uid="{00000000-0005-0000-0000-000083480000}"/>
    <cellStyle name="40% - Accent3 3 2 9" xfId="7059" xr:uid="{00000000-0005-0000-0000-000084480000}"/>
    <cellStyle name="40% - Accent3 3 2 9 2" xfId="14331" xr:uid="{00000000-0005-0000-0000-000085480000}"/>
    <cellStyle name="40% - Accent3 3 2 9 2 2" xfId="28865" xr:uid="{00000000-0005-0000-0000-000086480000}"/>
    <cellStyle name="40% - Accent3 3 2 9 2 2 2" xfId="57871" xr:uid="{00000000-0005-0000-0000-000087480000}"/>
    <cellStyle name="40% - Accent3 3 2 9 2 3" xfId="43372" xr:uid="{00000000-0005-0000-0000-000088480000}"/>
    <cellStyle name="40% - Accent3 3 2 9 3" xfId="21617" xr:uid="{00000000-0005-0000-0000-000089480000}"/>
    <cellStyle name="40% - Accent3 3 2 9 3 2" xfId="50623" xr:uid="{00000000-0005-0000-0000-00008A480000}"/>
    <cellStyle name="40% - Accent3 3 2 9 4" xfId="36124" xr:uid="{00000000-0005-0000-0000-00008B480000}"/>
    <cellStyle name="40% - Accent3 3 3" xfId="926" xr:uid="{00000000-0005-0000-0000-00008C480000}"/>
    <cellStyle name="40% - Accent3 3 3 10" xfId="29967" xr:uid="{00000000-0005-0000-0000-00008D480000}"/>
    <cellStyle name="40% - Accent3 3 3 2" xfId="1198" xr:uid="{00000000-0005-0000-0000-00008E480000}"/>
    <cellStyle name="40% - Accent3 3 3 2 2" xfId="1701" xr:uid="{00000000-0005-0000-0000-00008F480000}"/>
    <cellStyle name="40% - Accent3 3 3 2 2 2" xfId="2760" xr:uid="{00000000-0005-0000-0000-000090480000}"/>
    <cellStyle name="40% - Accent3 3 3 2 2 2 2" xfId="5864" xr:uid="{00000000-0005-0000-0000-000091480000}"/>
    <cellStyle name="40% - Accent3 3 3 2 2 2 2 2" xfId="13136" xr:uid="{00000000-0005-0000-0000-000092480000}"/>
    <cellStyle name="40% - Accent3 3 3 2 2 2 2 2 2" xfId="27670" xr:uid="{00000000-0005-0000-0000-000093480000}"/>
    <cellStyle name="40% - Accent3 3 3 2 2 2 2 2 2 2" xfId="56676" xr:uid="{00000000-0005-0000-0000-000094480000}"/>
    <cellStyle name="40% - Accent3 3 3 2 2 2 2 2 3" xfId="42177" xr:uid="{00000000-0005-0000-0000-000095480000}"/>
    <cellStyle name="40% - Accent3 3 3 2 2 2 2 3" xfId="20422" xr:uid="{00000000-0005-0000-0000-000096480000}"/>
    <cellStyle name="40% - Accent3 3 3 2 2 2 2 3 2" xfId="49428" xr:uid="{00000000-0005-0000-0000-000097480000}"/>
    <cellStyle name="40% - Accent3 3 3 2 2 2 2 4" xfId="34929" xr:uid="{00000000-0005-0000-0000-000098480000}"/>
    <cellStyle name="40% - Accent3 3 3 2 2 2 3" xfId="10032" xr:uid="{00000000-0005-0000-0000-000099480000}"/>
    <cellStyle name="40% - Accent3 3 3 2 2 2 3 2" xfId="24566" xr:uid="{00000000-0005-0000-0000-00009A480000}"/>
    <cellStyle name="40% - Accent3 3 3 2 2 2 3 2 2" xfId="53572" xr:uid="{00000000-0005-0000-0000-00009B480000}"/>
    <cellStyle name="40% - Accent3 3 3 2 2 2 3 3" xfId="39073" xr:uid="{00000000-0005-0000-0000-00009C480000}"/>
    <cellStyle name="40% - Accent3 3 3 2 2 2 4" xfId="17318" xr:uid="{00000000-0005-0000-0000-00009D480000}"/>
    <cellStyle name="40% - Accent3 3 3 2 2 2 4 2" xfId="46324" xr:uid="{00000000-0005-0000-0000-00009E480000}"/>
    <cellStyle name="40% - Accent3 3 3 2 2 2 5" xfId="31825" xr:uid="{00000000-0005-0000-0000-00009F480000}"/>
    <cellStyle name="40% - Accent3 3 3 2 2 3" xfId="3792" xr:uid="{00000000-0005-0000-0000-0000A0480000}"/>
    <cellStyle name="40% - Accent3 3 3 2 2 3 2" xfId="6896" xr:uid="{00000000-0005-0000-0000-0000A1480000}"/>
    <cellStyle name="40% - Accent3 3 3 2 2 3 2 2" xfId="14168" xr:uid="{00000000-0005-0000-0000-0000A2480000}"/>
    <cellStyle name="40% - Accent3 3 3 2 2 3 2 2 2" xfId="28702" xr:uid="{00000000-0005-0000-0000-0000A3480000}"/>
    <cellStyle name="40% - Accent3 3 3 2 2 3 2 2 2 2" xfId="57708" xr:uid="{00000000-0005-0000-0000-0000A4480000}"/>
    <cellStyle name="40% - Accent3 3 3 2 2 3 2 2 3" xfId="43209" xr:uid="{00000000-0005-0000-0000-0000A5480000}"/>
    <cellStyle name="40% - Accent3 3 3 2 2 3 2 3" xfId="21454" xr:uid="{00000000-0005-0000-0000-0000A6480000}"/>
    <cellStyle name="40% - Accent3 3 3 2 2 3 2 3 2" xfId="50460" xr:uid="{00000000-0005-0000-0000-0000A7480000}"/>
    <cellStyle name="40% - Accent3 3 3 2 2 3 2 4" xfId="35961" xr:uid="{00000000-0005-0000-0000-0000A8480000}"/>
    <cellStyle name="40% - Accent3 3 3 2 2 3 3" xfId="11064" xr:uid="{00000000-0005-0000-0000-0000A9480000}"/>
    <cellStyle name="40% - Accent3 3 3 2 2 3 3 2" xfId="25598" xr:uid="{00000000-0005-0000-0000-0000AA480000}"/>
    <cellStyle name="40% - Accent3 3 3 2 2 3 3 2 2" xfId="54604" xr:uid="{00000000-0005-0000-0000-0000AB480000}"/>
    <cellStyle name="40% - Accent3 3 3 2 2 3 3 3" xfId="40105" xr:uid="{00000000-0005-0000-0000-0000AC480000}"/>
    <cellStyle name="40% - Accent3 3 3 2 2 3 4" xfId="18350" xr:uid="{00000000-0005-0000-0000-0000AD480000}"/>
    <cellStyle name="40% - Accent3 3 3 2 2 3 4 2" xfId="47356" xr:uid="{00000000-0005-0000-0000-0000AE480000}"/>
    <cellStyle name="40% - Accent3 3 3 2 2 3 5" xfId="32857" xr:uid="{00000000-0005-0000-0000-0000AF480000}"/>
    <cellStyle name="40% - Accent3 3 3 2 2 4" xfId="4824" xr:uid="{00000000-0005-0000-0000-0000B0480000}"/>
    <cellStyle name="40% - Accent3 3 3 2 2 4 2" xfId="12096" xr:uid="{00000000-0005-0000-0000-0000B1480000}"/>
    <cellStyle name="40% - Accent3 3 3 2 2 4 2 2" xfId="26630" xr:uid="{00000000-0005-0000-0000-0000B2480000}"/>
    <cellStyle name="40% - Accent3 3 3 2 2 4 2 2 2" xfId="55636" xr:uid="{00000000-0005-0000-0000-0000B3480000}"/>
    <cellStyle name="40% - Accent3 3 3 2 2 4 2 3" xfId="41137" xr:uid="{00000000-0005-0000-0000-0000B4480000}"/>
    <cellStyle name="40% - Accent3 3 3 2 2 4 3" xfId="19382" xr:uid="{00000000-0005-0000-0000-0000B5480000}"/>
    <cellStyle name="40% - Accent3 3 3 2 2 4 3 2" xfId="48388" xr:uid="{00000000-0005-0000-0000-0000B6480000}"/>
    <cellStyle name="40% - Accent3 3 3 2 2 4 4" xfId="33889" xr:uid="{00000000-0005-0000-0000-0000B7480000}"/>
    <cellStyle name="40% - Accent3 3 3 2 2 5" xfId="7928" xr:uid="{00000000-0005-0000-0000-0000B8480000}"/>
    <cellStyle name="40% - Accent3 3 3 2 2 5 2" xfId="15200" xr:uid="{00000000-0005-0000-0000-0000B9480000}"/>
    <cellStyle name="40% - Accent3 3 3 2 2 5 2 2" xfId="29734" xr:uid="{00000000-0005-0000-0000-0000BA480000}"/>
    <cellStyle name="40% - Accent3 3 3 2 2 5 2 2 2" xfId="58740" xr:uid="{00000000-0005-0000-0000-0000BB480000}"/>
    <cellStyle name="40% - Accent3 3 3 2 2 5 2 3" xfId="44241" xr:uid="{00000000-0005-0000-0000-0000BC480000}"/>
    <cellStyle name="40% - Accent3 3 3 2 2 5 3" xfId="22486" xr:uid="{00000000-0005-0000-0000-0000BD480000}"/>
    <cellStyle name="40% - Accent3 3 3 2 2 5 3 2" xfId="51492" xr:uid="{00000000-0005-0000-0000-0000BE480000}"/>
    <cellStyle name="40% - Accent3 3 3 2 2 5 4" xfId="36993" xr:uid="{00000000-0005-0000-0000-0000BF480000}"/>
    <cellStyle name="40% - Accent3 3 3 2 2 6" xfId="8992" xr:uid="{00000000-0005-0000-0000-0000C0480000}"/>
    <cellStyle name="40% - Accent3 3 3 2 2 6 2" xfId="23526" xr:uid="{00000000-0005-0000-0000-0000C1480000}"/>
    <cellStyle name="40% - Accent3 3 3 2 2 6 2 2" xfId="52532" xr:uid="{00000000-0005-0000-0000-0000C2480000}"/>
    <cellStyle name="40% - Accent3 3 3 2 2 6 3" xfId="38033" xr:uid="{00000000-0005-0000-0000-0000C3480000}"/>
    <cellStyle name="40% - Accent3 3 3 2 2 7" xfId="16278" xr:uid="{00000000-0005-0000-0000-0000C4480000}"/>
    <cellStyle name="40% - Accent3 3 3 2 2 7 2" xfId="45284" xr:uid="{00000000-0005-0000-0000-0000C5480000}"/>
    <cellStyle name="40% - Accent3 3 3 2 2 8" xfId="30785" xr:uid="{00000000-0005-0000-0000-0000C6480000}"/>
    <cellStyle name="40% - Accent3 3 3 2 3" xfId="2248" xr:uid="{00000000-0005-0000-0000-0000C7480000}"/>
    <cellStyle name="40% - Accent3 3 3 2 3 2" xfId="5352" xr:uid="{00000000-0005-0000-0000-0000C8480000}"/>
    <cellStyle name="40% - Accent3 3 3 2 3 2 2" xfId="12624" xr:uid="{00000000-0005-0000-0000-0000C9480000}"/>
    <cellStyle name="40% - Accent3 3 3 2 3 2 2 2" xfId="27158" xr:uid="{00000000-0005-0000-0000-0000CA480000}"/>
    <cellStyle name="40% - Accent3 3 3 2 3 2 2 2 2" xfId="56164" xr:uid="{00000000-0005-0000-0000-0000CB480000}"/>
    <cellStyle name="40% - Accent3 3 3 2 3 2 2 3" xfId="41665" xr:uid="{00000000-0005-0000-0000-0000CC480000}"/>
    <cellStyle name="40% - Accent3 3 3 2 3 2 3" xfId="19910" xr:uid="{00000000-0005-0000-0000-0000CD480000}"/>
    <cellStyle name="40% - Accent3 3 3 2 3 2 3 2" xfId="48916" xr:uid="{00000000-0005-0000-0000-0000CE480000}"/>
    <cellStyle name="40% - Accent3 3 3 2 3 2 4" xfId="34417" xr:uid="{00000000-0005-0000-0000-0000CF480000}"/>
    <cellStyle name="40% - Accent3 3 3 2 3 3" xfId="9520" xr:uid="{00000000-0005-0000-0000-0000D0480000}"/>
    <cellStyle name="40% - Accent3 3 3 2 3 3 2" xfId="24054" xr:uid="{00000000-0005-0000-0000-0000D1480000}"/>
    <cellStyle name="40% - Accent3 3 3 2 3 3 2 2" xfId="53060" xr:uid="{00000000-0005-0000-0000-0000D2480000}"/>
    <cellStyle name="40% - Accent3 3 3 2 3 3 3" xfId="38561" xr:uid="{00000000-0005-0000-0000-0000D3480000}"/>
    <cellStyle name="40% - Accent3 3 3 2 3 4" xfId="16806" xr:uid="{00000000-0005-0000-0000-0000D4480000}"/>
    <cellStyle name="40% - Accent3 3 3 2 3 4 2" xfId="45812" xr:uid="{00000000-0005-0000-0000-0000D5480000}"/>
    <cellStyle name="40% - Accent3 3 3 2 3 5" xfId="31313" xr:uid="{00000000-0005-0000-0000-0000D6480000}"/>
    <cellStyle name="40% - Accent3 3 3 2 4" xfId="3280" xr:uid="{00000000-0005-0000-0000-0000D7480000}"/>
    <cellStyle name="40% - Accent3 3 3 2 4 2" xfId="6384" xr:uid="{00000000-0005-0000-0000-0000D8480000}"/>
    <cellStyle name="40% - Accent3 3 3 2 4 2 2" xfId="13656" xr:uid="{00000000-0005-0000-0000-0000D9480000}"/>
    <cellStyle name="40% - Accent3 3 3 2 4 2 2 2" xfId="28190" xr:uid="{00000000-0005-0000-0000-0000DA480000}"/>
    <cellStyle name="40% - Accent3 3 3 2 4 2 2 2 2" xfId="57196" xr:uid="{00000000-0005-0000-0000-0000DB480000}"/>
    <cellStyle name="40% - Accent3 3 3 2 4 2 2 3" xfId="42697" xr:uid="{00000000-0005-0000-0000-0000DC480000}"/>
    <cellStyle name="40% - Accent3 3 3 2 4 2 3" xfId="20942" xr:uid="{00000000-0005-0000-0000-0000DD480000}"/>
    <cellStyle name="40% - Accent3 3 3 2 4 2 3 2" xfId="49948" xr:uid="{00000000-0005-0000-0000-0000DE480000}"/>
    <cellStyle name="40% - Accent3 3 3 2 4 2 4" xfId="35449" xr:uid="{00000000-0005-0000-0000-0000DF480000}"/>
    <cellStyle name="40% - Accent3 3 3 2 4 3" xfId="10552" xr:uid="{00000000-0005-0000-0000-0000E0480000}"/>
    <cellStyle name="40% - Accent3 3 3 2 4 3 2" xfId="25086" xr:uid="{00000000-0005-0000-0000-0000E1480000}"/>
    <cellStyle name="40% - Accent3 3 3 2 4 3 2 2" xfId="54092" xr:uid="{00000000-0005-0000-0000-0000E2480000}"/>
    <cellStyle name="40% - Accent3 3 3 2 4 3 3" xfId="39593" xr:uid="{00000000-0005-0000-0000-0000E3480000}"/>
    <cellStyle name="40% - Accent3 3 3 2 4 4" xfId="17838" xr:uid="{00000000-0005-0000-0000-0000E4480000}"/>
    <cellStyle name="40% - Accent3 3 3 2 4 4 2" xfId="46844" xr:uid="{00000000-0005-0000-0000-0000E5480000}"/>
    <cellStyle name="40% - Accent3 3 3 2 4 5" xfId="32345" xr:uid="{00000000-0005-0000-0000-0000E6480000}"/>
    <cellStyle name="40% - Accent3 3 3 2 5" xfId="4312" xr:uid="{00000000-0005-0000-0000-0000E7480000}"/>
    <cellStyle name="40% - Accent3 3 3 2 5 2" xfId="11584" xr:uid="{00000000-0005-0000-0000-0000E8480000}"/>
    <cellStyle name="40% - Accent3 3 3 2 5 2 2" xfId="26118" xr:uid="{00000000-0005-0000-0000-0000E9480000}"/>
    <cellStyle name="40% - Accent3 3 3 2 5 2 2 2" xfId="55124" xr:uid="{00000000-0005-0000-0000-0000EA480000}"/>
    <cellStyle name="40% - Accent3 3 3 2 5 2 3" xfId="40625" xr:uid="{00000000-0005-0000-0000-0000EB480000}"/>
    <cellStyle name="40% - Accent3 3 3 2 5 3" xfId="18870" xr:uid="{00000000-0005-0000-0000-0000EC480000}"/>
    <cellStyle name="40% - Accent3 3 3 2 5 3 2" xfId="47876" xr:uid="{00000000-0005-0000-0000-0000ED480000}"/>
    <cellStyle name="40% - Accent3 3 3 2 5 4" xfId="33377" xr:uid="{00000000-0005-0000-0000-0000EE480000}"/>
    <cellStyle name="40% - Accent3 3 3 2 6" xfId="7416" xr:uid="{00000000-0005-0000-0000-0000EF480000}"/>
    <cellStyle name="40% - Accent3 3 3 2 6 2" xfId="14688" xr:uid="{00000000-0005-0000-0000-0000F0480000}"/>
    <cellStyle name="40% - Accent3 3 3 2 6 2 2" xfId="29222" xr:uid="{00000000-0005-0000-0000-0000F1480000}"/>
    <cellStyle name="40% - Accent3 3 3 2 6 2 2 2" xfId="58228" xr:uid="{00000000-0005-0000-0000-0000F2480000}"/>
    <cellStyle name="40% - Accent3 3 3 2 6 2 3" xfId="43729" xr:uid="{00000000-0005-0000-0000-0000F3480000}"/>
    <cellStyle name="40% - Accent3 3 3 2 6 3" xfId="21974" xr:uid="{00000000-0005-0000-0000-0000F4480000}"/>
    <cellStyle name="40% - Accent3 3 3 2 6 3 2" xfId="50980" xr:uid="{00000000-0005-0000-0000-0000F5480000}"/>
    <cellStyle name="40% - Accent3 3 3 2 6 4" xfId="36481" xr:uid="{00000000-0005-0000-0000-0000F6480000}"/>
    <cellStyle name="40% - Accent3 3 3 2 7" xfId="8480" xr:uid="{00000000-0005-0000-0000-0000F7480000}"/>
    <cellStyle name="40% - Accent3 3 3 2 7 2" xfId="23014" xr:uid="{00000000-0005-0000-0000-0000F8480000}"/>
    <cellStyle name="40% - Accent3 3 3 2 7 2 2" xfId="52020" xr:uid="{00000000-0005-0000-0000-0000F9480000}"/>
    <cellStyle name="40% - Accent3 3 3 2 7 3" xfId="37521" xr:uid="{00000000-0005-0000-0000-0000FA480000}"/>
    <cellStyle name="40% - Accent3 3 3 2 8" xfId="15766" xr:uid="{00000000-0005-0000-0000-0000FB480000}"/>
    <cellStyle name="40% - Accent3 3 3 2 8 2" xfId="44772" xr:uid="{00000000-0005-0000-0000-0000FC480000}"/>
    <cellStyle name="40% - Accent3 3 3 2 9" xfId="30273" xr:uid="{00000000-0005-0000-0000-0000FD480000}"/>
    <cellStyle name="40% - Accent3 3 3 3" xfId="1396" xr:uid="{00000000-0005-0000-0000-0000FE480000}"/>
    <cellStyle name="40% - Accent3 3 3 3 2" xfId="2454" xr:uid="{00000000-0005-0000-0000-0000FF480000}"/>
    <cellStyle name="40% - Accent3 3 3 3 2 2" xfId="5558" xr:uid="{00000000-0005-0000-0000-000000490000}"/>
    <cellStyle name="40% - Accent3 3 3 3 2 2 2" xfId="12830" xr:uid="{00000000-0005-0000-0000-000001490000}"/>
    <cellStyle name="40% - Accent3 3 3 3 2 2 2 2" xfId="27364" xr:uid="{00000000-0005-0000-0000-000002490000}"/>
    <cellStyle name="40% - Accent3 3 3 3 2 2 2 2 2" xfId="56370" xr:uid="{00000000-0005-0000-0000-000003490000}"/>
    <cellStyle name="40% - Accent3 3 3 3 2 2 2 3" xfId="41871" xr:uid="{00000000-0005-0000-0000-000004490000}"/>
    <cellStyle name="40% - Accent3 3 3 3 2 2 3" xfId="20116" xr:uid="{00000000-0005-0000-0000-000005490000}"/>
    <cellStyle name="40% - Accent3 3 3 3 2 2 3 2" xfId="49122" xr:uid="{00000000-0005-0000-0000-000006490000}"/>
    <cellStyle name="40% - Accent3 3 3 3 2 2 4" xfId="34623" xr:uid="{00000000-0005-0000-0000-000007490000}"/>
    <cellStyle name="40% - Accent3 3 3 3 2 3" xfId="9726" xr:uid="{00000000-0005-0000-0000-000008490000}"/>
    <cellStyle name="40% - Accent3 3 3 3 2 3 2" xfId="24260" xr:uid="{00000000-0005-0000-0000-000009490000}"/>
    <cellStyle name="40% - Accent3 3 3 3 2 3 2 2" xfId="53266" xr:uid="{00000000-0005-0000-0000-00000A490000}"/>
    <cellStyle name="40% - Accent3 3 3 3 2 3 3" xfId="38767" xr:uid="{00000000-0005-0000-0000-00000B490000}"/>
    <cellStyle name="40% - Accent3 3 3 3 2 4" xfId="17012" xr:uid="{00000000-0005-0000-0000-00000C490000}"/>
    <cellStyle name="40% - Accent3 3 3 3 2 4 2" xfId="46018" xr:uid="{00000000-0005-0000-0000-00000D490000}"/>
    <cellStyle name="40% - Accent3 3 3 3 2 5" xfId="31519" xr:uid="{00000000-0005-0000-0000-00000E490000}"/>
    <cellStyle name="40% - Accent3 3 3 3 3" xfId="3486" xr:uid="{00000000-0005-0000-0000-00000F490000}"/>
    <cellStyle name="40% - Accent3 3 3 3 3 2" xfId="6590" xr:uid="{00000000-0005-0000-0000-000010490000}"/>
    <cellStyle name="40% - Accent3 3 3 3 3 2 2" xfId="13862" xr:uid="{00000000-0005-0000-0000-000011490000}"/>
    <cellStyle name="40% - Accent3 3 3 3 3 2 2 2" xfId="28396" xr:uid="{00000000-0005-0000-0000-000012490000}"/>
    <cellStyle name="40% - Accent3 3 3 3 3 2 2 2 2" xfId="57402" xr:uid="{00000000-0005-0000-0000-000013490000}"/>
    <cellStyle name="40% - Accent3 3 3 3 3 2 2 3" xfId="42903" xr:uid="{00000000-0005-0000-0000-000014490000}"/>
    <cellStyle name="40% - Accent3 3 3 3 3 2 3" xfId="21148" xr:uid="{00000000-0005-0000-0000-000015490000}"/>
    <cellStyle name="40% - Accent3 3 3 3 3 2 3 2" xfId="50154" xr:uid="{00000000-0005-0000-0000-000016490000}"/>
    <cellStyle name="40% - Accent3 3 3 3 3 2 4" xfId="35655" xr:uid="{00000000-0005-0000-0000-000017490000}"/>
    <cellStyle name="40% - Accent3 3 3 3 3 3" xfId="10758" xr:uid="{00000000-0005-0000-0000-000018490000}"/>
    <cellStyle name="40% - Accent3 3 3 3 3 3 2" xfId="25292" xr:uid="{00000000-0005-0000-0000-000019490000}"/>
    <cellStyle name="40% - Accent3 3 3 3 3 3 2 2" xfId="54298" xr:uid="{00000000-0005-0000-0000-00001A490000}"/>
    <cellStyle name="40% - Accent3 3 3 3 3 3 3" xfId="39799" xr:uid="{00000000-0005-0000-0000-00001B490000}"/>
    <cellStyle name="40% - Accent3 3 3 3 3 4" xfId="18044" xr:uid="{00000000-0005-0000-0000-00001C490000}"/>
    <cellStyle name="40% - Accent3 3 3 3 3 4 2" xfId="47050" xr:uid="{00000000-0005-0000-0000-00001D490000}"/>
    <cellStyle name="40% - Accent3 3 3 3 3 5" xfId="32551" xr:uid="{00000000-0005-0000-0000-00001E490000}"/>
    <cellStyle name="40% - Accent3 3 3 3 4" xfId="4518" xr:uid="{00000000-0005-0000-0000-00001F490000}"/>
    <cellStyle name="40% - Accent3 3 3 3 4 2" xfId="11790" xr:uid="{00000000-0005-0000-0000-000020490000}"/>
    <cellStyle name="40% - Accent3 3 3 3 4 2 2" xfId="26324" xr:uid="{00000000-0005-0000-0000-000021490000}"/>
    <cellStyle name="40% - Accent3 3 3 3 4 2 2 2" xfId="55330" xr:uid="{00000000-0005-0000-0000-000022490000}"/>
    <cellStyle name="40% - Accent3 3 3 3 4 2 3" xfId="40831" xr:uid="{00000000-0005-0000-0000-000023490000}"/>
    <cellStyle name="40% - Accent3 3 3 3 4 3" xfId="19076" xr:uid="{00000000-0005-0000-0000-000024490000}"/>
    <cellStyle name="40% - Accent3 3 3 3 4 3 2" xfId="48082" xr:uid="{00000000-0005-0000-0000-000025490000}"/>
    <cellStyle name="40% - Accent3 3 3 3 4 4" xfId="33583" xr:uid="{00000000-0005-0000-0000-000026490000}"/>
    <cellStyle name="40% - Accent3 3 3 3 5" xfId="7622" xr:uid="{00000000-0005-0000-0000-000027490000}"/>
    <cellStyle name="40% - Accent3 3 3 3 5 2" xfId="14894" xr:uid="{00000000-0005-0000-0000-000028490000}"/>
    <cellStyle name="40% - Accent3 3 3 3 5 2 2" xfId="29428" xr:uid="{00000000-0005-0000-0000-000029490000}"/>
    <cellStyle name="40% - Accent3 3 3 3 5 2 2 2" xfId="58434" xr:uid="{00000000-0005-0000-0000-00002A490000}"/>
    <cellStyle name="40% - Accent3 3 3 3 5 2 3" xfId="43935" xr:uid="{00000000-0005-0000-0000-00002B490000}"/>
    <cellStyle name="40% - Accent3 3 3 3 5 3" xfId="22180" xr:uid="{00000000-0005-0000-0000-00002C490000}"/>
    <cellStyle name="40% - Accent3 3 3 3 5 3 2" xfId="51186" xr:uid="{00000000-0005-0000-0000-00002D490000}"/>
    <cellStyle name="40% - Accent3 3 3 3 5 4" xfId="36687" xr:uid="{00000000-0005-0000-0000-00002E490000}"/>
    <cellStyle name="40% - Accent3 3 3 3 6" xfId="8686" xr:uid="{00000000-0005-0000-0000-00002F490000}"/>
    <cellStyle name="40% - Accent3 3 3 3 6 2" xfId="23220" xr:uid="{00000000-0005-0000-0000-000030490000}"/>
    <cellStyle name="40% - Accent3 3 3 3 6 2 2" xfId="52226" xr:uid="{00000000-0005-0000-0000-000031490000}"/>
    <cellStyle name="40% - Accent3 3 3 3 6 3" xfId="37727" xr:uid="{00000000-0005-0000-0000-000032490000}"/>
    <cellStyle name="40% - Accent3 3 3 3 7" xfId="15972" xr:uid="{00000000-0005-0000-0000-000033490000}"/>
    <cellStyle name="40% - Accent3 3 3 3 7 2" xfId="44978" xr:uid="{00000000-0005-0000-0000-000034490000}"/>
    <cellStyle name="40% - Accent3 3 3 3 8" xfId="30479" xr:uid="{00000000-0005-0000-0000-000035490000}"/>
    <cellStyle name="40% - Accent3 3 3 4" xfId="1942" xr:uid="{00000000-0005-0000-0000-000036490000}"/>
    <cellStyle name="40% - Accent3 3 3 4 2" xfId="5046" xr:uid="{00000000-0005-0000-0000-000037490000}"/>
    <cellStyle name="40% - Accent3 3 3 4 2 2" xfId="12318" xr:uid="{00000000-0005-0000-0000-000038490000}"/>
    <cellStyle name="40% - Accent3 3 3 4 2 2 2" xfId="26852" xr:uid="{00000000-0005-0000-0000-000039490000}"/>
    <cellStyle name="40% - Accent3 3 3 4 2 2 2 2" xfId="55858" xr:uid="{00000000-0005-0000-0000-00003A490000}"/>
    <cellStyle name="40% - Accent3 3 3 4 2 2 3" xfId="41359" xr:uid="{00000000-0005-0000-0000-00003B490000}"/>
    <cellStyle name="40% - Accent3 3 3 4 2 3" xfId="19604" xr:uid="{00000000-0005-0000-0000-00003C490000}"/>
    <cellStyle name="40% - Accent3 3 3 4 2 3 2" xfId="48610" xr:uid="{00000000-0005-0000-0000-00003D490000}"/>
    <cellStyle name="40% - Accent3 3 3 4 2 4" xfId="34111" xr:uid="{00000000-0005-0000-0000-00003E490000}"/>
    <cellStyle name="40% - Accent3 3 3 4 3" xfId="9214" xr:uid="{00000000-0005-0000-0000-00003F490000}"/>
    <cellStyle name="40% - Accent3 3 3 4 3 2" xfId="23748" xr:uid="{00000000-0005-0000-0000-000040490000}"/>
    <cellStyle name="40% - Accent3 3 3 4 3 2 2" xfId="52754" xr:uid="{00000000-0005-0000-0000-000041490000}"/>
    <cellStyle name="40% - Accent3 3 3 4 3 3" xfId="38255" xr:uid="{00000000-0005-0000-0000-000042490000}"/>
    <cellStyle name="40% - Accent3 3 3 4 4" xfId="16500" xr:uid="{00000000-0005-0000-0000-000043490000}"/>
    <cellStyle name="40% - Accent3 3 3 4 4 2" xfId="45506" xr:uid="{00000000-0005-0000-0000-000044490000}"/>
    <cellStyle name="40% - Accent3 3 3 4 5" xfId="31007" xr:uid="{00000000-0005-0000-0000-000045490000}"/>
    <cellStyle name="40% - Accent3 3 3 5" xfId="2974" xr:uid="{00000000-0005-0000-0000-000046490000}"/>
    <cellStyle name="40% - Accent3 3 3 5 2" xfId="6078" xr:uid="{00000000-0005-0000-0000-000047490000}"/>
    <cellStyle name="40% - Accent3 3 3 5 2 2" xfId="13350" xr:uid="{00000000-0005-0000-0000-000048490000}"/>
    <cellStyle name="40% - Accent3 3 3 5 2 2 2" xfId="27884" xr:uid="{00000000-0005-0000-0000-000049490000}"/>
    <cellStyle name="40% - Accent3 3 3 5 2 2 2 2" xfId="56890" xr:uid="{00000000-0005-0000-0000-00004A490000}"/>
    <cellStyle name="40% - Accent3 3 3 5 2 2 3" xfId="42391" xr:uid="{00000000-0005-0000-0000-00004B490000}"/>
    <cellStyle name="40% - Accent3 3 3 5 2 3" xfId="20636" xr:uid="{00000000-0005-0000-0000-00004C490000}"/>
    <cellStyle name="40% - Accent3 3 3 5 2 3 2" xfId="49642" xr:uid="{00000000-0005-0000-0000-00004D490000}"/>
    <cellStyle name="40% - Accent3 3 3 5 2 4" xfId="35143" xr:uid="{00000000-0005-0000-0000-00004E490000}"/>
    <cellStyle name="40% - Accent3 3 3 5 3" xfId="10246" xr:uid="{00000000-0005-0000-0000-00004F490000}"/>
    <cellStyle name="40% - Accent3 3 3 5 3 2" xfId="24780" xr:uid="{00000000-0005-0000-0000-000050490000}"/>
    <cellStyle name="40% - Accent3 3 3 5 3 2 2" xfId="53786" xr:uid="{00000000-0005-0000-0000-000051490000}"/>
    <cellStyle name="40% - Accent3 3 3 5 3 3" xfId="39287" xr:uid="{00000000-0005-0000-0000-000052490000}"/>
    <cellStyle name="40% - Accent3 3 3 5 4" xfId="17532" xr:uid="{00000000-0005-0000-0000-000053490000}"/>
    <cellStyle name="40% - Accent3 3 3 5 4 2" xfId="46538" xr:uid="{00000000-0005-0000-0000-000054490000}"/>
    <cellStyle name="40% - Accent3 3 3 5 5" xfId="32039" xr:uid="{00000000-0005-0000-0000-000055490000}"/>
    <cellStyle name="40% - Accent3 3 3 6" xfId="4006" xr:uid="{00000000-0005-0000-0000-000056490000}"/>
    <cellStyle name="40% - Accent3 3 3 6 2" xfId="11278" xr:uid="{00000000-0005-0000-0000-000057490000}"/>
    <cellStyle name="40% - Accent3 3 3 6 2 2" xfId="25812" xr:uid="{00000000-0005-0000-0000-000058490000}"/>
    <cellStyle name="40% - Accent3 3 3 6 2 2 2" xfId="54818" xr:uid="{00000000-0005-0000-0000-000059490000}"/>
    <cellStyle name="40% - Accent3 3 3 6 2 3" xfId="40319" xr:uid="{00000000-0005-0000-0000-00005A490000}"/>
    <cellStyle name="40% - Accent3 3 3 6 3" xfId="18564" xr:uid="{00000000-0005-0000-0000-00005B490000}"/>
    <cellStyle name="40% - Accent3 3 3 6 3 2" xfId="47570" xr:uid="{00000000-0005-0000-0000-00005C490000}"/>
    <cellStyle name="40% - Accent3 3 3 6 4" xfId="33071" xr:uid="{00000000-0005-0000-0000-00005D490000}"/>
    <cellStyle name="40% - Accent3 3 3 7" xfId="7110" xr:uid="{00000000-0005-0000-0000-00005E490000}"/>
    <cellStyle name="40% - Accent3 3 3 7 2" xfId="14382" xr:uid="{00000000-0005-0000-0000-00005F490000}"/>
    <cellStyle name="40% - Accent3 3 3 7 2 2" xfId="28916" xr:uid="{00000000-0005-0000-0000-000060490000}"/>
    <cellStyle name="40% - Accent3 3 3 7 2 2 2" xfId="57922" xr:uid="{00000000-0005-0000-0000-000061490000}"/>
    <cellStyle name="40% - Accent3 3 3 7 2 3" xfId="43423" xr:uid="{00000000-0005-0000-0000-000062490000}"/>
    <cellStyle name="40% - Accent3 3 3 7 3" xfId="21668" xr:uid="{00000000-0005-0000-0000-000063490000}"/>
    <cellStyle name="40% - Accent3 3 3 7 3 2" xfId="50674" xr:uid="{00000000-0005-0000-0000-000064490000}"/>
    <cellStyle name="40% - Accent3 3 3 7 4" xfId="36175" xr:uid="{00000000-0005-0000-0000-000065490000}"/>
    <cellStyle name="40% - Accent3 3 3 8" xfId="8174" xr:uid="{00000000-0005-0000-0000-000066490000}"/>
    <cellStyle name="40% - Accent3 3 3 8 2" xfId="22708" xr:uid="{00000000-0005-0000-0000-000067490000}"/>
    <cellStyle name="40% - Accent3 3 3 8 2 2" xfId="51714" xr:uid="{00000000-0005-0000-0000-000068490000}"/>
    <cellStyle name="40% - Accent3 3 3 8 3" xfId="37215" xr:uid="{00000000-0005-0000-0000-000069490000}"/>
    <cellStyle name="40% - Accent3 3 3 9" xfId="15460" xr:uid="{00000000-0005-0000-0000-00006A490000}"/>
    <cellStyle name="40% - Accent3 3 3 9 2" xfId="44466" xr:uid="{00000000-0005-0000-0000-00006B490000}"/>
    <cellStyle name="40% - Accent3 3 4" xfId="1101" xr:uid="{00000000-0005-0000-0000-00006C490000}"/>
    <cellStyle name="40% - Accent3 3 4 2" xfId="1598" xr:uid="{00000000-0005-0000-0000-00006D490000}"/>
    <cellStyle name="40% - Accent3 3 4 2 2" xfId="2657" xr:uid="{00000000-0005-0000-0000-00006E490000}"/>
    <cellStyle name="40% - Accent3 3 4 2 2 2" xfId="5761" xr:uid="{00000000-0005-0000-0000-00006F490000}"/>
    <cellStyle name="40% - Accent3 3 4 2 2 2 2" xfId="13033" xr:uid="{00000000-0005-0000-0000-000070490000}"/>
    <cellStyle name="40% - Accent3 3 4 2 2 2 2 2" xfId="27567" xr:uid="{00000000-0005-0000-0000-000071490000}"/>
    <cellStyle name="40% - Accent3 3 4 2 2 2 2 2 2" xfId="56573" xr:uid="{00000000-0005-0000-0000-000072490000}"/>
    <cellStyle name="40% - Accent3 3 4 2 2 2 2 3" xfId="42074" xr:uid="{00000000-0005-0000-0000-000073490000}"/>
    <cellStyle name="40% - Accent3 3 4 2 2 2 3" xfId="20319" xr:uid="{00000000-0005-0000-0000-000074490000}"/>
    <cellStyle name="40% - Accent3 3 4 2 2 2 3 2" xfId="49325" xr:uid="{00000000-0005-0000-0000-000075490000}"/>
    <cellStyle name="40% - Accent3 3 4 2 2 2 4" xfId="34826" xr:uid="{00000000-0005-0000-0000-000076490000}"/>
    <cellStyle name="40% - Accent3 3 4 2 2 3" xfId="9929" xr:uid="{00000000-0005-0000-0000-000077490000}"/>
    <cellStyle name="40% - Accent3 3 4 2 2 3 2" xfId="24463" xr:uid="{00000000-0005-0000-0000-000078490000}"/>
    <cellStyle name="40% - Accent3 3 4 2 2 3 2 2" xfId="53469" xr:uid="{00000000-0005-0000-0000-000079490000}"/>
    <cellStyle name="40% - Accent3 3 4 2 2 3 3" xfId="38970" xr:uid="{00000000-0005-0000-0000-00007A490000}"/>
    <cellStyle name="40% - Accent3 3 4 2 2 4" xfId="17215" xr:uid="{00000000-0005-0000-0000-00007B490000}"/>
    <cellStyle name="40% - Accent3 3 4 2 2 4 2" xfId="46221" xr:uid="{00000000-0005-0000-0000-00007C490000}"/>
    <cellStyle name="40% - Accent3 3 4 2 2 5" xfId="31722" xr:uid="{00000000-0005-0000-0000-00007D490000}"/>
    <cellStyle name="40% - Accent3 3 4 2 3" xfId="3689" xr:uid="{00000000-0005-0000-0000-00007E490000}"/>
    <cellStyle name="40% - Accent3 3 4 2 3 2" xfId="6793" xr:uid="{00000000-0005-0000-0000-00007F490000}"/>
    <cellStyle name="40% - Accent3 3 4 2 3 2 2" xfId="14065" xr:uid="{00000000-0005-0000-0000-000080490000}"/>
    <cellStyle name="40% - Accent3 3 4 2 3 2 2 2" xfId="28599" xr:uid="{00000000-0005-0000-0000-000081490000}"/>
    <cellStyle name="40% - Accent3 3 4 2 3 2 2 2 2" xfId="57605" xr:uid="{00000000-0005-0000-0000-000082490000}"/>
    <cellStyle name="40% - Accent3 3 4 2 3 2 2 3" xfId="43106" xr:uid="{00000000-0005-0000-0000-000083490000}"/>
    <cellStyle name="40% - Accent3 3 4 2 3 2 3" xfId="21351" xr:uid="{00000000-0005-0000-0000-000084490000}"/>
    <cellStyle name="40% - Accent3 3 4 2 3 2 3 2" xfId="50357" xr:uid="{00000000-0005-0000-0000-000085490000}"/>
    <cellStyle name="40% - Accent3 3 4 2 3 2 4" xfId="35858" xr:uid="{00000000-0005-0000-0000-000086490000}"/>
    <cellStyle name="40% - Accent3 3 4 2 3 3" xfId="10961" xr:uid="{00000000-0005-0000-0000-000087490000}"/>
    <cellStyle name="40% - Accent3 3 4 2 3 3 2" xfId="25495" xr:uid="{00000000-0005-0000-0000-000088490000}"/>
    <cellStyle name="40% - Accent3 3 4 2 3 3 2 2" xfId="54501" xr:uid="{00000000-0005-0000-0000-000089490000}"/>
    <cellStyle name="40% - Accent3 3 4 2 3 3 3" xfId="40002" xr:uid="{00000000-0005-0000-0000-00008A490000}"/>
    <cellStyle name="40% - Accent3 3 4 2 3 4" xfId="18247" xr:uid="{00000000-0005-0000-0000-00008B490000}"/>
    <cellStyle name="40% - Accent3 3 4 2 3 4 2" xfId="47253" xr:uid="{00000000-0005-0000-0000-00008C490000}"/>
    <cellStyle name="40% - Accent3 3 4 2 3 5" xfId="32754" xr:uid="{00000000-0005-0000-0000-00008D490000}"/>
    <cellStyle name="40% - Accent3 3 4 2 4" xfId="4721" xr:uid="{00000000-0005-0000-0000-00008E490000}"/>
    <cellStyle name="40% - Accent3 3 4 2 4 2" xfId="11993" xr:uid="{00000000-0005-0000-0000-00008F490000}"/>
    <cellStyle name="40% - Accent3 3 4 2 4 2 2" xfId="26527" xr:uid="{00000000-0005-0000-0000-000090490000}"/>
    <cellStyle name="40% - Accent3 3 4 2 4 2 2 2" xfId="55533" xr:uid="{00000000-0005-0000-0000-000091490000}"/>
    <cellStyle name="40% - Accent3 3 4 2 4 2 3" xfId="41034" xr:uid="{00000000-0005-0000-0000-000092490000}"/>
    <cellStyle name="40% - Accent3 3 4 2 4 3" xfId="19279" xr:uid="{00000000-0005-0000-0000-000093490000}"/>
    <cellStyle name="40% - Accent3 3 4 2 4 3 2" xfId="48285" xr:uid="{00000000-0005-0000-0000-000094490000}"/>
    <cellStyle name="40% - Accent3 3 4 2 4 4" xfId="33786" xr:uid="{00000000-0005-0000-0000-000095490000}"/>
    <cellStyle name="40% - Accent3 3 4 2 5" xfId="7825" xr:uid="{00000000-0005-0000-0000-000096490000}"/>
    <cellStyle name="40% - Accent3 3 4 2 5 2" xfId="15097" xr:uid="{00000000-0005-0000-0000-000097490000}"/>
    <cellStyle name="40% - Accent3 3 4 2 5 2 2" xfId="29631" xr:uid="{00000000-0005-0000-0000-000098490000}"/>
    <cellStyle name="40% - Accent3 3 4 2 5 2 2 2" xfId="58637" xr:uid="{00000000-0005-0000-0000-000099490000}"/>
    <cellStyle name="40% - Accent3 3 4 2 5 2 3" xfId="44138" xr:uid="{00000000-0005-0000-0000-00009A490000}"/>
    <cellStyle name="40% - Accent3 3 4 2 5 3" xfId="22383" xr:uid="{00000000-0005-0000-0000-00009B490000}"/>
    <cellStyle name="40% - Accent3 3 4 2 5 3 2" xfId="51389" xr:uid="{00000000-0005-0000-0000-00009C490000}"/>
    <cellStyle name="40% - Accent3 3 4 2 5 4" xfId="36890" xr:uid="{00000000-0005-0000-0000-00009D490000}"/>
    <cellStyle name="40% - Accent3 3 4 2 6" xfId="8889" xr:uid="{00000000-0005-0000-0000-00009E490000}"/>
    <cellStyle name="40% - Accent3 3 4 2 6 2" xfId="23423" xr:uid="{00000000-0005-0000-0000-00009F490000}"/>
    <cellStyle name="40% - Accent3 3 4 2 6 2 2" xfId="52429" xr:uid="{00000000-0005-0000-0000-0000A0490000}"/>
    <cellStyle name="40% - Accent3 3 4 2 6 3" xfId="37930" xr:uid="{00000000-0005-0000-0000-0000A1490000}"/>
    <cellStyle name="40% - Accent3 3 4 2 7" xfId="16175" xr:uid="{00000000-0005-0000-0000-0000A2490000}"/>
    <cellStyle name="40% - Accent3 3 4 2 7 2" xfId="45181" xr:uid="{00000000-0005-0000-0000-0000A3490000}"/>
    <cellStyle name="40% - Accent3 3 4 2 8" xfId="30682" xr:uid="{00000000-0005-0000-0000-0000A4490000}"/>
    <cellStyle name="40% - Accent3 3 4 3" xfId="2145" xr:uid="{00000000-0005-0000-0000-0000A5490000}"/>
    <cellStyle name="40% - Accent3 3 4 3 2" xfId="5249" xr:uid="{00000000-0005-0000-0000-0000A6490000}"/>
    <cellStyle name="40% - Accent3 3 4 3 2 2" xfId="12521" xr:uid="{00000000-0005-0000-0000-0000A7490000}"/>
    <cellStyle name="40% - Accent3 3 4 3 2 2 2" xfId="27055" xr:uid="{00000000-0005-0000-0000-0000A8490000}"/>
    <cellStyle name="40% - Accent3 3 4 3 2 2 2 2" xfId="56061" xr:uid="{00000000-0005-0000-0000-0000A9490000}"/>
    <cellStyle name="40% - Accent3 3 4 3 2 2 3" xfId="41562" xr:uid="{00000000-0005-0000-0000-0000AA490000}"/>
    <cellStyle name="40% - Accent3 3 4 3 2 3" xfId="19807" xr:uid="{00000000-0005-0000-0000-0000AB490000}"/>
    <cellStyle name="40% - Accent3 3 4 3 2 3 2" xfId="48813" xr:uid="{00000000-0005-0000-0000-0000AC490000}"/>
    <cellStyle name="40% - Accent3 3 4 3 2 4" xfId="34314" xr:uid="{00000000-0005-0000-0000-0000AD490000}"/>
    <cellStyle name="40% - Accent3 3 4 3 3" xfId="9417" xr:uid="{00000000-0005-0000-0000-0000AE490000}"/>
    <cellStyle name="40% - Accent3 3 4 3 3 2" xfId="23951" xr:uid="{00000000-0005-0000-0000-0000AF490000}"/>
    <cellStyle name="40% - Accent3 3 4 3 3 2 2" xfId="52957" xr:uid="{00000000-0005-0000-0000-0000B0490000}"/>
    <cellStyle name="40% - Accent3 3 4 3 3 3" xfId="38458" xr:uid="{00000000-0005-0000-0000-0000B1490000}"/>
    <cellStyle name="40% - Accent3 3 4 3 4" xfId="16703" xr:uid="{00000000-0005-0000-0000-0000B2490000}"/>
    <cellStyle name="40% - Accent3 3 4 3 4 2" xfId="45709" xr:uid="{00000000-0005-0000-0000-0000B3490000}"/>
    <cellStyle name="40% - Accent3 3 4 3 5" xfId="31210" xr:uid="{00000000-0005-0000-0000-0000B4490000}"/>
    <cellStyle name="40% - Accent3 3 4 4" xfId="3177" xr:uid="{00000000-0005-0000-0000-0000B5490000}"/>
    <cellStyle name="40% - Accent3 3 4 4 2" xfId="6281" xr:uid="{00000000-0005-0000-0000-0000B6490000}"/>
    <cellStyle name="40% - Accent3 3 4 4 2 2" xfId="13553" xr:uid="{00000000-0005-0000-0000-0000B7490000}"/>
    <cellStyle name="40% - Accent3 3 4 4 2 2 2" xfId="28087" xr:uid="{00000000-0005-0000-0000-0000B8490000}"/>
    <cellStyle name="40% - Accent3 3 4 4 2 2 2 2" xfId="57093" xr:uid="{00000000-0005-0000-0000-0000B9490000}"/>
    <cellStyle name="40% - Accent3 3 4 4 2 2 3" xfId="42594" xr:uid="{00000000-0005-0000-0000-0000BA490000}"/>
    <cellStyle name="40% - Accent3 3 4 4 2 3" xfId="20839" xr:uid="{00000000-0005-0000-0000-0000BB490000}"/>
    <cellStyle name="40% - Accent3 3 4 4 2 3 2" xfId="49845" xr:uid="{00000000-0005-0000-0000-0000BC490000}"/>
    <cellStyle name="40% - Accent3 3 4 4 2 4" xfId="35346" xr:uid="{00000000-0005-0000-0000-0000BD490000}"/>
    <cellStyle name="40% - Accent3 3 4 4 3" xfId="10449" xr:uid="{00000000-0005-0000-0000-0000BE490000}"/>
    <cellStyle name="40% - Accent3 3 4 4 3 2" xfId="24983" xr:uid="{00000000-0005-0000-0000-0000BF490000}"/>
    <cellStyle name="40% - Accent3 3 4 4 3 2 2" xfId="53989" xr:uid="{00000000-0005-0000-0000-0000C0490000}"/>
    <cellStyle name="40% - Accent3 3 4 4 3 3" xfId="39490" xr:uid="{00000000-0005-0000-0000-0000C1490000}"/>
    <cellStyle name="40% - Accent3 3 4 4 4" xfId="17735" xr:uid="{00000000-0005-0000-0000-0000C2490000}"/>
    <cellStyle name="40% - Accent3 3 4 4 4 2" xfId="46741" xr:uid="{00000000-0005-0000-0000-0000C3490000}"/>
    <cellStyle name="40% - Accent3 3 4 4 5" xfId="32242" xr:uid="{00000000-0005-0000-0000-0000C4490000}"/>
    <cellStyle name="40% - Accent3 3 4 5" xfId="4209" xr:uid="{00000000-0005-0000-0000-0000C5490000}"/>
    <cellStyle name="40% - Accent3 3 4 5 2" xfId="11481" xr:uid="{00000000-0005-0000-0000-0000C6490000}"/>
    <cellStyle name="40% - Accent3 3 4 5 2 2" xfId="26015" xr:uid="{00000000-0005-0000-0000-0000C7490000}"/>
    <cellStyle name="40% - Accent3 3 4 5 2 2 2" xfId="55021" xr:uid="{00000000-0005-0000-0000-0000C8490000}"/>
    <cellStyle name="40% - Accent3 3 4 5 2 3" xfId="40522" xr:uid="{00000000-0005-0000-0000-0000C9490000}"/>
    <cellStyle name="40% - Accent3 3 4 5 3" xfId="18767" xr:uid="{00000000-0005-0000-0000-0000CA490000}"/>
    <cellStyle name="40% - Accent3 3 4 5 3 2" xfId="47773" xr:uid="{00000000-0005-0000-0000-0000CB490000}"/>
    <cellStyle name="40% - Accent3 3 4 5 4" xfId="33274" xr:uid="{00000000-0005-0000-0000-0000CC490000}"/>
    <cellStyle name="40% - Accent3 3 4 6" xfId="7313" xr:uid="{00000000-0005-0000-0000-0000CD490000}"/>
    <cellStyle name="40% - Accent3 3 4 6 2" xfId="14585" xr:uid="{00000000-0005-0000-0000-0000CE490000}"/>
    <cellStyle name="40% - Accent3 3 4 6 2 2" xfId="29119" xr:uid="{00000000-0005-0000-0000-0000CF490000}"/>
    <cellStyle name="40% - Accent3 3 4 6 2 2 2" xfId="58125" xr:uid="{00000000-0005-0000-0000-0000D0490000}"/>
    <cellStyle name="40% - Accent3 3 4 6 2 3" xfId="43626" xr:uid="{00000000-0005-0000-0000-0000D1490000}"/>
    <cellStyle name="40% - Accent3 3 4 6 3" xfId="21871" xr:uid="{00000000-0005-0000-0000-0000D2490000}"/>
    <cellStyle name="40% - Accent3 3 4 6 3 2" xfId="50877" xr:uid="{00000000-0005-0000-0000-0000D3490000}"/>
    <cellStyle name="40% - Accent3 3 4 6 4" xfId="36378" xr:uid="{00000000-0005-0000-0000-0000D4490000}"/>
    <cellStyle name="40% - Accent3 3 4 7" xfId="8377" xr:uid="{00000000-0005-0000-0000-0000D5490000}"/>
    <cellStyle name="40% - Accent3 3 4 7 2" xfId="22911" xr:uid="{00000000-0005-0000-0000-0000D6490000}"/>
    <cellStyle name="40% - Accent3 3 4 7 2 2" xfId="51917" xr:uid="{00000000-0005-0000-0000-0000D7490000}"/>
    <cellStyle name="40% - Accent3 3 4 7 3" xfId="37418" xr:uid="{00000000-0005-0000-0000-0000D8490000}"/>
    <cellStyle name="40% - Accent3 3 4 8" xfId="15663" xr:uid="{00000000-0005-0000-0000-0000D9490000}"/>
    <cellStyle name="40% - Accent3 3 4 8 2" xfId="44669" xr:uid="{00000000-0005-0000-0000-0000DA490000}"/>
    <cellStyle name="40% - Accent3 3 4 9" xfId="30170" xr:uid="{00000000-0005-0000-0000-0000DB490000}"/>
    <cellStyle name="40% - Accent3 3 5" xfId="1011" xr:uid="{00000000-0005-0000-0000-0000DC490000}"/>
    <cellStyle name="40% - Accent3 3 5 2" xfId="1499" xr:uid="{00000000-0005-0000-0000-0000DD490000}"/>
    <cellStyle name="40% - Accent3 3 5 2 2" xfId="2557" xr:uid="{00000000-0005-0000-0000-0000DE490000}"/>
    <cellStyle name="40% - Accent3 3 5 2 2 2" xfId="5661" xr:uid="{00000000-0005-0000-0000-0000DF490000}"/>
    <cellStyle name="40% - Accent3 3 5 2 2 2 2" xfId="12933" xr:uid="{00000000-0005-0000-0000-0000E0490000}"/>
    <cellStyle name="40% - Accent3 3 5 2 2 2 2 2" xfId="27467" xr:uid="{00000000-0005-0000-0000-0000E1490000}"/>
    <cellStyle name="40% - Accent3 3 5 2 2 2 2 2 2" xfId="56473" xr:uid="{00000000-0005-0000-0000-0000E2490000}"/>
    <cellStyle name="40% - Accent3 3 5 2 2 2 2 3" xfId="41974" xr:uid="{00000000-0005-0000-0000-0000E3490000}"/>
    <cellStyle name="40% - Accent3 3 5 2 2 2 3" xfId="20219" xr:uid="{00000000-0005-0000-0000-0000E4490000}"/>
    <cellStyle name="40% - Accent3 3 5 2 2 2 3 2" xfId="49225" xr:uid="{00000000-0005-0000-0000-0000E5490000}"/>
    <cellStyle name="40% - Accent3 3 5 2 2 2 4" xfId="34726" xr:uid="{00000000-0005-0000-0000-0000E6490000}"/>
    <cellStyle name="40% - Accent3 3 5 2 2 3" xfId="9829" xr:uid="{00000000-0005-0000-0000-0000E7490000}"/>
    <cellStyle name="40% - Accent3 3 5 2 2 3 2" xfId="24363" xr:uid="{00000000-0005-0000-0000-0000E8490000}"/>
    <cellStyle name="40% - Accent3 3 5 2 2 3 2 2" xfId="53369" xr:uid="{00000000-0005-0000-0000-0000E9490000}"/>
    <cellStyle name="40% - Accent3 3 5 2 2 3 3" xfId="38870" xr:uid="{00000000-0005-0000-0000-0000EA490000}"/>
    <cellStyle name="40% - Accent3 3 5 2 2 4" xfId="17115" xr:uid="{00000000-0005-0000-0000-0000EB490000}"/>
    <cellStyle name="40% - Accent3 3 5 2 2 4 2" xfId="46121" xr:uid="{00000000-0005-0000-0000-0000EC490000}"/>
    <cellStyle name="40% - Accent3 3 5 2 2 5" xfId="31622" xr:uid="{00000000-0005-0000-0000-0000ED490000}"/>
    <cellStyle name="40% - Accent3 3 5 2 3" xfId="3589" xr:uid="{00000000-0005-0000-0000-0000EE490000}"/>
    <cellStyle name="40% - Accent3 3 5 2 3 2" xfId="6693" xr:uid="{00000000-0005-0000-0000-0000EF490000}"/>
    <cellStyle name="40% - Accent3 3 5 2 3 2 2" xfId="13965" xr:uid="{00000000-0005-0000-0000-0000F0490000}"/>
    <cellStyle name="40% - Accent3 3 5 2 3 2 2 2" xfId="28499" xr:uid="{00000000-0005-0000-0000-0000F1490000}"/>
    <cellStyle name="40% - Accent3 3 5 2 3 2 2 2 2" xfId="57505" xr:uid="{00000000-0005-0000-0000-0000F2490000}"/>
    <cellStyle name="40% - Accent3 3 5 2 3 2 2 3" xfId="43006" xr:uid="{00000000-0005-0000-0000-0000F3490000}"/>
    <cellStyle name="40% - Accent3 3 5 2 3 2 3" xfId="21251" xr:uid="{00000000-0005-0000-0000-0000F4490000}"/>
    <cellStyle name="40% - Accent3 3 5 2 3 2 3 2" xfId="50257" xr:uid="{00000000-0005-0000-0000-0000F5490000}"/>
    <cellStyle name="40% - Accent3 3 5 2 3 2 4" xfId="35758" xr:uid="{00000000-0005-0000-0000-0000F6490000}"/>
    <cellStyle name="40% - Accent3 3 5 2 3 3" xfId="10861" xr:uid="{00000000-0005-0000-0000-0000F7490000}"/>
    <cellStyle name="40% - Accent3 3 5 2 3 3 2" xfId="25395" xr:uid="{00000000-0005-0000-0000-0000F8490000}"/>
    <cellStyle name="40% - Accent3 3 5 2 3 3 2 2" xfId="54401" xr:uid="{00000000-0005-0000-0000-0000F9490000}"/>
    <cellStyle name="40% - Accent3 3 5 2 3 3 3" xfId="39902" xr:uid="{00000000-0005-0000-0000-0000FA490000}"/>
    <cellStyle name="40% - Accent3 3 5 2 3 4" xfId="18147" xr:uid="{00000000-0005-0000-0000-0000FB490000}"/>
    <cellStyle name="40% - Accent3 3 5 2 3 4 2" xfId="47153" xr:uid="{00000000-0005-0000-0000-0000FC490000}"/>
    <cellStyle name="40% - Accent3 3 5 2 3 5" xfId="32654" xr:uid="{00000000-0005-0000-0000-0000FD490000}"/>
    <cellStyle name="40% - Accent3 3 5 2 4" xfId="4621" xr:uid="{00000000-0005-0000-0000-0000FE490000}"/>
    <cellStyle name="40% - Accent3 3 5 2 4 2" xfId="11893" xr:uid="{00000000-0005-0000-0000-0000FF490000}"/>
    <cellStyle name="40% - Accent3 3 5 2 4 2 2" xfId="26427" xr:uid="{00000000-0005-0000-0000-0000004A0000}"/>
    <cellStyle name="40% - Accent3 3 5 2 4 2 2 2" xfId="55433" xr:uid="{00000000-0005-0000-0000-0000014A0000}"/>
    <cellStyle name="40% - Accent3 3 5 2 4 2 3" xfId="40934" xr:uid="{00000000-0005-0000-0000-0000024A0000}"/>
    <cellStyle name="40% - Accent3 3 5 2 4 3" xfId="19179" xr:uid="{00000000-0005-0000-0000-0000034A0000}"/>
    <cellStyle name="40% - Accent3 3 5 2 4 3 2" xfId="48185" xr:uid="{00000000-0005-0000-0000-0000044A0000}"/>
    <cellStyle name="40% - Accent3 3 5 2 4 4" xfId="33686" xr:uid="{00000000-0005-0000-0000-0000054A0000}"/>
    <cellStyle name="40% - Accent3 3 5 2 5" xfId="7725" xr:uid="{00000000-0005-0000-0000-0000064A0000}"/>
    <cellStyle name="40% - Accent3 3 5 2 5 2" xfId="14997" xr:uid="{00000000-0005-0000-0000-0000074A0000}"/>
    <cellStyle name="40% - Accent3 3 5 2 5 2 2" xfId="29531" xr:uid="{00000000-0005-0000-0000-0000084A0000}"/>
    <cellStyle name="40% - Accent3 3 5 2 5 2 2 2" xfId="58537" xr:uid="{00000000-0005-0000-0000-0000094A0000}"/>
    <cellStyle name="40% - Accent3 3 5 2 5 2 3" xfId="44038" xr:uid="{00000000-0005-0000-0000-00000A4A0000}"/>
    <cellStyle name="40% - Accent3 3 5 2 5 3" xfId="22283" xr:uid="{00000000-0005-0000-0000-00000B4A0000}"/>
    <cellStyle name="40% - Accent3 3 5 2 5 3 2" xfId="51289" xr:uid="{00000000-0005-0000-0000-00000C4A0000}"/>
    <cellStyle name="40% - Accent3 3 5 2 5 4" xfId="36790" xr:uid="{00000000-0005-0000-0000-00000D4A0000}"/>
    <cellStyle name="40% - Accent3 3 5 2 6" xfId="8789" xr:uid="{00000000-0005-0000-0000-00000E4A0000}"/>
    <cellStyle name="40% - Accent3 3 5 2 6 2" xfId="23323" xr:uid="{00000000-0005-0000-0000-00000F4A0000}"/>
    <cellStyle name="40% - Accent3 3 5 2 6 2 2" xfId="52329" xr:uid="{00000000-0005-0000-0000-0000104A0000}"/>
    <cellStyle name="40% - Accent3 3 5 2 6 3" xfId="37830" xr:uid="{00000000-0005-0000-0000-0000114A0000}"/>
    <cellStyle name="40% - Accent3 3 5 2 7" xfId="16075" xr:uid="{00000000-0005-0000-0000-0000124A0000}"/>
    <cellStyle name="40% - Accent3 3 5 2 7 2" xfId="45081" xr:uid="{00000000-0005-0000-0000-0000134A0000}"/>
    <cellStyle name="40% - Accent3 3 5 2 8" xfId="30582" xr:uid="{00000000-0005-0000-0000-0000144A0000}"/>
    <cellStyle name="40% - Accent3 3 5 3" xfId="2045" xr:uid="{00000000-0005-0000-0000-0000154A0000}"/>
    <cellStyle name="40% - Accent3 3 5 3 2" xfId="5149" xr:uid="{00000000-0005-0000-0000-0000164A0000}"/>
    <cellStyle name="40% - Accent3 3 5 3 2 2" xfId="12421" xr:uid="{00000000-0005-0000-0000-0000174A0000}"/>
    <cellStyle name="40% - Accent3 3 5 3 2 2 2" xfId="26955" xr:uid="{00000000-0005-0000-0000-0000184A0000}"/>
    <cellStyle name="40% - Accent3 3 5 3 2 2 2 2" xfId="55961" xr:uid="{00000000-0005-0000-0000-0000194A0000}"/>
    <cellStyle name="40% - Accent3 3 5 3 2 2 3" xfId="41462" xr:uid="{00000000-0005-0000-0000-00001A4A0000}"/>
    <cellStyle name="40% - Accent3 3 5 3 2 3" xfId="19707" xr:uid="{00000000-0005-0000-0000-00001B4A0000}"/>
    <cellStyle name="40% - Accent3 3 5 3 2 3 2" xfId="48713" xr:uid="{00000000-0005-0000-0000-00001C4A0000}"/>
    <cellStyle name="40% - Accent3 3 5 3 2 4" xfId="34214" xr:uid="{00000000-0005-0000-0000-00001D4A0000}"/>
    <cellStyle name="40% - Accent3 3 5 3 3" xfId="9317" xr:uid="{00000000-0005-0000-0000-00001E4A0000}"/>
    <cellStyle name="40% - Accent3 3 5 3 3 2" xfId="23851" xr:uid="{00000000-0005-0000-0000-00001F4A0000}"/>
    <cellStyle name="40% - Accent3 3 5 3 3 2 2" xfId="52857" xr:uid="{00000000-0005-0000-0000-0000204A0000}"/>
    <cellStyle name="40% - Accent3 3 5 3 3 3" xfId="38358" xr:uid="{00000000-0005-0000-0000-0000214A0000}"/>
    <cellStyle name="40% - Accent3 3 5 3 4" xfId="16603" xr:uid="{00000000-0005-0000-0000-0000224A0000}"/>
    <cellStyle name="40% - Accent3 3 5 3 4 2" xfId="45609" xr:uid="{00000000-0005-0000-0000-0000234A0000}"/>
    <cellStyle name="40% - Accent3 3 5 3 5" xfId="31110" xr:uid="{00000000-0005-0000-0000-0000244A0000}"/>
    <cellStyle name="40% - Accent3 3 5 4" xfId="3077" xr:uid="{00000000-0005-0000-0000-0000254A0000}"/>
    <cellStyle name="40% - Accent3 3 5 4 2" xfId="6181" xr:uid="{00000000-0005-0000-0000-0000264A0000}"/>
    <cellStyle name="40% - Accent3 3 5 4 2 2" xfId="13453" xr:uid="{00000000-0005-0000-0000-0000274A0000}"/>
    <cellStyle name="40% - Accent3 3 5 4 2 2 2" xfId="27987" xr:uid="{00000000-0005-0000-0000-0000284A0000}"/>
    <cellStyle name="40% - Accent3 3 5 4 2 2 2 2" xfId="56993" xr:uid="{00000000-0005-0000-0000-0000294A0000}"/>
    <cellStyle name="40% - Accent3 3 5 4 2 2 3" xfId="42494" xr:uid="{00000000-0005-0000-0000-00002A4A0000}"/>
    <cellStyle name="40% - Accent3 3 5 4 2 3" xfId="20739" xr:uid="{00000000-0005-0000-0000-00002B4A0000}"/>
    <cellStyle name="40% - Accent3 3 5 4 2 3 2" xfId="49745" xr:uid="{00000000-0005-0000-0000-00002C4A0000}"/>
    <cellStyle name="40% - Accent3 3 5 4 2 4" xfId="35246" xr:uid="{00000000-0005-0000-0000-00002D4A0000}"/>
    <cellStyle name="40% - Accent3 3 5 4 3" xfId="10349" xr:uid="{00000000-0005-0000-0000-00002E4A0000}"/>
    <cellStyle name="40% - Accent3 3 5 4 3 2" xfId="24883" xr:uid="{00000000-0005-0000-0000-00002F4A0000}"/>
    <cellStyle name="40% - Accent3 3 5 4 3 2 2" xfId="53889" xr:uid="{00000000-0005-0000-0000-0000304A0000}"/>
    <cellStyle name="40% - Accent3 3 5 4 3 3" xfId="39390" xr:uid="{00000000-0005-0000-0000-0000314A0000}"/>
    <cellStyle name="40% - Accent3 3 5 4 4" xfId="17635" xr:uid="{00000000-0005-0000-0000-0000324A0000}"/>
    <cellStyle name="40% - Accent3 3 5 4 4 2" xfId="46641" xr:uid="{00000000-0005-0000-0000-0000334A0000}"/>
    <cellStyle name="40% - Accent3 3 5 4 5" xfId="32142" xr:uid="{00000000-0005-0000-0000-0000344A0000}"/>
    <cellStyle name="40% - Accent3 3 5 5" xfId="4109" xr:uid="{00000000-0005-0000-0000-0000354A0000}"/>
    <cellStyle name="40% - Accent3 3 5 5 2" xfId="11381" xr:uid="{00000000-0005-0000-0000-0000364A0000}"/>
    <cellStyle name="40% - Accent3 3 5 5 2 2" xfId="25915" xr:uid="{00000000-0005-0000-0000-0000374A0000}"/>
    <cellStyle name="40% - Accent3 3 5 5 2 2 2" xfId="54921" xr:uid="{00000000-0005-0000-0000-0000384A0000}"/>
    <cellStyle name="40% - Accent3 3 5 5 2 3" xfId="40422" xr:uid="{00000000-0005-0000-0000-0000394A0000}"/>
    <cellStyle name="40% - Accent3 3 5 5 3" xfId="18667" xr:uid="{00000000-0005-0000-0000-00003A4A0000}"/>
    <cellStyle name="40% - Accent3 3 5 5 3 2" xfId="47673" xr:uid="{00000000-0005-0000-0000-00003B4A0000}"/>
    <cellStyle name="40% - Accent3 3 5 5 4" xfId="33174" xr:uid="{00000000-0005-0000-0000-00003C4A0000}"/>
    <cellStyle name="40% - Accent3 3 5 6" xfId="7213" xr:uid="{00000000-0005-0000-0000-00003D4A0000}"/>
    <cellStyle name="40% - Accent3 3 5 6 2" xfId="14485" xr:uid="{00000000-0005-0000-0000-00003E4A0000}"/>
    <cellStyle name="40% - Accent3 3 5 6 2 2" xfId="29019" xr:uid="{00000000-0005-0000-0000-00003F4A0000}"/>
    <cellStyle name="40% - Accent3 3 5 6 2 2 2" xfId="58025" xr:uid="{00000000-0005-0000-0000-0000404A0000}"/>
    <cellStyle name="40% - Accent3 3 5 6 2 3" xfId="43526" xr:uid="{00000000-0005-0000-0000-0000414A0000}"/>
    <cellStyle name="40% - Accent3 3 5 6 3" xfId="21771" xr:uid="{00000000-0005-0000-0000-0000424A0000}"/>
    <cellStyle name="40% - Accent3 3 5 6 3 2" xfId="50777" xr:uid="{00000000-0005-0000-0000-0000434A0000}"/>
    <cellStyle name="40% - Accent3 3 5 6 4" xfId="36278" xr:uid="{00000000-0005-0000-0000-0000444A0000}"/>
    <cellStyle name="40% - Accent3 3 5 7" xfId="8277" xr:uid="{00000000-0005-0000-0000-0000454A0000}"/>
    <cellStyle name="40% - Accent3 3 5 7 2" xfId="22811" xr:uid="{00000000-0005-0000-0000-0000464A0000}"/>
    <cellStyle name="40% - Accent3 3 5 7 2 2" xfId="51817" xr:uid="{00000000-0005-0000-0000-0000474A0000}"/>
    <cellStyle name="40% - Accent3 3 5 7 3" xfId="37318" xr:uid="{00000000-0005-0000-0000-0000484A0000}"/>
    <cellStyle name="40% - Accent3 3 5 8" xfId="15563" xr:uid="{00000000-0005-0000-0000-0000494A0000}"/>
    <cellStyle name="40% - Accent3 3 5 8 2" xfId="44569" xr:uid="{00000000-0005-0000-0000-00004A4A0000}"/>
    <cellStyle name="40% - Accent3 3 5 9" xfId="30070" xr:uid="{00000000-0005-0000-0000-00004B4A0000}"/>
    <cellStyle name="40% - Accent3 3 6" xfId="1295" xr:uid="{00000000-0005-0000-0000-00004C4A0000}"/>
    <cellStyle name="40% - Accent3 3 6 2" xfId="2351" xr:uid="{00000000-0005-0000-0000-00004D4A0000}"/>
    <cellStyle name="40% - Accent3 3 6 2 2" xfId="5455" xr:uid="{00000000-0005-0000-0000-00004E4A0000}"/>
    <cellStyle name="40% - Accent3 3 6 2 2 2" xfId="12727" xr:uid="{00000000-0005-0000-0000-00004F4A0000}"/>
    <cellStyle name="40% - Accent3 3 6 2 2 2 2" xfId="27261" xr:uid="{00000000-0005-0000-0000-0000504A0000}"/>
    <cellStyle name="40% - Accent3 3 6 2 2 2 2 2" xfId="56267" xr:uid="{00000000-0005-0000-0000-0000514A0000}"/>
    <cellStyle name="40% - Accent3 3 6 2 2 2 3" xfId="41768" xr:uid="{00000000-0005-0000-0000-0000524A0000}"/>
    <cellStyle name="40% - Accent3 3 6 2 2 3" xfId="20013" xr:uid="{00000000-0005-0000-0000-0000534A0000}"/>
    <cellStyle name="40% - Accent3 3 6 2 2 3 2" xfId="49019" xr:uid="{00000000-0005-0000-0000-0000544A0000}"/>
    <cellStyle name="40% - Accent3 3 6 2 2 4" xfId="34520" xr:uid="{00000000-0005-0000-0000-0000554A0000}"/>
    <cellStyle name="40% - Accent3 3 6 2 3" xfId="9623" xr:uid="{00000000-0005-0000-0000-0000564A0000}"/>
    <cellStyle name="40% - Accent3 3 6 2 3 2" xfId="24157" xr:uid="{00000000-0005-0000-0000-0000574A0000}"/>
    <cellStyle name="40% - Accent3 3 6 2 3 2 2" xfId="53163" xr:uid="{00000000-0005-0000-0000-0000584A0000}"/>
    <cellStyle name="40% - Accent3 3 6 2 3 3" xfId="38664" xr:uid="{00000000-0005-0000-0000-0000594A0000}"/>
    <cellStyle name="40% - Accent3 3 6 2 4" xfId="16909" xr:uid="{00000000-0005-0000-0000-00005A4A0000}"/>
    <cellStyle name="40% - Accent3 3 6 2 4 2" xfId="45915" xr:uid="{00000000-0005-0000-0000-00005B4A0000}"/>
    <cellStyle name="40% - Accent3 3 6 2 5" xfId="31416" xr:uid="{00000000-0005-0000-0000-00005C4A0000}"/>
    <cellStyle name="40% - Accent3 3 6 3" xfId="3383" xr:uid="{00000000-0005-0000-0000-00005D4A0000}"/>
    <cellStyle name="40% - Accent3 3 6 3 2" xfId="6487" xr:uid="{00000000-0005-0000-0000-00005E4A0000}"/>
    <cellStyle name="40% - Accent3 3 6 3 2 2" xfId="13759" xr:uid="{00000000-0005-0000-0000-00005F4A0000}"/>
    <cellStyle name="40% - Accent3 3 6 3 2 2 2" xfId="28293" xr:uid="{00000000-0005-0000-0000-0000604A0000}"/>
    <cellStyle name="40% - Accent3 3 6 3 2 2 2 2" xfId="57299" xr:uid="{00000000-0005-0000-0000-0000614A0000}"/>
    <cellStyle name="40% - Accent3 3 6 3 2 2 3" xfId="42800" xr:uid="{00000000-0005-0000-0000-0000624A0000}"/>
    <cellStyle name="40% - Accent3 3 6 3 2 3" xfId="21045" xr:uid="{00000000-0005-0000-0000-0000634A0000}"/>
    <cellStyle name="40% - Accent3 3 6 3 2 3 2" xfId="50051" xr:uid="{00000000-0005-0000-0000-0000644A0000}"/>
    <cellStyle name="40% - Accent3 3 6 3 2 4" xfId="35552" xr:uid="{00000000-0005-0000-0000-0000654A0000}"/>
    <cellStyle name="40% - Accent3 3 6 3 3" xfId="10655" xr:uid="{00000000-0005-0000-0000-0000664A0000}"/>
    <cellStyle name="40% - Accent3 3 6 3 3 2" xfId="25189" xr:uid="{00000000-0005-0000-0000-0000674A0000}"/>
    <cellStyle name="40% - Accent3 3 6 3 3 2 2" xfId="54195" xr:uid="{00000000-0005-0000-0000-0000684A0000}"/>
    <cellStyle name="40% - Accent3 3 6 3 3 3" xfId="39696" xr:uid="{00000000-0005-0000-0000-0000694A0000}"/>
    <cellStyle name="40% - Accent3 3 6 3 4" xfId="17941" xr:uid="{00000000-0005-0000-0000-00006A4A0000}"/>
    <cellStyle name="40% - Accent3 3 6 3 4 2" xfId="46947" xr:uid="{00000000-0005-0000-0000-00006B4A0000}"/>
    <cellStyle name="40% - Accent3 3 6 3 5" xfId="32448" xr:uid="{00000000-0005-0000-0000-00006C4A0000}"/>
    <cellStyle name="40% - Accent3 3 6 4" xfId="4415" xr:uid="{00000000-0005-0000-0000-00006D4A0000}"/>
    <cellStyle name="40% - Accent3 3 6 4 2" xfId="11687" xr:uid="{00000000-0005-0000-0000-00006E4A0000}"/>
    <cellStyle name="40% - Accent3 3 6 4 2 2" xfId="26221" xr:uid="{00000000-0005-0000-0000-00006F4A0000}"/>
    <cellStyle name="40% - Accent3 3 6 4 2 2 2" xfId="55227" xr:uid="{00000000-0005-0000-0000-0000704A0000}"/>
    <cellStyle name="40% - Accent3 3 6 4 2 3" xfId="40728" xr:uid="{00000000-0005-0000-0000-0000714A0000}"/>
    <cellStyle name="40% - Accent3 3 6 4 3" xfId="18973" xr:uid="{00000000-0005-0000-0000-0000724A0000}"/>
    <cellStyle name="40% - Accent3 3 6 4 3 2" xfId="47979" xr:uid="{00000000-0005-0000-0000-0000734A0000}"/>
    <cellStyle name="40% - Accent3 3 6 4 4" xfId="33480" xr:uid="{00000000-0005-0000-0000-0000744A0000}"/>
    <cellStyle name="40% - Accent3 3 6 5" xfId="7519" xr:uid="{00000000-0005-0000-0000-0000754A0000}"/>
    <cellStyle name="40% - Accent3 3 6 5 2" xfId="14791" xr:uid="{00000000-0005-0000-0000-0000764A0000}"/>
    <cellStyle name="40% - Accent3 3 6 5 2 2" xfId="29325" xr:uid="{00000000-0005-0000-0000-0000774A0000}"/>
    <cellStyle name="40% - Accent3 3 6 5 2 2 2" xfId="58331" xr:uid="{00000000-0005-0000-0000-0000784A0000}"/>
    <cellStyle name="40% - Accent3 3 6 5 2 3" xfId="43832" xr:uid="{00000000-0005-0000-0000-0000794A0000}"/>
    <cellStyle name="40% - Accent3 3 6 5 3" xfId="22077" xr:uid="{00000000-0005-0000-0000-00007A4A0000}"/>
    <cellStyle name="40% - Accent3 3 6 5 3 2" xfId="51083" xr:uid="{00000000-0005-0000-0000-00007B4A0000}"/>
    <cellStyle name="40% - Accent3 3 6 5 4" xfId="36584" xr:uid="{00000000-0005-0000-0000-00007C4A0000}"/>
    <cellStyle name="40% - Accent3 3 6 6" xfId="8583" xr:uid="{00000000-0005-0000-0000-00007D4A0000}"/>
    <cellStyle name="40% - Accent3 3 6 6 2" xfId="23117" xr:uid="{00000000-0005-0000-0000-00007E4A0000}"/>
    <cellStyle name="40% - Accent3 3 6 6 2 2" xfId="52123" xr:uid="{00000000-0005-0000-0000-00007F4A0000}"/>
    <cellStyle name="40% - Accent3 3 6 6 3" xfId="37624" xr:uid="{00000000-0005-0000-0000-0000804A0000}"/>
    <cellStyle name="40% - Accent3 3 6 7" xfId="15869" xr:uid="{00000000-0005-0000-0000-0000814A0000}"/>
    <cellStyle name="40% - Accent3 3 6 7 2" xfId="44875" xr:uid="{00000000-0005-0000-0000-0000824A0000}"/>
    <cellStyle name="40% - Accent3 3 6 8" xfId="30376" xr:uid="{00000000-0005-0000-0000-0000834A0000}"/>
    <cellStyle name="40% - Accent3 3 7" xfId="1839" xr:uid="{00000000-0005-0000-0000-0000844A0000}"/>
    <cellStyle name="40% - Accent3 3 7 2" xfId="4943" xr:uid="{00000000-0005-0000-0000-0000854A0000}"/>
    <cellStyle name="40% - Accent3 3 7 2 2" xfId="12215" xr:uid="{00000000-0005-0000-0000-0000864A0000}"/>
    <cellStyle name="40% - Accent3 3 7 2 2 2" xfId="26749" xr:uid="{00000000-0005-0000-0000-0000874A0000}"/>
    <cellStyle name="40% - Accent3 3 7 2 2 2 2" xfId="55755" xr:uid="{00000000-0005-0000-0000-0000884A0000}"/>
    <cellStyle name="40% - Accent3 3 7 2 2 3" xfId="41256" xr:uid="{00000000-0005-0000-0000-0000894A0000}"/>
    <cellStyle name="40% - Accent3 3 7 2 3" xfId="19501" xr:uid="{00000000-0005-0000-0000-00008A4A0000}"/>
    <cellStyle name="40% - Accent3 3 7 2 3 2" xfId="48507" xr:uid="{00000000-0005-0000-0000-00008B4A0000}"/>
    <cellStyle name="40% - Accent3 3 7 2 4" xfId="34008" xr:uid="{00000000-0005-0000-0000-00008C4A0000}"/>
    <cellStyle name="40% - Accent3 3 7 3" xfId="9111" xr:uid="{00000000-0005-0000-0000-00008D4A0000}"/>
    <cellStyle name="40% - Accent3 3 7 3 2" xfId="23645" xr:uid="{00000000-0005-0000-0000-00008E4A0000}"/>
    <cellStyle name="40% - Accent3 3 7 3 2 2" xfId="52651" xr:uid="{00000000-0005-0000-0000-00008F4A0000}"/>
    <cellStyle name="40% - Accent3 3 7 3 3" xfId="38152" xr:uid="{00000000-0005-0000-0000-0000904A0000}"/>
    <cellStyle name="40% - Accent3 3 7 4" xfId="16397" xr:uid="{00000000-0005-0000-0000-0000914A0000}"/>
    <cellStyle name="40% - Accent3 3 7 4 2" xfId="45403" xr:uid="{00000000-0005-0000-0000-0000924A0000}"/>
    <cellStyle name="40% - Accent3 3 7 5" xfId="30904" xr:uid="{00000000-0005-0000-0000-0000934A0000}"/>
    <cellStyle name="40% - Accent3 3 8" xfId="2871" xr:uid="{00000000-0005-0000-0000-0000944A0000}"/>
    <cellStyle name="40% - Accent3 3 8 2" xfId="5975" xr:uid="{00000000-0005-0000-0000-0000954A0000}"/>
    <cellStyle name="40% - Accent3 3 8 2 2" xfId="13247" xr:uid="{00000000-0005-0000-0000-0000964A0000}"/>
    <cellStyle name="40% - Accent3 3 8 2 2 2" xfId="27781" xr:uid="{00000000-0005-0000-0000-0000974A0000}"/>
    <cellStyle name="40% - Accent3 3 8 2 2 2 2" xfId="56787" xr:uid="{00000000-0005-0000-0000-0000984A0000}"/>
    <cellStyle name="40% - Accent3 3 8 2 2 3" xfId="42288" xr:uid="{00000000-0005-0000-0000-0000994A0000}"/>
    <cellStyle name="40% - Accent3 3 8 2 3" xfId="20533" xr:uid="{00000000-0005-0000-0000-00009A4A0000}"/>
    <cellStyle name="40% - Accent3 3 8 2 3 2" xfId="49539" xr:uid="{00000000-0005-0000-0000-00009B4A0000}"/>
    <cellStyle name="40% - Accent3 3 8 2 4" xfId="35040" xr:uid="{00000000-0005-0000-0000-00009C4A0000}"/>
    <cellStyle name="40% - Accent3 3 8 3" xfId="10143" xr:uid="{00000000-0005-0000-0000-00009D4A0000}"/>
    <cellStyle name="40% - Accent3 3 8 3 2" xfId="24677" xr:uid="{00000000-0005-0000-0000-00009E4A0000}"/>
    <cellStyle name="40% - Accent3 3 8 3 2 2" xfId="53683" xr:uid="{00000000-0005-0000-0000-00009F4A0000}"/>
    <cellStyle name="40% - Accent3 3 8 3 3" xfId="39184" xr:uid="{00000000-0005-0000-0000-0000A04A0000}"/>
    <cellStyle name="40% - Accent3 3 8 4" xfId="17429" xr:uid="{00000000-0005-0000-0000-0000A14A0000}"/>
    <cellStyle name="40% - Accent3 3 8 4 2" xfId="46435" xr:uid="{00000000-0005-0000-0000-0000A24A0000}"/>
    <cellStyle name="40% - Accent3 3 8 5" xfId="31936" xr:uid="{00000000-0005-0000-0000-0000A34A0000}"/>
    <cellStyle name="40% - Accent3 3 9" xfId="3903" xr:uid="{00000000-0005-0000-0000-0000A44A0000}"/>
    <cellStyle name="40% - Accent3 3 9 2" xfId="11175" xr:uid="{00000000-0005-0000-0000-0000A54A0000}"/>
    <cellStyle name="40% - Accent3 3 9 2 2" xfId="25709" xr:uid="{00000000-0005-0000-0000-0000A64A0000}"/>
    <cellStyle name="40% - Accent3 3 9 2 2 2" xfId="54715" xr:uid="{00000000-0005-0000-0000-0000A74A0000}"/>
    <cellStyle name="40% - Accent3 3 9 2 3" xfId="40216" xr:uid="{00000000-0005-0000-0000-0000A84A0000}"/>
    <cellStyle name="40% - Accent3 3 9 3" xfId="18461" xr:uid="{00000000-0005-0000-0000-0000A94A0000}"/>
    <cellStyle name="40% - Accent3 3 9 3 2" xfId="47467" xr:uid="{00000000-0005-0000-0000-0000AA4A0000}"/>
    <cellStyle name="40% - Accent3 3 9 4" xfId="32968" xr:uid="{00000000-0005-0000-0000-0000AB4A0000}"/>
    <cellStyle name="40% - Accent3 4" xfId="869" xr:uid="{00000000-0005-0000-0000-0000AC4A0000}"/>
    <cellStyle name="40% - Accent3 4 10" xfId="8099" xr:uid="{00000000-0005-0000-0000-0000AD4A0000}"/>
    <cellStyle name="40% - Accent3 4 10 2" xfId="22633" xr:uid="{00000000-0005-0000-0000-0000AE4A0000}"/>
    <cellStyle name="40% - Accent3 4 10 2 2" xfId="51639" xr:uid="{00000000-0005-0000-0000-0000AF4A0000}"/>
    <cellStyle name="40% - Accent3 4 10 3" xfId="37140" xr:uid="{00000000-0005-0000-0000-0000B04A0000}"/>
    <cellStyle name="40% - Accent3 4 11" xfId="15385" xr:uid="{00000000-0005-0000-0000-0000B14A0000}"/>
    <cellStyle name="40% - Accent3 4 11 2" xfId="44391" xr:uid="{00000000-0005-0000-0000-0000B24A0000}"/>
    <cellStyle name="40% - Accent3 4 12" xfId="29892" xr:uid="{00000000-0005-0000-0000-0000B34A0000}"/>
    <cellStyle name="40% - Accent3 4 2" xfId="949" xr:uid="{00000000-0005-0000-0000-0000B44A0000}"/>
    <cellStyle name="40% - Accent3 4 2 10" xfId="29995" xr:uid="{00000000-0005-0000-0000-0000B54A0000}"/>
    <cellStyle name="40% - Accent3 4 2 2" xfId="1224" xr:uid="{00000000-0005-0000-0000-0000B64A0000}"/>
    <cellStyle name="40% - Accent3 4 2 2 2" xfId="1729" xr:uid="{00000000-0005-0000-0000-0000B74A0000}"/>
    <cellStyle name="40% - Accent3 4 2 2 2 2" xfId="2788" xr:uid="{00000000-0005-0000-0000-0000B84A0000}"/>
    <cellStyle name="40% - Accent3 4 2 2 2 2 2" xfId="5892" xr:uid="{00000000-0005-0000-0000-0000B94A0000}"/>
    <cellStyle name="40% - Accent3 4 2 2 2 2 2 2" xfId="13164" xr:uid="{00000000-0005-0000-0000-0000BA4A0000}"/>
    <cellStyle name="40% - Accent3 4 2 2 2 2 2 2 2" xfId="27698" xr:uid="{00000000-0005-0000-0000-0000BB4A0000}"/>
    <cellStyle name="40% - Accent3 4 2 2 2 2 2 2 2 2" xfId="56704" xr:uid="{00000000-0005-0000-0000-0000BC4A0000}"/>
    <cellStyle name="40% - Accent3 4 2 2 2 2 2 2 3" xfId="42205" xr:uid="{00000000-0005-0000-0000-0000BD4A0000}"/>
    <cellStyle name="40% - Accent3 4 2 2 2 2 2 3" xfId="20450" xr:uid="{00000000-0005-0000-0000-0000BE4A0000}"/>
    <cellStyle name="40% - Accent3 4 2 2 2 2 2 3 2" xfId="49456" xr:uid="{00000000-0005-0000-0000-0000BF4A0000}"/>
    <cellStyle name="40% - Accent3 4 2 2 2 2 2 4" xfId="34957" xr:uid="{00000000-0005-0000-0000-0000C04A0000}"/>
    <cellStyle name="40% - Accent3 4 2 2 2 2 3" xfId="10060" xr:uid="{00000000-0005-0000-0000-0000C14A0000}"/>
    <cellStyle name="40% - Accent3 4 2 2 2 2 3 2" xfId="24594" xr:uid="{00000000-0005-0000-0000-0000C24A0000}"/>
    <cellStyle name="40% - Accent3 4 2 2 2 2 3 2 2" xfId="53600" xr:uid="{00000000-0005-0000-0000-0000C34A0000}"/>
    <cellStyle name="40% - Accent3 4 2 2 2 2 3 3" xfId="39101" xr:uid="{00000000-0005-0000-0000-0000C44A0000}"/>
    <cellStyle name="40% - Accent3 4 2 2 2 2 4" xfId="17346" xr:uid="{00000000-0005-0000-0000-0000C54A0000}"/>
    <cellStyle name="40% - Accent3 4 2 2 2 2 4 2" xfId="46352" xr:uid="{00000000-0005-0000-0000-0000C64A0000}"/>
    <cellStyle name="40% - Accent3 4 2 2 2 2 5" xfId="31853" xr:uid="{00000000-0005-0000-0000-0000C74A0000}"/>
    <cellStyle name="40% - Accent3 4 2 2 2 3" xfId="3820" xr:uid="{00000000-0005-0000-0000-0000C84A0000}"/>
    <cellStyle name="40% - Accent3 4 2 2 2 3 2" xfId="6924" xr:uid="{00000000-0005-0000-0000-0000C94A0000}"/>
    <cellStyle name="40% - Accent3 4 2 2 2 3 2 2" xfId="14196" xr:uid="{00000000-0005-0000-0000-0000CA4A0000}"/>
    <cellStyle name="40% - Accent3 4 2 2 2 3 2 2 2" xfId="28730" xr:uid="{00000000-0005-0000-0000-0000CB4A0000}"/>
    <cellStyle name="40% - Accent3 4 2 2 2 3 2 2 2 2" xfId="57736" xr:uid="{00000000-0005-0000-0000-0000CC4A0000}"/>
    <cellStyle name="40% - Accent3 4 2 2 2 3 2 2 3" xfId="43237" xr:uid="{00000000-0005-0000-0000-0000CD4A0000}"/>
    <cellStyle name="40% - Accent3 4 2 2 2 3 2 3" xfId="21482" xr:uid="{00000000-0005-0000-0000-0000CE4A0000}"/>
    <cellStyle name="40% - Accent3 4 2 2 2 3 2 3 2" xfId="50488" xr:uid="{00000000-0005-0000-0000-0000CF4A0000}"/>
    <cellStyle name="40% - Accent3 4 2 2 2 3 2 4" xfId="35989" xr:uid="{00000000-0005-0000-0000-0000D04A0000}"/>
    <cellStyle name="40% - Accent3 4 2 2 2 3 3" xfId="11092" xr:uid="{00000000-0005-0000-0000-0000D14A0000}"/>
    <cellStyle name="40% - Accent3 4 2 2 2 3 3 2" xfId="25626" xr:uid="{00000000-0005-0000-0000-0000D24A0000}"/>
    <cellStyle name="40% - Accent3 4 2 2 2 3 3 2 2" xfId="54632" xr:uid="{00000000-0005-0000-0000-0000D34A0000}"/>
    <cellStyle name="40% - Accent3 4 2 2 2 3 3 3" xfId="40133" xr:uid="{00000000-0005-0000-0000-0000D44A0000}"/>
    <cellStyle name="40% - Accent3 4 2 2 2 3 4" xfId="18378" xr:uid="{00000000-0005-0000-0000-0000D54A0000}"/>
    <cellStyle name="40% - Accent3 4 2 2 2 3 4 2" xfId="47384" xr:uid="{00000000-0005-0000-0000-0000D64A0000}"/>
    <cellStyle name="40% - Accent3 4 2 2 2 3 5" xfId="32885" xr:uid="{00000000-0005-0000-0000-0000D74A0000}"/>
    <cellStyle name="40% - Accent3 4 2 2 2 4" xfId="4852" xr:uid="{00000000-0005-0000-0000-0000D84A0000}"/>
    <cellStyle name="40% - Accent3 4 2 2 2 4 2" xfId="12124" xr:uid="{00000000-0005-0000-0000-0000D94A0000}"/>
    <cellStyle name="40% - Accent3 4 2 2 2 4 2 2" xfId="26658" xr:uid="{00000000-0005-0000-0000-0000DA4A0000}"/>
    <cellStyle name="40% - Accent3 4 2 2 2 4 2 2 2" xfId="55664" xr:uid="{00000000-0005-0000-0000-0000DB4A0000}"/>
    <cellStyle name="40% - Accent3 4 2 2 2 4 2 3" xfId="41165" xr:uid="{00000000-0005-0000-0000-0000DC4A0000}"/>
    <cellStyle name="40% - Accent3 4 2 2 2 4 3" xfId="19410" xr:uid="{00000000-0005-0000-0000-0000DD4A0000}"/>
    <cellStyle name="40% - Accent3 4 2 2 2 4 3 2" xfId="48416" xr:uid="{00000000-0005-0000-0000-0000DE4A0000}"/>
    <cellStyle name="40% - Accent3 4 2 2 2 4 4" xfId="33917" xr:uid="{00000000-0005-0000-0000-0000DF4A0000}"/>
    <cellStyle name="40% - Accent3 4 2 2 2 5" xfId="7956" xr:uid="{00000000-0005-0000-0000-0000E04A0000}"/>
    <cellStyle name="40% - Accent3 4 2 2 2 5 2" xfId="15228" xr:uid="{00000000-0005-0000-0000-0000E14A0000}"/>
    <cellStyle name="40% - Accent3 4 2 2 2 5 2 2" xfId="29762" xr:uid="{00000000-0005-0000-0000-0000E24A0000}"/>
    <cellStyle name="40% - Accent3 4 2 2 2 5 2 2 2" xfId="58768" xr:uid="{00000000-0005-0000-0000-0000E34A0000}"/>
    <cellStyle name="40% - Accent3 4 2 2 2 5 2 3" xfId="44269" xr:uid="{00000000-0005-0000-0000-0000E44A0000}"/>
    <cellStyle name="40% - Accent3 4 2 2 2 5 3" xfId="22514" xr:uid="{00000000-0005-0000-0000-0000E54A0000}"/>
    <cellStyle name="40% - Accent3 4 2 2 2 5 3 2" xfId="51520" xr:uid="{00000000-0005-0000-0000-0000E64A0000}"/>
    <cellStyle name="40% - Accent3 4 2 2 2 5 4" xfId="37021" xr:uid="{00000000-0005-0000-0000-0000E74A0000}"/>
    <cellStyle name="40% - Accent3 4 2 2 2 6" xfId="9020" xr:uid="{00000000-0005-0000-0000-0000E84A0000}"/>
    <cellStyle name="40% - Accent3 4 2 2 2 6 2" xfId="23554" xr:uid="{00000000-0005-0000-0000-0000E94A0000}"/>
    <cellStyle name="40% - Accent3 4 2 2 2 6 2 2" xfId="52560" xr:uid="{00000000-0005-0000-0000-0000EA4A0000}"/>
    <cellStyle name="40% - Accent3 4 2 2 2 6 3" xfId="38061" xr:uid="{00000000-0005-0000-0000-0000EB4A0000}"/>
    <cellStyle name="40% - Accent3 4 2 2 2 7" xfId="16306" xr:uid="{00000000-0005-0000-0000-0000EC4A0000}"/>
    <cellStyle name="40% - Accent3 4 2 2 2 7 2" xfId="45312" xr:uid="{00000000-0005-0000-0000-0000ED4A0000}"/>
    <cellStyle name="40% - Accent3 4 2 2 2 8" xfId="30813" xr:uid="{00000000-0005-0000-0000-0000EE4A0000}"/>
    <cellStyle name="40% - Accent3 4 2 2 3" xfId="2276" xr:uid="{00000000-0005-0000-0000-0000EF4A0000}"/>
    <cellStyle name="40% - Accent3 4 2 2 3 2" xfId="5380" xr:uid="{00000000-0005-0000-0000-0000F04A0000}"/>
    <cellStyle name="40% - Accent3 4 2 2 3 2 2" xfId="12652" xr:uid="{00000000-0005-0000-0000-0000F14A0000}"/>
    <cellStyle name="40% - Accent3 4 2 2 3 2 2 2" xfId="27186" xr:uid="{00000000-0005-0000-0000-0000F24A0000}"/>
    <cellStyle name="40% - Accent3 4 2 2 3 2 2 2 2" xfId="56192" xr:uid="{00000000-0005-0000-0000-0000F34A0000}"/>
    <cellStyle name="40% - Accent3 4 2 2 3 2 2 3" xfId="41693" xr:uid="{00000000-0005-0000-0000-0000F44A0000}"/>
    <cellStyle name="40% - Accent3 4 2 2 3 2 3" xfId="19938" xr:uid="{00000000-0005-0000-0000-0000F54A0000}"/>
    <cellStyle name="40% - Accent3 4 2 2 3 2 3 2" xfId="48944" xr:uid="{00000000-0005-0000-0000-0000F64A0000}"/>
    <cellStyle name="40% - Accent3 4 2 2 3 2 4" xfId="34445" xr:uid="{00000000-0005-0000-0000-0000F74A0000}"/>
    <cellStyle name="40% - Accent3 4 2 2 3 3" xfId="9548" xr:uid="{00000000-0005-0000-0000-0000F84A0000}"/>
    <cellStyle name="40% - Accent3 4 2 2 3 3 2" xfId="24082" xr:uid="{00000000-0005-0000-0000-0000F94A0000}"/>
    <cellStyle name="40% - Accent3 4 2 2 3 3 2 2" xfId="53088" xr:uid="{00000000-0005-0000-0000-0000FA4A0000}"/>
    <cellStyle name="40% - Accent3 4 2 2 3 3 3" xfId="38589" xr:uid="{00000000-0005-0000-0000-0000FB4A0000}"/>
    <cellStyle name="40% - Accent3 4 2 2 3 4" xfId="16834" xr:uid="{00000000-0005-0000-0000-0000FC4A0000}"/>
    <cellStyle name="40% - Accent3 4 2 2 3 4 2" xfId="45840" xr:uid="{00000000-0005-0000-0000-0000FD4A0000}"/>
    <cellStyle name="40% - Accent3 4 2 2 3 5" xfId="31341" xr:uid="{00000000-0005-0000-0000-0000FE4A0000}"/>
    <cellStyle name="40% - Accent3 4 2 2 4" xfId="3308" xr:uid="{00000000-0005-0000-0000-0000FF4A0000}"/>
    <cellStyle name="40% - Accent3 4 2 2 4 2" xfId="6412" xr:uid="{00000000-0005-0000-0000-0000004B0000}"/>
    <cellStyle name="40% - Accent3 4 2 2 4 2 2" xfId="13684" xr:uid="{00000000-0005-0000-0000-0000014B0000}"/>
    <cellStyle name="40% - Accent3 4 2 2 4 2 2 2" xfId="28218" xr:uid="{00000000-0005-0000-0000-0000024B0000}"/>
    <cellStyle name="40% - Accent3 4 2 2 4 2 2 2 2" xfId="57224" xr:uid="{00000000-0005-0000-0000-0000034B0000}"/>
    <cellStyle name="40% - Accent3 4 2 2 4 2 2 3" xfId="42725" xr:uid="{00000000-0005-0000-0000-0000044B0000}"/>
    <cellStyle name="40% - Accent3 4 2 2 4 2 3" xfId="20970" xr:uid="{00000000-0005-0000-0000-0000054B0000}"/>
    <cellStyle name="40% - Accent3 4 2 2 4 2 3 2" xfId="49976" xr:uid="{00000000-0005-0000-0000-0000064B0000}"/>
    <cellStyle name="40% - Accent3 4 2 2 4 2 4" xfId="35477" xr:uid="{00000000-0005-0000-0000-0000074B0000}"/>
    <cellStyle name="40% - Accent3 4 2 2 4 3" xfId="10580" xr:uid="{00000000-0005-0000-0000-0000084B0000}"/>
    <cellStyle name="40% - Accent3 4 2 2 4 3 2" xfId="25114" xr:uid="{00000000-0005-0000-0000-0000094B0000}"/>
    <cellStyle name="40% - Accent3 4 2 2 4 3 2 2" xfId="54120" xr:uid="{00000000-0005-0000-0000-00000A4B0000}"/>
    <cellStyle name="40% - Accent3 4 2 2 4 3 3" xfId="39621" xr:uid="{00000000-0005-0000-0000-00000B4B0000}"/>
    <cellStyle name="40% - Accent3 4 2 2 4 4" xfId="17866" xr:uid="{00000000-0005-0000-0000-00000C4B0000}"/>
    <cellStyle name="40% - Accent3 4 2 2 4 4 2" xfId="46872" xr:uid="{00000000-0005-0000-0000-00000D4B0000}"/>
    <cellStyle name="40% - Accent3 4 2 2 4 5" xfId="32373" xr:uid="{00000000-0005-0000-0000-00000E4B0000}"/>
    <cellStyle name="40% - Accent3 4 2 2 5" xfId="4340" xr:uid="{00000000-0005-0000-0000-00000F4B0000}"/>
    <cellStyle name="40% - Accent3 4 2 2 5 2" xfId="11612" xr:uid="{00000000-0005-0000-0000-0000104B0000}"/>
    <cellStyle name="40% - Accent3 4 2 2 5 2 2" xfId="26146" xr:uid="{00000000-0005-0000-0000-0000114B0000}"/>
    <cellStyle name="40% - Accent3 4 2 2 5 2 2 2" xfId="55152" xr:uid="{00000000-0005-0000-0000-0000124B0000}"/>
    <cellStyle name="40% - Accent3 4 2 2 5 2 3" xfId="40653" xr:uid="{00000000-0005-0000-0000-0000134B0000}"/>
    <cellStyle name="40% - Accent3 4 2 2 5 3" xfId="18898" xr:uid="{00000000-0005-0000-0000-0000144B0000}"/>
    <cellStyle name="40% - Accent3 4 2 2 5 3 2" xfId="47904" xr:uid="{00000000-0005-0000-0000-0000154B0000}"/>
    <cellStyle name="40% - Accent3 4 2 2 5 4" xfId="33405" xr:uid="{00000000-0005-0000-0000-0000164B0000}"/>
    <cellStyle name="40% - Accent3 4 2 2 6" xfId="7444" xr:uid="{00000000-0005-0000-0000-0000174B0000}"/>
    <cellStyle name="40% - Accent3 4 2 2 6 2" xfId="14716" xr:uid="{00000000-0005-0000-0000-0000184B0000}"/>
    <cellStyle name="40% - Accent3 4 2 2 6 2 2" xfId="29250" xr:uid="{00000000-0005-0000-0000-0000194B0000}"/>
    <cellStyle name="40% - Accent3 4 2 2 6 2 2 2" xfId="58256" xr:uid="{00000000-0005-0000-0000-00001A4B0000}"/>
    <cellStyle name="40% - Accent3 4 2 2 6 2 3" xfId="43757" xr:uid="{00000000-0005-0000-0000-00001B4B0000}"/>
    <cellStyle name="40% - Accent3 4 2 2 6 3" xfId="22002" xr:uid="{00000000-0005-0000-0000-00001C4B0000}"/>
    <cellStyle name="40% - Accent3 4 2 2 6 3 2" xfId="51008" xr:uid="{00000000-0005-0000-0000-00001D4B0000}"/>
    <cellStyle name="40% - Accent3 4 2 2 6 4" xfId="36509" xr:uid="{00000000-0005-0000-0000-00001E4B0000}"/>
    <cellStyle name="40% - Accent3 4 2 2 7" xfId="8508" xr:uid="{00000000-0005-0000-0000-00001F4B0000}"/>
    <cellStyle name="40% - Accent3 4 2 2 7 2" xfId="23042" xr:uid="{00000000-0005-0000-0000-0000204B0000}"/>
    <cellStyle name="40% - Accent3 4 2 2 7 2 2" xfId="52048" xr:uid="{00000000-0005-0000-0000-0000214B0000}"/>
    <cellStyle name="40% - Accent3 4 2 2 7 3" xfId="37549" xr:uid="{00000000-0005-0000-0000-0000224B0000}"/>
    <cellStyle name="40% - Accent3 4 2 2 8" xfId="15794" xr:uid="{00000000-0005-0000-0000-0000234B0000}"/>
    <cellStyle name="40% - Accent3 4 2 2 8 2" xfId="44800" xr:uid="{00000000-0005-0000-0000-0000244B0000}"/>
    <cellStyle name="40% - Accent3 4 2 2 9" xfId="30301" xr:uid="{00000000-0005-0000-0000-0000254B0000}"/>
    <cellStyle name="40% - Accent3 4 2 3" xfId="1424" xr:uid="{00000000-0005-0000-0000-0000264B0000}"/>
    <cellStyle name="40% - Accent3 4 2 3 2" xfId="2482" xr:uid="{00000000-0005-0000-0000-0000274B0000}"/>
    <cellStyle name="40% - Accent3 4 2 3 2 2" xfId="5586" xr:uid="{00000000-0005-0000-0000-0000284B0000}"/>
    <cellStyle name="40% - Accent3 4 2 3 2 2 2" xfId="12858" xr:uid="{00000000-0005-0000-0000-0000294B0000}"/>
    <cellStyle name="40% - Accent3 4 2 3 2 2 2 2" xfId="27392" xr:uid="{00000000-0005-0000-0000-00002A4B0000}"/>
    <cellStyle name="40% - Accent3 4 2 3 2 2 2 2 2" xfId="56398" xr:uid="{00000000-0005-0000-0000-00002B4B0000}"/>
    <cellStyle name="40% - Accent3 4 2 3 2 2 2 3" xfId="41899" xr:uid="{00000000-0005-0000-0000-00002C4B0000}"/>
    <cellStyle name="40% - Accent3 4 2 3 2 2 3" xfId="20144" xr:uid="{00000000-0005-0000-0000-00002D4B0000}"/>
    <cellStyle name="40% - Accent3 4 2 3 2 2 3 2" xfId="49150" xr:uid="{00000000-0005-0000-0000-00002E4B0000}"/>
    <cellStyle name="40% - Accent3 4 2 3 2 2 4" xfId="34651" xr:uid="{00000000-0005-0000-0000-00002F4B0000}"/>
    <cellStyle name="40% - Accent3 4 2 3 2 3" xfId="9754" xr:uid="{00000000-0005-0000-0000-0000304B0000}"/>
    <cellStyle name="40% - Accent3 4 2 3 2 3 2" xfId="24288" xr:uid="{00000000-0005-0000-0000-0000314B0000}"/>
    <cellStyle name="40% - Accent3 4 2 3 2 3 2 2" xfId="53294" xr:uid="{00000000-0005-0000-0000-0000324B0000}"/>
    <cellStyle name="40% - Accent3 4 2 3 2 3 3" xfId="38795" xr:uid="{00000000-0005-0000-0000-0000334B0000}"/>
    <cellStyle name="40% - Accent3 4 2 3 2 4" xfId="17040" xr:uid="{00000000-0005-0000-0000-0000344B0000}"/>
    <cellStyle name="40% - Accent3 4 2 3 2 4 2" xfId="46046" xr:uid="{00000000-0005-0000-0000-0000354B0000}"/>
    <cellStyle name="40% - Accent3 4 2 3 2 5" xfId="31547" xr:uid="{00000000-0005-0000-0000-0000364B0000}"/>
    <cellStyle name="40% - Accent3 4 2 3 3" xfId="3514" xr:uid="{00000000-0005-0000-0000-0000374B0000}"/>
    <cellStyle name="40% - Accent3 4 2 3 3 2" xfId="6618" xr:uid="{00000000-0005-0000-0000-0000384B0000}"/>
    <cellStyle name="40% - Accent3 4 2 3 3 2 2" xfId="13890" xr:uid="{00000000-0005-0000-0000-0000394B0000}"/>
    <cellStyle name="40% - Accent3 4 2 3 3 2 2 2" xfId="28424" xr:uid="{00000000-0005-0000-0000-00003A4B0000}"/>
    <cellStyle name="40% - Accent3 4 2 3 3 2 2 2 2" xfId="57430" xr:uid="{00000000-0005-0000-0000-00003B4B0000}"/>
    <cellStyle name="40% - Accent3 4 2 3 3 2 2 3" xfId="42931" xr:uid="{00000000-0005-0000-0000-00003C4B0000}"/>
    <cellStyle name="40% - Accent3 4 2 3 3 2 3" xfId="21176" xr:uid="{00000000-0005-0000-0000-00003D4B0000}"/>
    <cellStyle name="40% - Accent3 4 2 3 3 2 3 2" xfId="50182" xr:uid="{00000000-0005-0000-0000-00003E4B0000}"/>
    <cellStyle name="40% - Accent3 4 2 3 3 2 4" xfId="35683" xr:uid="{00000000-0005-0000-0000-00003F4B0000}"/>
    <cellStyle name="40% - Accent3 4 2 3 3 3" xfId="10786" xr:uid="{00000000-0005-0000-0000-0000404B0000}"/>
    <cellStyle name="40% - Accent3 4 2 3 3 3 2" xfId="25320" xr:uid="{00000000-0005-0000-0000-0000414B0000}"/>
    <cellStyle name="40% - Accent3 4 2 3 3 3 2 2" xfId="54326" xr:uid="{00000000-0005-0000-0000-0000424B0000}"/>
    <cellStyle name="40% - Accent3 4 2 3 3 3 3" xfId="39827" xr:uid="{00000000-0005-0000-0000-0000434B0000}"/>
    <cellStyle name="40% - Accent3 4 2 3 3 4" xfId="18072" xr:uid="{00000000-0005-0000-0000-0000444B0000}"/>
    <cellStyle name="40% - Accent3 4 2 3 3 4 2" xfId="47078" xr:uid="{00000000-0005-0000-0000-0000454B0000}"/>
    <cellStyle name="40% - Accent3 4 2 3 3 5" xfId="32579" xr:uid="{00000000-0005-0000-0000-0000464B0000}"/>
    <cellStyle name="40% - Accent3 4 2 3 4" xfId="4546" xr:uid="{00000000-0005-0000-0000-0000474B0000}"/>
    <cellStyle name="40% - Accent3 4 2 3 4 2" xfId="11818" xr:uid="{00000000-0005-0000-0000-0000484B0000}"/>
    <cellStyle name="40% - Accent3 4 2 3 4 2 2" xfId="26352" xr:uid="{00000000-0005-0000-0000-0000494B0000}"/>
    <cellStyle name="40% - Accent3 4 2 3 4 2 2 2" xfId="55358" xr:uid="{00000000-0005-0000-0000-00004A4B0000}"/>
    <cellStyle name="40% - Accent3 4 2 3 4 2 3" xfId="40859" xr:uid="{00000000-0005-0000-0000-00004B4B0000}"/>
    <cellStyle name="40% - Accent3 4 2 3 4 3" xfId="19104" xr:uid="{00000000-0005-0000-0000-00004C4B0000}"/>
    <cellStyle name="40% - Accent3 4 2 3 4 3 2" xfId="48110" xr:uid="{00000000-0005-0000-0000-00004D4B0000}"/>
    <cellStyle name="40% - Accent3 4 2 3 4 4" xfId="33611" xr:uid="{00000000-0005-0000-0000-00004E4B0000}"/>
    <cellStyle name="40% - Accent3 4 2 3 5" xfId="7650" xr:uid="{00000000-0005-0000-0000-00004F4B0000}"/>
    <cellStyle name="40% - Accent3 4 2 3 5 2" xfId="14922" xr:uid="{00000000-0005-0000-0000-0000504B0000}"/>
    <cellStyle name="40% - Accent3 4 2 3 5 2 2" xfId="29456" xr:uid="{00000000-0005-0000-0000-0000514B0000}"/>
    <cellStyle name="40% - Accent3 4 2 3 5 2 2 2" xfId="58462" xr:uid="{00000000-0005-0000-0000-0000524B0000}"/>
    <cellStyle name="40% - Accent3 4 2 3 5 2 3" xfId="43963" xr:uid="{00000000-0005-0000-0000-0000534B0000}"/>
    <cellStyle name="40% - Accent3 4 2 3 5 3" xfId="22208" xr:uid="{00000000-0005-0000-0000-0000544B0000}"/>
    <cellStyle name="40% - Accent3 4 2 3 5 3 2" xfId="51214" xr:uid="{00000000-0005-0000-0000-0000554B0000}"/>
    <cellStyle name="40% - Accent3 4 2 3 5 4" xfId="36715" xr:uid="{00000000-0005-0000-0000-0000564B0000}"/>
    <cellStyle name="40% - Accent3 4 2 3 6" xfId="8714" xr:uid="{00000000-0005-0000-0000-0000574B0000}"/>
    <cellStyle name="40% - Accent3 4 2 3 6 2" xfId="23248" xr:uid="{00000000-0005-0000-0000-0000584B0000}"/>
    <cellStyle name="40% - Accent3 4 2 3 6 2 2" xfId="52254" xr:uid="{00000000-0005-0000-0000-0000594B0000}"/>
    <cellStyle name="40% - Accent3 4 2 3 6 3" xfId="37755" xr:uid="{00000000-0005-0000-0000-00005A4B0000}"/>
    <cellStyle name="40% - Accent3 4 2 3 7" xfId="16000" xr:uid="{00000000-0005-0000-0000-00005B4B0000}"/>
    <cellStyle name="40% - Accent3 4 2 3 7 2" xfId="45006" xr:uid="{00000000-0005-0000-0000-00005C4B0000}"/>
    <cellStyle name="40% - Accent3 4 2 3 8" xfId="30507" xr:uid="{00000000-0005-0000-0000-00005D4B0000}"/>
    <cellStyle name="40% - Accent3 4 2 4" xfId="1970" xr:uid="{00000000-0005-0000-0000-00005E4B0000}"/>
    <cellStyle name="40% - Accent3 4 2 4 2" xfId="5074" xr:uid="{00000000-0005-0000-0000-00005F4B0000}"/>
    <cellStyle name="40% - Accent3 4 2 4 2 2" xfId="12346" xr:uid="{00000000-0005-0000-0000-0000604B0000}"/>
    <cellStyle name="40% - Accent3 4 2 4 2 2 2" xfId="26880" xr:uid="{00000000-0005-0000-0000-0000614B0000}"/>
    <cellStyle name="40% - Accent3 4 2 4 2 2 2 2" xfId="55886" xr:uid="{00000000-0005-0000-0000-0000624B0000}"/>
    <cellStyle name="40% - Accent3 4 2 4 2 2 3" xfId="41387" xr:uid="{00000000-0005-0000-0000-0000634B0000}"/>
    <cellStyle name="40% - Accent3 4 2 4 2 3" xfId="19632" xr:uid="{00000000-0005-0000-0000-0000644B0000}"/>
    <cellStyle name="40% - Accent3 4 2 4 2 3 2" xfId="48638" xr:uid="{00000000-0005-0000-0000-0000654B0000}"/>
    <cellStyle name="40% - Accent3 4 2 4 2 4" xfId="34139" xr:uid="{00000000-0005-0000-0000-0000664B0000}"/>
    <cellStyle name="40% - Accent3 4 2 4 3" xfId="9242" xr:uid="{00000000-0005-0000-0000-0000674B0000}"/>
    <cellStyle name="40% - Accent3 4 2 4 3 2" xfId="23776" xr:uid="{00000000-0005-0000-0000-0000684B0000}"/>
    <cellStyle name="40% - Accent3 4 2 4 3 2 2" xfId="52782" xr:uid="{00000000-0005-0000-0000-0000694B0000}"/>
    <cellStyle name="40% - Accent3 4 2 4 3 3" xfId="38283" xr:uid="{00000000-0005-0000-0000-00006A4B0000}"/>
    <cellStyle name="40% - Accent3 4 2 4 4" xfId="16528" xr:uid="{00000000-0005-0000-0000-00006B4B0000}"/>
    <cellStyle name="40% - Accent3 4 2 4 4 2" xfId="45534" xr:uid="{00000000-0005-0000-0000-00006C4B0000}"/>
    <cellStyle name="40% - Accent3 4 2 4 5" xfId="31035" xr:uid="{00000000-0005-0000-0000-00006D4B0000}"/>
    <cellStyle name="40% - Accent3 4 2 5" xfId="3002" xr:uid="{00000000-0005-0000-0000-00006E4B0000}"/>
    <cellStyle name="40% - Accent3 4 2 5 2" xfId="6106" xr:uid="{00000000-0005-0000-0000-00006F4B0000}"/>
    <cellStyle name="40% - Accent3 4 2 5 2 2" xfId="13378" xr:uid="{00000000-0005-0000-0000-0000704B0000}"/>
    <cellStyle name="40% - Accent3 4 2 5 2 2 2" xfId="27912" xr:uid="{00000000-0005-0000-0000-0000714B0000}"/>
    <cellStyle name="40% - Accent3 4 2 5 2 2 2 2" xfId="56918" xr:uid="{00000000-0005-0000-0000-0000724B0000}"/>
    <cellStyle name="40% - Accent3 4 2 5 2 2 3" xfId="42419" xr:uid="{00000000-0005-0000-0000-0000734B0000}"/>
    <cellStyle name="40% - Accent3 4 2 5 2 3" xfId="20664" xr:uid="{00000000-0005-0000-0000-0000744B0000}"/>
    <cellStyle name="40% - Accent3 4 2 5 2 3 2" xfId="49670" xr:uid="{00000000-0005-0000-0000-0000754B0000}"/>
    <cellStyle name="40% - Accent3 4 2 5 2 4" xfId="35171" xr:uid="{00000000-0005-0000-0000-0000764B0000}"/>
    <cellStyle name="40% - Accent3 4 2 5 3" xfId="10274" xr:uid="{00000000-0005-0000-0000-0000774B0000}"/>
    <cellStyle name="40% - Accent3 4 2 5 3 2" xfId="24808" xr:uid="{00000000-0005-0000-0000-0000784B0000}"/>
    <cellStyle name="40% - Accent3 4 2 5 3 2 2" xfId="53814" xr:uid="{00000000-0005-0000-0000-0000794B0000}"/>
    <cellStyle name="40% - Accent3 4 2 5 3 3" xfId="39315" xr:uid="{00000000-0005-0000-0000-00007A4B0000}"/>
    <cellStyle name="40% - Accent3 4 2 5 4" xfId="17560" xr:uid="{00000000-0005-0000-0000-00007B4B0000}"/>
    <cellStyle name="40% - Accent3 4 2 5 4 2" xfId="46566" xr:uid="{00000000-0005-0000-0000-00007C4B0000}"/>
    <cellStyle name="40% - Accent3 4 2 5 5" xfId="32067" xr:uid="{00000000-0005-0000-0000-00007D4B0000}"/>
    <cellStyle name="40% - Accent3 4 2 6" xfId="4034" xr:uid="{00000000-0005-0000-0000-00007E4B0000}"/>
    <cellStyle name="40% - Accent3 4 2 6 2" xfId="11306" xr:uid="{00000000-0005-0000-0000-00007F4B0000}"/>
    <cellStyle name="40% - Accent3 4 2 6 2 2" xfId="25840" xr:uid="{00000000-0005-0000-0000-0000804B0000}"/>
    <cellStyle name="40% - Accent3 4 2 6 2 2 2" xfId="54846" xr:uid="{00000000-0005-0000-0000-0000814B0000}"/>
    <cellStyle name="40% - Accent3 4 2 6 2 3" xfId="40347" xr:uid="{00000000-0005-0000-0000-0000824B0000}"/>
    <cellStyle name="40% - Accent3 4 2 6 3" xfId="18592" xr:uid="{00000000-0005-0000-0000-0000834B0000}"/>
    <cellStyle name="40% - Accent3 4 2 6 3 2" xfId="47598" xr:uid="{00000000-0005-0000-0000-0000844B0000}"/>
    <cellStyle name="40% - Accent3 4 2 6 4" xfId="33099" xr:uid="{00000000-0005-0000-0000-0000854B0000}"/>
    <cellStyle name="40% - Accent3 4 2 7" xfId="7138" xr:uid="{00000000-0005-0000-0000-0000864B0000}"/>
    <cellStyle name="40% - Accent3 4 2 7 2" xfId="14410" xr:uid="{00000000-0005-0000-0000-0000874B0000}"/>
    <cellStyle name="40% - Accent3 4 2 7 2 2" xfId="28944" xr:uid="{00000000-0005-0000-0000-0000884B0000}"/>
    <cellStyle name="40% - Accent3 4 2 7 2 2 2" xfId="57950" xr:uid="{00000000-0005-0000-0000-0000894B0000}"/>
    <cellStyle name="40% - Accent3 4 2 7 2 3" xfId="43451" xr:uid="{00000000-0005-0000-0000-00008A4B0000}"/>
    <cellStyle name="40% - Accent3 4 2 7 3" xfId="21696" xr:uid="{00000000-0005-0000-0000-00008B4B0000}"/>
    <cellStyle name="40% - Accent3 4 2 7 3 2" xfId="50702" xr:uid="{00000000-0005-0000-0000-00008C4B0000}"/>
    <cellStyle name="40% - Accent3 4 2 7 4" xfId="36203" xr:uid="{00000000-0005-0000-0000-00008D4B0000}"/>
    <cellStyle name="40% - Accent3 4 2 8" xfId="8202" xr:uid="{00000000-0005-0000-0000-00008E4B0000}"/>
    <cellStyle name="40% - Accent3 4 2 8 2" xfId="22736" xr:uid="{00000000-0005-0000-0000-00008F4B0000}"/>
    <cellStyle name="40% - Accent3 4 2 8 2 2" xfId="51742" xr:uid="{00000000-0005-0000-0000-0000904B0000}"/>
    <cellStyle name="40% - Accent3 4 2 8 3" xfId="37243" xr:uid="{00000000-0005-0000-0000-0000914B0000}"/>
    <cellStyle name="40% - Accent3 4 2 9" xfId="15488" xr:uid="{00000000-0005-0000-0000-0000924B0000}"/>
    <cellStyle name="40% - Accent3 4 2 9 2" xfId="44494" xr:uid="{00000000-0005-0000-0000-0000934B0000}"/>
    <cellStyle name="40% - Accent3 4 3" xfId="1128" xr:uid="{00000000-0005-0000-0000-0000944B0000}"/>
    <cellStyle name="40% - Accent3 4 3 2" xfId="1626" xr:uid="{00000000-0005-0000-0000-0000954B0000}"/>
    <cellStyle name="40% - Accent3 4 3 2 2" xfId="2685" xr:uid="{00000000-0005-0000-0000-0000964B0000}"/>
    <cellStyle name="40% - Accent3 4 3 2 2 2" xfId="5789" xr:uid="{00000000-0005-0000-0000-0000974B0000}"/>
    <cellStyle name="40% - Accent3 4 3 2 2 2 2" xfId="13061" xr:uid="{00000000-0005-0000-0000-0000984B0000}"/>
    <cellStyle name="40% - Accent3 4 3 2 2 2 2 2" xfId="27595" xr:uid="{00000000-0005-0000-0000-0000994B0000}"/>
    <cellStyle name="40% - Accent3 4 3 2 2 2 2 2 2" xfId="56601" xr:uid="{00000000-0005-0000-0000-00009A4B0000}"/>
    <cellStyle name="40% - Accent3 4 3 2 2 2 2 3" xfId="42102" xr:uid="{00000000-0005-0000-0000-00009B4B0000}"/>
    <cellStyle name="40% - Accent3 4 3 2 2 2 3" xfId="20347" xr:uid="{00000000-0005-0000-0000-00009C4B0000}"/>
    <cellStyle name="40% - Accent3 4 3 2 2 2 3 2" xfId="49353" xr:uid="{00000000-0005-0000-0000-00009D4B0000}"/>
    <cellStyle name="40% - Accent3 4 3 2 2 2 4" xfId="34854" xr:uid="{00000000-0005-0000-0000-00009E4B0000}"/>
    <cellStyle name="40% - Accent3 4 3 2 2 3" xfId="9957" xr:uid="{00000000-0005-0000-0000-00009F4B0000}"/>
    <cellStyle name="40% - Accent3 4 3 2 2 3 2" xfId="24491" xr:uid="{00000000-0005-0000-0000-0000A04B0000}"/>
    <cellStyle name="40% - Accent3 4 3 2 2 3 2 2" xfId="53497" xr:uid="{00000000-0005-0000-0000-0000A14B0000}"/>
    <cellStyle name="40% - Accent3 4 3 2 2 3 3" xfId="38998" xr:uid="{00000000-0005-0000-0000-0000A24B0000}"/>
    <cellStyle name="40% - Accent3 4 3 2 2 4" xfId="17243" xr:uid="{00000000-0005-0000-0000-0000A34B0000}"/>
    <cellStyle name="40% - Accent3 4 3 2 2 4 2" xfId="46249" xr:uid="{00000000-0005-0000-0000-0000A44B0000}"/>
    <cellStyle name="40% - Accent3 4 3 2 2 5" xfId="31750" xr:uid="{00000000-0005-0000-0000-0000A54B0000}"/>
    <cellStyle name="40% - Accent3 4 3 2 3" xfId="3717" xr:uid="{00000000-0005-0000-0000-0000A64B0000}"/>
    <cellStyle name="40% - Accent3 4 3 2 3 2" xfId="6821" xr:uid="{00000000-0005-0000-0000-0000A74B0000}"/>
    <cellStyle name="40% - Accent3 4 3 2 3 2 2" xfId="14093" xr:uid="{00000000-0005-0000-0000-0000A84B0000}"/>
    <cellStyle name="40% - Accent3 4 3 2 3 2 2 2" xfId="28627" xr:uid="{00000000-0005-0000-0000-0000A94B0000}"/>
    <cellStyle name="40% - Accent3 4 3 2 3 2 2 2 2" xfId="57633" xr:uid="{00000000-0005-0000-0000-0000AA4B0000}"/>
    <cellStyle name="40% - Accent3 4 3 2 3 2 2 3" xfId="43134" xr:uid="{00000000-0005-0000-0000-0000AB4B0000}"/>
    <cellStyle name="40% - Accent3 4 3 2 3 2 3" xfId="21379" xr:uid="{00000000-0005-0000-0000-0000AC4B0000}"/>
    <cellStyle name="40% - Accent3 4 3 2 3 2 3 2" xfId="50385" xr:uid="{00000000-0005-0000-0000-0000AD4B0000}"/>
    <cellStyle name="40% - Accent3 4 3 2 3 2 4" xfId="35886" xr:uid="{00000000-0005-0000-0000-0000AE4B0000}"/>
    <cellStyle name="40% - Accent3 4 3 2 3 3" xfId="10989" xr:uid="{00000000-0005-0000-0000-0000AF4B0000}"/>
    <cellStyle name="40% - Accent3 4 3 2 3 3 2" xfId="25523" xr:uid="{00000000-0005-0000-0000-0000B04B0000}"/>
    <cellStyle name="40% - Accent3 4 3 2 3 3 2 2" xfId="54529" xr:uid="{00000000-0005-0000-0000-0000B14B0000}"/>
    <cellStyle name="40% - Accent3 4 3 2 3 3 3" xfId="40030" xr:uid="{00000000-0005-0000-0000-0000B24B0000}"/>
    <cellStyle name="40% - Accent3 4 3 2 3 4" xfId="18275" xr:uid="{00000000-0005-0000-0000-0000B34B0000}"/>
    <cellStyle name="40% - Accent3 4 3 2 3 4 2" xfId="47281" xr:uid="{00000000-0005-0000-0000-0000B44B0000}"/>
    <cellStyle name="40% - Accent3 4 3 2 3 5" xfId="32782" xr:uid="{00000000-0005-0000-0000-0000B54B0000}"/>
    <cellStyle name="40% - Accent3 4 3 2 4" xfId="4749" xr:uid="{00000000-0005-0000-0000-0000B64B0000}"/>
    <cellStyle name="40% - Accent3 4 3 2 4 2" xfId="12021" xr:uid="{00000000-0005-0000-0000-0000B74B0000}"/>
    <cellStyle name="40% - Accent3 4 3 2 4 2 2" xfId="26555" xr:uid="{00000000-0005-0000-0000-0000B84B0000}"/>
    <cellStyle name="40% - Accent3 4 3 2 4 2 2 2" xfId="55561" xr:uid="{00000000-0005-0000-0000-0000B94B0000}"/>
    <cellStyle name="40% - Accent3 4 3 2 4 2 3" xfId="41062" xr:uid="{00000000-0005-0000-0000-0000BA4B0000}"/>
    <cellStyle name="40% - Accent3 4 3 2 4 3" xfId="19307" xr:uid="{00000000-0005-0000-0000-0000BB4B0000}"/>
    <cellStyle name="40% - Accent3 4 3 2 4 3 2" xfId="48313" xr:uid="{00000000-0005-0000-0000-0000BC4B0000}"/>
    <cellStyle name="40% - Accent3 4 3 2 4 4" xfId="33814" xr:uid="{00000000-0005-0000-0000-0000BD4B0000}"/>
    <cellStyle name="40% - Accent3 4 3 2 5" xfId="7853" xr:uid="{00000000-0005-0000-0000-0000BE4B0000}"/>
    <cellStyle name="40% - Accent3 4 3 2 5 2" xfId="15125" xr:uid="{00000000-0005-0000-0000-0000BF4B0000}"/>
    <cellStyle name="40% - Accent3 4 3 2 5 2 2" xfId="29659" xr:uid="{00000000-0005-0000-0000-0000C04B0000}"/>
    <cellStyle name="40% - Accent3 4 3 2 5 2 2 2" xfId="58665" xr:uid="{00000000-0005-0000-0000-0000C14B0000}"/>
    <cellStyle name="40% - Accent3 4 3 2 5 2 3" xfId="44166" xr:uid="{00000000-0005-0000-0000-0000C24B0000}"/>
    <cellStyle name="40% - Accent3 4 3 2 5 3" xfId="22411" xr:uid="{00000000-0005-0000-0000-0000C34B0000}"/>
    <cellStyle name="40% - Accent3 4 3 2 5 3 2" xfId="51417" xr:uid="{00000000-0005-0000-0000-0000C44B0000}"/>
    <cellStyle name="40% - Accent3 4 3 2 5 4" xfId="36918" xr:uid="{00000000-0005-0000-0000-0000C54B0000}"/>
    <cellStyle name="40% - Accent3 4 3 2 6" xfId="8917" xr:uid="{00000000-0005-0000-0000-0000C64B0000}"/>
    <cellStyle name="40% - Accent3 4 3 2 6 2" xfId="23451" xr:uid="{00000000-0005-0000-0000-0000C74B0000}"/>
    <cellStyle name="40% - Accent3 4 3 2 6 2 2" xfId="52457" xr:uid="{00000000-0005-0000-0000-0000C84B0000}"/>
    <cellStyle name="40% - Accent3 4 3 2 6 3" xfId="37958" xr:uid="{00000000-0005-0000-0000-0000C94B0000}"/>
    <cellStyle name="40% - Accent3 4 3 2 7" xfId="16203" xr:uid="{00000000-0005-0000-0000-0000CA4B0000}"/>
    <cellStyle name="40% - Accent3 4 3 2 7 2" xfId="45209" xr:uid="{00000000-0005-0000-0000-0000CB4B0000}"/>
    <cellStyle name="40% - Accent3 4 3 2 8" xfId="30710" xr:uid="{00000000-0005-0000-0000-0000CC4B0000}"/>
    <cellStyle name="40% - Accent3 4 3 3" xfId="2173" xr:uid="{00000000-0005-0000-0000-0000CD4B0000}"/>
    <cellStyle name="40% - Accent3 4 3 3 2" xfId="5277" xr:uid="{00000000-0005-0000-0000-0000CE4B0000}"/>
    <cellStyle name="40% - Accent3 4 3 3 2 2" xfId="12549" xr:uid="{00000000-0005-0000-0000-0000CF4B0000}"/>
    <cellStyle name="40% - Accent3 4 3 3 2 2 2" xfId="27083" xr:uid="{00000000-0005-0000-0000-0000D04B0000}"/>
    <cellStyle name="40% - Accent3 4 3 3 2 2 2 2" xfId="56089" xr:uid="{00000000-0005-0000-0000-0000D14B0000}"/>
    <cellStyle name="40% - Accent3 4 3 3 2 2 3" xfId="41590" xr:uid="{00000000-0005-0000-0000-0000D24B0000}"/>
    <cellStyle name="40% - Accent3 4 3 3 2 3" xfId="19835" xr:uid="{00000000-0005-0000-0000-0000D34B0000}"/>
    <cellStyle name="40% - Accent3 4 3 3 2 3 2" xfId="48841" xr:uid="{00000000-0005-0000-0000-0000D44B0000}"/>
    <cellStyle name="40% - Accent3 4 3 3 2 4" xfId="34342" xr:uid="{00000000-0005-0000-0000-0000D54B0000}"/>
    <cellStyle name="40% - Accent3 4 3 3 3" xfId="9445" xr:uid="{00000000-0005-0000-0000-0000D64B0000}"/>
    <cellStyle name="40% - Accent3 4 3 3 3 2" xfId="23979" xr:uid="{00000000-0005-0000-0000-0000D74B0000}"/>
    <cellStyle name="40% - Accent3 4 3 3 3 2 2" xfId="52985" xr:uid="{00000000-0005-0000-0000-0000D84B0000}"/>
    <cellStyle name="40% - Accent3 4 3 3 3 3" xfId="38486" xr:uid="{00000000-0005-0000-0000-0000D94B0000}"/>
    <cellStyle name="40% - Accent3 4 3 3 4" xfId="16731" xr:uid="{00000000-0005-0000-0000-0000DA4B0000}"/>
    <cellStyle name="40% - Accent3 4 3 3 4 2" xfId="45737" xr:uid="{00000000-0005-0000-0000-0000DB4B0000}"/>
    <cellStyle name="40% - Accent3 4 3 3 5" xfId="31238" xr:uid="{00000000-0005-0000-0000-0000DC4B0000}"/>
    <cellStyle name="40% - Accent3 4 3 4" xfId="3205" xr:uid="{00000000-0005-0000-0000-0000DD4B0000}"/>
    <cellStyle name="40% - Accent3 4 3 4 2" xfId="6309" xr:uid="{00000000-0005-0000-0000-0000DE4B0000}"/>
    <cellStyle name="40% - Accent3 4 3 4 2 2" xfId="13581" xr:uid="{00000000-0005-0000-0000-0000DF4B0000}"/>
    <cellStyle name="40% - Accent3 4 3 4 2 2 2" xfId="28115" xr:uid="{00000000-0005-0000-0000-0000E04B0000}"/>
    <cellStyle name="40% - Accent3 4 3 4 2 2 2 2" xfId="57121" xr:uid="{00000000-0005-0000-0000-0000E14B0000}"/>
    <cellStyle name="40% - Accent3 4 3 4 2 2 3" xfId="42622" xr:uid="{00000000-0005-0000-0000-0000E24B0000}"/>
    <cellStyle name="40% - Accent3 4 3 4 2 3" xfId="20867" xr:uid="{00000000-0005-0000-0000-0000E34B0000}"/>
    <cellStyle name="40% - Accent3 4 3 4 2 3 2" xfId="49873" xr:uid="{00000000-0005-0000-0000-0000E44B0000}"/>
    <cellStyle name="40% - Accent3 4 3 4 2 4" xfId="35374" xr:uid="{00000000-0005-0000-0000-0000E54B0000}"/>
    <cellStyle name="40% - Accent3 4 3 4 3" xfId="10477" xr:uid="{00000000-0005-0000-0000-0000E64B0000}"/>
    <cellStyle name="40% - Accent3 4 3 4 3 2" xfId="25011" xr:uid="{00000000-0005-0000-0000-0000E74B0000}"/>
    <cellStyle name="40% - Accent3 4 3 4 3 2 2" xfId="54017" xr:uid="{00000000-0005-0000-0000-0000E84B0000}"/>
    <cellStyle name="40% - Accent3 4 3 4 3 3" xfId="39518" xr:uid="{00000000-0005-0000-0000-0000E94B0000}"/>
    <cellStyle name="40% - Accent3 4 3 4 4" xfId="17763" xr:uid="{00000000-0005-0000-0000-0000EA4B0000}"/>
    <cellStyle name="40% - Accent3 4 3 4 4 2" xfId="46769" xr:uid="{00000000-0005-0000-0000-0000EB4B0000}"/>
    <cellStyle name="40% - Accent3 4 3 4 5" xfId="32270" xr:uid="{00000000-0005-0000-0000-0000EC4B0000}"/>
    <cellStyle name="40% - Accent3 4 3 5" xfId="4237" xr:uid="{00000000-0005-0000-0000-0000ED4B0000}"/>
    <cellStyle name="40% - Accent3 4 3 5 2" xfId="11509" xr:uid="{00000000-0005-0000-0000-0000EE4B0000}"/>
    <cellStyle name="40% - Accent3 4 3 5 2 2" xfId="26043" xr:uid="{00000000-0005-0000-0000-0000EF4B0000}"/>
    <cellStyle name="40% - Accent3 4 3 5 2 2 2" xfId="55049" xr:uid="{00000000-0005-0000-0000-0000F04B0000}"/>
    <cellStyle name="40% - Accent3 4 3 5 2 3" xfId="40550" xr:uid="{00000000-0005-0000-0000-0000F14B0000}"/>
    <cellStyle name="40% - Accent3 4 3 5 3" xfId="18795" xr:uid="{00000000-0005-0000-0000-0000F24B0000}"/>
    <cellStyle name="40% - Accent3 4 3 5 3 2" xfId="47801" xr:uid="{00000000-0005-0000-0000-0000F34B0000}"/>
    <cellStyle name="40% - Accent3 4 3 5 4" xfId="33302" xr:uid="{00000000-0005-0000-0000-0000F44B0000}"/>
    <cellStyle name="40% - Accent3 4 3 6" xfId="7341" xr:uid="{00000000-0005-0000-0000-0000F54B0000}"/>
    <cellStyle name="40% - Accent3 4 3 6 2" xfId="14613" xr:uid="{00000000-0005-0000-0000-0000F64B0000}"/>
    <cellStyle name="40% - Accent3 4 3 6 2 2" xfId="29147" xr:uid="{00000000-0005-0000-0000-0000F74B0000}"/>
    <cellStyle name="40% - Accent3 4 3 6 2 2 2" xfId="58153" xr:uid="{00000000-0005-0000-0000-0000F84B0000}"/>
    <cellStyle name="40% - Accent3 4 3 6 2 3" xfId="43654" xr:uid="{00000000-0005-0000-0000-0000F94B0000}"/>
    <cellStyle name="40% - Accent3 4 3 6 3" xfId="21899" xr:uid="{00000000-0005-0000-0000-0000FA4B0000}"/>
    <cellStyle name="40% - Accent3 4 3 6 3 2" xfId="50905" xr:uid="{00000000-0005-0000-0000-0000FB4B0000}"/>
    <cellStyle name="40% - Accent3 4 3 6 4" xfId="36406" xr:uid="{00000000-0005-0000-0000-0000FC4B0000}"/>
    <cellStyle name="40% - Accent3 4 3 7" xfId="8405" xr:uid="{00000000-0005-0000-0000-0000FD4B0000}"/>
    <cellStyle name="40% - Accent3 4 3 7 2" xfId="22939" xr:uid="{00000000-0005-0000-0000-0000FE4B0000}"/>
    <cellStyle name="40% - Accent3 4 3 7 2 2" xfId="51945" xr:uid="{00000000-0005-0000-0000-0000FF4B0000}"/>
    <cellStyle name="40% - Accent3 4 3 7 3" xfId="37446" xr:uid="{00000000-0005-0000-0000-0000004C0000}"/>
    <cellStyle name="40% - Accent3 4 3 8" xfId="15691" xr:uid="{00000000-0005-0000-0000-0000014C0000}"/>
    <cellStyle name="40% - Accent3 4 3 8 2" xfId="44697" xr:uid="{00000000-0005-0000-0000-0000024C0000}"/>
    <cellStyle name="40% - Accent3 4 3 9" xfId="30198" xr:uid="{00000000-0005-0000-0000-0000034C0000}"/>
    <cellStyle name="40% - Accent3 4 4" xfId="1037" xr:uid="{00000000-0005-0000-0000-0000044C0000}"/>
    <cellStyle name="40% - Accent3 4 4 2" xfId="1527" xr:uid="{00000000-0005-0000-0000-0000054C0000}"/>
    <cellStyle name="40% - Accent3 4 4 2 2" xfId="2585" xr:uid="{00000000-0005-0000-0000-0000064C0000}"/>
    <cellStyle name="40% - Accent3 4 4 2 2 2" xfId="5689" xr:uid="{00000000-0005-0000-0000-0000074C0000}"/>
    <cellStyle name="40% - Accent3 4 4 2 2 2 2" xfId="12961" xr:uid="{00000000-0005-0000-0000-0000084C0000}"/>
    <cellStyle name="40% - Accent3 4 4 2 2 2 2 2" xfId="27495" xr:uid="{00000000-0005-0000-0000-0000094C0000}"/>
    <cellStyle name="40% - Accent3 4 4 2 2 2 2 2 2" xfId="56501" xr:uid="{00000000-0005-0000-0000-00000A4C0000}"/>
    <cellStyle name="40% - Accent3 4 4 2 2 2 2 3" xfId="42002" xr:uid="{00000000-0005-0000-0000-00000B4C0000}"/>
    <cellStyle name="40% - Accent3 4 4 2 2 2 3" xfId="20247" xr:uid="{00000000-0005-0000-0000-00000C4C0000}"/>
    <cellStyle name="40% - Accent3 4 4 2 2 2 3 2" xfId="49253" xr:uid="{00000000-0005-0000-0000-00000D4C0000}"/>
    <cellStyle name="40% - Accent3 4 4 2 2 2 4" xfId="34754" xr:uid="{00000000-0005-0000-0000-00000E4C0000}"/>
    <cellStyle name="40% - Accent3 4 4 2 2 3" xfId="9857" xr:uid="{00000000-0005-0000-0000-00000F4C0000}"/>
    <cellStyle name="40% - Accent3 4 4 2 2 3 2" xfId="24391" xr:uid="{00000000-0005-0000-0000-0000104C0000}"/>
    <cellStyle name="40% - Accent3 4 4 2 2 3 2 2" xfId="53397" xr:uid="{00000000-0005-0000-0000-0000114C0000}"/>
    <cellStyle name="40% - Accent3 4 4 2 2 3 3" xfId="38898" xr:uid="{00000000-0005-0000-0000-0000124C0000}"/>
    <cellStyle name="40% - Accent3 4 4 2 2 4" xfId="17143" xr:uid="{00000000-0005-0000-0000-0000134C0000}"/>
    <cellStyle name="40% - Accent3 4 4 2 2 4 2" xfId="46149" xr:uid="{00000000-0005-0000-0000-0000144C0000}"/>
    <cellStyle name="40% - Accent3 4 4 2 2 5" xfId="31650" xr:uid="{00000000-0005-0000-0000-0000154C0000}"/>
    <cellStyle name="40% - Accent3 4 4 2 3" xfId="3617" xr:uid="{00000000-0005-0000-0000-0000164C0000}"/>
    <cellStyle name="40% - Accent3 4 4 2 3 2" xfId="6721" xr:uid="{00000000-0005-0000-0000-0000174C0000}"/>
    <cellStyle name="40% - Accent3 4 4 2 3 2 2" xfId="13993" xr:uid="{00000000-0005-0000-0000-0000184C0000}"/>
    <cellStyle name="40% - Accent3 4 4 2 3 2 2 2" xfId="28527" xr:uid="{00000000-0005-0000-0000-0000194C0000}"/>
    <cellStyle name="40% - Accent3 4 4 2 3 2 2 2 2" xfId="57533" xr:uid="{00000000-0005-0000-0000-00001A4C0000}"/>
    <cellStyle name="40% - Accent3 4 4 2 3 2 2 3" xfId="43034" xr:uid="{00000000-0005-0000-0000-00001B4C0000}"/>
    <cellStyle name="40% - Accent3 4 4 2 3 2 3" xfId="21279" xr:uid="{00000000-0005-0000-0000-00001C4C0000}"/>
    <cellStyle name="40% - Accent3 4 4 2 3 2 3 2" xfId="50285" xr:uid="{00000000-0005-0000-0000-00001D4C0000}"/>
    <cellStyle name="40% - Accent3 4 4 2 3 2 4" xfId="35786" xr:uid="{00000000-0005-0000-0000-00001E4C0000}"/>
    <cellStyle name="40% - Accent3 4 4 2 3 3" xfId="10889" xr:uid="{00000000-0005-0000-0000-00001F4C0000}"/>
    <cellStyle name="40% - Accent3 4 4 2 3 3 2" xfId="25423" xr:uid="{00000000-0005-0000-0000-0000204C0000}"/>
    <cellStyle name="40% - Accent3 4 4 2 3 3 2 2" xfId="54429" xr:uid="{00000000-0005-0000-0000-0000214C0000}"/>
    <cellStyle name="40% - Accent3 4 4 2 3 3 3" xfId="39930" xr:uid="{00000000-0005-0000-0000-0000224C0000}"/>
    <cellStyle name="40% - Accent3 4 4 2 3 4" xfId="18175" xr:uid="{00000000-0005-0000-0000-0000234C0000}"/>
    <cellStyle name="40% - Accent3 4 4 2 3 4 2" xfId="47181" xr:uid="{00000000-0005-0000-0000-0000244C0000}"/>
    <cellStyle name="40% - Accent3 4 4 2 3 5" xfId="32682" xr:uid="{00000000-0005-0000-0000-0000254C0000}"/>
    <cellStyle name="40% - Accent3 4 4 2 4" xfId="4649" xr:uid="{00000000-0005-0000-0000-0000264C0000}"/>
    <cellStyle name="40% - Accent3 4 4 2 4 2" xfId="11921" xr:uid="{00000000-0005-0000-0000-0000274C0000}"/>
    <cellStyle name="40% - Accent3 4 4 2 4 2 2" xfId="26455" xr:uid="{00000000-0005-0000-0000-0000284C0000}"/>
    <cellStyle name="40% - Accent3 4 4 2 4 2 2 2" xfId="55461" xr:uid="{00000000-0005-0000-0000-0000294C0000}"/>
    <cellStyle name="40% - Accent3 4 4 2 4 2 3" xfId="40962" xr:uid="{00000000-0005-0000-0000-00002A4C0000}"/>
    <cellStyle name="40% - Accent3 4 4 2 4 3" xfId="19207" xr:uid="{00000000-0005-0000-0000-00002B4C0000}"/>
    <cellStyle name="40% - Accent3 4 4 2 4 3 2" xfId="48213" xr:uid="{00000000-0005-0000-0000-00002C4C0000}"/>
    <cellStyle name="40% - Accent3 4 4 2 4 4" xfId="33714" xr:uid="{00000000-0005-0000-0000-00002D4C0000}"/>
    <cellStyle name="40% - Accent3 4 4 2 5" xfId="7753" xr:uid="{00000000-0005-0000-0000-00002E4C0000}"/>
    <cellStyle name="40% - Accent3 4 4 2 5 2" xfId="15025" xr:uid="{00000000-0005-0000-0000-00002F4C0000}"/>
    <cellStyle name="40% - Accent3 4 4 2 5 2 2" xfId="29559" xr:uid="{00000000-0005-0000-0000-0000304C0000}"/>
    <cellStyle name="40% - Accent3 4 4 2 5 2 2 2" xfId="58565" xr:uid="{00000000-0005-0000-0000-0000314C0000}"/>
    <cellStyle name="40% - Accent3 4 4 2 5 2 3" xfId="44066" xr:uid="{00000000-0005-0000-0000-0000324C0000}"/>
    <cellStyle name="40% - Accent3 4 4 2 5 3" xfId="22311" xr:uid="{00000000-0005-0000-0000-0000334C0000}"/>
    <cellStyle name="40% - Accent3 4 4 2 5 3 2" xfId="51317" xr:uid="{00000000-0005-0000-0000-0000344C0000}"/>
    <cellStyle name="40% - Accent3 4 4 2 5 4" xfId="36818" xr:uid="{00000000-0005-0000-0000-0000354C0000}"/>
    <cellStyle name="40% - Accent3 4 4 2 6" xfId="8817" xr:uid="{00000000-0005-0000-0000-0000364C0000}"/>
    <cellStyle name="40% - Accent3 4 4 2 6 2" xfId="23351" xr:uid="{00000000-0005-0000-0000-0000374C0000}"/>
    <cellStyle name="40% - Accent3 4 4 2 6 2 2" xfId="52357" xr:uid="{00000000-0005-0000-0000-0000384C0000}"/>
    <cellStyle name="40% - Accent3 4 4 2 6 3" xfId="37858" xr:uid="{00000000-0005-0000-0000-0000394C0000}"/>
    <cellStyle name="40% - Accent3 4 4 2 7" xfId="16103" xr:uid="{00000000-0005-0000-0000-00003A4C0000}"/>
    <cellStyle name="40% - Accent3 4 4 2 7 2" xfId="45109" xr:uid="{00000000-0005-0000-0000-00003B4C0000}"/>
    <cellStyle name="40% - Accent3 4 4 2 8" xfId="30610" xr:uid="{00000000-0005-0000-0000-00003C4C0000}"/>
    <cellStyle name="40% - Accent3 4 4 3" xfId="2073" xr:uid="{00000000-0005-0000-0000-00003D4C0000}"/>
    <cellStyle name="40% - Accent3 4 4 3 2" xfId="5177" xr:uid="{00000000-0005-0000-0000-00003E4C0000}"/>
    <cellStyle name="40% - Accent3 4 4 3 2 2" xfId="12449" xr:uid="{00000000-0005-0000-0000-00003F4C0000}"/>
    <cellStyle name="40% - Accent3 4 4 3 2 2 2" xfId="26983" xr:uid="{00000000-0005-0000-0000-0000404C0000}"/>
    <cellStyle name="40% - Accent3 4 4 3 2 2 2 2" xfId="55989" xr:uid="{00000000-0005-0000-0000-0000414C0000}"/>
    <cellStyle name="40% - Accent3 4 4 3 2 2 3" xfId="41490" xr:uid="{00000000-0005-0000-0000-0000424C0000}"/>
    <cellStyle name="40% - Accent3 4 4 3 2 3" xfId="19735" xr:uid="{00000000-0005-0000-0000-0000434C0000}"/>
    <cellStyle name="40% - Accent3 4 4 3 2 3 2" xfId="48741" xr:uid="{00000000-0005-0000-0000-0000444C0000}"/>
    <cellStyle name="40% - Accent3 4 4 3 2 4" xfId="34242" xr:uid="{00000000-0005-0000-0000-0000454C0000}"/>
    <cellStyle name="40% - Accent3 4 4 3 3" xfId="9345" xr:uid="{00000000-0005-0000-0000-0000464C0000}"/>
    <cellStyle name="40% - Accent3 4 4 3 3 2" xfId="23879" xr:uid="{00000000-0005-0000-0000-0000474C0000}"/>
    <cellStyle name="40% - Accent3 4 4 3 3 2 2" xfId="52885" xr:uid="{00000000-0005-0000-0000-0000484C0000}"/>
    <cellStyle name="40% - Accent3 4 4 3 3 3" xfId="38386" xr:uid="{00000000-0005-0000-0000-0000494C0000}"/>
    <cellStyle name="40% - Accent3 4 4 3 4" xfId="16631" xr:uid="{00000000-0005-0000-0000-00004A4C0000}"/>
    <cellStyle name="40% - Accent3 4 4 3 4 2" xfId="45637" xr:uid="{00000000-0005-0000-0000-00004B4C0000}"/>
    <cellStyle name="40% - Accent3 4 4 3 5" xfId="31138" xr:uid="{00000000-0005-0000-0000-00004C4C0000}"/>
    <cellStyle name="40% - Accent3 4 4 4" xfId="3105" xr:uid="{00000000-0005-0000-0000-00004D4C0000}"/>
    <cellStyle name="40% - Accent3 4 4 4 2" xfId="6209" xr:uid="{00000000-0005-0000-0000-00004E4C0000}"/>
    <cellStyle name="40% - Accent3 4 4 4 2 2" xfId="13481" xr:uid="{00000000-0005-0000-0000-00004F4C0000}"/>
    <cellStyle name="40% - Accent3 4 4 4 2 2 2" xfId="28015" xr:uid="{00000000-0005-0000-0000-0000504C0000}"/>
    <cellStyle name="40% - Accent3 4 4 4 2 2 2 2" xfId="57021" xr:uid="{00000000-0005-0000-0000-0000514C0000}"/>
    <cellStyle name="40% - Accent3 4 4 4 2 2 3" xfId="42522" xr:uid="{00000000-0005-0000-0000-0000524C0000}"/>
    <cellStyle name="40% - Accent3 4 4 4 2 3" xfId="20767" xr:uid="{00000000-0005-0000-0000-0000534C0000}"/>
    <cellStyle name="40% - Accent3 4 4 4 2 3 2" xfId="49773" xr:uid="{00000000-0005-0000-0000-0000544C0000}"/>
    <cellStyle name="40% - Accent3 4 4 4 2 4" xfId="35274" xr:uid="{00000000-0005-0000-0000-0000554C0000}"/>
    <cellStyle name="40% - Accent3 4 4 4 3" xfId="10377" xr:uid="{00000000-0005-0000-0000-0000564C0000}"/>
    <cellStyle name="40% - Accent3 4 4 4 3 2" xfId="24911" xr:uid="{00000000-0005-0000-0000-0000574C0000}"/>
    <cellStyle name="40% - Accent3 4 4 4 3 2 2" xfId="53917" xr:uid="{00000000-0005-0000-0000-0000584C0000}"/>
    <cellStyle name="40% - Accent3 4 4 4 3 3" xfId="39418" xr:uid="{00000000-0005-0000-0000-0000594C0000}"/>
    <cellStyle name="40% - Accent3 4 4 4 4" xfId="17663" xr:uid="{00000000-0005-0000-0000-00005A4C0000}"/>
    <cellStyle name="40% - Accent3 4 4 4 4 2" xfId="46669" xr:uid="{00000000-0005-0000-0000-00005B4C0000}"/>
    <cellStyle name="40% - Accent3 4 4 4 5" xfId="32170" xr:uid="{00000000-0005-0000-0000-00005C4C0000}"/>
    <cellStyle name="40% - Accent3 4 4 5" xfId="4137" xr:uid="{00000000-0005-0000-0000-00005D4C0000}"/>
    <cellStyle name="40% - Accent3 4 4 5 2" xfId="11409" xr:uid="{00000000-0005-0000-0000-00005E4C0000}"/>
    <cellStyle name="40% - Accent3 4 4 5 2 2" xfId="25943" xr:uid="{00000000-0005-0000-0000-00005F4C0000}"/>
    <cellStyle name="40% - Accent3 4 4 5 2 2 2" xfId="54949" xr:uid="{00000000-0005-0000-0000-0000604C0000}"/>
    <cellStyle name="40% - Accent3 4 4 5 2 3" xfId="40450" xr:uid="{00000000-0005-0000-0000-0000614C0000}"/>
    <cellStyle name="40% - Accent3 4 4 5 3" xfId="18695" xr:uid="{00000000-0005-0000-0000-0000624C0000}"/>
    <cellStyle name="40% - Accent3 4 4 5 3 2" xfId="47701" xr:uid="{00000000-0005-0000-0000-0000634C0000}"/>
    <cellStyle name="40% - Accent3 4 4 5 4" xfId="33202" xr:uid="{00000000-0005-0000-0000-0000644C0000}"/>
    <cellStyle name="40% - Accent3 4 4 6" xfId="7241" xr:uid="{00000000-0005-0000-0000-0000654C0000}"/>
    <cellStyle name="40% - Accent3 4 4 6 2" xfId="14513" xr:uid="{00000000-0005-0000-0000-0000664C0000}"/>
    <cellStyle name="40% - Accent3 4 4 6 2 2" xfId="29047" xr:uid="{00000000-0005-0000-0000-0000674C0000}"/>
    <cellStyle name="40% - Accent3 4 4 6 2 2 2" xfId="58053" xr:uid="{00000000-0005-0000-0000-0000684C0000}"/>
    <cellStyle name="40% - Accent3 4 4 6 2 3" xfId="43554" xr:uid="{00000000-0005-0000-0000-0000694C0000}"/>
    <cellStyle name="40% - Accent3 4 4 6 3" xfId="21799" xr:uid="{00000000-0005-0000-0000-00006A4C0000}"/>
    <cellStyle name="40% - Accent3 4 4 6 3 2" xfId="50805" xr:uid="{00000000-0005-0000-0000-00006B4C0000}"/>
    <cellStyle name="40% - Accent3 4 4 6 4" xfId="36306" xr:uid="{00000000-0005-0000-0000-00006C4C0000}"/>
    <cellStyle name="40% - Accent3 4 4 7" xfId="8305" xr:uid="{00000000-0005-0000-0000-00006D4C0000}"/>
    <cellStyle name="40% - Accent3 4 4 7 2" xfId="22839" xr:uid="{00000000-0005-0000-0000-00006E4C0000}"/>
    <cellStyle name="40% - Accent3 4 4 7 2 2" xfId="51845" xr:uid="{00000000-0005-0000-0000-00006F4C0000}"/>
    <cellStyle name="40% - Accent3 4 4 7 3" xfId="37346" xr:uid="{00000000-0005-0000-0000-0000704C0000}"/>
    <cellStyle name="40% - Accent3 4 4 8" xfId="15591" xr:uid="{00000000-0005-0000-0000-0000714C0000}"/>
    <cellStyle name="40% - Accent3 4 4 8 2" xfId="44597" xr:uid="{00000000-0005-0000-0000-0000724C0000}"/>
    <cellStyle name="40% - Accent3 4 4 9" xfId="30098" xr:uid="{00000000-0005-0000-0000-0000734C0000}"/>
    <cellStyle name="40% - Accent3 4 5" xfId="1322" xr:uid="{00000000-0005-0000-0000-0000744C0000}"/>
    <cellStyle name="40% - Accent3 4 5 2" xfId="2379" xr:uid="{00000000-0005-0000-0000-0000754C0000}"/>
    <cellStyle name="40% - Accent3 4 5 2 2" xfId="5483" xr:uid="{00000000-0005-0000-0000-0000764C0000}"/>
    <cellStyle name="40% - Accent3 4 5 2 2 2" xfId="12755" xr:uid="{00000000-0005-0000-0000-0000774C0000}"/>
    <cellStyle name="40% - Accent3 4 5 2 2 2 2" xfId="27289" xr:uid="{00000000-0005-0000-0000-0000784C0000}"/>
    <cellStyle name="40% - Accent3 4 5 2 2 2 2 2" xfId="56295" xr:uid="{00000000-0005-0000-0000-0000794C0000}"/>
    <cellStyle name="40% - Accent3 4 5 2 2 2 3" xfId="41796" xr:uid="{00000000-0005-0000-0000-00007A4C0000}"/>
    <cellStyle name="40% - Accent3 4 5 2 2 3" xfId="20041" xr:uid="{00000000-0005-0000-0000-00007B4C0000}"/>
    <cellStyle name="40% - Accent3 4 5 2 2 3 2" xfId="49047" xr:uid="{00000000-0005-0000-0000-00007C4C0000}"/>
    <cellStyle name="40% - Accent3 4 5 2 2 4" xfId="34548" xr:uid="{00000000-0005-0000-0000-00007D4C0000}"/>
    <cellStyle name="40% - Accent3 4 5 2 3" xfId="9651" xr:uid="{00000000-0005-0000-0000-00007E4C0000}"/>
    <cellStyle name="40% - Accent3 4 5 2 3 2" xfId="24185" xr:uid="{00000000-0005-0000-0000-00007F4C0000}"/>
    <cellStyle name="40% - Accent3 4 5 2 3 2 2" xfId="53191" xr:uid="{00000000-0005-0000-0000-0000804C0000}"/>
    <cellStyle name="40% - Accent3 4 5 2 3 3" xfId="38692" xr:uid="{00000000-0005-0000-0000-0000814C0000}"/>
    <cellStyle name="40% - Accent3 4 5 2 4" xfId="16937" xr:uid="{00000000-0005-0000-0000-0000824C0000}"/>
    <cellStyle name="40% - Accent3 4 5 2 4 2" xfId="45943" xr:uid="{00000000-0005-0000-0000-0000834C0000}"/>
    <cellStyle name="40% - Accent3 4 5 2 5" xfId="31444" xr:uid="{00000000-0005-0000-0000-0000844C0000}"/>
    <cellStyle name="40% - Accent3 4 5 3" xfId="3411" xr:uid="{00000000-0005-0000-0000-0000854C0000}"/>
    <cellStyle name="40% - Accent3 4 5 3 2" xfId="6515" xr:uid="{00000000-0005-0000-0000-0000864C0000}"/>
    <cellStyle name="40% - Accent3 4 5 3 2 2" xfId="13787" xr:uid="{00000000-0005-0000-0000-0000874C0000}"/>
    <cellStyle name="40% - Accent3 4 5 3 2 2 2" xfId="28321" xr:uid="{00000000-0005-0000-0000-0000884C0000}"/>
    <cellStyle name="40% - Accent3 4 5 3 2 2 2 2" xfId="57327" xr:uid="{00000000-0005-0000-0000-0000894C0000}"/>
    <cellStyle name="40% - Accent3 4 5 3 2 2 3" xfId="42828" xr:uid="{00000000-0005-0000-0000-00008A4C0000}"/>
    <cellStyle name="40% - Accent3 4 5 3 2 3" xfId="21073" xr:uid="{00000000-0005-0000-0000-00008B4C0000}"/>
    <cellStyle name="40% - Accent3 4 5 3 2 3 2" xfId="50079" xr:uid="{00000000-0005-0000-0000-00008C4C0000}"/>
    <cellStyle name="40% - Accent3 4 5 3 2 4" xfId="35580" xr:uid="{00000000-0005-0000-0000-00008D4C0000}"/>
    <cellStyle name="40% - Accent3 4 5 3 3" xfId="10683" xr:uid="{00000000-0005-0000-0000-00008E4C0000}"/>
    <cellStyle name="40% - Accent3 4 5 3 3 2" xfId="25217" xr:uid="{00000000-0005-0000-0000-00008F4C0000}"/>
    <cellStyle name="40% - Accent3 4 5 3 3 2 2" xfId="54223" xr:uid="{00000000-0005-0000-0000-0000904C0000}"/>
    <cellStyle name="40% - Accent3 4 5 3 3 3" xfId="39724" xr:uid="{00000000-0005-0000-0000-0000914C0000}"/>
    <cellStyle name="40% - Accent3 4 5 3 4" xfId="17969" xr:uid="{00000000-0005-0000-0000-0000924C0000}"/>
    <cellStyle name="40% - Accent3 4 5 3 4 2" xfId="46975" xr:uid="{00000000-0005-0000-0000-0000934C0000}"/>
    <cellStyle name="40% - Accent3 4 5 3 5" xfId="32476" xr:uid="{00000000-0005-0000-0000-0000944C0000}"/>
    <cellStyle name="40% - Accent3 4 5 4" xfId="4443" xr:uid="{00000000-0005-0000-0000-0000954C0000}"/>
    <cellStyle name="40% - Accent3 4 5 4 2" xfId="11715" xr:uid="{00000000-0005-0000-0000-0000964C0000}"/>
    <cellStyle name="40% - Accent3 4 5 4 2 2" xfId="26249" xr:uid="{00000000-0005-0000-0000-0000974C0000}"/>
    <cellStyle name="40% - Accent3 4 5 4 2 2 2" xfId="55255" xr:uid="{00000000-0005-0000-0000-0000984C0000}"/>
    <cellStyle name="40% - Accent3 4 5 4 2 3" xfId="40756" xr:uid="{00000000-0005-0000-0000-0000994C0000}"/>
    <cellStyle name="40% - Accent3 4 5 4 3" xfId="19001" xr:uid="{00000000-0005-0000-0000-00009A4C0000}"/>
    <cellStyle name="40% - Accent3 4 5 4 3 2" xfId="48007" xr:uid="{00000000-0005-0000-0000-00009B4C0000}"/>
    <cellStyle name="40% - Accent3 4 5 4 4" xfId="33508" xr:uid="{00000000-0005-0000-0000-00009C4C0000}"/>
    <cellStyle name="40% - Accent3 4 5 5" xfId="7547" xr:uid="{00000000-0005-0000-0000-00009D4C0000}"/>
    <cellStyle name="40% - Accent3 4 5 5 2" xfId="14819" xr:uid="{00000000-0005-0000-0000-00009E4C0000}"/>
    <cellStyle name="40% - Accent3 4 5 5 2 2" xfId="29353" xr:uid="{00000000-0005-0000-0000-00009F4C0000}"/>
    <cellStyle name="40% - Accent3 4 5 5 2 2 2" xfId="58359" xr:uid="{00000000-0005-0000-0000-0000A04C0000}"/>
    <cellStyle name="40% - Accent3 4 5 5 2 3" xfId="43860" xr:uid="{00000000-0005-0000-0000-0000A14C0000}"/>
    <cellStyle name="40% - Accent3 4 5 5 3" xfId="22105" xr:uid="{00000000-0005-0000-0000-0000A24C0000}"/>
    <cellStyle name="40% - Accent3 4 5 5 3 2" xfId="51111" xr:uid="{00000000-0005-0000-0000-0000A34C0000}"/>
    <cellStyle name="40% - Accent3 4 5 5 4" xfId="36612" xr:uid="{00000000-0005-0000-0000-0000A44C0000}"/>
    <cellStyle name="40% - Accent3 4 5 6" xfId="8611" xr:uid="{00000000-0005-0000-0000-0000A54C0000}"/>
    <cellStyle name="40% - Accent3 4 5 6 2" xfId="23145" xr:uid="{00000000-0005-0000-0000-0000A64C0000}"/>
    <cellStyle name="40% - Accent3 4 5 6 2 2" xfId="52151" xr:uid="{00000000-0005-0000-0000-0000A74C0000}"/>
    <cellStyle name="40% - Accent3 4 5 6 3" xfId="37652" xr:uid="{00000000-0005-0000-0000-0000A84C0000}"/>
    <cellStyle name="40% - Accent3 4 5 7" xfId="15897" xr:uid="{00000000-0005-0000-0000-0000A94C0000}"/>
    <cellStyle name="40% - Accent3 4 5 7 2" xfId="44903" xr:uid="{00000000-0005-0000-0000-0000AA4C0000}"/>
    <cellStyle name="40% - Accent3 4 5 8" xfId="30404" xr:uid="{00000000-0005-0000-0000-0000AB4C0000}"/>
    <cellStyle name="40% - Accent3 4 6" xfId="1867" xr:uid="{00000000-0005-0000-0000-0000AC4C0000}"/>
    <cellStyle name="40% - Accent3 4 6 2" xfId="4971" xr:uid="{00000000-0005-0000-0000-0000AD4C0000}"/>
    <cellStyle name="40% - Accent3 4 6 2 2" xfId="12243" xr:uid="{00000000-0005-0000-0000-0000AE4C0000}"/>
    <cellStyle name="40% - Accent3 4 6 2 2 2" xfId="26777" xr:uid="{00000000-0005-0000-0000-0000AF4C0000}"/>
    <cellStyle name="40% - Accent3 4 6 2 2 2 2" xfId="55783" xr:uid="{00000000-0005-0000-0000-0000B04C0000}"/>
    <cellStyle name="40% - Accent3 4 6 2 2 3" xfId="41284" xr:uid="{00000000-0005-0000-0000-0000B14C0000}"/>
    <cellStyle name="40% - Accent3 4 6 2 3" xfId="19529" xr:uid="{00000000-0005-0000-0000-0000B24C0000}"/>
    <cellStyle name="40% - Accent3 4 6 2 3 2" xfId="48535" xr:uid="{00000000-0005-0000-0000-0000B34C0000}"/>
    <cellStyle name="40% - Accent3 4 6 2 4" xfId="34036" xr:uid="{00000000-0005-0000-0000-0000B44C0000}"/>
    <cellStyle name="40% - Accent3 4 6 3" xfId="9139" xr:uid="{00000000-0005-0000-0000-0000B54C0000}"/>
    <cellStyle name="40% - Accent3 4 6 3 2" xfId="23673" xr:uid="{00000000-0005-0000-0000-0000B64C0000}"/>
    <cellStyle name="40% - Accent3 4 6 3 2 2" xfId="52679" xr:uid="{00000000-0005-0000-0000-0000B74C0000}"/>
    <cellStyle name="40% - Accent3 4 6 3 3" xfId="38180" xr:uid="{00000000-0005-0000-0000-0000B84C0000}"/>
    <cellStyle name="40% - Accent3 4 6 4" xfId="16425" xr:uid="{00000000-0005-0000-0000-0000B94C0000}"/>
    <cellStyle name="40% - Accent3 4 6 4 2" xfId="45431" xr:uid="{00000000-0005-0000-0000-0000BA4C0000}"/>
    <cellStyle name="40% - Accent3 4 6 5" xfId="30932" xr:uid="{00000000-0005-0000-0000-0000BB4C0000}"/>
    <cellStyle name="40% - Accent3 4 7" xfId="2899" xr:uid="{00000000-0005-0000-0000-0000BC4C0000}"/>
    <cellStyle name="40% - Accent3 4 7 2" xfId="6003" xr:uid="{00000000-0005-0000-0000-0000BD4C0000}"/>
    <cellStyle name="40% - Accent3 4 7 2 2" xfId="13275" xr:uid="{00000000-0005-0000-0000-0000BE4C0000}"/>
    <cellStyle name="40% - Accent3 4 7 2 2 2" xfId="27809" xr:uid="{00000000-0005-0000-0000-0000BF4C0000}"/>
    <cellStyle name="40% - Accent3 4 7 2 2 2 2" xfId="56815" xr:uid="{00000000-0005-0000-0000-0000C04C0000}"/>
    <cellStyle name="40% - Accent3 4 7 2 2 3" xfId="42316" xr:uid="{00000000-0005-0000-0000-0000C14C0000}"/>
    <cellStyle name="40% - Accent3 4 7 2 3" xfId="20561" xr:uid="{00000000-0005-0000-0000-0000C24C0000}"/>
    <cellStyle name="40% - Accent3 4 7 2 3 2" xfId="49567" xr:uid="{00000000-0005-0000-0000-0000C34C0000}"/>
    <cellStyle name="40% - Accent3 4 7 2 4" xfId="35068" xr:uid="{00000000-0005-0000-0000-0000C44C0000}"/>
    <cellStyle name="40% - Accent3 4 7 3" xfId="10171" xr:uid="{00000000-0005-0000-0000-0000C54C0000}"/>
    <cellStyle name="40% - Accent3 4 7 3 2" xfId="24705" xr:uid="{00000000-0005-0000-0000-0000C64C0000}"/>
    <cellStyle name="40% - Accent3 4 7 3 2 2" xfId="53711" xr:uid="{00000000-0005-0000-0000-0000C74C0000}"/>
    <cellStyle name="40% - Accent3 4 7 3 3" xfId="39212" xr:uid="{00000000-0005-0000-0000-0000C84C0000}"/>
    <cellStyle name="40% - Accent3 4 7 4" xfId="17457" xr:uid="{00000000-0005-0000-0000-0000C94C0000}"/>
    <cellStyle name="40% - Accent3 4 7 4 2" xfId="46463" xr:uid="{00000000-0005-0000-0000-0000CA4C0000}"/>
    <cellStyle name="40% - Accent3 4 7 5" xfId="31964" xr:uid="{00000000-0005-0000-0000-0000CB4C0000}"/>
    <cellStyle name="40% - Accent3 4 8" xfId="3931" xr:uid="{00000000-0005-0000-0000-0000CC4C0000}"/>
    <cellStyle name="40% - Accent3 4 8 2" xfId="11203" xr:uid="{00000000-0005-0000-0000-0000CD4C0000}"/>
    <cellStyle name="40% - Accent3 4 8 2 2" xfId="25737" xr:uid="{00000000-0005-0000-0000-0000CE4C0000}"/>
    <cellStyle name="40% - Accent3 4 8 2 2 2" xfId="54743" xr:uid="{00000000-0005-0000-0000-0000CF4C0000}"/>
    <cellStyle name="40% - Accent3 4 8 2 3" xfId="40244" xr:uid="{00000000-0005-0000-0000-0000D04C0000}"/>
    <cellStyle name="40% - Accent3 4 8 3" xfId="18489" xr:uid="{00000000-0005-0000-0000-0000D14C0000}"/>
    <cellStyle name="40% - Accent3 4 8 3 2" xfId="47495" xr:uid="{00000000-0005-0000-0000-0000D24C0000}"/>
    <cellStyle name="40% - Accent3 4 8 4" xfId="32996" xr:uid="{00000000-0005-0000-0000-0000D34C0000}"/>
    <cellStyle name="40% - Accent3 4 9" xfId="7035" xr:uid="{00000000-0005-0000-0000-0000D44C0000}"/>
    <cellStyle name="40% - Accent3 4 9 2" xfId="14307" xr:uid="{00000000-0005-0000-0000-0000D54C0000}"/>
    <cellStyle name="40% - Accent3 4 9 2 2" xfId="28841" xr:uid="{00000000-0005-0000-0000-0000D64C0000}"/>
    <cellStyle name="40% - Accent3 4 9 2 2 2" xfId="57847" xr:uid="{00000000-0005-0000-0000-0000D74C0000}"/>
    <cellStyle name="40% - Accent3 4 9 2 3" xfId="43348" xr:uid="{00000000-0005-0000-0000-0000D84C0000}"/>
    <cellStyle name="40% - Accent3 4 9 3" xfId="21593" xr:uid="{00000000-0005-0000-0000-0000D94C0000}"/>
    <cellStyle name="40% - Accent3 4 9 3 2" xfId="50599" xr:uid="{00000000-0005-0000-0000-0000DA4C0000}"/>
    <cellStyle name="40% - Accent3 4 9 4" xfId="36100" xr:uid="{00000000-0005-0000-0000-0000DB4C0000}"/>
    <cellStyle name="40% - Accent3 5" xfId="908" xr:uid="{00000000-0005-0000-0000-0000DC4C0000}"/>
    <cellStyle name="40% - Accent3 5 10" xfId="29943" xr:uid="{00000000-0005-0000-0000-0000DD4C0000}"/>
    <cellStyle name="40% - Accent3 5 2" xfId="1176" xr:uid="{00000000-0005-0000-0000-0000DE4C0000}"/>
    <cellStyle name="40% - Accent3 5 2 2" xfId="1677" xr:uid="{00000000-0005-0000-0000-0000DF4C0000}"/>
    <cellStyle name="40% - Accent3 5 2 2 2" xfId="2736" xr:uid="{00000000-0005-0000-0000-0000E04C0000}"/>
    <cellStyle name="40% - Accent3 5 2 2 2 2" xfId="5840" xr:uid="{00000000-0005-0000-0000-0000E14C0000}"/>
    <cellStyle name="40% - Accent3 5 2 2 2 2 2" xfId="13112" xr:uid="{00000000-0005-0000-0000-0000E24C0000}"/>
    <cellStyle name="40% - Accent3 5 2 2 2 2 2 2" xfId="27646" xr:uid="{00000000-0005-0000-0000-0000E34C0000}"/>
    <cellStyle name="40% - Accent3 5 2 2 2 2 2 2 2" xfId="56652" xr:uid="{00000000-0005-0000-0000-0000E44C0000}"/>
    <cellStyle name="40% - Accent3 5 2 2 2 2 2 3" xfId="42153" xr:uid="{00000000-0005-0000-0000-0000E54C0000}"/>
    <cellStyle name="40% - Accent3 5 2 2 2 2 3" xfId="20398" xr:uid="{00000000-0005-0000-0000-0000E64C0000}"/>
    <cellStyle name="40% - Accent3 5 2 2 2 2 3 2" xfId="49404" xr:uid="{00000000-0005-0000-0000-0000E74C0000}"/>
    <cellStyle name="40% - Accent3 5 2 2 2 2 4" xfId="34905" xr:uid="{00000000-0005-0000-0000-0000E84C0000}"/>
    <cellStyle name="40% - Accent3 5 2 2 2 3" xfId="10008" xr:uid="{00000000-0005-0000-0000-0000E94C0000}"/>
    <cellStyle name="40% - Accent3 5 2 2 2 3 2" xfId="24542" xr:uid="{00000000-0005-0000-0000-0000EA4C0000}"/>
    <cellStyle name="40% - Accent3 5 2 2 2 3 2 2" xfId="53548" xr:uid="{00000000-0005-0000-0000-0000EB4C0000}"/>
    <cellStyle name="40% - Accent3 5 2 2 2 3 3" xfId="39049" xr:uid="{00000000-0005-0000-0000-0000EC4C0000}"/>
    <cellStyle name="40% - Accent3 5 2 2 2 4" xfId="17294" xr:uid="{00000000-0005-0000-0000-0000ED4C0000}"/>
    <cellStyle name="40% - Accent3 5 2 2 2 4 2" xfId="46300" xr:uid="{00000000-0005-0000-0000-0000EE4C0000}"/>
    <cellStyle name="40% - Accent3 5 2 2 2 5" xfId="31801" xr:uid="{00000000-0005-0000-0000-0000EF4C0000}"/>
    <cellStyle name="40% - Accent3 5 2 2 3" xfId="3768" xr:uid="{00000000-0005-0000-0000-0000F04C0000}"/>
    <cellStyle name="40% - Accent3 5 2 2 3 2" xfId="6872" xr:uid="{00000000-0005-0000-0000-0000F14C0000}"/>
    <cellStyle name="40% - Accent3 5 2 2 3 2 2" xfId="14144" xr:uid="{00000000-0005-0000-0000-0000F24C0000}"/>
    <cellStyle name="40% - Accent3 5 2 2 3 2 2 2" xfId="28678" xr:uid="{00000000-0005-0000-0000-0000F34C0000}"/>
    <cellStyle name="40% - Accent3 5 2 2 3 2 2 2 2" xfId="57684" xr:uid="{00000000-0005-0000-0000-0000F44C0000}"/>
    <cellStyle name="40% - Accent3 5 2 2 3 2 2 3" xfId="43185" xr:uid="{00000000-0005-0000-0000-0000F54C0000}"/>
    <cellStyle name="40% - Accent3 5 2 2 3 2 3" xfId="21430" xr:uid="{00000000-0005-0000-0000-0000F64C0000}"/>
    <cellStyle name="40% - Accent3 5 2 2 3 2 3 2" xfId="50436" xr:uid="{00000000-0005-0000-0000-0000F74C0000}"/>
    <cellStyle name="40% - Accent3 5 2 2 3 2 4" xfId="35937" xr:uid="{00000000-0005-0000-0000-0000F84C0000}"/>
    <cellStyle name="40% - Accent3 5 2 2 3 3" xfId="11040" xr:uid="{00000000-0005-0000-0000-0000F94C0000}"/>
    <cellStyle name="40% - Accent3 5 2 2 3 3 2" xfId="25574" xr:uid="{00000000-0005-0000-0000-0000FA4C0000}"/>
    <cellStyle name="40% - Accent3 5 2 2 3 3 2 2" xfId="54580" xr:uid="{00000000-0005-0000-0000-0000FB4C0000}"/>
    <cellStyle name="40% - Accent3 5 2 2 3 3 3" xfId="40081" xr:uid="{00000000-0005-0000-0000-0000FC4C0000}"/>
    <cellStyle name="40% - Accent3 5 2 2 3 4" xfId="18326" xr:uid="{00000000-0005-0000-0000-0000FD4C0000}"/>
    <cellStyle name="40% - Accent3 5 2 2 3 4 2" xfId="47332" xr:uid="{00000000-0005-0000-0000-0000FE4C0000}"/>
    <cellStyle name="40% - Accent3 5 2 2 3 5" xfId="32833" xr:uid="{00000000-0005-0000-0000-0000FF4C0000}"/>
    <cellStyle name="40% - Accent3 5 2 2 4" xfId="4800" xr:uid="{00000000-0005-0000-0000-0000004D0000}"/>
    <cellStyle name="40% - Accent3 5 2 2 4 2" xfId="12072" xr:uid="{00000000-0005-0000-0000-0000014D0000}"/>
    <cellStyle name="40% - Accent3 5 2 2 4 2 2" xfId="26606" xr:uid="{00000000-0005-0000-0000-0000024D0000}"/>
    <cellStyle name="40% - Accent3 5 2 2 4 2 2 2" xfId="55612" xr:uid="{00000000-0005-0000-0000-0000034D0000}"/>
    <cellStyle name="40% - Accent3 5 2 2 4 2 3" xfId="41113" xr:uid="{00000000-0005-0000-0000-0000044D0000}"/>
    <cellStyle name="40% - Accent3 5 2 2 4 3" xfId="19358" xr:uid="{00000000-0005-0000-0000-0000054D0000}"/>
    <cellStyle name="40% - Accent3 5 2 2 4 3 2" xfId="48364" xr:uid="{00000000-0005-0000-0000-0000064D0000}"/>
    <cellStyle name="40% - Accent3 5 2 2 4 4" xfId="33865" xr:uid="{00000000-0005-0000-0000-0000074D0000}"/>
    <cellStyle name="40% - Accent3 5 2 2 5" xfId="7904" xr:uid="{00000000-0005-0000-0000-0000084D0000}"/>
    <cellStyle name="40% - Accent3 5 2 2 5 2" xfId="15176" xr:uid="{00000000-0005-0000-0000-0000094D0000}"/>
    <cellStyle name="40% - Accent3 5 2 2 5 2 2" xfId="29710" xr:uid="{00000000-0005-0000-0000-00000A4D0000}"/>
    <cellStyle name="40% - Accent3 5 2 2 5 2 2 2" xfId="58716" xr:uid="{00000000-0005-0000-0000-00000B4D0000}"/>
    <cellStyle name="40% - Accent3 5 2 2 5 2 3" xfId="44217" xr:uid="{00000000-0005-0000-0000-00000C4D0000}"/>
    <cellStyle name="40% - Accent3 5 2 2 5 3" xfId="22462" xr:uid="{00000000-0005-0000-0000-00000D4D0000}"/>
    <cellStyle name="40% - Accent3 5 2 2 5 3 2" xfId="51468" xr:uid="{00000000-0005-0000-0000-00000E4D0000}"/>
    <cellStyle name="40% - Accent3 5 2 2 5 4" xfId="36969" xr:uid="{00000000-0005-0000-0000-00000F4D0000}"/>
    <cellStyle name="40% - Accent3 5 2 2 6" xfId="8968" xr:uid="{00000000-0005-0000-0000-0000104D0000}"/>
    <cellStyle name="40% - Accent3 5 2 2 6 2" xfId="23502" xr:uid="{00000000-0005-0000-0000-0000114D0000}"/>
    <cellStyle name="40% - Accent3 5 2 2 6 2 2" xfId="52508" xr:uid="{00000000-0005-0000-0000-0000124D0000}"/>
    <cellStyle name="40% - Accent3 5 2 2 6 3" xfId="38009" xr:uid="{00000000-0005-0000-0000-0000134D0000}"/>
    <cellStyle name="40% - Accent3 5 2 2 7" xfId="16254" xr:uid="{00000000-0005-0000-0000-0000144D0000}"/>
    <cellStyle name="40% - Accent3 5 2 2 7 2" xfId="45260" xr:uid="{00000000-0005-0000-0000-0000154D0000}"/>
    <cellStyle name="40% - Accent3 5 2 2 8" xfId="30761" xr:uid="{00000000-0005-0000-0000-0000164D0000}"/>
    <cellStyle name="40% - Accent3 5 2 3" xfId="2224" xr:uid="{00000000-0005-0000-0000-0000174D0000}"/>
    <cellStyle name="40% - Accent3 5 2 3 2" xfId="5328" xr:uid="{00000000-0005-0000-0000-0000184D0000}"/>
    <cellStyle name="40% - Accent3 5 2 3 2 2" xfId="12600" xr:uid="{00000000-0005-0000-0000-0000194D0000}"/>
    <cellStyle name="40% - Accent3 5 2 3 2 2 2" xfId="27134" xr:uid="{00000000-0005-0000-0000-00001A4D0000}"/>
    <cellStyle name="40% - Accent3 5 2 3 2 2 2 2" xfId="56140" xr:uid="{00000000-0005-0000-0000-00001B4D0000}"/>
    <cellStyle name="40% - Accent3 5 2 3 2 2 3" xfId="41641" xr:uid="{00000000-0005-0000-0000-00001C4D0000}"/>
    <cellStyle name="40% - Accent3 5 2 3 2 3" xfId="19886" xr:uid="{00000000-0005-0000-0000-00001D4D0000}"/>
    <cellStyle name="40% - Accent3 5 2 3 2 3 2" xfId="48892" xr:uid="{00000000-0005-0000-0000-00001E4D0000}"/>
    <cellStyle name="40% - Accent3 5 2 3 2 4" xfId="34393" xr:uid="{00000000-0005-0000-0000-00001F4D0000}"/>
    <cellStyle name="40% - Accent3 5 2 3 3" xfId="9496" xr:uid="{00000000-0005-0000-0000-0000204D0000}"/>
    <cellStyle name="40% - Accent3 5 2 3 3 2" xfId="24030" xr:uid="{00000000-0005-0000-0000-0000214D0000}"/>
    <cellStyle name="40% - Accent3 5 2 3 3 2 2" xfId="53036" xr:uid="{00000000-0005-0000-0000-0000224D0000}"/>
    <cellStyle name="40% - Accent3 5 2 3 3 3" xfId="38537" xr:uid="{00000000-0005-0000-0000-0000234D0000}"/>
    <cellStyle name="40% - Accent3 5 2 3 4" xfId="16782" xr:uid="{00000000-0005-0000-0000-0000244D0000}"/>
    <cellStyle name="40% - Accent3 5 2 3 4 2" xfId="45788" xr:uid="{00000000-0005-0000-0000-0000254D0000}"/>
    <cellStyle name="40% - Accent3 5 2 3 5" xfId="31289" xr:uid="{00000000-0005-0000-0000-0000264D0000}"/>
    <cellStyle name="40% - Accent3 5 2 4" xfId="3256" xr:uid="{00000000-0005-0000-0000-0000274D0000}"/>
    <cellStyle name="40% - Accent3 5 2 4 2" xfId="6360" xr:uid="{00000000-0005-0000-0000-0000284D0000}"/>
    <cellStyle name="40% - Accent3 5 2 4 2 2" xfId="13632" xr:uid="{00000000-0005-0000-0000-0000294D0000}"/>
    <cellStyle name="40% - Accent3 5 2 4 2 2 2" xfId="28166" xr:uid="{00000000-0005-0000-0000-00002A4D0000}"/>
    <cellStyle name="40% - Accent3 5 2 4 2 2 2 2" xfId="57172" xr:uid="{00000000-0005-0000-0000-00002B4D0000}"/>
    <cellStyle name="40% - Accent3 5 2 4 2 2 3" xfId="42673" xr:uid="{00000000-0005-0000-0000-00002C4D0000}"/>
    <cellStyle name="40% - Accent3 5 2 4 2 3" xfId="20918" xr:uid="{00000000-0005-0000-0000-00002D4D0000}"/>
    <cellStyle name="40% - Accent3 5 2 4 2 3 2" xfId="49924" xr:uid="{00000000-0005-0000-0000-00002E4D0000}"/>
    <cellStyle name="40% - Accent3 5 2 4 2 4" xfId="35425" xr:uid="{00000000-0005-0000-0000-00002F4D0000}"/>
    <cellStyle name="40% - Accent3 5 2 4 3" xfId="10528" xr:uid="{00000000-0005-0000-0000-0000304D0000}"/>
    <cellStyle name="40% - Accent3 5 2 4 3 2" xfId="25062" xr:uid="{00000000-0005-0000-0000-0000314D0000}"/>
    <cellStyle name="40% - Accent3 5 2 4 3 2 2" xfId="54068" xr:uid="{00000000-0005-0000-0000-0000324D0000}"/>
    <cellStyle name="40% - Accent3 5 2 4 3 3" xfId="39569" xr:uid="{00000000-0005-0000-0000-0000334D0000}"/>
    <cellStyle name="40% - Accent3 5 2 4 4" xfId="17814" xr:uid="{00000000-0005-0000-0000-0000344D0000}"/>
    <cellStyle name="40% - Accent3 5 2 4 4 2" xfId="46820" xr:uid="{00000000-0005-0000-0000-0000354D0000}"/>
    <cellStyle name="40% - Accent3 5 2 4 5" xfId="32321" xr:uid="{00000000-0005-0000-0000-0000364D0000}"/>
    <cellStyle name="40% - Accent3 5 2 5" xfId="4288" xr:uid="{00000000-0005-0000-0000-0000374D0000}"/>
    <cellStyle name="40% - Accent3 5 2 5 2" xfId="11560" xr:uid="{00000000-0005-0000-0000-0000384D0000}"/>
    <cellStyle name="40% - Accent3 5 2 5 2 2" xfId="26094" xr:uid="{00000000-0005-0000-0000-0000394D0000}"/>
    <cellStyle name="40% - Accent3 5 2 5 2 2 2" xfId="55100" xr:uid="{00000000-0005-0000-0000-00003A4D0000}"/>
    <cellStyle name="40% - Accent3 5 2 5 2 3" xfId="40601" xr:uid="{00000000-0005-0000-0000-00003B4D0000}"/>
    <cellStyle name="40% - Accent3 5 2 5 3" xfId="18846" xr:uid="{00000000-0005-0000-0000-00003C4D0000}"/>
    <cellStyle name="40% - Accent3 5 2 5 3 2" xfId="47852" xr:uid="{00000000-0005-0000-0000-00003D4D0000}"/>
    <cellStyle name="40% - Accent3 5 2 5 4" xfId="33353" xr:uid="{00000000-0005-0000-0000-00003E4D0000}"/>
    <cellStyle name="40% - Accent3 5 2 6" xfId="7392" xr:uid="{00000000-0005-0000-0000-00003F4D0000}"/>
    <cellStyle name="40% - Accent3 5 2 6 2" xfId="14664" xr:uid="{00000000-0005-0000-0000-0000404D0000}"/>
    <cellStyle name="40% - Accent3 5 2 6 2 2" xfId="29198" xr:uid="{00000000-0005-0000-0000-0000414D0000}"/>
    <cellStyle name="40% - Accent3 5 2 6 2 2 2" xfId="58204" xr:uid="{00000000-0005-0000-0000-0000424D0000}"/>
    <cellStyle name="40% - Accent3 5 2 6 2 3" xfId="43705" xr:uid="{00000000-0005-0000-0000-0000434D0000}"/>
    <cellStyle name="40% - Accent3 5 2 6 3" xfId="21950" xr:uid="{00000000-0005-0000-0000-0000444D0000}"/>
    <cellStyle name="40% - Accent3 5 2 6 3 2" xfId="50956" xr:uid="{00000000-0005-0000-0000-0000454D0000}"/>
    <cellStyle name="40% - Accent3 5 2 6 4" xfId="36457" xr:uid="{00000000-0005-0000-0000-0000464D0000}"/>
    <cellStyle name="40% - Accent3 5 2 7" xfId="8456" xr:uid="{00000000-0005-0000-0000-0000474D0000}"/>
    <cellStyle name="40% - Accent3 5 2 7 2" xfId="22990" xr:uid="{00000000-0005-0000-0000-0000484D0000}"/>
    <cellStyle name="40% - Accent3 5 2 7 2 2" xfId="51996" xr:uid="{00000000-0005-0000-0000-0000494D0000}"/>
    <cellStyle name="40% - Accent3 5 2 7 3" xfId="37497" xr:uid="{00000000-0005-0000-0000-00004A4D0000}"/>
    <cellStyle name="40% - Accent3 5 2 8" xfId="15742" xr:uid="{00000000-0005-0000-0000-00004B4D0000}"/>
    <cellStyle name="40% - Accent3 5 2 8 2" xfId="44748" xr:uid="{00000000-0005-0000-0000-00004C4D0000}"/>
    <cellStyle name="40% - Accent3 5 2 9" xfId="30249" xr:uid="{00000000-0005-0000-0000-00004D4D0000}"/>
    <cellStyle name="40% - Accent3 5 3" xfId="1373" xr:uid="{00000000-0005-0000-0000-00004E4D0000}"/>
    <cellStyle name="40% - Accent3 5 3 2" xfId="2430" xr:uid="{00000000-0005-0000-0000-00004F4D0000}"/>
    <cellStyle name="40% - Accent3 5 3 2 2" xfId="5534" xr:uid="{00000000-0005-0000-0000-0000504D0000}"/>
    <cellStyle name="40% - Accent3 5 3 2 2 2" xfId="12806" xr:uid="{00000000-0005-0000-0000-0000514D0000}"/>
    <cellStyle name="40% - Accent3 5 3 2 2 2 2" xfId="27340" xr:uid="{00000000-0005-0000-0000-0000524D0000}"/>
    <cellStyle name="40% - Accent3 5 3 2 2 2 2 2" xfId="56346" xr:uid="{00000000-0005-0000-0000-0000534D0000}"/>
    <cellStyle name="40% - Accent3 5 3 2 2 2 3" xfId="41847" xr:uid="{00000000-0005-0000-0000-0000544D0000}"/>
    <cellStyle name="40% - Accent3 5 3 2 2 3" xfId="20092" xr:uid="{00000000-0005-0000-0000-0000554D0000}"/>
    <cellStyle name="40% - Accent3 5 3 2 2 3 2" xfId="49098" xr:uid="{00000000-0005-0000-0000-0000564D0000}"/>
    <cellStyle name="40% - Accent3 5 3 2 2 4" xfId="34599" xr:uid="{00000000-0005-0000-0000-0000574D0000}"/>
    <cellStyle name="40% - Accent3 5 3 2 3" xfId="9702" xr:uid="{00000000-0005-0000-0000-0000584D0000}"/>
    <cellStyle name="40% - Accent3 5 3 2 3 2" xfId="24236" xr:uid="{00000000-0005-0000-0000-0000594D0000}"/>
    <cellStyle name="40% - Accent3 5 3 2 3 2 2" xfId="53242" xr:uid="{00000000-0005-0000-0000-00005A4D0000}"/>
    <cellStyle name="40% - Accent3 5 3 2 3 3" xfId="38743" xr:uid="{00000000-0005-0000-0000-00005B4D0000}"/>
    <cellStyle name="40% - Accent3 5 3 2 4" xfId="16988" xr:uid="{00000000-0005-0000-0000-00005C4D0000}"/>
    <cellStyle name="40% - Accent3 5 3 2 4 2" xfId="45994" xr:uid="{00000000-0005-0000-0000-00005D4D0000}"/>
    <cellStyle name="40% - Accent3 5 3 2 5" xfId="31495" xr:uid="{00000000-0005-0000-0000-00005E4D0000}"/>
    <cellStyle name="40% - Accent3 5 3 3" xfId="3462" xr:uid="{00000000-0005-0000-0000-00005F4D0000}"/>
    <cellStyle name="40% - Accent3 5 3 3 2" xfId="6566" xr:uid="{00000000-0005-0000-0000-0000604D0000}"/>
    <cellStyle name="40% - Accent3 5 3 3 2 2" xfId="13838" xr:uid="{00000000-0005-0000-0000-0000614D0000}"/>
    <cellStyle name="40% - Accent3 5 3 3 2 2 2" xfId="28372" xr:uid="{00000000-0005-0000-0000-0000624D0000}"/>
    <cellStyle name="40% - Accent3 5 3 3 2 2 2 2" xfId="57378" xr:uid="{00000000-0005-0000-0000-0000634D0000}"/>
    <cellStyle name="40% - Accent3 5 3 3 2 2 3" xfId="42879" xr:uid="{00000000-0005-0000-0000-0000644D0000}"/>
    <cellStyle name="40% - Accent3 5 3 3 2 3" xfId="21124" xr:uid="{00000000-0005-0000-0000-0000654D0000}"/>
    <cellStyle name="40% - Accent3 5 3 3 2 3 2" xfId="50130" xr:uid="{00000000-0005-0000-0000-0000664D0000}"/>
    <cellStyle name="40% - Accent3 5 3 3 2 4" xfId="35631" xr:uid="{00000000-0005-0000-0000-0000674D0000}"/>
    <cellStyle name="40% - Accent3 5 3 3 3" xfId="10734" xr:uid="{00000000-0005-0000-0000-0000684D0000}"/>
    <cellStyle name="40% - Accent3 5 3 3 3 2" xfId="25268" xr:uid="{00000000-0005-0000-0000-0000694D0000}"/>
    <cellStyle name="40% - Accent3 5 3 3 3 2 2" xfId="54274" xr:uid="{00000000-0005-0000-0000-00006A4D0000}"/>
    <cellStyle name="40% - Accent3 5 3 3 3 3" xfId="39775" xr:uid="{00000000-0005-0000-0000-00006B4D0000}"/>
    <cellStyle name="40% - Accent3 5 3 3 4" xfId="18020" xr:uid="{00000000-0005-0000-0000-00006C4D0000}"/>
    <cellStyle name="40% - Accent3 5 3 3 4 2" xfId="47026" xr:uid="{00000000-0005-0000-0000-00006D4D0000}"/>
    <cellStyle name="40% - Accent3 5 3 3 5" xfId="32527" xr:uid="{00000000-0005-0000-0000-00006E4D0000}"/>
    <cellStyle name="40% - Accent3 5 3 4" xfId="4494" xr:uid="{00000000-0005-0000-0000-00006F4D0000}"/>
    <cellStyle name="40% - Accent3 5 3 4 2" xfId="11766" xr:uid="{00000000-0005-0000-0000-0000704D0000}"/>
    <cellStyle name="40% - Accent3 5 3 4 2 2" xfId="26300" xr:uid="{00000000-0005-0000-0000-0000714D0000}"/>
    <cellStyle name="40% - Accent3 5 3 4 2 2 2" xfId="55306" xr:uid="{00000000-0005-0000-0000-0000724D0000}"/>
    <cellStyle name="40% - Accent3 5 3 4 2 3" xfId="40807" xr:uid="{00000000-0005-0000-0000-0000734D0000}"/>
    <cellStyle name="40% - Accent3 5 3 4 3" xfId="19052" xr:uid="{00000000-0005-0000-0000-0000744D0000}"/>
    <cellStyle name="40% - Accent3 5 3 4 3 2" xfId="48058" xr:uid="{00000000-0005-0000-0000-0000754D0000}"/>
    <cellStyle name="40% - Accent3 5 3 4 4" xfId="33559" xr:uid="{00000000-0005-0000-0000-0000764D0000}"/>
    <cellStyle name="40% - Accent3 5 3 5" xfId="7598" xr:uid="{00000000-0005-0000-0000-0000774D0000}"/>
    <cellStyle name="40% - Accent3 5 3 5 2" xfId="14870" xr:uid="{00000000-0005-0000-0000-0000784D0000}"/>
    <cellStyle name="40% - Accent3 5 3 5 2 2" xfId="29404" xr:uid="{00000000-0005-0000-0000-0000794D0000}"/>
    <cellStyle name="40% - Accent3 5 3 5 2 2 2" xfId="58410" xr:uid="{00000000-0005-0000-0000-00007A4D0000}"/>
    <cellStyle name="40% - Accent3 5 3 5 2 3" xfId="43911" xr:uid="{00000000-0005-0000-0000-00007B4D0000}"/>
    <cellStyle name="40% - Accent3 5 3 5 3" xfId="22156" xr:uid="{00000000-0005-0000-0000-00007C4D0000}"/>
    <cellStyle name="40% - Accent3 5 3 5 3 2" xfId="51162" xr:uid="{00000000-0005-0000-0000-00007D4D0000}"/>
    <cellStyle name="40% - Accent3 5 3 5 4" xfId="36663" xr:uid="{00000000-0005-0000-0000-00007E4D0000}"/>
    <cellStyle name="40% - Accent3 5 3 6" xfId="8662" xr:uid="{00000000-0005-0000-0000-00007F4D0000}"/>
    <cellStyle name="40% - Accent3 5 3 6 2" xfId="23196" xr:uid="{00000000-0005-0000-0000-0000804D0000}"/>
    <cellStyle name="40% - Accent3 5 3 6 2 2" xfId="52202" xr:uid="{00000000-0005-0000-0000-0000814D0000}"/>
    <cellStyle name="40% - Accent3 5 3 6 3" xfId="37703" xr:uid="{00000000-0005-0000-0000-0000824D0000}"/>
    <cellStyle name="40% - Accent3 5 3 7" xfId="15948" xr:uid="{00000000-0005-0000-0000-0000834D0000}"/>
    <cellStyle name="40% - Accent3 5 3 7 2" xfId="44954" xr:uid="{00000000-0005-0000-0000-0000844D0000}"/>
    <cellStyle name="40% - Accent3 5 3 8" xfId="30455" xr:uid="{00000000-0005-0000-0000-0000854D0000}"/>
    <cellStyle name="40% - Accent3 5 4" xfId="1918" xr:uid="{00000000-0005-0000-0000-0000864D0000}"/>
    <cellStyle name="40% - Accent3 5 4 2" xfId="5022" xr:uid="{00000000-0005-0000-0000-0000874D0000}"/>
    <cellStyle name="40% - Accent3 5 4 2 2" xfId="12294" xr:uid="{00000000-0005-0000-0000-0000884D0000}"/>
    <cellStyle name="40% - Accent3 5 4 2 2 2" xfId="26828" xr:uid="{00000000-0005-0000-0000-0000894D0000}"/>
    <cellStyle name="40% - Accent3 5 4 2 2 2 2" xfId="55834" xr:uid="{00000000-0005-0000-0000-00008A4D0000}"/>
    <cellStyle name="40% - Accent3 5 4 2 2 3" xfId="41335" xr:uid="{00000000-0005-0000-0000-00008B4D0000}"/>
    <cellStyle name="40% - Accent3 5 4 2 3" xfId="19580" xr:uid="{00000000-0005-0000-0000-00008C4D0000}"/>
    <cellStyle name="40% - Accent3 5 4 2 3 2" xfId="48586" xr:uid="{00000000-0005-0000-0000-00008D4D0000}"/>
    <cellStyle name="40% - Accent3 5 4 2 4" xfId="34087" xr:uid="{00000000-0005-0000-0000-00008E4D0000}"/>
    <cellStyle name="40% - Accent3 5 4 3" xfId="9190" xr:uid="{00000000-0005-0000-0000-00008F4D0000}"/>
    <cellStyle name="40% - Accent3 5 4 3 2" xfId="23724" xr:uid="{00000000-0005-0000-0000-0000904D0000}"/>
    <cellStyle name="40% - Accent3 5 4 3 2 2" xfId="52730" xr:uid="{00000000-0005-0000-0000-0000914D0000}"/>
    <cellStyle name="40% - Accent3 5 4 3 3" xfId="38231" xr:uid="{00000000-0005-0000-0000-0000924D0000}"/>
    <cellStyle name="40% - Accent3 5 4 4" xfId="16476" xr:uid="{00000000-0005-0000-0000-0000934D0000}"/>
    <cellStyle name="40% - Accent3 5 4 4 2" xfId="45482" xr:uid="{00000000-0005-0000-0000-0000944D0000}"/>
    <cellStyle name="40% - Accent3 5 4 5" xfId="30983" xr:uid="{00000000-0005-0000-0000-0000954D0000}"/>
    <cellStyle name="40% - Accent3 5 5" xfId="2950" xr:uid="{00000000-0005-0000-0000-0000964D0000}"/>
    <cellStyle name="40% - Accent3 5 5 2" xfId="6054" xr:uid="{00000000-0005-0000-0000-0000974D0000}"/>
    <cellStyle name="40% - Accent3 5 5 2 2" xfId="13326" xr:uid="{00000000-0005-0000-0000-0000984D0000}"/>
    <cellStyle name="40% - Accent3 5 5 2 2 2" xfId="27860" xr:uid="{00000000-0005-0000-0000-0000994D0000}"/>
    <cellStyle name="40% - Accent3 5 5 2 2 2 2" xfId="56866" xr:uid="{00000000-0005-0000-0000-00009A4D0000}"/>
    <cellStyle name="40% - Accent3 5 5 2 2 3" xfId="42367" xr:uid="{00000000-0005-0000-0000-00009B4D0000}"/>
    <cellStyle name="40% - Accent3 5 5 2 3" xfId="20612" xr:uid="{00000000-0005-0000-0000-00009C4D0000}"/>
    <cellStyle name="40% - Accent3 5 5 2 3 2" xfId="49618" xr:uid="{00000000-0005-0000-0000-00009D4D0000}"/>
    <cellStyle name="40% - Accent3 5 5 2 4" xfId="35119" xr:uid="{00000000-0005-0000-0000-00009E4D0000}"/>
    <cellStyle name="40% - Accent3 5 5 3" xfId="10222" xr:uid="{00000000-0005-0000-0000-00009F4D0000}"/>
    <cellStyle name="40% - Accent3 5 5 3 2" xfId="24756" xr:uid="{00000000-0005-0000-0000-0000A04D0000}"/>
    <cellStyle name="40% - Accent3 5 5 3 2 2" xfId="53762" xr:uid="{00000000-0005-0000-0000-0000A14D0000}"/>
    <cellStyle name="40% - Accent3 5 5 3 3" xfId="39263" xr:uid="{00000000-0005-0000-0000-0000A24D0000}"/>
    <cellStyle name="40% - Accent3 5 5 4" xfId="17508" xr:uid="{00000000-0005-0000-0000-0000A34D0000}"/>
    <cellStyle name="40% - Accent3 5 5 4 2" xfId="46514" xr:uid="{00000000-0005-0000-0000-0000A44D0000}"/>
    <cellStyle name="40% - Accent3 5 5 5" xfId="32015" xr:uid="{00000000-0005-0000-0000-0000A54D0000}"/>
    <cellStyle name="40% - Accent3 5 6" xfId="3982" xr:uid="{00000000-0005-0000-0000-0000A64D0000}"/>
    <cellStyle name="40% - Accent3 5 6 2" xfId="11254" xr:uid="{00000000-0005-0000-0000-0000A74D0000}"/>
    <cellStyle name="40% - Accent3 5 6 2 2" xfId="25788" xr:uid="{00000000-0005-0000-0000-0000A84D0000}"/>
    <cellStyle name="40% - Accent3 5 6 2 2 2" xfId="54794" xr:uid="{00000000-0005-0000-0000-0000A94D0000}"/>
    <cellStyle name="40% - Accent3 5 6 2 3" xfId="40295" xr:uid="{00000000-0005-0000-0000-0000AA4D0000}"/>
    <cellStyle name="40% - Accent3 5 6 3" xfId="18540" xr:uid="{00000000-0005-0000-0000-0000AB4D0000}"/>
    <cellStyle name="40% - Accent3 5 6 3 2" xfId="47546" xr:uid="{00000000-0005-0000-0000-0000AC4D0000}"/>
    <cellStyle name="40% - Accent3 5 6 4" xfId="33047" xr:uid="{00000000-0005-0000-0000-0000AD4D0000}"/>
    <cellStyle name="40% - Accent3 5 7" xfId="7086" xr:uid="{00000000-0005-0000-0000-0000AE4D0000}"/>
    <cellStyle name="40% - Accent3 5 7 2" xfId="14358" xr:uid="{00000000-0005-0000-0000-0000AF4D0000}"/>
    <cellStyle name="40% - Accent3 5 7 2 2" xfId="28892" xr:uid="{00000000-0005-0000-0000-0000B04D0000}"/>
    <cellStyle name="40% - Accent3 5 7 2 2 2" xfId="57898" xr:uid="{00000000-0005-0000-0000-0000B14D0000}"/>
    <cellStyle name="40% - Accent3 5 7 2 3" xfId="43399" xr:uid="{00000000-0005-0000-0000-0000B24D0000}"/>
    <cellStyle name="40% - Accent3 5 7 3" xfId="21644" xr:uid="{00000000-0005-0000-0000-0000B34D0000}"/>
    <cellStyle name="40% - Accent3 5 7 3 2" xfId="50650" xr:uid="{00000000-0005-0000-0000-0000B44D0000}"/>
    <cellStyle name="40% - Accent3 5 7 4" xfId="36151" xr:uid="{00000000-0005-0000-0000-0000B54D0000}"/>
    <cellStyle name="40% - Accent3 5 8" xfId="8150" xr:uid="{00000000-0005-0000-0000-0000B64D0000}"/>
    <cellStyle name="40% - Accent3 5 8 2" xfId="22684" xr:uid="{00000000-0005-0000-0000-0000B74D0000}"/>
    <cellStyle name="40% - Accent3 5 8 2 2" xfId="51690" xr:uid="{00000000-0005-0000-0000-0000B84D0000}"/>
    <cellStyle name="40% - Accent3 5 8 3" xfId="37191" xr:uid="{00000000-0005-0000-0000-0000B94D0000}"/>
    <cellStyle name="40% - Accent3 5 9" xfId="15436" xr:uid="{00000000-0005-0000-0000-0000BA4D0000}"/>
    <cellStyle name="40% - Accent3 5 9 2" xfId="44442" xr:uid="{00000000-0005-0000-0000-0000BB4D0000}"/>
    <cellStyle name="40% - Accent3 6" xfId="1082" xr:uid="{00000000-0005-0000-0000-0000BC4D0000}"/>
    <cellStyle name="40% - Accent3 6 2" xfId="1574" xr:uid="{00000000-0005-0000-0000-0000BD4D0000}"/>
    <cellStyle name="40% - Accent3 6 2 2" xfId="2633" xr:uid="{00000000-0005-0000-0000-0000BE4D0000}"/>
    <cellStyle name="40% - Accent3 6 2 2 2" xfId="5737" xr:uid="{00000000-0005-0000-0000-0000BF4D0000}"/>
    <cellStyle name="40% - Accent3 6 2 2 2 2" xfId="13009" xr:uid="{00000000-0005-0000-0000-0000C04D0000}"/>
    <cellStyle name="40% - Accent3 6 2 2 2 2 2" xfId="27543" xr:uid="{00000000-0005-0000-0000-0000C14D0000}"/>
    <cellStyle name="40% - Accent3 6 2 2 2 2 2 2" xfId="56549" xr:uid="{00000000-0005-0000-0000-0000C24D0000}"/>
    <cellStyle name="40% - Accent3 6 2 2 2 2 3" xfId="42050" xr:uid="{00000000-0005-0000-0000-0000C34D0000}"/>
    <cellStyle name="40% - Accent3 6 2 2 2 3" xfId="20295" xr:uid="{00000000-0005-0000-0000-0000C44D0000}"/>
    <cellStyle name="40% - Accent3 6 2 2 2 3 2" xfId="49301" xr:uid="{00000000-0005-0000-0000-0000C54D0000}"/>
    <cellStyle name="40% - Accent3 6 2 2 2 4" xfId="34802" xr:uid="{00000000-0005-0000-0000-0000C64D0000}"/>
    <cellStyle name="40% - Accent3 6 2 2 3" xfId="9905" xr:uid="{00000000-0005-0000-0000-0000C74D0000}"/>
    <cellStyle name="40% - Accent3 6 2 2 3 2" xfId="24439" xr:uid="{00000000-0005-0000-0000-0000C84D0000}"/>
    <cellStyle name="40% - Accent3 6 2 2 3 2 2" xfId="53445" xr:uid="{00000000-0005-0000-0000-0000C94D0000}"/>
    <cellStyle name="40% - Accent3 6 2 2 3 3" xfId="38946" xr:uid="{00000000-0005-0000-0000-0000CA4D0000}"/>
    <cellStyle name="40% - Accent3 6 2 2 4" xfId="17191" xr:uid="{00000000-0005-0000-0000-0000CB4D0000}"/>
    <cellStyle name="40% - Accent3 6 2 2 4 2" xfId="46197" xr:uid="{00000000-0005-0000-0000-0000CC4D0000}"/>
    <cellStyle name="40% - Accent3 6 2 2 5" xfId="31698" xr:uid="{00000000-0005-0000-0000-0000CD4D0000}"/>
    <cellStyle name="40% - Accent3 6 2 3" xfId="3665" xr:uid="{00000000-0005-0000-0000-0000CE4D0000}"/>
    <cellStyle name="40% - Accent3 6 2 3 2" xfId="6769" xr:uid="{00000000-0005-0000-0000-0000CF4D0000}"/>
    <cellStyle name="40% - Accent3 6 2 3 2 2" xfId="14041" xr:uid="{00000000-0005-0000-0000-0000D04D0000}"/>
    <cellStyle name="40% - Accent3 6 2 3 2 2 2" xfId="28575" xr:uid="{00000000-0005-0000-0000-0000D14D0000}"/>
    <cellStyle name="40% - Accent3 6 2 3 2 2 2 2" xfId="57581" xr:uid="{00000000-0005-0000-0000-0000D24D0000}"/>
    <cellStyle name="40% - Accent3 6 2 3 2 2 3" xfId="43082" xr:uid="{00000000-0005-0000-0000-0000D34D0000}"/>
    <cellStyle name="40% - Accent3 6 2 3 2 3" xfId="21327" xr:uid="{00000000-0005-0000-0000-0000D44D0000}"/>
    <cellStyle name="40% - Accent3 6 2 3 2 3 2" xfId="50333" xr:uid="{00000000-0005-0000-0000-0000D54D0000}"/>
    <cellStyle name="40% - Accent3 6 2 3 2 4" xfId="35834" xr:uid="{00000000-0005-0000-0000-0000D64D0000}"/>
    <cellStyle name="40% - Accent3 6 2 3 3" xfId="10937" xr:uid="{00000000-0005-0000-0000-0000D74D0000}"/>
    <cellStyle name="40% - Accent3 6 2 3 3 2" xfId="25471" xr:uid="{00000000-0005-0000-0000-0000D84D0000}"/>
    <cellStyle name="40% - Accent3 6 2 3 3 2 2" xfId="54477" xr:uid="{00000000-0005-0000-0000-0000D94D0000}"/>
    <cellStyle name="40% - Accent3 6 2 3 3 3" xfId="39978" xr:uid="{00000000-0005-0000-0000-0000DA4D0000}"/>
    <cellStyle name="40% - Accent3 6 2 3 4" xfId="18223" xr:uid="{00000000-0005-0000-0000-0000DB4D0000}"/>
    <cellStyle name="40% - Accent3 6 2 3 4 2" xfId="47229" xr:uid="{00000000-0005-0000-0000-0000DC4D0000}"/>
    <cellStyle name="40% - Accent3 6 2 3 5" xfId="32730" xr:uid="{00000000-0005-0000-0000-0000DD4D0000}"/>
    <cellStyle name="40% - Accent3 6 2 4" xfId="4697" xr:uid="{00000000-0005-0000-0000-0000DE4D0000}"/>
    <cellStyle name="40% - Accent3 6 2 4 2" xfId="11969" xr:uid="{00000000-0005-0000-0000-0000DF4D0000}"/>
    <cellStyle name="40% - Accent3 6 2 4 2 2" xfId="26503" xr:uid="{00000000-0005-0000-0000-0000E04D0000}"/>
    <cellStyle name="40% - Accent3 6 2 4 2 2 2" xfId="55509" xr:uid="{00000000-0005-0000-0000-0000E14D0000}"/>
    <cellStyle name="40% - Accent3 6 2 4 2 3" xfId="41010" xr:uid="{00000000-0005-0000-0000-0000E24D0000}"/>
    <cellStyle name="40% - Accent3 6 2 4 3" xfId="19255" xr:uid="{00000000-0005-0000-0000-0000E34D0000}"/>
    <cellStyle name="40% - Accent3 6 2 4 3 2" xfId="48261" xr:uid="{00000000-0005-0000-0000-0000E44D0000}"/>
    <cellStyle name="40% - Accent3 6 2 4 4" xfId="33762" xr:uid="{00000000-0005-0000-0000-0000E54D0000}"/>
    <cellStyle name="40% - Accent3 6 2 5" xfId="7801" xr:uid="{00000000-0005-0000-0000-0000E64D0000}"/>
    <cellStyle name="40% - Accent3 6 2 5 2" xfId="15073" xr:uid="{00000000-0005-0000-0000-0000E74D0000}"/>
    <cellStyle name="40% - Accent3 6 2 5 2 2" xfId="29607" xr:uid="{00000000-0005-0000-0000-0000E84D0000}"/>
    <cellStyle name="40% - Accent3 6 2 5 2 2 2" xfId="58613" xr:uid="{00000000-0005-0000-0000-0000E94D0000}"/>
    <cellStyle name="40% - Accent3 6 2 5 2 3" xfId="44114" xr:uid="{00000000-0005-0000-0000-0000EA4D0000}"/>
    <cellStyle name="40% - Accent3 6 2 5 3" xfId="22359" xr:uid="{00000000-0005-0000-0000-0000EB4D0000}"/>
    <cellStyle name="40% - Accent3 6 2 5 3 2" xfId="51365" xr:uid="{00000000-0005-0000-0000-0000EC4D0000}"/>
    <cellStyle name="40% - Accent3 6 2 5 4" xfId="36866" xr:uid="{00000000-0005-0000-0000-0000ED4D0000}"/>
    <cellStyle name="40% - Accent3 6 2 6" xfId="8865" xr:uid="{00000000-0005-0000-0000-0000EE4D0000}"/>
    <cellStyle name="40% - Accent3 6 2 6 2" xfId="23399" xr:uid="{00000000-0005-0000-0000-0000EF4D0000}"/>
    <cellStyle name="40% - Accent3 6 2 6 2 2" xfId="52405" xr:uid="{00000000-0005-0000-0000-0000F04D0000}"/>
    <cellStyle name="40% - Accent3 6 2 6 3" xfId="37906" xr:uid="{00000000-0005-0000-0000-0000F14D0000}"/>
    <cellStyle name="40% - Accent3 6 2 7" xfId="16151" xr:uid="{00000000-0005-0000-0000-0000F24D0000}"/>
    <cellStyle name="40% - Accent3 6 2 7 2" xfId="45157" xr:uid="{00000000-0005-0000-0000-0000F34D0000}"/>
    <cellStyle name="40% - Accent3 6 2 8" xfId="30658" xr:uid="{00000000-0005-0000-0000-0000F44D0000}"/>
    <cellStyle name="40% - Accent3 6 3" xfId="2121" xr:uid="{00000000-0005-0000-0000-0000F54D0000}"/>
    <cellStyle name="40% - Accent3 6 3 2" xfId="5225" xr:uid="{00000000-0005-0000-0000-0000F64D0000}"/>
    <cellStyle name="40% - Accent3 6 3 2 2" xfId="12497" xr:uid="{00000000-0005-0000-0000-0000F74D0000}"/>
    <cellStyle name="40% - Accent3 6 3 2 2 2" xfId="27031" xr:uid="{00000000-0005-0000-0000-0000F84D0000}"/>
    <cellStyle name="40% - Accent3 6 3 2 2 2 2" xfId="56037" xr:uid="{00000000-0005-0000-0000-0000F94D0000}"/>
    <cellStyle name="40% - Accent3 6 3 2 2 3" xfId="41538" xr:uid="{00000000-0005-0000-0000-0000FA4D0000}"/>
    <cellStyle name="40% - Accent3 6 3 2 3" xfId="19783" xr:uid="{00000000-0005-0000-0000-0000FB4D0000}"/>
    <cellStyle name="40% - Accent3 6 3 2 3 2" xfId="48789" xr:uid="{00000000-0005-0000-0000-0000FC4D0000}"/>
    <cellStyle name="40% - Accent3 6 3 2 4" xfId="34290" xr:uid="{00000000-0005-0000-0000-0000FD4D0000}"/>
    <cellStyle name="40% - Accent3 6 3 3" xfId="9393" xr:uid="{00000000-0005-0000-0000-0000FE4D0000}"/>
    <cellStyle name="40% - Accent3 6 3 3 2" xfId="23927" xr:uid="{00000000-0005-0000-0000-0000FF4D0000}"/>
    <cellStyle name="40% - Accent3 6 3 3 2 2" xfId="52933" xr:uid="{00000000-0005-0000-0000-0000004E0000}"/>
    <cellStyle name="40% - Accent3 6 3 3 3" xfId="38434" xr:uid="{00000000-0005-0000-0000-0000014E0000}"/>
    <cellStyle name="40% - Accent3 6 3 4" xfId="16679" xr:uid="{00000000-0005-0000-0000-0000024E0000}"/>
    <cellStyle name="40% - Accent3 6 3 4 2" xfId="45685" xr:uid="{00000000-0005-0000-0000-0000034E0000}"/>
    <cellStyle name="40% - Accent3 6 3 5" xfId="31186" xr:uid="{00000000-0005-0000-0000-0000044E0000}"/>
    <cellStyle name="40% - Accent3 6 4" xfId="3153" xr:uid="{00000000-0005-0000-0000-0000054E0000}"/>
    <cellStyle name="40% - Accent3 6 4 2" xfId="6257" xr:uid="{00000000-0005-0000-0000-0000064E0000}"/>
    <cellStyle name="40% - Accent3 6 4 2 2" xfId="13529" xr:uid="{00000000-0005-0000-0000-0000074E0000}"/>
    <cellStyle name="40% - Accent3 6 4 2 2 2" xfId="28063" xr:uid="{00000000-0005-0000-0000-0000084E0000}"/>
    <cellStyle name="40% - Accent3 6 4 2 2 2 2" xfId="57069" xr:uid="{00000000-0005-0000-0000-0000094E0000}"/>
    <cellStyle name="40% - Accent3 6 4 2 2 3" xfId="42570" xr:uid="{00000000-0005-0000-0000-00000A4E0000}"/>
    <cellStyle name="40% - Accent3 6 4 2 3" xfId="20815" xr:uid="{00000000-0005-0000-0000-00000B4E0000}"/>
    <cellStyle name="40% - Accent3 6 4 2 3 2" xfId="49821" xr:uid="{00000000-0005-0000-0000-00000C4E0000}"/>
    <cellStyle name="40% - Accent3 6 4 2 4" xfId="35322" xr:uid="{00000000-0005-0000-0000-00000D4E0000}"/>
    <cellStyle name="40% - Accent3 6 4 3" xfId="10425" xr:uid="{00000000-0005-0000-0000-00000E4E0000}"/>
    <cellStyle name="40% - Accent3 6 4 3 2" xfId="24959" xr:uid="{00000000-0005-0000-0000-00000F4E0000}"/>
    <cellStyle name="40% - Accent3 6 4 3 2 2" xfId="53965" xr:uid="{00000000-0005-0000-0000-0000104E0000}"/>
    <cellStyle name="40% - Accent3 6 4 3 3" xfId="39466" xr:uid="{00000000-0005-0000-0000-0000114E0000}"/>
    <cellStyle name="40% - Accent3 6 4 4" xfId="17711" xr:uid="{00000000-0005-0000-0000-0000124E0000}"/>
    <cellStyle name="40% - Accent3 6 4 4 2" xfId="46717" xr:uid="{00000000-0005-0000-0000-0000134E0000}"/>
    <cellStyle name="40% - Accent3 6 4 5" xfId="32218" xr:uid="{00000000-0005-0000-0000-0000144E0000}"/>
    <cellStyle name="40% - Accent3 6 5" xfId="4185" xr:uid="{00000000-0005-0000-0000-0000154E0000}"/>
    <cellStyle name="40% - Accent3 6 5 2" xfId="11457" xr:uid="{00000000-0005-0000-0000-0000164E0000}"/>
    <cellStyle name="40% - Accent3 6 5 2 2" xfId="25991" xr:uid="{00000000-0005-0000-0000-0000174E0000}"/>
    <cellStyle name="40% - Accent3 6 5 2 2 2" xfId="54997" xr:uid="{00000000-0005-0000-0000-0000184E0000}"/>
    <cellStyle name="40% - Accent3 6 5 2 3" xfId="40498" xr:uid="{00000000-0005-0000-0000-0000194E0000}"/>
    <cellStyle name="40% - Accent3 6 5 3" xfId="18743" xr:uid="{00000000-0005-0000-0000-00001A4E0000}"/>
    <cellStyle name="40% - Accent3 6 5 3 2" xfId="47749" xr:uid="{00000000-0005-0000-0000-00001B4E0000}"/>
    <cellStyle name="40% - Accent3 6 5 4" xfId="33250" xr:uid="{00000000-0005-0000-0000-00001C4E0000}"/>
    <cellStyle name="40% - Accent3 6 6" xfId="7289" xr:uid="{00000000-0005-0000-0000-00001D4E0000}"/>
    <cellStyle name="40% - Accent3 6 6 2" xfId="14561" xr:uid="{00000000-0005-0000-0000-00001E4E0000}"/>
    <cellStyle name="40% - Accent3 6 6 2 2" xfId="29095" xr:uid="{00000000-0005-0000-0000-00001F4E0000}"/>
    <cellStyle name="40% - Accent3 6 6 2 2 2" xfId="58101" xr:uid="{00000000-0005-0000-0000-0000204E0000}"/>
    <cellStyle name="40% - Accent3 6 6 2 3" xfId="43602" xr:uid="{00000000-0005-0000-0000-0000214E0000}"/>
    <cellStyle name="40% - Accent3 6 6 3" xfId="21847" xr:uid="{00000000-0005-0000-0000-0000224E0000}"/>
    <cellStyle name="40% - Accent3 6 6 3 2" xfId="50853" xr:uid="{00000000-0005-0000-0000-0000234E0000}"/>
    <cellStyle name="40% - Accent3 6 6 4" xfId="36354" xr:uid="{00000000-0005-0000-0000-0000244E0000}"/>
    <cellStyle name="40% - Accent3 6 7" xfId="8353" xr:uid="{00000000-0005-0000-0000-0000254E0000}"/>
    <cellStyle name="40% - Accent3 6 7 2" xfId="22887" xr:uid="{00000000-0005-0000-0000-0000264E0000}"/>
    <cellStyle name="40% - Accent3 6 7 2 2" xfId="51893" xr:uid="{00000000-0005-0000-0000-0000274E0000}"/>
    <cellStyle name="40% - Accent3 6 7 3" xfId="37394" xr:uid="{00000000-0005-0000-0000-0000284E0000}"/>
    <cellStyle name="40% - Accent3 6 8" xfId="15639" xr:uid="{00000000-0005-0000-0000-0000294E0000}"/>
    <cellStyle name="40% - Accent3 6 8 2" xfId="44645" xr:uid="{00000000-0005-0000-0000-00002A4E0000}"/>
    <cellStyle name="40% - Accent3 6 9" xfId="30146" xr:uid="{00000000-0005-0000-0000-00002B4E0000}"/>
    <cellStyle name="40% - Accent3 7" xfId="990" xr:uid="{00000000-0005-0000-0000-00002C4E0000}"/>
    <cellStyle name="40% - Accent3 7 2" xfId="1475" xr:uid="{00000000-0005-0000-0000-00002D4E0000}"/>
    <cellStyle name="40% - Accent3 7 2 2" xfId="2533" xr:uid="{00000000-0005-0000-0000-00002E4E0000}"/>
    <cellStyle name="40% - Accent3 7 2 2 2" xfId="5637" xr:uid="{00000000-0005-0000-0000-00002F4E0000}"/>
    <cellStyle name="40% - Accent3 7 2 2 2 2" xfId="12909" xr:uid="{00000000-0005-0000-0000-0000304E0000}"/>
    <cellStyle name="40% - Accent3 7 2 2 2 2 2" xfId="27443" xr:uid="{00000000-0005-0000-0000-0000314E0000}"/>
    <cellStyle name="40% - Accent3 7 2 2 2 2 2 2" xfId="56449" xr:uid="{00000000-0005-0000-0000-0000324E0000}"/>
    <cellStyle name="40% - Accent3 7 2 2 2 2 3" xfId="41950" xr:uid="{00000000-0005-0000-0000-0000334E0000}"/>
    <cellStyle name="40% - Accent3 7 2 2 2 3" xfId="20195" xr:uid="{00000000-0005-0000-0000-0000344E0000}"/>
    <cellStyle name="40% - Accent3 7 2 2 2 3 2" xfId="49201" xr:uid="{00000000-0005-0000-0000-0000354E0000}"/>
    <cellStyle name="40% - Accent3 7 2 2 2 4" xfId="34702" xr:uid="{00000000-0005-0000-0000-0000364E0000}"/>
    <cellStyle name="40% - Accent3 7 2 2 3" xfId="9805" xr:uid="{00000000-0005-0000-0000-0000374E0000}"/>
    <cellStyle name="40% - Accent3 7 2 2 3 2" xfId="24339" xr:uid="{00000000-0005-0000-0000-0000384E0000}"/>
    <cellStyle name="40% - Accent3 7 2 2 3 2 2" xfId="53345" xr:uid="{00000000-0005-0000-0000-0000394E0000}"/>
    <cellStyle name="40% - Accent3 7 2 2 3 3" xfId="38846" xr:uid="{00000000-0005-0000-0000-00003A4E0000}"/>
    <cellStyle name="40% - Accent3 7 2 2 4" xfId="17091" xr:uid="{00000000-0005-0000-0000-00003B4E0000}"/>
    <cellStyle name="40% - Accent3 7 2 2 4 2" xfId="46097" xr:uid="{00000000-0005-0000-0000-00003C4E0000}"/>
    <cellStyle name="40% - Accent3 7 2 2 5" xfId="31598" xr:uid="{00000000-0005-0000-0000-00003D4E0000}"/>
    <cellStyle name="40% - Accent3 7 2 3" xfId="3565" xr:uid="{00000000-0005-0000-0000-00003E4E0000}"/>
    <cellStyle name="40% - Accent3 7 2 3 2" xfId="6669" xr:uid="{00000000-0005-0000-0000-00003F4E0000}"/>
    <cellStyle name="40% - Accent3 7 2 3 2 2" xfId="13941" xr:uid="{00000000-0005-0000-0000-0000404E0000}"/>
    <cellStyle name="40% - Accent3 7 2 3 2 2 2" xfId="28475" xr:uid="{00000000-0005-0000-0000-0000414E0000}"/>
    <cellStyle name="40% - Accent3 7 2 3 2 2 2 2" xfId="57481" xr:uid="{00000000-0005-0000-0000-0000424E0000}"/>
    <cellStyle name="40% - Accent3 7 2 3 2 2 3" xfId="42982" xr:uid="{00000000-0005-0000-0000-0000434E0000}"/>
    <cellStyle name="40% - Accent3 7 2 3 2 3" xfId="21227" xr:uid="{00000000-0005-0000-0000-0000444E0000}"/>
    <cellStyle name="40% - Accent3 7 2 3 2 3 2" xfId="50233" xr:uid="{00000000-0005-0000-0000-0000454E0000}"/>
    <cellStyle name="40% - Accent3 7 2 3 2 4" xfId="35734" xr:uid="{00000000-0005-0000-0000-0000464E0000}"/>
    <cellStyle name="40% - Accent3 7 2 3 3" xfId="10837" xr:uid="{00000000-0005-0000-0000-0000474E0000}"/>
    <cellStyle name="40% - Accent3 7 2 3 3 2" xfId="25371" xr:uid="{00000000-0005-0000-0000-0000484E0000}"/>
    <cellStyle name="40% - Accent3 7 2 3 3 2 2" xfId="54377" xr:uid="{00000000-0005-0000-0000-0000494E0000}"/>
    <cellStyle name="40% - Accent3 7 2 3 3 3" xfId="39878" xr:uid="{00000000-0005-0000-0000-00004A4E0000}"/>
    <cellStyle name="40% - Accent3 7 2 3 4" xfId="18123" xr:uid="{00000000-0005-0000-0000-00004B4E0000}"/>
    <cellStyle name="40% - Accent3 7 2 3 4 2" xfId="47129" xr:uid="{00000000-0005-0000-0000-00004C4E0000}"/>
    <cellStyle name="40% - Accent3 7 2 3 5" xfId="32630" xr:uid="{00000000-0005-0000-0000-00004D4E0000}"/>
    <cellStyle name="40% - Accent3 7 2 4" xfId="4597" xr:uid="{00000000-0005-0000-0000-00004E4E0000}"/>
    <cellStyle name="40% - Accent3 7 2 4 2" xfId="11869" xr:uid="{00000000-0005-0000-0000-00004F4E0000}"/>
    <cellStyle name="40% - Accent3 7 2 4 2 2" xfId="26403" xr:uid="{00000000-0005-0000-0000-0000504E0000}"/>
    <cellStyle name="40% - Accent3 7 2 4 2 2 2" xfId="55409" xr:uid="{00000000-0005-0000-0000-0000514E0000}"/>
    <cellStyle name="40% - Accent3 7 2 4 2 3" xfId="40910" xr:uid="{00000000-0005-0000-0000-0000524E0000}"/>
    <cellStyle name="40% - Accent3 7 2 4 3" xfId="19155" xr:uid="{00000000-0005-0000-0000-0000534E0000}"/>
    <cellStyle name="40% - Accent3 7 2 4 3 2" xfId="48161" xr:uid="{00000000-0005-0000-0000-0000544E0000}"/>
    <cellStyle name="40% - Accent3 7 2 4 4" xfId="33662" xr:uid="{00000000-0005-0000-0000-0000554E0000}"/>
    <cellStyle name="40% - Accent3 7 2 5" xfId="7701" xr:uid="{00000000-0005-0000-0000-0000564E0000}"/>
    <cellStyle name="40% - Accent3 7 2 5 2" xfId="14973" xr:uid="{00000000-0005-0000-0000-0000574E0000}"/>
    <cellStyle name="40% - Accent3 7 2 5 2 2" xfId="29507" xr:uid="{00000000-0005-0000-0000-0000584E0000}"/>
    <cellStyle name="40% - Accent3 7 2 5 2 2 2" xfId="58513" xr:uid="{00000000-0005-0000-0000-0000594E0000}"/>
    <cellStyle name="40% - Accent3 7 2 5 2 3" xfId="44014" xr:uid="{00000000-0005-0000-0000-00005A4E0000}"/>
    <cellStyle name="40% - Accent3 7 2 5 3" xfId="22259" xr:uid="{00000000-0005-0000-0000-00005B4E0000}"/>
    <cellStyle name="40% - Accent3 7 2 5 3 2" xfId="51265" xr:uid="{00000000-0005-0000-0000-00005C4E0000}"/>
    <cellStyle name="40% - Accent3 7 2 5 4" xfId="36766" xr:uid="{00000000-0005-0000-0000-00005D4E0000}"/>
    <cellStyle name="40% - Accent3 7 2 6" xfId="8765" xr:uid="{00000000-0005-0000-0000-00005E4E0000}"/>
    <cellStyle name="40% - Accent3 7 2 6 2" xfId="23299" xr:uid="{00000000-0005-0000-0000-00005F4E0000}"/>
    <cellStyle name="40% - Accent3 7 2 6 2 2" xfId="52305" xr:uid="{00000000-0005-0000-0000-0000604E0000}"/>
    <cellStyle name="40% - Accent3 7 2 6 3" xfId="37806" xr:uid="{00000000-0005-0000-0000-0000614E0000}"/>
    <cellStyle name="40% - Accent3 7 2 7" xfId="16051" xr:uid="{00000000-0005-0000-0000-0000624E0000}"/>
    <cellStyle name="40% - Accent3 7 2 7 2" xfId="45057" xr:uid="{00000000-0005-0000-0000-0000634E0000}"/>
    <cellStyle name="40% - Accent3 7 2 8" xfId="30558" xr:uid="{00000000-0005-0000-0000-0000644E0000}"/>
    <cellStyle name="40% - Accent3 7 3" xfId="2021" xr:uid="{00000000-0005-0000-0000-0000654E0000}"/>
    <cellStyle name="40% - Accent3 7 3 2" xfId="5125" xr:uid="{00000000-0005-0000-0000-0000664E0000}"/>
    <cellStyle name="40% - Accent3 7 3 2 2" xfId="12397" xr:uid="{00000000-0005-0000-0000-0000674E0000}"/>
    <cellStyle name="40% - Accent3 7 3 2 2 2" xfId="26931" xr:uid="{00000000-0005-0000-0000-0000684E0000}"/>
    <cellStyle name="40% - Accent3 7 3 2 2 2 2" xfId="55937" xr:uid="{00000000-0005-0000-0000-0000694E0000}"/>
    <cellStyle name="40% - Accent3 7 3 2 2 3" xfId="41438" xr:uid="{00000000-0005-0000-0000-00006A4E0000}"/>
    <cellStyle name="40% - Accent3 7 3 2 3" xfId="19683" xr:uid="{00000000-0005-0000-0000-00006B4E0000}"/>
    <cellStyle name="40% - Accent3 7 3 2 3 2" xfId="48689" xr:uid="{00000000-0005-0000-0000-00006C4E0000}"/>
    <cellStyle name="40% - Accent3 7 3 2 4" xfId="34190" xr:uid="{00000000-0005-0000-0000-00006D4E0000}"/>
    <cellStyle name="40% - Accent3 7 3 3" xfId="9293" xr:uid="{00000000-0005-0000-0000-00006E4E0000}"/>
    <cellStyle name="40% - Accent3 7 3 3 2" xfId="23827" xr:uid="{00000000-0005-0000-0000-00006F4E0000}"/>
    <cellStyle name="40% - Accent3 7 3 3 2 2" xfId="52833" xr:uid="{00000000-0005-0000-0000-0000704E0000}"/>
    <cellStyle name="40% - Accent3 7 3 3 3" xfId="38334" xr:uid="{00000000-0005-0000-0000-0000714E0000}"/>
    <cellStyle name="40% - Accent3 7 3 4" xfId="16579" xr:uid="{00000000-0005-0000-0000-0000724E0000}"/>
    <cellStyle name="40% - Accent3 7 3 4 2" xfId="45585" xr:uid="{00000000-0005-0000-0000-0000734E0000}"/>
    <cellStyle name="40% - Accent3 7 3 5" xfId="31086" xr:uid="{00000000-0005-0000-0000-0000744E0000}"/>
    <cellStyle name="40% - Accent3 7 4" xfId="3053" xr:uid="{00000000-0005-0000-0000-0000754E0000}"/>
    <cellStyle name="40% - Accent3 7 4 2" xfId="6157" xr:uid="{00000000-0005-0000-0000-0000764E0000}"/>
    <cellStyle name="40% - Accent3 7 4 2 2" xfId="13429" xr:uid="{00000000-0005-0000-0000-0000774E0000}"/>
    <cellStyle name="40% - Accent3 7 4 2 2 2" xfId="27963" xr:uid="{00000000-0005-0000-0000-0000784E0000}"/>
    <cellStyle name="40% - Accent3 7 4 2 2 2 2" xfId="56969" xr:uid="{00000000-0005-0000-0000-0000794E0000}"/>
    <cellStyle name="40% - Accent3 7 4 2 2 3" xfId="42470" xr:uid="{00000000-0005-0000-0000-00007A4E0000}"/>
    <cellStyle name="40% - Accent3 7 4 2 3" xfId="20715" xr:uid="{00000000-0005-0000-0000-00007B4E0000}"/>
    <cellStyle name="40% - Accent3 7 4 2 3 2" xfId="49721" xr:uid="{00000000-0005-0000-0000-00007C4E0000}"/>
    <cellStyle name="40% - Accent3 7 4 2 4" xfId="35222" xr:uid="{00000000-0005-0000-0000-00007D4E0000}"/>
    <cellStyle name="40% - Accent3 7 4 3" xfId="10325" xr:uid="{00000000-0005-0000-0000-00007E4E0000}"/>
    <cellStyle name="40% - Accent3 7 4 3 2" xfId="24859" xr:uid="{00000000-0005-0000-0000-00007F4E0000}"/>
    <cellStyle name="40% - Accent3 7 4 3 2 2" xfId="53865" xr:uid="{00000000-0005-0000-0000-0000804E0000}"/>
    <cellStyle name="40% - Accent3 7 4 3 3" xfId="39366" xr:uid="{00000000-0005-0000-0000-0000814E0000}"/>
    <cellStyle name="40% - Accent3 7 4 4" xfId="17611" xr:uid="{00000000-0005-0000-0000-0000824E0000}"/>
    <cellStyle name="40% - Accent3 7 4 4 2" xfId="46617" xr:uid="{00000000-0005-0000-0000-0000834E0000}"/>
    <cellStyle name="40% - Accent3 7 4 5" xfId="32118" xr:uid="{00000000-0005-0000-0000-0000844E0000}"/>
    <cellStyle name="40% - Accent3 7 5" xfId="4085" xr:uid="{00000000-0005-0000-0000-0000854E0000}"/>
    <cellStyle name="40% - Accent3 7 5 2" xfId="11357" xr:uid="{00000000-0005-0000-0000-0000864E0000}"/>
    <cellStyle name="40% - Accent3 7 5 2 2" xfId="25891" xr:uid="{00000000-0005-0000-0000-0000874E0000}"/>
    <cellStyle name="40% - Accent3 7 5 2 2 2" xfId="54897" xr:uid="{00000000-0005-0000-0000-0000884E0000}"/>
    <cellStyle name="40% - Accent3 7 5 2 3" xfId="40398" xr:uid="{00000000-0005-0000-0000-0000894E0000}"/>
    <cellStyle name="40% - Accent3 7 5 3" xfId="18643" xr:uid="{00000000-0005-0000-0000-00008A4E0000}"/>
    <cellStyle name="40% - Accent3 7 5 3 2" xfId="47649" xr:uid="{00000000-0005-0000-0000-00008B4E0000}"/>
    <cellStyle name="40% - Accent3 7 5 4" xfId="33150" xr:uid="{00000000-0005-0000-0000-00008C4E0000}"/>
    <cellStyle name="40% - Accent3 7 6" xfId="7189" xr:uid="{00000000-0005-0000-0000-00008D4E0000}"/>
    <cellStyle name="40% - Accent3 7 6 2" xfId="14461" xr:uid="{00000000-0005-0000-0000-00008E4E0000}"/>
    <cellStyle name="40% - Accent3 7 6 2 2" xfId="28995" xr:uid="{00000000-0005-0000-0000-00008F4E0000}"/>
    <cellStyle name="40% - Accent3 7 6 2 2 2" xfId="58001" xr:uid="{00000000-0005-0000-0000-0000904E0000}"/>
    <cellStyle name="40% - Accent3 7 6 2 3" xfId="43502" xr:uid="{00000000-0005-0000-0000-0000914E0000}"/>
    <cellStyle name="40% - Accent3 7 6 3" xfId="21747" xr:uid="{00000000-0005-0000-0000-0000924E0000}"/>
    <cellStyle name="40% - Accent3 7 6 3 2" xfId="50753" xr:uid="{00000000-0005-0000-0000-0000934E0000}"/>
    <cellStyle name="40% - Accent3 7 6 4" xfId="36254" xr:uid="{00000000-0005-0000-0000-0000944E0000}"/>
    <cellStyle name="40% - Accent3 7 7" xfId="8253" xr:uid="{00000000-0005-0000-0000-0000954E0000}"/>
    <cellStyle name="40% - Accent3 7 7 2" xfId="22787" xr:uid="{00000000-0005-0000-0000-0000964E0000}"/>
    <cellStyle name="40% - Accent3 7 7 2 2" xfId="51793" xr:uid="{00000000-0005-0000-0000-0000974E0000}"/>
    <cellStyle name="40% - Accent3 7 7 3" xfId="37294" xr:uid="{00000000-0005-0000-0000-0000984E0000}"/>
    <cellStyle name="40% - Accent3 7 8" xfId="15539" xr:uid="{00000000-0005-0000-0000-0000994E0000}"/>
    <cellStyle name="40% - Accent3 7 8 2" xfId="44545" xr:uid="{00000000-0005-0000-0000-00009A4E0000}"/>
    <cellStyle name="40% - Accent3 7 9" xfId="30046" xr:uid="{00000000-0005-0000-0000-00009B4E0000}"/>
    <cellStyle name="40% - Accent3 8" xfId="1272" xr:uid="{00000000-0005-0000-0000-00009C4E0000}"/>
    <cellStyle name="40% - Accent3 8 2" xfId="2327" xr:uid="{00000000-0005-0000-0000-00009D4E0000}"/>
    <cellStyle name="40% - Accent3 8 2 2" xfId="5431" xr:uid="{00000000-0005-0000-0000-00009E4E0000}"/>
    <cellStyle name="40% - Accent3 8 2 2 2" xfId="12703" xr:uid="{00000000-0005-0000-0000-00009F4E0000}"/>
    <cellStyle name="40% - Accent3 8 2 2 2 2" xfId="27237" xr:uid="{00000000-0005-0000-0000-0000A04E0000}"/>
    <cellStyle name="40% - Accent3 8 2 2 2 2 2" xfId="56243" xr:uid="{00000000-0005-0000-0000-0000A14E0000}"/>
    <cellStyle name="40% - Accent3 8 2 2 2 3" xfId="41744" xr:uid="{00000000-0005-0000-0000-0000A24E0000}"/>
    <cellStyle name="40% - Accent3 8 2 2 3" xfId="19989" xr:uid="{00000000-0005-0000-0000-0000A34E0000}"/>
    <cellStyle name="40% - Accent3 8 2 2 3 2" xfId="48995" xr:uid="{00000000-0005-0000-0000-0000A44E0000}"/>
    <cellStyle name="40% - Accent3 8 2 2 4" xfId="34496" xr:uid="{00000000-0005-0000-0000-0000A54E0000}"/>
    <cellStyle name="40% - Accent3 8 2 3" xfId="9599" xr:uid="{00000000-0005-0000-0000-0000A64E0000}"/>
    <cellStyle name="40% - Accent3 8 2 3 2" xfId="24133" xr:uid="{00000000-0005-0000-0000-0000A74E0000}"/>
    <cellStyle name="40% - Accent3 8 2 3 2 2" xfId="53139" xr:uid="{00000000-0005-0000-0000-0000A84E0000}"/>
    <cellStyle name="40% - Accent3 8 2 3 3" xfId="38640" xr:uid="{00000000-0005-0000-0000-0000A94E0000}"/>
    <cellStyle name="40% - Accent3 8 2 4" xfId="16885" xr:uid="{00000000-0005-0000-0000-0000AA4E0000}"/>
    <cellStyle name="40% - Accent3 8 2 4 2" xfId="45891" xr:uid="{00000000-0005-0000-0000-0000AB4E0000}"/>
    <cellStyle name="40% - Accent3 8 2 5" xfId="31392" xr:uid="{00000000-0005-0000-0000-0000AC4E0000}"/>
    <cellStyle name="40% - Accent3 8 3" xfId="3359" xr:uid="{00000000-0005-0000-0000-0000AD4E0000}"/>
    <cellStyle name="40% - Accent3 8 3 2" xfId="6463" xr:uid="{00000000-0005-0000-0000-0000AE4E0000}"/>
    <cellStyle name="40% - Accent3 8 3 2 2" xfId="13735" xr:uid="{00000000-0005-0000-0000-0000AF4E0000}"/>
    <cellStyle name="40% - Accent3 8 3 2 2 2" xfId="28269" xr:uid="{00000000-0005-0000-0000-0000B04E0000}"/>
    <cellStyle name="40% - Accent3 8 3 2 2 2 2" xfId="57275" xr:uid="{00000000-0005-0000-0000-0000B14E0000}"/>
    <cellStyle name="40% - Accent3 8 3 2 2 3" xfId="42776" xr:uid="{00000000-0005-0000-0000-0000B24E0000}"/>
    <cellStyle name="40% - Accent3 8 3 2 3" xfId="21021" xr:uid="{00000000-0005-0000-0000-0000B34E0000}"/>
    <cellStyle name="40% - Accent3 8 3 2 3 2" xfId="50027" xr:uid="{00000000-0005-0000-0000-0000B44E0000}"/>
    <cellStyle name="40% - Accent3 8 3 2 4" xfId="35528" xr:uid="{00000000-0005-0000-0000-0000B54E0000}"/>
    <cellStyle name="40% - Accent3 8 3 3" xfId="10631" xr:uid="{00000000-0005-0000-0000-0000B64E0000}"/>
    <cellStyle name="40% - Accent3 8 3 3 2" xfId="25165" xr:uid="{00000000-0005-0000-0000-0000B74E0000}"/>
    <cellStyle name="40% - Accent3 8 3 3 2 2" xfId="54171" xr:uid="{00000000-0005-0000-0000-0000B84E0000}"/>
    <cellStyle name="40% - Accent3 8 3 3 3" xfId="39672" xr:uid="{00000000-0005-0000-0000-0000B94E0000}"/>
    <cellStyle name="40% - Accent3 8 3 4" xfId="17917" xr:uid="{00000000-0005-0000-0000-0000BA4E0000}"/>
    <cellStyle name="40% - Accent3 8 3 4 2" xfId="46923" xr:uid="{00000000-0005-0000-0000-0000BB4E0000}"/>
    <cellStyle name="40% - Accent3 8 3 5" xfId="32424" xr:uid="{00000000-0005-0000-0000-0000BC4E0000}"/>
    <cellStyle name="40% - Accent3 8 4" xfId="4391" xr:uid="{00000000-0005-0000-0000-0000BD4E0000}"/>
    <cellStyle name="40% - Accent3 8 4 2" xfId="11663" xr:uid="{00000000-0005-0000-0000-0000BE4E0000}"/>
    <cellStyle name="40% - Accent3 8 4 2 2" xfId="26197" xr:uid="{00000000-0005-0000-0000-0000BF4E0000}"/>
    <cellStyle name="40% - Accent3 8 4 2 2 2" xfId="55203" xr:uid="{00000000-0005-0000-0000-0000C04E0000}"/>
    <cellStyle name="40% - Accent3 8 4 2 3" xfId="40704" xr:uid="{00000000-0005-0000-0000-0000C14E0000}"/>
    <cellStyle name="40% - Accent3 8 4 3" xfId="18949" xr:uid="{00000000-0005-0000-0000-0000C24E0000}"/>
    <cellStyle name="40% - Accent3 8 4 3 2" xfId="47955" xr:uid="{00000000-0005-0000-0000-0000C34E0000}"/>
    <cellStyle name="40% - Accent3 8 4 4" xfId="33456" xr:uid="{00000000-0005-0000-0000-0000C44E0000}"/>
    <cellStyle name="40% - Accent3 8 5" xfId="7495" xr:uid="{00000000-0005-0000-0000-0000C54E0000}"/>
    <cellStyle name="40% - Accent3 8 5 2" xfId="14767" xr:uid="{00000000-0005-0000-0000-0000C64E0000}"/>
    <cellStyle name="40% - Accent3 8 5 2 2" xfId="29301" xr:uid="{00000000-0005-0000-0000-0000C74E0000}"/>
    <cellStyle name="40% - Accent3 8 5 2 2 2" xfId="58307" xr:uid="{00000000-0005-0000-0000-0000C84E0000}"/>
    <cellStyle name="40% - Accent3 8 5 2 3" xfId="43808" xr:uid="{00000000-0005-0000-0000-0000C94E0000}"/>
    <cellStyle name="40% - Accent3 8 5 3" xfId="22053" xr:uid="{00000000-0005-0000-0000-0000CA4E0000}"/>
    <cellStyle name="40% - Accent3 8 5 3 2" xfId="51059" xr:uid="{00000000-0005-0000-0000-0000CB4E0000}"/>
    <cellStyle name="40% - Accent3 8 5 4" xfId="36560" xr:uid="{00000000-0005-0000-0000-0000CC4E0000}"/>
    <cellStyle name="40% - Accent3 8 6" xfId="8559" xr:uid="{00000000-0005-0000-0000-0000CD4E0000}"/>
    <cellStyle name="40% - Accent3 8 6 2" xfId="23093" xr:uid="{00000000-0005-0000-0000-0000CE4E0000}"/>
    <cellStyle name="40% - Accent3 8 6 2 2" xfId="52099" xr:uid="{00000000-0005-0000-0000-0000CF4E0000}"/>
    <cellStyle name="40% - Accent3 8 6 3" xfId="37600" xr:uid="{00000000-0005-0000-0000-0000D04E0000}"/>
    <cellStyle name="40% - Accent3 8 7" xfId="15845" xr:uid="{00000000-0005-0000-0000-0000D14E0000}"/>
    <cellStyle name="40% - Accent3 8 7 2" xfId="44851" xr:uid="{00000000-0005-0000-0000-0000D24E0000}"/>
    <cellStyle name="40% - Accent3 8 8" xfId="30352" xr:uid="{00000000-0005-0000-0000-0000D34E0000}"/>
    <cellStyle name="40% - Accent3 9" xfId="1815" xr:uid="{00000000-0005-0000-0000-0000D44E0000}"/>
    <cellStyle name="40% - Accent3 9 2" xfId="4919" xr:uid="{00000000-0005-0000-0000-0000D54E0000}"/>
    <cellStyle name="40% - Accent3 9 2 2" xfId="12191" xr:uid="{00000000-0005-0000-0000-0000D64E0000}"/>
    <cellStyle name="40% - Accent3 9 2 2 2" xfId="26725" xr:uid="{00000000-0005-0000-0000-0000D74E0000}"/>
    <cellStyle name="40% - Accent3 9 2 2 2 2" xfId="55731" xr:uid="{00000000-0005-0000-0000-0000D84E0000}"/>
    <cellStyle name="40% - Accent3 9 2 2 3" xfId="41232" xr:uid="{00000000-0005-0000-0000-0000D94E0000}"/>
    <cellStyle name="40% - Accent3 9 2 3" xfId="19477" xr:uid="{00000000-0005-0000-0000-0000DA4E0000}"/>
    <cellStyle name="40% - Accent3 9 2 3 2" xfId="48483" xr:uid="{00000000-0005-0000-0000-0000DB4E0000}"/>
    <cellStyle name="40% - Accent3 9 2 4" xfId="33984" xr:uid="{00000000-0005-0000-0000-0000DC4E0000}"/>
    <cellStyle name="40% - Accent3 9 3" xfId="9087" xr:uid="{00000000-0005-0000-0000-0000DD4E0000}"/>
    <cellStyle name="40% - Accent3 9 3 2" xfId="23621" xr:uid="{00000000-0005-0000-0000-0000DE4E0000}"/>
    <cellStyle name="40% - Accent3 9 3 2 2" xfId="52627" xr:uid="{00000000-0005-0000-0000-0000DF4E0000}"/>
    <cellStyle name="40% - Accent3 9 3 3" xfId="38128" xr:uid="{00000000-0005-0000-0000-0000E04E0000}"/>
    <cellStyle name="40% - Accent3 9 4" xfId="16373" xr:uid="{00000000-0005-0000-0000-0000E14E0000}"/>
    <cellStyle name="40% - Accent3 9 4 2" xfId="45379" xr:uid="{00000000-0005-0000-0000-0000E24E0000}"/>
    <cellStyle name="40% - Accent3 9 5" xfId="30880" xr:uid="{00000000-0005-0000-0000-0000E34E0000}"/>
    <cellStyle name="40% - Accent4" xfId="75" builtinId="43" customBuiltin="1"/>
    <cellStyle name="40% - Accent4 10" xfId="2849" xr:uid="{00000000-0005-0000-0000-0000E54E0000}"/>
    <cellStyle name="40% - Accent4 10 2" xfId="5953" xr:uid="{00000000-0005-0000-0000-0000E64E0000}"/>
    <cellStyle name="40% - Accent4 10 2 2" xfId="13225" xr:uid="{00000000-0005-0000-0000-0000E74E0000}"/>
    <cellStyle name="40% - Accent4 10 2 2 2" xfId="27759" xr:uid="{00000000-0005-0000-0000-0000E84E0000}"/>
    <cellStyle name="40% - Accent4 10 2 2 2 2" xfId="56765" xr:uid="{00000000-0005-0000-0000-0000E94E0000}"/>
    <cellStyle name="40% - Accent4 10 2 2 3" xfId="42266" xr:uid="{00000000-0005-0000-0000-0000EA4E0000}"/>
    <cellStyle name="40% - Accent4 10 2 3" xfId="20511" xr:uid="{00000000-0005-0000-0000-0000EB4E0000}"/>
    <cellStyle name="40% - Accent4 10 2 3 2" xfId="49517" xr:uid="{00000000-0005-0000-0000-0000EC4E0000}"/>
    <cellStyle name="40% - Accent4 10 2 4" xfId="35018" xr:uid="{00000000-0005-0000-0000-0000ED4E0000}"/>
    <cellStyle name="40% - Accent4 10 3" xfId="10121" xr:uid="{00000000-0005-0000-0000-0000EE4E0000}"/>
    <cellStyle name="40% - Accent4 10 3 2" xfId="24655" xr:uid="{00000000-0005-0000-0000-0000EF4E0000}"/>
    <cellStyle name="40% - Accent4 10 3 2 2" xfId="53661" xr:uid="{00000000-0005-0000-0000-0000F04E0000}"/>
    <cellStyle name="40% - Accent4 10 3 3" xfId="39162" xr:uid="{00000000-0005-0000-0000-0000F14E0000}"/>
    <cellStyle name="40% - Accent4 10 4" xfId="17407" xr:uid="{00000000-0005-0000-0000-0000F24E0000}"/>
    <cellStyle name="40% - Accent4 10 4 2" xfId="46413" xr:uid="{00000000-0005-0000-0000-0000F34E0000}"/>
    <cellStyle name="40% - Accent4 10 5" xfId="31914" xr:uid="{00000000-0005-0000-0000-0000F44E0000}"/>
    <cellStyle name="40% - Accent4 11" xfId="3881" xr:uid="{00000000-0005-0000-0000-0000F54E0000}"/>
    <cellStyle name="40% - Accent4 11 2" xfId="11153" xr:uid="{00000000-0005-0000-0000-0000F64E0000}"/>
    <cellStyle name="40% - Accent4 11 2 2" xfId="25687" xr:uid="{00000000-0005-0000-0000-0000F74E0000}"/>
    <cellStyle name="40% - Accent4 11 2 2 2" xfId="54693" xr:uid="{00000000-0005-0000-0000-0000F84E0000}"/>
    <cellStyle name="40% - Accent4 11 2 3" xfId="40194" xr:uid="{00000000-0005-0000-0000-0000F94E0000}"/>
    <cellStyle name="40% - Accent4 11 3" xfId="18439" xr:uid="{00000000-0005-0000-0000-0000FA4E0000}"/>
    <cellStyle name="40% - Accent4 11 3 2" xfId="47445" xr:uid="{00000000-0005-0000-0000-0000FB4E0000}"/>
    <cellStyle name="40% - Accent4 11 4" xfId="32946" xr:uid="{00000000-0005-0000-0000-0000FC4E0000}"/>
    <cellStyle name="40% - Accent4 12" xfId="6985" xr:uid="{00000000-0005-0000-0000-0000FD4E0000}"/>
    <cellStyle name="40% - Accent4 12 2" xfId="14257" xr:uid="{00000000-0005-0000-0000-0000FE4E0000}"/>
    <cellStyle name="40% - Accent4 12 2 2" xfId="28791" xr:uid="{00000000-0005-0000-0000-0000FF4E0000}"/>
    <cellStyle name="40% - Accent4 12 2 2 2" xfId="57797" xr:uid="{00000000-0005-0000-0000-0000004F0000}"/>
    <cellStyle name="40% - Accent4 12 2 3" xfId="43298" xr:uid="{00000000-0005-0000-0000-0000014F0000}"/>
    <cellStyle name="40% - Accent4 12 3" xfId="21543" xr:uid="{00000000-0005-0000-0000-0000024F0000}"/>
    <cellStyle name="40% - Accent4 12 3 2" xfId="50549" xr:uid="{00000000-0005-0000-0000-0000034F0000}"/>
    <cellStyle name="40% - Accent4 12 4" xfId="36050" xr:uid="{00000000-0005-0000-0000-0000044F0000}"/>
    <cellStyle name="40% - Accent4 13" xfId="8049" xr:uid="{00000000-0005-0000-0000-0000054F0000}"/>
    <cellStyle name="40% - Accent4 13 2" xfId="22583" xr:uid="{00000000-0005-0000-0000-0000064F0000}"/>
    <cellStyle name="40% - Accent4 13 2 2" xfId="51589" xr:uid="{00000000-0005-0000-0000-0000074F0000}"/>
    <cellStyle name="40% - Accent4 13 3" xfId="37090" xr:uid="{00000000-0005-0000-0000-0000084F0000}"/>
    <cellStyle name="40% - Accent4 14" xfId="15329" xr:uid="{00000000-0005-0000-0000-0000094F0000}"/>
    <cellStyle name="40% - Accent4 14 2" xfId="44335" xr:uid="{00000000-0005-0000-0000-00000A4F0000}"/>
    <cellStyle name="40% - Accent4 15" xfId="29835" xr:uid="{00000000-0005-0000-0000-00000B4F0000}"/>
    <cellStyle name="40% - Accent4 16" xfId="246" xr:uid="{00000000-0005-0000-0000-00000C4F0000}"/>
    <cellStyle name="40% - Accent4 17" xfId="58834" xr:uid="{00000000-0005-0000-0000-00000D4F0000}"/>
    <cellStyle name="40% - Accent4 2" xfId="308" xr:uid="{00000000-0005-0000-0000-00000E4F0000}"/>
    <cellStyle name="40% - Accent4 2 2" xfId="311" xr:uid="{00000000-0005-0000-0000-00000F4F0000}"/>
    <cellStyle name="40% - Accent4 3" xfId="847" xr:uid="{00000000-0005-0000-0000-0000104F0000}"/>
    <cellStyle name="40% - Accent4 3 10" xfId="7009" xr:uid="{00000000-0005-0000-0000-0000114F0000}"/>
    <cellStyle name="40% - Accent4 3 10 2" xfId="14281" xr:uid="{00000000-0005-0000-0000-0000124F0000}"/>
    <cellStyle name="40% - Accent4 3 10 2 2" xfId="28815" xr:uid="{00000000-0005-0000-0000-0000134F0000}"/>
    <cellStyle name="40% - Accent4 3 10 2 2 2" xfId="57821" xr:uid="{00000000-0005-0000-0000-0000144F0000}"/>
    <cellStyle name="40% - Accent4 3 10 2 3" xfId="43322" xr:uid="{00000000-0005-0000-0000-0000154F0000}"/>
    <cellStyle name="40% - Accent4 3 10 3" xfId="21567" xr:uid="{00000000-0005-0000-0000-0000164F0000}"/>
    <cellStyle name="40% - Accent4 3 10 3 2" xfId="50573" xr:uid="{00000000-0005-0000-0000-0000174F0000}"/>
    <cellStyle name="40% - Accent4 3 10 4" xfId="36074" xr:uid="{00000000-0005-0000-0000-0000184F0000}"/>
    <cellStyle name="40% - Accent4 3 11" xfId="8073" xr:uid="{00000000-0005-0000-0000-0000194F0000}"/>
    <cellStyle name="40% - Accent4 3 11 2" xfId="22607" xr:uid="{00000000-0005-0000-0000-00001A4F0000}"/>
    <cellStyle name="40% - Accent4 3 11 2 2" xfId="51613" xr:uid="{00000000-0005-0000-0000-00001B4F0000}"/>
    <cellStyle name="40% - Accent4 3 11 3" xfId="37114" xr:uid="{00000000-0005-0000-0000-00001C4F0000}"/>
    <cellStyle name="40% - Accent4 3 12" xfId="15359" xr:uid="{00000000-0005-0000-0000-00001D4F0000}"/>
    <cellStyle name="40% - Accent4 3 12 2" xfId="44365" xr:uid="{00000000-0005-0000-0000-00001E4F0000}"/>
    <cellStyle name="40% - Accent4 3 13" xfId="29866" xr:uid="{00000000-0005-0000-0000-00001F4F0000}"/>
    <cellStyle name="40% - Accent4 3 2" xfId="890" xr:uid="{00000000-0005-0000-0000-0000204F0000}"/>
    <cellStyle name="40% - Accent4 3 2 10" xfId="8125" xr:uid="{00000000-0005-0000-0000-0000214F0000}"/>
    <cellStyle name="40% - Accent4 3 2 10 2" xfId="22659" xr:uid="{00000000-0005-0000-0000-0000224F0000}"/>
    <cellStyle name="40% - Accent4 3 2 10 2 2" xfId="51665" xr:uid="{00000000-0005-0000-0000-0000234F0000}"/>
    <cellStyle name="40% - Accent4 3 2 10 3" xfId="37166" xr:uid="{00000000-0005-0000-0000-0000244F0000}"/>
    <cellStyle name="40% - Accent4 3 2 11" xfId="15411" xr:uid="{00000000-0005-0000-0000-0000254F0000}"/>
    <cellStyle name="40% - Accent4 3 2 11 2" xfId="44417" xr:uid="{00000000-0005-0000-0000-0000264F0000}"/>
    <cellStyle name="40% - Accent4 3 2 12" xfId="29918" xr:uid="{00000000-0005-0000-0000-0000274F0000}"/>
    <cellStyle name="40% - Accent4 3 2 2" xfId="970" xr:uid="{00000000-0005-0000-0000-0000284F0000}"/>
    <cellStyle name="40% - Accent4 3 2 2 10" xfId="30021" xr:uid="{00000000-0005-0000-0000-0000294F0000}"/>
    <cellStyle name="40% - Accent4 3 2 2 2" xfId="1249" xr:uid="{00000000-0005-0000-0000-00002A4F0000}"/>
    <cellStyle name="40% - Accent4 3 2 2 2 2" xfId="1755" xr:uid="{00000000-0005-0000-0000-00002B4F0000}"/>
    <cellStyle name="40% - Accent4 3 2 2 2 2 2" xfId="2814" xr:uid="{00000000-0005-0000-0000-00002C4F0000}"/>
    <cellStyle name="40% - Accent4 3 2 2 2 2 2 2" xfId="5918" xr:uid="{00000000-0005-0000-0000-00002D4F0000}"/>
    <cellStyle name="40% - Accent4 3 2 2 2 2 2 2 2" xfId="13190" xr:uid="{00000000-0005-0000-0000-00002E4F0000}"/>
    <cellStyle name="40% - Accent4 3 2 2 2 2 2 2 2 2" xfId="27724" xr:uid="{00000000-0005-0000-0000-00002F4F0000}"/>
    <cellStyle name="40% - Accent4 3 2 2 2 2 2 2 2 2 2" xfId="56730" xr:uid="{00000000-0005-0000-0000-0000304F0000}"/>
    <cellStyle name="40% - Accent4 3 2 2 2 2 2 2 2 3" xfId="42231" xr:uid="{00000000-0005-0000-0000-0000314F0000}"/>
    <cellStyle name="40% - Accent4 3 2 2 2 2 2 2 3" xfId="20476" xr:uid="{00000000-0005-0000-0000-0000324F0000}"/>
    <cellStyle name="40% - Accent4 3 2 2 2 2 2 2 3 2" xfId="49482" xr:uid="{00000000-0005-0000-0000-0000334F0000}"/>
    <cellStyle name="40% - Accent4 3 2 2 2 2 2 2 4" xfId="34983" xr:uid="{00000000-0005-0000-0000-0000344F0000}"/>
    <cellStyle name="40% - Accent4 3 2 2 2 2 2 3" xfId="10086" xr:uid="{00000000-0005-0000-0000-0000354F0000}"/>
    <cellStyle name="40% - Accent4 3 2 2 2 2 2 3 2" xfId="24620" xr:uid="{00000000-0005-0000-0000-0000364F0000}"/>
    <cellStyle name="40% - Accent4 3 2 2 2 2 2 3 2 2" xfId="53626" xr:uid="{00000000-0005-0000-0000-0000374F0000}"/>
    <cellStyle name="40% - Accent4 3 2 2 2 2 2 3 3" xfId="39127" xr:uid="{00000000-0005-0000-0000-0000384F0000}"/>
    <cellStyle name="40% - Accent4 3 2 2 2 2 2 4" xfId="17372" xr:uid="{00000000-0005-0000-0000-0000394F0000}"/>
    <cellStyle name="40% - Accent4 3 2 2 2 2 2 4 2" xfId="46378" xr:uid="{00000000-0005-0000-0000-00003A4F0000}"/>
    <cellStyle name="40% - Accent4 3 2 2 2 2 2 5" xfId="31879" xr:uid="{00000000-0005-0000-0000-00003B4F0000}"/>
    <cellStyle name="40% - Accent4 3 2 2 2 2 3" xfId="3846" xr:uid="{00000000-0005-0000-0000-00003C4F0000}"/>
    <cellStyle name="40% - Accent4 3 2 2 2 2 3 2" xfId="6950" xr:uid="{00000000-0005-0000-0000-00003D4F0000}"/>
    <cellStyle name="40% - Accent4 3 2 2 2 2 3 2 2" xfId="14222" xr:uid="{00000000-0005-0000-0000-00003E4F0000}"/>
    <cellStyle name="40% - Accent4 3 2 2 2 2 3 2 2 2" xfId="28756" xr:uid="{00000000-0005-0000-0000-00003F4F0000}"/>
    <cellStyle name="40% - Accent4 3 2 2 2 2 3 2 2 2 2" xfId="57762" xr:uid="{00000000-0005-0000-0000-0000404F0000}"/>
    <cellStyle name="40% - Accent4 3 2 2 2 2 3 2 2 3" xfId="43263" xr:uid="{00000000-0005-0000-0000-0000414F0000}"/>
    <cellStyle name="40% - Accent4 3 2 2 2 2 3 2 3" xfId="21508" xr:uid="{00000000-0005-0000-0000-0000424F0000}"/>
    <cellStyle name="40% - Accent4 3 2 2 2 2 3 2 3 2" xfId="50514" xr:uid="{00000000-0005-0000-0000-0000434F0000}"/>
    <cellStyle name="40% - Accent4 3 2 2 2 2 3 2 4" xfId="36015" xr:uid="{00000000-0005-0000-0000-0000444F0000}"/>
    <cellStyle name="40% - Accent4 3 2 2 2 2 3 3" xfId="11118" xr:uid="{00000000-0005-0000-0000-0000454F0000}"/>
    <cellStyle name="40% - Accent4 3 2 2 2 2 3 3 2" xfId="25652" xr:uid="{00000000-0005-0000-0000-0000464F0000}"/>
    <cellStyle name="40% - Accent4 3 2 2 2 2 3 3 2 2" xfId="54658" xr:uid="{00000000-0005-0000-0000-0000474F0000}"/>
    <cellStyle name="40% - Accent4 3 2 2 2 2 3 3 3" xfId="40159" xr:uid="{00000000-0005-0000-0000-0000484F0000}"/>
    <cellStyle name="40% - Accent4 3 2 2 2 2 3 4" xfId="18404" xr:uid="{00000000-0005-0000-0000-0000494F0000}"/>
    <cellStyle name="40% - Accent4 3 2 2 2 2 3 4 2" xfId="47410" xr:uid="{00000000-0005-0000-0000-00004A4F0000}"/>
    <cellStyle name="40% - Accent4 3 2 2 2 2 3 5" xfId="32911" xr:uid="{00000000-0005-0000-0000-00004B4F0000}"/>
    <cellStyle name="40% - Accent4 3 2 2 2 2 4" xfId="4878" xr:uid="{00000000-0005-0000-0000-00004C4F0000}"/>
    <cellStyle name="40% - Accent4 3 2 2 2 2 4 2" xfId="12150" xr:uid="{00000000-0005-0000-0000-00004D4F0000}"/>
    <cellStyle name="40% - Accent4 3 2 2 2 2 4 2 2" xfId="26684" xr:uid="{00000000-0005-0000-0000-00004E4F0000}"/>
    <cellStyle name="40% - Accent4 3 2 2 2 2 4 2 2 2" xfId="55690" xr:uid="{00000000-0005-0000-0000-00004F4F0000}"/>
    <cellStyle name="40% - Accent4 3 2 2 2 2 4 2 3" xfId="41191" xr:uid="{00000000-0005-0000-0000-0000504F0000}"/>
    <cellStyle name="40% - Accent4 3 2 2 2 2 4 3" xfId="19436" xr:uid="{00000000-0005-0000-0000-0000514F0000}"/>
    <cellStyle name="40% - Accent4 3 2 2 2 2 4 3 2" xfId="48442" xr:uid="{00000000-0005-0000-0000-0000524F0000}"/>
    <cellStyle name="40% - Accent4 3 2 2 2 2 4 4" xfId="33943" xr:uid="{00000000-0005-0000-0000-0000534F0000}"/>
    <cellStyle name="40% - Accent4 3 2 2 2 2 5" xfId="7982" xr:uid="{00000000-0005-0000-0000-0000544F0000}"/>
    <cellStyle name="40% - Accent4 3 2 2 2 2 5 2" xfId="15254" xr:uid="{00000000-0005-0000-0000-0000554F0000}"/>
    <cellStyle name="40% - Accent4 3 2 2 2 2 5 2 2" xfId="29788" xr:uid="{00000000-0005-0000-0000-0000564F0000}"/>
    <cellStyle name="40% - Accent4 3 2 2 2 2 5 2 2 2" xfId="58794" xr:uid="{00000000-0005-0000-0000-0000574F0000}"/>
    <cellStyle name="40% - Accent4 3 2 2 2 2 5 2 3" xfId="44295" xr:uid="{00000000-0005-0000-0000-0000584F0000}"/>
    <cellStyle name="40% - Accent4 3 2 2 2 2 5 3" xfId="22540" xr:uid="{00000000-0005-0000-0000-0000594F0000}"/>
    <cellStyle name="40% - Accent4 3 2 2 2 2 5 3 2" xfId="51546" xr:uid="{00000000-0005-0000-0000-00005A4F0000}"/>
    <cellStyle name="40% - Accent4 3 2 2 2 2 5 4" xfId="37047" xr:uid="{00000000-0005-0000-0000-00005B4F0000}"/>
    <cellStyle name="40% - Accent4 3 2 2 2 2 6" xfId="9046" xr:uid="{00000000-0005-0000-0000-00005C4F0000}"/>
    <cellStyle name="40% - Accent4 3 2 2 2 2 6 2" xfId="23580" xr:uid="{00000000-0005-0000-0000-00005D4F0000}"/>
    <cellStyle name="40% - Accent4 3 2 2 2 2 6 2 2" xfId="52586" xr:uid="{00000000-0005-0000-0000-00005E4F0000}"/>
    <cellStyle name="40% - Accent4 3 2 2 2 2 6 3" xfId="38087" xr:uid="{00000000-0005-0000-0000-00005F4F0000}"/>
    <cellStyle name="40% - Accent4 3 2 2 2 2 7" xfId="16332" xr:uid="{00000000-0005-0000-0000-0000604F0000}"/>
    <cellStyle name="40% - Accent4 3 2 2 2 2 7 2" xfId="45338" xr:uid="{00000000-0005-0000-0000-0000614F0000}"/>
    <cellStyle name="40% - Accent4 3 2 2 2 2 8" xfId="30839" xr:uid="{00000000-0005-0000-0000-0000624F0000}"/>
    <cellStyle name="40% - Accent4 3 2 2 2 3" xfId="2302" xr:uid="{00000000-0005-0000-0000-0000634F0000}"/>
    <cellStyle name="40% - Accent4 3 2 2 2 3 2" xfId="5406" xr:uid="{00000000-0005-0000-0000-0000644F0000}"/>
    <cellStyle name="40% - Accent4 3 2 2 2 3 2 2" xfId="12678" xr:uid="{00000000-0005-0000-0000-0000654F0000}"/>
    <cellStyle name="40% - Accent4 3 2 2 2 3 2 2 2" xfId="27212" xr:uid="{00000000-0005-0000-0000-0000664F0000}"/>
    <cellStyle name="40% - Accent4 3 2 2 2 3 2 2 2 2" xfId="56218" xr:uid="{00000000-0005-0000-0000-0000674F0000}"/>
    <cellStyle name="40% - Accent4 3 2 2 2 3 2 2 3" xfId="41719" xr:uid="{00000000-0005-0000-0000-0000684F0000}"/>
    <cellStyle name="40% - Accent4 3 2 2 2 3 2 3" xfId="19964" xr:uid="{00000000-0005-0000-0000-0000694F0000}"/>
    <cellStyle name="40% - Accent4 3 2 2 2 3 2 3 2" xfId="48970" xr:uid="{00000000-0005-0000-0000-00006A4F0000}"/>
    <cellStyle name="40% - Accent4 3 2 2 2 3 2 4" xfId="34471" xr:uid="{00000000-0005-0000-0000-00006B4F0000}"/>
    <cellStyle name="40% - Accent4 3 2 2 2 3 3" xfId="9574" xr:uid="{00000000-0005-0000-0000-00006C4F0000}"/>
    <cellStyle name="40% - Accent4 3 2 2 2 3 3 2" xfId="24108" xr:uid="{00000000-0005-0000-0000-00006D4F0000}"/>
    <cellStyle name="40% - Accent4 3 2 2 2 3 3 2 2" xfId="53114" xr:uid="{00000000-0005-0000-0000-00006E4F0000}"/>
    <cellStyle name="40% - Accent4 3 2 2 2 3 3 3" xfId="38615" xr:uid="{00000000-0005-0000-0000-00006F4F0000}"/>
    <cellStyle name="40% - Accent4 3 2 2 2 3 4" xfId="16860" xr:uid="{00000000-0005-0000-0000-0000704F0000}"/>
    <cellStyle name="40% - Accent4 3 2 2 2 3 4 2" xfId="45866" xr:uid="{00000000-0005-0000-0000-0000714F0000}"/>
    <cellStyle name="40% - Accent4 3 2 2 2 3 5" xfId="31367" xr:uid="{00000000-0005-0000-0000-0000724F0000}"/>
    <cellStyle name="40% - Accent4 3 2 2 2 4" xfId="3334" xr:uid="{00000000-0005-0000-0000-0000734F0000}"/>
    <cellStyle name="40% - Accent4 3 2 2 2 4 2" xfId="6438" xr:uid="{00000000-0005-0000-0000-0000744F0000}"/>
    <cellStyle name="40% - Accent4 3 2 2 2 4 2 2" xfId="13710" xr:uid="{00000000-0005-0000-0000-0000754F0000}"/>
    <cellStyle name="40% - Accent4 3 2 2 2 4 2 2 2" xfId="28244" xr:uid="{00000000-0005-0000-0000-0000764F0000}"/>
    <cellStyle name="40% - Accent4 3 2 2 2 4 2 2 2 2" xfId="57250" xr:uid="{00000000-0005-0000-0000-0000774F0000}"/>
    <cellStyle name="40% - Accent4 3 2 2 2 4 2 2 3" xfId="42751" xr:uid="{00000000-0005-0000-0000-0000784F0000}"/>
    <cellStyle name="40% - Accent4 3 2 2 2 4 2 3" xfId="20996" xr:uid="{00000000-0005-0000-0000-0000794F0000}"/>
    <cellStyle name="40% - Accent4 3 2 2 2 4 2 3 2" xfId="50002" xr:uid="{00000000-0005-0000-0000-00007A4F0000}"/>
    <cellStyle name="40% - Accent4 3 2 2 2 4 2 4" xfId="35503" xr:uid="{00000000-0005-0000-0000-00007B4F0000}"/>
    <cellStyle name="40% - Accent4 3 2 2 2 4 3" xfId="10606" xr:uid="{00000000-0005-0000-0000-00007C4F0000}"/>
    <cellStyle name="40% - Accent4 3 2 2 2 4 3 2" xfId="25140" xr:uid="{00000000-0005-0000-0000-00007D4F0000}"/>
    <cellStyle name="40% - Accent4 3 2 2 2 4 3 2 2" xfId="54146" xr:uid="{00000000-0005-0000-0000-00007E4F0000}"/>
    <cellStyle name="40% - Accent4 3 2 2 2 4 3 3" xfId="39647" xr:uid="{00000000-0005-0000-0000-00007F4F0000}"/>
    <cellStyle name="40% - Accent4 3 2 2 2 4 4" xfId="17892" xr:uid="{00000000-0005-0000-0000-0000804F0000}"/>
    <cellStyle name="40% - Accent4 3 2 2 2 4 4 2" xfId="46898" xr:uid="{00000000-0005-0000-0000-0000814F0000}"/>
    <cellStyle name="40% - Accent4 3 2 2 2 4 5" xfId="32399" xr:uid="{00000000-0005-0000-0000-0000824F0000}"/>
    <cellStyle name="40% - Accent4 3 2 2 2 5" xfId="4366" xr:uid="{00000000-0005-0000-0000-0000834F0000}"/>
    <cellStyle name="40% - Accent4 3 2 2 2 5 2" xfId="11638" xr:uid="{00000000-0005-0000-0000-0000844F0000}"/>
    <cellStyle name="40% - Accent4 3 2 2 2 5 2 2" xfId="26172" xr:uid="{00000000-0005-0000-0000-0000854F0000}"/>
    <cellStyle name="40% - Accent4 3 2 2 2 5 2 2 2" xfId="55178" xr:uid="{00000000-0005-0000-0000-0000864F0000}"/>
    <cellStyle name="40% - Accent4 3 2 2 2 5 2 3" xfId="40679" xr:uid="{00000000-0005-0000-0000-0000874F0000}"/>
    <cellStyle name="40% - Accent4 3 2 2 2 5 3" xfId="18924" xr:uid="{00000000-0005-0000-0000-0000884F0000}"/>
    <cellStyle name="40% - Accent4 3 2 2 2 5 3 2" xfId="47930" xr:uid="{00000000-0005-0000-0000-0000894F0000}"/>
    <cellStyle name="40% - Accent4 3 2 2 2 5 4" xfId="33431" xr:uid="{00000000-0005-0000-0000-00008A4F0000}"/>
    <cellStyle name="40% - Accent4 3 2 2 2 6" xfId="7470" xr:uid="{00000000-0005-0000-0000-00008B4F0000}"/>
    <cellStyle name="40% - Accent4 3 2 2 2 6 2" xfId="14742" xr:uid="{00000000-0005-0000-0000-00008C4F0000}"/>
    <cellStyle name="40% - Accent4 3 2 2 2 6 2 2" xfId="29276" xr:uid="{00000000-0005-0000-0000-00008D4F0000}"/>
    <cellStyle name="40% - Accent4 3 2 2 2 6 2 2 2" xfId="58282" xr:uid="{00000000-0005-0000-0000-00008E4F0000}"/>
    <cellStyle name="40% - Accent4 3 2 2 2 6 2 3" xfId="43783" xr:uid="{00000000-0005-0000-0000-00008F4F0000}"/>
    <cellStyle name="40% - Accent4 3 2 2 2 6 3" xfId="22028" xr:uid="{00000000-0005-0000-0000-0000904F0000}"/>
    <cellStyle name="40% - Accent4 3 2 2 2 6 3 2" xfId="51034" xr:uid="{00000000-0005-0000-0000-0000914F0000}"/>
    <cellStyle name="40% - Accent4 3 2 2 2 6 4" xfId="36535" xr:uid="{00000000-0005-0000-0000-0000924F0000}"/>
    <cellStyle name="40% - Accent4 3 2 2 2 7" xfId="8534" xr:uid="{00000000-0005-0000-0000-0000934F0000}"/>
    <cellStyle name="40% - Accent4 3 2 2 2 7 2" xfId="23068" xr:uid="{00000000-0005-0000-0000-0000944F0000}"/>
    <cellStyle name="40% - Accent4 3 2 2 2 7 2 2" xfId="52074" xr:uid="{00000000-0005-0000-0000-0000954F0000}"/>
    <cellStyle name="40% - Accent4 3 2 2 2 7 3" xfId="37575" xr:uid="{00000000-0005-0000-0000-0000964F0000}"/>
    <cellStyle name="40% - Accent4 3 2 2 2 8" xfId="15820" xr:uid="{00000000-0005-0000-0000-0000974F0000}"/>
    <cellStyle name="40% - Accent4 3 2 2 2 8 2" xfId="44826" xr:uid="{00000000-0005-0000-0000-0000984F0000}"/>
    <cellStyle name="40% - Accent4 3 2 2 2 9" xfId="30327" xr:uid="{00000000-0005-0000-0000-0000994F0000}"/>
    <cellStyle name="40% - Accent4 3 2 2 3" xfId="1450" xr:uid="{00000000-0005-0000-0000-00009A4F0000}"/>
    <cellStyle name="40% - Accent4 3 2 2 3 2" xfId="2508" xr:uid="{00000000-0005-0000-0000-00009B4F0000}"/>
    <cellStyle name="40% - Accent4 3 2 2 3 2 2" xfId="5612" xr:uid="{00000000-0005-0000-0000-00009C4F0000}"/>
    <cellStyle name="40% - Accent4 3 2 2 3 2 2 2" xfId="12884" xr:uid="{00000000-0005-0000-0000-00009D4F0000}"/>
    <cellStyle name="40% - Accent4 3 2 2 3 2 2 2 2" xfId="27418" xr:uid="{00000000-0005-0000-0000-00009E4F0000}"/>
    <cellStyle name="40% - Accent4 3 2 2 3 2 2 2 2 2" xfId="56424" xr:uid="{00000000-0005-0000-0000-00009F4F0000}"/>
    <cellStyle name="40% - Accent4 3 2 2 3 2 2 2 3" xfId="41925" xr:uid="{00000000-0005-0000-0000-0000A04F0000}"/>
    <cellStyle name="40% - Accent4 3 2 2 3 2 2 3" xfId="20170" xr:uid="{00000000-0005-0000-0000-0000A14F0000}"/>
    <cellStyle name="40% - Accent4 3 2 2 3 2 2 3 2" xfId="49176" xr:uid="{00000000-0005-0000-0000-0000A24F0000}"/>
    <cellStyle name="40% - Accent4 3 2 2 3 2 2 4" xfId="34677" xr:uid="{00000000-0005-0000-0000-0000A34F0000}"/>
    <cellStyle name="40% - Accent4 3 2 2 3 2 3" xfId="9780" xr:uid="{00000000-0005-0000-0000-0000A44F0000}"/>
    <cellStyle name="40% - Accent4 3 2 2 3 2 3 2" xfId="24314" xr:uid="{00000000-0005-0000-0000-0000A54F0000}"/>
    <cellStyle name="40% - Accent4 3 2 2 3 2 3 2 2" xfId="53320" xr:uid="{00000000-0005-0000-0000-0000A64F0000}"/>
    <cellStyle name="40% - Accent4 3 2 2 3 2 3 3" xfId="38821" xr:uid="{00000000-0005-0000-0000-0000A74F0000}"/>
    <cellStyle name="40% - Accent4 3 2 2 3 2 4" xfId="17066" xr:uid="{00000000-0005-0000-0000-0000A84F0000}"/>
    <cellStyle name="40% - Accent4 3 2 2 3 2 4 2" xfId="46072" xr:uid="{00000000-0005-0000-0000-0000A94F0000}"/>
    <cellStyle name="40% - Accent4 3 2 2 3 2 5" xfId="31573" xr:uid="{00000000-0005-0000-0000-0000AA4F0000}"/>
    <cellStyle name="40% - Accent4 3 2 2 3 3" xfId="3540" xr:uid="{00000000-0005-0000-0000-0000AB4F0000}"/>
    <cellStyle name="40% - Accent4 3 2 2 3 3 2" xfId="6644" xr:uid="{00000000-0005-0000-0000-0000AC4F0000}"/>
    <cellStyle name="40% - Accent4 3 2 2 3 3 2 2" xfId="13916" xr:uid="{00000000-0005-0000-0000-0000AD4F0000}"/>
    <cellStyle name="40% - Accent4 3 2 2 3 3 2 2 2" xfId="28450" xr:uid="{00000000-0005-0000-0000-0000AE4F0000}"/>
    <cellStyle name="40% - Accent4 3 2 2 3 3 2 2 2 2" xfId="57456" xr:uid="{00000000-0005-0000-0000-0000AF4F0000}"/>
    <cellStyle name="40% - Accent4 3 2 2 3 3 2 2 3" xfId="42957" xr:uid="{00000000-0005-0000-0000-0000B04F0000}"/>
    <cellStyle name="40% - Accent4 3 2 2 3 3 2 3" xfId="21202" xr:uid="{00000000-0005-0000-0000-0000B14F0000}"/>
    <cellStyle name="40% - Accent4 3 2 2 3 3 2 3 2" xfId="50208" xr:uid="{00000000-0005-0000-0000-0000B24F0000}"/>
    <cellStyle name="40% - Accent4 3 2 2 3 3 2 4" xfId="35709" xr:uid="{00000000-0005-0000-0000-0000B34F0000}"/>
    <cellStyle name="40% - Accent4 3 2 2 3 3 3" xfId="10812" xr:uid="{00000000-0005-0000-0000-0000B44F0000}"/>
    <cellStyle name="40% - Accent4 3 2 2 3 3 3 2" xfId="25346" xr:uid="{00000000-0005-0000-0000-0000B54F0000}"/>
    <cellStyle name="40% - Accent4 3 2 2 3 3 3 2 2" xfId="54352" xr:uid="{00000000-0005-0000-0000-0000B64F0000}"/>
    <cellStyle name="40% - Accent4 3 2 2 3 3 3 3" xfId="39853" xr:uid="{00000000-0005-0000-0000-0000B74F0000}"/>
    <cellStyle name="40% - Accent4 3 2 2 3 3 4" xfId="18098" xr:uid="{00000000-0005-0000-0000-0000B84F0000}"/>
    <cellStyle name="40% - Accent4 3 2 2 3 3 4 2" xfId="47104" xr:uid="{00000000-0005-0000-0000-0000B94F0000}"/>
    <cellStyle name="40% - Accent4 3 2 2 3 3 5" xfId="32605" xr:uid="{00000000-0005-0000-0000-0000BA4F0000}"/>
    <cellStyle name="40% - Accent4 3 2 2 3 4" xfId="4572" xr:uid="{00000000-0005-0000-0000-0000BB4F0000}"/>
    <cellStyle name="40% - Accent4 3 2 2 3 4 2" xfId="11844" xr:uid="{00000000-0005-0000-0000-0000BC4F0000}"/>
    <cellStyle name="40% - Accent4 3 2 2 3 4 2 2" xfId="26378" xr:uid="{00000000-0005-0000-0000-0000BD4F0000}"/>
    <cellStyle name="40% - Accent4 3 2 2 3 4 2 2 2" xfId="55384" xr:uid="{00000000-0005-0000-0000-0000BE4F0000}"/>
    <cellStyle name="40% - Accent4 3 2 2 3 4 2 3" xfId="40885" xr:uid="{00000000-0005-0000-0000-0000BF4F0000}"/>
    <cellStyle name="40% - Accent4 3 2 2 3 4 3" xfId="19130" xr:uid="{00000000-0005-0000-0000-0000C04F0000}"/>
    <cellStyle name="40% - Accent4 3 2 2 3 4 3 2" xfId="48136" xr:uid="{00000000-0005-0000-0000-0000C14F0000}"/>
    <cellStyle name="40% - Accent4 3 2 2 3 4 4" xfId="33637" xr:uid="{00000000-0005-0000-0000-0000C24F0000}"/>
    <cellStyle name="40% - Accent4 3 2 2 3 5" xfId="7676" xr:uid="{00000000-0005-0000-0000-0000C34F0000}"/>
    <cellStyle name="40% - Accent4 3 2 2 3 5 2" xfId="14948" xr:uid="{00000000-0005-0000-0000-0000C44F0000}"/>
    <cellStyle name="40% - Accent4 3 2 2 3 5 2 2" xfId="29482" xr:uid="{00000000-0005-0000-0000-0000C54F0000}"/>
    <cellStyle name="40% - Accent4 3 2 2 3 5 2 2 2" xfId="58488" xr:uid="{00000000-0005-0000-0000-0000C64F0000}"/>
    <cellStyle name="40% - Accent4 3 2 2 3 5 2 3" xfId="43989" xr:uid="{00000000-0005-0000-0000-0000C74F0000}"/>
    <cellStyle name="40% - Accent4 3 2 2 3 5 3" xfId="22234" xr:uid="{00000000-0005-0000-0000-0000C84F0000}"/>
    <cellStyle name="40% - Accent4 3 2 2 3 5 3 2" xfId="51240" xr:uid="{00000000-0005-0000-0000-0000C94F0000}"/>
    <cellStyle name="40% - Accent4 3 2 2 3 5 4" xfId="36741" xr:uid="{00000000-0005-0000-0000-0000CA4F0000}"/>
    <cellStyle name="40% - Accent4 3 2 2 3 6" xfId="8740" xr:uid="{00000000-0005-0000-0000-0000CB4F0000}"/>
    <cellStyle name="40% - Accent4 3 2 2 3 6 2" xfId="23274" xr:uid="{00000000-0005-0000-0000-0000CC4F0000}"/>
    <cellStyle name="40% - Accent4 3 2 2 3 6 2 2" xfId="52280" xr:uid="{00000000-0005-0000-0000-0000CD4F0000}"/>
    <cellStyle name="40% - Accent4 3 2 2 3 6 3" xfId="37781" xr:uid="{00000000-0005-0000-0000-0000CE4F0000}"/>
    <cellStyle name="40% - Accent4 3 2 2 3 7" xfId="16026" xr:uid="{00000000-0005-0000-0000-0000CF4F0000}"/>
    <cellStyle name="40% - Accent4 3 2 2 3 7 2" xfId="45032" xr:uid="{00000000-0005-0000-0000-0000D04F0000}"/>
    <cellStyle name="40% - Accent4 3 2 2 3 8" xfId="30533" xr:uid="{00000000-0005-0000-0000-0000D14F0000}"/>
    <cellStyle name="40% - Accent4 3 2 2 4" xfId="1996" xr:uid="{00000000-0005-0000-0000-0000D24F0000}"/>
    <cellStyle name="40% - Accent4 3 2 2 4 2" xfId="5100" xr:uid="{00000000-0005-0000-0000-0000D34F0000}"/>
    <cellStyle name="40% - Accent4 3 2 2 4 2 2" xfId="12372" xr:uid="{00000000-0005-0000-0000-0000D44F0000}"/>
    <cellStyle name="40% - Accent4 3 2 2 4 2 2 2" xfId="26906" xr:uid="{00000000-0005-0000-0000-0000D54F0000}"/>
    <cellStyle name="40% - Accent4 3 2 2 4 2 2 2 2" xfId="55912" xr:uid="{00000000-0005-0000-0000-0000D64F0000}"/>
    <cellStyle name="40% - Accent4 3 2 2 4 2 2 3" xfId="41413" xr:uid="{00000000-0005-0000-0000-0000D74F0000}"/>
    <cellStyle name="40% - Accent4 3 2 2 4 2 3" xfId="19658" xr:uid="{00000000-0005-0000-0000-0000D84F0000}"/>
    <cellStyle name="40% - Accent4 3 2 2 4 2 3 2" xfId="48664" xr:uid="{00000000-0005-0000-0000-0000D94F0000}"/>
    <cellStyle name="40% - Accent4 3 2 2 4 2 4" xfId="34165" xr:uid="{00000000-0005-0000-0000-0000DA4F0000}"/>
    <cellStyle name="40% - Accent4 3 2 2 4 3" xfId="9268" xr:uid="{00000000-0005-0000-0000-0000DB4F0000}"/>
    <cellStyle name="40% - Accent4 3 2 2 4 3 2" xfId="23802" xr:uid="{00000000-0005-0000-0000-0000DC4F0000}"/>
    <cellStyle name="40% - Accent4 3 2 2 4 3 2 2" xfId="52808" xr:uid="{00000000-0005-0000-0000-0000DD4F0000}"/>
    <cellStyle name="40% - Accent4 3 2 2 4 3 3" xfId="38309" xr:uid="{00000000-0005-0000-0000-0000DE4F0000}"/>
    <cellStyle name="40% - Accent4 3 2 2 4 4" xfId="16554" xr:uid="{00000000-0005-0000-0000-0000DF4F0000}"/>
    <cellStyle name="40% - Accent4 3 2 2 4 4 2" xfId="45560" xr:uid="{00000000-0005-0000-0000-0000E04F0000}"/>
    <cellStyle name="40% - Accent4 3 2 2 4 5" xfId="31061" xr:uid="{00000000-0005-0000-0000-0000E14F0000}"/>
    <cellStyle name="40% - Accent4 3 2 2 5" xfId="3028" xr:uid="{00000000-0005-0000-0000-0000E24F0000}"/>
    <cellStyle name="40% - Accent4 3 2 2 5 2" xfId="6132" xr:uid="{00000000-0005-0000-0000-0000E34F0000}"/>
    <cellStyle name="40% - Accent4 3 2 2 5 2 2" xfId="13404" xr:uid="{00000000-0005-0000-0000-0000E44F0000}"/>
    <cellStyle name="40% - Accent4 3 2 2 5 2 2 2" xfId="27938" xr:uid="{00000000-0005-0000-0000-0000E54F0000}"/>
    <cellStyle name="40% - Accent4 3 2 2 5 2 2 2 2" xfId="56944" xr:uid="{00000000-0005-0000-0000-0000E64F0000}"/>
    <cellStyle name="40% - Accent4 3 2 2 5 2 2 3" xfId="42445" xr:uid="{00000000-0005-0000-0000-0000E74F0000}"/>
    <cellStyle name="40% - Accent4 3 2 2 5 2 3" xfId="20690" xr:uid="{00000000-0005-0000-0000-0000E84F0000}"/>
    <cellStyle name="40% - Accent4 3 2 2 5 2 3 2" xfId="49696" xr:uid="{00000000-0005-0000-0000-0000E94F0000}"/>
    <cellStyle name="40% - Accent4 3 2 2 5 2 4" xfId="35197" xr:uid="{00000000-0005-0000-0000-0000EA4F0000}"/>
    <cellStyle name="40% - Accent4 3 2 2 5 3" xfId="10300" xr:uid="{00000000-0005-0000-0000-0000EB4F0000}"/>
    <cellStyle name="40% - Accent4 3 2 2 5 3 2" xfId="24834" xr:uid="{00000000-0005-0000-0000-0000EC4F0000}"/>
    <cellStyle name="40% - Accent4 3 2 2 5 3 2 2" xfId="53840" xr:uid="{00000000-0005-0000-0000-0000ED4F0000}"/>
    <cellStyle name="40% - Accent4 3 2 2 5 3 3" xfId="39341" xr:uid="{00000000-0005-0000-0000-0000EE4F0000}"/>
    <cellStyle name="40% - Accent4 3 2 2 5 4" xfId="17586" xr:uid="{00000000-0005-0000-0000-0000EF4F0000}"/>
    <cellStyle name="40% - Accent4 3 2 2 5 4 2" xfId="46592" xr:uid="{00000000-0005-0000-0000-0000F04F0000}"/>
    <cellStyle name="40% - Accent4 3 2 2 5 5" xfId="32093" xr:uid="{00000000-0005-0000-0000-0000F14F0000}"/>
    <cellStyle name="40% - Accent4 3 2 2 6" xfId="4060" xr:uid="{00000000-0005-0000-0000-0000F24F0000}"/>
    <cellStyle name="40% - Accent4 3 2 2 6 2" xfId="11332" xr:uid="{00000000-0005-0000-0000-0000F34F0000}"/>
    <cellStyle name="40% - Accent4 3 2 2 6 2 2" xfId="25866" xr:uid="{00000000-0005-0000-0000-0000F44F0000}"/>
    <cellStyle name="40% - Accent4 3 2 2 6 2 2 2" xfId="54872" xr:uid="{00000000-0005-0000-0000-0000F54F0000}"/>
    <cellStyle name="40% - Accent4 3 2 2 6 2 3" xfId="40373" xr:uid="{00000000-0005-0000-0000-0000F64F0000}"/>
    <cellStyle name="40% - Accent4 3 2 2 6 3" xfId="18618" xr:uid="{00000000-0005-0000-0000-0000F74F0000}"/>
    <cellStyle name="40% - Accent4 3 2 2 6 3 2" xfId="47624" xr:uid="{00000000-0005-0000-0000-0000F84F0000}"/>
    <cellStyle name="40% - Accent4 3 2 2 6 4" xfId="33125" xr:uid="{00000000-0005-0000-0000-0000F94F0000}"/>
    <cellStyle name="40% - Accent4 3 2 2 7" xfId="7164" xr:uid="{00000000-0005-0000-0000-0000FA4F0000}"/>
    <cellStyle name="40% - Accent4 3 2 2 7 2" xfId="14436" xr:uid="{00000000-0005-0000-0000-0000FB4F0000}"/>
    <cellStyle name="40% - Accent4 3 2 2 7 2 2" xfId="28970" xr:uid="{00000000-0005-0000-0000-0000FC4F0000}"/>
    <cellStyle name="40% - Accent4 3 2 2 7 2 2 2" xfId="57976" xr:uid="{00000000-0005-0000-0000-0000FD4F0000}"/>
    <cellStyle name="40% - Accent4 3 2 2 7 2 3" xfId="43477" xr:uid="{00000000-0005-0000-0000-0000FE4F0000}"/>
    <cellStyle name="40% - Accent4 3 2 2 7 3" xfId="21722" xr:uid="{00000000-0005-0000-0000-0000FF4F0000}"/>
    <cellStyle name="40% - Accent4 3 2 2 7 3 2" xfId="50728" xr:uid="{00000000-0005-0000-0000-000000500000}"/>
    <cellStyle name="40% - Accent4 3 2 2 7 4" xfId="36229" xr:uid="{00000000-0005-0000-0000-000001500000}"/>
    <cellStyle name="40% - Accent4 3 2 2 8" xfId="8228" xr:uid="{00000000-0005-0000-0000-000002500000}"/>
    <cellStyle name="40% - Accent4 3 2 2 8 2" xfId="22762" xr:uid="{00000000-0005-0000-0000-000003500000}"/>
    <cellStyle name="40% - Accent4 3 2 2 8 2 2" xfId="51768" xr:uid="{00000000-0005-0000-0000-000004500000}"/>
    <cellStyle name="40% - Accent4 3 2 2 8 3" xfId="37269" xr:uid="{00000000-0005-0000-0000-000005500000}"/>
    <cellStyle name="40% - Accent4 3 2 2 9" xfId="15514" xr:uid="{00000000-0005-0000-0000-000006500000}"/>
    <cellStyle name="40% - Accent4 3 2 2 9 2" xfId="44520" xr:uid="{00000000-0005-0000-0000-000007500000}"/>
    <cellStyle name="40% - Accent4 3 2 3" xfId="1153" xr:uid="{00000000-0005-0000-0000-000008500000}"/>
    <cellStyle name="40% - Accent4 3 2 3 2" xfId="1652" xr:uid="{00000000-0005-0000-0000-000009500000}"/>
    <cellStyle name="40% - Accent4 3 2 3 2 2" xfId="2711" xr:uid="{00000000-0005-0000-0000-00000A500000}"/>
    <cellStyle name="40% - Accent4 3 2 3 2 2 2" xfId="5815" xr:uid="{00000000-0005-0000-0000-00000B500000}"/>
    <cellStyle name="40% - Accent4 3 2 3 2 2 2 2" xfId="13087" xr:uid="{00000000-0005-0000-0000-00000C500000}"/>
    <cellStyle name="40% - Accent4 3 2 3 2 2 2 2 2" xfId="27621" xr:uid="{00000000-0005-0000-0000-00000D500000}"/>
    <cellStyle name="40% - Accent4 3 2 3 2 2 2 2 2 2" xfId="56627" xr:uid="{00000000-0005-0000-0000-00000E500000}"/>
    <cellStyle name="40% - Accent4 3 2 3 2 2 2 2 3" xfId="42128" xr:uid="{00000000-0005-0000-0000-00000F500000}"/>
    <cellStyle name="40% - Accent4 3 2 3 2 2 2 3" xfId="20373" xr:uid="{00000000-0005-0000-0000-000010500000}"/>
    <cellStyle name="40% - Accent4 3 2 3 2 2 2 3 2" xfId="49379" xr:uid="{00000000-0005-0000-0000-000011500000}"/>
    <cellStyle name="40% - Accent4 3 2 3 2 2 2 4" xfId="34880" xr:uid="{00000000-0005-0000-0000-000012500000}"/>
    <cellStyle name="40% - Accent4 3 2 3 2 2 3" xfId="9983" xr:uid="{00000000-0005-0000-0000-000013500000}"/>
    <cellStyle name="40% - Accent4 3 2 3 2 2 3 2" xfId="24517" xr:uid="{00000000-0005-0000-0000-000014500000}"/>
    <cellStyle name="40% - Accent4 3 2 3 2 2 3 2 2" xfId="53523" xr:uid="{00000000-0005-0000-0000-000015500000}"/>
    <cellStyle name="40% - Accent4 3 2 3 2 2 3 3" xfId="39024" xr:uid="{00000000-0005-0000-0000-000016500000}"/>
    <cellStyle name="40% - Accent4 3 2 3 2 2 4" xfId="17269" xr:uid="{00000000-0005-0000-0000-000017500000}"/>
    <cellStyle name="40% - Accent4 3 2 3 2 2 4 2" xfId="46275" xr:uid="{00000000-0005-0000-0000-000018500000}"/>
    <cellStyle name="40% - Accent4 3 2 3 2 2 5" xfId="31776" xr:uid="{00000000-0005-0000-0000-000019500000}"/>
    <cellStyle name="40% - Accent4 3 2 3 2 3" xfId="3743" xr:uid="{00000000-0005-0000-0000-00001A500000}"/>
    <cellStyle name="40% - Accent4 3 2 3 2 3 2" xfId="6847" xr:uid="{00000000-0005-0000-0000-00001B500000}"/>
    <cellStyle name="40% - Accent4 3 2 3 2 3 2 2" xfId="14119" xr:uid="{00000000-0005-0000-0000-00001C500000}"/>
    <cellStyle name="40% - Accent4 3 2 3 2 3 2 2 2" xfId="28653" xr:uid="{00000000-0005-0000-0000-00001D500000}"/>
    <cellStyle name="40% - Accent4 3 2 3 2 3 2 2 2 2" xfId="57659" xr:uid="{00000000-0005-0000-0000-00001E500000}"/>
    <cellStyle name="40% - Accent4 3 2 3 2 3 2 2 3" xfId="43160" xr:uid="{00000000-0005-0000-0000-00001F500000}"/>
    <cellStyle name="40% - Accent4 3 2 3 2 3 2 3" xfId="21405" xr:uid="{00000000-0005-0000-0000-000020500000}"/>
    <cellStyle name="40% - Accent4 3 2 3 2 3 2 3 2" xfId="50411" xr:uid="{00000000-0005-0000-0000-000021500000}"/>
    <cellStyle name="40% - Accent4 3 2 3 2 3 2 4" xfId="35912" xr:uid="{00000000-0005-0000-0000-000022500000}"/>
    <cellStyle name="40% - Accent4 3 2 3 2 3 3" xfId="11015" xr:uid="{00000000-0005-0000-0000-000023500000}"/>
    <cellStyle name="40% - Accent4 3 2 3 2 3 3 2" xfId="25549" xr:uid="{00000000-0005-0000-0000-000024500000}"/>
    <cellStyle name="40% - Accent4 3 2 3 2 3 3 2 2" xfId="54555" xr:uid="{00000000-0005-0000-0000-000025500000}"/>
    <cellStyle name="40% - Accent4 3 2 3 2 3 3 3" xfId="40056" xr:uid="{00000000-0005-0000-0000-000026500000}"/>
    <cellStyle name="40% - Accent4 3 2 3 2 3 4" xfId="18301" xr:uid="{00000000-0005-0000-0000-000027500000}"/>
    <cellStyle name="40% - Accent4 3 2 3 2 3 4 2" xfId="47307" xr:uid="{00000000-0005-0000-0000-000028500000}"/>
    <cellStyle name="40% - Accent4 3 2 3 2 3 5" xfId="32808" xr:uid="{00000000-0005-0000-0000-000029500000}"/>
    <cellStyle name="40% - Accent4 3 2 3 2 4" xfId="4775" xr:uid="{00000000-0005-0000-0000-00002A500000}"/>
    <cellStyle name="40% - Accent4 3 2 3 2 4 2" xfId="12047" xr:uid="{00000000-0005-0000-0000-00002B500000}"/>
    <cellStyle name="40% - Accent4 3 2 3 2 4 2 2" xfId="26581" xr:uid="{00000000-0005-0000-0000-00002C500000}"/>
    <cellStyle name="40% - Accent4 3 2 3 2 4 2 2 2" xfId="55587" xr:uid="{00000000-0005-0000-0000-00002D500000}"/>
    <cellStyle name="40% - Accent4 3 2 3 2 4 2 3" xfId="41088" xr:uid="{00000000-0005-0000-0000-00002E500000}"/>
    <cellStyle name="40% - Accent4 3 2 3 2 4 3" xfId="19333" xr:uid="{00000000-0005-0000-0000-00002F500000}"/>
    <cellStyle name="40% - Accent4 3 2 3 2 4 3 2" xfId="48339" xr:uid="{00000000-0005-0000-0000-000030500000}"/>
    <cellStyle name="40% - Accent4 3 2 3 2 4 4" xfId="33840" xr:uid="{00000000-0005-0000-0000-000031500000}"/>
    <cellStyle name="40% - Accent4 3 2 3 2 5" xfId="7879" xr:uid="{00000000-0005-0000-0000-000032500000}"/>
    <cellStyle name="40% - Accent4 3 2 3 2 5 2" xfId="15151" xr:uid="{00000000-0005-0000-0000-000033500000}"/>
    <cellStyle name="40% - Accent4 3 2 3 2 5 2 2" xfId="29685" xr:uid="{00000000-0005-0000-0000-000034500000}"/>
    <cellStyle name="40% - Accent4 3 2 3 2 5 2 2 2" xfId="58691" xr:uid="{00000000-0005-0000-0000-000035500000}"/>
    <cellStyle name="40% - Accent4 3 2 3 2 5 2 3" xfId="44192" xr:uid="{00000000-0005-0000-0000-000036500000}"/>
    <cellStyle name="40% - Accent4 3 2 3 2 5 3" xfId="22437" xr:uid="{00000000-0005-0000-0000-000037500000}"/>
    <cellStyle name="40% - Accent4 3 2 3 2 5 3 2" xfId="51443" xr:uid="{00000000-0005-0000-0000-000038500000}"/>
    <cellStyle name="40% - Accent4 3 2 3 2 5 4" xfId="36944" xr:uid="{00000000-0005-0000-0000-000039500000}"/>
    <cellStyle name="40% - Accent4 3 2 3 2 6" xfId="8943" xr:uid="{00000000-0005-0000-0000-00003A500000}"/>
    <cellStyle name="40% - Accent4 3 2 3 2 6 2" xfId="23477" xr:uid="{00000000-0005-0000-0000-00003B500000}"/>
    <cellStyle name="40% - Accent4 3 2 3 2 6 2 2" xfId="52483" xr:uid="{00000000-0005-0000-0000-00003C500000}"/>
    <cellStyle name="40% - Accent4 3 2 3 2 6 3" xfId="37984" xr:uid="{00000000-0005-0000-0000-00003D500000}"/>
    <cellStyle name="40% - Accent4 3 2 3 2 7" xfId="16229" xr:uid="{00000000-0005-0000-0000-00003E500000}"/>
    <cellStyle name="40% - Accent4 3 2 3 2 7 2" xfId="45235" xr:uid="{00000000-0005-0000-0000-00003F500000}"/>
    <cellStyle name="40% - Accent4 3 2 3 2 8" xfId="30736" xr:uid="{00000000-0005-0000-0000-000040500000}"/>
    <cellStyle name="40% - Accent4 3 2 3 3" xfId="2199" xr:uid="{00000000-0005-0000-0000-000041500000}"/>
    <cellStyle name="40% - Accent4 3 2 3 3 2" xfId="5303" xr:uid="{00000000-0005-0000-0000-000042500000}"/>
    <cellStyle name="40% - Accent4 3 2 3 3 2 2" xfId="12575" xr:uid="{00000000-0005-0000-0000-000043500000}"/>
    <cellStyle name="40% - Accent4 3 2 3 3 2 2 2" xfId="27109" xr:uid="{00000000-0005-0000-0000-000044500000}"/>
    <cellStyle name="40% - Accent4 3 2 3 3 2 2 2 2" xfId="56115" xr:uid="{00000000-0005-0000-0000-000045500000}"/>
    <cellStyle name="40% - Accent4 3 2 3 3 2 2 3" xfId="41616" xr:uid="{00000000-0005-0000-0000-000046500000}"/>
    <cellStyle name="40% - Accent4 3 2 3 3 2 3" xfId="19861" xr:uid="{00000000-0005-0000-0000-000047500000}"/>
    <cellStyle name="40% - Accent4 3 2 3 3 2 3 2" xfId="48867" xr:uid="{00000000-0005-0000-0000-000048500000}"/>
    <cellStyle name="40% - Accent4 3 2 3 3 2 4" xfId="34368" xr:uid="{00000000-0005-0000-0000-000049500000}"/>
    <cellStyle name="40% - Accent4 3 2 3 3 3" xfId="9471" xr:uid="{00000000-0005-0000-0000-00004A500000}"/>
    <cellStyle name="40% - Accent4 3 2 3 3 3 2" xfId="24005" xr:uid="{00000000-0005-0000-0000-00004B500000}"/>
    <cellStyle name="40% - Accent4 3 2 3 3 3 2 2" xfId="53011" xr:uid="{00000000-0005-0000-0000-00004C500000}"/>
    <cellStyle name="40% - Accent4 3 2 3 3 3 3" xfId="38512" xr:uid="{00000000-0005-0000-0000-00004D500000}"/>
    <cellStyle name="40% - Accent4 3 2 3 3 4" xfId="16757" xr:uid="{00000000-0005-0000-0000-00004E500000}"/>
    <cellStyle name="40% - Accent4 3 2 3 3 4 2" xfId="45763" xr:uid="{00000000-0005-0000-0000-00004F500000}"/>
    <cellStyle name="40% - Accent4 3 2 3 3 5" xfId="31264" xr:uid="{00000000-0005-0000-0000-000050500000}"/>
    <cellStyle name="40% - Accent4 3 2 3 4" xfId="3231" xr:uid="{00000000-0005-0000-0000-000051500000}"/>
    <cellStyle name="40% - Accent4 3 2 3 4 2" xfId="6335" xr:uid="{00000000-0005-0000-0000-000052500000}"/>
    <cellStyle name="40% - Accent4 3 2 3 4 2 2" xfId="13607" xr:uid="{00000000-0005-0000-0000-000053500000}"/>
    <cellStyle name="40% - Accent4 3 2 3 4 2 2 2" xfId="28141" xr:uid="{00000000-0005-0000-0000-000054500000}"/>
    <cellStyle name="40% - Accent4 3 2 3 4 2 2 2 2" xfId="57147" xr:uid="{00000000-0005-0000-0000-000055500000}"/>
    <cellStyle name="40% - Accent4 3 2 3 4 2 2 3" xfId="42648" xr:uid="{00000000-0005-0000-0000-000056500000}"/>
    <cellStyle name="40% - Accent4 3 2 3 4 2 3" xfId="20893" xr:uid="{00000000-0005-0000-0000-000057500000}"/>
    <cellStyle name="40% - Accent4 3 2 3 4 2 3 2" xfId="49899" xr:uid="{00000000-0005-0000-0000-000058500000}"/>
    <cellStyle name="40% - Accent4 3 2 3 4 2 4" xfId="35400" xr:uid="{00000000-0005-0000-0000-000059500000}"/>
    <cellStyle name="40% - Accent4 3 2 3 4 3" xfId="10503" xr:uid="{00000000-0005-0000-0000-00005A500000}"/>
    <cellStyle name="40% - Accent4 3 2 3 4 3 2" xfId="25037" xr:uid="{00000000-0005-0000-0000-00005B500000}"/>
    <cellStyle name="40% - Accent4 3 2 3 4 3 2 2" xfId="54043" xr:uid="{00000000-0005-0000-0000-00005C500000}"/>
    <cellStyle name="40% - Accent4 3 2 3 4 3 3" xfId="39544" xr:uid="{00000000-0005-0000-0000-00005D500000}"/>
    <cellStyle name="40% - Accent4 3 2 3 4 4" xfId="17789" xr:uid="{00000000-0005-0000-0000-00005E500000}"/>
    <cellStyle name="40% - Accent4 3 2 3 4 4 2" xfId="46795" xr:uid="{00000000-0005-0000-0000-00005F500000}"/>
    <cellStyle name="40% - Accent4 3 2 3 4 5" xfId="32296" xr:uid="{00000000-0005-0000-0000-000060500000}"/>
    <cellStyle name="40% - Accent4 3 2 3 5" xfId="4263" xr:uid="{00000000-0005-0000-0000-000061500000}"/>
    <cellStyle name="40% - Accent4 3 2 3 5 2" xfId="11535" xr:uid="{00000000-0005-0000-0000-000062500000}"/>
    <cellStyle name="40% - Accent4 3 2 3 5 2 2" xfId="26069" xr:uid="{00000000-0005-0000-0000-000063500000}"/>
    <cellStyle name="40% - Accent4 3 2 3 5 2 2 2" xfId="55075" xr:uid="{00000000-0005-0000-0000-000064500000}"/>
    <cellStyle name="40% - Accent4 3 2 3 5 2 3" xfId="40576" xr:uid="{00000000-0005-0000-0000-000065500000}"/>
    <cellStyle name="40% - Accent4 3 2 3 5 3" xfId="18821" xr:uid="{00000000-0005-0000-0000-000066500000}"/>
    <cellStyle name="40% - Accent4 3 2 3 5 3 2" xfId="47827" xr:uid="{00000000-0005-0000-0000-000067500000}"/>
    <cellStyle name="40% - Accent4 3 2 3 5 4" xfId="33328" xr:uid="{00000000-0005-0000-0000-000068500000}"/>
    <cellStyle name="40% - Accent4 3 2 3 6" xfId="7367" xr:uid="{00000000-0005-0000-0000-000069500000}"/>
    <cellStyle name="40% - Accent4 3 2 3 6 2" xfId="14639" xr:uid="{00000000-0005-0000-0000-00006A500000}"/>
    <cellStyle name="40% - Accent4 3 2 3 6 2 2" xfId="29173" xr:uid="{00000000-0005-0000-0000-00006B500000}"/>
    <cellStyle name="40% - Accent4 3 2 3 6 2 2 2" xfId="58179" xr:uid="{00000000-0005-0000-0000-00006C500000}"/>
    <cellStyle name="40% - Accent4 3 2 3 6 2 3" xfId="43680" xr:uid="{00000000-0005-0000-0000-00006D500000}"/>
    <cellStyle name="40% - Accent4 3 2 3 6 3" xfId="21925" xr:uid="{00000000-0005-0000-0000-00006E500000}"/>
    <cellStyle name="40% - Accent4 3 2 3 6 3 2" xfId="50931" xr:uid="{00000000-0005-0000-0000-00006F500000}"/>
    <cellStyle name="40% - Accent4 3 2 3 6 4" xfId="36432" xr:uid="{00000000-0005-0000-0000-000070500000}"/>
    <cellStyle name="40% - Accent4 3 2 3 7" xfId="8431" xr:uid="{00000000-0005-0000-0000-000071500000}"/>
    <cellStyle name="40% - Accent4 3 2 3 7 2" xfId="22965" xr:uid="{00000000-0005-0000-0000-000072500000}"/>
    <cellStyle name="40% - Accent4 3 2 3 7 2 2" xfId="51971" xr:uid="{00000000-0005-0000-0000-000073500000}"/>
    <cellStyle name="40% - Accent4 3 2 3 7 3" xfId="37472" xr:uid="{00000000-0005-0000-0000-000074500000}"/>
    <cellStyle name="40% - Accent4 3 2 3 8" xfId="15717" xr:uid="{00000000-0005-0000-0000-000075500000}"/>
    <cellStyle name="40% - Accent4 3 2 3 8 2" xfId="44723" xr:uid="{00000000-0005-0000-0000-000076500000}"/>
    <cellStyle name="40% - Accent4 3 2 3 9" xfId="30224" xr:uid="{00000000-0005-0000-0000-000077500000}"/>
    <cellStyle name="40% - Accent4 3 2 4" xfId="1062" xr:uid="{00000000-0005-0000-0000-000078500000}"/>
    <cellStyle name="40% - Accent4 3 2 4 2" xfId="1553" xr:uid="{00000000-0005-0000-0000-000079500000}"/>
    <cellStyle name="40% - Accent4 3 2 4 2 2" xfId="2611" xr:uid="{00000000-0005-0000-0000-00007A500000}"/>
    <cellStyle name="40% - Accent4 3 2 4 2 2 2" xfId="5715" xr:uid="{00000000-0005-0000-0000-00007B500000}"/>
    <cellStyle name="40% - Accent4 3 2 4 2 2 2 2" xfId="12987" xr:uid="{00000000-0005-0000-0000-00007C500000}"/>
    <cellStyle name="40% - Accent4 3 2 4 2 2 2 2 2" xfId="27521" xr:uid="{00000000-0005-0000-0000-00007D500000}"/>
    <cellStyle name="40% - Accent4 3 2 4 2 2 2 2 2 2" xfId="56527" xr:uid="{00000000-0005-0000-0000-00007E500000}"/>
    <cellStyle name="40% - Accent4 3 2 4 2 2 2 2 3" xfId="42028" xr:uid="{00000000-0005-0000-0000-00007F500000}"/>
    <cellStyle name="40% - Accent4 3 2 4 2 2 2 3" xfId="20273" xr:uid="{00000000-0005-0000-0000-000080500000}"/>
    <cellStyle name="40% - Accent4 3 2 4 2 2 2 3 2" xfId="49279" xr:uid="{00000000-0005-0000-0000-000081500000}"/>
    <cellStyle name="40% - Accent4 3 2 4 2 2 2 4" xfId="34780" xr:uid="{00000000-0005-0000-0000-000082500000}"/>
    <cellStyle name="40% - Accent4 3 2 4 2 2 3" xfId="9883" xr:uid="{00000000-0005-0000-0000-000083500000}"/>
    <cellStyle name="40% - Accent4 3 2 4 2 2 3 2" xfId="24417" xr:uid="{00000000-0005-0000-0000-000084500000}"/>
    <cellStyle name="40% - Accent4 3 2 4 2 2 3 2 2" xfId="53423" xr:uid="{00000000-0005-0000-0000-000085500000}"/>
    <cellStyle name="40% - Accent4 3 2 4 2 2 3 3" xfId="38924" xr:uid="{00000000-0005-0000-0000-000086500000}"/>
    <cellStyle name="40% - Accent4 3 2 4 2 2 4" xfId="17169" xr:uid="{00000000-0005-0000-0000-000087500000}"/>
    <cellStyle name="40% - Accent4 3 2 4 2 2 4 2" xfId="46175" xr:uid="{00000000-0005-0000-0000-000088500000}"/>
    <cellStyle name="40% - Accent4 3 2 4 2 2 5" xfId="31676" xr:uid="{00000000-0005-0000-0000-000089500000}"/>
    <cellStyle name="40% - Accent4 3 2 4 2 3" xfId="3643" xr:uid="{00000000-0005-0000-0000-00008A500000}"/>
    <cellStyle name="40% - Accent4 3 2 4 2 3 2" xfId="6747" xr:uid="{00000000-0005-0000-0000-00008B500000}"/>
    <cellStyle name="40% - Accent4 3 2 4 2 3 2 2" xfId="14019" xr:uid="{00000000-0005-0000-0000-00008C500000}"/>
    <cellStyle name="40% - Accent4 3 2 4 2 3 2 2 2" xfId="28553" xr:uid="{00000000-0005-0000-0000-00008D500000}"/>
    <cellStyle name="40% - Accent4 3 2 4 2 3 2 2 2 2" xfId="57559" xr:uid="{00000000-0005-0000-0000-00008E500000}"/>
    <cellStyle name="40% - Accent4 3 2 4 2 3 2 2 3" xfId="43060" xr:uid="{00000000-0005-0000-0000-00008F500000}"/>
    <cellStyle name="40% - Accent4 3 2 4 2 3 2 3" xfId="21305" xr:uid="{00000000-0005-0000-0000-000090500000}"/>
    <cellStyle name="40% - Accent4 3 2 4 2 3 2 3 2" xfId="50311" xr:uid="{00000000-0005-0000-0000-000091500000}"/>
    <cellStyle name="40% - Accent4 3 2 4 2 3 2 4" xfId="35812" xr:uid="{00000000-0005-0000-0000-000092500000}"/>
    <cellStyle name="40% - Accent4 3 2 4 2 3 3" xfId="10915" xr:uid="{00000000-0005-0000-0000-000093500000}"/>
    <cellStyle name="40% - Accent4 3 2 4 2 3 3 2" xfId="25449" xr:uid="{00000000-0005-0000-0000-000094500000}"/>
    <cellStyle name="40% - Accent4 3 2 4 2 3 3 2 2" xfId="54455" xr:uid="{00000000-0005-0000-0000-000095500000}"/>
    <cellStyle name="40% - Accent4 3 2 4 2 3 3 3" xfId="39956" xr:uid="{00000000-0005-0000-0000-000096500000}"/>
    <cellStyle name="40% - Accent4 3 2 4 2 3 4" xfId="18201" xr:uid="{00000000-0005-0000-0000-000097500000}"/>
    <cellStyle name="40% - Accent4 3 2 4 2 3 4 2" xfId="47207" xr:uid="{00000000-0005-0000-0000-000098500000}"/>
    <cellStyle name="40% - Accent4 3 2 4 2 3 5" xfId="32708" xr:uid="{00000000-0005-0000-0000-000099500000}"/>
    <cellStyle name="40% - Accent4 3 2 4 2 4" xfId="4675" xr:uid="{00000000-0005-0000-0000-00009A500000}"/>
    <cellStyle name="40% - Accent4 3 2 4 2 4 2" xfId="11947" xr:uid="{00000000-0005-0000-0000-00009B500000}"/>
    <cellStyle name="40% - Accent4 3 2 4 2 4 2 2" xfId="26481" xr:uid="{00000000-0005-0000-0000-00009C500000}"/>
    <cellStyle name="40% - Accent4 3 2 4 2 4 2 2 2" xfId="55487" xr:uid="{00000000-0005-0000-0000-00009D500000}"/>
    <cellStyle name="40% - Accent4 3 2 4 2 4 2 3" xfId="40988" xr:uid="{00000000-0005-0000-0000-00009E500000}"/>
    <cellStyle name="40% - Accent4 3 2 4 2 4 3" xfId="19233" xr:uid="{00000000-0005-0000-0000-00009F500000}"/>
    <cellStyle name="40% - Accent4 3 2 4 2 4 3 2" xfId="48239" xr:uid="{00000000-0005-0000-0000-0000A0500000}"/>
    <cellStyle name="40% - Accent4 3 2 4 2 4 4" xfId="33740" xr:uid="{00000000-0005-0000-0000-0000A1500000}"/>
    <cellStyle name="40% - Accent4 3 2 4 2 5" xfId="7779" xr:uid="{00000000-0005-0000-0000-0000A2500000}"/>
    <cellStyle name="40% - Accent4 3 2 4 2 5 2" xfId="15051" xr:uid="{00000000-0005-0000-0000-0000A3500000}"/>
    <cellStyle name="40% - Accent4 3 2 4 2 5 2 2" xfId="29585" xr:uid="{00000000-0005-0000-0000-0000A4500000}"/>
    <cellStyle name="40% - Accent4 3 2 4 2 5 2 2 2" xfId="58591" xr:uid="{00000000-0005-0000-0000-0000A5500000}"/>
    <cellStyle name="40% - Accent4 3 2 4 2 5 2 3" xfId="44092" xr:uid="{00000000-0005-0000-0000-0000A6500000}"/>
    <cellStyle name="40% - Accent4 3 2 4 2 5 3" xfId="22337" xr:uid="{00000000-0005-0000-0000-0000A7500000}"/>
    <cellStyle name="40% - Accent4 3 2 4 2 5 3 2" xfId="51343" xr:uid="{00000000-0005-0000-0000-0000A8500000}"/>
    <cellStyle name="40% - Accent4 3 2 4 2 5 4" xfId="36844" xr:uid="{00000000-0005-0000-0000-0000A9500000}"/>
    <cellStyle name="40% - Accent4 3 2 4 2 6" xfId="8843" xr:uid="{00000000-0005-0000-0000-0000AA500000}"/>
    <cellStyle name="40% - Accent4 3 2 4 2 6 2" xfId="23377" xr:uid="{00000000-0005-0000-0000-0000AB500000}"/>
    <cellStyle name="40% - Accent4 3 2 4 2 6 2 2" xfId="52383" xr:uid="{00000000-0005-0000-0000-0000AC500000}"/>
    <cellStyle name="40% - Accent4 3 2 4 2 6 3" xfId="37884" xr:uid="{00000000-0005-0000-0000-0000AD500000}"/>
    <cellStyle name="40% - Accent4 3 2 4 2 7" xfId="16129" xr:uid="{00000000-0005-0000-0000-0000AE500000}"/>
    <cellStyle name="40% - Accent4 3 2 4 2 7 2" xfId="45135" xr:uid="{00000000-0005-0000-0000-0000AF500000}"/>
    <cellStyle name="40% - Accent4 3 2 4 2 8" xfId="30636" xr:uid="{00000000-0005-0000-0000-0000B0500000}"/>
    <cellStyle name="40% - Accent4 3 2 4 3" xfId="2099" xr:uid="{00000000-0005-0000-0000-0000B1500000}"/>
    <cellStyle name="40% - Accent4 3 2 4 3 2" xfId="5203" xr:uid="{00000000-0005-0000-0000-0000B2500000}"/>
    <cellStyle name="40% - Accent4 3 2 4 3 2 2" xfId="12475" xr:uid="{00000000-0005-0000-0000-0000B3500000}"/>
    <cellStyle name="40% - Accent4 3 2 4 3 2 2 2" xfId="27009" xr:uid="{00000000-0005-0000-0000-0000B4500000}"/>
    <cellStyle name="40% - Accent4 3 2 4 3 2 2 2 2" xfId="56015" xr:uid="{00000000-0005-0000-0000-0000B5500000}"/>
    <cellStyle name="40% - Accent4 3 2 4 3 2 2 3" xfId="41516" xr:uid="{00000000-0005-0000-0000-0000B6500000}"/>
    <cellStyle name="40% - Accent4 3 2 4 3 2 3" xfId="19761" xr:uid="{00000000-0005-0000-0000-0000B7500000}"/>
    <cellStyle name="40% - Accent4 3 2 4 3 2 3 2" xfId="48767" xr:uid="{00000000-0005-0000-0000-0000B8500000}"/>
    <cellStyle name="40% - Accent4 3 2 4 3 2 4" xfId="34268" xr:uid="{00000000-0005-0000-0000-0000B9500000}"/>
    <cellStyle name="40% - Accent4 3 2 4 3 3" xfId="9371" xr:uid="{00000000-0005-0000-0000-0000BA500000}"/>
    <cellStyle name="40% - Accent4 3 2 4 3 3 2" xfId="23905" xr:uid="{00000000-0005-0000-0000-0000BB500000}"/>
    <cellStyle name="40% - Accent4 3 2 4 3 3 2 2" xfId="52911" xr:uid="{00000000-0005-0000-0000-0000BC500000}"/>
    <cellStyle name="40% - Accent4 3 2 4 3 3 3" xfId="38412" xr:uid="{00000000-0005-0000-0000-0000BD500000}"/>
    <cellStyle name="40% - Accent4 3 2 4 3 4" xfId="16657" xr:uid="{00000000-0005-0000-0000-0000BE500000}"/>
    <cellStyle name="40% - Accent4 3 2 4 3 4 2" xfId="45663" xr:uid="{00000000-0005-0000-0000-0000BF500000}"/>
    <cellStyle name="40% - Accent4 3 2 4 3 5" xfId="31164" xr:uid="{00000000-0005-0000-0000-0000C0500000}"/>
    <cellStyle name="40% - Accent4 3 2 4 4" xfId="3131" xr:uid="{00000000-0005-0000-0000-0000C1500000}"/>
    <cellStyle name="40% - Accent4 3 2 4 4 2" xfId="6235" xr:uid="{00000000-0005-0000-0000-0000C2500000}"/>
    <cellStyle name="40% - Accent4 3 2 4 4 2 2" xfId="13507" xr:uid="{00000000-0005-0000-0000-0000C3500000}"/>
    <cellStyle name="40% - Accent4 3 2 4 4 2 2 2" xfId="28041" xr:uid="{00000000-0005-0000-0000-0000C4500000}"/>
    <cellStyle name="40% - Accent4 3 2 4 4 2 2 2 2" xfId="57047" xr:uid="{00000000-0005-0000-0000-0000C5500000}"/>
    <cellStyle name="40% - Accent4 3 2 4 4 2 2 3" xfId="42548" xr:uid="{00000000-0005-0000-0000-0000C6500000}"/>
    <cellStyle name="40% - Accent4 3 2 4 4 2 3" xfId="20793" xr:uid="{00000000-0005-0000-0000-0000C7500000}"/>
    <cellStyle name="40% - Accent4 3 2 4 4 2 3 2" xfId="49799" xr:uid="{00000000-0005-0000-0000-0000C8500000}"/>
    <cellStyle name="40% - Accent4 3 2 4 4 2 4" xfId="35300" xr:uid="{00000000-0005-0000-0000-0000C9500000}"/>
    <cellStyle name="40% - Accent4 3 2 4 4 3" xfId="10403" xr:uid="{00000000-0005-0000-0000-0000CA500000}"/>
    <cellStyle name="40% - Accent4 3 2 4 4 3 2" xfId="24937" xr:uid="{00000000-0005-0000-0000-0000CB500000}"/>
    <cellStyle name="40% - Accent4 3 2 4 4 3 2 2" xfId="53943" xr:uid="{00000000-0005-0000-0000-0000CC500000}"/>
    <cellStyle name="40% - Accent4 3 2 4 4 3 3" xfId="39444" xr:uid="{00000000-0005-0000-0000-0000CD500000}"/>
    <cellStyle name="40% - Accent4 3 2 4 4 4" xfId="17689" xr:uid="{00000000-0005-0000-0000-0000CE500000}"/>
    <cellStyle name="40% - Accent4 3 2 4 4 4 2" xfId="46695" xr:uid="{00000000-0005-0000-0000-0000CF500000}"/>
    <cellStyle name="40% - Accent4 3 2 4 4 5" xfId="32196" xr:uid="{00000000-0005-0000-0000-0000D0500000}"/>
    <cellStyle name="40% - Accent4 3 2 4 5" xfId="4163" xr:uid="{00000000-0005-0000-0000-0000D1500000}"/>
    <cellStyle name="40% - Accent4 3 2 4 5 2" xfId="11435" xr:uid="{00000000-0005-0000-0000-0000D2500000}"/>
    <cellStyle name="40% - Accent4 3 2 4 5 2 2" xfId="25969" xr:uid="{00000000-0005-0000-0000-0000D3500000}"/>
    <cellStyle name="40% - Accent4 3 2 4 5 2 2 2" xfId="54975" xr:uid="{00000000-0005-0000-0000-0000D4500000}"/>
    <cellStyle name="40% - Accent4 3 2 4 5 2 3" xfId="40476" xr:uid="{00000000-0005-0000-0000-0000D5500000}"/>
    <cellStyle name="40% - Accent4 3 2 4 5 3" xfId="18721" xr:uid="{00000000-0005-0000-0000-0000D6500000}"/>
    <cellStyle name="40% - Accent4 3 2 4 5 3 2" xfId="47727" xr:uid="{00000000-0005-0000-0000-0000D7500000}"/>
    <cellStyle name="40% - Accent4 3 2 4 5 4" xfId="33228" xr:uid="{00000000-0005-0000-0000-0000D8500000}"/>
    <cellStyle name="40% - Accent4 3 2 4 6" xfId="7267" xr:uid="{00000000-0005-0000-0000-0000D9500000}"/>
    <cellStyle name="40% - Accent4 3 2 4 6 2" xfId="14539" xr:uid="{00000000-0005-0000-0000-0000DA500000}"/>
    <cellStyle name="40% - Accent4 3 2 4 6 2 2" xfId="29073" xr:uid="{00000000-0005-0000-0000-0000DB500000}"/>
    <cellStyle name="40% - Accent4 3 2 4 6 2 2 2" xfId="58079" xr:uid="{00000000-0005-0000-0000-0000DC500000}"/>
    <cellStyle name="40% - Accent4 3 2 4 6 2 3" xfId="43580" xr:uid="{00000000-0005-0000-0000-0000DD500000}"/>
    <cellStyle name="40% - Accent4 3 2 4 6 3" xfId="21825" xr:uid="{00000000-0005-0000-0000-0000DE500000}"/>
    <cellStyle name="40% - Accent4 3 2 4 6 3 2" xfId="50831" xr:uid="{00000000-0005-0000-0000-0000DF500000}"/>
    <cellStyle name="40% - Accent4 3 2 4 6 4" xfId="36332" xr:uid="{00000000-0005-0000-0000-0000E0500000}"/>
    <cellStyle name="40% - Accent4 3 2 4 7" xfId="8331" xr:uid="{00000000-0005-0000-0000-0000E1500000}"/>
    <cellStyle name="40% - Accent4 3 2 4 7 2" xfId="22865" xr:uid="{00000000-0005-0000-0000-0000E2500000}"/>
    <cellStyle name="40% - Accent4 3 2 4 7 2 2" xfId="51871" xr:uid="{00000000-0005-0000-0000-0000E3500000}"/>
    <cellStyle name="40% - Accent4 3 2 4 7 3" xfId="37372" xr:uid="{00000000-0005-0000-0000-0000E4500000}"/>
    <cellStyle name="40% - Accent4 3 2 4 8" xfId="15617" xr:uid="{00000000-0005-0000-0000-0000E5500000}"/>
    <cellStyle name="40% - Accent4 3 2 4 8 2" xfId="44623" xr:uid="{00000000-0005-0000-0000-0000E6500000}"/>
    <cellStyle name="40% - Accent4 3 2 4 9" xfId="30124" xr:uid="{00000000-0005-0000-0000-0000E7500000}"/>
    <cellStyle name="40% - Accent4 3 2 5" xfId="1348" xr:uid="{00000000-0005-0000-0000-0000E8500000}"/>
    <cellStyle name="40% - Accent4 3 2 5 2" xfId="2405" xr:uid="{00000000-0005-0000-0000-0000E9500000}"/>
    <cellStyle name="40% - Accent4 3 2 5 2 2" xfId="5509" xr:uid="{00000000-0005-0000-0000-0000EA500000}"/>
    <cellStyle name="40% - Accent4 3 2 5 2 2 2" xfId="12781" xr:uid="{00000000-0005-0000-0000-0000EB500000}"/>
    <cellStyle name="40% - Accent4 3 2 5 2 2 2 2" xfId="27315" xr:uid="{00000000-0005-0000-0000-0000EC500000}"/>
    <cellStyle name="40% - Accent4 3 2 5 2 2 2 2 2" xfId="56321" xr:uid="{00000000-0005-0000-0000-0000ED500000}"/>
    <cellStyle name="40% - Accent4 3 2 5 2 2 2 3" xfId="41822" xr:uid="{00000000-0005-0000-0000-0000EE500000}"/>
    <cellStyle name="40% - Accent4 3 2 5 2 2 3" xfId="20067" xr:uid="{00000000-0005-0000-0000-0000EF500000}"/>
    <cellStyle name="40% - Accent4 3 2 5 2 2 3 2" xfId="49073" xr:uid="{00000000-0005-0000-0000-0000F0500000}"/>
    <cellStyle name="40% - Accent4 3 2 5 2 2 4" xfId="34574" xr:uid="{00000000-0005-0000-0000-0000F1500000}"/>
    <cellStyle name="40% - Accent4 3 2 5 2 3" xfId="9677" xr:uid="{00000000-0005-0000-0000-0000F2500000}"/>
    <cellStyle name="40% - Accent4 3 2 5 2 3 2" xfId="24211" xr:uid="{00000000-0005-0000-0000-0000F3500000}"/>
    <cellStyle name="40% - Accent4 3 2 5 2 3 2 2" xfId="53217" xr:uid="{00000000-0005-0000-0000-0000F4500000}"/>
    <cellStyle name="40% - Accent4 3 2 5 2 3 3" xfId="38718" xr:uid="{00000000-0005-0000-0000-0000F5500000}"/>
    <cellStyle name="40% - Accent4 3 2 5 2 4" xfId="16963" xr:uid="{00000000-0005-0000-0000-0000F6500000}"/>
    <cellStyle name="40% - Accent4 3 2 5 2 4 2" xfId="45969" xr:uid="{00000000-0005-0000-0000-0000F7500000}"/>
    <cellStyle name="40% - Accent4 3 2 5 2 5" xfId="31470" xr:uid="{00000000-0005-0000-0000-0000F8500000}"/>
    <cellStyle name="40% - Accent4 3 2 5 3" xfId="3437" xr:uid="{00000000-0005-0000-0000-0000F9500000}"/>
    <cellStyle name="40% - Accent4 3 2 5 3 2" xfId="6541" xr:uid="{00000000-0005-0000-0000-0000FA500000}"/>
    <cellStyle name="40% - Accent4 3 2 5 3 2 2" xfId="13813" xr:uid="{00000000-0005-0000-0000-0000FB500000}"/>
    <cellStyle name="40% - Accent4 3 2 5 3 2 2 2" xfId="28347" xr:uid="{00000000-0005-0000-0000-0000FC500000}"/>
    <cellStyle name="40% - Accent4 3 2 5 3 2 2 2 2" xfId="57353" xr:uid="{00000000-0005-0000-0000-0000FD500000}"/>
    <cellStyle name="40% - Accent4 3 2 5 3 2 2 3" xfId="42854" xr:uid="{00000000-0005-0000-0000-0000FE500000}"/>
    <cellStyle name="40% - Accent4 3 2 5 3 2 3" xfId="21099" xr:uid="{00000000-0005-0000-0000-0000FF500000}"/>
    <cellStyle name="40% - Accent4 3 2 5 3 2 3 2" xfId="50105" xr:uid="{00000000-0005-0000-0000-000000510000}"/>
    <cellStyle name="40% - Accent4 3 2 5 3 2 4" xfId="35606" xr:uid="{00000000-0005-0000-0000-000001510000}"/>
    <cellStyle name="40% - Accent4 3 2 5 3 3" xfId="10709" xr:uid="{00000000-0005-0000-0000-000002510000}"/>
    <cellStyle name="40% - Accent4 3 2 5 3 3 2" xfId="25243" xr:uid="{00000000-0005-0000-0000-000003510000}"/>
    <cellStyle name="40% - Accent4 3 2 5 3 3 2 2" xfId="54249" xr:uid="{00000000-0005-0000-0000-000004510000}"/>
    <cellStyle name="40% - Accent4 3 2 5 3 3 3" xfId="39750" xr:uid="{00000000-0005-0000-0000-000005510000}"/>
    <cellStyle name="40% - Accent4 3 2 5 3 4" xfId="17995" xr:uid="{00000000-0005-0000-0000-000006510000}"/>
    <cellStyle name="40% - Accent4 3 2 5 3 4 2" xfId="47001" xr:uid="{00000000-0005-0000-0000-000007510000}"/>
    <cellStyle name="40% - Accent4 3 2 5 3 5" xfId="32502" xr:uid="{00000000-0005-0000-0000-000008510000}"/>
    <cellStyle name="40% - Accent4 3 2 5 4" xfId="4469" xr:uid="{00000000-0005-0000-0000-000009510000}"/>
    <cellStyle name="40% - Accent4 3 2 5 4 2" xfId="11741" xr:uid="{00000000-0005-0000-0000-00000A510000}"/>
    <cellStyle name="40% - Accent4 3 2 5 4 2 2" xfId="26275" xr:uid="{00000000-0005-0000-0000-00000B510000}"/>
    <cellStyle name="40% - Accent4 3 2 5 4 2 2 2" xfId="55281" xr:uid="{00000000-0005-0000-0000-00000C510000}"/>
    <cellStyle name="40% - Accent4 3 2 5 4 2 3" xfId="40782" xr:uid="{00000000-0005-0000-0000-00000D510000}"/>
    <cellStyle name="40% - Accent4 3 2 5 4 3" xfId="19027" xr:uid="{00000000-0005-0000-0000-00000E510000}"/>
    <cellStyle name="40% - Accent4 3 2 5 4 3 2" xfId="48033" xr:uid="{00000000-0005-0000-0000-00000F510000}"/>
    <cellStyle name="40% - Accent4 3 2 5 4 4" xfId="33534" xr:uid="{00000000-0005-0000-0000-000010510000}"/>
    <cellStyle name="40% - Accent4 3 2 5 5" xfId="7573" xr:uid="{00000000-0005-0000-0000-000011510000}"/>
    <cellStyle name="40% - Accent4 3 2 5 5 2" xfId="14845" xr:uid="{00000000-0005-0000-0000-000012510000}"/>
    <cellStyle name="40% - Accent4 3 2 5 5 2 2" xfId="29379" xr:uid="{00000000-0005-0000-0000-000013510000}"/>
    <cellStyle name="40% - Accent4 3 2 5 5 2 2 2" xfId="58385" xr:uid="{00000000-0005-0000-0000-000014510000}"/>
    <cellStyle name="40% - Accent4 3 2 5 5 2 3" xfId="43886" xr:uid="{00000000-0005-0000-0000-000015510000}"/>
    <cellStyle name="40% - Accent4 3 2 5 5 3" xfId="22131" xr:uid="{00000000-0005-0000-0000-000016510000}"/>
    <cellStyle name="40% - Accent4 3 2 5 5 3 2" xfId="51137" xr:uid="{00000000-0005-0000-0000-000017510000}"/>
    <cellStyle name="40% - Accent4 3 2 5 5 4" xfId="36638" xr:uid="{00000000-0005-0000-0000-000018510000}"/>
    <cellStyle name="40% - Accent4 3 2 5 6" xfId="8637" xr:uid="{00000000-0005-0000-0000-000019510000}"/>
    <cellStyle name="40% - Accent4 3 2 5 6 2" xfId="23171" xr:uid="{00000000-0005-0000-0000-00001A510000}"/>
    <cellStyle name="40% - Accent4 3 2 5 6 2 2" xfId="52177" xr:uid="{00000000-0005-0000-0000-00001B510000}"/>
    <cellStyle name="40% - Accent4 3 2 5 6 3" xfId="37678" xr:uid="{00000000-0005-0000-0000-00001C510000}"/>
    <cellStyle name="40% - Accent4 3 2 5 7" xfId="15923" xr:uid="{00000000-0005-0000-0000-00001D510000}"/>
    <cellStyle name="40% - Accent4 3 2 5 7 2" xfId="44929" xr:uid="{00000000-0005-0000-0000-00001E510000}"/>
    <cellStyle name="40% - Accent4 3 2 5 8" xfId="30430" xr:uid="{00000000-0005-0000-0000-00001F510000}"/>
    <cellStyle name="40% - Accent4 3 2 6" xfId="1893" xr:uid="{00000000-0005-0000-0000-000020510000}"/>
    <cellStyle name="40% - Accent4 3 2 6 2" xfId="4997" xr:uid="{00000000-0005-0000-0000-000021510000}"/>
    <cellStyle name="40% - Accent4 3 2 6 2 2" xfId="12269" xr:uid="{00000000-0005-0000-0000-000022510000}"/>
    <cellStyle name="40% - Accent4 3 2 6 2 2 2" xfId="26803" xr:uid="{00000000-0005-0000-0000-000023510000}"/>
    <cellStyle name="40% - Accent4 3 2 6 2 2 2 2" xfId="55809" xr:uid="{00000000-0005-0000-0000-000024510000}"/>
    <cellStyle name="40% - Accent4 3 2 6 2 2 3" xfId="41310" xr:uid="{00000000-0005-0000-0000-000025510000}"/>
    <cellStyle name="40% - Accent4 3 2 6 2 3" xfId="19555" xr:uid="{00000000-0005-0000-0000-000026510000}"/>
    <cellStyle name="40% - Accent4 3 2 6 2 3 2" xfId="48561" xr:uid="{00000000-0005-0000-0000-000027510000}"/>
    <cellStyle name="40% - Accent4 3 2 6 2 4" xfId="34062" xr:uid="{00000000-0005-0000-0000-000028510000}"/>
    <cellStyle name="40% - Accent4 3 2 6 3" xfId="9165" xr:uid="{00000000-0005-0000-0000-000029510000}"/>
    <cellStyle name="40% - Accent4 3 2 6 3 2" xfId="23699" xr:uid="{00000000-0005-0000-0000-00002A510000}"/>
    <cellStyle name="40% - Accent4 3 2 6 3 2 2" xfId="52705" xr:uid="{00000000-0005-0000-0000-00002B510000}"/>
    <cellStyle name="40% - Accent4 3 2 6 3 3" xfId="38206" xr:uid="{00000000-0005-0000-0000-00002C510000}"/>
    <cellStyle name="40% - Accent4 3 2 6 4" xfId="16451" xr:uid="{00000000-0005-0000-0000-00002D510000}"/>
    <cellStyle name="40% - Accent4 3 2 6 4 2" xfId="45457" xr:uid="{00000000-0005-0000-0000-00002E510000}"/>
    <cellStyle name="40% - Accent4 3 2 6 5" xfId="30958" xr:uid="{00000000-0005-0000-0000-00002F510000}"/>
    <cellStyle name="40% - Accent4 3 2 7" xfId="2925" xr:uid="{00000000-0005-0000-0000-000030510000}"/>
    <cellStyle name="40% - Accent4 3 2 7 2" xfId="6029" xr:uid="{00000000-0005-0000-0000-000031510000}"/>
    <cellStyle name="40% - Accent4 3 2 7 2 2" xfId="13301" xr:uid="{00000000-0005-0000-0000-000032510000}"/>
    <cellStyle name="40% - Accent4 3 2 7 2 2 2" xfId="27835" xr:uid="{00000000-0005-0000-0000-000033510000}"/>
    <cellStyle name="40% - Accent4 3 2 7 2 2 2 2" xfId="56841" xr:uid="{00000000-0005-0000-0000-000034510000}"/>
    <cellStyle name="40% - Accent4 3 2 7 2 2 3" xfId="42342" xr:uid="{00000000-0005-0000-0000-000035510000}"/>
    <cellStyle name="40% - Accent4 3 2 7 2 3" xfId="20587" xr:uid="{00000000-0005-0000-0000-000036510000}"/>
    <cellStyle name="40% - Accent4 3 2 7 2 3 2" xfId="49593" xr:uid="{00000000-0005-0000-0000-000037510000}"/>
    <cellStyle name="40% - Accent4 3 2 7 2 4" xfId="35094" xr:uid="{00000000-0005-0000-0000-000038510000}"/>
    <cellStyle name="40% - Accent4 3 2 7 3" xfId="10197" xr:uid="{00000000-0005-0000-0000-000039510000}"/>
    <cellStyle name="40% - Accent4 3 2 7 3 2" xfId="24731" xr:uid="{00000000-0005-0000-0000-00003A510000}"/>
    <cellStyle name="40% - Accent4 3 2 7 3 2 2" xfId="53737" xr:uid="{00000000-0005-0000-0000-00003B510000}"/>
    <cellStyle name="40% - Accent4 3 2 7 3 3" xfId="39238" xr:uid="{00000000-0005-0000-0000-00003C510000}"/>
    <cellStyle name="40% - Accent4 3 2 7 4" xfId="17483" xr:uid="{00000000-0005-0000-0000-00003D510000}"/>
    <cellStyle name="40% - Accent4 3 2 7 4 2" xfId="46489" xr:uid="{00000000-0005-0000-0000-00003E510000}"/>
    <cellStyle name="40% - Accent4 3 2 7 5" xfId="31990" xr:uid="{00000000-0005-0000-0000-00003F510000}"/>
    <cellStyle name="40% - Accent4 3 2 8" xfId="3957" xr:uid="{00000000-0005-0000-0000-000040510000}"/>
    <cellStyle name="40% - Accent4 3 2 8 2" xfId="11229" xr:uid="{00000000-0005-0000-0000-000041510000}"/>
    <cellStyle name="40% - Accent4 3 2 8 2 2" xfId="25763" xr:uid="{00000000-0005-0000-0000-000042510000}"/>
    <cellStyle name="40% - Accent4 3 2 8 2 2 2" xfId="54769" xr:uid="{00000000-0005-0000-0000-000043510000}"/>
    <cellStyle name="40% - Accent4 3 2 8 2 3" xfId="40270" xr:uid="{00000000-0005-0000-0000-000044510000}"/>
    <cellStyle name="40% - Accent4 3 2 8 3" xfId="18515" xr:uid="{00000000-0005-0000-0000-000045510000}"/>
    <cellStyle name="40% - Accent4 3 2 8 3 2" xfId="47521" xr:uid="{00000000-0005-0000-0000-000046510000}"/>
    <cellStyle name="40% - Accent4 3 2 8 4" xfId="33022" xr:uid="{00000000-0005-0000-0000-000047510000}"/>
    <cellStyle name="40% - Accent4 3 2 9" xfId="7061" xr:uid="{00000000-0005-0000-0000-000048510000}"/>
    <cellStyle name="40% - Accent4 3 2 9 2" xfId="14333" xr:uid="{00000000-0005-0000-0000-000049510000}"/>
    <cellStyle name="40% - Accent4 3 2 9 2 2" xfId="28867" xr:uid="{00000000-0005-0000-0000-00004A510000}"/>
    <cellStyle name="40% - Accent4 3 2 9 2 2 2" xfId="57873" xr:uid="{00000000-0005-0000-0000-00004B510000}"/>
    <cellStyle name="40% - Accent4 3 2 9 2 3" xfId="43374" xr:uid="{00000000-0005-0000-0000-00004C510000}"/>
    <cellStyle name="40% - Accent4 3 2 9 3" xfId="21619" xr:uid="{00000000-0005-0000-0000-00004D510000}"/>
    <cellStyle name="40% - Accent4 3 2 9 3 2" xfId="50625" xr:uid="{00000000-0005-0000-0000-00004E510000}"/>
    <cellStyle name="40% - Accent4 3 2 9 4" xfId="36126" xr:uid="{00000000-0005-0000-0000-00004F510000}"/>
    <cellStyle name="40% - Accent4 3 3" xfId="928" xr:uid="{00000000-0005-0000-0000-000050510000}"/>
    <cellStyle name="40% - Accent4 3 3 10" xfId="29969" xr:uid="{00000000-0005-0000-0000-000051510000}"/>
    <cellStyle name="40% - Accent4 3 3 2" xfId="1200" xr:uid="{00000000-0005-0000-0000-000052510000}"/>
    <cellStyle name="40% - Accent4 3 3 2 2" xfId="1703" xr:uid="{00000000-0005-0000-0000-000053510000}"/>
    <cellStyle name="40% - Accent4 3 3 2 2 2" xfId="2762" xr:uid="{00000000-0005-0000-0000-000054510000}"/>
    <cellStyle name="40% - Accent4 3 3 2 2 2 2" xfId="5866" xr:uid="{00000000-0005-0000-0000-000055510000}"/>
    <cellStyle name="40% - Accent4 3 3 2 2 2 2 2" xfId="13138" xr:uid="{00000000-0005-0000-0000-000056510000}"/>
    <cellStyle name="40% - Accent4 3 3 2 2 2 2 2 2" xfId="27672" xr:uid="{00000000-0005-0000-0000-000057510000}"/>
    <cellStyle name="40% - Accent4 3 3 2 2 2 2 2 2 2" xfId="56678" xr:uid="{00000000-0005-0000-0000-000058510000}"/>
    <cellStyle name="40% - Accent4 3 3 2 2 2 2 2 3" xfId="42179" xr:uid="{00000000-0005-0000-0000-000059510000}"/>
    <cellStyle name="40% - Accent4 3 3 2 2 2 2 3" xfId="20424" xr:uid="{00000000-0005-0000-0000-00005A510000}"/>
    <cellStyle name="40% - Accent4 3 3 2 2 2 2 3 2" xfId="49430" xr:uid="{00000000-0005-0000-0000-00005B510000}"/>
    <cellStyle name="40% - Accent4 3 3 2 2 2 2 4" xfId="34931" xr:uid="{00000000-0005-0000-0000-00005C510000}"/>
    <cellStyle name="40% - Accent4 3 3 2 2 2 3" xfId="10034" xr:uid="{00000000-0005-0000-0000-00005D510000}"/>
    <cellStyle name="40% - Accent4 3 3 2 2 2 3 2" xfId="24568" xr:uid="{00000000-0005-0000-0000-00005E510000}"/>
    <cellStyle name="40% - Accent4 3 3 2 2 2 3 2 2" xfId="53574" xr:uid="{00000000-0005-0000-0000-00005F510000}"/>
    <cellStyle name="40% - Accent4 3 3 2 2 2 3 3" xfId="39075" xr:uid="{00000000-0005-0000-0000-000060510000}"/>
    <cellStyle name="40% - Accent4 3 3 2 2 2 4" xfId="17320" xr:uid="{00000000-0005-0000-0000-000061510000}"/>
    <cellStyle name="40% - Accent4 3 3 2 2 2 4 2" xfId="46326" xr:uid="{00000000-0005-0000-0000-000062510000}"/>
    <cellStyle name="40% - Accent4 3 3 2 2 2 5" xfId="31827" xr:uid="{00000000-0005-0000-0000-000063510000}"/>
    <cellStyle name="40% - Accent4 3 3 2 2 3" xfId="3794" xr:uid="{00000000-0005-0000-0000-000064510000}"/>
    <cellStyle name="40% - Accent4 3 3 2 2 3 2" xfId="6898" xr:uid="{00000000-0005-0000-0000-000065510000}"/>
    <cellStyle name="40% - Accent4 3 3 2 2 3 2 2" xfId="14170" xr:uid="{00000000-0005-0000-0000-000066510000}"/>
    <cellStyle name="40% - Accent4 3 3 2 2 3 2 2 2" xfId="28704" xr:uid="{00000000-0005-0000-0000-000067510000}"/>
    <cellStyle name="40% - Accent4 3 3 2 2 3 2 2 2 2" xfId="57710" xr:uid="{00000000-0005-0000-0000-000068510000}"/>
    <cellStyle name="40% - Accent4 3 3 2 2 3 2 2 3" xfId="43211" xr:uid="{00000000-0005-0000-0000-000069510000}"/>
    <cellStyle name="40% - Accent4 3 3 2 2 3 2 3" xfId="21456" xr:uid="{00000000-0005-0000-0000-00006A510000}"/>
    <cellStyle name="40% - Accent4 3 3 2 2 3 2 3 2" xfId="50462" xr:uid="{00000000-0005-0000-0000-00006B510000}"/>
    <cellStyle name="40% - Accent4 3 3 2 2 3 2 4" xfId="35963" xr:uid="{00000000-0005-0000-0000-00006C510000}"/>
    <cellStyle name="40% - Accent4 3 3 2 2 3 3" xfId="11066" xr:uid="{00000000-0005-0000-0000-00006D510000}"/>
    <cellStyle name="40% - Accent4 3 3 2 2 3 3 2" xfId="25600" xr:uid="{00000000-0005-0000-0000-00006E510000}"/>
    <cellStyle name="40% - Accent4 3 3 2 2 3 3 2 2" xfId="54606" xr:uid="{00000000-0005-0000-0000-00006F510000}"/>
    <cellStyle name="40% - Accent4 3 3 2 2 3 3 3" xfId="40107" xr:uid="{00000000-0005-0000-0000-000070510000}"/>
    <cellStyle name="40% - Accent4 3 3 2 2 3 4" xfId="18352" xr:uid="{00000000-0005-0000-0000-000071510000}"/>
    <cellStyle name="40% - Accent4 3 3 2 2 3 4 2" xfId="47358" xr:uid="{00000000-0005-0000-0000-000072510000}"/>
    <cellStyle name="40% - Accent4 3 3 2 2 3 5" xfId="32859" xr:uid="{00000000-0005-0000-0000-000073510000}"/>
    <cellStyle name="40% - Accent4 3 3 2 2 4" xfId="4826" xr:uid="{00000000-0005-0000-0000-000074510000}"/>
    <cellStyle name="40% - Accent4 3 3 2 2 4 2" xfId="12098" xr:uid="{00000000-0005-0000-0000-000075510000}"/>
    <cellStyle name="40% - Accent4 3 3 2 2 4 2 2" xfId="26632" xr:uid="{00000000-0005-0000-0000-000076510000}"/>
    <cellStyle name="40% - Accent4 3 3 2 2 4 2 2 2" xfId="55638" xr:uid="{00000000-0005-0000-0000-000077510000}"/>
    <cellStyle name="40% - Accent4 3 3 2 2 4 2 3" xfId="41139" xr:uid="{00000000-0005-0000-0000-000078510000}"/>
    <cellStyle name="40% - Accent4 3 3 2 2 4 3" xfId="19384" xr:uid="{00000000-0005-0000-0000-000079510000}"/>
    <cellStyle name="40% - Accent4 3 3 2 2 4 3 2" xfId="48390" xr:uid="{00000000-0005-0000-0000-00007A510000}"/>
    <cellStyle name="40% - Accent4 3 3 2 2 4 4" xfId="33891" xr:uid="{00000000-0005-0000-0000-00007B510000}"/>
    <cellStyle name="40% - Accent4 3 3 2 2 5" xfId="7930" xr:uid="{00000000-0005-0000-0000-00007C510000}"/>
    <cellStyle name="40% - Accent4 3 3 2 2 5 2" xfId="15202" xr:uid="{00000000-0005-0000-0000-00007D510000}"/>
    <cellStyle name="40% - Accent4 3 3 2 2 5 2 2" xfId="29736" xr:uid="{00000000-0005-0000-0000-00007E510000}"/>
    <cellStyle name="40% - Accent4 3 3 2 2 5 2 2 2" xfId="58742" xr:uid="{00000000-0005-0000-0000-00007F510000}"/>
    <cellStyle name="40% - Accent4 3 3 2 2 5 2 3" xfId="44243" xr:uid="{00000000-0005-0000-0000-000080510000}"/>
    <cellStyle name="40% - Accent4 3 3 2 2 5 3" xfId="22488" xr:uid="{00000000-0005-0000-0000-000081510000}"/>
    <cellStyle name="40% - Accent4 3 3 2 2 5 3 2" xfId="51494" xr:uid="{00000000-0005-0000-0000-000082510000}"/>
    <cellStyle name="40% - Accent4 3 3 2 2 5 4" xfId="36995" xr:uid="{00000000-0005-0000-0000-000083510000}"/>
    <cellStyle name="40% - Accent4 3 3 2 2 6" xfId="8994" xr:uid="{00000000-0005-0000-0000-000084510000}"/>
    <cellStyle name="40% - Accent4 3 3 2 2 6 2" xfId="23528" xr:uid="{00000000-0005-0000-0000-000085510000}"/>
    <cellStyle name="40% - Accent4 3 3 2 2 6 2 2" xfId="52534" xr:uid="{00000000-0005-0000-0000-000086510000}"/>
    <cellStyle name="40% - Accent4 3 3 2 2 6 3" xfId="38035" xr:uid="{00000000-0005-0000-0000-000087510000}"/>
    <cellStyle name="40% - Accent4 3 3 2 2 7" xfId="16280" xr:uid="{00000000-0005-0000-0000-000088510000}"/>
    <cellStyle name="40% - Accent4 3 3 2 2 7 2" xfId="45286" xr:uid="{00000000-0005-0000-0000-000089510000}"/>
    <cellStyle name="40% - Accent4 3 3 2 2 8" xfId="30787" xr:uid="{00000000-0005-0000-0000-00008A510000}"/>
    <cellStyle name="40% - Accent4 3 3 2 3" xfId="2250" xr:uid="{00000000-0005-0000-0000-00008B510000}"/>
    <cellStyle name="40% - Accent4 3 3 2 3 2" xfId="5354" xr:uid="{00000000-0005-0000-0000-00008C510000}"/>
    <cellStyle name="40% - Accent4 3 3 2 3 2 2" xfId="12626" xr:uid="{00000000-0005-0000-0000-00008D510000}"/>
    <cellStyle name="40% - Accent4 3 3 2 3 2 2 2" xfId="27160" xr:uid="{00000000-0005-0000-0000-00008E510000}"/>
    <cellStyle name="40% - Accent4 3 3 2 3 2 2 2 2" xfId="56166" xr:uid="{00000000-0005-0000-0000-00008F510000}"/>
    <cellStyle name="40% - Accent4 3 3 2 3 2 2 3" xfId="41667" xr:uid="{00000000-0005-0000-0000-000090510000}"/>
    <cellStyle name="40% - Accent4 3 3 2 3 2 3" xfId="19912" xr:uid="{00000000-0005-0000-0000-000091510000}"/>
    <cellStyle name="40% - Accent4 3 3 2 3 2 3 2" xfId="48918" xr:uid="{00000000-0005-0000-0000-000092510000}"/>
    <cellStyle name="40% - Accent4 3 3 2 3 2 4" xfId="34419" xr:uid="{00000000-0005-0000-0000-000093510000}"/>
    <cellStyle name="40% - Accent4 3 3 2 3 3" xfId="9522" xr:uid="{00000000-0005-0000-0000-000094510000}"/>
    <cellStyle name="40% - Accent4 3 3 2 3 3 2" xfId="24056" xr:uid="{00000000-0005-0000-0000-000095510000}"/>
    <cellStyle name="40% - Accent4 3 3 2 3 3 2 2" xfId="53062" xr:uid="{00000000-0005-0000-0000-000096510000}"/>
    <cellStyle name="40% - Accent4 3 3 2 3 3 3" xfId="38563" xr:uid="{00000000-0005-0000-0000-000097510000}"/>
    <cellStyle name="40% - Accent4 3 3 2 3 4" xfId="16808" xr:uid="{00000000-0005-0000-0000-000098510000}"/>
    <cellStyle name="40% - Accent4 3 3 2 3 4 2" xfId="45814" xr:uid="{00000000-0005-0000-0000-000099510000}"/>
    <cellStyle name="40% - Accent4 3 3 2 3 5" xfId="31315" xr:uid="{00000000-0005-0000-0000-00009A510000}"/>
    <cellStyle name="40% - Accent4 3 3 2 4" xfId="3282" xr:uid="{00000000-0005-0000-0000-00009B510000}"/>
    <cellStyle name="40% - Accent4 3 3 2 4 2" xfId="6386" xr:uid="{00000000-0005-0000-0000-00009C510000}"/>
    <cellStyle name="40% - Accent4 3 3 2 4 2 2" xfId="13658" xr:uid="{00000000-0005-0000-0000-00009D510000}"/>
    <cellStyle name="40% - Accent4 3 3 2 4 2 2 2" xfId="28192" xr:uid="{00000000-0005-0000-0000-00009E510000}"/>
    <cellStyle name="40% - Accent4 3 3 2 4 2 2 2 2" xfId="57198" xr:uid="{00000000-0005-0000-0000-00009F510000}"/>
    <cellStyle name="40% - Accent4 3 3 2 4 2 2 3" xfId="42699" xr:uid="{00000000-0005-0000-0000-0000A0510000}"/>
    <cellStyle name="40% - Accent4 3 3 2 4 2 3" xfId="20944" xr:uid="{00000000-0005-0000-0000-0000A1510000}"/>
    <cellStyle name="40% - Accent4 3 3 2 4 2 3 2" xfId="49950" xr:uid="{00000000-0005-0000-0000-0000A2510000}"/>
    <cellStyle name="40% - Accent4 3 3 2 4 2 4" xfId="35451" xr:uid="{00000000-0005-0000-0000-0000A3510000}"/>
    <cellStyle name="40% - Accent4 3 3 2 4 3" xfId="10554" xr:uid="{00000000-0005-0000-0000-0000A4510000}"/>
    <cellStyle name="40% - Accent4 3 3 2 4 3 2" xfId="25088" xr:uid="{00000000-0005-0000-0000-0000A5510000}"/>
    <cellStyle name="40% - Accent4 3 3 2 4 3 2 2" xfId="54094" xr:uid="{00000000-0005-0000-0000-0000A6510000}"/>
    <cellStyle name="40% - Accent4 3 3 2 4 3 3" xfId="39595" xr:uid="{00000000-0005-0000-0000-0000A7510000}"/>
    <cellStyle name="40% - Accent4 3 3 2 4 4" xfId="17840" xr:uid="{00000000-0005-0000-0000-0000A8510000}"/>
    <cellStyle name="40% - Accent4 3 3 2 4 4 2" xfId="46846" xr:uid="{00000000-0005-0000-0000-0000A9510000}"/>
    <cellStyle name="40% - Accent4 3 3 2 4 5" xfId="32347" xr:uid="{00000000-0005-0000-0000-0000AA510000}"/>
    <cellStyle name="40% - Accent4 3 3 2 5" xfId="4314" xr:uid="{00000000-0005-0000-0000-0000AB510000}"/>
    <cellStyle name="40% - Accent4 3 3 2 5 2" xfId="11586" xr:uid="{00000000-0005-0000-0000-0000AC510000}"/>
    <cellStyle name="40% - Accent4 3 3 2 5 2 2" xfId="26120" xr:uid="{00000000-0005-0000-0000-0000AD510000}"/>
    <cellStyle name="40% - Accent4 3 3 2 5 2 2 2" xfId="55126" xr:uid="{00000000-0005-0000-0000-0000AE510000}"/>
    <cellStyle name="40% - Accent4 3 3 2 5 2 3" xfId="40627" xr:uid="{00000000-0005-0000-0000-0000AF510000}"/>
    <cellStyle name="40% - Accent4 3 3 2 5 3" xfId="18872" xr:uid="{00000000-0005-0000-0000-0000B0510000}"/>
    <cellStyle name="40% - Accent4 3 3 2 5 3 2" xfId="47878" xr:uid="{00000000-0005-0000-0000-0000B1510000}"/>
    <cellStyle name="40% - Accent4 3 3 2 5 4" xfId="33379" xr:uid="{00000000-0005-0000-0000-0000B2510000}"/>
    <cellStyle name="40% - Accent4 3 3 2 6" xfId="7418" xr:uid="{00000000-0005-0000-0000-0000B3510000}"/>
    <cellStyle name="40% - Accent4 3 3 2 6 2" xfId="14690" xr:uid="{00000000-0005-0000-0000-0000B4510000}"/>
    <cellStyle name="40% - Accent4 3 3 2 6 2 2" xfId="29224" xr:uid="{00000000-0005-0000-0000-0000B5510000}"/>
    <cellStyle name="40% - Accent4 3 3 2 6 2 2 2" xfId="58230" xr:uid="{00000000-0005-0000-0000-0000B6510000}"/>
    <cellStyle name="40% - Accent4 3 3 2 6 2 3" xfId="43731" xr:uid="{00000000-0005-0000-0000-0000B7510000}"/>
    <cellStyle name="40% - Accent4 3 3 2 6 3" xfId="21976" xr:uid="{00000000-0005-0000-0000-0000B8510000}"/>
    <cellStyle name="40% - Accent4 3 3 2 6 3 2" xfId="50982" xr:uid="{00000000-0005-0000-0000-0000B9510000}"/>
    <cellStyle name="40% - Accent4 3 3 2 6 4" xfId="36483" xr:uid="{00000000-0005-0000-0000-0000BA510000}"/>
    <cellStyle name="40% - Accent4 3 3 2 7" xfId="8482" xr:uid="{00000000-0005-0000-0000-0000BB510000}"/>
    <cellStyle name="40% - Accent4 3 3 2 7 2" xfId="23016" xr:uid="{00000000-0005-0000-0000-0000BC510000}"/>
    <cellStyle name="40% - Accent4 3 3 2 7 2 2" xfId="52022" xr:uid="{00000000-0005-0000-0000-0000BD510000}"/>
    <cellStyle name="40% - Accent4 3 3 2 7 3" xfId="37523" xr:uid="{00000000-0005-0000-0000-0000BE510000}"/>
    <cellStyle name="40% - Accent4 3 3 2 8" xfId="15768" xr:uid="{00000000-0005-0000-0000-0000BF510000}"/>
    <cellStyle name="40% - Accent4 3 3 2 8 2" xfId="44774" xr:uid="{00000000-0005-0000-0000-0000C0510000}"/>
    <cellStyle name="40% - Accent4 3 3 2 9" xfId="30275" xr:uid="{00000000-0005-0000-0000-0000C1510000}"/>
    <cellStyle name="40% - Accent4 3 3 3" xfId="1398" xr:uid="{00000000-0005-0000-0000-0000C2510000}"/>
    <cellStyle name="40% - Accent4 3 3 3 2" xfId="2456" xr:uid="{00000000-0005-0000-0000-0000C3510000}"/>
    <cellStyle name="40% - Accent4 3 3 3 2 2" xfId="5560" xr:uid="{00000000-0005-0000-0000-0000C4510000}"/>
    <cellStyle name="40% - Accent4 3 3 3 2 2 2" xfId="12832" xr:uid="{00000000-0005-0000-0000-0000C5510000}"/>
    <cellStyle name="40% - Accent4 3 3 3 2 2 2 2" xfId="27366" xr:uid="{00000000-0005-0000-0000-0000C6510000}"/>
    <cellStyle name="40% - Accent4 3 3 3 2 2 2 2 2" xfId="56372" xr:uid="{00000000-0005-0000-0000-0000C7510000}"/>
    <cellStyle name="40% - Accent4 3 3 3 2 2 2 3" xfId="41873" xr:uid="{00000000-0005-0000-0000-0000C8510000}"/>
    <cellStyle name="40% - Accent4 3 3 3 2 2 3" xfId="20118" xr:uid="{00000000-0005-0000-0000-0000C9510000}"/>
    <cellStyle name="40% - Accent4 3 3 3 2 2 3 2" xfId="49124" xr:uid="{00000000-0005-0000-0000-0000CA510000}"/>
    <cellStyle name="40% - Accent4 3 3 3 2 2 4" xfId="34625" xr:uid="{00000000-0005-0000-0000-0000CB510000}"/>
    <cellStyle name="40% - Accent4 3 3 3 2 3" xfId="9728" xr:uid="{00000000-0005-0000-0000-0000CC510000}"/>
    <cellStyle name="40% - Accent4 3 3 3 2 3 2" xfId="24262" xr:uid="{00000000-0005-0000-0000-0000CD510000}"/>
    <cellStyle name="40% - Accent4 3 3 3 2 3 2 2" xfId="53268" xr:uid="{00000000-0005-0000-0000-0000CE510000}"/>
    <cellStyle name="40% - Accent4 3 3 3 2 3 3" xfId="38769" xr:uid="{00000000-0005-0000-0000-0000CF510000}"/>
    <cellStyle name="40% - Accent4 3 3 3 2 4" xfId="17014" xr:uid="{00000000-0005-0000-0000-0000D0510000}"/>
    <cellStyle name="40% - Accent4 3 3 3 2 4 2" xfId="46020" xr:uid="{00000000-0005-0000-0000-0000D1510000}"/>
    <cellStyle name="40% - Accent4 3 3 3 2 5" xfId="31521" xr:uid="{00000000-0005-0000-0000-0000D2510000}"/>
    <cellStyle name="40% - Accent4 3 3 3 3" xfId="3488" xr:uid="{00000000-0005-0000-0000-0000D3510000}"/>
    <cellStyle name="40% - Accent4 3 3 3 3 2" xfId="6592" xr:uid="{00000000-0005-0000-0000-0000D4510000}"/>
    <cellStyle name="40% - Accent4 3 3 3 3 2 2" xfId="13864" xr:uid="{00000000-0005-0000-0000-0000D5510000}"/>
    <cellStyle name="40% - Accent4 3 3 3 3 2 2 2" xfId="28398" xr:uid="{00000000-0005-0000-0000-0000D6510000}"/>
    <cellStyle name="40% - Accent4 3 3 3 3 2 2 2 2" xfId="57404" xr:uid="{00000000-0005-0000-0000-0000D7510000}"/>
    <cellStyle name="40% - Accent4 3 3 3 3 2 2 3" xfId="42905" xr:uid="{00000000-0005-0000-0000-0000D8510000}"/>
    <cellStyle name="40% - Accent4 3 3 3 3 2 3" xfId="21150" xr:uid="{00000000-0005-0000-0000-0000D9510000}"/>
    <cellStyle name="40% - Accent4 3 3 3 3 2 3 2" xfId="50156" xr:uid="{00000000-0005-0000-0000-0000DA510000}"/>
    <cellStyle name="40% - Accent4 3 3 3 3 2 4" xfId="35657" xr:uid="{00000000-0005-0000-0000-0000DB510000}"/>
    <cellStyle name="40% - Accent4 3 3 3 3 3" xfId="10760" xr:uid="{00000000-0005-0000-0000-0000DC510000}"/>
    <cellStyle name="40% - Accent4 3 3 3 3 3 2" xfId="25294" xr:uid="{00000000-0005-0000-0000-0000DD510000}"/>
    <cellStyle name="40% - Accent4 3 3 3 3 3 2 2" xfId="54300" xr:uid="{00000000-0005-0000-0000-0000DE510000}"/>
    <cellStyle name="40% - Accent4 3 3 3 3 3 3" xfId="39801" xr:uid="{00000000-0005-0000-0000-0000DF510000}"/>
    <cellStyle name="40% - Accent4 3 3 3 3 4" xfId="18046" xr:uid="{00000000-0005-0000-0000-0000E0510000}"/>
    <cellStyle name="40% - Accent4 3 3 3 3 4 2" xfId="47052" xr:uid="{00000000-0005-0000-0000-0000E1510000}"/>
    <cellStyle name="40% - Accent4 3 3 3 3 5" xfId="32553" xr:uid="{00000000-0005-0000-0000-0000E2510000}"/>
    <cellStyle name="40% - Accent4 3 3 3 4" xfId="4520" xr:uid="{00000000-0005-0000-0000-0000E3510000}"/>
    <cellStyle name="40% - Accent4 3 3 3 4 2" xfId="11792" xr:uid="{00000000-0005-0000-0000-0000E4510000}"/>
    <cellStyle name="40% - Accent4 3 3 3 4 2 2" xfId="26326" xr:uid="{00000000-0005-0000-0000-0000E5510000}"/>
    <cellStyle name="40% - Accent4 3 3 3 4 2 2 2" xfId="55332" xr:uid="{00000000-0005-0000-0000-0000E6510000}"/>
    <cellStyle name="40% - Accent4 3 3 3 4 2 3" xfId="40833" xr:uid="{00000000-0005-0000-0000-0000E7510000}"/>
    <cellStyle name="40% - Accent4 3 3 3 4 3" xfId="19078" xr:uid="{00000000-0005-0000-0000-0000E8510000}"/>
    <cellStyle name="40% - Accent4 3 3 3 4 3 2" xfId="48084" xr:uid="{00000000-0005-0000-0000-0000E9510000}"/>
    <cellStyle name="40% - Accent4 3 3 3 4 4" xfId="33585" xr:uid="{00000000-0005-0000-0000-0000EA510000}"/>
    <cellStyle name="40% - Accent4 3 3 3 5" xfId="7624" xr:uid="{00000000-0005-0000-0000-0000EB510000}"/>
    <cellStyle name="40% - Accent4 3 3 3 5 2" xfId="14896" xr:uid="{00000000-0005-0000-0000-0000EC510000}"/>
    <cellStyle name="40% - Accent4 3 3 3 5 2 2" xfId="29430" xr:uid="{00000000-0005-0000-0000-0000ED510000}"/>
    <cellStyle name="40% - Accent4 3 3 3 5 2 2 2" xfId="58436" xr:uid="{00000000-0005-0000-0000-0000EE510000}"/>
    <cellStyle name="40% - Accent4 3 3 3 5 2 3" xfId="43937" xr:uid="{00000000-0005-0000-0000-0000EF510000}"/>
    <cellStyle name="40% - Accent4 3 3 3 5 3" xfId="22182" xr:uid="{00000000-0005-0000-0000-0000F0510000}"/>
    <cellStyle name="40% - Accent4 3 3 3 5 3 2" xfId="51188" xr:uid="{00000000-0005-0000-0000-0000F1510000}"/>
    <cellStyle name="40% - Accent4 3 3 3 5 4" xfId="36689" xr:uid="{00000000-0005-0000-0000-0000F2510000}"/>
    <cellStyle name="40% - Accent4 3 3 3 6" xfId="8688" xr:uid="{00000000-0005-0000-0000-0000F3510000}"/>
    <cellStyle name="40% - Accent4 3 3 3 6 2" xfId="23222" xr:uid="{00000000-0005-0000-0000-0000F4510000}"/>
    <cellStyle name="40% - Accent4 3 3 3 6 2 2" xfId="52228" xr:uid="{00000000-0005-0000-0000-0000F5510000}"/>
    <cellStyle name="40% - Accent4 3 3 3 6 3" xfId="37729" xr:uid="{00000000-0005-0000-0000-0000F6510000}"/>
    <cellStyle name="40% - Accent4 3 3 3 7" xfId="15974" xr:uid="{00000000-0005-0000-0000-0000F7510000}"/>
    <cellStyle name="40% - Accent4 3 3 3 7 2" xfId="44980" xr:uid="{00000000-0005-0000-0000-0000F8510000}"/>
    <cellStyle name="40% - Accent4 3 3 3 8" xfId="30481" xr:uid="{00000000-0005-0000-0000-0000F9510000}"/>
    <cellStyle name="40% - Accent4 3 3 4" xfId="1944" xr:uid="{00000000-0005-0000-0000-0000FA510000}"/>
    <cellStyle name="40% - Accent4 3 3 4 2" xfId="5048" xr:uid="{00000000-0005-0000-0000-0000FB510000}"/>
    <cellStyle name="40% - Accent4 3 3 4 2 2" xfId="12320" xr:uid="{00000000-0005-0000-0000-0000FC510000}"/>
    <cellStyle name="40% - Accent4 3 3 4 2 2 2" xfId="26854" xr:uid="{00000000-0005-0000-0000-0000FD510000}"/>
    <cellStyle name="40% - Accent4 3 3 4 2 2 2 2" xfId="55860" xr:uid="{00000000-0005-0000-0000-0000FE510000}"/>
    <cellStyle name="40% - Accent4 3 3 4 2 2 3" xfId="41361" xr:uid="{00000000-0005-0000-0000-0000FF510000}"/>
    <cellStyle name="40% - Accent4 3 3 4 2 3" xfId="19606" xr:uid="{00000000-0005-0000-0000-000000520000}"/>
    <cellStyle name="40% - Accent4 3 3 4 2 3 2" xfId="48612" xr:uid="{00000000-0005-0000-0000-000001520000}"/>
    <cellStyle name="40% - Accent4 3 3 4 2 4" xfId="34113" xr:uid="{00000000-0005-0000-0000-000002520000}"/>
    <cellStyle name="40% - Accent4 3 3 4 3" xfId="9216" xr:uid="{00000000-0005-0000-0000-000003520000}"/>
    <cellStyle name="40% - Accent4 3 3 4 3 2" xfId="23750" xr:uid="{00000000-0005-0000-0000-000004520000}"/>
    <cellStyle name="40% - Accent4 3 3 4 3 2 2" xfId="52756" xr:uid="{00000000-0005-0000-0000-000005520000}"/>
    <cellStyle name="40% - Accent4 3 3 4 3 3" xfId="38257" xr:uid="{00000000-0005-0000-0000-000006520000}"/>
    <cellStyle name="40% - Accent4 3 3 4 4" xfId="16502" xr:uid="{00000000-0005-0000-0000-000007520000}"/>
    <cellStyle name="40% - Accent4 3 3 4 4 2" xfId="45508" xr:uid="{00000000-0005-0000-0000-000008520000}"/>
    <cellStyle name="40% - Accent4 3 3 4 5" xfId="31009" xr:uid="{00000000-0005-0000-0000-000009520000}"/>
    <cellStyle name="40% - Accent4 3 3 5" xfId="2976" xr:uid="{00000000-0005-0000-0000-00000A520000}"/>
    <cellStyle name="40% - Accent4 3 3 5 2" xfId="6080" xr:uid="{00000000-0005-0000-0000-00000B520000}"/>
    <cellStyle name="40% - Accent4 3 3 5 2 2" xfId="13352" xr:uid="{00000000-0005-0000-0000-00000C520000}"/>
    <cellStyle name="40% - Accent4 3 3 5 2 2 2" xfId="27886" xr:uid="{00000000-0005-0000-0000-00000D520000}"/>
    <cellStyle name="40% - Accent4 3 3 5 2 2 2 2" xfId="56892" xr:uid="{00000000-0005-0000-0000-00000E520000}"/>
    <cellStyle name="40% - Accent4 3 3 5 2 2 3" xfId="42393" xr:uid="{00000000-0005-0000-0000-00000F520000}"/>
    <cellStyle name="40% - Accent4 3 3 5 2 3" xfId="20638" xr:uid="{00000000-0005-0000-0000-000010520000}"/>
    <cellStyle name="40% - Accent4 3 3 5 2 3 2" xfId="49644" xr:uid="{00000000-0005-0000-0000-000011520000}"/>
    <cellStyle name="40% - Accent4 3 3 5 2 4" xfId="35145" xr:uid="{00000000-0005-0000-0000-000012520000}"/>
    <cellStyle name="40% - Accent4 3 3 5 3" xfId="10248" xr:uid="{00000000-0005-0000-0000-000013520000}"/>
    <cellStyle name="40% - Accent4 3 3 5 3 2" xfId="24782" xr:uid="{00000000-0005-0000-0000-000014520000}"/>
    <cellStyle name="40% - Accent4 3 3 5 3 2 2" xfId="53788" xr:uid="{00000000-0005-0000-0000-000015520000}"/>
    <cellStyle name="40% - Accent4 3 3 5 3 3" xfId="39289" xr:uid="{00000000-0005-0000-0000-000016520000}"/>
    <cellStyle name="40% - Accent4 3 3 5 4" xfId="17534" xr:uid="{00000000-0005-0000-0000-000017520000}"/>
    <cellStyle name="40% - Accent4 3 3 5 4 2" xfId="46540" xr:uid="{00000000-0005-0000-0000-000018520000}"/>
    <cellStyle name="40% - Accent4 3 3 5 5" xfId="32041" xr:uid="{00000000-0005-0000-0000-000019520000}"/>
    <cellStyle name="40% - Accent4 3 3 6" xfId="4008" xr:uid="{00000000-0005-0000-0000-00001A520000}"/>
    <cellStyle name="40% - Accent4 3 3 6 2" xfId="11280" xr:uid="{00000000-0005-0000-0000-00001B520000}"/>
    <cellStyle name="40% - Accent4 3 3 6 2 2" xfId="25814" xr:uid="{00000000-0005-0000-0000-00001C520000}"/>
    <cellStyle name="40% - Accent4 3 3 6 2 2 2" xfId="54820" xr:uid="{00000000-0005-0000-0000-00001D520000}"/>
    <cellStyle name="40% - Accent4 3 3 6 2 3" xfId="40321" xr:uid="{00000000-0005-0000-0000-00001E520000}"/>
    <cellStyle name="40% - Accent4 3 3 6 3" xfId="18566" xr:uid="{00000000-0005-0000-0000-00001F520000}"/>
    <cellStyle name="40% - Accent4 3 3 6 3 2" xfId="47572" xr:uid="{00000000-0005-0000-0000-000020520000}"/>
    <cellStyle name="40% - Accent4 3 3 6 4" xfId="33073" xr:uid="{00000000-0005-0000-0000-000021520000}"/>
    <cellStyle name="40% - Accent4 3 3 7" xfId="7112" xr:uid="{00000000-0005-0000-0000-000022520000}"/>
    <cellStyle name="40% - Accent4 3 3 7 2" xfId="14384" xr:uid="{00000000-0005-0000-0000-000023520000}"/>
    <cellStyle name="40% - Accent4 3 3 7 2 2" xfId="28918" xr:uid="{00000000-0005-0000-0000-000024520000}"/>
    <cellStyle name="40% - Accent4 3 3 7 2 2 2" xfId="57924" xr:uid="{00000000-0005-0000-0000-000025520000}"/>
    <cellStyle name="40% - Accent4 3 3 7 2 3" xfId="43425" xr:uid="{00000000-0005-0000-0000-000026520000}"/>
    <cellStyle name="40% - Accent4 3 3 7 3" xfId="21670" xr:uid="{00000000-0005-0000-0000-000027520000}"/>
    <cellStyle name="40% - Accent4 3 3 7 3 2" xfId="50676" xr:uid="{00000000-0005-0000-0000-000028520000}"/>
    <cellStyle name="40% - Accent4 3 3 7 4" xfId="36177" xr:uid="{00000000-0005-0000-0000-000029520000}"/>
    <cellStyle name="40% - Accent4 3 3 8" xfId="8176" xr:uid="{00000000-0005-0000-0000-00002A520000}"/>
    <cellStyle name="40% - Accent4 3 3 8 2" xfId="22710" xr:uid="{00000000-0005-0000-0000-00002B520000}"/>
    <cellStyle name="40% - Accent4 3 3 8 2 2" xfId="51716" xr:uid="{00000000-0005-0000-0000-00002C520000}"/>
    <cellStyle name="40% - Accent4 3 3 8 3" xfId="37217" xr:uid="{00000000-0005-0000-0000-00002D520000}"/>
    <cellStyle name="40% - Accent4 3 3 9" xfId="15462" xr:uid="{00000000-0005-0000-0000-00002E520000}"/>
    <cellStyle name="40% - Accent4 3 3 9 2" xfId="44468" xr:uid="{00000000-0005-0000-0000-00002F520000}"/>
    <cellStyle name="40% - Accent4 3 4" xfId="1103" xr:uid="{00000000-0005-0000-0000-000030520000}"/>
    <cellStyle name="40% - Accent4 3 4 2" xfId="1600" xr:uid="{00000000-0005-0000-0000-000031520000}"/>
    <cellStyle name="40% - Accent4 3 4 2 2" xfId="2659" xr:uid="{00000000-0005-0000-0000-000032520000}"/>
    <cellStyle name="40% - Accent4 3 4 2 2 2" xfId="5763" xr:uid="{00000000-0005-0000-0000-000033520000}"/>
    <cellStyle name="40% - Accent4 3 4 2 2 2 2" xfId="13035" xr:uid="{00000000-0005-0000-0000-000034520000}"/>
    <cellStyle name="40% - Accent4 3 4 2 2 2 2 2" xfId="27569" xr:uid="{00000000-0005-0000-0000-000035520000}"/>
    <cellStyle name="40% - Accent4 3 4 2 2 2 2 2 2" xfId="56575" xr:uid="{00000000-0005-0000-0000-000036520000}"/>
    <cellStyle name="40% - Accent4 3 4 2 2 2 2 3" xfId="42076" xr:uid="{00000000-0005-0000-0000-000037520000}"/>
    <cellStyle name="40% - Accent4 3 4 2 2 2 3" xfId="20321" xr:uid="{00000000-0005-0000-0000-000038520000}"/>
    <cellStyle name="40% - Accent4 3 4 2 2 2 3 2" xfId="49327" xr:uid="{00000000-0005-0000-0000-000039520000}"/>
    <cellStyle name="40% - Accent4 3 4 2 2 2 4" xfId="34828" xr:uid="{00000000-0005-0000-0000-00003A520000}"/>
    <cellStyle name="40% - Accent4 3 4 2 2 3" xfId="9931" xr:uid="{00000000-0005-0000-0000-00003B520000}"/>
    <cellStyle name="40% - Accent4 3 4 2 2 3 2" xfId="24465" xr:uid="{00000000-0005-0000-0000-00003C520000}"/>
    <cellStyle name="40% - Accent4 3 4 2 2 3 2 2" xfId="53471" xr:uid="{00000000-0005-0000-0000-00003D520000}"/>
    <cellStyle name="40% - Accent4 3 4 2 2 3 3" xfId="38972" xr:uid="{00000000-0005-0000-0000-00003E520000}"/>
    <cellStyle name="40% - Accent4 3 4 2 2 4" xfId="17217" xr:uid="{00000000-0005-0000-0000-00003F520000}"/>
    <cellStyle name="40% - Accent4 3 4 2 2 4 2" xfId="46223" xr:uid="{00000000-0005-0000-0000-000040520000}"/>
    <cellStyle name="40% - Accent4 3 4 2 2 5" xfId="31724" xr:uid="{00000000-0005-0000-0000-000041520000}"/>
    <cellStyle name="40% - Accent4 3 4 2 3" xfId="3691" xr:uid="{00000000-0005-0000-0000-000042520000}"/>
    <cellStyle name="40% - Accent4 3 4 2 3 2" xfId="6795" xr:uid="{00000000-0005-0000-0000-000043520000}"/>
    <cellStyle name="40% - Accent4 3 4 2 3 2 2" xfId="14067" xr:uid="{00000000-0005-0000-0000-000044520000}"/>
    <cellStyle name="40% - Accent4 3 4 2 3 2 2 2" xfId="28601" xr:uid="{00000000-0005-0000-0000-000045520000}"/>
    <cellStyle name="40% - Accent4 3 4 2 3 2 2 2 2" xfId="57607" xr:uid="{00000000-0005-0000-0000-000046520000}"/>
    <cellStyle name="40% - Accent4 3 4 2 3 2 2 3" xfId="43108" xr:uid="{00000000-0005-0000-0000-000047520000}"/>
    <cellStyle name="40% - Accent4 3 4 2 3 2 3" xfId="21353" xr:uid="{00000000-0005-0000-0000-000048520000}"/>
    <cellStyle name="40% - Accent4 3 4 2 3 2 3 2" xfId="50359" xr:uid="{00000000-0005-0000-0000-000049520000}"/>
    <cellStyle name="40% - Accent4 3 4 2 3 2 4" xfId="35860" xr:uid="{00000000-0005-0000-0000-00004A520000}"/>
    <cellStyle name="40% - Accent4 3 4 2 3 3" xfId="10963" xr:uid="{00000000-0005-0000-0000-00004B520000}"/>
    <cellStyle name="40% - Accent4 3 4 2 3 3 2" xfId="25497" xr:uid="{00000000-0005-0000-0000-00004C520000}"/>
    <cellStyle name="40% - Accent4 3 4 2 3 3 2 2" xfId="54503" xr:uid="{00000000-0005-0000-0000-00004D520000}"/>
    <cellStyle name="40% - Accent4 3 4 2 3 3 3" xfId="40004" xr:uid="{00000000-0005-0000-0000-00004E520000}"/>
    <cellStyle name="40% - Accent4 3 4 2 3 4" xfId="18249" xr:uid="{00000000-0005-0000-0000-00004F520000}"/>
    <cellStyle name="40% - Accent4 3 4 2 3 4 2" xfId="47255" xr:uid="{00000000-0005-0000-0000-000050520000}"/>
    <cellStyle name="40% - Accent4 3 4 2 3 5" xfId="32756" xr:uid="{00000000-0005-0000-0000-000051520000}"/>
    <cellStyle name="40% - Accent4 3 4 2 4" xfId="4723" xr:uid="{00000000-0005-0000-0000-000052520000}"/>
    <cellStyle name="40% - Accent4 3 4 2 4 2" xfId="11995" xr:uid="{00000000-0005-0000-0000-000053520000}"/>
    <cellStyle name="40% - Accent4 3 4 2 4 2 2" xfId="26529" xr:uid="{00000000-0005-0000-0000-000054520000}"/>
    <cellStyle name="40% - Accent4 3 4 2 4 2 2 2" xfId="55535" xr:uid="{00000000-0005-0000-0000-000055520000}"/>
    <cellStyle name="40% - Accent4 3 4 2 4 2 3" xfId="41036" xr:uid="{00000000-0005-0000-0000-000056520000}"/>
    <cellStyle name="40% - Accent4 3 4 2 4 3" xfId="19281" xr:uid="{00000000-0005-0000-0000-000057520000}"/>
    <cellStyle name="40% - Accent4 3 4 2 4 3 2" xfId="48287" xr:uid="{00000000-0005-0000-0000-000058520000}"/>
    <cellStyle name="40% - Accent4 3 4 2 4 4" xfId="33788" xr:uid="{00000000-0005-0000-0000-000059520000}"/>
    <cellStyle name="40% - Accent4 3 4 2 5" xfId="7827" xr:uid="{00000000-0005-0000-0000-00005A520000}"/>
    <cellStyle name="40% - Accent4 3 4 2 5 2" xfId="15099" xr:uid="{00000000-0005-0000-0000-00005B520000}"/>
    <cellStyle name="40% - Accent4 3 4 2 5 2 2" xfId="29633" xr:uid="{00000000-0005-0000-0000-00005C520000}"/>
    <cellStyle name="40% - Accent4 3 4 2 5 2 2 2" xfId="58639" xr:uid="{00000000-0005-0000-0000-00005D520000}"/>
    <cellStyle name="40% - Accent4 3 4 2 5 2 3" xfId="44140" xr:uid="{00000000-0005-0000-0000-00005E520000}"/>
    <cellStyle name="40% - Accent4 3 4 2 5 3" xfId="22385" xr:uid="{00000000-0005-0000-0000-00005F520000}"/>
    <cellStyle name="40% - Accent4 3 4 2 5 3 2" xfId="51391" xr:uid="{00000000-0005-0000-0000-000060520000}"/>
    <cellStyle name="40% - Accent4 3 4 2 5 4" xfId="36892" xr:uid="{00000000-0005-0000-0000-000061520000}"/>
    <cellStyle name="40% - Accent4 3 4 2 6" xfId="8891" xr:uid="{00000000-0005-0000-0000-000062520000}"/>
    <cellStyle name="40% - Accent4 3 4 2 6 2" xfId="23425" xr:uid="{00000000-0005-0000-0000-000063520000}"/>
    <cellStyle name="40% - Accent4 3 4 2 6 2 2" xfId="52431" xr:uid="{00000000-0005-0000-0000-000064520000}"/>
    <cellStyle name="40% - Accent4 3 4 2 6 3" xfId="37932" xr:uid="{00000000-0005-0000-0000-000065520000}"/>
    <cellStyle name="40% - Accent4 3 4 2 7" xfId="16177" xr:uid="{00000000-0005-0000-0000-000066520000}"/>
    <cellStyle name="40% - Accent4 3 4 2 7 2" xfId="45183" xr:uid="{00000000-0005-0000-0000-000067520000}"/>
    <cellStyle name="40% - Accent4 3 4 2 8" xfId="30684" xr:uid="{00000000-0005-0000-0000-000068520000}"/>
    <cellStyle name="40% - Accent4 3 4 3" xfId="2147" xr:uid="{00000000-0005-0000-0000-000069520000}"/>
    <cellStyle name="40% - Accent4 3 4 3 2" xfId="5251" xr:uid="{00000000-0005-0000-0000-00006A520000}"/>
    <cellStyle name="40% - Accent4 3 4 3 2 2" xfId="12523" xr:uid="{00000000-0005-0000-0000-00006B520000}"/>
    <cellStyle name="40% - Accent4 3 4 3 2 2 2" xfId="27057" xr:uid="{00000000-0005-0000-0000-00006C520000}"/>
    <cellStyle name="40% - Accent4 3 4 3 2 2 2 2" xfId="56063" xr:uid="{00000000-0005-0000-0000-00006D520000}"/>
    <cellStyle name="40% - Accent4 3 4 3 2 2 3" xfId="41564" xr:uid="{00000000-0005-0000-0000-00006E520000}"/>
    <cellStyle name="40% - Accent4 3 4 3 2 3" xfId="19809" xr:uid="{00000000-0005-0000-0000-00006F520000}"/>
    <cellStyle name="40% - Accent4 3 4 3 2 3 2" xfId="48815" xr:uid="{00000000-0005-0000-0000-000070520000}"/>
    <cellStyle name="40% - Accent4 3 4 3 2 4" xfId="34316" xr:uid="{00000000-0005-0000-0000-000071520000}"/>
    <cellStyle name="40% - Accent4 3 4 3 3" xfId="9419" xr:uid="{00000000-0005-0000-0000-000072520000}"/>
    <cellStyle name="40% - Accent4 3 4 3 3 2" xfId="23953" xr:uid="{00000000-0005-0000-0000-000073520000}"/>
    <cellStyle name="40% - Accent4 3 4 3 3 2 2" xfId="52959" xr:uid="{00000000-0005-0000-0000-000074520000}"/>
    <cellStyle name="40% - Accent4 3 4 3 3 3" xfId="38460" xr:uid="{00000000-0005-0000-0000-000075520000}"/>
    <cellStyle name="40% - Accent4 3 4 3 4" xfId="16705" xr:uid="{00000000-0005-0000-0000-000076520000}"/>
    <cellStyle name="40% - Accent4 3 4 3 4 2" xfId="45711" xr:uid="{00000000-0005-0000-0000-000077520000}"/>
    <cellStyle name="40% - Accent4 3 4 3 5" xfId="31212" xr:uid="{00000000-0005-0000-0000-000078520000}"/>
    <cellStyle name="40% - Accent4 3 4 4" xfId="3179" xr:uid="{00000000-0005-0000-0000-000079520000}"/>
    <cellStyle name="40% - Accent4 3 4 4 2" xfId="6283" xr:uid="{00000000-0005-0000-0000-00007A520000}"/>
    <cellStyle name="40% - Accent4 3 4 4 2 2" xfId="13555" xr:uid="{00000000-0005-0000-0000-00007B520000}"/>
    <cellStyle name="40% - Accent4 3 4 4 2 2 2" xfId="28089" xr:uid="{00000000-0005-0000-0000-00007C520000}"/>
    <cellStyle name="40% - Accent4 3 4 4 2 2 2 2" xfId="57095" xr:uid="{00000000-0005-0000-0000-00007D520000}"/>
    <cellStyle name="40% - Accent4 3 4 4 2 2 3" xfId="42596" xr:uid="{00000000-0005-0000-0000-00007E520000}"/>
    <cellStyle name="40% - Accent4 3 4 4 2 3" xfId="20841" xr:uid="{00000000-0005-0000-0000-00007F520000}"/>
    <cellStyle name="40% - Accent4 3 4 4 2 3 2" xfId="49847" xr:uid="{00000000-0005-0000-0000-000080520000}"/>
    <cellStyle name="40% - Accent4 3 4 4 2 4" xfId="35348" xr:uid="{00000000-0005-0000-0000-000081520000}"/>
    <cellStyle name="40% - Accent4 3 4 4 3" xfId="10451" xr:uid="{00000000-0005-0000-0000-000082520000}"/>
    <cellStyle name="40% - Accent4 3 4 4 3 2" xfId="24985" xr:uid="{00000000-0005-0000-0000-000083520000}"/>
    <cellStyle name="40% - Accent4 3 4 4 3 2 2" xfId="53991" xr:uid="{00000000-0005-0000-0000-000084520000}"/>
    <cellStyle name="40% - Accent4 3 4 4 3 3" xfId="39492" xr:uid="{00000000-0005-0000-0000-000085520000}"/>
    <cellStyle name="40% - Accent4 3 4 4 4" xfId="17737" xr:uid="{00000000-0005-0000-0000-000086520000}"/>
    <cellStyle name="40% - Accent4 3 4 4 4 2" xfId="46743" xr:uid="{00000000-0005-0000-0000-000087520000}"/>
    <cellStyle name="40% - Accent4 3 4 4 5" xfId="32244" xr:uid="{00000000-0005-0000-0000-000088520000}"/>
    <cellStyle name="40% - Accent4 3 4 5" xfId="4211" xr:uid="{00000000-0005-0000-0000-000089520000}"/>
    <cellStyle name="40% - Accent4 3 4 5 2" xfId="11483" xr:uid="{00000000-0005-0000-0000-00008A520000}"/>
    <cellStyle name="40% - Accent4 3 4 5 2 2" xfId="26017" xr:uid="{00000000-0005-0000-0000-00008B520000}"/>
    <cellStyle name="40% - Accent4 3 4 5 2 2 2" xfId="55023" xr:uid="{00000000-0005-0000-0000-00008C520000}"/>
    <cellStyle name="40% - Accent4 3 4 5 2 3" xfId="40524" xr:uid="{00000000-0005-0000-0000-00008D520000}"/>
    <cellStyle name="40% - Accent4 3 4 5 3" xfId="18769" xr:uid="{00000000-0005-0000-0000-00008E520000}"/>
    <cellStyle name="40% - Accent4 3 4 5 3 2" xfId="47775" xr:uid="{00000000-0005-0000-0000-00008F520000}"/>
    <cellStyle name="40% - Accent4 3 4 5 4" xfId="33276" xr:uid="{00000000-0005-0000-0000-000090520000}"/>
    <cellStyle name="40% - Accent4 3 4 6" xfId="7315" xr:uid="{00000000-0005-0000-0000-000091520000}"/>
    <cellStyle name="40% - Accent4 3 4 6 2" xfId="14587" xr:uid="{00000000-0005-0000-0000-000092520000}"/>
    <cellStyle name="40% - Accent4 3 4 6 2 2" xfId="29121" xr:uid="{00000000-0005-0000-0000-000093520000}"/>
    <cellStyle name="40% - Accent4 3 4 6 2 2 2" xfId="58127" xr:uid="{00000000-0005-0000-0000-000094520000}"/>
    <cellStyle name="40% - Accent4 3 4 6 2 3" xfId="43628" xr:uid="{00000000-0005-0000-0000-000095520000}"/>
    <cellStyle name="40% - Accent4 3 4 6 3" xfId="21873" xr:uid="{00000000-0005-0000-0000-000096520000}"/>
    <cellStyle name="40% - Accent4 3 4 6 3 2" xfId="50879" xr:uid="{00000000-0005-0000-0000-000097520000}"/>
    <cellStyle name="40% - Accent4 3 4 6 4" xfId="36380" xr:uid="{00000000-0005-0000-0000-000098520000}"/>
    <cellStyle name="40% - Accent4 3 4 7" xfId="8379" xr:uid="{00000000-0005-0000-0000-000099520000}"/>
    <cellStyle name="40% - Accent4 3 4 7 2" xfId="22913" xr:uid="{00000000-0005-0000-0000-00009A520000}"/>
    <cellStyle name="40% - Accent4 3 4 7 2 2" xfId="51919" xr:uid="{00000000-0005-0000-0000-00009B520000}"/>
    <cellStyle name="40% - Accent4 3 4 7 3" xfId="37420" xr:uid="{00000000-0005-0000-0000-00009C520000}"/>
    <cellStyle name="40% - Accent4 3 4 8" xfId="15665" xr:uid="{00000000-0005-0000-0000-00009D520000}"/>
    <cellStyle name="40% - Accent4 3 4 8 2" xfId="44671" xr:uid="{00000000-0005-0000-0000-00009E520000}"/>
    <cellStyle name="40% - Accent4 3 4 9" xfId="30172" xr:uid="{00000000-0005-0000-0000-00009F520000}"/>
    <cellStyle name="40% - Accent4 3 5" xfId="1013" xr:uid="{00000000-0005-0000-0000-0000A0520000}"/>
    <cellStyle name="40% - Accent4 3 5 2" xfId="1501" xr:uid="{00000000-0005-0000-0000-0000A1520000}"/>
    <cellStyle name="40% - Accent4 3 5 2 2" xfId="2559" xr:uid="{00000000-0005-0000-0000-0000A2520000}"/>
    <cellStyle name="40% - Accent4 3 5 2 2 2" xfId="5663" xr:uid="{00000000-0005-0000-0000-0000A3520000}"/>
    <cellStyle name="40% - Accent4 3 5 2 2 2 2" xfId="12935" xr:uid="{00000000-0005-0000-0000-0000A4520000}"/>
    <cellStyle name="40% - Accent4 3 5 2 2 2 2 2" xfId="27469" xr:uid="{00000000-0005-0000-0000-0000A5520000}"/>
    <cellStyle name="40% - Accent4 3 5 2 2 2 2 2 2" xfId="56475" xr:uid="{00000000-0005-0000-0000-0000A6520000}"/>
    <cellStyle name="40% - Accent4 3 5 2 2 2 2 3" xfId="41976" xr:uid="{00000000-0005-0000-0000-0000A7520000}"/>
    <cellStyle name="40% - Accent4 3 5 2 2 2 3" xfId="20221" xr:uid="{00000000-0005-0000-0000-0000A8520000}"/>
    <cellStyle name="40% - Accent4 3 5 2 2 2 3 2" xfId="49227" xr:uid="{00000000-0005-0000-0000-0000A9520000}"/>
    <cellStyle name="40% - Accent4 3 5 2 2 2 4" xfId="34728" xr:uid="{00000000-0005-0000-0000-0000AA520000}"/>
    <cellStyle name="40% - Accent4 3 5 2 2 3" xfId="9831" xr:uid="{00000000-0005-0000-0000-0000AB520000}"/>
    <cellStyle name="40% - Accent4 3 5 2 2 3 2" xfId="24365" xr:uid="{00000000-0005-0000-0000-0000AC520000}"/>
    <cellStyle name="40% - Accent4 3 5 2 2 3 2 2" xfId="53371" xr:uid="{00000000-0005-0000-0000-0000AD520000}"/>
    <cellStyle name="40% - Accent4 3 5 2 2 3 3" xfId="38872" xr:uid="{00000000-0005-0000-0000-0000AE520000}"/>
    <cellStyle name="40% - Accent4 3 5 2 2 4" xfId="17117" xr:uid="{00000000-0005-0000-0000-0000AF520000}"/>
    <cellStyle name="40% - Accent4 3 5 2 2 4 2" xfId="46123" xr:uid="{00000000-0005-0000-0000-0000B0520000}"/>
    <cellStyle name="40% - Accent4 3 5 2 2 5" xfId="31624" xr:uid="{00000000-0005-0000-0000-0000B1520000}"/>
    <cellStyle name="40% - Accent4 3 5 2 3" xfId="3591" xr:uid="{00000000-0005-0000-0000-0000B2520000}"/>
    <cellStyle name="40% - Accent4 3 5 2 3 2" xfId="6695" xr:uid="{00000000-0005-0000-0000-0000B3520000}"/>
    <cellStyle name="40% - Accent4 3 5 2 3 2 2" xfId="13967" xr:uid="{00000000-0005-0000-0000-0000B4520000}"/>
    <cellStyle name="40% - Accent4 3 5 2 3 2 2 2" xfId="28501" xr:uid="{00000000-0005-0000-0000-0000B5520000}"/>
    <cellStyle name="40% - Accent4 3 5 2 3 2 2 2 2" xfId="57507" xr:uid="{00000000-0005-0000-0000-0000B6520000}"/>
    <cellStyle name="40% - Accent4 3 5 2 3 2 2 3" xfId="43008" xr:uid="{00000000-0005-0000-0000-0000B7520000}"/>
    <cellStyle name="40% - Accent4 3 5 2 3 2 3" xfId="21253" xr:uid="{00000000-0005-0000-0000-0000B8520000}"/>
    <cellStyle name="40% - Accent4 3 5 2 3 2 3 2" xfId="50259" xr:uid="{00000000-0005-0000-0000-0000B9520000}"/>
    <cellStyle name="40% - Accent4 3 5 2 3 2 4" xfId="35760" xr:uid="{00000000-0005-0000-0000-0000BA520000}"/>
    <cellStyle name="40% - Accent4 3 5 2 3 3" xfId="10863" xr:uid="{00000000-0005-0000-0000-0000BB520000}"/>
    <cellStyle name="40% - Accent4 3 5 2 3 3 2" xfId="25397" xr:uid="{00000000-0005-0000-0000-0000BC520000}"/>
    <cellStyle name="40% - Accent4 3 5 2 3 3 2 2" xfId="54403" xr:uid="{00000000-0005-0000-0000-0000BD520000}"/>
    <cellStyle name="40% - Accent4 3 5 2 3 3 3" xfId="39904" xr:uid="{00000000-0005-0000-0000-0000BE520000}"/>
    <cellStyle name="40% - Accent4 3 5 2 3 4" xfId="18149" xr:uid="{00000000-0005-0000-0000-0000BF520000}"/>
    <cellStyle name="40% - Accent4 3 5 2 3 4 2" xfId="47155" xr:uid="{00000000-0005-0000-0000-0000C0520000}"/>
    <cellStyle name="40% - Accent4 3 5 2 3 5" xfId="32656" xr:uid="{00000000-0005-0000-0000-0000C1520000}"/>
    <cellStyle name="40% - Accent4 3 5 2 4" xfId="4623" xr:uid="{00000000-0005-0000-0000-0000C2520000}"/>
    <cellStyle name="40% - Accent4 3 5 2 4 2" xfId="11895" xr:uid="{00000000-0005-0000-0000-0000C3520000}"/>
    <cellStyle name="40% - Accent4 3 5 2 4 2 2" xfId="26429" xr:uid="{00000000-0005-0000-0000-0000C4520000}"/>
    <cellStyle name="40% - Accent4 3 5 2 4 2 2 2" xfId="55435" xr:uid="{00000000-0005-0000-0000-0000C5520000}"/>
    <cellStyle name="40% - Accent4 3 5 2 4 2 3" xfId="40936" xr:uid="{00000000-0005-0000-0000-0000C6520000}"/>
    <cellStyle name="40% - Accent4 3 5 2 4 3" xfId="19181" xr:uid="{00000000-0005-0000-0000-0000C7520000}"/>
    <cellStyle name="40% - Accent4 3 5 2 4 3 2" xfId="48187" xr:uid="{00000000-0005-0000-0000-0000C8520000}"/>
    <cellStyle name="40% - Accent4 3 5 2 4 4" xfId="33688" xr:uid="{00000000-0005-0000-0000-0000C9520000}"/>
    <cellStyle name="40% - Accent4 3 5 2 5" xfId="7727" xr:uid="{00000000-0005-0000-0000-0000CA520000}"/>
    <cellStyle name="40% - Accent4 3 5 2 5 2" xfId="14999" xr:uid="{00000000-0005-0000-0000-0000CB520000}"/>
    <cellStyle name="40% - Accent4 3 5 2 5 2 2" xfId="29533" xr:uid="{00000000-0005-0000-0000-0000CC520000}"/>
    <cellStyle name="40% - Accent4 3 5 2 5 2 2 2" xfId="58539" xr:uid="{00000000-0005-0000-0000-0000CD520000}"/>
    <cellStyle name="40% - Accent4 3 5 2 5 2 3" xfId="44040" xr:uid="{00000000-0005-0000-0000-0000CE520000}"/>
    <cellStyle name="40% - Accent4 3 5 2 5 3" xfId="22285" xr:uid="{00000000-0005-0000-0000-0000CF520000}"/>
    <cellStyle name="40% - Accent4 3 5 2 5 3 2" xfId="51291" xr:uid="{00000000-0005-0000-0000-0000D0520000}"/>
    <cellStyle name="40% - Accent4 3 5 2 5 4" xfId="36792" xr:uid="{00000000-0005-0000-0000-0000D1520000}"/>
    <cellStyle name="40% - Accent4 3 5 2 6" xfId="8791" xr:uid="{00000000-0005-0000-0000-0000D2520000}"/>
    <cellStyle name="40% - Accent4 3 5 2 6 2" xfId="23325" xr:uid="{00000000-0005-0000-0000-0000D3520000}"/>
    <cellStyle name="40% - Accent4 3 5 2 6 2 2" xfId="52331" xr:uid="{00000000-0005-0000-0000-0000D4520000}"/>
    <cellStyle name="40% - Accent4 3 5 2 6 3" xfId="37832" xr:uid="{00000000-0005-0000-0000-0000D5520000}"/>
    <cellStyle name="40% - Accent4 3 5 2 7" xfId="16077" xr:uid="{00000000-0005-0000-0000-0000D6520000}"/>
    <cellStyle name="40% - Accent4 3 5 2 7 2" xfId="45083" xr:uid="{00000000-0005-0000-0000-0000D7520000}"/>
    <cellStyle name="40% - Accent4 3 5 2 8" xfId="30584" xr:uid="{00000000-0005-0000-0000-0000D8520000}"/>
    <cellStyle name="40% - Accent4 3 5 3" xfId="2047" xr:uid="{00000000-0005-0000-0000-0000D9520000}"/>
    <cellStyle name="40% - Accent4 3 5 3 2" xfId="5151" xr:uid="{00000000-0005-0000-0000-0000DA520000}"/>
    <cellStyle name="40% - Accent4 3 5 3 2 2" xfId="12423" xr:uid="{00000000-0005-0000-0000-0000DB520000}"/>
    <cellStyle name="40% - Accent4 3 5 3 2 2 2" xfId="26957" xr:uid="{00000000-0005-0000-0000-0000DC520000}"/>
    <cellStyle name="40% - Accent4 3 5 3 2 2 2 2" xfId="55963" xr:uid="{00000000-0005-0000-0000-0000DD520000}"/>
    <cellStyle name="40% - Accent4 3 5 3 2 2 3" xfId="41464" xr:uid="{00000000-0005-0000-0000-0000DE520000}"/>
    <cellStyle name="40% - Accent4 3 5 3 2 3" xfId="19709" xr:uid="{00000000-0005-0000-0000-0000DF520000}"/>
    <cellStyle name="40% - Accent4 3 5 3 2 3 2" xfId="48715" xr:uid="{00000000-0005-0000-0000-0000E0520000}"/>
    <cellStyle name="40% - Accent4 3 5 3 2 4" xfId="34216" xr:uid="{00000000-0005-0000-0000-0000E1520000}"/>
    <cellStyle name="40% - Accent4 3 5 3 3" xfId="9319" xr:uid="{00000000-0005-0000-0000-0000E2520000}"/>
    <cellStyle name="40% - Accent4 3 5 3 3 2" xfId="23853" xr:uid="{00000000-0005-0000-0000-0000E3520000}"/>
    <cellStyle name="40% - Accent4 3 5 3 3 2 2" xfId="52859" xr:uid="{00000000-0005-0000-0000-0000E4520000}"/>
    <cellStyle name="40% - Accent4 3 5 3 3 3" xfId="38360" xr:uid="{00000000-0005-0000-0000-0000E5520000}"/>
    <cellStyle name="40% - Accent4 3 5 3 4" xfId="16605" xr:uid="{00000000-0005-0000-0000-0000E6520000}"/>
    <cellStyle name="40% - Accent4 3 5 3 4 2" xfId="45611" xr:uid="{00000000-0005-0000-0000-0000E7520000}"/>
    <cellStyle name="40% - Accent4 3 5 3 5" xfId="31112" xr:uid="{00000000-0005-0000-0000-0000E8520000}"/>
    <cellStyle name="40% - Accent4 3 5 4" xfId="3079" xr:uid="{00000000-0005-0000-0000-0000E9520000}"/>
    <cellStyle name="40% - Accent4 3 5 4 2" xfId="6183" xr:uid="{00000000-0005-0000-0000-0000EA520000}"/>
    <cellStyle name="40% - Accent4 3 5 4 2 2" xfId="13455" xr:uid="{00000000-0005-0000-0000-0000EB520000}"/>
    <cellStyle name="40% - Accent4 3 5 4 2 2 2" xfId="27989" xr:uid="{00000000-0005-0000-0000-0000EC520000}"/>
    <cellStyle name="40% - Accent4 3 5 4 2 2 2 2" xfId="56995" xr:uid="{00000000-0005-0000-0000-0000ED520000}"/>
    <cellStyle name="40% - Accent4 3 5 4 2 2 3" xfId="42496" xr:uid="{00000000-0005-0000-0000-0000EE520000}"/>
    <cellStyle name="40% - Accent4 3 5 4 2 3" xfId="20741" xr:uid="{00000000-0005-0000-0000-0000EF520000}"/>
    <cellStyle name="40% - Accent4 3 5 4 2 3 2" xfId="49747" xr:uid="{00000000-0005-0000-0000-0000F0520000}"/>
    <cellStyle name="40% - Accent4 3 5 4 2 4" xfId="35248" xr:uid="{00000000-0005-0000-0000-0000F1520000}"/>
    <cellStyle name="40% - Accent4 3 5 4 3" xfId="10351" xr:uid="{00000000-0005-0000-0000-0000F2520000}"/>
    <cellStyle name="40% - Accent4 3 5 4 3 2" xfId="24885" xr:uid="{00000000-0005-0000-0000-0000F3520000}"/>
    <cellStyle name="40% - Accent4 3 5 4 3 2 2" xfId="53891" xr:uid="{00000000-0005-0000-0000-0000F4520000}"/>
    <cellStyle name="40% - Accent4 3 5 4 3 3" xfId="39392" xr:uid="{00000000-0005-0000-0000-0000F5520000}"/>
    <cellStyle name="40% - Accent4 3 5 4 4" xfId="17637" xr:uid="{00000000-0005-0000-0000-0000F6520000}"/>
    <cellStyle name="40% - Accent4 3 5 4 4 2" xfId="46643" xr:uid="{00000000-0005-0000-0000-0000F7520000}"/>
    <cellStyle name="40% - Accent4 3 5 4 5" xfId="32144" xr:uid="{00000000-0005-0000-0000-0000F8520000}"/>
    <cellStyle name="40% - Accent4 3 5 5" xfId="4111" xr:uid="{00000000-0005-0000-0000-0000F9520000}"/>
    <cellStyle name="40% - Accent4 3 5 5 2" xfId="11383" xr:uid="{00000000-0005-0000-0000-0000FA520000}"/>
    <cellStyle name="40% - Accent4 3 5 5 2 2" xfId="25917" xr:uid="{00000000-0005-0000-0000-0000FB520000}"/>
    <cellStyle name="40% - Accent4 3 5 5 2 2 2" xfId="54923" xr:uid="{00000000-0005-0000-0000-0000FC520000}"/>
    <cellStyle name="40% - Accent4 3 5 5 2 3" xfId="40424" xr:uid="{00000000-0005-0000-0000-0000FD520000}"/>
    <cellStyle name="40% - Accent4 3 5 5 3" xfId="18669" xr:uid="{00000000-0005-0000-0000-0000FE520000}"/>
    <cellStyle name="40% - Accent4 3 5 5 3 2" xfId="47675" xr:uid="{00000000-0005-0000-0000-0000FF520000}"/>
    <cellStyle name="40% - Accent4 3 5 5 4" xfId="33176" xr:uid="{00000000-0005-0000-0000-000000530000}"/>
    <cellStyle name="40% - Accent4 3 5 6" xfId="7215" xr:uid="{00000000-0005-0000-0000-000001530000}"/>
    <cellStyle name="40% - Accent4 3 5 6 2" xfId="14487" xr:uid="{00000000-0005-0000-0000-000002530000}"/>
    <cellStyle name="40% - Accent4 3 5 6 2 2" xfId="29021" xr:uid="{00000000-0005-0000-0000-000003530000}"/>
    <cellStyle name="40% - Accent4 3 5 6 2 2 2" xfId="58027" xr:uid="{00000000-0005-0000-0000-000004530000}"/>
    <cellStyle name="40% - Accent4 3 5 6 2 3" xfId="43528" xr:uid="{00000000-0005-0000-0000-000005530000}"/>
    <cellStyle name="40% - Accent4 3 5 6 3" xfId="21773" xr:uid="{00000000-0005-0000-0000-000006530000}"/>
    <cellStyle name="40% - Accent4 3 5 6 3 2" xfId="50779" xr:uid="{00000000-0005-0000-0000-000007530000}"/>
    <cellStyle name="40% - Accent4 3 5 6 4" xfId="36280" xr:uid="{00000000-0005-0000-0000-000008530000}"/>
    <cellStyle name="40% - Accent4 3 5 7" xfId="8279" xr:uid="{00000000-0005-0000-0000-000009530000}"/>
    <cellStyle name="40% - Accent4 3 5 7 2" xfId="22813" xr:uid="{00000000-0005-0000-0000-00000A530000}"/>
    <cellStyle name="40% - Accent4 3 5 7 2 2" xfId="51819" xr:uid="{00000000-0005-0000-0000-00000B530000}"/>
    <cellStyle name="40% - Accent4 3 5 7 3" xfId="37320" xr:uid="{00000000-0005-0000-0000-00000C530000}"/>
    <cellStyle name="40% - Accent4 3 5 8" xfId="15565" xr:uid="{00000000-0005-0000-0000-00000D530000}"/>
    <cellStyle name="40% - Accent4 3 5 8 2" xfId="44571" xr:uid="{00000000-0005-0000-0000-00000E530000}"/>
    <cellStyle name="40% - Accent4 3 5 9" xfId="30072" xr:uid="{00000000-0005-0000-0000-00000F530000}"/>
    <cellStyle name="40% - Accent4 3 6" xfId="1297" xr:uid="{00000000-0005-0000-0000-000010530000}"/>
    <cellStyle name="40% - Accent4 3 6 2" xfId="2353" xr:uid="{00000000-0005-0000-0000-000011530000}"/>
    <cellStyle name="40% - Accent4 3 6 2 2" xfId="5457" xr:uid="{00000000-0005-0000-0000-000012530000}"/>
    <cellStyle name="40% - Accent4 3 6 2 2 2" xfId="12729" xr:uid="{00000000-0005-0000-0000-000013530000}"/>
    <cellStyle name="40% - Accent4 3 6 2 2 2 2" xfId="27263" xr:uid="{00000000-0005-0000-0000-000014530000}"/>
    <cellStyle name="40% - Accent4 3 6 2 2 2 2 2" xfId="56269" xr:uid="{00000000-0005-0000-0000-000015530000}"/>
    <cellStyle name="40% - Accent4 3 6 2 2 2 3" xfId="41770" xr:uid="{00000000-0005-0000-0000-000016530000}"/>
    <cellStyle name="40% - Accent4 3 6 2 2 3" xfId="20015" xr:uid="{00000000-0005-0000-0000-000017530000}"/>
    <cellStyle name="40% - Accent4 3 6 2 2 3 2" xfId="49021" xr:uid="{00000000-0005-0000-0000-000018530000}"/>
    <cellStyle name="40% - Accent4 3 6 2 2 4" xfId="34522" xr:uid="{00000000-0005-0000-0000-000019530000}"/>
    <cellStyle name="40% - Accent4 3 6 2 3" xfId="9625" xr:uid="{00000000-0005-0000-0000-00001A530000}"/>
    <cellStyle name="40% - Accent4 3 6 2 3 2" xfId="24159" xr:uid="{00000000-0005-0000-0000-00001B530000}"/>
    <cellStyle name="40% - Accent4 3 6 2 3 2 2" xfId="53165" xr:uid="{00000000-0005-0000-0000-00001C530000}"/>
    <cellStyle name="40% - Accent4 3 6 2 3 3" xfId="38666" xr:uid="{00000000-0005-0000-0000-00001D530000}"/>
    <cellStyle name="40% - Accent4 3 6 2 4" xfId="16911" xr:uid="{00000000-0005-0000-0000-00001E530000}"/>
    <cellStyle name="40% - Accent4 3 6 2 4 2" xfId="45917" xr:uid="{00000000-0005-0000-0000-00001F530000}"/>
    <cellStyle name="40% - Accent4 3 6 2 5" xfId="31418" xr:uid="{00000000-0005-0000-0000-000020530000}"/>
    <cellStyle name="40% - Accent4 3 6 3" xfId="3385" xr:uid="{00000000-0005-0000-0000-000021530000}"/>
    <cellStyle name="40% - Accent4 3 6 3 2" xfId="6489" xr:uid="{00000000-0005-0000-0000-000022530000}"/>
    <cellStyle name="40% - Accent4 3 6 3 2 2" xfId="13761" xr:uid="{00000000-0005-0000-0000-000023530000}"/>
    <cellStyle name="40% - Accent4 3 6 3 2 2 2" xfId="28295" xr:uid="{00000000-0005-0000-0000-000024530000}"/>
    <cellStyle name="40% - Accent4 3 6 3 2 2 2 2" xfId="57301" xr:uid="{00000000-0005-0000-0000-000025530000}"/>
    <cellStyle name="40% - Accent4 3 6 3 2 2 3" xfId="42802" xr:uid="{00000000-0005-0000-0000-000026530000}"/>
    <cellStyle name="40% - Accent4 3 6 3 2 3" xfId="21047" xr:uid="{00000000-0005-0000-0000-000027530000}"/>
    <cellStyle name="40% - Accent4 3 6 3 2 3 2" xfId="50053" xr:uid="{00000000-0005-0000-0000-000028530000}"/>
    <cellStyle name="40% - Accent4 3 6 3 2 4" xfId="35554" xr:uid="{00000000-0005-0000-0000-000029530000}"/>
    <cellStyle name="40% - Accent4 3 6 3 3" xfId="10657" xr:uid="{00000000-0005-0000-0000-00002A530000}"/>
    <cellStyle name="40% - Accent4 3 6 3 3 2" xfId="25191" xr:uid="{00000000-0005-0000-0000-00002B530000}"/>
    <cellStyle name="40% - Accent4 3 6 3 3 2 2" xfId="54197" xr:uid="{00000000-0005-0000-0000-00002C530000}"/>
    <cellStyle name="40% - Accent4 3 6 3 3 3" xfId="39698" xr:uid="{00000000-0005-0000-0000-00002D530000}"/>
    <cellStyle name="40% - Accent4 3 6 3 4" xfId="17943" xr:uid="{00000000-0005-0000-0000-00002E530000}"/>
    <cellStyle name="40% - Accent4 3 6 3 4 2" xfId="46949" xr:uid="{00000000-0005-0000-0000-00002F530000}"/>
    <cellStyle name="40% - Accent4 3 6 3 5" xfId="32450" xr:uid="{00000000-0005-0000-0000-000030530000}"/>
    <cellStyle name="40% - Accent4 3 6 4" xfId="4417" xr:uid="{00000000-0005-0000-0000-000031530000}"/>
    <cellStyle name="40% - Accent4 3 6 4 2" xfId="11689" xr:uid="{00000000-0005-0000-0000-000032530000}"/>
    <cellStyle name="40% - Accent4 3 6 4 2 2" xfId="26223" xr:uid="{00000000-0005-0000-0000-000033530000}"/>
    <cellStyle name="40% - Accent4 3 6 4 2 2 2" xfId="55229" xr:uid="{00000000-0005-0000-0000-000034530000}"/>
    <cellStyle name="40% - Accent4 3 6 4 2 3" xfId="40730" xr:uid="{00000000-0005-0000-0000-000035530000}"/>
    <cellStyle name="40% - Accent4 3 6 4 3" xfId="18975" xr:uid="{00000000-0005-0000-0000-000036530000}"/>
    <cellStyle name="40% - Accent4 3 6 4 3 2" xfId="47981" xr:uid="{00000000-0005-0000-0000-000037530000}"/>
    <cellStyle name="40% - Accent4 3 6 4 4" xfId="33482" xr:uid="{00000000-0005-0000-0000-000038530000}"/>
    <cellStyle name="40% - Accent4 3 6 5" xfId="7521" xr:uid="{00000000-0005-0000-0000-000039530000}"/>
    <cellStyle name="40% - Accent4 3 6 5 2" xfId="14793" xr:uid="{00000000-0005-0000-0000-00003A530000}"/>
    <cellStyle name="40% - Accent4 3 6 5 2 2" xfId="29327" xr:uid="{00000000-0005-0000-0000-00003B530000}"/>
    <cellStyle name="40% - Accent4 3 6 5 2 2 2" xfId="58333" xr:uid="{00000000-0005-0000-0000-00003C530000}"/>
    <cellStyle name="40% - Accent4 3 6 5 2 3" xfId="43834" xr:uid="{00000000-0005-0000-0000-00003D530000}"/>
    <cellStyle name="40% - Accent4 3 6 5 3" xfId="22079" xr:uid="{00000000-0005-0000-0000-00003E530000}"/>
    <cellStyle name="40% - Accent4 3 6 5 3 2" xfId="51085" xr:uid="{00000000-0005-0000-0000-00003F530000}"/>
    <cellStyle name="40% - Accent4 3 6 5 4" xfId="36586" xr:uid="{00000000-0005-0000-0000-000040530000}"/>
    <cellStyle name="40% - Accent4 3 6 6" xfId="8585" xr:uid="{00000000-0005-0000-0000-000041530000}"/>
    <cellStyle name="40% - Accent4 3 6 6 2" xfId="23119" xr:uid="{00000000-0005-0000-0000-000042530000}"/>
    <cellStyle name="40% - Accent4 3 6 6 2 2" xfId="52125" xr:uid="{00000000-0005-0000-0000-000043530000}"/>
    <cellStyle name="40% - Accent4 3 6 6 3" xfId="37626" xr:uid="{00000000-0005-0000-0000-000044530000}"/>
    <cellStyle name="40% - Accent4 3 6 7" xfId="15871" xr:uid="{00000000-0005-0000-0000-000045530000}"/>
    <cellStyle name="40% - Accent4 3 6 7 2" xfId="44877" xr:uid="{00000000-0005-0000-0000-000046530000}"/>
    <cellStyle name="40% - Accent4 3 6 8" xfId="30378" xr:uid="{00000000-0005-0000-0000-000047530000}"/>
    <cellStyle name="40% - Accent4 3 7" xfId="1841" xr:uid="{00000000-0005-0000-0000-000048530000}"/>
    <cellStyle name="40% - Accent4 3 7 2" xfId="4945" xr:uid="{00000000-0005-0000-0000-000049530000}"/>
    <cellStyle name="40% - Accent4 3 7 2 2" xfId="12217" xr:uid="{00000000-0005-0000-0000-00004A530000}"/>
    <cellStyle name="40% - Accent4 3 7 2 2 2" xfId="26751" xr:uid="{00000000-0005-0000-0000-00004B530000}"/>
    <cellStyle name="40% - Accent4 3 7 2 2 2 2" xfId="55757" xr:uid="{00000000-0005-0000-0000-00004C530000}"/>
    <cellStyle name="40% - Accent4 3 7 2 2 3" xfId="41258" xr:uid="{00000000-0005-0000-0000-00004D530000}"/>
    <cellStyle name="40% - Accent4 3 7 2 3" xfId="19503" xr:uid="{00000000-0005-0000-0000-00004E530000}"/>
    <cellStyle name="40% - Accent4 3 7 2 3 2" xfId="48509" xr:uid="{00000000-0005-0000-0000-00004F530000}"/>
    <cellStyle name="40% - Accent4 3 7 2 4" xfId="34010" xr:uid="{00000000-0005-0000-0000-000050530000}"/>
    <cellStyle name="40% - Accent4 3 7 3" xfId="9113" xr:uid="{00000000-0005-0000-0000-000051530000}"/>
    <cellStyle name="40% - Accent4 3 7 3 2" xfId="23647" xr:uid="{00000000-0005-0000-0000-000052530000}"/>
    <cellStyle name="40% - Accent4 3 7 3 2 2" xfId="52653" xr:uid="{00000000-0005-0000-0000-000053530000}"/>
    <cellStyle name="40% - Accent4 3 7 3 3" xfId="38154" xr:uid="{00000000-0005-0000-0000-000054530000}"/>
    <cellStyle name="40% - Accent4 3 7 4" xfId="16399" xr:uid="{00000000-0005-0000-0000-000055530000}"/>
    <cellStyle name="40% - Accent4 3 7 4 2" xfId="45405" xr:uid="{00000000-0005-0000-0000-000056530000}"/>
    <cellStyle name="40% - Accent4 3 7 5" xfId="30906" xr:uid="{00000000-0005-0000-0000-000057530000}"/>
    <cellStyle name="40% - Accent4 3 8" xfId="2873" xr:uid="{00000000-0005-0000-0000-000058530000}"/>
    <cellStyle name="40% - Accent4 3 8 2" xfId="5977" xr:uid="{00000000-0005-0000-0000-000059530000}"/>
    <cellStyle name="40% - Accent4 3 8 2 2" xfId="13249" xr:uid="{00000000-0005-0000-0000-00005A530000}"/>
    <cellStyle name="40% - Accent4 3 8 2 2 2" xfId="27783" xr:uid="{00000000-0005-0000-0000-00005B530000}"/>
    <cellStyle name="40% - Accent4 3 8 2 2 2 2" xfId="56789" xr:uid="{00000000-0005-0000-0000-00005C530000}"/>
    <cellStyle name="40% - Accent4 3 8 2 2 3" xfId="42290" xr:uid="{00000000-0005-0000-0000-00005D530000}"/>
    <cellStyle name="40% - Accent4 3 8 2 3" xfId="20535" xr:uid="{00000000-0005-0000-0000-00005E530000}"/>
    <cellStyle name="40% - Accent4 3 8 2 3 2" xfId="49541" xr:uid="{00000000-0005-0000-0000-00005F530000}"/>
    <cellStyle name="40% - Accent4 3 8 2 4" xfId="35042" xr:uid="{00000000-0005-0000-0000-000060530000}"/>
    <cellStyle name="40% - Accent4 3 8 3" xfId="10145" xr:uid="{00000000-0005-0000-0000-000061530000}"/>
    <cellStyle name="40% - Accent4 3 8 3 2" xfId="24679" xr:uid="{00000000-0005-0000-0000-000062530000}"/>
    <cellStyle name="40% - Accent4 3 8 3 2 2" xfId="53685" xr:uid="{00000000-0005-0000-0000-000063530000}"/>
    <cellStyle name="40% - Accent4 3 8 3 3" xfId="39186" xr:uid="{00000000-0005-0000-0000-000064530000}"/>
    <cellStyle name="40% - Accent4 3 8 4" xfId="17431" xr:uid="{00000000-0005-0000-0000-000065530000}"/>
    <cellStyle name="40% - Accent4 3 8 4 2" xfId="46437" xr:uid="{00000000-0005-0000-0000-000066530000}"/>
    <cellStyle name="40% - Accent4 3 8 5" xfId="31938" xr:uid="{00000000-0005-0000-0000-000067530000}"/>
    <cellStyle name="40% - Accent4 3 9" xfId="3905" xr:uid="{00000000-0005-0000-0000-000068530000}"/>
    <cellStyle name="40% - Accent4 3 9 2" xfId="11177" xr:uid="{00000000-0005-0000-0000-000069530000}"/>
    <cellStyle name="40% - Accent4 3 9 2 2" xfId="25711" xr:uid="{00000000-0005-0000-0000-00006A530000}"/>
    <cellStyle name="40% - Accent4 3 9 2 2 2" xfId="54717" xr:uid="{00000000-0005-0000-0000-00006B530000}"/>
    <cellStyle name="40% - Accent4 3 9 2 3" xfId="40218" xr:uid="{00000000-0005-0000-0000-00006C530000}"/>
    <cellStyle name="40% - Accent4 3 9 3" xfId="18463" xr:uid="{00000000-0005-0000-0000-00006D530000}"/>
    <cellStyle name="40% - Accent4 3 9 3 2" xfId="47469" xr:uid="{00000000-0005-0000-0000-00006E530000}"/>
    <cellStyle name="40% - Accent4 3 9 4" xfId="32970" xr:uid="{00000000-0005-0000-0000-00006F530000}"/>
    <cellStyle name="40% - Accent4 4" xfId="871" xr:uid="{00000000-0005-0000-0000-000070530000}"/>
    <cellStyle name="40% - Accent4 4 10" xfId="8101" xr:uid="{00000000-0005-0000-0000-000071530000}"/>
    <cellStyle name="40% - Accent4 4 10 2" xfId="22635" xr:uid="{00000000-0005-0000-0000-000072530000}"/>
    <cellStyle name="40% - Accent4 4 10 2 2" xfId="51641" xr:uid="{00000000-0005-0000-0000-000073530000}"/>
    <cellStyle name="40% - Accent4 4 10 3" xfId="37142" xr:uid="{00000000-0005-0000-0000-000074530000}"/>
    <cellStyle name="40% - Accent4 4 11" xfId="15387" xr:uid="{00000000-0005-0000-0000-000075530000}"/>
    <cellStyle name="40% - Accent4 4 11 2" xfId="44393" xr:uid="{00000000-0005-0000-0000-000076530000}"/>
    <cellStyle name="40% - Accent4 4 12" xfId="29894" xr:uid="{00000000-0005-0000-0000-000077530000}"/>
    <cellStyle name="40% - Accent4 4 2" xfId="951" xr:uid="{00000000-0005-0000-0000-000078530000}"/>
    <cellStyle name="40% - Accent4 4 2 10" xfId="29997" xr:uid="{00000000-0005-0000-0000-000079530000}"/>
    <cellStyle name="40% - Accent4 4 2 2" xfId="1226" xr:uid="{00000000-0005-0000-0000-00007A530000}"/>
    <cellStyle name="40% - Accent4 4 2 2 2" xfId="1731" xr:uid="{00000000-0005-0000-0000-00007B530000}"/>
    <cellStyle name="40% - Accent4 4 2 2 2 2" xfId="2790" xr:uid="{00000000-0005-0000-0000-00007C530000}"/>
    <cellStyle name="40% - Accent4 4 2 2 2 2 2" xfId="5894" xr:uid="{00000000-0005-0000-0000-00007D530000}"/>
    <cellStyle name="40% - Accent4 4 2 2 2 2 2 2" xfId="13166" xr:uid="{00000000-0005-0000-0000-00007E530000}"/>
    <cellStyle name="40% - Accent4 4 2 2 2 2 2 2 2" xfId="27700" xr:uid="{00000000-0005-0000-0000-00007F530000}"/>
    <cellStyle name="40% - Accent4 4 2 2 2 2 2 2 2 2" xfId="56706" xr:uid="{00000000-0005-0000-0000-000080530000}"/>
    <cellStyle name="40% - Accent4 4 2 2 2 2 2 2 3" xfId="42207" xr:uid="{00000000-0005-0000-0000-000081530000}"/>
    <cellStyle name="40% - Accent4 4 2 2 2 2 2 3" xfId="20452" xr:uid="{00000000-0005-0000-0000-000082530000}"/>
    <cellStyle name="40% - Accent4 4 2 2 2 2 2 3 2" xfId="49458" xr:uid="{00000000-0005-0000-0000-000083530000}"/>
    <cellStyle name="40% - Accent4 4 2 2 2 2 2 4" xfId="34959" xr:uid="{00000000-0005-0000-0000-000084530000}"/>
    <cellStyle name="40% - Accent4 4 2 2 2 2 3" xfId="10062" xr:uid="{00000000-0005-0000-0000-000085530000}"/>
    <cellStyle name="40% - Accent4 4 2 2 2 2 3 2" xfId="24596" xr:uid="{00000000-0005-0000-0000-000086530000}"/>
    <cellStyle name="40% - Accent4 4 2 2 2 2 3 2 2" xfId="53602" xr:uid="{00000000-0005-0000-0000-000087530000}"/>
    <cellStyle name="40% - Accent4 4 2 2 2 2 3 3" xfId="39103" xr:uid="{00000000-0005-0000-0000-000088530000}"/>
    <cellStyle name="40% - Accent4 4 2 2 2 2 4" xfId="17348" xr:uid="{00000000-0005-0000-0000-000089530000}"/>
    <cellStyle name="40% - Accent4 4 2 2 2 2 4 2" xfId="46354" xr:uid="{00000000-0005-0000-0000-00008A530000}"/>
    <cellStyle name="40% - Accent4 4 2 2 2 2 5" xfId="31855" xr:uid="{00000000-0005-0000-0000-00008B530000}"/>
    <cellStyle name="40% - Accent4 4 2 2 2 3" xfId="3822" xr:uid="{00000000-0005-0000-0000-00008C530000}"/>
    <cellStyle name="40% - Accent4 4 2 2 2 3 2" xfId="6926" xr:uid="{00000000-0005-0000-0000-00008D530000}"/>
    <cellStyle name="40% - Accent4 4 2 2 2 3 2 2" xfId="14198" xr:uid="{00000000-0005-0000-0000-00008E530000}"/>
    <cellStyle name="40% - Accent4 4 2 2 2 3 2 2 2" xfId="28732" xr:uid="{00000000-0005-0000-0000-00008F530000}"/>
    <cellStyle name="40% - Accent4 4 2 2 2 3 2 2 2 2" xfId="57738" xr:uid="{00000000-0005-0000-0000-000090530000}"/>
    <cellStyle name="40% - Accent4 4 2 2 2 3 2 2 3" xfId="43239" xr:uid="{00000000-0005-0000-0000-000091530000}"/>
    <cellStyle name="40% - Accent4 4 2 2 2 3 2 3" xfId="21484" xr:uid="{00000000-0005-0000-0000-000092530000}"/>
    <cellStyle name="40% - Accent4 4 2 2 2 3 2 3 2" xfId="50490" xr:uid="{00000000-0005-0000-0000-000093530000}"/>
    <cellStyle name="40% - Accent4 4 2 2 2 3 2 4" xfId="35991" xr:uid="{00000000-0005-0000-0000-000094530000}"/>
    <cellStyle name="40% - Accent4 4 2 2 2 3 3" xfId="11094" xr:uid="{00000000-0005-0000-0000-000095530000}"/>
    <cellStyle name="40% - Accent4 4 2 2 2 3 3 2" xfId="25628" xr:uid="{00000000-0005-0000-0000-000096530000}"/>
    <cellStyle name="40% - Accent4 4 2 2 2 3 3 2 2" xfId="54634" xr:uid="{00000000-0005-0000-0000-000097530000}"/>
    <cellStyle name="40% - Accent4 4 2 2 2 3 3 3" xfId="40135" xr:uid="{00000000-0005-0000-0000-000098530000}"/>
    <cellStyle name="40% - Accent4 4 2 2 2 3 4" xfId="18380" xr:uid="{00000000-0005-0000-0000-000099530000}"/>
    <cellStyle name="40% - Accent4 4 2 2 2 3 4 2" xfId="47386" xr:uid="{00000000-0005-0000-0000-00009A530000}"/>
    <cellStyle name="40% - Accent4 4 2 2 2 3 5" xfId="32887" xr:uid="{00000000-0005-0000-0000-00009B530000}"/>
    <cellStyle name="40% - Accent4 4 2 2 2 4" xfId="4854" xr:uid="{00000000-0005-0000-0000-00009C530000}"/>
    <cellStyle name="40% - Accent4 4 2 2 2 4 2" xfId="12126" xr:uid="{00000000-0005-0000-0000-00009D530000}"/>
    <cellStyle name="40% - Accent4 4 2 2 2 4 2 2" xfId="26660" xr:uid="{00000000-0005-0000-0000-00009E530000}"/>
    <cellStyle name="40% - Accent4 4 2 2 2 4 2 2 2" xfId="55666" xr:uid="{00000000-0005-0000-0000-00009F530000}"/>
    <cellStyle name="40% - Accent4 4 2 2 2 4 2 3" xfId="41167" xr:uid="{00000000-0005-0000-0000-0000A0530000}"/>
    <cellStyle name="40% - Accent4 4 2 2 2 4 3" xfId="19412" xr:uid="{00000000-0005-0000-0000-0000A1530000}"/>
    <cellStyle name="40% - Accent4 4 2 2 2 4 3 2" xfId="48418" xr:uid="{00000000-0005-0000-0000-0000A2530000}"/>
    <cellStyle name="40% - Accent4 4 2 2 2 4 4" xfId="33919" xr:uid="{00000000-0005-0000-0000-0000A3530000}"/>
    <cellStyle name="40% - Accent4 4 2 2 2 5" xfId="7958" xr:uid="{00000000-0005-0000-0000-0000A4530000}"/>
    <cellStyle name="40% - Accent4 4 2 2 2 5 2" xfId="15230" xr:uid="{00000000-0005-0000-0000-0000A5530000}"/>
    <cellStyle name="40% - Accent4 4 2 2 2 5 2 2" xfId="29764" xr:uid="{00000000-0005-0000-0000-0000A6530000}"/>
    <cellStyle name="40% - Accent4 4 2 2 2 5 2 2 2" xfId="58770" xr:uid="{00000000-0005-0000-0000-0000A7530000}"/>
    <cellStyle name="40% - Accent4 4 2 2 2 5 2 3" xfId="44271" xr:uid="{00000000-0005-0000-0000-0000A8530000}"/>
    <cellStyle name="40% - Accent4 4 2 2 2 5 3" xfId="22516" xr:uid="{00000000-0005-0000-0000-0000A9530000}"/>
    <cellStyle name="40% - Accent4 4 2 2 2 5 3 2" xfId="51522" xr:uid="{00000000-0005-0000-0000-0000AA530000}"/>
    <cellStyle name="40% - Accent4 4 2 2 2 5 4" xfId="37023" xr:uid="{00000000-0005-0000-0000-0000AB530000}"/>
    <cellStyle name="40% - Accent4 4 2 2 2 6" xfId="9022" xr:uid="{00000000-0005-0000-0000-0000AC530000}"/>
    <cellStyle name="40% - Accent4 4 2 2 2 6 2" xfId="23556" xr:uid="{00000000-0005-0000-0000-0000AD530000}"/>
    <cellStyle name="40% - Accent4 4 2 2 2 6 2 2" xfId="52562" xr:uid="{00000000-0005-0000-0000-0000AE530000}"/>
    <cellStyle name="40% - Accent4 4 2 2 2 6 3" xfId="38063" xr:uid="{00000000-0005-0000-0000-0000AF530000}"/>
    <cellStyle name="40% - Accent4 4 2 2 2 7" xfId="16308" xr:uid="{00000000-0005-0000-0000-0000B0530000}"/>
    <cellStyle name="40% - Accent4 4 2 2 2 7 2" xfId="45314" xr:uid="{00000000-0005-0000-0000-0000B1530000}"/>
    <cellStyle name="40% - Accent4 4 2 2 2 8" xfId="30815" xr:uid="{00000000-0005-0000-0000-0000B2530000}"/>
    <cellStyle name="40% - Accent4 4 2 2 3" xfId="2278" xr:uid="{00000000-0005-0000-0000-0000B3530000}"/>
    <cellStyle name="40% - Accent4 4 2 2 3 2" xfId="5382" xr:uid="{00000000-0005-0000-0000-0000B4530000}"/>
    <cellStyle name="40% - Accent4 4 2 2 3 2 2" xfId="12654" xr:uid="{00000000-0005-0000-0000-0000B5530000}"/>
    <cellStyle name="40% - Accent4 4 2 2 3 2 2 2" xfId="27188" xr:uid="{00000000-0005-0000-0000-0000B6530000}"/>
    <cellStyle name="40% - Accent4 4 2 2 3 2 2 2 2" xfId="56194" xr:uid="{00000000-0005-0000-0000-0000B7530000}"/>
    <cellStyle name="40% - Accent4 4 2 2 3 2 2 3" xfId="41695" xr:uid="{00000000-0005-0000-0000-0000B8530000}"/>
    <cellStyle name="40% - Accent4 4 2 2 3 2 3" xfId="19940" xr:uid="{00000000-0005-0000-0000-0000B9530000}"/>
    <cellStyle name="40% - Accent4 4 2 2 3 2 3 2" xfId="48946" xr:uid="{00000000-0005-0000-0000-0000BA530000}"/>
    <cellStyle name="40% - Accent4 4 2 2 3 2 4" xfId="34447" xr:uid="{00000000-0005-0000-0000-0000BB530000}"/>
    <cellStyle name="40% - Accent4 4 2 2 3 3" xfId="9550" xr:uid="{00000000-0005-0000-0000-0000BC530000}"/>
    <cellStyle name="40% - Accent4 4 2 2 3 3 2" xfId="24084" xr:uid="{00000000-0005-0000-0000-0000BD530000}"/>
    <cellStyle name="40% - Accent4 4 2 2 3 3 2 2" xfId="53090" xr:uid="{00000000-0005-0000-0000-0000BE530000}"/>
    <cellStyle name="40% - Accent4 4 2 2 3 3 3" xfId="38591" xr:uid="{00000000-0005-0000-0000-0000BF530000}"/>
    <cellStyle name="40% - Accent4 4 2 2 3 4" xfId="16836" xr:uid="{00000000-0005-0000-0000-0000C0530000}"/>
    <cellStyle name="40% - Accent4 4 2 2 3 4 2" xfId="45842" xr:uid="{00000000-0005-0000-0000-0000C1530000}"/>
    <cellStyle name="40% - Accent4 4 2 2 3 5" xfId="31343" xr:uid="{00000000-0005-0000-0000-0000C2530000}"/>
    <cellStyle name="40% - Accent4 4 2 2 4" xfId="3310" xr:uid="{00000000-0005-0000-0000-0000C3530000}"/>
    <cellStyle name="40% - Accent4 4 2 2 4 2" xfId="6414" xr:uid="{00000000-0005-0000-0000-0000C4530000}"/>
    <cellStyle name="40% - Accent4 4 2 2 4 2 2" xfId="13686" xr:uid="{00000000-0005-0000-0000-0000C5530000}"/>
    <cellStyle name="40% - Accent4 4 2 2 4 2 2 2" xfId="28220" xr:uid="{00000000-0005-0000-0000-0000C6530000}"/>
    <cellStyle name="40% - Accent4 4 2 2 4 2 2 2 2" xfId="57226" xr:uid="{00000000-0005-0000-0000-0000C7530000}"/>
    <cellStyle name="40% - Accent4 4 2 2 4 2 2 3" xfId="42727" xr:uid="{00000000-0005-0000-0000-0000C8530000}"/>
    <cellStyle name="40% - Accent4 4 2 2 4 2 3" xfId="20972" xr:uid="{00000000-0005-0000-0000-0000C9530000}"/>
    <cellStyle name="40% - Accent4 4 2 2 4 2 3 2" xfId="49978" xr:uid="{00000000-0005-0000-0000-0000CA530000}"/>
    <cellStyle name="40% - Accent4 4 2 2 4 2 4" xfId="35479" xr:uid="{00000000-0005-0000-0000-0000CB530000}"/>
    <cellStyle name="40% - Accent4 4 2 2 4 3" xfId="10582" xr:uid="{00000000-0005-0000-0000-0000CC530000}"/>
    <cellStyle name="40% - Accent4 4 2 2 4 3 2" xfId="25116" xr:uid="{00000000-0005-0000-0000-0000CD530000}"/>
    <cellStyle name="40% - Accent4 4 2 2 4 3 2 2" xfId="54122" xr:uid="{00000000-0005-0000-0000-0000CE530000}"/>
    <cellStyle name="40% - Accent4 4 2 2 4 3 3" xfId="39623" xr:uid="{00000000-0005-0000-0000-0000CF530000}"/>
    <cellStyle name="40% - Accent4 4 2 2 4 4" xfId="17868" xr:uid="{00000000-0005-0000-0000-0000D0530000}"/>
    <cellStyle name="40% - Accent4 4 2 2 4 4 2" xfId="46874" xr:uid="{00000000-0005-0000-0000-0000D1530000}"/>
    <cellStyle name="40% - Accent4 4 2 2 4 5" xfId="32375" xr:uid="{00000000-0005-0000-0000-0000D2530000}"/>
    <cellStyle name="40% - Accent4 4 2 2 5" xfId="4342" xr:uid="{00000000-0005-0000-0000-0000D3530000}"/>
    <cellStyle name="40% - Accent4 4 2 2 5 2" xfId="11614" xr:uid="{00000000-0005-0000-0000-0000D4530000}"/>
    <cellStyle name="40% - Accent4 4 2 2 5 2 2" xfId="26148" xr:uid="{00000000-0005-0000-0000-0000D5530000}"/>
    <cellStyle name="40% - Accent4 4 2 2 5 2 2 2" xfId="55154" xr:uid="{00000000-0005-0000-0000-0000D6530000}"/>
    <cellStyle name="40% - Accent4 4 2 2 5 2 3" xfId="40655" xr:uid="{00000000-0005-0000-0000-0000D7530000}"/>
    <cellStyle name="40% - Accent4 4 2 2 5 3" xfId="18900" xr:uid="{00000000-0005-0000-0000-0000D8530000}"/>
    <cellStyle name="40% - Accent4 4 2 2 5 3 2" xfId="47906" xr:uid="{00000000-0005-0000-0000-0000D9530000}"/>
    <cellStyle name="40% - Accent4 4 2 2 5 4" xfId="33407" xr:uid="{00000000-0005-0000-0000-0000DA530000}"/>
    <cellStyle name="40% - Accent4 4 2 2 6" xfId="7446" xr:uid="{00000000-0005-0000-0000-0000DB530000}"/>
    <cellStyle name="40% - Accent4 4 2 2 6 2" xfId="14718" xr:uid="{00000000-0005-0000-0000-0000DC530000}"/>
    <cellStyle name="40% - Accent4 4 2 2 6 2 2" xfId="29252" xr:uid="{00000000-0005-0000-0000-0000DD530000}"/>
    <cellStyle name="40% - Accent4 4 2 2 6 2 2 2" xfId="58258" xr:uid="{00000000-0005-0000-0000-0000DE530000}"/>
    <cellStyle name="40% - Accent4 4 2 2 6 2 3" xfId="43759" xr:uid="{00000000-0005-0000-0000-0000DF530000}"/>
    <cellStyle name="40% - Accent4 4 2 2 6 3" xfId="22004" xr:uid="{00000000-0005-0000-0000-0000E0530000}"/>
    <cellStyle name="40% - Accent4 4 2 2 6 3 2" xfId="51010" xr:uid="{00000000-0005-0000-0000-0000E1530000}"/>
    <cellStyle name="40% - Accent4 4 2 2 6 4" xfId="36511" xr:uid="{00000000-0005-0000-0000-0000E2530000}"/>
    <cellStyle name="40% - Accent4 4 2 2 7" xfId="8510" xr:uid="{00000000-0005-0000-0000-0000E3530000}"/>
    <cellStyle name="40% - Accent4 4 2 2 7 2" xfId="23044" xr:uid="{00000000-0005-0000-0000-0000E4530000}"/>
    <cellStyle name="40% - Accent4 4 2 2 7 2 2" xfId="52050" xr:uid="{00000000-0005-0000-0000-0000E5530000}"/>
    <cellStyle name="40% - Accent4 4 2 2 7 3" xfId="37551" xr:uid="{00000000-0005-0000-0000-0000E6530000}"/>
    <cellStyle name="40% - Accent4 4 2 2 8" xfId="15796" xr:uid="{00000000-0005-0000-0000-0000E7530000}"/>
    <cellStyle name="40% - Accent4 4 2 2 8 2" xfId="44802" xr:uid="{00000000-0005-0000-0000-0000E8530000}"/>
    <cellStyle name="40% - Accent4 4 2 2 9" xfId="30303" xr:uid="{00000000-0005-0000-0000-0000E9530000}"/>
    <cellStyle name="40% - Accent4 4 2 3" xfId="1426" xr:uid="{00000000-0005-0000-0000-0000EA530000}"/>
    <cellStyle name="40% - Accent4 4 2 3 2" xfId="2484" xr:uid="{00000000-0005-0000-0000-0000EB530000}"/>
    <cellStyle name="40% - Accent4 4 2 3 2 2" xfId="5588" xr:uid="{00000000-0005-0000-0000-0000EC530000}"/>
    <cellStyle name="40% - Accent4 4 2 3 2 2 2" xfId="12860" xr:uid="{00000000-0005-0000-0000-0000ED530000}"/>
    <cellStyle name="40% - Accent4 4 2 3 2 2 2 2" xfId="27394" xr:uid="{00000000-0005-0000-0000-0000EE530000}"/>
    <cellStyle name="40% - Accent4 4 2 3 2 2 2 2 2" xfId="56400" xr:uid="{00000000-0005-0000-0000-0000EF530000}"/>
    <cellStyle name="40% - Accent4 4 2 3 2 2 2 3" xfId="41901" xr:uid="{00000000-0005-0000-0000-0000F0530000}"/>
    <cellStyle name="40% - Accent4 4 2 3 2 2 3" xfId="20146" xr:uid="{00000000-0005-0000-0000-0000F1530000}"/>
    <cellStyle name="40% - Accent4 4 2 3 2 2 3 2" xfId="49152" xr:uid="{00000000-0005-0000-0000-0000F2530000}"/>
    <cellStyle name="40% - Accent4 4 2 3 2 2 4" xfId="34653" xr:uid="{00000000-0005-0000-0000-0000F3530000}"/>
    <cellStyle name="40% - Accent4 4 2 3 2 3" xfId="9756" xr:uid="{00000000-0005-0000-0000-0000F4530000}"/>
    <cellStyle name="40% - Accent4 4 2 3 2 3 2" xfId="24290" xr:uid="{00000000-0005-0000-0000-0000F5530000}"/>
    <cellStyle name="40% - Accent4 4 2 3 2 3 2 2" xfId="53296" xr:uid="{00000000-0005-0000-0000-0000F6530000}"/>
    <cellStyle name="40% - Accent4 4 2 3 2 3 3" xfId="38797" xr:uid="{00000000-0005-0000-0000-0000F7530000}"/>
    <cellStyle name="40% - Accent4 4 2 3 2 4" xfId="17042" xr:uid="{00000000-0005-0000-0000-0000F8530000}"/>
    <cellStyle name="40% - Accent4 4 2 3 2 4 2" xfId="46048" xr:uid="{00000000-0005-0000-0000-0000F9530000}"/>
    <cellStyle name="40% - Accent4 4 2 3 2 5" xfId="31549" xr:uid="{00000000-0005-0000-0000-0000FA530000}"/>
    <cellStyle name="40% - Accent4 4 2 3 3" xfId="3516" xr:uid="{00000000-0005-0000-0000-0000FB530000}"/>
    <cellStyle name="40% - Accent4 4 2 3 3 2" xfId="6620" xr:uid="{00000000-0005-0000-0000-0000FC530000}"/>
    <cellStyle name="40% - Accent4 4 2 3 3 2 2" xfId="13892" xr:uid="{00000000-0005-0000-0000-0000FD530000}"/>
    <cellStyle name="40% - Accent4 4 2 3 3 2 2 2" xfId="28426" xr:uid="{00000000-0005-0000-0000-0000FE530000}"/>
    <cellStyle name="40% - Accent4 4 2 3 3 2 2 2 2" xfId="57432" xr:uid="{00000000-0005-0000-0000-0000FF530000}"/>
    <cellStyle name="40% - Accent4 4 2 3 3 2 2 3" xfId="42933" xr:uid="{00000000-0005-0000-0000-000000540000}"/>
    <cellStyle name="40% - Accent4 4 2 3 3 2 3" xfId="21178" xr:uid="{00000000-0005-0000-0000-000001540000}"/>
    <cellStyle name="40% - Accent4 4 2 3 3 2 3 2" xfId="50184" xr:uid="{00000000-0005-0000-0000-000002540000}"/>
    <cellStyle name="40% - Accent4 4 2 3 3 2 4" xfId="35685" xr:uid="{00000000-0005-0000-0000-000003540000}"/>
    <cellStyle name="40% - Accent4 4 2 3 3 3" xfId="10788" xr:uid="{00000000-0005-0000-0000-000004540000}"/>
    <cellStyle name="40% - Accent4 4 2 3 3 3 2" xfId="25322" xr:uid="{00000000-0005-0000-0000-000005540000}"/>
    <cellStyle name="40% - Accent4 4 2 3 3 3 2 2" xfId="54328" xr:uid="{00000000-0005-0000-0000-000006540000}"/>
    <cellStyle name="40% - Accent4 4 2 3 3 3 3" xfId="39829" xr:uid="{00000000-0005-0000-0000-000007540000}"/>
    <cellStyle name="40% - Accent4 4 2 3 3 4" xfId="18074" xr:uid="{00000000-0005-0000-0000-000008540000}"/>
    <cellStyle name="40% - Accent4 4 2 3 3 4 2" xfId="47080" xr:uid="{00000000-0005-0000-0000-000009540000}"/>
    <cellStyle name="40% - Accent4 4 2 3 3 5" xfId="32581" xr:uid="{00000000-0005-0000-0000-00000A540000}"/>
    <cellStyle name="40% - Accent4 4 2 3 4" xfId="4548" xr:uid="{00000000-0005-0000-0000-00000B540000}"/>
    <cellStyle name="40% - Accent4 4 2 3 4 2" xfId="11820" xr:uid="{00000000-0005-0000-0000-00000C540000}"/>
    <cellStyle name="40% - Accent4 4 2 3 4 2 2" xfId="26354" xr:uid="{00000000-0005-0000-0000-00000D540000}"/>
    <cellStyle name="40% - Accent4 4 2 3 4 2 2 2" xfId="55360" xr:uid="{00000000-0005-0000-0000-00000E540000}"/>
    <cellStyle name="40% - Accent4 4 2 3 4 2 3" xfId="40861" xr:uid="{00000000-0005-0000-0000-00000F540000}"/>
    <cellStyle name="40% - Accent4 4 2 3 4 3" xfId="19106" xr:uid="{00000000-0005-0000-0000-000010540000}"/>
    <cellStyle name="40% - Accent4 4 2 3 4 3 2" xfId="48112" xr:uid="{00000000-0005-0000-0000-000011540000}"/>
    <cellStyle name="40% - Accent4 4 2 3 4 4" xfId="33613" xr:uid="{00000000-0005-0000-0000-000012540000}"/>
    <cellStyle name="40% - Accent4 4 2 3 5" xfId="7652" xr:uid="{00000000-0005-0000-0000-000013540000}"/>
    <cellStyle name="40% - Accent4 4 2 3 5 2" xfId="14924" xr:uid="{00000000-0005-0000-0000-000014540000}"/>
    <cellStyle name="40% - Accent4 4 2 3 5 2 2" xfId="29458" xr:uid="{00000000-0005-0000-0000-000015540000}"/>
    <cellStyle name="40% - Accent4 4 2 3 5 2 2 2" xfId="58464" xr:uid="{00000000-0005-0000-0000-000016540000}"/>
    <cellStyle name="40% - Accent4 4 2 3 5 2 3" xfId="43965" xr:uid="{00000000-0005-0000-0000-000017540000}"/>
    <cellStyle name="40% - Accent4 4 2 3 5 3" xfId="22210" xr:uid="{00000000-0005-0000-0000-000018540000}"/>
    <cellStyle name="40% - Accent4 4 2 3 5 3 2" xfId="51216" xr:uid="{00000000-0005-0000-0000-000019540000}"/>
    <cellStyle name="40% - Accent4 4 2 3 5 4" xfId="36717" xr:uid="{00000000-0005-0000-0000-00001A540000}"/>
    <cellStyle name="40% - Accent4 4 2 3 6" xfId="8716" xr:uid="{00000000-0005-0000-0000-00001B540000}"/>
    <cellStyle name="40% - Accent4 4 2 3 6 2" xfId="23250" xr:uid="{00000000-0005-0000-0000-00001C540000}"/>
    <cellStyle name="40% - Accent4 4 2 3 6 2 2" xfId="52256" xr:uid="{00000000-0005-0000-0000-00001D540000}"/>
    <cellStyle name="40% - Accent4 4 2 3 6 3" xfId="37757" xr:uid="{00000000-0005-0000-0000-00001E540000}"/>
    <cellStyle name="40% - Accent4 4 2 3 7" xfId="16002" xr:uid="{00000000-0005-0000-0000-00001F540000}"/>
    <cellStyle name="40% - Accent4 4 2 3 7 2" xfId="45008" xr:uid="{00000000-0005-0000-0000-000020540000}"/>
    <cellStyle name="40% - Accent4 4 2 3 8" xfId="30509" xr:uid="{00000000-0005-0000-0000-000021540000}"/>
    <cellStyle name="40% - Accent4 4 2 4" xfId="1972" xr:uid="{00000000-0005-0000-0000-000022540000}"/>
    <cellStyle name="40% - Accent4 4 2 4 2" xfId="5076" xr:uid="{00000000-0005-0000-0000-000023540000}"/>
    <cellStyle name="40% - Accent4 4 2 4 2 2" xfId="12348" xr:uid="{00000000-0005-0000-0000-000024540000}"/>
    <cellStyle name="40% - Accent4 4 2 4 2 2 2" xfId="26882" xr:uid="{00000000-0005-0000-0000-000025540000}"/>
    <cellStyle name="40% - Accent4 4 2 4 2 2 2 2" xfId="55888" xr:uid="{00000000-0005-0000-0000-000026540000}"/>
    <cellStyle name="40% - Accent4 4 2 4 2 2 3" xfId="41389" xr:uid="{00000000-0005-0000-0000-000027540000}"/>
    <cellStyle name="40% - Accent4 4 2 4 2 3" xfId="19634" xr:uid="{00000000-0005-0000-0000-000028540000}"/>
    <cellStyle name="40% - Accent4 4 2 4 2 3 2" xfId="48640" xr:uid="{00000000-0005-0000-0000-000029540000}"/>
    <cellStyle name="40% - Accent4 4 2 4 2 4" xfId="34141" xr:uid="{00000000-0005-0000-0000-00002A540000}"/>
    <cellStyle name="40% - Accent4 4 2 4 3" xfId="9244" xr:uid="{00000000-0005-0000-0000-00002B540000}"/>
    <cellStyle name="40% - Accent4 4 2 4 3 2" xfId="23778" xr:uid="{00000000-0005-0000-0000-00002C540000}"/>
    <cellStyle name="40% - Accent4 4 2 4 3 2 2" xfId="52784" xr:uid="{00000000-0005-0000-0000-00002D540000}"/>
    <cellStyle name="40% - Accent4 4 2 4 3 3" xfId="38285" xr:uid="{00000000-0005-0000-0000-00002E540000}"/>
    <cellStyle name="40% - Accent4 4 2 4 4" xfId="16530" xr:uid="{00000000-0005-0000-0000-00002F540000}"/>
    <cellStyle name="40% - Accent4 4 2 4 4 2" xfId="45536" xr:uid="{00000000-0005-0000-0000-000030540000}"/>
    <cellStyle name="40% - Accent4 4 2 4 5" xfId="31037" xr:uid="{00000000-0005-0000-0000-000031540000}"/>
    <cellStyle name="40% - Accent4 4 2 5" xfId="3004" xr:uid="{00000000-0005-0000-0000-000032540000}"/>
    <cellStyle name="40% - Accent4 4 2 5 2" xfId="6108" xr:uid="{00000000-0005-0000-0000-000033540000}"/>
    <cellStyle name="40% - Accent4 4 2 5 2 2" xfId="13380" xr:uid="{00000000-0005-0000-0000-000034540000}"/>
    <cellStyle name="40% - Accent4 4 2 5 2 2 2" xfId="27914" xr:uid="{00000000-0005-0000-0000-000035540000}"/>
    <cellStyle name="40% - Accent4 4 2 5 2 2 2 2" xfId="56920" xr:uid="{00000000-0005-0000-0000-000036540000}"/>
    <cellStyle name="40% - Accent4 4 2 5 2 2 3" xfId="42421" xr:uid="{00000000-0005-0000-0000-000037540000}"/>
    <cellStyle name="40% - Accent4 4 2 5 2 3" xfId="20666" xr:uid="{00000000-0005-0000-0000-000038540000}"/>
    <cellStyle name="40% - Accent4 4 2 5 2 3 2" xfId="49672" xr:uid="{00000000-0005-0000-0000-000039540000}"/>
    <cellStyle name="40% - Accent4 4 2 5 2 4" xfId="35173" xr:uid="{00000000-0005-0000-0000-00003A540000}"/>
    <cellStyle name="40% - Accent4 4 2 5 3" xfId="10276" xr:uid="{00000000-0005-0000-0000-00003B540000}"/>
    <cellStyle name="40% - Accent4 4 2 5 3 2" xfId="24810" xr:uid="{00000000-0005-0000-0000-00003C540000}"/>
    <cellStyle name="40% - Accent4 4 2 5 3 2 2" xfId="53816" xr:uid="{00000000-0005-0000-0000-00003D540000}"/>
    <cellStyle name="40% - Accent4 4 2 5 3 3" xfId="39317" xr:uid="{00000000-0005-0000-0000-00003E540000}"/>
    <cellStyle name="40% - Accent4 4 2 5 4" xfId="17562" xr:uid="{00000000-0005-0000-0000-00003F540000}"/>
    <cellStyle name="40% - Accent4 4 2 5 4 2" xfId="46568" xr:uid="{00000000-0005-0000-0000-000040540000}"/>
    <cellStyle name="40% - Accent4 4 2 5 5" xfId="32069" xr:uid="{00000000-0005-0000-0000-000041540000}"/>
    <cellStyle name="40% - Accent4 4 2 6" xfId="4036" xr:uid="{00000000-0005-0000-0000-000042540000}"/>
    <cellStyle name="40% - Accent4 4 2 6 2" xfId="11308" xr:uid="{00000000-0005-0000-0000-000043540000}"/>
    <cellStyle name="40% - Accent4 4 2 6 2 2" xfId="25842" xr:uid="{00000000-0005-0000-0000-000044540000}"/>
    <cellStyle name="40% - Accent4 4 2 6 2 2 2" xfId="54848" xr:uid="{00000000-0005-0000-0000-000045540000}"/>
    <cellStyle name="40% - Accent4 4 2 6 2 3" xfId="40349" xr:uid="{00000000-0005-0000-0000-000046540000}"/>
    <cellStyle name="40% - Accent4 4 2 6 3" xfId="18594" xr:uid="{00000000-0005-0000-0000-000047540000}"/>
    <cellStyle name="40% - Accent4 4 2 6 3 2" xfId="47600" xr:uid="{00000000-0005-0000-0000-000048540000}"/>
    <cellStyle name="40% - Accent4 4 2 6 4" xfId="33101" xr:uid="{00000000-0005-0000-0000-000049540000}"/>
    <cellStyle name="40% - Accent4 4 2 7" xfId="7140" xr:uid="{00000000-0005-0000-0000-00004A540000}"/>
    <cellStyle name="40% - Accent4 4 2 7 2" xfId="14412" xr:uid="{00000000-0005-0000-0000-00004B540000}"/>
    <cellStyle name="40% - Accent4 4 2 7 2 2" xfId="28946" xr:uid="{00000000-0005-0000-0000-00004C540000}"/>
    <cellStyle name="40% - Accent4 4 2 7 2 2 2" xfId="57952" xr:uid="{00000000-0005-0000-0000-00004D540000}"/>
    <cellStyle name="40% - Accent4 4 2 7 2 3" xfId="43453" xr:uid="{00000000-0005-0000-0000-00004E540000}"/>
    <cellStyle name="40% - Accent4 4 2 7 3" xfId="21698" xr:uid="{00000000-0005-0000-0000-00004F540000}"/>
    <cellStyle name="40% - Accent4 4 2 7 3 2" xfId="50704" xr:uid="{00000000-0005-0000-0000-000050540000}"/>
    <cellStyle name="40% - Accent4 4 2 7 4" xfId="36205" xr:uid="{00000000-0005-0000-0000-000051540000}"/>
    <cellStyle name="40% - Accent4 4 2 8" xfId="8204" xr:uid="{00000000-0005-0000-0000-000052540000}"/>
    <cellStyle name="40% - Accent4 4 2 8 2" xfId="22738" xr:uid="{00000000-0005-0000-0000-000053540000}"/>
    <cellStyle name="40% - Accent4 4 2 8 2 2" xfId="51744" xr:uid="{00000000-0005-0000-0000-000054540000}"/>
    <cellStyle name="40% - Accent4 4 2 8 3" xfId="37245" xr:uid="{00000000-0005-0000-0000-000055540000}"/>
    <cellStyle name="40% - Accent4 4 2 9" xfId="15490" xr:uid="{00000000-0005-0000-0000-000056540000}"/>
    <cellStyle name="40% - Accent4 4 2 9 2" xfId="44496" xr:uid="{00000000-0005-0000-0000-000057540000}"/>
    <cellStyle name="40% - Accent4 4 3" xfId="1130" xr:uid="{00000000-0005-0000-0000-000058540000}"/>
    <cellStyle name="40% - Accent4 4 3 2" xfId="1628" xr:uid="{00000000-0005-0000-0000-000059540000}"/>
    <cellStyle name="40% - Accent4 4 3 2 2" xfId="2687" xr:uid="{00000000-0005-0000-0000-00005A540000}"/>
    <cellStyle name="40% - Accent4 4 3 2 2 2" xfId="5791" xr:uid="{00000000-0005-0000-0000-00005B540000}"/>
    <cellStyle name="40% - Accent4 4 3 2 2 2 2" xfId="13063" xr:uid="{00000000-0005-0000-0000-00005C540000}"/>
    <cellStyle name="40% - Accent4 4 3 2 2 2 2 2" xfId="27597" xr:uid="{00000000-0005-0000-0000-00005D540000}"/>
    <cellStyle name="40% - Accent4 4 3 2 2 2 2 2 2" xfId="56603" xr:uid="{00000000-0005-0000-0000-00005E540000}"/>
    <cellStyle name="40% - Accent4 4 3 2 2 2 2 3" xfId="42104" xr:uid="{00000000-0005-0000-0000-00005F540000}"/>
    <cellStyle name="40% - Accent4 4 3 2 2 2 3" xfId="20349" xr:uid="{00000000-0005-0000-0000-000060540000}"/>
    <cellStyle name="40% - Accent4 4 3 2 2 2 3 2" xfId="49355" xr:uid="{00000000-0005-0000-0000-000061540000}"/>
    <cellStyle name="40% - Accent4 4 3 2 2 2 4" xfId="34856" xr:uid="{00000000-0005-0000-0000-000062540000}"/>
    <cellStyle name="40% - Accent4 4 3 2 2 3" xfId="9959" xr:uid="{00000000-0005-0000-0000-000063540000}"/>
    <cellStyle name="40% - Accent4 4 3 2 2 3 2" xfId="24493" xr:uid="{00000000-0005-0000-0000-000064540000}"/>
    <cellStyle name="40% - Accent4 4 3 2 2 3 2 2" xfId="53499" xr:uid="{00000000-0005-0000-0000-000065540000}"/>
    <cellStyle name="40% - Accent4 4 3 2 2 3 3" xfId="39000" xr:uid="{00000000-0005-0000-0000-000066540000}"/>
    <cellStyle name="40% - Accent4 4 3 2 2 4" xfId="17245" xr:uid="{00000000-0005-0000-0000-000067540000}"/>
    <cellStyle name="40% - Accent4 4 3 2 2 4 2" xfId="46251" xr:uid="{00000000-0005-0000-0000-000068540000}"/>
    <cellStyle name="40% - Accent4 4 3 2 2 5" xfId="31752" xr:uid="{00000000-0005-0000-0000-000069540000}"/>
    <cellStyle name="40% - Accent4 4 3 2 3" xfId="3719" xr:uid="{00000000-0005-0000-0000-00006A540000}"/>
    <cellStyle name="40% - Accent4 4 3 2 3 2" xfId="6823" xr:uid="{00000000-0005-0000-0000-00006B540000}"/>
    <cellStyle name="40% - Accent4 4 3 2 3 2 2" xfId="14095" xr:uid="{00000000-0005-0000-0000-00006C540000}"/>
    <cellStyle name="40% - Accent4 4 3 2 3 2 2 2" xfId="28629" xr:uid="{00000000-0005-0000-0000-00006D540000}"/>
    <cellStyle name="40% - Accent4 4 3 2 3 2 2 2 2" xfId="57635" xr:uid="{00000000-0005-0000-0000-00006E540000}"/>
    <cellStyle name="40% - Accent4 4 3 2 3 2 2 3" xfId="43136" xr:uid="{00000000-0005-0000-0000-00006F540000}"/>
    <cellStyle name="40% - Accent4 4 3 2 3 2 3" xfId="21381" xr:uid="{00000000-0005-0000-0000-000070540000}"/>
    <cellStyle name="40% - Accent4 4 3 2 3 2 3 2" xfId="50387" xr:uid="{00000000-0005-0000-0000-000071540000}"/>
    <cellStyle name="40% - Accent4 4 3 2 3 2 4" xfId="35888" xr:uid="{00000000-0005-0000-0000-000072540000}"/>
    <cellStyle name="40% - Accent4 4 3 2 3 3" xfId="10991" xr:uid="{00000000-0005-0000-0000-000073540000}"/>
    <cellStyle name="40% - Accent4 4 3 2 3 3 2" xfId="25525" xr:uid="{00000000-0005-0000-0000-000074540000}"/>
    <cellStyle name="40% - Accent4 4 3 2 3 3 2 2" xfId="54531" xr:uid="{00000000-0005-0000-0000-000075540000}"/>
    <cellStyle name="40% - Accent4 4 3 2 3 3 3" xfId="40032" xr:uid="{00000000-0005-0000-0000-000076540000}"/>
    <cellStyle name="40% - Accent4 4 3 2 3 4" xfId="18277" xr:uid="{00000000-0005-0000-0000-000077540000}"/>
    <cellStyle name="40% - Accent4 4 3 2 3 4 2" xfId="47283" xr:uid="{00000000-0005-0000-0000-000078540000}"/>
    <cellStyle name="40% - Accent4 4 3 2 3 5" xfId="32784" xr:uid="{00000000-0005-0000-0000-000079540000}"/>
    <cellStyle name="40% - Accent4 4 3 2 4" xfId="4751" xr:uid="{00000000-0005-0000-0000-00007A540000}"/>
    <cellStyle name="40% - Accent4 4 3 2 4 2" xfId="12023" xr:uid="{00000000-0005-0000-0000-00007B540000}"/>
    <cellStyle name="40% - Accent4 4 3 2 4 2 2" xfId="26557" xr:uid="{00000000-0005-0000-0000-00007C540000}"/>
    <cellStyle name="40% - Accent4 4 3 2 4 2 2 2" xfId="55563" xr:uid="{00000000-0005-0000-0000-00007D540000}"/>
    <cellStyle name="40% - Accent4 4 3 2 4 2 3" xfId="41064" xr:uid="{00000000-0005-0000-0000-00007E540000}"/>
    <cellStyle name="40% - Accent4 4 3 2 4 3" xfId="19309" xr:uid="{00000000-0005-0000-0000-00007F540000}"/>
    <cellStyle name="40% - Accent4 4 3 2 4 3 2" xfId="48315" xr:uid="{00000000-0005-0000-0000-000080540000}"/>
    <cellStyle name="40% - Accent4 4 3 2 4 4" xfId="33816" xr:uid="{00000000-0005-0000-0000-000081540000}"/>
    <cellStyle name="40% - Accent4 4 3 2 5" xfId="7855" xr:uid="{00000000-0005-0000-0000-000082540000}"/>
    <cellStyle name="40% - Accent4 4 3 2 5 2" xfId="15127" xr:uid="{00000000-0005-0000-0000-000083540000}"/>
    <cellStyle name="40% - Accent4 4 3 2 5 2 2" xfId="29661" xr:uid="{00000000-0005-0000-0000-000084540000}"/>
    <cellStyle name="40% - Accent4 4 3 2 5 2 2 2" xfId="58667" xr:uid="{00000000-0005-0000-0000-000085540000}"/>
    <cellStyle name="40% - Accent4 4 3 2 5 2 3" xfId="44168" xr:uid="{00000000-0005-0000-0000-000086540000}"/>
    <cellStyle name="40% - Accent4 4 3 2 5 3" xfId="22413" xr:uid="{00000000-0005-0000-0000-000087540000}"/>
    <cellStyle name="40% - Accent4 4 3 2 5 3 2" xfId="51419" xr:uid="{00000000-0005-0000-0000-000088540000}"/>
    <cellStyle name="40% - Accent4 4 3 2 5 4" xfId="36920" xr:uid="{00000000-0005-0000-0000-000089540000}"/>
    <cellStyle name="40% - Accent4 4 3 2 6" xfId="8919" xr:uid="{00000000-0005-0000-0000-00008A540000}"/>
    <cellStyle name="40% - Accent4 4 3 2 6 2" xfId="23453" xr:uid="{00000000-0005-0000-0000-00008B540000}"/>
    <cellStyle name="40% - Accent4 4 3 2 6 2 2" xfId="52459" xr:uid="{00000000-0005-0000-0000-00008C540000}"/>
    <cellStyle name="40% - Accent4 4 3 2 6 3" xfId="37960" xr:uid="{00000000-0005-0000-0000-00008D540000}"/>
    <cellStyle name="40% - Accent4 4 3 2 7" xfId="16205" xr:uid="{00000000-0005-0000-0000-00008E540000}"/>
    <cellStyle name="40% - Accent4 4 3 2 7 2" xfId="45211" xr:uid="{00000000-0005-0000-0000-00008F540000}"/>
    <cellStyle name="40% - Accent4 4 3 2 8" xfId="30712" xr:uid="{00000000-0005-0000-0000-000090540000}"/>
    <cellStyle name="40% - Accent4 4 3 3" xfId="2175" xr:uid="{00000000-0005-0000-0000-000091540000}"/>
    <cellStyle name="40% - Accent4 4 3 3 2" xfId="5279" xr:uid="{00000000-0005-0000-0000-000092540000}"/>
    <cellStyle name="40% - Accent4 4 3 3 2 2" xfId="12551" xr:uid="{00000000-0005-0000-0000-000093540000}"/>
    <cellStyle name="40% - Accent4 4 3 3 2 2 2" xfId="27085" xr:uid="{00000000-0005-0000-0000-000094540000}"/>
    <cellStyle name="40% - Accent4 4 3 3 2 2 2 2" xfId="56091" xr:uid="{00000000-0005-0000-0000-000095540000}"/>
    <cellStyle name="40% - Accent4 4 3 3 2 2 3" xfId="41592" xr:uid="{00000000-0005-0000-0000-000096540000}"/>
    <cellStyle name="40% - Accent4 4 3 3 2 3" xfId="19837" xr:uid="{00000000-0005-0000-0000-000097540000}"/>
    <cellStyle name="40% - Accent4 4 3 3 2 3 2" xfId="48843" xr:uid="{00000000-0005-0000-0000-000098540000}"/>
    <cellStyle name="40% - Accent4 4 3 3 2 4" xfId="34344" xr:uid="{00000000-0005-0000-0000-000099540000}"/>
    <cellStyle name="40% - Accent4 4 3 3 3" xfId="9447" xr:uid="{00000000-0005-0000-0000-00009A540000}"/>
    <cellStyle name="40% - Accent4 4 3 3 3 2" xfId="23981" xr:uid="{00000000-0005-0000-0000-00009B540000}"/>
    <cellStyle name="40% - Accent4 4 3 3 3 2 2" xfId="52987" xr:uid="{00000000-0005-0000-0000-00009C540000}"/>
    <cellStyle name="40% - Accent4 4 3 3 3 3" xfId="38488" xr:uid="{00000000-0005-0000-0000-00009D540000}"/>
    <cellStyle name="40% - Accent4 4 3 3 4" xfId="16733" xr:uid="{00000000-0005-0000-0000-00009E540000}"/>
    <cellStyle name="40% - Accent4 4 3 3 4 2" xfId="45739" xr:uid="{00000000-0005-0000-0000-00009F540000}"/>
    <cellStyle name="40% - Accent4 4 3 3 5" xfId="31240" xr:uid="{00000000-0005-0000-0000-0000A0540000}"/>
    <cellStyle name="40% - Accent4 4 3 4" xfId="3207" xr:uid="{00000000-0005-0000-0000-0000A1540000}"/>
    <cellStyle name="40% - Accent4 4 3 4 2" xfId="6311" xr:uid="{00000000-0005-0000-0000-0000A2540000}"/>
    <cellStyle name="40% - Accent4 4 3 4 2 2" xfId="13583" xr:uid="{00000000-0005-0000-0000-0000A3540000}"/>
    <cellStyle name="40% - Accent4 4 3 4 2 2 2" xfId="28117" xr:uid="{00000000-0005-0000-0000-0000A4540000}"/>
    <cellStyle name="40% - Accent4 4 3 4 2 2 2 2" xfId="57123" xr:uid="{00000000-0005-0000-0000-0000A5540000}"/>
    <cellStyle name="40% - Accent4 4 3 4 2 2 3" xfId="42624" xr:uid="{00000000-0005-0000-0000-0000A6540000}"/>
    <cellStyle name="40% - Accent4 4 3 4 2 3" xfId="20869" xr:uid="{00000000-0005-0000-0000-0000A7540000}"/>
    <cellStyle name="40% - Accent4 4 3 4 2 3 2" xfId="49875" xr:uid="{00000000-0005-0000-0000-0000A8540000}"/>
    <cellStyle name="40% - Accent4 4 3 4 2 4" xfId="35376" xr:uid="{00000000-0005-0000-0000-0000A9540000}"/>
    <cellStyle name="40% - Accent4 4 3 4 3" xfId="10479" xr:uid="{00000000-0005-0000-0000-0000AA540000}"/>
    <cellStyle name="40% - Accent4 4 3 4 3 2" xfId="25013" xr:uid="{00000000-0005-0000-0000-0000AB540000}"/>
    <cellStyle name="40% - Accent4 4 3 4 3 2 2" xfId="54019" xr:uid="{00000000-0005-0000-0000-0000AC540000}"/>
    <cellStyle name="40% - Accent4 4 3 4 3 3" xfId="39520" xr:uid="{00000000-0005-0000-0000-0000AD540000}"/>
    <cellStyle name="40% - Accent4 4 3 4 4" xfId="17765" xr:uid="{00000000-0005-0000-0000-0000AE540000}"/>
    <cellStyle name="40% - Accent4 4 3 4 4 2" xfId="46771" xr:uid="{00000000-0005-0000-0000-0000AF540000}"/>
    <cellStyle name="40% - Accent4 4 3 4 5" xfId="32272" xr:uid="{00000000-0005-0000-0000-0000B0540000}"/>
    <cellStyle name="40% - Accent4 4 3 5" xfId="4239" xr:uid="{00000000-0005-0000-0000-0000B1540000}"/>
    <cellStyle name="40% - Accent4 4 3 5 2" xfId="11511" xr:uid="{00000000-0005-0000-0000-0000B2540000}"/>
    <cellStyle name="40% - Accent4 4 3 5 2 2" xfId="26045" xr:uid="{00000000-0005-0000-0000-0000B3540000}"/>
    <cellStyle name="40% - Accent4 4 3 5 2 2 2" xfId="55051" xr:uid="{00000000-0005-0000-0000-0000B4540000}"/>
    <cellStyle name="40% - Accent4 4 3 5 2 3" xfId="40552" xr:uid="{00000000-0005-0000-0000-0000B5540000}"/>
    <cellStyle name="40% - Accent4 4 3 5 3" xfId="18797" xr:uid="{00000000-0005-0000-0000-0000B6540000}"/>
    <cellStyle name="40% - Accent4 4 3 5 3 2" xfId="47803" xr:uid="{00000000-0005-0000-0000-0000B7540000}"/>
    <cellStyle name="40% - Accent4 4 3 5 4" xfId="33304" xr:uid="{00000000-0005-0000-0000-0000B8540000}"/>
    <cellStyle name="40% - Accent4 4 3 6" xfId="7343" xr:uid="{00000000-0005-0000-0000-0000B9540000}"/>
    <cellStyle name="40% - Accent4 4 3 6 2" xfId="14615" xr:uid="{00000000-0005-0000-0000-0000BA540000}"/>
    <cellStyle name="40% - Accent4 4 3 6 2 2" xfId="29149" xr:uid="{00000000-0005-0000-0000-0000BB540000}"/>
    <cellStyle name="40% - Accent4 4 3 6 2 2 2" xfId="58155" xr:uid="{00000000-0005-0000-0000-0000BC540000}"/>
    <cellStyle name="40% - Accent4 4 3 6 2 3" xfId="43656" xr:uid="{00000000-0005-0000-0000-0000BD540000}"/>
    <cellStyle name="40% - Accent4 4 3 6 3" xfId="21901" xr:uid="{00000000-0005-0000-0000-0000BE540000}"/>
    <cellStyle name="40% - Accent4 4 3 6 3 2" xfId="50907" xr:uid="{00000000-0005-0000-0000-0000BF540000}"/>
    <cellStyle name="40% - Accent4 4 3 6 4" xfId="36408" xr:uid="{00000000-0005-0000-0000-0000C0540000}"/>
    <cellStyle name="40% - Accent4 4 3 7" xfId="8407" xr:uid="{00000000-0005-0000-0000-0000C1540000}"/>
    <cellStyle name="40% - Accent4 4 3 7 2" xfId="22941" xr:uid="{00000000-0005-0000-0000-0000C2540000}"/>
    <cellStyle name="40% - Accent4 4 3 7 2 2" xfId="51947" xr:uid="{00000000-0005-0000-0000-0000C3540000}"/>
    <cellStyle name="40% - Accent4 4 3 7 3" xfId="37448" xr:uid="{00000000-0005-0000-0000-0000C4540000}"/>
    <cellStyle name="40% - Accent4 4 3 8" xfId="15693" xr:uid="{00000000-0005-0000-0000-0000C5540000}"/>
    <cellStyle name="40% - Accent4 4 3 8 2" xfId="44699" xr:uid="{00000000-0005-0000-0000-0000C6540000}"/>
    <cellStyle name="40% - Accent4 4 3 9" xfId="30200" xr:uid="{00000000-0005-0000-0000-0000C7540000}"/>
    <cellStyle name="40% - Accent4 4 4" xfId="1039" xr:uid="{00000000-0005-0000-0000-0000C8540000}"/>
    <cellStyle name="40% - Accent4 4 4 2" xfId="1529" xr:uid="{00000000-0005-0000-0000-0000C9540000}"/>
    <cellStyle name="40% - Accent4 4 4 2 2" xfId="2587" xr:uid="{00000000-0005-0000-0000-0000CA540000}"/>
    <cellStyle name="40% - Accent4 4 4 2 2 2" xfId="5691" xr:uid="{00000000-0005-0000-0000-0000CB540000}"/>
    <cellStyle name="40% - Accent4 4 4 2 2 2 2" xfId="12963" xr:uid="{00000000-0005-0000-0000-0000CC540000}"/>
    <cellStyle name="40% - Accent4 4 4 2 2 2 2 2" xfId="27497" xr:uid="{00000000-0005-0000-0000-0000CD540000}"/>
    <cellStyle name="40% - Accent4 4 4 2 2 2 2 2 2" xfId="56503" xr:uid="{00000000-0005-0000-0000-0000CE540000}"/>
    <cellStyle name="40% - Accent4 4 4 2 2 2 2 3" xfId="42004" xr:uid="{00000000-0005-0000-0000-0000CF540000}"/>
    <cellStyle name="40% - Accent4 4 4 2 2 2 3" xfId="20249" xr:uid="{00000000-0005-0000-0000-0000D0540000}"/>
    <cellStyle name="40% - Accent4 4 4 2 2 2 3 2" xfId="49255" xr:uid="{00000000-0005-0000-0000-0000D1540000}"/>
    <cellStyle name="40% - Accent4 4 4 2 2 2 4" xfId="34756" xr:uid="{00000000-0005-0000-0000-0000D2540000}"/>
    <cellStyle name="40% - Accent4 4 4 2 2 3" xfId="9859" xr:uid="{00000000-0005-0000-0000-0000D3540000}"/>
    <cellStyle name="40% - Accent4 4 4 2 2 3 2" xfId="24393" xr:uid="{00000000-0005-0000-0000-0000D4540000}"/>
    <cellStyle name="40% - Accent4 4 4 2 2 3 2 2" xfId="53399" xr:uid="{00000000-0005-0000-0000-0000D5540000}"/>
    <cellStyle name="40% - Accent4 4 4 2 2 3 3" xfId="38900" xr:uid="{00000000-0005-0000-0000-0000D6540000}"/>
    <cellStyle name="40% - Accent4 4 4 2 2 4" xfId="17145" xr:uid="{00000000-0005-0000-0000-0000D7540000}"/>
    <cellStyle name="40% - Accent4 4 4 2 2 4 2" xfId="46151" xr:uid="{00000000-0005-0000-0000-0000D8540000}"/>
    <cellStyle name="40% - Accent4 4 4 2 2 5" xfId="31652" xr:uid="{00000000-0005-0000-0000-0000D9540000}"/>
    <cellStyle name="40% - Accent4 4 4 2 3" xfId="3619" xr:uid="{00000000-0005-0000-0000-0000DA540000}"/>
    <cellStyle name="40% - Accent4 4 4 2 3 2" xfId="6723" xr:uid="{00000000-0005-0000-0000-0000DB540000}"/>
    <cellStyle name="40% - Accent4 4 4 2 3 2 2" xfId="13995" xr:uid="{00000000-0005-0000-0000-0000DC540000}"/>
    <cellStyle name="40% - Accent4 4 4 2 3 2 2 2" xfId="28529" xr:uid="{00000000-0005-0000-0000-0000DD540000}"/>
    <cellStyle name="40% - Accent4 4 4 2 3 2 2 2 2" xfId="57535" xr:uid="{00000000-0005-0000-0000-0000DE540000}"/>
    <cellStyle name="40% - Accent4 4 4 2 3 2 2 3" xfId="43036" xr:uid="{00000000-0005-0000-0000-0000DF540000}"/>
    <cellStyle name="40% - Accent4 4 4 2 3 2 3" xfId="21281" xr:uid="{00000000-0005-0000-0000-0000E0540000}"/>
    <cellStyle name="40% - Accent4 4 4 2 3 2 3 2" xfId="50287" xr:uid="{00000000-0005-0000-0000-0000E1540000}"/>
    <cellStyle name="40% - Accent4 4 4 2 3 2 4" xfId="35788" xr:uid="{00000000-0005-0000-0000-0000E2540000}"/>
    <cellStyle name="40% - Accent4 4 4 2 3 3" xfId="10891" xr:uid="{00000000-0005-0000-0000-0000E3540000}"/>
    <cellStyle name="40% - Accent4 4 4 2 3 3 2" xfId="25425" xr:uid="{00000000-0005-0000-0000-0000E4540000}"/>
    <cellStyle name="40% - Accent4 4 4 2 3 3 2 2" xfId="54431" xr:uid="{00000000-0005-0000-0000-0000E5540000}"/>
    <cellStyle name="40% - Accent4 4 4 2 3 3 3" xfId="39932" xr:uid="{00000000-0005-0000-0000-0000E6540000}"/>
    <cellStyle name="40% - Accent4 4 4 2 3 4" xfId="18177" xr:uid="{00000000-0005-0000-0000-0000E7540000}"/>
    <cellStyle name="40% - Accent4 4 4 2 3 4 2" xfId="47183" xr:uid="{00000000-0005-0000-0000-0000E8540000}"/>
    <cellStyle name="40% - Accent4 4 4 2 3 5" xfId="32684" xr:uid="{00000000-0005-0000-0000-0000E9540000}"/>
    <cellStyle name="40% - Accent4 4 4 2 4" xfId="4651" xr:uid="{00000000-0005-0000-0000-0000EA540000}"/>
    <cellStyle name="40% - Accent4 4 4 2 4 2" xfId="11923" xr:uid="{00000000-0005-0000-0000-0000EB540000}"/>
    <cellStyle name="40% - Accent4 4 4 2 4 2 2" xfId="26457" xr:uid="{00000000-0005-0000-0000-0000EC540000}"/>
    <cellStyle name="40% - Accent4 4 4 2 4 2 2 2" xfId="55463" xr:uid="{00000000-0005-0000-0000-0000ED540000}"/>
    <cellStyle name="40% - Accent4 4 4 2 4 2 3" xfId="40964" xr:uid="{00000000-0005-0000-0000-0000EE540000}"/>
    <cellStyle name="40% - Accent4 4 4 2 4 3" xfId="19209" xr:uid="{00000000-0005-0000-0000-0000EF540000}"/>
    <cellStyle name="40% - Accent4 4 4 2 4 3 2" xfId="48215" xr:uid="{00000000-0005-0000-0000-0000F0540000}"/>
    <cellStyle name="40% - Accent4 4 4 2 4 4" xfId="33716" xr:uid="{00000000-0005-0000-0000-0000F1540000}"/>
    <cellStyle name="40% - Accent4 4 4 2 5" xfId="7755" xr:uid="{00000000-0005-0000-0000-0000F2540000}"/>
    <cellStyle name="40% - Accent4 4 4 2 5 2" xfId="15027" xr:uid="{00000000-0005-0000-0000-0000F3540000}"/>
    <cellStyle name="40% - Accent4 4 4 2 5 2 2" xfId="29561" xr:uid="{00000000-0005-0000-0000-0000F4540000}"/>
    <cellStyle name="40% - Accent4 4 4 2 5 2 2 2" xfId="58567" xr:uid="{00000000-0005-0000-0000-0000F5540000}"/>
    <cellStyle name="40% - Accent4 4 4 2 5 2 3" xfId="44068" xr:uid="{00000000-0005-0000-0000-0000F6540000}"/>
    <cellStyle name="40% - Accent4 4 4 2 5 3" xfId="22313" xr:uid="{00000000-0005-0000-0000-0000F7540000}"/>
    <cellStyle name="40% - Accent4 4 4 2 5 3 2" xfId="51319" xr:uid="{00000000-0005-0000-0000-0000F8540000}"/>
    <cellStyle name="40% - Accent4 4 4 2 5 4" xfId="36820" xr:uid="{00000000-0005-0000-0000-0000F9540000}"/>
    <cellStyle name="40% - Accent4 4 4 2 6" xfId="8819" xr:uid="{00000000-0005-0000-0000-0000FA540000}"/>
    <cellStyle name="40% - Accent4 4 4 2 6 2" xfId="23353" xr:uid="{00000000-0005-0000-0000-0000FB540000}"/>
    <cellStyle name="40% - Accent4 4 4 2 6 2 2" xfId="52359" xr:uid="{00000000-0005-0000-0000-0000FC540000}"/>
    <cellStyle name="40% - Accent4 4 4 2 6 3" xfId="37860" xr:uid="{00000000-0005-0000-0000-0000FD540000}"/>
    <cellStyle name="40% - Accent4 4 4 2 7" xfId="16105" xr:uid="{00000000-0005-0000-0000-0000FE540000}"/>
    <cellStyle name="40% - Accent4 4 4 2 7 2" xfId="45111" xr:uid="{00000000-0005-0000-0000-0000FF540000}"/>
    <cellStyle name="40% - Accent4 4 4 2 8" xfId="30612" xr:uid="{00000000-0005-0000-0000-000000550000}"/>
    <cellStyle name="40% - Accent4 4 4 3" xfId="2075" xr:uid="{00000000-0005-0000-0000-000001550000}"/>
    <cellStyle name="40% - Accent4 4 4 3 2" xfId="5179" xr:uid="{00000000-0005-0000-0000-000002550000}"/>
    <cellStyle name="40% - Accent4 4 4 3 2 2" xfId="12451" xr:uid="{00000000-0005-0000-0000-000003550000}"/>
    <cellStyle name="40% - Accent4 4 4 3 2 2 2" xfId="26985" xr:uid="{00000000-0005-0000-0000-000004550000}"/>
    <cellStyle name="40% - Accent4 4 4 3 2 2 2 2" xfId="55991" xr:uid="{00000000-0005-0000-0000-000005550000}"/>
    <cellStyle name="40% - Accent4 4 4 3 2 2 3" xfId="41492" xr:uid="{00000000-0005-0000-0000-000006550000}"/>
    <cellStyle name="40% - Accent4 4 4 3 2 3" xfId="19737" xr:uid="{00000000-0005-0000-0000-000007550000}"/>
    <cellStyle name="40% - Accent4 4 4 3 2 3 2" xfId="48743" xr:uid="{00000000-0005-0000-0000-000008550000}"/>
    <cellStyle name="40% - Accent4 4 4 3 2 4" xfId="34244" xr:uid="{00000000-0005-0000-0000-000009550000}"/>
    <cellStyle name="40% - Accent4 4 4 3 3" xfId="9347" xr:uid="{00000000-0005-0000-0000-00000A550000}"/>
    <cellStyle name="40% - Accent4 4 4 3 3 2" xfId="23881" xr:uid="{00000000-0005-0000-0000-00000B550000}"/>
    <cellStyle name="40% - Accent4 4 4 3 3 2 2" xfId="52887" xr:uid="{00000000-0005-0000-0000-00000C550000}"/>
    <cellStyle name="40% - Accent4 4 4 3 3 3" xfId="38388" xr:uid="{00000000-0005-0000-0000-00000D550000}"/>
    <cellStyle name="40% - Accent4 4 4 3 4" xfId="16633" xr:uid="{00000000-0005-0000-0000-00000E550000}"/>
    <cellStyle name="40% - Accent4 4 4 3 4 2" xfId="45639" xr:uid="{00000000-0005-0000-0000-00000F550000}"/>
    <cellStyle name="40% - Accent4 4 4 3 5" xfId="31140" xr:uid="{00000000-0005-0000-0000-000010550000}"/>
    <cellStyle name="40% - Accent4 4 4 4" xfId="3107" xr:uid="{00000000-0005-0000-0000-000011550000}"/>
    <cellStyle name="40% - Accent4 4 4 4 2" xfId="6211" xr:uid="{00000000-0005-0000-0000-000012550000}"/>
    <cellStyle name="40% - Accent4 4 4 4 2 2" xfId="13483" xr:uid="{00000000-0005-0000-0000-000013550000}"/>
    <cellStyle name="40% - Accent4 4 4 4 2 2 2" xfId="28017" xr:uid="{00000000-0005-0000-0000-000014550000}"/>
    <cellStyle name="40% - Accent4 4 4 4 2 2 2 2" xfId="57023" xr:uid="{00000000-0005-0000-0000-000015550000}"/>
    <cellStyle name="40% - Accent4 4 4 4 2 2 3" xfId="42524" xr:uid="{00000000-0005-0000-0000-000016550000}"/>
    <cellStyle name="40% - Accent4 4 4 4 2 3" xfId="20769" xr:uid="{00000000-0005-0000-0000-000017550000}"/>
    <cellStyle name="40% - Accent4 4 4 4 2 3 2" xfId="49775" xr:uid="{00000000-0005-0000-0000-000018550000}"/>
    <cellStyle name="40% - Accent4 4 4 4 2 4" xfId="35276" xr:uid="{00000000-0005-0000-0000-000019550000}"/>
    <cellStyle name="40% - Accent4 4 4 4 3" xfId="10379" xr:uid="{00000000-0005-0000-0000-00001A550000}"/>
    <cellStyle name="40% - Accent4 4 4 4 3 2" xfId="24913" xr:uid="{00000000-0005-0000-0000-00001B550000}"/>
    <cellStyle name="40% - Accent4 4 4 4 3 2 2" xfId="53919" xr:uid="{00000000-0005-0000-0000-00001C550000}"/>
    <cellStyle name="40% - Accent4 4 4 4 3 3" xfId="39420" xr:uid="{00000000-0005-0000-0000-00001D550000}"/>
    <cellStyle name="40% - Accent4 4 4 4 4" xfId="17665" xr:uid="{00000000-0005-0000-0000-00001E550000}"/>
    <cellStyle name="40% - Accent4 4 4 4 4 2" xfId="46671" xr:uid="{00000000-0005-0000-0000-00001F550000}"/>
    <cellStyle name="40% - Accent4 4 4 4 5" xfId="32172" xr:uid="{00000000-0005-0000-0000-000020550000}"/>
    <cellStyle name="40% - Accent4 4 4 5" xfId="4139" xr:uid="{00000000-0005-0000-0000-000021550000}"/>
    <cellStyle name="40% - Accent4 4 4 5 2" xfId="11411" xr:uid="{00000000-0005-0000-0000-000022550000}"/>
    <cellStyle name="40% - Accent4 4 4 5 2 2" xfId="25945" xr:uid="{00000000-0005-0000-0000-000023550000}"/>
    <cellStyle name="40% - Accent4 4 4 5 2 2 2" xfId="54951" xr:uid="{00000000-0005-0000-0000-000024550000}"/>
    <cellStyle name="40% - Accent4 4 4 5 2 3" xfId="40452" xr:uid="{00000000-0005-0000-0000-000025550000}"/>
    <cellStyle name="40% - Accent4 4 4 5 3" xfId="18697" xr:uid="{00000000-0005-0000-0000-000026550000}"/>
    <cellStyle name="40% - Accent4 4 4 5 3 2" xfId="47703" xr:uid="{00000000-0005-0000-0000-000027550000}"/>
    <cellStyle name="40% - Accent4 4 4 5 4" xfId="33204" xr:uid="{00000000-0005-0000-0000-000028550000}"/>
    <cellStyle name="40% - Accent4 4 4 6" xfId="7243" xr:uid="{00000000-0005-0000-0000-000029550000}"/>
    <cellStyle name="40% - Accent4 4 4 6 2" xfId="14515" xr:uid="{00000000-0005-0000-0000-00002A550000}"/>
    <cellStyle name="40% - Accent4 4 4 6 2 2" xfId="29049" xr:uid="{00000000-0005-0000-0000-00002B550000}"/>
    <cellStyle name="40% - Accent4 4 4 6 2 2 2" xfId="58055" xr:uid="{00000000-0005-0000-0000-00002C550000}"/>
    <cellStyle name="40% - Accent4 4 4 6 2 3" xfId="43556" xr:uid="{00000000-0005-0000-0000-00002D550000}"/>
    <cellStyle name="40% - Accent4 4 4 6 3" xfId="21801" xr:uid="{00000000-0005-0000-0000-00002E550000}"/>
    <cellStyle name="40% - Accent4 4 4 6 3 2" xfId="50807" xr:uid="{00000000-0005-0000-0000-00002F550000}"/>
    <cellStyle name="40% - Accent4 4 4 6 4" xfId="36308" xr:uid="{00000000-0005-0000-0000-000030550000}"/>
    <cellStyle name="40% - Accent4 4 4 7" xfId="8307" xr:uid="{00000000-0005-0000-0000-000031550000}"/>
    <cellStyle name="40% - Accent4 4 4 7 2" xfId="22841" xr:uid="{00000000-0005-0000-0000-000032550000}"/>
    <cellStyle name="40% - Accent4 4 4 7 2 2" xfId="51847" xr:uid="{00000000-0005-0000-0000-000033550000}"/>
    <cellStyle name="40% - Accent4 4 4 7 3" xfId="37348" xr:uid="{00000000-0005-0000-0000-000034550000}"/>
    <cellStyle name="40% - Accent4 4 4 8" xfId="15593" xr:uid="{00000000-0005-0000-0000-000035550000}"/>
    <cellStyle name="40% - Accent4 4 4 8 2" xfId="44599" xr:uid="{00000000-0005-0000-0000-000036550000}"/>
    <cellStyle name="40% - Accent4 4 4 9" xfId="30100" xr:uid="{00000000-0005-0000-0000-000037550000}"/>
    <cellStyle name="40% - Accent4 4 5" xfId="1324" xr:uid="{00000000-0005-0000-0000-000038550000}"/>
    <cellStyle name="40% - Accent4 4 5 2" xfId="2381" xr:uid="{00000000-0005-0000-0000-000039550000}"/>
    <cellStyle name="40% - Accent4 4 5 2 2" xfId="5485" xr:uid="{00000000-0005-0000-0000-00003A550000}"/>
    <cellStyle name="40% - Accent4 4 5 2 2 2" xfId="12757" xr:uid="{00000000-0005-0000-0000-00003B550000}"/>
    <cellStyle name="40% - Accent4 4 5 2 2 2 2" xfId="27291" xr:uid="{00000000-0005-0000-0000-00003C550000}"/>
    <cellStyle name="40% - Accent4 4 5 2 2 2 2 2" xfId="56297" xr:uid="{00000000-0005-0000-0000-00003D550000}"/>
    <cellStyle name="40% - Accent4 4 5 2 2 2 3" xfId="41798" xr:uid="{00000000-0005-0000-0000-00003E550000}"/>
    <cellStyle name="40% - Accent4 4 5 2 2 3" xfId="20043" xr:uid="{00000000-0005-0000-0000-00003F550000}"/>
    <cellStyle name="40% - Accent4 4 5 2 2 3 2" xfId="49049" xr:uid="{00000000-0005-0000-0000-000040550000}"/>
    <cellStyle name="40% - Accent4 4 5 2 2 4" xfId="34550" xr:uid="{00000000-0005-0000-0000-000041550000}"/>
    <cellStyle name="40% - Accent4 4 5 2 3" xfId="9653" xr:uid="{00000000-0005-0000-0000-000042550000}"/>
    <cellStyle name="40% - Accent4 4 5 2 3 2" xfId="24187" xr:uid="{00000000-0005-0000-0000-000043550000}"/>
    <cellStyle name="40% - Accent4 4 5 2 3 2 2" xfId="53193" xr:uid="{00000000-0005-0000-0000-000044550000}"/>
    <cellStyle name="40% - Accent4 4 5 2 3 3" xfId="38694" xr:uid="{00000000-0005-0000-0000-000045550000}"/>
    <cellStyle name="40% - Accent4 4 5 2 4" xfId="16939" xr:uid="{00000000-0005-0000-0000-000046550000}"/>
    <cellStyle name="40% - Accent4 4 5 2 4 2" xfId="45945" xr:uid="{00000000-0005-0000-0000-000047550000}"/>
    <cellStyle name="40% - Accent4 4 5 2 5" xfId="31446" xr:uid="{00000000-0005-0000-0000-000048550000}"/>
    <cellStyle name="40% - Accent4 4 5 3" xfId="3413" xr:uid="{00000000-0005-0000-0000-000049550000}"/>
    <cellStyle name="40% - Accent4 4 5 3 2" xfId="6517" xr:uid="{00000000-0005-0000-0000-00004A550000}"/>
    <cellStyle name="40% - Accent4 4 5 3 2 2" xfId="13789" xr:uid="{00000000-0005-0000-0000-00004B550000}"/>
    <cellStyle name="40% - Accent4 4 5 3 2 2 2" xfId="28323" xr:uid="{00000000-0005-0000-0000-00004C550000}"/>
    <cellStyle name="40% - Accent4 4 5 3 2 2 2 2" xfId="57329" xr:uid="{00000000-0005-0000-0000-00004D550000}"/>
    <cellStyle name="40% - Accent4 4 5 3 2 2 3" xfId="42830" xr:uid="{00000000-0005-0000-0000-00004E550000}"/>
    <cellStyle name="40% - Accent4 4 5 3 2 3" xfId="21075" xr:uid="{00000000-0005-0000-0000-00004F550000}"/>
    <cellStyle name="40% - Accent4 4 5 3 2 3 2" xfId="50081" xr:uid="{00000000-0005-0000-0000-000050550000}"/>
    <cellStyle name="40% - Accent4 4 5 3 2 4" xfId="35582" xr:uid="{00000000-0005-0000-0000-000051550000}"/>
    <cellStyle name="40% - Accent4 4 5 3 3" xfId="10685" xr:uid="{00000000-0005-0000-0000-000052550000}"/>
    <cellStyle name="40% - Accent4 4 5 3 3 2" xfId="25219" xr:uid="{00000000-0005-0000-0000-000053550000}"/>
    <cellStyle name="40% - Accent4 4 5 3 3 2 2" xfId="54225" xr:uid="{00000000-0005-0000-0000-000054550000}"/>
    <cellStyle name="40% - Accent4 4 5 3 3 3" xfId="39726" xr:uid="{00000000-0005-0000-0000-000055550000}"/>
    <cellStyle name="40% - Accent4 4 5 3 4" xfId="17971" xr:uid="{00000000-0005-0000-0000-000056550000}"/>
    <cellStyle name="40% - Accent4 4 5 3 4 2" xfId="46977" xr:uid="{00000000-0005-0000-0000-000057550000}"/>
    <cellStyle name="40% - Accent4 4 5 3 5" xfId="32478" xr:uid="{00000000-0005-0000-0000-000058550000}"/>
    <cellStyle name="40% - Accent4 4 5 4" xfId="4445" xr:uid="{00000000-0005-0000-0000-000059550000}"/>
    <cellStyle name="40% - Accent4 4 5 4 2" xfId="11717" xr:uid="{00000000-0005-0000-0000-00005A550000}"/>
    <cellStyle name="40% - Accent4 4 5 4 2 2" xfId="26251" xr:uid="{00000000-0005-0000-0000-00005B550000}"/>
    <cellStyle name="40% - Accent4 4 5 4 2 2 2" xfId="55257" xr:uid="{00000000-0005-0000-0000-00005C550000}"/>
    <cellStyle name="40% - Accent4 4 5 4 2 3" xfId="40758" xr:uid="{00000000-0005-0000-0000-00005D550000}"/>
    <cellStyle name="40% - Accent4 4 5 4 3" xfId="19003" xr:uid="{00000000-0005-0000-0000-00005E550000}"/>
    <cellStyle name="40% - Accent4 4 5 4 3 2" xfId="48009" xr:uid="{00000000-0005-0000-0000-00005F550000}"/>
    <cellStyle name="40% - Accent4 4 5 4 4" xfId="33510" xr:uid="{00000000-0005-0000-0000-000060550000}"/>
    <cellStyle name="40% - Accent4 4 5 5" xfId="7549" xr:uid="{00000000-0005-0000-0000-000061550000}"/>
    <cellStyle name="40% - Accent4 4 5 5 2" xfId="14821" xr:uid="{00000000-0005-0000-0000-000062550000}"/>
    <cellStyle name="40% - Accent4 4 5 5 2 2" xfId="29355" xr:uid="{00000000-0005-0000-0000-000063550000}"/>
    <cellStyle name="40% - Accent4 4 5 5 2 2 2" xfId="58361" xr:uid="{00000000-0005-0000-0000-000064550000}"/>
    <cellStyle name="40% - Accent4 4 5 5 2 3" xfId="43862" xr:uid="{00000000-0005-0000-0000-000065550000}"/>
    <cellStyle name="40% - Accent4 4 5 5 3" xfId="22107" xr:uid="{00000000-0005-0000-0000-000066550000}"/>
    <cellStyle name="40% - Accent4 4 5 5 3 2" xfId="51113" xr:uid="{00000000-0005-0000-0000-000067550000}"/>
    <cellStyle name="40% - Accent4 4 5 5 4" xfId="36614" xr:uid="{00000000-0005-0000-0000-000068550000}"/>
    <cellStyle name="40% - Accent4 4 5 6" xfId="8613" xr:uid="{00000000-0005-0000-0000-000069550000}"/>
    <cellStyle name="40% - Accent4 4 5 6 2" xfId="23147" xr:uid="{00000000-0005-0000-0000-00006A550000}"/>
    <cellStyle name="40% - Accent4 4 5 6 2 2" xfId="52153" xr:uid="{00000000-0005-0000-0000-00006B550000}"/>
    <cellStyle name="40% - Accent4 4 5 6 3" xfId="37654" xr:uid="{00000000-0005-0000-0000-00006C550000}"/>
    <cellStyle name="40% - Accent4 4 5 7" xfId="15899" xr:uid="{00000000-0005-0000-0000-00006D550000}"/>
    <cellStyle name="40% - Accent4 4 5 7 2" xfId="44905" xr:uid="{00000000-0005-0000-0000-00006E550000}"/>
    <cellStyle name="40% - Accent4 4 5 8" xfId="30406" xr:uid="{00000000-0005-0000-0000-00006F550000}"/>
    <cellStyle name="40% - Accent4 4 6" xfId="1869" xr:uid="{00000000-0005-0000-0000-000070550000}"/>
    <cellStyle name="40% - Accent4 4 6 2" xfId="4973" xr:uid="{00000000-0005-0000-0000-000071550000}"/>
    <cellStyle name="40% - Accent4 4 6 2 2" xfId="12245" xr:uid="{00000000-0005-0000-0000-000072550000}"/>
    <cellStyle name="40% - Accent4 4 6 2 2 2" xfId="26779" xr:uid="{00000000-0005-0000-0000-000073550000}"/>
    <cellStyle name="40% - Accent4 4 6 2 2 2 2" xfId="55785" xr:uid="{00000000-0005-0000-0000-000074550000}"/>
    <cellStyle name="40% - Accent4 4 6 2 2 3" xfId="41286" xr:uid="{00000000-0005-0000-0000-000075550000}"/>
    <cellStyle name="40% - Accent4 4 6 2 3" xfId="19531" xr:uid="{00000000-0005-0000-0000-000076550000}"/>
    <cellStyle name="40% - Accent4 4 6 2 3 2" xfId="48537" xr:uid="{00000000-0005-0000-0000-000077550000}"/>
    <cellStyle name="40% - Accent4 4 6 2 4" xfId="34038" xr:uid="{00000000-0005-0000-0000-000078550000}"/>
    <cellStyle name="40% - Accent4 4 6 3" xfId="9141" xr:uid="{00000000-0005-0000-0000-000079550000}"/>
    <cellStyle name="40% - Accent4 4 6 3 2" xfId="23675" xr:uid="{00000000-0005-0000-0000-00007A550000}"/>
    <cellStyle name="40% - Accent4 4 6 3 2 2" xfId="52681" xr:uid="{00000000-0005-0000-0000-00007B550000}"/>
    <cellStyle name="40% - Accent4 4 6 3 3" xfId="38182" xr:uid="{00000000-0005-0000-0000-00007C550000}"/>
    <cellStyle name="40% - Accent4 4 6 4" xfId="16427" xr:uid="{00000000-0005-0000-0000-00007D550000}"/>
    <cellStyle name="40% - Accent4 4 6 4 2" xfId="45433" xr:uid="{00000000-0005-0000-0000-00007E550000}"/>
    <cellStyle name="40% - Accent4 4 6 5" xfId="30934" xr:uid="{00000000-0005-0000-0000-00007F550000}"/>
    <cellStyle name="40% - Accent4 4 7" xfId="2901" xr:uid="{00000000-0005-0000-0000-000080550000}"/>
    <cellStyle name="40% - Accent4 4 7 2" xfId="6005" xr:uid="{00000000-0005-0000-0000-000081550000}"/>
    <cellStyle name="40% - Accent4 4 7 2 2" xfId="13277" xr:uid="{00000000-0005-0000-0000-000082550000}"/>
    <cellStyle name="40% - Accent4 4 7 2 2 2" xfId="27811" xr:uid="{00000000-0005-0000-0000-000083550000}"/>
    <cellStyle name="40% - Accent4 4 7 2 2 2 2" xfId="56817" xr:uid="{00000000-0005-0000-0000-000084550000}"/>
    <cellStyle name="40% - Accent4 4 7 2 2 3" xfId="42318" xr:uid="{00000000-0005-0000-0000-000085550000}"/>
    <cellStyle name="40% - Accent4 4 7 2 3" xfId="20563" xr:uid="{00000000-0005-0000-0000-000086550000}"/>
    <cellStyle name="40% - Accent4 4 7 2 3 2" xfId="49569" xr:uid="{00000000-0005-0000-0000-000087550000}"/>
    <cellStyle name="40% - Accent4 4 7 2 4" xfId="35070" xr:uid="{00000000-0005-0000-0000-000088550000}"/>
    <cellStyle name="40% - Accent4 4 7 3" xfId="10173" xr:uid="{00000000-0005-0000-0000-000089550000}"/>
    <cellStyle name="40% - Accent4 4 7 3 2" xfId="24707" xr:uid="{00000000-0005-0000-0000-00008A550000}"/>
    <cellStyle name="40% - Accent4 4 7 3 2 2" xfId="53713" xr:uid="{00000000-0005-0000-0000-00008B550000}"/>
    <cellStyle name="40% - Accent4 4 7 3 3" xfId="39214" xr:uid="{00000000-0005-0000-0000-00008C550000}"/>
    <cellStyle name="40% - Accent4 4 7 4" xfId="17459" xr:uid="{00000000-0005-0000-0000-00008D550000}"/>
    <cellStyle name="40% - Accent4 4 7 4 2" xfId="46465" xr:uid="{00000000-0005-0000-0000-00008E550000}"/>
    <cellStyle name="40% - Accent4 4 7 5" xfId="31966" xr:uid="{00000000-0005-0000-0000-00008F550000}"/>
    <cellStyle name="40% - Accent4 4 8" xfId="3933" xr:uid="{00000000-0005-0000-0000-000090550000}"/>
    <cellStyle name="40% - Accent4 4 8 2" xfId="11205" xr:uid="{00000000-0005-0000-0000-000091550000}"/>
    <cellStyle name="40% - Accent4 4 8 2 2" xfId="25739" xr:uid="{00000000-0005-0000-0000-000092550000}"/>
    <cellStyle name="40% - Accent4 4 8 2 2 2" xfId="54745" xr:uid="{00000000-0005-0000-0000-000093550000}"/>
    <cellStyle name="40% - Accent4 4 8 2 3" xfId="40246" xr:uid="{00000000-0005-0000-0000-000094550000}"/>
    <cellStyle name="40% - Accent4 4 8 3" xfId="18491" xr:uid="{00000000-0005-0000-0000-000095550000}"/>
    <cellStyle name="40% - Accent4 4 8 3 2" xfId="47497" xr:uid="{00000000-0005-0000-0000-000096550000}"/>
    <cellStyle name="40% - Accent4 4 8 4" xfId="32998" xr:uid="{00000000-0005-0000-0000-000097550000}"/>
    <cellStyle name="40% - Accent4 4 9" xfId="7037" xr:uid="{00000000-0005-0000-0000-000098550000}"/>
    <cellStyle name="40% - Accent4 4 9 2" xfId="14309" xr:uid="{00000000-0005-0000-0000-000099550000}"/>
    <cellStyle name="40% - Accent4 4 9 2 2" xfId="28843" xr:uid="{00000000-0005-0000-0000-00009A550000}"/>
    <cellStyle name="40% - Accent4 4 9 2 2 2" xfId="57849" xr:uid="{00000000-0005-0000-0000-00009B550000}"/>
    <cellStyle name="40% - Accent4 4 9 2 3" xfId="43350" xr:uid="{00000000-0005-0000-0000-00009C550000}"/>
    <cellStyle name="40% - Accent4 4 9 3" xfId="21595" xr:uid="{00000000-0005-0000-0000-00009D550000}"/>
    <cellStyle name="40% - Accent4 4 9 3 2" xfId="50601" xr:uid="{00000000-0005-0000-0000-00009E550000}"/>
    <cellStyle name="40% - Accent4 4 9 4" xfId="36102" xr:uid="{00000000-0005-0000-0000-00009F550000}"/>
    <cellStyle name="40% - Accent4 5" xfId="910" xr:uid="{00000000-0005-0000-0000-0000A0550000}"/>
    <cellStyle name="40% - Accent4 5 10" xfId="29945" xr:uid="{00000000-0005-0000-0000-0000A1550000}"/>
    <cellStyle name="40% - Accent4 5 2" xfId="1178" xr:uid="{00000000-0005-0000-0000-0000A2550000}"/>
    <cellStyle name="40% - Accent4 5 2 2" xfId="1679" xr:uid="{00000000-0005-0000-0000-0000A3550000}"/>
    <cellStyle name="40% - Accent4 5 2 2 2" xfId="2738" xr:uid="{00000000-0005-0000-0000-0000A4550000}"/>
    <cellStyle name="40% - Accent4 5 2 2 2 2" xfId="5842" xr:uid="{00000000-0005-0000-0000-0000A5550000}"/>
    <cellStyle name="40% - Accent4 5 2 2 2 2 2" xfId="13114" xr:uid="{00000000-0005-0000-0000-0000A6550000}"/>
    <cellStyle name="40% - Accent4 5 2 2 2 2 2 2" xfId="27648" xr:uid="{00000000-0005-0000-0000-0000A7550000}"/>
    <cellStyle name="40% - Accent4 5 2 2 2 2 2 2 2" xfId="56654" xr:uid="{00000000-0005-0000-0000-0000A8550000}"/>
    <cellStyle name="40% - Accent4 5 2 2 2 2 2 3" xfId="42155" xr:uid="{00000000-0005-0000-0000-0000A9550000}"/>
    <cellStyle name="40% - Accent4 5 2 2 2 2 3" xfId="20400" xr:uid="{00000000-0005-0000-0000-0000AA550000}"/>
    <cellStyle name="40% - Accent4 5 2 2 2 2 3 2" xfId="49406" xr:uid="{00000000-0005-0000-0000-0000AB550000}"/>
    <cellStyle name="40% - Accent4 5 2 2 2 2 4" xfId="34907" xr:uid="{00000000-0005-0000-0000-0000AC550000}"/>
    <cellStyle name="40% - Accent4 5 2 2 2 3" xfId="10010" xr:uid="{00000000-0005-0000-0000-0000AD550000}"/>
    <cellStyle name="40% - Accent4 5 2 2 2 3 2" xfId="24544" xr:uid="{00000000-0005-0000-0000-0000AE550000}"/>
    <cellStyle name="40% - Accent4 5 2 2 2 3 2 2" xfId="53550" xr:uid="{00000000-0005-0000-0000-0000AF550000}"/>
    <cellStyle name="40% - Accent4 5 2 2 2 3 3" xfId="39051" xr:uid="{00000000-0005-0000-0000-0000B0550000}"/>
    <cellStyle name="40% - Accent4 5 2 2 2 4" xfId="17296" xr:uid="{00000000-0005-0000-0000-0000B1550000}"/>
    <cellStyle name="40% - Accent4 5 2 2 2 4 2" xfId="46302" xr:uid="{00000000-0005-0000-0000-0000B2550000}"/>
    <cellStyle name="40% - Accent4 5 2 2 2 5" xfId="31803" xr:uid="{00000000-0005-0000-0000-0000B3550000}"/>
    <cellStyle name="40% - Accent4 5 2 2 3" xfId="3770" xr:uid="{00000000-0005-0000-0000-0000B4550000}"/>
    <cellStyle name="40% - Accent4 5 2 2 3 2" xfId="6874" xr:uid="{00000000-0005-0000-0000-0000B5550000}"/>
    <cellStyle name="40% - Accent4 5 2 2 3 2 2" xfId="14146" xr:uid="{00000000-0005-0000-0000-0000B6550000}"/>
    <cellStyle name="40% - Accent4 5 2 2 3 2 2 2" xfId="28680" xr:uid="{00000000-0005-0000-0000-0000B7550000}"/>
    <cellStyle name="40% - Accent4 5 2 2 3 2 2 2 2" xfId="57686" xr:uid="{00000000-0005-0000-0000-0000B8550000}"/>
    <cellStyle name="40% - Accent4 5 2 2 3 2 2 3" xfId="43187" xr:uid="{00000000-0005-0000-0000-0000B9550000}"/>
    <cellStyle name="40% - Accent4 5 2 2 3 2 3" xfId="21432" xr:uid="{00000000-0005-0000-0000-0000BA550000}"/>
    <cellStyle name="40% - Accent4 5 2 2 3 2 3 2" xfId="50438" xr:uid="{00000000-0005-0000-0000-0000BB550000}"/>
    <cellStyle name="40% - Accent4 5 2 2 3 2 4" xfId="35939" xr:uid="{00000000-0005-0000-0000-0000BC550000}"/>
    <cellStyle name="40% - Accent4 5 2 2 3 3" xfId="11042" xr:uid="{00000000-0005-0000-0000-0000BD550000}"/>
    <cellStyle name="40% - Accent4 5 2 2 3 3 2" xfId="25576" xr:uid="{00000000-0005-0000-0000-0000BE550000}"/>
    <cellStyle name="40% - Accent4 5 2 2 3 3 2 2" xfId="54582" xr:uid="{00000000-0005-0000-0000-0000BF550000}"/>
    <cellStyle name="40% - Accent4 5 2 2 3 3 3" xfId="40083" xr:uid="{00000000-0005-0000-0000-0000C0550000}"/>
    <cellStyle name="40% - Accent4 5 2 2 3 4" xfId="18328" xr:uid="{00000000-0005-0000-0000-0000C1550000}"/>
    <cellStyle name="40% - Accent4 5 2 2 3 4 2" xfId="47334" xr:uid="{00000000-0005-0000-0000-0000C2550000}"/>
    <cellStyle name="40% - Accent4 5 2 2 3 5" xfId="32835" xr:uid="{00000000-0005-0000-0000-0000C3550000}"/>
    <cellStyle name="40% - Accent4 5 2 2 4" xfId="4802" xr:uid="{00000000-0005-0000-0000-0000C4550000}"/>
    <cellStyle name="40% - Accent4 5 2 2 4 2" xfId="12074" xr:uid="{00000000-0005-0000-0000-0000C5550000}"/>
    <cellStyle name="40% - Accent4 5 2 2 4 2 2" xfId="26608" xr:uid="{00000000-0005-0000-0000-0000C6550000}"/>
    <cellStyle name="40% - Accent4 5 2 2 4 2 2 2" xfId="55614" xr:uid="{00000000-0005-0000-0000-0000C7550000}"/>
    <cellStyle name="40% - Accent4 5 2 2 4 2 3" xfId="41115" xr:uid="{00000000-0005-0000-0000-0000C8550000}"/>
    <cellStyle name="40% - Accent4 5 2 2 4 3" xfId="19360" xr:uid="{00000000-0005-0000-0000-0000C9550000}"/>
    <cellStyle name="40% - Accent4 5 2 2 4 3 2" xfId="48366" xr:uid="{00000000-0005-0000-0000-0000CA550000}"/>
    <cellStyle name="40% - Accent4 5 2 2 4 4" xfId="33867" xr:uid="{00000000-0005-0000-0000-0000CB550000}"/>
    <cellStyle name="40% - Accent4 5 2 2 5" xfId="7906" xr:uid="{00000000-0005-0000-0000-0000CC550000}"/>
    <cellStyle name="40% - Accent4 5 2 2 5 2" xfId="15178" xr:uid="{00000000-0005-0000-0000-0000CD550000}"/>
    <cellStyle name="40% - Accent4 5 2 2 5 2 2" xfId="29712" xr:uid="{00000000-0005-0000-0000-0000CE550000}"/>
    <cellStyle name="40% - Accent4 5 2 2 5 2 2 2" xfId="58718" xr:uid="{00000000-0005-0000-0000-0000CF550000}"/>
    <cellStyle name="40% - Accent4 5 2 2 5 2 3" xfId="44219" xr:uid="{00000000-0005-0000-0000-0000D0550000}"/>
    <cellStyle name="40% - Accent4 5 2 2 5 3" xfId="22464" xr:uid="{00000000-0005-0000-0000-0000D1550000}"/>
    <cellStyle name="40% - Accent4 5 2 2 5 3 2" xfId="51470" xr:uid="{00000000-0005-0000-0000-0000D2550000}"/>
    <cellStyle name="40% - Accent4 5 2 2 5 4" xfId="36971" xr:uid="{00000000-0005-0000-0000-0000D3550000}"/>
    <cellStyle name="40% - Accent4 5 2 2 6" xfId="8970" xr:uid="{00000000-0005-0000-0000-0000D4550000}"/>
    <cellStyle name="40% - Accent4 5 2 2 6 2" xfId="23504" xr:uid="{00000000-0005-0000-0000-0000D5550000}"/>
    <cellStyle name="40% - Accent4 5 2 2 6 2 2" xfId="52510" xr:uid="{00000000-0005-0000-0000-0000D6550000}"/>
    <cellStyle name="40% - Accent4 5 2 2 6 3" xfId="38011" xr:uid="{00000000-0005-0000-0000-0000D7550000}"/>
    <cellStyle name="40% - Accent4 5 2 2 7" xfId="16256" xr:uid="{00000000-0005-0000-0000-0000D8550000}"/>
    <cellStyle name="40% - Accent4 5 2 2 7 2" xfId="45262" xr:uid="{00000000-0005-0000-0000-0000D9550000}"/>
    <cellStyle name="40% - Accent4 5 2 2 8" xfId="30763" xr:uid="{00000000-0005-0000-0000-0000DA550000}"/>
    <cellStyle name="40% - Accent4 5 2 3" xfId="2226" xr:uid="{00000000-0005-0000-0000-0000DB550000}"/>
    <cellStyle name="40% - Accent4 5 2 3 2" xfId="5330" xr:uid="{00000000-0005-0000-0000-0000DC550000}"/>
    <cellStyle name="40% - Accent4 5 2 3 2 2" xfId="12602" xr:uid="{00000000-0005-0000-0000-0000DD550000}"/>
    <cellStyle name="40% - Accent4 5 2 3 2 2 2" xfId="27136" xr:uid="{00000000-0005-0000-0000-0000DE550000}"/>
    <cellStyle name="40% - Accent4 5 2 3 2 2 2 2" xfId="56142" xr:uid="{00000000-0005-0000-0000-0000DF550000}"/>
    <cellStyle name="40% - Accent4 5 2 3 2 2 3" xfId="41643" xr:uid="{00000000-0005-0000-0000-0000E0550000}"/>
    <cellStyle name="40% - Accent4 5 2 3 2 3" xfId="19888" xr:uid="{00000000-0005-0000-0000-0000E1550000}"/>
    <cellStyle name="40% - Accent4 5 2 3 2 3 2" xfId="48894" xr:uid="{00000000-0005-0000-0000-0000E2550000}"/>
    <cellStyle name="40% - Accent4 5 2 3 2 4" xfId="34395" xr:uid="{00000000-0005-0000-0000-0000E3550000}"/>
    <cellStyle name="40% - Accent4 5 2 3 3" xfId="9498" xr:uid="{00000000-0005-0000-0000-0000E4550000}"/>
    <cellStyle name="40% - Accent4 5 2 3 3 2" xfId="24032" xr:uid="{00000000-0005-0000-0000-0000E5550000}"/>
    <cellStyle name="40% - Accent4 5 2 3 3 2 2" xfId="53038" xr:uid="{00000000-0005-0000-0000-0000E6550000}"/>
    <cellStyle name="40% - Accent4 5 2 3 3 3" xfId="38539" xr:uid="{00000000-0005-0000-0000-0000E7550000}"/>
    <cellStyle name="40% - Accent4 5 2 3 4" xfId="16784" xr:uid="{00000000-0005-0000-0000-0000E8550000}"/>
    <cellStyle name="40% - Accent4 5 2 3 4 2" xfId="45790" xr:uid="{00000000-0005-0000-0000-0000E9550000}"/>
    <cellStyle name="40% - Accent4 5 2 3 5" xfId="31291" xr:uid="{00000000-0005-0000-0000-0000EA550000}"/>
    <cellStyle name="40% - Accent4 5 2 4" xfId="3258" xr:uid="{00000000-0005-0000-0000-0000EB550000}"/>
    <cellStyle name="40% - Accent4 5 2 4 2" xfId="6362" xr:uid="{00000000-0005-0000-0000-0000EC550000}"/>
    <cellStyle name="40% - Accent4 5 2 4 2 2" xfId="13634" xr:uid="{00000000-0005-0000-0000-0000ED550000}"/>
    <cellStyle name="40% - Accent4 5 2 4 2 2 2" xfId="28168" xr:uid="{00000000-0005-0000-0000-0000EE550000}"/>
    <cellStyle name="40% - Accent4 5 2 4 2 2 2 2" xfId="57174" xr:uid="{00000000-0005-0000-0000-0000EF550000}"/>
    <cellStyle name="40% - Accent4 5 2 4 2 2 3" xfId="42675" xr:uid="{00000000-0005-0000-0000-0000F0550000}"/>
    <cellStyle name="40% - Accent4 5 2 4 2 3" xfId="20920" xr:uid="{00000000-0005-0000-0000-0000F1550000}"/>
    <cellStyle name="40% - Accent4 5 2 4 2 3 2" xfId="49926" xr:uid="{00000000-0005-0000-0000-0000F2550000}"/>
    <cellStyle name="40% - Accent4 5 2 4 2 4" xfId="35427" xr:uid="{00000000-0005-0000-0000-0000F3550000}"/>
    <cellStyle name="40% - Accent4 5 2 4 3" xfId="10530" xr:uid="{00000000-0005-0000-0000-0000F4550000}"/>
    <cellStyle name="40% - Accent4 5 2 4 3 2" xfId="25064" xr:uid="{00000000-0005-0000-0000-0000F5550000}"/>
    <cellStyle name="40% - Accent4 5 2 4 3 2 2" xfId="54070" xr:uid="{00000000-0005-0000-0000-0000F6550000}"/>
    <cellStyle name="40% - Accent4 5 2 4 3 3" xfId="39571" xr:uid="{00000000-0005-0000-0000-0000F7550000}"/>
    <cellStyle name="40% - Accent4 5 2 4 4" xfId="17816" xr:uid="{00000000-0005-0000-0000-0000F8550000}"/>
    <cellStyle name="40% - Accent4 5 2 4 4 2" xfId="46822" xr:uid="{00000000-0005-0000-0000-0000F9550000}"/>
    <cellStyle name="40% - Accent4 5 2 4 5" xfId="32323" xr:uid="{00000000-0005-0000-0000-0000FA550000}"/>
    <cellStyle name="40% - Accent4 5 2 5" xfId="4290" xr:uid="{00000000-0005-0000-0000-0000FB550000}"/>
    <cellStyle name="40% - Accent4 5 2 5 2" xfId="11562" xr:uid="{00000000-0005-0000-0000-0000FC550000}"/>
    <cellStyle name="40% - Accent4 5 2 5 2 2" xfId="26096" xr:uid="{00000000-0005-0000-0000-0000FD550000}"/>
    <cellStyle name="40% - Accent4 5 2 5 2 2 2" xfId="55102" xr:uid="{00000000-0005-0000-0000-0000FE550000}"/>
    <cellStyle name="40% - Accent4 5 2 5 2 3" xfId="40603" xr:uid="{00000000-0005-0000-0000-0000FF550000}"/>
    <cellStyle name="40% - Accent4 5 2 5 3" xfId="18848" xr:uid="{00000000-0005-0000-0000-000000560000}"/>
    <cellStyle name="40% - Accent4 5 2 5 3 2" xfId="47854" xr:uid="{00000000-0005-0000-0000-000001560000}"/>
    <cellStyle name="40% - Accent4 5 2 5 4" xfId="33355" xr:uid="{00000000-0005-0000-0000-000002560000}"/>
    <cellStyle name="40% - Accent4 5 2 6" xfId="7394" xr:uid="{00000000-0005-0000-0000-000003560000}"/>
    <cellStyle name="40% - Accent4 5 2 6 2" xfId="14666" xr:uid="{00000000-0005-0000-0000-000004560000}"/>
    <cellStyle name="40% - Accent4 5 2 6 2 2" xfId="29200" xr:uid="{00000000-0005-0000-0000-000005560000}"/>
    <cellStyle name="40% - Accent4 5 2 6 2 2 2" xfId="58206" xr:uid="{00000000-0005-0000-0000-000006560000}"/>
    <cellStyle name="40% - Accent4 5 2 6 2 3" xfId="43707" xr:uid="{00000000-0005-0000-0000-000007560000}"/>
    <cellStyle name="40% - Accent4 5 2 6 3" xfId="21952" xr:uid="{00000000-0005-0000-0000-000008560000}"/>
    <cellStyle name="40% - Accent4 5 2 6 3 2" xfId="50958" xr:uid="{00000000-0005-0000-0000-000009560000}"/>
    <cellStyle name="40% - Accent4 5 2 6 4" xfId="36459" xr:uid="{00000000-0005-0000-0000-00000A560000}"/>
    <cellStyle name="40% - Accent4 5 2 7" xfId="8458" xr:uid="{00000000-0005-0000-0000-00000B560000}"/>
    <cellStyle name="40% - Accent4 5 2 7 2" xfId="22992" xr:uid="{00000000-0005-0000-0000-00000C560000}"/>
    <cellStyle name="40% - Accent4 5 2 7 2 2" xfId="51998" xr:uid="{00000000-0005-0000-0000-00000D560000}"/>
    <cellStyle name="40% - Accent4 5 2 7 3" xfId="37499" xr:uid="{00000000-0005-0000-0000-00000E560000}"/>
    <cellStyle name="40% - Accent4 5 2 8" xfId="15744" xr:uid="{00000000-0005-0000-0000-00000F560000}"/>
    <cellStyle name="40% - Accent4 5 2 8 2" xfId="44750" xr:uid="{00000000-0005-0000-0000-000010560000}"/>
    <cellStyle name="40% - Accent4 5 2 9" xfId="30251" xr:uid="{00000000-0005-0000-0000-000011560000}"/>
    <cellStyle name="40% - Accent4 5 3" xfId="1375" xr:uid="{00000000-0005-0000-0000-000012560000}"/>
    <cellStyle name="40% - Accent4 5 3 2" xfId="2432" xr:uid="{00000000-0005-0000-0000-000013560000}"/>
    <cellStyle name="40% - Accent4 5 3 2 2" xfId="5536" xr:uid="{00000000-0005-0000-0000-000014560000}"/>
    <cellStyle name="40% - Accent4 5 3 2 2 2" xfId="12808" xr:uid="{00000000-0005-0000-0000-000015560000}"/>
    <cellStyle name="40% - Accent4 5 3 2 2 2 2" xfId="27342" xr:uid="{00000000-0005-0000-0000-000016560000}"/>
    <cellStyle name="40% - Accent4 5 3 2 2 2 2 2" xfId="56348" xr:uid="{00000000-0005-0000-0000-000017560000}"/>
    <cellStyle name="40% - Accent4 5 3 2 2 2 3" xfId="41849" xr:uid="{00000000-0005-0000-0000-000018560000}"/>
    <cellStyle name="40% - Accent4 5 3 2 2 3" xfId="20094" xr:uid="{00000000-0005-0000-0000-000019560000}"/>
    <cellStyle name="40% - Accent4 5 3 2 2 3 2" xfId="49100" xr:uid="{00000000-0005-0000-0000-00001A560000}"/>
    <cellStyle name="40% - Accent4 5 3 2 2 4" xfId="34601" xr:uid="{00000000-0005-0000-0000-00001B560000}"/>
    <cellStyle name="40% - Accent4 5 3 2 3" xfId="9704" xr:uid="{00000000-0005-0000-0000-00001C560000}"/>
    <cellStyle name="40% - Accent4 5 3 2 3 2" xfId="24238" xr:uid="{00000000-0005-0000-0000-00001D560000}"/>
    <cellStyle name="40% - Accent4 5 3 2 3 2 2" xfId="53244" xr:uid="{00000000-0005-0000-0000-00001E560000}"/>
    <cellStyle name="40% - Accent4 5 3 2 3 3" xfId="38745" xr:uid="{00000000-0005-0000-0000-00001F560000}"/>
    <cellStyle name="40% - Accent4 5 3 2 4" xfId="16990" xr:uid="{00000000-0005-0000-0000-000020560000}"/>
    <cellStyle name="40% - Accent4 5 3 2 4 2" xfId="45996" xr:uid="{00000000-0005-0000-0000-000021560000}"/>
    <cellStyle name="40% - Accent4 5 3 2 5" xfId="31497" xr:uid="{00000000-0005-0000-0000-000022560000}"/>
    <cellStyle name="40% - Accent4 5 3 3" xfId="3464" xr:uid="{00000000-0005-0000-0000-000023560000}"/>
    <cellStyle name="40% - Accent4 5 3 3 2" xfId="6568" xr:uid="{00000000-0005-0000-0000-000024560000}"/>
    <cellStyle name="40% - Accent4 5 3 3 2 2" xfId="13840" xr:uid="{00000000-0005-0000-0000-000025560000}"/>
    <cellStyle name="40% - Accent4 5 3 3 2 2 2" xfId="28374" xr:uid="{00000000-0005-0000-0000-000026560000}"/>
    <cellStyle name="40% - Accent4 5 3 3 2 2 2 2" xfId="57380" xr:uid="{00000000-0005-0000-0000-000027560000}"/>
    <cellStyle name="40% - Accent4 5 3 3 2 2 3" xfId="42881" xr:uid="{00000000-0005-0000-0000-000028560000}"/>
    <cellStyle name="40% - Accent4 5 3 3 2 3" xfId="21126" xr:uid="{00000000-0005-0000-0000-000029560000}"/>
    <cellStyle name="40% - Accent4 5 3 3 2 3 2" xfId="50132" xr:uid="{00000000-0005-0000-0000-00002A560000}"/>
    <cellStyle name="40% - Accent4 5 3 3 2 4" xfId="35633" xr:uid="{00000000-0005-0000-0000-00002B560000}"/>
    <cellStyle name="40% - Accent4 5 3 3 3" xfId="10736" xr:uid="{00000000-0005-0000-0000-00002C560000}"/>
    <cellStyle name="40% - Accent4 5 3 3 3 2" xfId="25270" xr:uid="{00000000-0005-0000-0000-00002D560000}"/>
    <cellStyle name="40% - Accent4 5 3 3 3 2 2" xfId="54276" xr:uid="{00000000-0005-0000-0000-00002E560000}"/>
    <cellStyle name="40% - Accent4 5 3 3 3 3" xfId="39777" xr:uid="{00000000-0005-0000-0000-00002F560000}"/>
    <cellStyle name="40% - Accent4 5 3 3 4" xfId="18022" xr:uid="{00000000-0005-0000-0000-000030560000}"/>
    <cellStyle name="40% - Accent4 5 3 3 4 2" xfId="47028" xr:uid="{00000000-0005-0000-0000-000031560000}"/>
    <cellStyle name="40% - Accent4 5 3 3 5" xfId="32529" xr:uid="{00000000-0005-0000-0000-000032560000}"/>
    <cellStyle name="40% - Accent4 5 3 4" xfId="4496" xr:uid="{00000000-0005-0000-0000-000033560000}"/>
    <cellStyle name="40% - Accent4 5 3 4 2" xfId="11768" xr:uid="{00000000-0005-0000-0000-000034560000}"/>
    <cellStyle name="40% - Accent4 5 3 4 2 2" xfId="26302" xr:uid="{00000000-0005-0000-0000-000035560000}"/>
    <cellStyle name="40% - Accent4 5 3 4 2 2 2" xfId="55308" xr:uid="{00000000-0005-0000-0000-000036560000}"/>
    <cellStyle name="40% - Accent4 5 3 4 2 3" xfId="40809" xr:uid="{00000000-0005-0000-0000-000037560000}"/>
    <cellStyle name="40% - Accent4 5 3 4 3" xfId="19054" xr:uid="{00000000-0005-0000-0000-000038560000}"/>
    <cellStyle name="40% - Accent4 5 3 4 3 2" xfId="48060" xr:uid="{00000000-0005-0000-0000-000039560000}"/>
    <cellStyle name="40% - Accent4 5 3 4 4" xfId="33561" xr:uid="{00000000-0005-0000-0000-00003A560000}"/>
    <cellStyle name="40% - Accent4 5 3 5" xfId="7600" xr:uid="{00000000-0005-0000-0000-00003B560000}"/>
    <cellStyle name="40% - Accent4 5 3 5 2" xfId="14872" xr:uid="{00000000-0005-0000-0000-00003C560000}"/>
    <cellStyle name="40% - Accent4 5 3 5 2 2" xfId="29406" xr:uid="{00000000-0005-0000-0000-00003D560000}"/>
    <cellStyle name="40% - Accent4 5 3 5 2 2 2" xfId="58412" xr:uid="{00000000-0005-0000-0000-00003E560000}"/>
    <cellStyle name="40% - Accent4 5 3 5 2 3" xfId="43913" xr:uid="{00000000-0005-0000-0000-00003F560000}"/>
    <cellStyle name="40% - Accent4 5 3 5 3" xfId="22158" xr:uid="{00000000-0005-0000-0000-000040560000}"/>
    <cellStyle name="40% - Accent4 5 3 5 3 2" xfId="51164" xr:uid="{00000000-0005-0000-0000-000041560000}"/>
    <cellStyle name="40% - Accent4 5 3 5 4" xfId="36665" xr:uid="{00000000-0005-0000-0000-000042560000}"/>
    <cellStyle name="40% - Accent4 5 3 6" xfId="8664" xr:uid="{00000000-0005-0000-0000-000043560000}"/>
    <cellStyle name="40% - Accent4 5 3 6 2" xfId="23198" xr:uid="{00000000-0005-0000-0000-000044560000}"/>
    <cellStyle name="40% - Accent4 5 3 6 2 2" xfId="52204" xr:uid="{00000000-0005-0000-0000-000045560000}"/>
    <cellStyle name="40% - Accent4 5 3 6 3" xfId="37705" xr:uid="{00000000-0005-0000-0000-000046560000}"/>
    <cellStyle name="40% - Accent4 5 3 7" xfId="15950" xr:uid="{00000000-0005-0000-0000-000047560000}"/>
    <cellStyle name="40% - Accent4 5 3 7 2" xfId="44956" xr:uid="{00000000-0005-0000-0000-000048560000}"/>
    <cellStyle name="40% - Accent4 5 3 8" xfId="30457" xr:uid="{00000000-0005-0000-0000-000049560000}"/>
    <cellStyle name="40% - Accent4 5 4" xfId="1920" xr:uid="{00000000-0005-0000-0000-00004A560000}"/>
    <cellStyle name="40% - Accent4 5 4 2" xfId="5024" xr:uid="{00000000-0005-0000-0000-00004B560000}"/>
    <cellStyle name="40% - Accent4 5 4 2 2" xfId="12296" xr:uid="{00000000-0005-0000-0000-00004C560000}"/>
    <cellStyle name="40% - Accent4 5 4 2 2 2" xfId="26830" xr:uid="{00000000-0005-0000-0000-00004D560000}"/>
    <cellStyle name="40% - Accent4 5 4 2 2 2 2" xfId="55836" xr:uid="{00000000-0005-0000-0000-00004E560000}"/>
    <cellStyle name="40% - Accent4 5 4 2 2 3" xfId="41337" xr:uid="{00000000-0005-0000-0000-00004F560000}"/>
    <cellStyle name="40% - Accent4 5 4 2 3" xfId="19582" xr:uid="{00000000-0005-0000-0000-000050560000}"/>
    <cellStyle name="40% - Accent4 5 4 2 3 2" xfId="48588" xr:uid="{00000000-0005-0000-0000-000051560000}"/>
    <cellStyle name="40% - Accent4 5 4 2 4" xfId="34089" xr:uid="{00000000-0005-0000-0000-000052560000}"/>
    <cellStyle name="40% - Accent4 5 4 3" xfId="9192" xr:uid="{00000000-0005-0000-0000-000053560000}"/>
    <cellStyle name="40% - Accent4 5 4 3 2" xfId="23726" xr:uid="{00000000-0005-0000-0000-000054560000}"/>
    <cellStyle name="40% - Accent4 5 4 3 2 2" xfId="52732" xr:uid="{00000000-0005-0000-0000-000055560000}"/>
    <cellStyle name="40% - Accent4 5 4 3 3" xfId="38233" xr:uid="{00000000-0005-0000-0000-000056560000}"/>
    <cellStyle name="40% - Accent4 5 4 4" xfId="16478" xr:uid="{00000000-0005-0000-0000-000057560000}"/>
    <cellStyle name="40% - Accent4 5 4 4 2" xfId="45484" xr:uid="{00000000-0005-0000-0000-000058560000}"/>
    <cellStyle name="40% - Accent4 5 4 5" xfId="30985" xr:uid="{00000000-0005-0000-0000-000059560000}"/>
    <cellStyle name="40% - Accent4 5 5" xfId="2952" xr:uid="{00000000-0005-0000-0000-00005A560000}"/>
    <cellStyle name="40% - Accent4 5 5 2" xfId="6056" xr:uid="{00000000-0005-0000-0000-00005B560000}"/>
    <cellStyle name="40% - Accent4 5 5 2 2" xfId="13328" xr:uid="{00000000-0005-0000-0000-00005C560000}"/>
    <cellStyle name="40% - Accent4 5 5 2 2 2" xfId="27862" xr:uid="{00000000-0005-0000-0000-00005D560000}"/>
    <cellStyle name="40% - Accent4 5 5 2 2 2 2" xfId="56868" xr:uid="{00000000-0005-0000-0000-00005E560000}"/>
    <cellStyle name="40% - Accent4 5 5 2 2 3" xfId="42369" xr:uid="{00000000-0005-0000-0000-00005F560000}"/>
    <cellStyle name="40% - Accent4 5 5 2 3" xfId="20614" xr:uid="{00000000-0005-0000-0000-000060560000}"/>
    <cellStyle name="40% - Accent4 5 5 2 3 2" xfId="49620" xr:uid="{00000000-0005-0000-0000-000061560000}"/>
    <cellStyle name="40% - Accent4 5 5 2 4" xfId="35121" xr:uid="{00000000-0005-0000-0000-000062560000}"/>
    <cellStyle name="40% - Accent4 5 5 3" xfId="10224" xr:uid="{00000000-0005-0000-0000-000063560000}"/>
    <cellStyle name="40% - Accent4 5 5 3 2" xfId="24758" xr:uid="{00000000-0005-0000-0000-000064560000}"/>
    <cellStyle name="40% - Accent4 5 5 3 2 2" xfId="53764" xr:uid="{00000000-0005-0000-0000-000065560000}"/>
    <cellStyle name="40% - Accent4 5 5 3 3" xfId="39265" xr:uid="{00000000-0005-0000-0000-000066560000}"/>
    <cellStyle name="40% - Accent4 5 5 4" xfId="17510" xr:uid="{00000000-0005-0000-0000-000067560000}"/>
    <cellStyle name="40% - Accent4 5 5 4 2" xfId="46516" xr:uid="{00000000-0005-0000-0000-000068560000}"/>
    <cellStyle name="40% - Accent4 5 5 5" xfId="32017" xr:uid="{00000000-0005-0000-0000-000069560000}"/>
    <cellStyle name="40% - Accent4 5 6" xfId="3984" xr:uid="{00000000-0005-0000-0000-00006A560000}"/>
    <cellStyle name="40% - Accent4 5 6 2" xfId="11256" xr:uid="{00000000-0005-0000-0000-00006B560000}"/>
    <cellStyle name="40% - Accent4 5 6 2 2" xfId="25790" xr:uid="{00000000-0005-0000-0000-00006C560000}"/>
    <cellStyle name="40% - Accent4 5 6 2 2 2" xfId="54796" xr:uid="{00000000-0005-0000-0000-00006D560000}"/>
    <cellStyle name="40% - Accent4 5 6 2 3" xfId="40297" xr:uid="{00000000-0005-0000-0000-00006E560000}"/>
    <cellStyle name="40% - Accent4 5 6 3" xfId="18542" xr:uid="{00000000-0005-0000-0000-00006F560000}"/>
    <cellStyle name="40% - Accent4 5 6 3 2" xfId="47548" xr:uid="{00000000-0005-0000-0000-000070560000}"/>
    <cellStyle name="40% - Accent4 5 6 4" xfId="33049" xr:uid="{00000000-0005-0000-0000-000071560000}"/>
    <cellStyle name="40% - Accent4 5 7" xfId="7088" xr:uid="{00000000-0005-0000-0000-000072560000}"/>
    <cellStyle name="40% - Accent4 5 7 2" xfId="14360" xr:uid="{00000000-0005-0000-0000-000073560000}"/>
    <cellStyle name="40% - Accent4 5 7 2 2" xfId="28894" xr:uid="{00000000-0005-0000-0000-000074560000}"/>
    <cellStyle name="40% - Accent4 5 7 2 2 2" xfId="57900" xr:uid="{00000000-0005-0000-0000-000075560000}"/>
    <cellStyle name="40% - Accent4 5 7 2 3" xfId="43401" xr:uid="{00000000-0005-0000-0000-000076560000}"/>
    <cellStyle name="40% - Accent4 5 7 3" xfId="21646" xr:uid="{00000000-0005-0000-0000-000077560000}"/>
    <cellStyle name="40% - Accent4 5 7 3 2" xfId="50652" xr:uid="{00000000-0005-0000-0000-000078560000}"/>
    <cellStyle name="40% - Accent4 5 7 4" xfId="36153" xr:uid="{00000000-0005-0000-0000-000079560000}"/>
    <cellStyle name="40% - Accent4 5 8" xfId="8152" xr:uid="{00000000-0005-0000-0000-00007A560000}"/>
    <cellStyle name="40% - Accent4 5 8 2" xfId="22686" xr:uid="{00000000-0005-0000-0000-00007B560000}"/>
    <cellStyle name="40% - Accent4 5 8 2 2" xfId="51692" xr:uid="{00000000-0005-0000-0000-00007C560000}"/>
    <cellStyle name="40% - Accent4 5 8 3" xfId="37193" xr:uid="{00000000-0005-0000-0000-00007D560000}"/>
    <cellStyle name="40% - Accent4 5 9" xfId="15438" xr:uid="{00000000-0005-0000-0000-00007E560000}"/>
    <cellStyle name="40% - Accent4 5 9 2" xfId="44444" xr:uid="{00000000-0005-0000-0000-00007F560000}"/>
    <cellStyle name="40% - Accent4 6" xfId="1084" xr:uid="{00000000-0005-0000-0000-000080560000}"/>
    <cellStyle name="40% - Accent4 6 2" xfId="1576" xr:uid="{00000000-0005-0000-0000-000081560000}"/>
    <cellStyle name="40% - Accent4 6 2 2" xfId="2635" xr:uid="{00000000-0005-0000-0000-000082560000}"/>
    <cellStyle name="40% - Accent4 6 2 2 2" xfId="5739" xr:uid="{00000000-0005-0000-0000-000083560000}"/>
    <cellStyle name="40% - Accent4 6 2 2 2 2" xfId="13011" xr:uid="{00000000-0005-0000-0000-000084560000}"/>
    <cellStyle name="40% - Accent4 6 2 2 2 2 2" xfId="27545" xr:uid="{00000000-0005-0000-0000-000085560000}"/>
    <cellStyle name="40% - Accent4 6 2 2 2 2 2 2" xfId="56551" xr:uid="{00000000-0005-0000-0000-000086560000}"/>
    <cellStyle name="40% - Accent4 6 2 2 2 2 3" xfId="42052" xr:uid="{00000000-0005-0000-0000-000087560000}"/>
    <cellStyle name="40% - Accent4 6 2 2 2 3" xfId="20297" xr:uid="{00000000-0005-0000-0000-000088560000}"/>
    <cellStyle name="40% - Accent4 6 2 2 2 3 2" xfId="49303" xr:uid="{00000000-0005-0000-0000-000089560000}"/>
    <cellStyle name="40% - Accent4 6 2 2 2 4" xfId="34804" xr:uid="{00000000-0005-0000-0000-00008A560000}"/>
    <cellStyle name="40% - Accent4 6 2 2 3" xfId="9907" xr:uid="{00000000-0005-0000-0000-00008B560000}"/>
    <cellStyle name="40% - Accent4 6 2 2 3 2" xfId="24441" xr:uid="{00000000-0005-0000-0000-00008C560000}"/>
    <cellStyle name="40% - Accent4 6 2 2 3 2 2" xfId="53447" xr:uid="{00000000-0005-0000-0000-00008D560000}"/>
    <cellStyle name="40% - Accent4 6 2 2 3 3" xfId="38948" xr:uid="{00000000-0005-0000-0000-00008E560000}"/>
    <cellStyle name="40% - Accent4 6 2 2 4" xfId="17193" xr:uid="{00000000-0005-0000-0000-00008F560000}"/>
    <cellStyle name="40% - Accent4 6 2 2 4 2" xfId="46199" xr:uid="{00000000-0005-0000-0000-000090560000}"/>
    <cellStyle name="40% - Accent4 6 2 2 5" xfId="31700" xr:uid="{00000000-0005-0000-0000-000091560000}"/>
    <cellStyle name="40% - Accent4 6 2 3" xfId="3667" xr:uid="{00000000-0005-0000-0000-000092560000}"/>
    <cellStyle name="40% - Accent4 6 2 3 2" xfId="6771" xr:uid="{00000000-0005-0000-0000-000093560000}"/>
    <cellStyle name="40% - Accent4 6 2 3 2 2" xfId="14043" xr:uid="{00000000-0005-0000-0000-000094560000}"/>
    <cellStyle name="40% - Accent4 6 2 3 2 2 2" xfId="28577" xr:uid="{00000000-0005-0000-0000-000095560000}"/>
    <cellStyle name="40% - Accent4 6 2 3 2 2 2 2" xfId="57583" xr:uid="{00000000-0005-0000-0000-000096560000}"/>
    <cellStyle name="40% - Accent4 6 2 3 2 2 3" xfId="43084" xr:uid="{00000000-0005-0000-0000-000097560000}"/>
    <cellStyle name="40% - Accent4 6 2 3 2 3" xfId="21329" xr:uid="{00000000-0005-0000-0000-000098560000}"/>
    <cellStyle name="40% - Accent4 6 2 3 2 3 2" xfId="50335" xr:uid="{00000000-0005-0000-0000-000099560000}"/>
    <cellStyle name="40% - Accent4 6 2 3 2 4" xfId="35836" xr:uid="{00000000-0005-0000-0000-00009A560000}"/>
    <cellStyle name="40% - Accent4 6 2 3 3" xfId="10939" xr:uid="{00000000-0005-0000-0000-00009B560000}"/>
    <cellStyle name="40% - Accent4 6 2 3 3 2" xfId="25473" xr:uid="{00000000-0005-0000-0000-00009C560000}"/>
    <cellStyle name="40% - Accent4 6 2 3 3 2 2" xfId="54479" xr:uid="{00000000-0005-0000-0000-00009D560000}"/>
    <cellStyle name="40% - Accent4 6 2 3 3 3" xfId="39980" xr:uid="{00000000-0005-0000-0000-00009E560000}"/>
    <cellStyle name="40% - Accent4 6 2 3 4" xfId="18225" xr:uid="{00000000-0005-0000-0000-00009F560000}"/>
    <cellStyle name="40% - Accent4 6 2 3 4 2" xfId="47231" xr:uid="{00000000-0005-0000-0000-0000A0560000}"/>
    <cellStyle name="40% - Accent4 6 2 3 5" xfId="32732" xr:uid="{00000000-0005-0000-0000-0000A1560000}"/>
    <cellStyle name="40% - Accent4 6 2 4" xfId="4699" xr:uid="{00000000-0005-0000-0000-0000A2560000}"/>
    <cellStyle name="40% - Accent4 6 2 4 2" xfId="11971" xr:uid="{00000000-0005-0000-0000-0000A3560000}"/>
    <cellStyle name="40% - Accent4 6 2 4 2 2" xfId="26505" xr:uid="{00000000-0005-0000-0000-0000A4560000}"/>
    <cellStyle name="40% - Accent4 6 2 4 2 2 2" xfId="55511" xr:uid="{00000000-0005-0000-0000-0000A5560000}"/>
    <cellStyle name="40% - Accent4 6 2 4 2 3" xfId="41012" xr:uid="{00000000-0005-0000-0000-0000A6560000}"/>
    <cellStyle name="40% - Accent4 6 2 4 3" xfId="19257" xr:uid="{00000000-0005-0000-0000-0000A7560000}"/>
    <cellStyle name="40% - Accent4 6 2 4 3 2" xfId="48263" xr:uid="{00000000-0005-0000-0000-0000A8560000}"/>
    <cellStyle name="40% - Accent4 6 2 4 4" xfId="33764" xr:uid="{00000000-0005-0000-0000-0000A9560000}"/>
    <cellStyle name="40% - Accent4 6 2 5" xfId="7803" xr:uid="{00000000-0005-0000-0000-0000AA560000}"/>
    <cellStyle name="40% - Accent4 6 2 5 2" xfId="15075" xr:uid="{00000000-0005-0000-0000-0000AB560000}"/>
    <cellStyle name="40% - Accent4 6 2 5 2 2" xfId="29609" xr:uid="{00000000-0005-0000-0000-0000AC560000}"/>
    <cellStyle name="40% - Accent4 6 2 5 2 2 2" xfId="58615" xr:uid="{00000000-0005-0000-0000-0000AD560000}"/>
    <cellStyle name="40% - Accent4 6 2 5 2 3" xfId="44116" xr:uid="{00000000-0005-0000-0000-0000AE560000}"/>
    <cellStyle name="40% - Accent4 6 2 5 3" xfId="22361" xr:uid="{00000000-0005-0000-0000-0000AF560000}"/>
    <cellStyle name="40% - Accent4 6 2 5 3 2" xfId="51367" xr:uid="{00000000-0005-0000-0000-0000B0560000}"/>
    <cellStyle name="40% - Accent4 6 2 5 4" xfId="36868" xr:uid="{00000000-0005-0000-0000-0000B1560000}"/>
    <cellStyle name="40% - Accent4 6 2 6" xfId="8867" xr:uid="{00000000-0005-0000-0000-0000B2560000}"/>
    <cellStyle name="40% - Accent4 6 2 6 2" xfId="23401" xr:uid="{00000000-0005-0000-0000-0000B3560000}"/>
    <cellStyle name="40% - Accent4 6 2 6 2 2" xfId="52407" xr:uid="{00000000-0005-0000-0000-0000B4560000}"/>
    <cellStyle name="40% - Accent4 6 2 6 3" xfId="37908" xr:uid="{00000000-0005-0000-0000-0000B5560000}"/>
    <cellStyle name="40% - Accent4 6 2 7" xfId="16153" xr:uid="{00000000-0005-0000-0000-0000B6560000}"/>
    <cellStyle name="40% - Accent4 6 2 7 2" xfId="45159" xr:uid="{00000000-0005-0000-0000-0000B7560000}"/>
    <cellStyle name="40% - Accent4 6 2 8" xfId="30660" xr:uid="{00000000-0005-0000-0000-0000B8560000}"/>
    <cellStyle name="40% - Accent4 6 3" xfId="2123" xr:uid="{00000000-0005-0000-0000-0000B9560000}"/>
    <cellStyle name="40% - Accent4 6 3 2" xfId="5227" xr:uid="{00000000-0005-0000-0000-0000BA560000}"/>
    <cellStyle name="40% - Accent4 6 3 2 2" xfId="12499" xr:uid="{00000000-0005-0000-0000-0000BB560000}"/>
    <cellStyle name="40% - Accent4 6 3 2 2 2" xfId="27033" xr:uid="{00000000-0005-0000-0000-0000BC560000}"/>
    <cellStyle name="40% - Accent4 6 3 2 2 2 2" xfId="56039" xr:uid="{00000000-0005-0000-0000-0000BD560000}"/>
    <cellStyle name="40% - Accent4 6 3 2 2 3" xfId="41540" xr:uid="{00000000-0005-0000-0000-0000BE560000}"/>
    <cellStyle name="40% - Accent4 6 3 2 3" xfId="19785" xr:uid="{00000000-0005-0000-0000-0000BF560000}"/>
    <cellStyle name="40% - Accent4 6 3 2 3 2" xfId="48791" xr:uid="{00000000-0005-0000-0000-0000C0560000}"/>
    <cellStyle name="40% - Accent4 6 3 2 4" xfId="34292" xr:uid="{00000000-0005-0000-0000-0000C1560000}"/>
    <cellStyle name="40% - Accent4 6 3 3" xfId="9395" xr:uid="{00000000-0005-0000-0000-0000C2560000}"/>
    <cellStyle name="40% - Accent4 6 3 3 2" xfId="23929" xr:uid="{00000000-0005-0000-0000-0000C3560000}"/>
    <cellStyle name="40% - Accent4 6 3 3 2 2" xfId="52935" xr:uid="{00000000-0005-0000-0000-0000C4560000}"/>
    <cellStyle name="40% - Accent4 6 3 3 3" xfId="38436" xr:uid="{00000000-0005-0000-0000-0000C5560000}"/>
    <cellStyle name="40% - Accent4 6 3 4" xfId="16681" xr:uid="{00000000-0005-0000-0000-0000C6560000}"/>
    <cellStyle name="40% - Accent4 6 3 4 2" xfId="45687" xr:uid="{00000000-0005-0000-0000-0000C7560000}"/>
    <cellStyle name="40% - Accent4 6 3 5" xfId="31188" xr:uid="{00000000-0005-0000-0000-0000C8560000}"/>
    <cellStyle name="40% - Accent4 6 4" xfId="3155" xr:uid="{00000000-0005-0000-0000-0000C9560000}"/>
    <cellStyle name="40% - Accent4 6 4 2" xfId="6259" xr:uid="{00000000-0005-0000-0000-0000CA560000}"/>
    <cellStyle name="40% - Accent4 6 4 2 2" xfId="13531" xr:uid="{00000000-0005-0000-0000-0000CB560000}"/>
    <cellStyle name="40% - Accent4 6 4 2 2 2" xfId="28065" xr:uid="{00000000-0005-0000-0000-0000CC560000}"/>
    <cellStyle name="40% - Accent4 6 4 2 2 2 2" xfId="57071" xr:uid="{00000000-0005-0000-0000-0000CD560000}"/>
    <cellStyle name="40% - Accent4 6 4 2 2 3" xfId="42572" xr:uid="{00000000-0005-0000-0000-0000CE560000}"/>
    <cellStyle name="40% - Accent4 6 4 2 3" xfId="20817" xr:uid="{00000000-0005-0000-0000-0000CF560000}"/>
    <cellStyle name="40% - Accent4 6 4 2 3 2" xfId="49823" xr:uid="{00000000-0005-0000-0000-0000D0560000}"/>
    <cellStyle name="40% - Accent4 6 4 2 4" xfId="35324" xr:uid="{00000000-0005-0000-0000-0000D1560000}"/>
    <cellStyle name="40% - Accent4 6 4 3" xfId="10427" xr:uid="{00000000-0005-0000-0000-0000D2560000}"/>
    <cellStyle name="40% - Accent4 6 4 3 2" xfId="24961" xr:uid="{00000000-0005-0000-0000-0000D3560000}"/>
    <cellStyle name="40% - Accent4 6 4 3 2 2" xfId="53967" xr:uid="{00000000-0005-0000-0000-0000D4560000}"/>
    <cellStyle name="40% - Accent4 6 4 3 3" xfId="39468" xr:uid="{00000000-0005-0000-0000-0000D5560000}"/>
    <cellStyle name="40% - Accent4 6 4 4" xfId="17713" xr:uid="{00000000-0005-0000-0000-0000D6560000}"/>
    <cellStyle name="40% - Accent4 6 4 4 2" xfId="46719" xr:uid="{00000000-0005-0000-0000-0000D7560000}"/>
    <cellStyle name="40% - Accent4 6 4 5" xfId="32220" xr:uid="{00000000-0005-0000-0000-0000D8560000}"/>
    <cellStyle name="40% - Accent4 6 5" xfId="4187" xr:uid="{00000000-0005-0000-0000-0000D9560000}"/>
    <cellStyle name="40% - Accent4 6 5 2" xfId="11459" xr:uid="{00000000-0005-0000-0000-0000DA560000}"/>
    <cellStyle name="40% - Accent4 6 5 2 2" xfId="25993" xr:uid="{00000000-0005-0000-0000-0000DB560000}"/>
    <cellStyle name="40% - Accent4 6 5 2 2 2" xfId="54999" xr:uid="{00000000-0005-0000-0000-0000DC560000}"/>
    <cellStyle name="40% - Accent4 6 5 2 3" xfId="40500" xr:uid="{00000000-0005-0000-0000-0000DD560000}"/>
    <cellStyle name="40% - Accent4 6 5 3" xfId="18745" xr:uid="{00000000-0005-0000-0000-0000DE560000}"/>
    <cellStyle name="40% - Accent4 6 5 3 2" xfId="47751" xr:uid="{00000000-0005-0000-0000-0000DF560000}"/>
    <cellStyle name="40% - Accent4 6 5 4" xfId="33252" xr:uid="{00000000-0005-0000-0000-0000E0560000}"/>
    <cellStyle name="40% - Accent4 6 6" xfId="7291" xr:uid="{00000000-0005-0000-0000-0000E1560000}"/>
    <cellStyle name="40% - Accent4 6 6 2" xfId="14563" xr:uid="{00000000-0005-0000-0000-0000E2560000}"/>
    <cellStyle name="40% - Accent4 6 6 2 2" xfId="29097" xr:uid="{00000000-0005-0000-0000-0000E3560000}"/>
    <cellStyle name="40% - Accent4 6 6 2 2 2" xfId="58103" xr:uid="{00000000-0005-0000-0000-0000E4560000}"/>
    <cellStyle name="40% - Accent4 6 6 2 3" xfId="43604" xr:uid="{00000000-0005-0000-0000-0000E5560000}"/>
    <cellStyle name="40% - Accent4 6 6 3" xfId="21849" xr:uid="{00000000-0005-0000-0000-0000E6560000}"/>
    <cellStyle name="40% - Accent4 6 6 3 2" xfId="50855" xr:uid="{00000000-0005-0000-0000-0000E7560000}"/>
    <cellStyle name="40% - Accent4 6 6 4" xfId="36356" xr:uid="{00000000-0005-0000-0000-0000E8560000}"/>
    <cellStyle name="40% - Accent4 6 7" xfId="8355" xr:uid="{00000000-0005-0000-0000-0000E9560000}"/>
    <cellStyle name="40% - Accent4 6 7 2" xfId="22889" xr:uid="{00000000-0005-0000-0000-0000EA560000}"/>
    <cellStyle name="40% - Accent4 6 7 2 2" xfId="51895" xr:uid="{00000000-0005-0000-0000-0000EB560000}"/>
    <cellStyle name="40% - Accent4 6 7 3" xfId="37396" xr:uid="{00000000-0005-0000-0000-0000EC560000}"/>
    <cellStyle name="40% - Accent4 6 8" xfId="15641" xr:uid="{00000000-0005-0000-0000-0000ED560000}"/>
    <cellStyle name="40% - Accent4 6 8 2" xfId="44647" xr:uid="{00000000-0005-0000-0000-0000EE560000}"/>
    <cellStyle name="40% - Accent4 6 9" xfId="30148" xr:uid="{00000000-0005-0000-0000-0000EF560000}"/>
    <cellStyle name="40% - Accent4 7" xfId="992" xr:uid="{00000000-0005-0000-0000-0000F0560000}"/>
    <cellStyle name="40% - Accent4 7 2" xfId="1477" xr:uid="{00000000-0005-0000-0000-0000F1560000}"/>
    <cellStyle name="40% - Accent4 7 2 2" xfId="2535" xr:uid="{00000000-0005-0000-0000-0000F2560000}"/>
    <cellStyle name="40% - Accent4 7 2 2 2" xfId="5639" xr:uid="{00000000-0005-0000-0000-0000F3560000}"/>
    <cellStyle name="40% - Accent4 7 2 2 2 2" xfId="12911" xr:uid="{00000000-0005-0000-0000-0000F4560000}"/>
    <cellStyle name="40% - Accent4 7 2 2 2 2 2" xfId="27445" xr:uid="{00000000-0005-0000-0000-0000F5560000}"/>
    <cellStyle name="40% - Accent4 7 2 2 2 2 2 2" xfId="56451" xr:uid="{00000000-0005-0000-0000-0000F6560000}"/>
    <cellStyle name="40% - Accent4 7 2 2 2 2 3" xfId="41952" xr:uid="{00000000-0005-0000-0000-0000F7560000}"/>
    <cellStyle name="40% - Accent4 7 2 2 2 3" xfId="20197" xr:uid="{00000000-0005-0000-0000-0000F8560000}"/>
    <cellStyle name="40% - Accent4 7 2 2 2 3 2" xfId="49203" xr:uid="{00000000-0005-0000-0000-0000F9560000}"/>
    <cellStyle name="40% - Accent4 7 2 2 2 4" xfId="34704" xr:uid="{00000000-0005-0000-0000-0000FA560000}"/>
    <cellStyle name="40% - Accent4 7 2 2 3" xfId="9807" xr:uid="{00000000-0005-0000-0000-0000FB560000}"/>
    <cellStyle name="40% - Accent4 7 2 2 3 2" xfId="24341" xr:uid="{00000000-0005-0000-0000-0000FC560000}"/>
    <cellStyle name="40% - Accent4 7 2 2 3 2 2" xfId="53347" xr:uid="{00000000-0005-0000-0000-0000FD560000}"/>
    <cellStyle name="40% - Accent4 7 2 2 3 3" xfId="38848" xr:uid="{00000000-0005-0000-0000-0000FE560000}"/>
    <cellStyle name="40% - Accent4 7 2 2 4" xfId="17093" xr:uid="{00000000-0005-0000-0000-0000FF560000}"/>
    <cellStyle name="40% - Accent4 7 2 2 4 2" xfId="46099" xr:uid="{00000000-0005-0000-0000-000000570000}"/>
    <cellStyle name="40% - Accent4 7 2 2 5" xfId="31600" xr:uid="{00000000-0005-0000-0000-000001570000}"/>
    <cellStyle name="40% - Accent4 7 2 3" xfId="3567" xr:uid="{00000000-0005-0000-0000-000002570000}"/>
    <cellStyle name="40% - Accent4 7 2 3 2" xfId="6671" xr:uid="{00000000-0005-0000-0000-000003570000}"/>
    <cellStyle name="40% - Accent4 7 2 3 2 2" xfId="13943" xr:uid="{00000000-0005-0000-0000-000004570000}"/>
    <cellStyle name="40% - Accent4 7 2 3 2 2 2" xfId="28477" xr:uid="{00000000-0005-0000-0000-000005570000}"/>
    <cellStyle name="40% - Accent4 7 2 3 2 2 2 2" xfId="57483" xr:uid="{00000000-0005-0000-0000-000006570000}"/>
    <cellStyle name="40% - Accent4 7 2 3 2 2 3" xfId="42984" xr:uid="{00000000-0005-0000-0000-000007570000}"/>
    <cellStyle name="40% - Accent4 7 2 3 2 3" xfId="21229" xr:uid="{00000000-0005-0000-0000-000008570000}"/>
    <cellStyle name="40% - Accent4 7 2 3 2 3 2" xfId="50235" xr:uid="{00000000-0005-0000-0000-000009570000}"/>
    <cellStyle name="40% - Accent4 7 2 3 2 4" xfId="35736" xr:uid="{00000000-0005-0000-0000-00000A570000}"/>
    <cellStyle name="40% - Accent4 7 2 3 3" xfId="10839" xr:uid="{00000000-0005-0000-0000-00000B570000}"/>
    <cellStyle name="40% - Accent4 7 2 3 3 2" xfId="25373" xr:uid="{00000000-0005-0000-0000-00000C570000}"/>
    <cellStyle name="40% - Accent4 7 2 3 3 2 2" xfId="54379" xr:uid="{00000000-0005-0000-0000-00000D570000}"/>
    <cellStyle name="40% - Accent4 7 2 3 3 3" xfId="39880" xr:uid="{00000000-0005-0000-0000-00000E570000}"/>
    <cellStyle name="40% - Accent4 7 2 3 4" xfId="18125" xr:uid="{00000000-0005-0000-0000-00000F570000}"/>
    <cellStyle name="40% - Accent4 7 2 3 4 2" xfId="47131" xr:uid="{00000000-0005-0000-0000-000010570000}"/>
    <cellStyle name="40% - Accent4 7 2 3 5" xfId="32632" xr:uid="{00000000-0005-0000-0000-000011570000}"/>
    <cellStyle name="40% - Accent4 7 2 4" xfId="4599" xr:uid="{00000000-0005-0000-0000-000012570000}"/>
    <cellStyle name="40% - Accent4 7 2 4 2" xfId="11871" xr:uid="{00000000-0005-0000-0000-000013570000}"/>
    <cellStyle name="40% - Accent4 7 2 4 2 2" xfId="26405" xr:uid="{00000000-0005-0000-0000-000014570000}"/>
    <cellStyle name="40% - Accent4 7 2 4 2 2 2" xfId="55411" xr:uid="{00000000-0005-0000-0000-000015570000}"/>
    <cellStyle name="40% - Accent4 7 2 4 2 3" xfId="40912" xr:uid="{00000000-0005-0000-0000-000016570000}"/>
    <cellStyle name="40% - Accent4 7 2 4 3" xfId="19157" xr:uid="{00000000-0005-0000-0000-000017570000}"/>
    <cellStyle name="40% - Accent4 7 2 4 3 2" xfId="48163" xr:uid="{00000000-0005-0000-0000-000018570000}"/>
    <cellStyle name="40% - Accent4 7 2 4 4" xfId="33664" xr:uid="{00000000-0005-0000-0000-000019570000}"/>
    <cellStyle name="40% - Accent4 7 2 5" xfId="7703" xr:uid="{00000000-0005-0000-0000-00001A570000}"/>
    <cellStyle name="40% - Accent4 7 2 5 2" xfId="14975" xr:uid="{00000000-0005-0000-0000-00001B570000}"/>
    <cellStyle name="40% - Accent4 7 2 5 2 2" xfId="29509" xr:uid="{00000000-0005-0000-0000-00001C570000}"/>
    <cellStyle name="40% - Accent4 7 2 5 2 2 2" xfId="58515" xr:uid="{00000000-0005-0000-0000-00001D570000}"/>
    <cellStyle name="40% - Accent4 7 2 5 2 3" xfId="44016" xr:uid="{00000000-0005-0000-0000-00001E570000}"/>
    <cellStyle name="40% - Accent4 7 2 5 3" xfId="22261" xr:uid="{00000000-0005-0000-0000-00001F570000}"/>
    <cellStyle name="40% - Accent4 7 2 5 3 2" xfId="51267" xr:uid="{00000000-0005-0000-0000-000020570000}"/>
    <cellStyle name="40% - Accent4 7 2 5 4" xfId="36768" xr:uid="{00000000-0005-0000-0000-000021570000}"/>
    <cellStyle name="40% - Accent4 7 2 6" xfId="8767" xr:uid="{00000000-0005-0000-0000-000022570000}"/>
    <cellStyle name="40% - Accent4 7 2 6 2" xfId="23301" xr:uid="{00000000-0005-0000-0000-000023570000}"/>
    <cellStyle name="40% - Accent4 7 2 6 2 2" xfId="52307" xr:uid="{00000000-0005-0000-0000-000024570000}"/>
    <cellStyle name="40% - Accent4 7 2 6 3" xfId="37808" xr:uid="{00000000-0005-0000-0000-000025570000}"/>
    <cellStyle name="40% - Accent4 7 2 7" xfId="16053" xr:uid="{00000000-0005-0000-0000-000026570000}"/>
    <cellStyle name="40% - Accent4 7 2 7 2" xfId="45059" xr:uid="{00000000-0005-0000-0000-000027570000}"/>
    <cellStyle name="40% - Accent4 7 2 8" xfId="30560" xr:uid="{00000000-0005-0000-0000-000028570000}"/>
    <cellStyle name="40% - Accent4 7 3" xfId="2023" xr:uid="{00000000-0005-0000-0000-000029570000}"/>
    <cellStyle name="40% - Accent4 7 3 2" xfId="5127" xr:uid="{00000000-0005-0000-0000-00002A570000}"/>
    <cellStyle name="40% - Accent4 7 3 2 2" xfId="12399" xr:uid="{00000000-0005-0000-0000-00002B570000}"/>
    <cellStyle name="40% - Accent4 7 3 2 2 2" xfId="26933" xr:uid="{00000000-0005-0000-0000-00002C570000}"/>
    <cellStyle name="40% - Accent4 7 3 2 2 2 2" xfId="55939" xr:uid="{00000000-0005-0000-0000-00002D570000}"/>
    <cellStyle name="40% - Accent4 7 3 2 2 3" xfId="41440" xr:uid="{00000000-0005-0000-0000-00002E570000}"/>
    <cellStyle name="40% - Accent4 7 3 2 3" xfId="19685" xr:uid="{00000000-0005-0000-0000-00002F570000}"/>
    <cellStyle name="40% - Accent4 7 3 2 3 2" xfId="48691" xr:uid="{00000000-0005-0000-0000-000030570000}"/>
    <cellStyle name="40% - Accent4 7 3 2 4" xfId="34192" xr:uid="{00000000-0005-0000-0000-000031570000}"/>
    <cellStyle name="40% - Accent4 7 3 3" xfId="9295" xr:uid="{00000000-0005-0000-0000-000032570000}"/>
    <cellStyle name="40% - Accent4 7 3 3 2" xfId="23829" xr:uid="{00000000-0005-0000-0000-000033570000}"/>
    <cellStyle name="40% - Accent4 7 3 3 2 2" xfId="52835" xr:uid="{00000000-0005-0000-0000-000034570000}"/>
    <cellStyle name="40% - Accent4 7 3 3 3" xfId="38336" xr:uid="{00000000-0005-0000-0000-000035570000}"/>
    <cellStyle name="40% - Accent4 7 3 4" xfId="16581" xr:uid="{00000000-0005-0000-0000-000036570000}"/>
    <cellStyle name="40% - Accent4 7 3 4 2" xfId="45587" xr:uid="{00000000-0005-0000-0000-000037570000}"/>
    <cellStyle name="40% - Accent4 7 3 5" xfId="31088" xr:uid="{00000000-0005-0000-0000-000038570000}"/>
    <cellStyle name="40% - Accent4 7 4" xfId="3055" xr:uid="{00000000-0005-0000-0000-000039570000}"/>
    <cellStyle name="40% - Accent4 7 4 2" xfId="6159" xr:uid="{00000000-0005-0000-0000-00003A570000}"/>
    <cellStyle name="40% - Accent4 7 4 2 2" xfId="13431" xr:uid="{00000000-0005-0000-0000-00003B570000}"/>
    <cellStyle name="40% - Accent4 7 4 2 2 2" xfId="27965" xr:uid="{00000000-0005-0000-0000-00003C570000}"/>
    <cellStyle name="40% - Accent4 7 4 2 2 2 2" xfId="56971" xr:uid="{00000000-0005-0000-0000-00003D570000}"/>
    <cellStyle name="40% - Accent4 7 4 2 2 3" xfId="42472" xr:uid="{00000000-0005-0000-0000-00003E570000}"/>
    <cellStyle name="40% - Accent4 7 4 2 3" xfId="20717" xr:uid="{00000000-0005-0000-0000-00003F570000}"/>
    <cellStyle name="40% - Accent4 7 4 2 3 2" xfId="49723" xr:uid="{00000000-0005-0000-0000-000040570000}"/>
    <cellStyle name="40% - Accent4 7 4 2 4" xfId="35224" xr:uid="{00000000-0005-0000-0000-000041570000}"/>
    <cellStyle name="40% - Accent4 7 4 3" xfId="10327" xr:uid="{00000000-0005-0000-0000-000042570000}"/>
    <cellStyle name="40% - Accent4 7 4 3 2" xfId="24861" xr:uid="{00000000-0005-0000-0000-000043570000}"/>
    <cellStyle name="40% - Accent4 7 4 3 2 2" xfId="53867" xr:uid="{00000000-0005-0000-0000-000044570000}"/>
    <cellStyle name="40% - Accent4 7 4 3 3" xfId="39368" xr:uid="{00000000-0005-0000-0000-000045570000}"/>
    <cellStyle name="40% - Accent4 7 4 4" xfId="17613" xr:uid="{00000000-0005-0000-0000-000046570000}"/>
    <cellStyle name="40% - Accent4 7 4 4 2" xfId="46619" xr:uid="{00000000-0005-0000-0000-000047570000}"/>
    <cellStyle name="40% - Accent4 7 4 5" xfId="32120" xr:uid="{00000000-0005-0000-0000-000048570000}"/>
    <cellStyle name="40% - Accent4 7 5" xfId="4087" xr:uid="{00000000-0005-0000-0000-000049570000}"/>
    <cellStyle name="40% - Accent4 7 5 2" xfId="11359" xr:uid="{00000000-0005-0000-0000-00004A570000}"/>
    <cellStyle name="40% - Accent4 7 5 2 2" xfId="25893" xr:uid="{00000000-0005-0000-0000-00004B570000}"/>
    <cellStyle name="40% - Accent4 7 5 2 2 2" xfId="54899" xr:uid="{00000000-0005-0000-0000-00004C570000}"/>
    <cellStyle name="40% - Accent4 7 5 2 3" xfId="40400" xr:uid="{00000000-0005-0000-0000-00004D570000}"/>
    <cellStyle name="40% - Accent4 7 5 3" xfId="18645" xr:uid="{00000000-0005-0000-0000-00004E570000}"/>
    <cellStyle name="40% - Accent4 7 5 3 2" xfId="47651" xr:uid="{00000000-0005-0000-0000-00004F570000}"/>
    <cellStyle name="40% - Accent4 7 5 4" xfId="33152" xr:uid="{00000000-0005-0000-0000-000050570000}"/>
    <cellStyle name="40% - Accent4 7 6" xfId="7191" xr:uid="{00000000-0005-0000-0000-000051570000}"/>
    <cellStyle name="40% - Accent4 7 6 2" xfId="14463" xr:uid="{00000000-0005-0000-0000-000052570000}"/>
    <cellStyle name="40% - Accent4 7 6 2 2" xfId="28997" xr:uid="{00000000-0005-0000-0000-000053570000}"/>
    <cellStyle name="40% - Accent4 7 6 2 2 2" xfId="58003" xr:uid="{00000000-0005-0000-0000-000054570000}"/>
    <cellStyle name="40% - Accent4 7 6 2 3" xfId="43504" xr:uid="{00000000-0005-0000-0000-000055570000}"/>
    <cellStyle name="40% - Accent4 7 6 3" xfId="21749" xr:uid="{00000000-0005-0000-0000-000056570000}"/>
    <cellStyle name="40% - Accent4 7 6 3 2" xfId="50755" xr:uid="{00000000-0005-0000-0000-000057570000}"/>
    <cellStyle name="40% - Accent4 7 6 4" xfId="36256" xr:uid="{00000000-0005-0000-0000-000058570000}"/>
    <cellStyle name="40% - Accent4 7 7" xfId="8255" xr:uid="{00000000-0005-0000-0000-000059570000}"/>
    <cellStyle name="40% - Accent4 7 7 2" xfId="22789" xr:uid="{00000000-0005-0000-0000-00005A570000}"/>
    <cellStyle name="40% - Accent4 7 7 2 2" xfId="51795" xr:uid="{00000000-0005-0000-0000-00005B570000}"/>
    <cellStyle name="40% - Accent4 7 7 3" xfId="37296" xr:uid="{00000000-0005-0000-0000-00005C570000}"/>
    <cellStyle name="40% - Accent4 7 8" xfId="15541" xr:uid="{00000000-0005-0000-0000-00005D570000}"/>
    <cellStyle name="40% - Accent4 7 8 2" xfId="44547" xr:uid="{00000000-0005-0000-0000-00005E570000}"/>
    <cellStyle name="40% - Accent4 7 9" xfId="30048" xr:uid="{00000000-0005-0000-0000-00005F570000}"/>
    <cellStyle name="40% - Accent4 8" xfId="1274" xr:uid="{00000000-0005-0000-0000-000060570000}"/>
    <cellStyle name="40% - Accent4 8 2" xfId="2329" xr:uid="{00000000-0005-0000-0000-000061570000}"/>
    <cellStyle name="40% - Accent4 8 2 2" xfId="5433" xr:uid="{00000000-0005-0000-0000-000062570000}"/>
    <cellStyle name="40% - Accent4 8 2 2 2" xfId="12705" xr:uid="{00000000-0005-0000-0000-000063570000}"/>
    <cellStyle name="40% - Accent4 8 2 2 2 2" xfId="27239" xr:uid="{00000000-0005-0000-0000-000064570000}"/>
    <cellStyle name="40% - Accent4 8 2 2 2 2 2" xfId="56245" xr:uid="{00000000-0005-0000-0000-000065570000}"/>
    <cellStyle name="40% - Accent4 8 2 2 2 3" xfId="41746" xr:uid="{00000000-0005-0000-0000-000066570000}"/>
    <cellStyle name="40% - Accent4 8 2 2 3" xfId="19991" xr:uid="{00000000-0005-0000-0000-000067570000}"/>
    <cellStyle name="40% - Accent4 8 2 2 3 2" xfId="48997" xr:uid="{00000000-0005-0000-0000-000068570000}"/>
    <cellStyle name="40% - Accent4 8 2 2 4" xfId="34498" xr:uid="{00000000-0005-0000-0000-000069570000}"/>
    <cellStyle name="40% - Accent4 8 2 3" xfId="9601" xr:uid="{00000000-0005-0000-0000-00006A570000}"/>
    <cellStyle name="40% - Accent4 8 2 3 2" xfId="24135" xr:uid="{00000000-0005-0000-0000-00006B570000}"/>
    <cellStyle name="40% - Accent4 8 2 3 2 2" xfId="53141" xr:uid="{00000000-0005-0000-0000-00006C570000}"/>
    <cellStyle name="40% - Accent4 8 2 3 3" xfId="38642" xr:uid="{00000000-0005-0000-0000-00006D570000}"/>
    <cellStyle name="40% - Accent4 8 2 4" xfId="16887" xr:uid="{00000000-0005-0000-0000-00006E570000}"/>
    <cellStyle name="40% - Accent4 8 2 4 2" xfId="45893" xr:uid="{00000000-0005-0000-0000-00006F570000}"/>
    <cellStyle name="40% - Accent4 8 2 5" xfId="31394" xr:uid="{00000000-0005-0000-0000-000070570000}"/>
    <cellStyle name="40% - Accent4 8 3" xfId="3361" xr:uid="{00000000-0005-0000-0000-000071570000}"/>
    <cellStyle name="40% - Accent4 8 3 2" xfId="6465" xr:uid="{00000000-0005-0000-0000-000072570000}"/>
    <cellStyle name="40% - Accent4 8 3 2 2" xfId="13737" xr:uid="{00000000-0005-0000-0000-000073570000}"/>
    <cellStyle name="40% - Accent4 8 3 2 2 2" xfId="28271" xr:uid="{00000000-0005-0000-0000-000074570000}"/>
    <cellStyle name="40% - Accent4 8 3 2 2 2 2" xfId="57277" xr:uid="{00000000-0005-0000-0000-000075570000}"/>
    <cellStyle name="40% - Accent4 8 3 2 2 3" xfId="42778" xr:uid="{00000000-0005-0000-0000-000076570000}"/>
    <cellStyle name="40% - Accent4 8 3 2 3" xfId="21023" xr:uid="{00000000-0005-0000-0000-000077570000}"/>
    <cellStyle name="40% - Accent4 8 3 2 3 2" xfId="50029" xr:uid="{00000000-0005-0000-0000-000078570000}"/>
    <cellStyle name="40% - Accent4 8 3 2 4" xfId="35530" xr:uid="{00000000-0005-0000-0000-000079570000}"/>
    <cellStyle name="40% - Accent4 8 3 3" xfId="10633" xr:uid="{00000000-0005-0000-0000-00007A570000}"/>
    <cellStyle name="40% - Accent4 8 3 3 2" xfId="25167" xr:uid="{00000000-0005-0000-0000-00007B570000}"/>
    <cellStyle name="40% - Accent4 8 3 3 2 2" xfId="54173" xr:uid="{00000000-0005-0000-0000-00007C570000}"/>
    <cellStyle name="40% - Accent4 8 3 3 3" xfId="39674" xr:uid="{00000000-0005-0000-0000-00007D570000}"/>
    <cellStyle name="40% - Accent4 8 3 4" xfId="17919" xr:uid="{00000000-0005-0000-0000-00007E570000}"/>
    <cellStyle name="40% - Accent4 8 3 4 2" xfId="46925" xr:uid="{00000000-0005-0000-0000-00007F570000}"/>
    <cellStyle name="40% - Accent4 8 3 5" xfId="32426" xr:uid="{00000000-0005-0000-0000-000080570000}"/>
    <cellStyle name="40% - Accent4 8 4" xfId="4393" xr:uid="{00000000-0005-0000-0000-000081570000}"/>
    <cellStyle name="40% - Accent4 8 4 2" xfId="11665" xr:uid="{00000000-0005-0000-0000-000082570000}"/>
    <cellStyle name="40% - Accent4 8 4 2 2" xfId="26199" xr:uid="{00000000-0005-0000-0000-000083570000}"/>
    <cellStyle name="40% - Accent4 8 4 2 2 2" xfId="55205" xr:uid="{00000000-0005-0000-0000-000084570000}"/>
    <cellStyle name="40% - Accent4 8 4 2 3" xfId="40706" xr:uid="{00000000-0005-0000-0000-000085570000}"/>
    <cellStyle name="40% - Accent4 8 4 3" xfId="18951" xr:uid="{00000000-0005-0000-0000-000086570000}"/>
    <cellStyle name="40% - Accent4 8 4 3 2" xfId="47957" xr:uid="{00000000-0005-0000-0000-000087570000}"/>
    <cellStyle name="40% - Accent4 8 4 4" xfId="33458" xr:uid="{00000000-0005-0000-0000-000088570000}"/>
    <cellStyle name="40% - Accent4 8 5" xfId="7497" xr:uid="{00000000-0005-0000-0000-000089570000}"/>
    <cellStyle name="40% - Accent4 8 5 2" xfId="14769" xr:uid="{00000000-0005-0000-0000-00008A570000}"/>
    <cellStyle name="40% - Accent4 8 5 2 2" xfId="29303" xr:uid="{00000000-0005-0000-0000-00008B570000}"/>
    <cellStyle name="40% - Accent4 8 5 2 2 2" xfId="58309" xr:uid="{00000000-0005-0000-0000-00008C570000}"/>
    <cellStyle name="40% - Accent4 8 5 2 3" xfId="43810" xr:uid="{00000000-0005-0000-0000-00008D570000}"/>
    <cellStyle name="40% - Accent4 8 5 3" xfId="22055" xr:uid="{00000000-0005-0000-0000-00008E570000}"/>
    <cellStyle name="40% - Accent4 8 5 3 2" xfId="51061" xr:uid="{00000000-0005-0000-0000-00008F570000}"/>
    <cellStyle name="40% - Accent4 8 5 4" xfId="36562" xr:uid="{00000000-0005-0000-0000-000090570000}"/>
    <cellStyle name="40% - Accent4 8 6" xfId="8561" xr:uid="{00000000-0005-0000-0000-000091570000}"/>
    <cellStyle name="40% - Accent4 8 6 2" xfId="23095" xr:uid="{00000000-0005-0000-0000-000092570000}"/>
    <cellStyle name="40% - Accent4 8 6 2 2" xfId="52101" xr:uid="{00000000-0005-0000-0000-000093570000}"/>
    <cellStyle name="40% - Accent4 8 6 3" xfId="37602" xr:uid="{00000000-0005-0000-0000-000094570000}"/>
    <cellStyle name="40% - Accent4 8 7" xfId="15847" xr:uid="{00000000-0005-0000-0000-000095570000}"/>
    <cellStyle name="40% - Accent4 8 7 2" xfId="44853" xr:uid="{00000000-0005-0000-0000-000096570000}"/>
    <cellStyle name="40% - Accent4 8 8" xfId="30354" xr:uid="{00000000-0005-0000-0000-000097570000}"/>
    <cellStyle name="40% - Accent4 9" xfId="1817" xr:uid="{00000000-0005-0000-0000-000098570000}"/>
    <cellStyle name="40% - Accent4 9 2" xfId="4921" xr:uid="{00000000-0005-0000-0000-000099570000}"/>
    <cellStyle name="40% - Accent4 9 2 2" xfId="12193" xr:uid="{00000000-0005-0000-0000-00009A570000}"/>
    <cellStyle name="40% - Accent4 9 2 2 2" xfId="26727" xr:uid="{00000000-0005-0000-0000-00009B570000}"/>
    <cellStyle name="40% - Accent4 9 2 2 2 2" xfId="55733" xr:uid="{00000000-0005-0000-0000-00009C570000}"/>
    <cellStyle name="40% - Accent4 9 2 2 3" xfId="41234" xr:uid="{00000000-0005-0000-0000-00009D570000}"/>
    <cellStyle name="40% - Accent4 9 2 3" xfId="19479" xr:uid="{00000000-0005-0000-0000-00009E570000}"/>
    <cellStyle name="40% - Accent4 9 2 3 2" xfId="48485" xr:uid="{00000000-0005-0000-0000-00009F570000}"/>
    <cellStyle name="40% - Accent4 9 2 4" xfId="33986" xr:uid="{00000000-0005-0000-0000-0000A0570000}"/>
    <cellStyle name="40% - Accent4 9 3" xfId="9089" xr:uid="{00000000-0005-0000-0000-0000A1570000}"/>
    <cellStyle name="40% - Accent4 9 3 2" xfId="23623" xr:uid="{00000000-0005-0000-0000-0000A2570000}"/>
    <cellStyle name="40% - Accent4 9 3 2 2" xfId="52629" xr:uid="{00000000-0005-0000-0000-0000A3570000}"/>
    <cellStyle name="40% - Accent4 9 3 3" xfId="38130" xr:uid="{00000000-0005-0000-0000-0000A4570000}"/>
    <cellStyle name="40% - Accent4 9 4" xfId="16375" xr:uid="{00000000-0005-0000-0000-0000A5570000}"/>
    <cellStyle name="40% - Accent4 9 4 2" xfId="45381" xr:uid="{00000000-0005-0000-0000-0000A6570000}"/>
    <cellStyle name="40% - Accent4 9 5" xfId="30882" xr:uid="{00000000-0005-0000-0000-0000A7570000}"/>
    <cellStyle name="40% - Accent5" xfId="79" builtinId="47" customBuiltin="1"/>
    <cellStyle name="40% - Accent5 10" xfId="2851" xr:uid="{00000000-0005-0000-0000-0000A9570000}"/>
    <cellStyle name="40% - Accent5 10 2" xfId="5955" xr:uid="{00000000-0005-0000-0000-0000AA570000}"/>
    <cellStyle name="40% - Accent5 10 2 2" xfId="13227" xr:uid="{00000000-0005-0000-0000-0000AB570000}"/>
    <cellStyle name="40% - Accent5 10 2 2 2" xfId="27761" xr:uid="{00000000-0005-0000-0000-0000AC570000}"/>
    <cellStyle name="40% - Accent5 10 2 2 2 2" xfId="56767" xr:uid="{00000000-0005-0000-0000-0000AD570000}"/>
    <cellStyle name="40% - Accent5 10 2 2 3" xfId="42268" xr:uid="{00000000-0005-0000-0000-0000AE570000}"/>
    <cellStyle name="40% - Accent5 10 2 3" xfId="20513" xr:uid="{00000000-0005-0000-0000-0000AF570000}"/>
    <cellStyle name="40% - Accent5 10 2 3 2" xfId="49519" xr:uid="{00000000-0005-0000-0000-0000B0570000}"/>
    <cellStyle name="40% - Accent5 10 2 4" xfId="35020" xr:uid="{00000000-0005-0000-0000-0000B1570000}"/>
    <cellStyle name="40% - Accent5 10 3" xfId="10123" xr:uid="{00000000-0005-0000-0000-0000B2570000}"/>
    <cellStyle name="40% - Accent5 10 3 2" xfId="24657" xr:uid="{00000000-0005-0000-0000-0000B3570000}"/>
    <cellStyle name="40% - Accent5 10 3 2 2" xfId="53663" xr:uid="{00000000-0005-0000-0000-0000B4570000}"/>
    <cellStyle name="40% - Accent5 10 3 3" xfId="39164" xr:uid="{00000000-0005-0000-0000-0000B5570000}"/>
    <cellStyle name="40% - Accent5 10 4" xfId="17409" xr:uid="{00000000-0005-0000-0000-0000B6570000}"/>
    <cellStyle name="40% - Accent5 10 4 2" xfId="46415" xr:uid="{00000000-0005-0000-0000-0000B7570000}"/>
    <cellStyle name="40% - Accent5 10 5" xfId="31916" xr:uid="{00000000-0005-0000-0000-0000B8570000}"/>
    <cellStyle name="40% - Accent5 11" xfId="3883" xr:uid="{00000000-0005-0000-0000-0000B9570000}"/>
    <cellStyle name="40% - Accent5 11 2" xfId="11155" xr:uid="{00000000-0005-0000-0000-0000BA570000}"/>
    <cellStyle name="40% - Accent5 11 2 2" xfId="25689" xr:uid="{00000000-0005-0000-0000-0000BB570000}"/>
    <cellStyle name="40% - Accent5 11 2 2 2" xfId="54695" xr:uid="{00000000-0005-0000-0000-0000BC570000}"/>
    <cellStyle name="40% - Accent5 11 2 3" xfId="40196" xr:uid="{00000000-0005-0000-0000-0000BD570000}"/>
    <cellStyle name="40% - Accent5 11 3" xfId="18441" xr:uid="{00000000-0005-0000-0000-0000BE570000}"/>
    <cellStyle name="40% - Accent5 11 3 2" xfId="47447" xr:uid="{00000000-0005-0000-0000-0000BF570000}"/>
    <cellStyle name="40% - Accent5 11 4" xfId="32948" xr:uid="{00000000-0005-0000-0000-0000C0570000}"/>
    <cellStyle name="40% - Accent5 12" xfId="6987" xr:uid="{00000000-0005-0000-0000-0000C1570000}"/>
    <cellStyle name="40% - Accent5 12 2" xfId="14259" xr:uid="{00000000-0005-0000-0000-0000C2570000}"/>
    <cellStyle name="40% - Accent5 12 2 2" xfId="28793" xr:uid="{00000000-0005-0000-0000-0000C3570000}"/>
    <cellStyle name="40% - Accent5 12 2 2 2" xfId="57799" xr:uid="{00000000-0005-0000-0000-0000C4570000}"/>
    <cellStyle name="40% - Accent5 12 2 3" xfId="43300" xr:uid="{00000000-0005-0000-0000-0000C5570000}"/>
    <cellStyle name="40% - Accent5 12 3" xfId="21545" xr:uid="{00000000-0005-0000-0000-0000C6570000}"/>
    <cellStyle name="40% - Accent5 12 3 2" xfId="50551" xr:uid="{00000000-0005-0000-0000-0000C7570000}"/>
    <cellStyle name="40% - Accent5 12 4" xfId="36052" xr:uid="{00000000-0005-0000-0000-0000C8570000}"/>
    <cellStyle name="40% - Accent5 13" xfId="8051" xr:uid="{00000000-0005-0000-0000-0000C9570000}"/>
    <cellStyle name="40% - Accent5 13 2" xfId="22585" xr:uid="{00000000-0005-0000-0000-0000CA570000}"/>
    <cellStyle name="40% - Accent5 13 2 2" xfId="51591" xr:uid="{00000000-0005-0000-0000-0000CB570000}"/>
    <cellStyle name="40% - Accent5 13 3" xfId="37092" xr:uid="{00000000-0005-0000-0000-0000CC570000}"/>
    <cellStyle name="40% - Accent5 14" xfId="15331" xr:uid="{00000000-0005-0000-0000-0000CD570000}"/>
    <cellStyle name="40% - Accent5 14 2" xfId="44337" xr:uid="{00000000-0005-0000-0000-0000CE570000}"/>
    <cellStyle name="40% - Accent5 15" xfId="29837" xr:uid="{00000000-0005-0000-0000-0000CF570000}"/>
    <cellStyle name="40% - Accent5 16" xfId="524" xr:uid="{00000000-0005-0000-0000-0000D0570000}"/>
    <cellStyle name="40% - Accent5 17" xfId="58836" xr:uid="{00000000-0005-0000-0000-0000D1570000}"/>
    <cellStyle name="40% - Accent5 2" xfId="272" xr:uid="{00000000-0005-0000-0000-0000D2570000}"/>
    <cellStyle name="40% - Accent5 2 2" xfId="399" xr:uid="{00000000-0005-0000-0000-0000D3570000}"/>
    <cellStyle name="40% - Accent5 3" xfId="849" xr:uid="{00000000-0005-0000-0000-0000D4570000}"/>
    <cellStyle name="40% - Accent5 3 10" xfId="7011" xr:uid="{00000000-0005-0000-0000-0000D5570000}"/>
    <cellStyle name="40% - Accent5 3 10 2" xfId="14283" xr:uid="{00000000-0005-0000-0000-0000D6570000}"/>
    <cellStyle name="40% - Accent5 3 10 2 2" xfId="28817" xr:uid="{00000000-0005-0000-0000-0000D7570000}"/>
    <cellStyle name="40% - Accent5 3 10 2 2 2" xfId="57823" xr:uid="{00000000-0005-0000-0000-0000D8570000}"/>
    <cellStyle name="40% - Accent5 3 10 2 3" xfId="43324" xr:uid="{00000000-0005-0000-0000-0000D9570000}"/>
    <cellStyle name="40% - Accent5 3 10 3" xfId="21569" xr:uid="{00000000-0005-0000-0000-0000DA570000}"/>
    <cellStyle name="40% - Accent5 3 10 3 2" xfId="50575" xr:uid="{00000000-0005-0000-0000-0000DB570000}"/>
    <cellStyle name="40% - Accent5 3 10 4" xfId="36076" xr:uid="{00000000-0005-0000-0000-0000DC570000}"/>
    <cellStyle name="40% - Accent5 3 11" xfId="8075" xr:uid="{00000000-0005-0000-0000-0000DD570000}"/>
    <cellStyle name="40% - Accent5 3 11 2" xfId="22609" xr:uid="{00000000-0005-0000-0000-0000DE570000}"/>
    <cellStyle name="40% - Accent5 3 11 2 2" xfId="51615" xr:uid="{00000000-0005-0000-0000-0000DF570000}"/>
    <cellStyle name="40% - Accent5 3 11 3" xfId="37116" xr:uid="{00000000-0005-0000-0000-0000E0570000}"/>
    <cellStyle name="40% - Accent5 3 12" xfId="15361" xr:uid="{00000000-0005-0000-0000-0000E1570000}"/>
    <cellStyle name="40% - Accent5 3 12 2" xfId="44367" xr:uid="{00000000-0005-0000-0000-0000E2570000}"/>
    <cellStyle name="40% - Accent5 3 13" xfId="29868" xr:uid="{00000000-0005-0000-0000-0000E3570000}"/>
    <cellStyle name="40% - Accent5 3 2" xfId="892" xr:uid="{00000000-0005-0000-0000-0000E4570000}"/>
    <cellStyle name="40% - Accent5 3 2 10" xfId="8127" xr:uid="{00000000-0005-0000-0000-0000E5570000}"/>
    <cellStyle name="40% - Accent5 3 2 10 2" xfId="22661" xr:uid="{00000000-0005-0000-0000-0000E6570000}"/>
    <cellStyle name="40% - Accent5 3 2 10 2 2" xfId="51667" xr:uid="{00000000-0005-0000-0000-0000E7570000}"/>
    <cellStyle name="40% - Accent5 3 2 10 3" xfId="37168" xr:uid="{00000000-0005-0000-0000-0000E8570000}"/>
    <cellStyle name="40% - Accent5 3 2 11" xfId="15413" xr:uid="{00000000-0005-0000-0000-0000E9570000}"/>
    <cellStyle name="40% - Accent5 3 2 11 2" xfId="44419" xr:uid="{00000000-0005-0000-0000-0000EA570000}"/>
    <cellStyle name="40% - Accent5 3 2 12" xfId="29920" xr:uid="{00000000-0005-0000-0000-0000EB570000}"/>
    <cellStyle name="40% - Accent5 3 2 2" xfId="972" xr:uid="{00000000-0005-0000-0000-0000EC570000}"/>
    <cellStyle name="40% - Accent5 3 2 2 10" xfId="30023" xr:uid="{00000000-0005-0000-0000-0000ED570000}"/>
    <cellStyle name="40% - Accent5 3 2 2 2" xfId="1251" xr:uid="{00000000-0005-0000-0000-0000EE570000}"/>
    <cellStyle name="40% - Accent5 3 2 2 2 2" xfId="1757" xr:uid="{00000000-0005-0000-0000-0000EF570000}"/>
    <cellStyle name="40% - Accent5 3 2 2 2 2 2" xfId="2816" xr:uid="{00000000-0005-0000-0000-0000F0570000}"/>
    <cellStyle name="40% - Accent5 3 2 2 2 2 2 2" xfId="5920" xr:uid="{00000000-0005-0000-0000-0000F1570000}"/>
    <cellStyle name="40% - Accent5 3 2 2 2 2 2 2 2" xfId="13192" xr:uid="{00000000-0005-0000-0000-0000F2570000}"/>
    <cellStyle name="40% - Accent5 3 2 2 2 2 2 2 2 2" xfId="27726" xr:uid="{00000000-0005-0000-0000-0000F3570000}"/>
    <cellStyle name="40% - Accent5 3 2 2 2 2 2 2 2 2 2" xfId="56732" xr:uid="{00000000-0005-0000-0000-0000F4570000}"/>
    <cellStyle name="40% - Accent5 3 2 2 2 2 2 2 2 3" xfId="42233" xr:uid="{00000000-0005-0000-0000-0000F5570000}"/>
    <cellStyle name="40% - Accent5 3 2 2 2 2 2 2 3" xfId="20478" xr:uid="{00000000-0005-0000-0000-0000F6570000}"/>
    <cellStyle name="40% - Accent5 3 2 2 2 2 2 2 3 2" xfId="49484" xr:uid="{00000000-0005-0000-0000-0000F7570000}"/>
    <cellStyle name="40% - Accent5 3 2 2 2 2 2 2 4" xfId="34985" xr:uid="{00000000-0005-0000-0000-0000F8570000}"/>
    <cellStyle name="40% - Accent5 3 2 2 2 2 2 3" xfId="10088" xr:uid="{00000000-0005-0000-0000-0000F9570000}"/>
    <cellStyle name="40% - Accent5 3 2 2 2 2 2 3 2" xfId="24622" xr:uid="{00000000-0005-0000-0000-0000FA570000}"/>
    <cellStyle name="40% - Accent5 3 2 2 2 2 2 3 2 2" xfId="53628" xr:uid="{00000000-0005-0000-0000-0000FB570000}"/>
    <cellStyle name="40% - Accent5 3 2 2 2 2 2 3 3" xfId="39129" xr:uid="{00000000-0005-0000-0000-0000FC570000}"/>
    <cellStyle name="40% - Accent5 3 2 2 2 2 2 4" xfId="17374" xr:uid="{00000000-0005-0000-0000-0000FD570000}"/>
    <cellStyle name="40% - Accent5 3 2 2 2 2 2 4 2" xfId="46380" xr:uid="{00000000-0005-0000-0000-0000FE570000}"/>
    <cellStyle name="40% - Accent5 3 2 2 2 2 2 5" xfId="31881" xr:uid="{00000000-0005-0000-0000-0000FF570000}"/>
    <cellStyle name="40% - Accent5 3 2 2 2 2 3" xfId="3848" xr:uid="{00000000-0005-0000-0000-000000580000}"/>
    <cellStyle name="40% - Accent5 3 2 2 2 2 3 2" xfId="6952" xr:uid="{00000000-0005-0000-0000-000001580000}"/>
    <cellStyle name="40% - Accent5 3 2 2 2 2 3 2 2" xfId="14224" xr:uid="{00000000-0005-0000-0000-000002580000}"/>
    <cellStyle name="40% - Accent5 3 2 2 2 2 3 2 2 2" xfId="28758" xr:uid="{00000000-0005-0000-0000-000003580000}"/>
    <cellStyle name="40% - Accent5 3 2 2 2 2 3 2 2 2 2" xfId="57764" xr:uid="{00000000-0005-0000-0000-000004580000}"/>
    <cellStyle name="40% - Accent5 3 2 2 2 2 3 2 2 3" xfId="43265" xr:uid="{00000000-0005-0000-0000-000005580000}"/>
    <cellStyle name="40% - Accent5 3 2 2 2 2 3 2 3" xfId="21510" xr:uid="{00000000-0005-0000-0000-000006580000}"/>
    <cellStyle name="40% - Accent5 3 2 2 2 2 3 2 3 2" xfId="50516" xr:uid="{00000000-0005-0000-0000-000007580000}"/>
    <cellStyle name="40% - Accent5 3 2 2 2 2 3 2 4" xfId="36017" xr:uid="{00000000-0005-0000-0000-000008580000}"/>
    <cellStyle name="40% - Accent5 3 2 2 2 2 3 3" xfId="11120" xr:uid="{00000000-0005-0000-0000-000009580000}"/>
    <cellStyle name="40% - Accent5 3 2 2 2 2 3 3 2" xfId="25654" xr:uid="{00000000-0005-0000-0000-00000A580000}"/>
    <cellStyle name="40% - Accent5 3 2 2 2 2 3 3 2 2" xfId="54660" xr:uid="{00000000-0005-0000-0000-00000B580000}"/>
    <cellStyle name="40% - Accent5 3 2 2 2 2 3 3 3" xfId="40161" xr:uid="{00000000-0005-0000-0000-00000C580000}"/>
    <cellStyle name="40% - Accent5 3 2 2 2 2 3 4" xfId="18406" xr:uid="{00000000-0005-0000-0000-00000D580000}"/>
    <cellStyle name="40% - Accent5 3 2 2 2 2 3 4 2" xfId="47412" xr:uid="{00000000-0005-0000-0000-00000E580000}"/>
    <cellStyle name="40% - Accent5 3 2 2 2 2 3 5" xfId="32913" xr:uid="{00000000-0005-0000-0000-00000F580000}"/>
    <cellStyle name="40% - Accent5 3 2 2 2 2 4" xfId="4880" xr:uid="{00000000-0005-0000-0000-000010580000}"/>
    <cellStyle name="40% - Accent5 3 2 2 2 2 4 2" xfId="12152" xr:uid="{00000000-0005-0000-0000-000011580000}"/>
    <cellStyle name="40% - Accent5 3 2 2 2 2 4 2 2" xfId="26686" xr:uid="{00000000-0005-0000-0000-000012580000}"/>
    <cellStyle name="40% - Accent5 3 2 2 2 2 4 2 2 2" xfId="55692" xr:uid="{00000000-0005-0000-0000-000013580000}"/>
    <cellStyle name="40% - Accent5 3 2 2 2 2 4 2 3" xfId="41193" xr:uid="{00000000-0005-0000-0000-000014580000}"/>
    <cellStyle name="40% - Accent5 3 2 2 2 2 4 3" xfId="19438" xr:uid="{00000000-0005-0000-0000-000015580000}"/>
    <cellStyle name="40% - Accent5 3 2 2 2 2 4 3 2" xfId="48444" xr:uid="{00000000-0005-0000-0000-000016580000}"/>
    <cellStyle name="40% - Accent5 3 2 2 2 2 4 4" xfId="33945" xr:uid="{00000000-0005-0000-0000-000017580000}"/>
    <cellStyle name="40% - Accent5 3 2 2 2 2 5" xfId="7984" xr:uid="{00000000-0005-0000-0000-000018580000}"/>
    <cellStyle name="40% - Accent5 3 2 2 2 2 5 2" xfId="15256" xr:uid="{00000000-0005-0000-0000-000019580000}"/>
    <cellStyle name="40% - Accent5 3 2 2 2 2 5 2 2" xfId="29790" xr:uid="{00000000-0005-0000-0000-00001A580000}"/>
    <cellStyle name="40% - Accent5 3 2 2 2 2 5 2 2 2" xfId="58796" xr:uid="{00000000-0005-0000-0000-00001B580000}"/>
    <cellStyle name="40% - Accent5 3 2 2 2 2 5 2 3" xfId="44297" xr:uid="{00000000-0005-0000-0000-00001C580000}"/>
    <cellStyle name="40% - Accent5 3 2 2 2 2 5 3" xfId="22542" xr:uid="{00000000-0005-0000-0000-00001D580000}"/>
    <cellStyle name="40% - Accent5 3 2 2 2 2 5 3 2" xfId="51548" xr:uid="{00000000-0005-0000-0000-00001E580000}"/>
    <cellStyle name="40% - Accent5 3 2 2 2 2 5 4" xfId="37049" xr:uid="{00000000-0005-0000-0000-00001F580000}"/>
    <cellStyle name="40% - Accent5 3 2 2 2 2 6" xfId="9048" xr:uid="{00000000-0005-0000-0000-000020580000}"/>
    <cellStyle name="40% - Accent5 3 2 2 2 2 6 2" xfId="23582" xr:uid="{00000000-0005-0000-0000-000021580000}"/>
    <cellStyle name="40% - Accent5 3 2 2 2 2 6 2 2" xfId="52588" xr:uid="{00000000-0005-0000-0000-000022580000}"/>
    <cellStyle name="40% - Accent5 3 2 2 2 2 6 3" xfId="38089" xr:uid="{00000000-0005-0000-0000-000023580000}"/>
    <cellStyle name="40% - Accent5 3 2 2 2 2 7" xfId="16334" xr:uid="{00000000-0005-0000-0000-000024580000}"/>
    <cellStyle name="40% - Accent5 3 2 2 2 2 7 2" xfId="45340" xr:uid="{00000000-0005-0000-0000-000025580000}"/>
    <cellStyle name="40% - Accent5 3 2 2 2 2 8" xfId="30841" xr:uid="{00000000-0005-0000-0000-000026580000}"/>
    <cellStyle name="40% - Accent5 3 2 2 2 3" xfId="2304" xr:uid="{00000000-0005-0000-0000-000027580000}"/>
    <cellStyle name="40% - Accent5 3 2 2 2 3 2" xfId="5408" xr:uid="{00000000-0005-0000-0000-000028580000}"/>
    <cellStyle name="40% - Accent5 3 2 2 2 3 2 2" xfId="12680" xr:uid="{00000000-0005-0000-0000-000029580000}"/>
    <cellStyle name="40% - Accent5 3 2 2 2 3 2 2 2" xfId="27214" xr:uid="{00000000-0005-0000-0000-00002A580000}"/>
    <cellStyle name="40% - Accent5 3 2 2 2 3 2 2 2 2" xfId="56220" xr:uid="{00000000-0005-0000-0000-00002B580000}"/>
    <cellStyle name="40% - Accent5 3 2 2 2 3 2 2 3" xfId="41721" xr:uid="{00000000-0005-0000-0000-00002C580000}"/>
    <cellStyle name="40% - Accent5 3 2 2 2 3 2 3" xfId="19966" xr:uid="{00000000-0005-0000-0000-00002D580000}"/>
    <cellStyle name="40% - Accent5 3 2 2 2 3 2 3 2" xfId="48972" xr:uid="{00000000-0005-0000-0000-00002E580000}"/>
    <cellStyle name="40% - Accent5 3 2 2 2 3 2 4" xfId="34473" xr:uid="{00000000-0005-0000-0000-00002F580000}"/>
    <cellStyle name="40% - Accent5 3 2 2 2 3 3" xfId="9576" xr:uid="{00000000-0005-0000-0000-000030580000}"/>
    <cellStyle name="40% - Accent5 3 2 2 2 3 3 2" xfId="24110" xr:uid="{00000000-0005-0000-0000-000031580000}"/>
    <cellStyle name="40% - Accent5 3 2 2 2 3 3 2 2" xfId="53116" xr:uid="{00000000-0005-0000-0000-000032580000}"/>
    <cellStyle name="40% - Accent5 3 2 2 2 3 3 3" xfId="38617" xr:uid="{00000000-0005-0000-0000-000033580000}"/>
    <cellStyle name="40% - Accent5 3 2 2 2 3 4" xfId="16862" xr:uid="{00000000-0005-0000-0000-000034580000}"/>
    <cellStyle name="40% - Accent5 3 2 2 2 3 4 2" xfId="45868" xr:uid="{00000000-0005-0000-0000-000035580000}"/>
    <cellStyle name="40% - Accent5 3 2 2 2 3 5" xfId="31369" xr:uid="{00000000-0005-0000-0000-000036580000}"/>
    <cellStyle name="40% - Accent5 3 2 2 2 4" xfId="3336" xr:uid="{00000000-0005-0000-0000-000037580000}"/>
    <cellStyle name="40% - Accent5 3 2 2 2 4 2" xfId="6440" xr:uid="{00000000-0005-0000-0000-000038580000}"/>
    <cellStyle name="40% - Accent5 3 2 2 2 4 2 2" xfId="13712" xr:uid="{00000000-0005-0000-0000-000039580000}"/>
    <cellStyle name="40% - Accent5 3 2 2 2 4 2 2 2" xfId="28246" xr:uid="{00000000-0005-0000-0000-00003A580000}"/>
    <cellStyle name="40% - Accent5 3 2 2 2 4 2 2 2 2" xfId="57252" xr:uid="{00000000-0005-0000-0000-00003B580000}"/>
    <cellStyle name="40% - Accent5 3 2 2 2 4 2 2 3" xfId="42753" xr:uid="{00000000-0005-0000-0000-00003C580000}"/>
    <cellStyle name="40% - Accent5 3 2 2 2 4 2 3" xfId="20998" xr:uid="{00000000-0005-0000-0000-00003D580000}"/>
    <cellStyle name="40% - Accent5 3 2 2 2 4 2 3 2" xfId="50004" xr:uid="{00000000-0005-0000-0000-00003E580000}"/>
    <cellStyle name="40% - Accent5 3 2 2 2 4 2 4" xfId="35505" xr:uid="{00000000-0005-0000-0000-00003F580000}"/>
    <cellStyle name="40% - Accent5 3 2 2 2 4 3" xfId="10608" xr:uid="{00000000-0005-0000-0000-000040580000}"/>
    <cellStyle name="40% - Accent5 3 2 2 2 4 3 2" xfId="25142" xr:uid="{00000000-0005-0000-0000-000041580000}"/>
    <cellStyle name="40% - Accent5 3 2 2 2 4 3 2 2" xfId="54148" xr:uid="{00000000-0005-0000-0000-000042580000}"/>
    <cellStyle name="40% - Accent5 3 2 2 2 4 3 3" xfId="39649" xr:uid="{00000000-0005-0000-0000-000043580000}"/>
    <cellStyle name="40% - Accent5 3 2 2 2 4 4" xfId="17894" xr:uid="{00000000-0005-0000-0000-000044580000}"/>
    <cellStyle name="40% - Accent5 3 2 2 2 4 4 2" xfId="46900" xr:uid="{00000000-0005-0000-0000-000045580000}"/>
    <cellStyle name="40% - Accent5 3 2 2 2 4 5" xfId="32401" xr:uid="{00000000-0005-0000-0000-000046580000}"/>
    <cellStyle name="40% - Accent5 3 2 2 2 5" xfId="4368" xr:uid="{00000000-0005-0000-0000-000047580000}"/>
    <cellStyle name="40% - Accent5 3 2 2 2 5 2" xfId="11640" xr:uid="{00000000-0005-0000-0000-000048580000}"/>
    <cellStyle name="40% - Accent5 3 2 2 2 5 2 2" xfId="26174" xr:uid="{00000000-0005-0000-0000-000049580000}"/>
    <cellStyle name="40% - Accent5 3 2 2 2 5 2 2 2" xfId="55180" xr:uid="{00000000-0005-0000-0000-00004A580000}"/>
    <cellStyle name="40% - Accent5 3 2 2 2 5 2 3" xfId="40681" xr:uid="{00000000-0005-0000-0000-00004B580000}"/>
    <cellStyle name="40% - Accent5 3 2 2 2 5 3" xfId="18926" xr:uid="{00000000-0005-0000-0000-00004C580000}"/>
    <cellStyle name="40% - Accent5 3 2 2 2 5 3 2" xfId="47932" xr:uid="{00000000-0005-0000-0000-00004D580000}"/>
    <cellStyle name="40% - Accent5 3 2 2 2 5 4" xfId="33433" xr:uid="{00000000-0005-0000-0000-00004E580000}"/>
    <cellStyle name="40% - Accent5 3 2 2 2 6" xfId="7472" xr:uid="{00000000-0005-0000-0000-00004F580000}"/>
    <cellStyle name="40% - Accent5 3 2 2 2 6 2" xfId="14744" xr:uid="{00000000-0005-0000-0000-000050580000}"/>
    <cellStyle name="40% - Accent5 3 2 2 2 6 2 2" xfId="29278" xr:uid="{00000000-0005-0000-0000-000051580000}"/>
    <cellStyle name="40% - Accent5 3 2 2 2 6 2 2 2" xfId="58284" xr:uid="{00000000-0005-0000-0000-000052580000}"/>
    <cellStyle name="40% - Accent5 3 2 2 2 6 2 3" xfId="43785" xr:uid="{00000000-0005-0000-0000-000053580000}"/>
    <cellStyle name="40% - Accent5 3 2 2 2 6 3" xfId="22030" xr:uid="{00000000-0005-0000-0000-000054580000}"/>
    <cellStyle name="40% - Accent5 3 2 2 2 6 3 2" xfId="51036" xr:uid="{00000000-0005-0000-0000-000055580000}"/>
    <cellStyle name="40% - Accent5 3 2 2 2 6 4" xfId="36537" xr:uid="{00000000-0005-0000-0000-000056580000}"/>
    <cellStyle name="40% - Accent5 3 2 2 2 7" xfId="8536" xr:uid="{00000000-0005-0000-0000-000057580000}"/>
    <cellStyle name="40% - Accent5 3 2 2 2 7 2" xfId="23070" xr:uid="{00000000-0005-0000-0000-000058580000}"/>
    <cellStyle name="40% - Accent5 3 2 2 2 7 2 2" xfId="52076" xr:uid="{00000000-0005-0000-0000-000059580000}"/>
    <cellStyle name="40% - Accent5 3 2 2 2 7 3" xfId="37577" xr:uid="{00000000-0005-0000-0000-00005A580000}"/>
    <cellStyle name="40% - Accent5 3 2 2 2 8" xfId="15822" xr:uid="{00000000-0005-0000-0000-00005B580000}"/>
    <cellStyle name="40% - Accent5 3 2 2 2 8 2" xfId="44828" xr:uid="{00000000-0005-0000-0000-00005C580000}"/>
    <cellStyle name="40% - Accent5 3 2 2 2 9" xfId="30329" xr:uid="{00000000-0005-0000-0000-00005D580000}"/>
    <cellStyle name="40% - Accent5 3 2 2 3" xfId="1452" xr:uid="{00000000-0005-0000-0000-00005E580000}"/>
    <cellStyle name="40% - Accent5 3 2 2 3 2" xfId="2510" xr:uid="{00000000-0005-0000-0000-00005F580000}"/>
    <cellStyle name="40% - Accent5 3 2 2 3 2 2" xfId="5614" xr:uid="{00000000-0005-0000-0000-000060580000}"/>
    <cellStyle name="40% - Accent5 3 2 2 3 2 2 2" xfId="12886" xr:uid="{00000000-0005-0000-0000-000061580000}"/>
    <cellStyle name="40% - Accent5 3 2 2 3 2 2 2 2" xfId="27420" xr:uid="{00000000-0005-0000-0000-000062580000}"/>
    <cellStyle name="40% - Accent5 3 2 2 3 2 2 2 2 2" xfId="56426" xr:uid="{00000000-0005-0000-0000-000063580000}"/>
    <cellStyle name="40% - Accent5 3 2 2 3 2 2 2 3" xfId="41927" xr:uid="{00000000-0005-0000-0000-000064580000}"/>
    <cellStyle name="40% - Accent5 3 2 2 3 2 2 3" xfId="20172" xr:uid="{00000000-0005-0000-0000-000065580000}"/>
    <cellStyle name="40% - Accent5 3 2 2 3 2 2 3 2" xfId="49178" xr:uid="{00000000-0005-0000-0000-000066580000}"/>
    <cellStyle name="40% - Accent5 3 2 2 3 2 2 4" xfId="34679" xr:uid="{00000000-0005-0000-0000-000067580000}"/>
    <cellStyle name="40% - Accent5 3 2 2 3 2 3" xfId="9782" xr:uid="{00000000-0005-0000-0000-000068580000}"/>
    <cellStyle name="40% - Accent5 3 2 2 3 2 3 2" xfId="24316" xr:uid="{00000000-0005-0000-0000-000069580000}"/>
    <cellStyle name="40% - Accent5 3 2 2 3 2 3 2 2" xfId="53322" xr:uid="{00000000-0005-0000-0000-00006A580000}"/>
    <cellStyle name="40% - Accent5 3 2 2 3 2 3 3" xfId="38823" xr:uid="{00000000-0005-0000-0000-00006B580000}"/>
    <cellStyle name="40% - Accent5 3 2 2 3 2 4" xfId="17068" xr:uid="{00000000-0005-0000-0000-00006C580000}"/>
    <cellStyle name="40% - Accent5 3 2 2 3 2 4 2" xfId="46074" xr:uid="{00000000-0005-0000-0000-00006D580000}"/>
    <cellStyle name="40% - Accent5 3 2 2 3 2 5" xfId="31575" xr:uid="{00000000-0005-0000-0000-00006E580000}"/>
    <cellStyle name="40% - Accent5 3 2 2 3 3" xfId="3542" xr:uid="{00000000-0005-0000-0000-00006F580000}"/>
    <cellStyle name="40% - Accent5 3 2 2 3 3 2" xfId="6646" xr:uid="{00000000-0005-0000-0000-000070580000}"/>
    <cellStyle name="40% - Accent5 3 2 2 3 3 2 2" xfId="13918" xr:uid="{00000000-0005-0000-0000-000071580000}"/>
    <cellStyle name="40% - Accent5 3 2 2 3 3 2 2 2" xfId="28452" xr:uid="{00000000-0005-0000-0000-000072580000}"/>
    <cellStyle name="40% - Accent5 3 2 2 3 3 2 2 2 2" xfId="57458" xr:uid="{00000000-0005-0000-0000-000073580000}"/>
    <cellStyle name="40% - Accent5 3 2 2 3 3 2 2 3" xfId="42959" xr:uid="{00000000-0005-0000-0000-000074580000}"/>
    <cellStyle name="40% - Accent5 3 2 2 3 3 2 3" xfId="21204" xr:uid="{00000000-0005-0000-0000-000075580000}"/>
    <cellStyle name="40% - Accent5 3 2 2 3 3 2 3 2" xfId="50210" xr:uid="{00000000-0005-0000-0000-000076580000}"/>
    <cellStyle name="40% - Accent5 3 2 2 3 3 2 4" xfId="35711" xr:uid="{00000000-0005-0000-0000-000077580000}"/>
    <cellStyle name="40% - Accent5 3 2 2 3 3 3" xfId="10814" xr:uid="{00000000-0005-0000-0000-000078580000}"/>
    <cellStyle name="40% - Accent5 3 2 2 3 3 3 2" xfId="25348" xr:uid="{00000000-0005-0000-0000-000079580000}"/>
    <cellStyle name="40% - Accent5 3 2 2 3 3 3 2 2" xfId="54354" xr:uid="{00000000-0005-0000-0000-00007A580000}"/>
    <cellStyle name="40% - Accent5 3 2 2 3 3 3 3" xfId="39855" xr:uid="{00000000-0005-0000-0000-00007B580000}"/>
    <cellStyle name="40% - Accent5 3 2 2 3 3 4" xfId="18100" xr:uid="{00000000-0005-0000-0000-00007C580000}"/>
    <cellStyle name="40% - Accent5 3 2 2 3 3 4 2" xfId="47106" xr:uid="{00000000-0005-0000-0000-00007D580000}"/>
    <cellStyle name="40% - Accent5 3 2 2 3 3 5" xfId="32607" xr:uid="{00000000-0005-0000-0000-00007E580000}"/>
    <cellStyle name="40% - Accent5 3 2 2 3 4" xfId="4574" xr:uid="{00000000-0005-0000-0000-00007F580000}"/>
    <cellStyle name="40% - Accent5 3 2 2 3 4 2" xfId="11846" xr:uid="{00000000-0005-0000-0000-000080580000}"/>
    <cellStyle name="40% - Accent5 3 2 2 3 4 2 2" xfId="26380" xr:uid="{00000000-0005-0000-0000-000081580000}"/>
    <cellStyle name="40% - Accent5 3 2 2 3 4 2 2 2" xfId="55386" xr:uid="{00000000-0005-0000-0000-000082580000}"/>
    <cellStyle name="40% - Accent5 3 2 2 3 4 2 3" xfId="40887" xr:uid="{00000000-0005-0000-0000-000083580000}"/>
    <cellStyle name="40% - Accent5 3 2 2 3 4 3" xfId="19132" xr:uid="{00000000-0005-0000-0000-000084580000}"/>
    <cellStyle name="40% - Accent5 3 2 2 3 4 3 2" xfId="48138" xr:uid="{00000000-0005-0000-0000-000085580000}"/>
    <cellStyle name="40% - Accent5 3 2 2 3 4 4" xfId="33639" xr:uid="{00000000-0005-0000-0000-000086580000}"/>
    <cellStyle name="40% - Accent5 3 2 2 3 5" xfId="7678" xr:uid="{00000000-0005-0000-0000-000087580000}"/>
    <cellStyle name="40% - Accent5 3 2 2 3 5 2" xfId="14950" xr:uid="{00000000-0005-0000-0000-000088580000}"/>
    <cellStyle name="40% - Accent5 3 2 2 3 5 2 2" xfId="29484" xr:uid="{00000000-0005-0000-0000-000089580000}"/>
    <cellStyle name="40% - Accent5 3 2 2 3 5 2 2 2" xfId="58490" xr:uid="{00000000-0005-0000-0000-00008A580000}"/>
    <cellStyle name="40% - Accent5 3 2 2 3 5 2 3" xfId="43991" xr:uid="{00000000-0005-0000-0000-00008B580000}"/>
    <cellStyle name="40% - Accent5 3 2 2 3 5 3" xfId="22236" xr:uid="{00000000-0005-0000-0000-00008C580000}"/>
    <cellStyle name="40% - Accent5 3 2 2 3 5 3 2" xfId="51242" xr:uid="{00000000-0005-0000-0000-00008D580000}"/>
    <cellStyle name="40% - Accent5 3 2 2 3 5 4" xfId="36743" xr:uid="{00000000-0005-0000-0000-00008E580000}"/>
    <cellStyle name="40% - Accent5 3 2 2 3 6" xfId="8742" xr:uid="{00000000-0005-0000-0000-00008F580000}"/>
    <cellStyle name="40% - Accent5 3 2 2 3 6 2" xfId="23276" xr:uid="{00000000-0005-0000-0000-000090580000}"/>
    <cellStyle name="40% - Accent5 3 2 2 3 6 2 2" xfId="52282" xr:uid="{00000000-0005-0000-0000-000091580000}"/>
    <cellStyle name="40% - Accent5 3 2 2 3 6 3" xfId="37783" xr:uid="{00000000-0005-0000-0000-000092580000}"/>
    <cellStyle name="40% - Accent5 3 2 2 3 7" xfId="16028" xr:uid="{00000000-0005-0000-0000-000093580000}"/>
    <cellStyle name="40% - Accent5 3 2 2 3 7 2" xfId="45034" xr:uid="{00000000-0005-0000-0000-000094580000}"/>
    <cellStyle name="40% - Accent5 3 2 2 3 8" xfId="30535" xr:uid="{00000000-0005-0000-0000-000095580000}"/>
    <cellStyle name="40% - Accent5 3 2 2 4" xfId="1998" xr:uid="{00000000-0005-0000-0000-000096580000}"/>
    <cellStyle name="40% - Accent5 3 2 2 4 2" xfId="5102" xr:uid="{00000000-0005-0000-0000-000097580000}"/>
    <cellStyle name="40% - Accent5 3 2 2 4 2 2" xfId="12374" xr:uid="{00000000-0005-0000-0000-000098580000}"/>
    <cellStyle name="40% - Accent5 3 2 2 4 2 2 2" xfId="26908" xr:uid="{00000000-0005-0000-0000-000099580000}"/>
    <cellStyle name="40% - Accent5 3 2 2 4 2 2 2 2" xfId="55914" xr:uid="{00000000-0005-0000-0000-00009A580000}"/>
    <cellStyle name="40% - Accent5 3 2 2 4 2 2 3" xfId="41415" xr:uid="{00000000-0005-0000-0000-00009B580000}"/>
    <cellStyle name="40% - Accent5 3 2 2 4 2 3" xfId="19660" xr:uid="{00000000-0005-0000-0000-00009C580000}"/>
    <cellStyle name="40% - Accent5 3 2 2 4 2 3 2" xfId="48666" xr:uid="{00000000-0005-0000-0000-00009D580000}"/>
    <cellStyle name="40% - Accent5 3 2 2 4 2 4" xfId="34167" xr:uid="{00000000-0005-0000-0000-00009E580000}"/>
    <cellStyle name="40% - Accent5 3 2 2 4 3" xfId="9270" xr:uid="{00000000-0005-0000-0000-00009F580000}"/>
    <cellStyle name="40% - Accent5 3 2 2 4 3 2" xfId="23804" xr:uid="{00000000-0005-0000-0000-0000A0580000}"/>
    <cellStyle name="40% - Accent5 3 2 2 4 3 2 2" xfId="52810" xr:uid="{00000000-0005-0000-0000-0000A1580000}"/>
    <cellStyle name="40% - Accent5 3 2 2 4 3 3" xfId="38311" xr:uid="{00000000-0005-0000-0000-0000A2580000}"/>
    <cellStyle name="40% - Accent5 3 2 2 4 4" xfId="16556" xr:uid="{00000000-0005-0000-0000-0000A3580000}"/>
    <cellStyle name="40% - Accent5 3 2 2 4 4 2" xfId="45562" xr:uid="{00000000-0005-0000-0000-0000A4580000}"/>
    <cellStyle name="40% - Accent5 3 2 2 4 5" xfId="31063" xr:uid="{00000000-0005-0000-0000-0000A5580000}"/>
    <cellStyle name="40% - Accent5 3 2 2 5" xfId="3030" xr:uid="{00000000-0005-0000-0000-0000A6580000}"/>
    <cellStyle name="40% - Accent5 3 2 2 5 2" xfId="6134" xr:uid="{00000000-0005-0000-0000-0000A7580000}"/>
    <cellStyle name="40% - Accent5 3 2 2 5 2 2" xfId="13406" xr:uid="{00000000-0005-0000-0000-0000A8580000}"/>
    <cellStyle name="40% - Accent5 3 2 2 5 2 2 2" xfId="27940" xr:uid="{00000000-0005-0000-0000-0000A9580000}"/>
    <cellStyle name="40% - Accent5 3 2 2 5 2 2 2 2" xfId="56946" xr:uid="{00000000-0005-0000-0000-0000AA580000}"/>
    <cellStyle name="40% - Accent5 3 2 2 5 2 2 3" xfId="42447" xr:uid="{00000000-0005-0000-0000-0000AB580000}"/>
    <cellStyle name="40% - Accent5 3 2 2 5 2 3" xfId="20692" xr:uid="{00000000-0005-0000-0000-0000AC580000}"/>
    <cellStyle name="40% - Accent5 3 2 2 5 2 3 2" xfId="49698" xr:uid="{00000000-0005-0000-0000-0000AD580000}"/>
    <cellStyle name="40% - Accent5 3 2 2 5 2 4" xfId="35199" xr:uid="{00000000-0005-0000-0000-0000AE580000}"/>
    <cellStyle name="40% - Accent5 3 2 2 5 3" xfId="10302" xr:uid="{00000000-0005-0000-0000-0000AF580000}"/>
    <cellStyle name="40% - Accent5 3 2 2 5 3 2" xfId="24836" xr:uid="{00000000-0005-0000-0000-0000B0580000}"/>
    <cellStyle name="40% - Accent5 3 2 2 5 3 2 2" xfId="53842" xr:uid="{00000000-0005-0000-0000-0000B1580000}"/>
    <cellStyle name="40% - Accent5 3 2 2 5 3 3" xfId="39343" xr:uid="{00000000-0005-0000-0000-0000B2580000}"/>
    <cellStyle name="40% - Accent5 3 2 2 5 4" xfId="17588" xr:uid="{00000000-0005-0000-0000-0000B3580000}"/>
    <cellStyle name="40% - Accent5 3 2 2 5 4 2" xfId="46594" xr:uid="{00000000-0005-0000-0000-0000B4580000}"/>
    <cellStyle name="40% - Accent5 3 2 2 5 5" xfId="32095" xr:uid="{00000000-0005-0000-0000-0000B5580000}"/>
    <cellStyle name="40% - Accent5 3 2 2 6" xfId="4062" xr:uid="{00000000-0005-0000-0000-0000B6580000}"/>
    <cellStyle name="40% - Accent5 3 2 2 6 2" xfId="11334" xr:uid="{00000000-0005-0000-0000-0000B7580000}"/>
    <cellStyle name="40% - Accent5 3 2 2 6 2 2" xfId="25868" xr:uid="{00000000-0005-0000-0000-0000B8580000}"/>
    <cellStyle name="40% - Accent5 3 2 2 6 2 2 2" xfId="54874" xr:uid="{00000000-0005-0000-0000-0000B9580000}"/>
    <cellStyle name="40% - Accent5 3 2 2 6 2 3" xfId="40375" xr:uid="{00000000-0005-0000-0000-0000BA580000}"/>
    <cellStyle name="40% - Accent5 3 2 2 6 3" xfId="18620" xr:uid="{00000000-0005-0000-0000-0000BB580000}"/>
    <cellStyle name="40% - Accent5 3 2 2 6 3 2" xfId="47626" xr:uid="{00000000-0005-0000-0000-0000BC580000}"/>
    <cellStyle name="40% - Accent5 3 2 2 6 4" xfId="33127" xr:uid="{00000000-0005-0000-0000-0000BD580000}"/>
    <cellStyle name="40% - Accent5 3 2 2 7" xfId="7166" xr:uid="{00000000-0005-0000-0000-0000BE580000}"/>
    <cellStyle name="40% - Accent5 3 2 2 7 2" xfId="14438" xr:uid="{00000000-0005-0000-0000-0000BF580000}"/>
    <cellStyle name="40% - Accent5 3 2 2 7 2 2" xfId="28972" xr:uid="{00000000-0005-0000-0000-0000C0580000}"/>
    <cellStyle name="40% - Accent5 3 2 2 7 2 2 2" xfId="57978" xr:uid="{00000000-0005-0000-0000-0000C1580000}"/>
    <cellStyle name="40% - Accent5 3 2 2 7 2 3" xfId="43479" xr:uid="{00000000-0005-0000-0000-0000C2580000}"/>
    <cellStyle name="40% - Accent5 3 2 2 7 3" xfId="21724" xr:uid="{00000000-0005-0000-0000-0000C3580000}"/>
    <cellStyle name="40% - Accent5 3 2 2 7 3 2" xfId="50730" xr:uid="{00000000-0005-0000-0000-0000C4580000}"/>
    <cellStyle name="40% - Accent5 3 2 2 7 4" xfId="36231" xr:uid="{00000000-0005-0000-0000-0000C5580000}"/>
    <cellStyle name="40% - Accent5 3 2 2 8" xfId="8230" xr:uid="{00000000-0005-0000-0000-0000C6580000}"/>
    <cellStyle name="40% - Accent5 3 2 2 8 2" xfId="22764" xr:uid="{00000000-0005-0000-0000-0000C7580000}"/>
    <cellStyle name="40% - Accent5 3 2 2 8 2 2" xfId="51770" xr:uid="{00000000-0005-0000-0000-0000C8580000}"/>
    <cellStyle name="40% - Accent5 3 2 2 8 3" xfId="37271" xr:uid="{00000000-0005-0000-0000-0000C9580000}"/>
    <cellStyle name="40% - Accent5 3 2 2 9" xfId="15516" xr:uid="{00000000-0005-0000-0000-0000CA580000}"/>
    <cellStyle name="40% - Accent5 3 2 2 9 2" xfId="44522" xr:uid="{00000000-0005-0000-0000-0000CB580000}"/>
    <cellStyle name="40% - Accent5 3 2 3" xfId="1155" xr:uid="{00000000-0005-0000-0000-0000CC580000}"/>
    <cellStyle name="40% - Accent5 3 2 3 2" xfId="1654" xr:uid="{00000000-0005-0000-0000-0000CD580000}"/>
    <cellStyle name="40% - Accent5 3 2 3 2 2" xfId="2713" xr:uid="{00000000-0005-0000-0000-0000CE580000}"/>
    <cellStyle name="40% - Accent5 3 2 3 2 2 2" xfId="5817" xr:uid="{00000000-0005-0000-0000-0000CF580000}"/>
    <cellStyle name="40% - Accent5 3 2 3 2 2 2 2" xfId="13089" xr:uid="{00000000-0005-0000-0000-0000D0580000}"/>
    <cellStyle name="40% - Accent5 3 2 3 2 2 2 2 2" xfId="27623" xr:uid="{00000000-0005-0000-0000-0000D1580000}"/>
    <cellStyle name="40% - Accent5 3 2 3 2 2 2 2 2 2" xfId="56629" xr:uid="{00000000-0005-0000-0000-0000D2580000}"/>
    <cellStyle name="40% - Accent5 3 2 3 2 2 2 2 3" xfId="42130" xr:uid="{00000000-0005-0000-0000-0000D3580000}"/>
    <cellStyle name="40% - Accent5 3 2 3 2 2 2 3" xfId="20375" xr:uid="{00000000-0005-0000-0000-0000D4580000}"/>
    <cellStyle name="40% - Accent5 3 2 3 2 2 2 3 2" xfId="49381" xr:uid="{00000000-0005-0000-0000-0000D5580000}"/>
    <cellStyle name="40% - Accent5 3 2 3 2 2 2 4" xfId="34882" xr:uid="{00000000-0005-0000-0000-0000D6580000}"/>
    <cellStyle name="40% - Accent5 3 2 3 2 2 3" xfId="9985" xr:uid="{00000000-0005-0000-0000-0000D7580000}"/>
    <cellStyle name="40% - Accent5 3 2 3 2 2 3 2" xfId="24519" xr:uid="{00000000-0005-0000-0000-0000D8580000}"/>
    <cellStyle name="40% - Accent5 3 2 3 2 2 3 2 2" xfId="53525" xr:uid="{00000000-0005-0000-0000-0000D9580000}"/>
    <cellStyle name="40% - Accent5 3 2 3 2 2 3 3" xfId="39026" xr:uid="{00000000-0005-0000-0000-0000DA580000}"/>
    <cellStyle name="40% - Accent5 3 2 3 2 2 4" xfId="17271" xr:uid="{00000000-0005-0000-0000-0000DB580000}"/>
    <cellStyle name="40% - Accent5 3 2 3 2 2 4 2" xfId="46277" xr:uid="{00000000-0005-0000-0000-0000DC580000}"/>
    <cellStyle name="40% - Accent5 3 2 3 2 2 5" xfId="31778" xr:uid="{00000000-0005-0000-0000-0000DD580000}"/>
    <cellStyle name="40% - Accent5 3 2 3 2 3" xfId="3745" xr:uid="{00000000-0005-0000-0000-0000DE580000}"/>
    <cellStyle name="40% - Accent5 3 2 3 2 3 2" xfId="6849" xr:uid="{00000000-0005-0000-0000-0000DF580000}"/>
    <cellStyle name="40% - Accent5 3 2 3 2 3 2 2" xfId="14121" xr:uid="{00000000-0005-0000-0000-0000E0580000}"/>
    <cellStyle name="40% - Accent5 3 2 3 2 3 2 2 2" xfId="28655" xr:uid="{00000000-0005-0000-0000-0000E1580000}"/>
    <cellStyle name="40% - Accent5 3 2 3 2 3 2 2 2 2" xfId="57661" xr:uid="{00000000-0005-0000-0000-0000E2580000}"/>
    <cellStyle name="40% - Accent5 3 2 3 2 3 2 2 3" xfId="43162" xr:uid="{00000000-0005-0000-0000-0000E3580000}"/>
    <cellStyle name="40% - Accent5 3 2 3 2 3 2 3" xfId="21407" xr:uid="{00000000-0005-0000-0000-0000E4580000}"/>
    <cellStyle name="40% - Accent5 3 2 3 2 3 2 3 2" xfId="50413" xr:uid="{00000000-0005-0000-0000-0000E5580000}"/>
    <cellStyle name="40% - Accent5 3 2 3 2 3 2 4" xfId="35914" xr:uid="{00000000-0005-0000-0000-0000E6580000}"/>
    <cellStyle name="40% - Accent5 3 2 3 2 3 3" xfId="11017" xr:uid="{00000000-0005-0000-0000-0000E7580000}"/>
    <cellStyle name="40% - Accent5 3 2 3 2 3 3 2" xfId="25551" xr:uid="{00000000-0005-0000-0000-0000E8580000}"/>
    <cellStyle name="40% - Accent5 3 2 3 2 3 3 2 2" xfId="54557" xr:uid="{00000000-0005-0000-0000-0000E9580000}"/>
    <cellStyle name="40% - Accent5 3 2 3 2 3 3 3" xfId="40058" xr:uid="{00000000-0005-0000-0000-0000EA580000}"/>
    <cellStyle name="40% - Accent5 3 2 3 2 3 4" xfId="18303" xr:uid="{00000000-0005-0000-0000-0000EB580000}"/>
    <cellStyle name="40% - Accent5 3 2 3 2 3 4 2" xfId="47309" xr:uid="{00000000-0005-0000-0000-0000EC580000}"/>
    <cellStyle name="40% - Accent5 3 2 3 2 3 5" xfId="32810" xr:uid="{00000000-0005-0000-0000-0000ED580000}"/>
    <cellStyle name="40% - Accent5 3 2 3 2 4" xfId="4777" xr:uid="{00000000-0005-0000-0000-0000EE580000}"/>
    <cellStyle name="40% - Accent5 3 2 3 2 4 2" xfId="12049" xr:uid="{00000000-0005-0000-0000-0000EF580000}"/>
    <cellStyle name="40% - Accent5 3 2 3 2 4 2 2" xfId="26583" xr:uid="{00000000-0005-0000-0000-0000F0580000}"/>
    <cellStyle name="40% - Accent5 3 2 3 2 4 2 2 2" xfId="55589" xr:uid="{00000000-0005-0000-0000-0000F1580000}"/>
    <cellStyle name="40% - Accent5 3 2 3 2 4 2 3" xfId="41090" xr:uid="{00000000-0005-0000-0000-0000F2580000}"/>
    <cellStyle name="40% - Accent5 3 2 3 2 4 3" xfId="19335" xr:uid="{00000000-0005-0000-0000-0000F3580000}"/>
    <cellStyle name="40% - Accent5 3 2 3 2 4 3 2" xfId="48341" xr:uid="{00000000-0005-0000-0000-0000F4580000}"/>
    <cellStyle name="40% - Accent5 3 2 3 2 4 4" xfId="33842" xr:uid="{00000000-0005-0000-0000-0000F5580000}"/>
    <cellStyle name="40% - Accent5 3 2 3 2 5" xfId="7881" xr:uid="{00000000-0005-0000-0000-0000F6580000}"/>
    <cellStyle name="40% - Accent5 3 2 3 2 5 2" xfId="15153" xr:uid="{00000000-0005-0000-0000-0000F7580000}"/>
    <cellStyle name="40% - Accent5 3 2 3 2 5 2 2" xfId="29687" xr:uid="{00000000-0005-0000-0000-0000F8580000}"/>
    <cellStyle name="40% - Accent5 3 2 3 2 5 2 2 2" xfId="58693" xr:uid="{00000000-0005-0000-0000-0000F9580000}"/>
    <cellStyle name="40% - Accent5 3 2 3 2 5 2 3" xfId="44194" xr:uid="{00000000-0005-0000-0000-0000FA580000}"/>
    <cellStyle name="40% - Accent5 3 2 3 2 5 3" xfId="22439" xr:uid="{00000000-0005-0000-0000-0000FB580000}"/>
    <cellStyle name="40% - Accent5 3 2 3 2 5 3 2" xfId="51445" xr:uid="{00000000-0005-0000-0000-0000FC580000}"/>
    <cellStyle name="40% - Accent5 3 2 3 2 5 4" xfId="36946" xr:uid="{00000000-0005-0000-0000-0000FD580000}"/>
    <cellStyle name="40% - Accent5 3 2 3 2 6" xfId="8945" xr:uid="{00000000-0005-0000-0000-0000FE580000}"/>
    <cellStyle name="40% - Accent5 3 2 3 2 6 2" xfId="23479" xr:uid="{00000000-0005-0000-0000-0000FF580000}"/>
    <cellStyle name="40% - Accent5 3 2 3 2 6 2 2" xfId="52485" xr:uid="{00000000-0005-0000-0000-000000590000}"/>
    <cellStyle name="40% - Accent5 3 2 3 2 6 3" xfId="37986" xr:uid="{00000000-0005-0000-0000-000001590000}"/>
    <cellStyle name="40% - Accent5 3 2 3 2 7" xfId="16231" xr:uid="{00000000-0005-0000-0000-000002590000}"/>
    <cellStyle name="40% - Accent5 3 2 3 2 7 2" xfId="45237" xr:uid="{00000000-0005-0000-0000-000003590000}"/>
    <cellStyle name="40% - Accent5 3 2 3 2 8" xfId="30738" xr:uid="{00000000-0005-0000-0000-000004590000}"/>
    <cellStyle name="40% - Accent5 3 2 3 3" xfId="2201" xr:uid="{00000000-0005-0000-0000-000005590000}"/>
    <cellStyle name="40% - Accent5 3 2 3 3 2" xfId="5305" xr:uid="{00000000-0005-0000-0000-000006590000}"/>
    <cellStyle name="40% - Accent5 3 2 3 3 2 2" xfId="12577" xr:uid="{00000000-0005-0000-0000-000007590000}"/>
    <cellStyle name="40% - Accent5 3 2 3 3 2 2 2" xfId="27111" xr:uid="{00000000-0005-0000-0000-000008590000}"/>
    <cellStyle name="40% - Accent5 3 2 3 3 2 2 2 2" xfId="56117" xr:uid="{00000000-0005-0000-0000-000009590000}"/>
    <cellStyle name="40% - Accent5 3 2 3 3 2 2 3" xfId="41618" xr:uid="{00000000-0005-0000-0000-00000A590000}"/>
    <cellStyle name="40% - Accent5 3 2 3 3 2 3" xfId="19863" xr:uid="{00000000-0005-0000-0000-00000B590000}"/>
    <cellStyle name="40% - Accent5 3 2 3 3 2 3 2" xfId="48869" xr:uid="{00000000-0005-0000-0000-00000C590000}"/>
    <cellStyle name="40% - Accent5 3 2 3 3 2 4" xfId="34370" xr:uid="{00000000-0005-0000-0000-00000D590000}"/>
    <cellStyle name="40% - Accent5 3 2 3 3 3" xfId="9473" xr:uid="{00000000-0005-0000-0000-00000E590000}"/>
    <cellStyle name="40% - Accent5 3 2 3 3 3 2" xfId="24007" xr:uid="{00000000-0005-0000-0000-00000F590000}"/>
    <cellStyle name="40% - Accent5 3 2 3 3 3 2 2" xfId="53013" xr:uid="{00000000-0005-0000-0000-000010590000}"/>
    <cellStyle name="40% - Accent5 3 2 3 3 3 3" xfId="38514" xr:uid="{00000000-0005-0000-0000-000011590000}"/>
    <cellStyle name="40% - Accent5 3 2 3 3 4" xfId="16759" xr:uid="{00000000-0005-0000-0000-000012590000}"/>
    <cellStyle name="40% - Accent5 3 2 3 3 4 2" xfId="45765" xr:uid="{00000000-0005-0000-0000-000013590000}"/>
    <cellStyle name="40% - Accent5 3 2 3 3 5" xfId="31266" xr:uid="{00000000-0005-0000-0000-000014590000}"/>
    <cellStyle name="40% - Accent5 3 2 3 4" xfId="3233" xr:uid="{00000000-0005-0000-0000-000015590000}"/>
    <cellStyle name="40% - Accent5 3 2 3 4 2" xfId="6337" xr:uid="{00000000-0005-0000-0000-000016590000}"/>
    <cellStyle name="40% - Accent5 3 2 3 4 2 2" xfId="13609" xr:uid="{00000000-0005-0000-0000-000017590000}"/>
    <cellStyle name="40% - Accent5 3 2 3 4 2 2 2" xfId="28143" xr:uid="{00000000-0005-0000-0000-000018590000}"/>
    <cellStyle name="40% - Accent5 3 2 3 4 2 2 2 2" xfId="57149" xr:uid="{00000000-0005-0000-0000-000019590000}"/>
    <cellStyle name="40% - Accent5 3 2 3 4 2 2 3" xfId="42650" xr:uid="{00000000-0005-0000-0000-00001A590000}"/>
    <cellStyle name="40% - Accent5 3 2 3 4 2 3" xfId="20895" xr:uid="{00000000-0005-0000-0000-00001B590000}"/>
    <cellStyle name="40% - Accent5 3 2 3 4 2 3 2" xfId="49901" xr:uid="{00000000-0005-0000-0000-00001C590000}"/>
    <cellStyle name="40% - Accent5 3 2 3 4 2 4" xfId="35402" xr:uid="{00000000-0005-0000-0000-00001D590000}"/>
    <cellStyle name="40% - Accent5 3 2 3 4 3" xfId="10505" xr:uid="{00000000-0005-0000-0000-00001E590000}"/>
    <cellStyle name="40% - Accent5 3 2 3 4 3 2" xfId="25039" xr:uid="{00000000-0005-0000-0000-00001F590000}"/>
    <cellStyle name="40% - Accent5 3 2 3 4 3 2 2" xfId="54045" xr:uid="{00000000-0005-0000-0000-000020590000}"/>
    <cellStyle name="40% - Accent5 3 2 3 4 3 3" xfId="39546" xr:uid="{00000000-0005-0000-0000-000021590000}"/>
    <cellStyle name="40% - Accent5 3 2 3 4 4" xfId="17791" xr:uid="{00000000-0005-0000-0000-000022590000}"/>
    <cellStyle name="40% - Accent5 3 2 3 4 4 2" xfId="46797" xr:uid="{00000000-0005-0000-0000-000023590000}"/>
    <cellStyle name="40% - Accent5 3 2 3 4 5" xfId="32298" xr:uid="{00000000-0005-0000-0000-000024590000}"/>
    <cellStyle name="40% - Accent5 3 2 3 5" xfId="4265" xr:uid="{00000000-0005-0000-0000-000025590000}"/>
    <cellStyle name="40% - Accent5 3 2 3 5 2" xfId="11537" xr:uid="{00000000-0005-0000-0000-000026590000}"/>
    <cellStyle name="40% - Accent5 3 2 3 5 2 2" xfId="26071" xr:uid="{00000000-0005-0000-0000-000027590000}"/>
    <cellStyle name="40% - Accent5 3 2 3 5 2 2 2" xfId="55077" xr:uid="{00000000-0005-0000-0000-000028590000}"/>
    <cellStyle name="40% - Accent5 3 2 3 5 2 3" xfId="40578" xr:uid="{00000000-0005-0000-0000-000029590000}"/>
    <cellStyle name="40% - Accent5 3 2 3 5 3" xfId="18823" xr:uid="{00000000-0005-0000-0000-00002A590000}"/>
    <cellStyle name="40% - Accent5 3 2 3 5 3 2" xfId="47829" xr:uid="{00000000-0005-0000-0000-00002B590000}"/>
    <cellStyle name="40% - Accent5 3 2 3 5 4" xfId="33330" xr:uid="{00000000-0005-0000-0000-00002C590000}"/>
    <cellStyle name="40% - Accent5 3 2 3 6" xfId="7369" xr:uid="{00000000-0005-0000-0000-00002D590000}"/>
    <cellStyle name="40% - Accent5 3 2 3 6 2" xfId="14641" xr:uid="{00000000-0005-0000-0000-00002E590000}"/>
    <cellStyle name="40% - Accent5 3 2 3 6 2 2" xfId="29175" xr:uid="{00000000-0005-0000-0000-00002F590000}"/>
    <cellStyle name="40% - Accent5 3 2 3 6 2 2 2" xfId="58181" xr:uid="{00000000-0005-0000-0000-000030590000}"/>
    <cellStyle name="40% - Accent5 3 2 3 6 2 3" xfId="43682" xr:uid="{00000000-0005-0000-0000-000031590000}"/>
    <cellStyle name="40% - Accent5 3 2 3 6 3" xfId="21927" xr:uid="{00000000-0005-0000-0000-000032590000}"/>
    <cellStyle name="40% - Accent5 3 2 3 6 3 2" xfId="50933" xr:uid="{00000000-0005-0000-0000-000033590000}"/>
    <cellStyle name="40% - Accent5 3 2 3 6 4" xfId="36434" xr:uid="{00000000-0005-0000-0000-000034590000}"/>
    <cellStyle name="40% - Accent5 3 2 3 7" xfId="8433" xr:uid="{00000000-0005-0000-0000-000035590000}"/>
    <cellStyle name="40% - Accent5 3 2 3 7 2" xfId="22967" xr:uid="{00000000-0005-0000-0000-000036590000}"/>
    <cellStyle name="40% - Accent5 3 2 3 7 2 2" xfId="51973" xr:uid="{00000000-0005-0000-0000-000037590000}"/>
    <cellStyle name="40% - Accent5 3 2 3 7 3" xfId="37474" xr:uid="{00000000-0005-0000-0000-000038590000}"/>
    <cellStyle name="40% - Accent5 3 2 3 8" xfId="15719" xr:uid="{00000000-0005-0000-0000-000039590000}"/>
    <cellStyle name="40% - Accent5 3 2 3 8 2" xfId="44725" xr:uid="{00000000-0005-0000-0000-00003A590000}"/>
    <cellStyle name="40% - Accent5 3 2 3 9" xfId="30226" xr:uid="{00000000-0005-0000-0000-00003B590000}"/>
    <cellStyle name="40% - Accent5 3 2 4" xfId="1064" xr:uid="{00000000-0005-0000-0000-00003C590000}"/>
    <cellStyle name="40% - Accent5 3 2 4 2" xfId="1555" xr:uid="{00000000-0005-0000-0000-00003D590000}"/>
    <cellStyle name="40% - Accent5 3 2 4 2 2" xfId="2613" xr:uid="{00000000-0005-0000-0000-00003E590000}"/>
    <cellStyle name="40% - Accent5 3 2 4 2 2 2" xfId="5717" xr:uid="{00000000-0005-0000-0000-00003F590000}"/>
    <cellStyle name="40% - Accent5 3 2 4 2 2 2 2" xfId="12989" xr:uid="{00000000-0005-0000-0000-000040590000}"/>
    <cellStyle name="40% - Accent5 3 2 4 2 2 2 2 2" xfId="27523" xr:uid="{00000000-0005-0000-0000-000041590000}"/>
    <cellStyle name="40% - Accent5 3 2 4 2 2 2 2 2 2" xfId="56529" xr:uid="{00000000-0005-0000-0000-000042590000}"/>
    <cellStyle name="40% - Accent5 3 2 4 2 2 2 2 3" xfId="42030" xr:uid="{00000000-0005-0000-0000-000043590000}"/>
    <cellStyle name="40% - Accent5 3 2 4 2 2 2 3" xfId="20275" xr:uid="{00000000-0005-0000-0000-000044590000}"/>
    <cellStyle name="40% - Accent5 3 2 4 2 2 2 3 2" xfId="49281" xr:uid="{00000000-0005-0000-0000-000045590000}"/>
    <cellStyle name="40% - Accent5 3 2 4 2 2 2 4" xfId="34782" xr:uid="{00000000-0005-0000-0000-000046590000}"/>
    <cellStyle name="40% - Accent5 3 2 4 2 2 3" xfId="9885" xr:uid="{00000000-0005-0000-0000-000047590000}"/>
    <cellStyle name="40% - Accent5 3 2 4 2 2 3 2" xfId="24419" xr:uid="{00000000-0005-0000-0000-000048590000}"/>
    <cellStyle name="40% - Accent5 3 2 4 2 2 3 2 2" xfId="53425" xr:uid="{00000000-0005-0000-0000-000049590000}"/>
    <cellStyle name="40% - Accent5 3 2 4 2 2 3 3" xfId="38926" xr:uid="{00000000-0005-0000-0000-00004A590000}"/>
    <cellStyle name="40% - Accent5 3 2 4 2 2 4" xfId="17171" xr:uid="{00000000-0005-0000-0000-00004B590000}"/>
    <cellStyle name="40% - Accent5 3 2 4 2 2 4 2" xfId="46177" xr:uid="{00000000-0005-0000-0000-00004C590000}"/>
    <cellStyle name="40% - Accent5 3 2 4 2 2 5" xfId="31678" xr:uid="{00000000-0005-0000-0000-00004D590000}"/>
    <cellStyle name="40% - Accent5 3 2 4 2 3" xfId="3645" xr:uid="{00000000-0005-0000-0000-00004E590000}"/>
    <cellStyle name="40% - Accent5 3 2 4 2 3 2" xfId="6749" xr:uid="{00000000-0005-0000-0000-00004F590000}"/>
    <cellStyle name="40% - Accent5 3 2 4 2 3 2 2" xfId="14021" xr:uid="{00000000-0005-0000-0000-000050590000}"/>
    <cellStyle name="40% - Accent5 3 2 4 2 3 2 2 2" xfId="28555" xr:uid="{00000000-0005-0000-0000-000051590000}"/>
    <cellStyle name="40% - Accent5 3 2 4 2 3 2 2 2 2" xfId="57561" xr:uid="{00000000-0005-0000-0000-000052590000}"/>
    <cellStyle name="40% - Accent5 3 2 4 2 3 2 2 3" xfId="43062" xr:uid="{00000000-0005-0000-0000-000053590000}"/>
    <cellStyle name="40% - Accent5 3 2 4 2 3 2 3" xfId="21307" xr:uid="{00000000-0005-0000-0000-000054590000}"/>
    <cellStyle name="40% - Accent5 3 2 4 2 3 2 3 2" xfId="50313" xr:uid="{00000000-0005-0000-0000-000055590000}"/>
    <cellStyle name="40% - Accent5 3 2 4 2 3 2 4" xfId="35814" xr:uid="{00000000-0005-0000-0000-000056590000}"/>
    <cellStyle name="40% - Accent5 3 2 4 2 3 3" xfId="10917" xr:uid="{00000000-0005-0000-0000-000057590000}"/>
    <cellStyle name="40% - Accent5 3 2 4 2 3 3 2" xfId="25451" xr:uid="{00000000-0005-0000-0000-000058590000}"/>
    <cellStyle name="40% - Accent5 3 2 4 2 3 3 2 2" xfId="54457" xr:uid="{00000000-0005-0000-0000-000059590000}"/>
    <cellStyle name="40% - Accent5 3 2 4 2 3 3 3" xfId="39958" xr:uid="{00000000-0005-0000-0000-00005A590000}"/>
    <cellStyle name="40% - Accent5 3 2 4 2 3 4" xfId="18203" xr:uid="{00000000-0005-0000-0000-00005B590000}"/>
    <cellStyle name="40% - Accent5 3 2 4 2 3 4 2" xfId="47209" xr:uid="{00000000-0005-0000-0000-00005C590000}"/>
    <cellStyle name="40% - Accent5 3 2 4 2 3 5" xfId="32710" xr:uid="{00000000-0005-0000-0000-00005D590000}"/>
    <cellStyle name="40% - Accent5 3 2 4 2 4" xfId="4677" xr:uid="{00000000-0005-0000-0000-00005E590000}"/>
    <cellStyle name="40% - Accent5 3 2 4 2 4 2" xfId="11949" xr:uid="{00000000-0005-0000-0000-00005F590000}"/>
    <cellStyle name="40% - Accent5 3 2 4 2 4 2 2" xfId="26483" xr:uid="{00000000-0005-0000-0000-000060590000}"/>
    <cellStyle name="40% - Accent5 3 2 4 2 4 2 2 2" xfId="55489" xr:uid="{00000000-0005-0000-0000-000061590000}"/>
    <cellStyle name="40% - Accent5 3 2 4 2 4 2 3" xfId="40990" xr:uid="{00000000-0005-0000-0000-000062590000}"/>
    <cellStyle name="40% - Accent5 3 2 4 2 4 3" xfId="19235" xr:uid="{00000000-0005-0000-0000-000063590000}"/>
    <cellStyle name="40% - Accent5 3 2 4 2 4 3 2" xfId="48241" xr:uid="{00000000-0005-0000-0000-000064590000}"/>
    <cellStyle name="40% - Accent5 3 2 4 2 4 4" xfId="33742" xr:uid="{00000000-0005-0000-0000-000065590000}"/>
    <cellStyle name="40% - Accent5 3 2 4 2 5" xfId="7781" xr:uid="{00000000-0005-0000-0000-000066590000}"/>
    <cellStyle name="40% - Accent5 3 2 4 2 5 2" xfId="15053" xr:uid="{00000000-0005-0000-0000-000067590000}"/>
    <cellStyle name="40% - Accent5 3 2 4 2 5 2 2" xfId="29587" xr:uid="{00000000-0005-0000-0000-000068590000}"/>
    <cellStyle name="40% - Accent5 3 2 4 2 5 2 2 2" xfId="58593" xr:uid="{00000000-0005-0000-0000-000069590000}"/>
    <cellStyle name="40% - Accent5 3 2 4 2 5 2 3" xfId="44094" xr:uid="{00000000-0005-0000-0000-00006A590000}"/>
    <cellStyle name="40% - Accent5 3 2 4 2 5 3" xfId="22339" xr:uid="{00000000-0005-0000-0000-00006B590000}"/>
    <cellStyle name="40% - Accent5 3 2 4 2 5 3 2" xfId="51345" xr:uid="{00000000-0005-0000-0000-00006C590000}"/>
    <cellStyle name="40% - Accent5 3 2 4 2 5 4" xfId="36846" xr:uid="{00000000-0005-0000-0000-00006D590000}"/>
    <cellStyle name="40% - Accent5 3 2 4 2 6" xfId="8845" xr:uid="{00000000-0005-0000-0000-00006E590000}"/>
    <cellStyle name="40% - Accent5 3 2 4 2 6 2" xfId="23379" xr:uid="{00000000-0005-0000-0000-00006F590000}"/>
    <cellStyle name="40% - Accent5 3 2 4 2 6 2 2" xfId="52385" xr:uid="{00000000-0005-0000-0000-000070590000}"/>
    <cellStyle name="40% - Accent5 3 2 4 2 6 3" xfId="37886" xr:uid="{00000000-0005-0000-0000-000071590000}"/>
    <cellStyle name="40% - Accent5 3 2 4 2 7" xfId="16131" xr:uid="{00000000-0005-0000-0000-000072590000}"/>
    <cellStyle name="40% - Accent5 3 2 4 2 7 2" xfId="45137" xr:uid="{00000000-0005-0000-0000-000073590000}"/>
    <cellStyle name="40% - Accent5 3 2 4 2 8" xfId="30638" xr:uid="{00000000-0005-0000-0000-000074590000}"/>
    <cellStyle name="40% - Accent5 3 2 4 3" xfId="2101" xr:uid="{00000000-0005-0000-0000-000075590000}"/>
    <cellStyle name="40% - Accent5 3 2 4 3 2" xfId="5205" xr:uid="{00000000-0005-0000-0000-000076590000}"/>
    <cellStyle name="40% - Accent5 3 2 4 3 2 2" xfId="12477" xr:uid="{00000000-0005-0000-0000-000077590000}"/>
    <cellStyle name="40% - Accent5 3 2 4 3 2 2 2" xfId="27011" xr:uid="{00000000-0005-0000-0000-000078590000}"/>
    <cellStyle name="40% - Accent5 3 2 4 3 2 2 2 2" xfId="56017" xr:uid="{00000000-0005-0000-0000-000079590000}"/>
    <cellStyle name="40% - Accent5 3 2 4 3 2 2 3" xfId="41518" xr:uid="{00000000-0005-0000-0000-00007A590000}"/>
    <cellStyle name="40% - Accent5 3 2 4 3 2 3" xfId="19763" xr:uid="{00000000-0005-0000-0000-00007B590000}"/>
    <cellStyle name="40% - Accent5 3 2 4 3 2 3 2" xfId="48769" xr:uid="{00000000-0005-0000-0000-00007C590000}"/>
    <cellStyle name="40% - Accent5 3 2 4 3 2 4" xfId="34270" xr:uid="{00000000-0005-0000-0000-00007D590000}"/>
    <cellStyle name="40% - Accent5 3 2 4 3 3" xfId="9373" xr:uid="{00000000-0005-0000-0000-00007E590000}"/>
    <cellStyle name="40% - Accent5 3 2 4 3 3 2" xfId="23907" xr:uid="{00000000-0005-0000-0000-00007F590000}"/>
    <cellStyle name="40% - Accent5 3 2 4 3 3 2 2" xfId="52913" xr:uid="{00000000-0005-0000-0000-000080590000}"/>
    <cellStyle name="40% - Accent5 3 2 4 3 3 3" xfId="38414" xr:uid="{00000000-0005-0000-0000-000081590000}"/>
    <cellStyle name="40% - Accent5 3 2 4 3 4" xfId="16659" xr:uid="{00000000-0005-0000-0000-000082590000}"/>
    <cellStyle name="40% - Accent5 3 2 4 3 4 2" xfId="45665" xr:uid="{00000000-0005-0000-0000-000083590000}"/>
    <cellStyle name="40% - Accent5 3 2 4 3 5" xfId="31166" xr:uid="{00000000-0005-0000-0000-000084590000}"/>
    <cellStyle name="40% - Accent5 3 2 4 4" xfId="3133" xr:uid="{00000000-0005-0000-0000-000085590000}"/>
    <cellStyle name="40% - Accent5 3 2 4 4 2" xfId="6237" xr:uid="{00000000-0005-0000-0000-000086590000}"/>
    <cellStyle name="40% - Accent5 3 2 4 4 2 2" xfId="13509" xr:uid="{00000000-0005-0000-0000-000087590000}"/>
    <cellStyle name="40% - Accent5 3 2 4 4 2 2 2" xfId="28043" xr:uid="{00000000-0005-0000-0000-000088590000}"/>
    <cellStyle name="40% - Accent5 3 2 4 4 2 2 2 2" xfId="57049" xr:uid="{00000000-0005-0000-0000-000089590000}"/>
    <cellStyle name="40% - Accent5 3 2 4 4 2 2 3" xfId="42550" xr:uid="{00000000-0005-0000-0000-00008A590000}"/>
    <cellStyle name="40% - Accent5 3 2 4 4 2 3" xfId="20795" xr:uid="{00000000-0005-0000-0000-00008B590000}"/>
    <cellStyle name="40% - Accent5 3 2 4 4 2 3 2" xfId="49801" xr:uid="{00000000-0005-0000-0000-00008C590000}"/>
    <cellStyle name="40% - Accent5 3 2 4 4 2 4" xfId="35302" xr:uid="{00000000-0005-0000-0000-00008D590000}"/>
    <cellStyle name="40% - Accent5 3 2 4 4 3" xfId="10405" xr:uid="{00000000-0005-0000-0000-00008E590000}"/>
    <cellStyle name="40% - Accent5 3 2 4 4 3 2" xfId="24939" xr:uid="{00000000-0005-0000-0000-00008F590000}"/>
    <cellStyle name="40% - Accent5 3 2 4 4 3 2 2" xfId="53945" xr:uid="{00000000-0005-0000-0000-000090590000}"/>
    <cellStyle name="40% - Accent5 3 2 4 4 3 3" xfId="39446" xr:uid="{00000000-0005-0000-0000-000091590000}"/>
    <cellStyle name="40% - Accent5 3 2 4 4 4" xfId="17691" xr:uid="{00000000-0005-0000-0000-000092590000}"/>
    <cellStyle name="40% - Accent5 3 2 4 4 4 2" xfId="46697" xr:uid="{00000000-0005-0000-0000-000093590000}"/>
    <cellStyle name="40% - Accent5 3 2 4 4 5" xfId="32198" xr:uid="{00000000-0005-0000-0000-000094590000}"/>
    <cellStyle name="40% - Accent5 3 2 4 5" xfId="4165" xr:uid="{00000000-0005-0000-0000-000095590000}"/>
    <cellStyle name="40% - Accent5 3 2 4 5 2" xfId="11437" xr:uid="{00000000-0005-0000-0000-000096590000}"/>
    <cellStyle name="40% - Accent5 3 2 4 5 2 2" xfId="25971" xr:uid="{00000000-0005-0000-0000-000097590000}"/>
    <cellStyle name="40% - Accent5 3 2 4 5 2 2 2" xfId="54977" xr:uid="{00000000-0005-0000-0000-000098590000}"/>
    <cellStyle name="40% - Accent5 3 2 4 5 2 3" xfId="40478" xr:uid="{00000000-0005-0000-0000-000099590000}"/>
    <cellStyle name="40% - Accent5 3 2 4 5 3" xfId="18723" xr:uid="{00000000-0005-0000-0000-00009A590000}"/>
    <cellStyle name="40% - Accent5 3 2 4 5 3 2" xfId="47729" xr:uid="{00000000-0005-0000-0000-00009B590000}"/>
    <cellStyle name="40% - Accent5 3 2 4 5 4" xfId="33230" xr:uid="{00000000-0005-0000-0000-00009C590000}"/>
    <cellStyle name="40% - Accent5 3 2 4 6" xfId="7269" xr:uid="{00000000-0005-0000-0000-00009D590000}"/>
    <cellStyle name="40% - Accent5 3 2 4 6 2" xfId="14541" xr:uid="{00000000-0005-0000-0000-00009E590000}"/>
    <cellStyle name="40% - Accent5 3 2 4 6 2 2" xfId="29075" xr:uid="{00000000-0005-0000-0000-00009F590000}"/>
    <cellStyle name="40% - Accent5 3 2 4 6 2 2 2" xfId="58081" xr:uid="{00000000-0005-0000-0000-0000A0590000}"/>
    <cellStyle name="40% - Accent5 3 2 4 6 2 3" xfId="43582" xr:uid="{00000000-0005-0000-0000-0000A1590000}"/>
    <cellStyle name="40% - Accent5 3 2 4 6 3" xfId="21827" xr:uid="{00000000-0005-0000-0000-0000A2590000}"/>
    <cellStyle name="40% - Accent5 3 2 4 6 3 2" xfId="50833" xr:uid="{00000000-0005-0000-0000-0000A3590000}"/>
    <cellStyle name="40% - Accent5 3 2 4 6 4" xfId="36334" xr:uid="{00000000-0005-0000-0000-0000A4590000}"/>
    <cellStyle name="40% - Accent5 3 2 4 7" xfId="8333" xr:uid="{00000000-0005-0000-0000-0000A5590000}"/>
    <cellStyle name="40% - Accent5 3 2 4 7 2" xfId="22867" xr:uid="{00000000-0005-0000-0000-0000A6590000}"/>
    <cellStyle name="40% - Accent5 3 2 4 7 2 2" xfId="51873" xr:uid="{00000000-0005-0000-0000-0000A7590000}"/>
    <cellStyle name="40% - Accent5 3 2 4 7 3" xfId="37374" xr:uid="{00000000-0005-0000-0000-0000A8590000}"/>
    <cellStyle name="40% - Accent5 3 2 4 8" xfId="15619" xr:uid="{00000000-0005-0000-0000-0000A9590000}"/>
    <cellStyle name="40% - Accent5 3 2 4 8 2" xfId="44625" xr:uid="{00000000-0005-0000-0000-0000AA590000}"/>
    <cellStyle name="40% - Accent5 3 2 4 9" xfId="30126" xr:uid="{00000000-0005-0000-0000-0000AB590000}"/>
    <cellStyle name="40% - Accent5 3 2 5" xfId="1350" xr:uid="{00000000-0005-0000-0000-0000AC590000}"/>
    <cellStyle name="40% - Accent5 3 2 5 2" xfId="2407" xr:uid="{00000000-0005-0000-0000-0000AD590000}"/>
    <cellStyle name="40% - Accent5 3 2 5 2 2" xfId="5511" xr:uid="{00000000-0005-0000-0000-0000AE590000}"/>
    <cellStyle name="40% - Accent5 3 2 5 2 2 2" xfId="12783" xr:uid="{00000000-0005-0000-0000-0000AF590000}"/>
    <cellStyle name="40% - Accent5 3 2 5 2 2 2 2" xfId="27317" xr:uid="{00000000-0005-0000-0000-0000B0590000}"/>
    <cellStyle name="40% - Accent5 3 2 5 2 2 2 2 2" xfId="56323" xr:uid="{00000000-0005-0000-0000-0000B1590000}"/>
    <cellStyle name="40% - Accent5 3 2 5 2 2 2 3" xfId="41824" xr:uid="{00000000-0005-0000-0000-0000B2590000}"/>
    <cellStyle name="40% - Accent5 3 2 5 2 2 3" xfId="20069" xr:uid="{00000000-0005-0000-0000-0000B3590000}"/>
    <cellStyle name="40% - Accent5 3 2 5 2 2 3 2" xfId="49075" xr:uid="{00000000-0005-0000-0000-0000B4590000}"/>
    <cellStyle name="40% - Accent5 3 2 5 2 2 4" xfId="34576" xr:uid="{00000000-0005-0000-0000-0000B5590000}"/>
    <cellStyle name="40% - Accent5 3 2 5 2 3" xfId="9679" xr:uid="{00000000-0005-0000-0000-0000B6590000}"/>
    <cellStyle name="40% - Accent5 3 2 5 2 3 2" xfId="24213" xr:uid="{00000000-0005-0000-0000-0000B7590000}"/>
    <cellStyle name="40% - Accent5 3 2 5 2 3 2 2" xfId="53219" xr:uid="{00000000-0005-0000-0000-0000B8590000}"/>
    <cellStyle name="40% - Accent5 3 2 5 2 3 3" xfId="38720" xr:uid="{00000000-0005-0000-0000-0000B9590000}"/>
    <cellStyle name="40% - Accent5 3 2 5 2 4" xfId="16965" xr:uid="{00000000-0005-0000-0000-0000BA590000}"/>
    <cellStyle name="40% - Accent5 3 2 5 2 4 2" xfId="45971" xr:uid="{00000000-0005-0000-0000-0000BB590000}"/>
    <cellStyle name="40% - Accent5 3 2 5 2 5" xfId="31472" xr:uid="{00000000-0005-0000-0000-0000BC590000}"/>
    <cellStyle name="40% - Accent5 3 2 5 3" xfId="3439" xr:uid="{00000000-0005-0000-0000-0000BD590000}"/>
    <cellStyle name="40% - Accent5 3 2 5 3 2" xfId="6543" xr:uid="{00000000-0005-0000-0000-0000BE590000}"/>
    <cellStyle name="40% - Accent5 3 2 5 3 2 2" xfId="13815" xr:uid="{00000000-0005-0000-0000-0000BF590000}"/>
    <cellStyle name="40% - Accent5 3 2 5 3 2 2 2" xfId="28349" xr:uid="{00000000-0005-0000-0000-0000C0590000}"/>
    <cellStyle name="40% - Accent5 3 2 5 3 2 2 2 2" xfId="57355" xr:uid="{00000000-0005-0000-0000-0000C1590000}"/>
    <cellStyle name="40% - Accent5 3 2 5 3 2 2 3" xfId="42856" xr:uid="{00000000-0005-0000-0000-0000C2590000}"/>
    <cellStyle name="40% - Accent5 3 2 5 3 2 3" xfId="21101" xr:uid="{00000000-0005-0000-0000-0000C3590000}"/>
    <cellStyle name="40% - Accent5 3 2 5 3 2 3 2" xfId="50107" xr:uid="{00000000-0005-0000-0000-0000C4590000}"/>
    <cellStyle name="40% - Accent5 3 2 5 3 2 4" xfId="35608" xr:uid="{00000000-0005-0000-0000-0000C5590000}"/>
    <cellStyle name="40% - Accent5 3 2 5 3 3" xfId="10711" xr:uid="{00000000-0005-0000-0000-0000C6590000}"/>
    <cellStyle name="40% - Accent5 3 2 5 3 3 2" xfId="25245" xr:uid="{00000000-0005-0000-0000-0000C7590000}"/>
    <cellStyle name="40% - Accent5 3 2 5 3 3 2 2" xfId="54251" xr:uid="{00000000-0005-0000-0000-0000C8590000}"/>
    <cellStyle name="40% - Accent5 3 2 5 3 3 3" xfId="39752" xr:uid="{00000000-0005-0000-0000-0000C9590000}"/>
    <cellStyle name="40% - Accent5 3 2 5 3 4" xfId="17997" xr:uid="{00000000-0005-0000-0000-0000CA590000}"/>
    <cellStyle name="40% - Accent5 3 2 5 3 4 2" xfId="47003" xr:uid="{00000000-0005-0000-0000-0000CB590000}"/>
    <cellStyle name="40% - Accent5 3 2 5 3 5" xfId="32504" xr:uid="{00000000-0005-0000-0000-0000CC590000}"/>
    <cellStyle name="40% - Accent5 3 2 5 4" xfId="4471" xr:uid="{00000000-0005-0000-0000-0000CD590000}"/>
    <cellStyle name="40% - Accent5 3 2 5 4 2" xfId="11743" xr:uid="{00000000-0005-0000-0000-0000CE590000}"/>
    <cellStyle name="40% - Accent5 3 2 5 4 2 2" xfId="26277" xr:uid="{00000000-0005-0000-0000-0000CF590000}"/>
    <cellStyle name="40% - Accent5 3 2 5 4 2 2 2" xfId="55283" xr:uid="{00000000-0005-0000-0000-0000D0590000}"/>
    <cellStyle name="40% - Accent5 3 2 5 4 2 3" xfId="40784" xr:uid="{00000000-0005-0000-0000-0000D1590000}"/>
    <cellStyle name="40% - Accent5 3 2 5 4 3" xfId="19029" xr:uid="{00000000-0005-0000-0000-0000D2590000}"/>
    <cellStyle name="40% - Accent5 3 2 5 4 3 2" xfId="48035" xr:uid="{00000000-0005-0000-0000-0000D3590000}"/>
    <cellStyle name="40% - Accent5 3 2 5 4 4" xfId="33536" xr:uid="{00000000-0005-0000-0000-0000D4590000}"/>
    <cellStyle name="40% - Accent5 3 2 5 5" xfId="7575" xr:uid="{00000000-0005-0000-0000-0000D5590000}"/>
    <cellStyle name="40% - Accent5 3 2 5 5 2" xfId="14847" xr:uid="{00000000-0005-0000-0000-0000D6590000}"/>
    <cellStyle name="40% - Accent5 3 2 5 5 2 2" xfId="29381" xr:uid="{00000000-0005-0000-0000-0000D7590000}"/>
    <cellStyle name="40% - Accent5 3 2 5 5 2 2 2" xfId="58387" xr:uid="{00000000-0005-0000-0000-0000D8590000}"/>
    <cellStyle name="40% - Accent5 3 2 5 5 2 3" xfId="43888" xr:uid="{00000000-0005-0000-0000-0000D9590000}"/>
    <cellStyle name="40% - Accent5 3 2 5 5 3" xfId="22133" xr:uid="{00000000-0005-0000-0000-0000DA590000}"/>
    <cellStyle name="40% - Accent5 3 2 5 5 3 2" xfId="51139" xr:uid="{00000000-0005-0000-0000-0000DB590000}"/>
    <cellStyle name="40% - Accent5 3 2 5 5 4" xfId="36640" xr:uid="{00000000-0005-0000-0000-0000DC590000}"/>
    <cellStyle name="40% - Accent5 3 2 5 6" xfId="8639" xr:uid="{00000000-0005-0000-0000-0000DD590000}"/>
    <cellStyle name="40% - Accent5 3 2 5 6 2" xfId="23173" xr:uid="{00000000-0005-0000-0000-0000DE590000}"/>
    <cellStyle name="40% - Accent5 3 2 5 6 2 2" xfId="52179" xr:uid="{00000000-0005-0000-0000-0000DF590000}"/>
    <cellStyle name="40% - Accent5 3 2 5 6 3" xfId="37680" xr:uid="{00000000-0005-0000-0000-0000E0590000}"/>
    <cellStyle name="40% - Accent5 3 2 5 7" xfId="15925" xr:uid="{00000000-0005-0000-0000-0000E1590000}"/>
    <cellStyle name="40% - Accent5 3 2 5 7 2" xfId="44931" xr:uid="{00000000-0005-0000-0000-0000E2590000}"/>
    <cellStyle name="40% - Accent5 3 2 5 8" xfId="30432" xr:uid="{00000000-0005-0000-0000-0000E3590000}"/>
    <cellStyle name="40% - Accent5 3 2 6" xfId="1895" xr:uid="{00000000-0005-0000-0000-0000E4590000}"/>
    <cellStyle name="40% - Accent5 3 2 6 2" xfId="4999" xr:uid="{00000000-0005-0000-0000-0000E5590000}"/>
    <cellStyle name="40% - Accent5 3 2 6 2 2" xfId="12271" xr:uid="{00000000-0005-0000-0000-0000E6590000}"/>
    <cellStyle name="40% - Accent5 3 2 6 2 2 2" xfId="26805" xr:uid="{00000000-0005-0000-0000-0000E7590000}"/>
    <cellStyle name="40% - Accent5 3 2 6 2 2 2 2" xfId="55811" xr:uid="{00000000-0005-0000-0000-0000E8590000}"/>
    <cellStyle name="40% - Accent5 3 2 6 2 2 3" xfId="41312" xr:uid="{00000000-0005-0000-0000-0000E9590000}"/>
    <cellStyle name="40% - Accent5 3 2 6 2 3" xfId="19557" xr:uid="{00000000-0005-0000-0000-0000EA590000}"/>
    <cellStyle name="40% - Accent5 3 2 6 2 3 2" xfId="48563" xr:uid="{00000000-0005-0000-0000-0000EB590000}"/>
    <cellStyle name="40% - Accent5 3 2 6 2 4" xfId="34064" xr:uid="{00000000-0005-0000-0000-0000EC590000}"/>
    <cellStyle name="40% - Accent5 3 2 6 3" xfId="9167" xr:uid="{00000000-0005-0000-0000-0000ED590000}"/>
    <cellStyle name="40% - Accent5 3 2 6 3 2" xfId="23701" xr:uid="{00000000-0005-0000-0000-0000EE590000}"/>
    <cellStyle name="40% - Accent5 3 2 6 3 2 2" xfId="52707" xr:uid="{00000000-0005-0000-0000-0000EF590000}"/>
    <cellStyle name="40% - Accent5 3 2 6 3 3" xfId="38208" xr:uid="{00000000-0005-0000-0000-0000F0590000}"/>
    <cellStyle name="40% - Accent5 3 2 6 4" xfId="16453" xr:uid="{00000000-0005-0000-0000-0000F1590000}"/>
    <cellStyle name="40% - Accent5 3 2 6 4 2" xfId="45459" xr:uid="{00000000-0005-0000-0000-0000F2590000}"/>
    <cellStyle name="40% - Accent5 3 2 6 5" xfId="30960" xr:uid="{00000000-0005-0000-0000-0000F3590000}"/>
    <cellStyle name="40% - Accent5 3 2 7" xfId="2927" xr:uid="{00000000-0005-0000-0000-0000F4590000}"/>
    <cellStyle name="40% - Accent5 3 2 7 2" xfId="6031" xr:uid="{00000000-0005-0000-0000-0000F5590000}"/>
    <cellStyle name="40% - Accent5 3 2 7 2 2" xfId="13303" xr:uid="{00000000-0005-0000-0000-0000F6590000}"/>
    <cellStyle name="40% - Accent5 3 2 7 2 2 2" xfId="27837" xr:uid="{00000000-0005-0000-0000-0000F7590000}"/>
    <cellStyle name="40% - Accent5 3 2 7 2 2 2 2" xfId="56843" xr:uid="{00000000-0005-0000-0000-0000F8590000}"/>
    <cellStyle name="40% - Accent5 3 2 7 2 2 3" xfId="42344" xr:uid="{00000000-0005-0000-0000-0000F9590000}"/>
    <cellStyle name="40% - Accent5 3 2 7 2 3" xfId="20589" xr:uid="{00000000-0005-0000-0000-0000FA590000}"/>
    <cellStyle name="40% - Accent5 3 2 7 2 3 2" xfId="49595" xr:uid="{00000000-0005-0000-0000-0000FB590000}"/>
    <cellStyle name="40% - Accent5 3 2 7 2 4" xfId="35096" xr:uid="{00000000-0005-0000-0000-0000FC590000}"/>
    <cellStyle name="40% - Accent5 3 2 7 3" xfId="10199" xr:uid="{00000000-0005-0000-0000-0000FD590000}"/>
    <cellStyle name="40% - Accent5 3 2 7 3 2" xfId="24733" xr:uid="{00000000-0005-0000-0000-0000FE590000}"/>
    <cellStyle name="40% - Accent5 3 2 7 3 2 2" xfId="53739" xr:uid="{00000000-0005-0000-0000-0000FF590000}"/>
    <cellStyle name="40% - Accent5 3 2 7 3 3" xfId="39240" xr:uid="{00000000-0005-0000-0000-0000005A0000}"/>
    <cellStyle name="40% - Accent5 3 2 7 4" xfId="17485" xr:uid="{00000000-0005-0000-0000-0000015A0000}"/>
    <cellStyle name="40% - Accent5 3 2 7 4 2" xfId="46491" xr:uid="{00000000-0005-0000-0000-0000025A0000}"/>
    <cellStyle name="40% - Accent5 3 2 7 5" xfId="31992" xr:uid="{00000000-0005-0000-0000-0000035A0000}"/>
    <cellStyle name="40% - Accent5 3 2 8" xfId="3959" xr:uid="{00000000-0005-0000-0000-0000045A0000}"/>
    <cellStyle name="40% - Accent5 3 2 8 2" xfId="11231" xr:uid="{00000000-0005-0000-0000-0000055A0000}"/>
    <cellStyle name="40% - Accent5 3 2 8 2 2" xfId="25765" xr:uid="{00000000-0005-0000-0000-0000065A0000}"/>
    <cellStyle name="40% - Accent5 3 2 8 2 2 2" xfId="54771" xr:uid="{00000000-0005-0000-0000-0000075A0000}"/>
    <cellStyle name="40% - Accent5 3 2 8 2 3" xfId="40272" xr:uid="{00000000-0005-0000-0000-0000085A0000}"/>
    <cellStyle name="40% - Accent5 3 2 8 3" xfId="18517" xr:uid="{00000000-0005-0000-0000-0000095A0000}"/>
    <cellStyle name="40% - Accent5 3 2 8 3 2" xfId="47523" xr:uid="{00000000-0005-0000-0000-00000A5A0000}"/>
    <cellStyle name="40% - Accent5 3 2 8 4" xfId="33024" xr:uid="{00000000-0005-0000-0000-00000B5A0000}"/>
    <cellStyle name="40% - Accent5 3 2 9" xfId="7063" xr:uid="{00000000-0005-0000-0000-00000C5A0000}"/>
    <cellStyle name="40% - Accent5 3 2 9 2" xfId="14335" xr:uid="{00000000-0005-0000-0000-00000D5A0000}"/>
    <cellStyle name="40% - Accent5 3 2 9 2 2" xfId="28869" xr:uid="{00000000-0005-0000-0000-00000E5A0000}"/>
    <cellStyle name="40% - Accent5 3 2 9 2 2 2" xfId="57875" xr:uid="{00000000-0005-0000-0000-00000F5A0000}"/>
    <cellStyle name="40% - Accent5 3 2 9 2 3" xfId="43376" xr:uid="{00000000-0005-0000-0000-0000105A0000}"/>
    <cellStyle name="40% - Accent5 3 2 9 3" xfId="21621" xr:uid="{00000000-0005-0000-0000-0000115A0000}"/>
    <cellStyle name="40% - Accent5 3 2 9 3 2" xfId="50627" xr:uid="{00000000-0005-0000-0000-0000125A0000}"/>
    <cellStyle name="40% - Accent5 3 2 9 4" xfId="36128" xr:uid="{00000000-0005-0000-0000-0000135A0000}"/>
    <cellStyle name="40% - Accent5 3 3" xfId="930" xr:uid="{00000000-0005-0000-0000-0000145A0000}"/>
    <cellStyle name="40% - Accent5 3 3 10" xfId="29971" xr:uid="{00000000-0005-0000-0000-0000155A0000}"/>
    <cellStyle name="40% - Accent5 3 3 2" xfId="1202" xr:uid="{00000000-0005-0000-0000-0000165A0000}"/>
    <cellStyle name="40% - Accent5 3 3 2 2" xfId="1705" xr:uid="{00000000-0005-0000-0000-0000175A0000}"/>
    <cellStyle name="40% - Accent5 3 3 2 2 2" xfId="2764" xr:uid="{00000000-0005-0000-0000-0000185A0000}"/>
    <cellStyle name="40% - Accent5 3 3 2 2 2 2" xfId="5868" xr:uid="{00000000-0005-0000-0000-0000195A0000}"/>
    <cellStyle name="40% - Accent5 3 3 2 2 2 2 2" xfId="13140" xr:uid="{00000000-0005-0000-0000-00001A5A0000}"/>
    <cellStyle name="40% - Accent5 3 3 2 2 2 2 2 2" xfId="27674" xr:uid="{00000000-0005-0000-0000-00001B5A0000}"/>
    <cellStyle name="40% - Accent5 3 3 2 2 2 2 2 2 2" xfId="56680" xr:uid="{00000000-0005-0000-0000-00001C5A0000}"/>
    <cellStyle name="40% - Accent5 3 3 2 2 2 2 2 3" xfId="42181" xr:uid="{00000000-0005-0000-0000-00001D5A0000}"/>
    <cellStyle name="40% - Accent5 3 3 2 2 2 2 3" xfId="20426" xr:uid="{00000000-0005-0000-0000-00001E5A0000}"/>
    <cellStyle name="40% - Accent5 3 3 2 2 2 2 3 2" xfId="49432" xr:uid="{00000000-0005-0000-0000-00001F5A0000}"/>
    <cellStyle name="40% - Accent5 3 3 2 2 2 2 4" xfId="34933" xr:uid="{00000000-0005-0000-0000-0000205A0000}"/>
    <cellStyle name="40% - Accent5 3 3 2 2 2 3" xfId="10036" xr:uid="{00000000-0005-0000-0000-0000215A0000}"/>
    <cellStyle name="40% - Accent5 3 3 2 2 2 3 2" xfId="24570" xr:uid="{00000000-0005-0000-0000-0000225A0000}"/>
    <cellStyle name="40% - Accent5 3 3 2 2 2 3 2 2" xfId="53576" xr:uid="{00000000-0005-0000-0000-0000235A0000}"/>
    <cellStyle name="40% - Accent5 3 3 2 2 2 3 3" xfId="39077" xr:uid="{00000000-0005-0000-0000-0000245A0000}"/>
    <cellStyle name="40% - Accent5 3 3 2 2 2 4" xfId="17322" xr:uid="{00000000-0005-0000-0000-0000255A0000}"/>
    <cellStyle name="40% - Accent5 3 3 2 2 2 4 2" xfId="46328" xr:uid="{00000000-0005-0000-0000-0000265A0000}"/>
    <cellStyle name="40% - Accent5 3 3 2 2 2 5" xfId="31829" xr:uid="{00000000-0005-0000-0000-0000275A0000}"/>
    <cellStyle name="40% - Accent5 3 3 2 2 3" xfId="3796" xr:uid="{00000000-0005-0000-0000-0000285A0000}"/>
    <cellStyle name="40% - Accent5 3 3 2 2 3 2" xfId="6900" xr:uid="{00000000-0005-0000-0000-0000295A0000}"/>
    <cellStyle name="40% - Accent5 3 3 2 2 3 2 2" xfId="14172" xr:uid="{00000000-0005-0000-0000-00002A5A0000}"/>
    <cellStyle name="40% - Accent5 3 3 2 2 3 2 2 2" xfId="28706" xr:uid="{00000000-0005-0000-0000-00002B5A0000}"/>
    <cellStyle name="40% - Accent5 3 3 2 2 3 2 2 2 2" xfId="57712" xr:uid="{00000000-0005-0000-0000-00002C5A0000}"/>
    <cellStyle name="40% - Accent5 3 3 2 2 3 2 2 3" xfId="43213" xr:uid="{00000000-0005-0000-0000-00002D5A0000}"/>
    <cellStyle name="40% - Accent5 3 3 2 2 3 2 3" xfId="21458" xr:uid="{00000000-0005-0000-0000-00002E5A0000}"/>
    <cellStyle name="40% - Accent5 3 3 2 2 3 2 3 2" xfId="50464" xr:uid="{00000000-0005-0000-0000-00002F5A0000}"/>
    <cellStyle name="40% - Accent5 3 3 2 2 3 2 4" xfId="35965" xr:uid="{00000000-0005-0000-0000-0000305A0000}"/>
    <cellStyle name="40% - Accent5 3 3 2 2 3 3" xfId="11068" xr:uid="{00000000-0005-0000-0000-0000315A0000}"/>
    <cellStyle name="40% - Accent5 3 3 2 2 3 3 2" xfId="25602" xr:uid="{00000000-0005-0000-0000-0000325A0000}"/>
    <cellStyle name="40% - Accent5 3 3 2 2 3 3 2 2" xfId="54608" xr:uid="{00000000-0005-0000-0000-0000335A0000}"/>
    <cellStyle name="40% - Accent5 3 3 2 2 3 3 3" xfId="40109" xr:uid="{00000000-0005-0000-0000-0000345A0000}"/>
    <cellStyle name="40% - Accent5 3 3 2 2 3 4" xfId="18354" xr:uid="{00000000-0005-0000-0000-0000355A0000}"/>
    <cellStyle name="40% - Accent5 3 3 2 2 3 4 2" xfId="47360" xr:uid="{00000000-0005-0000-0000-0000365A0000}"/>
    <cellStyle name="40% - Accent5 3 3 2 2 3 5" xfId="32861" xr:uid="{00000000-0005-0000-0000-0000375A0000}"/>
    <cellStyle name="40% - Accent5 3 3 2 2 4" xfId="4828" xr:uid="{00000000-0005-0000-0000-0000385A0000}"/>
    <cellStyle name="40% - Accent5 3 3 2 2 4 2" xfId="12100" xr:uid="{00000000-0005-0000-0000-0000395A0000}"/>
    <cellStyle name="40% - Accent5 3 3 2 2 4 2 2" xfId="26634" xr:uid="{00000000-0005-0000-0000-00003A5A0000}"/>
    <cellStyle name="40% - Accent5 3 3 2 2 4 2 2 2" xfId="55640" xr:uid="{00000000-0005-0000-0000-00003B5A0000}"/>
    <cellStyle name="40% - Accent5 3 3 2 2 4 2 3" xfId="41141" xr:uid="{00000000-0005-0000-0000-00003C5A0000}"/>
    <cellStyle name="40% - Accent5 3 3 2 2 4 3" xfId="19386" xr:uid="{00000000-0005-0000-0000-00003D5A0000}"/>
    <cellStyle name="40% - Accent5 3 3 2 2 4 3 2" xfId="48392" xr:uid="{00000000-0005-0000-0000-00003E5A0000}"/>
    <cellStyle name="40% - Accent5 3 3 2 2 4 4" xfId="33893" xr:uid="{00000000-0005-0000-0000-00003F5A0000}"/>
    <cellStyle name="40% - Accent5 3 3 2 2 5" xfId="7932" xr:uid="{00000000-0005-0000-0000-0000405A0000}"/>
    <cellStyle name="40% - Accent5 3 3 2 2 5 2" xfId="15204" xr:uid="{00000000-0005-0000-0000-0000415A0000}"/>
    <cellStyle name="40% - Accent5 3 3 2 2 5 2 2" xfId="29738" xr:uid="{00000000-0005-0000-0000-0000425A0000}"/>
    <cellStyle name="40% - Accent5 3 3 2 2 5 2 2 2" xfId="58744" xr:uid="{00000000-0005-0000-0000-0000435A0000}"/>
    <cellStyle name="40% - Accent5 3 3 2 2 5 2 3" xfId="44245" xr:uid="{00000000-0005-0000-0000-0000445A0000}"/>
    <cellStyle name="40% - Accent5 3 3 2 2 5 3" xfId="22490" xr:uid="{00000000-0005-0000-0000-0000455A0000}"/>
    <cellStyle name="40% - Accent5 3 3 2 2 5 3 2" xfId="51496" xr:uid="{00000000-0005-0000-0000-0000465A0000}"/>
    <cellStyle name="40% - Accent5 3 3 2 2 5 4" xfId="36997" xr:uid="{00000000-0005-0000-0000-0000475A0000}"/>
    <cellStyle name="40% - Accent5 3 3 2 2 6" xfId="8996" xr:uid="{00000000-0005-0000-0000-0000485A0000}"/>
    <cellStyle name="40% - Accent5 3 3 2 2 6 2" xfId="23530" xr:uid="{00000000-0005-0000-0000-0000495A0000}"/>
    <cellStyle name="40% - Accent5 3 3 2 2 6 2 2" xfId="52536" xr:uid="{00000000-0005-0000-0000-00004A5A0000}"/>
    <cellStyle name="40% - Accent5 3 3 2 2 6 3" xfId="38037" xr:uid="{00000000-0005-0000-0000-00004B5A0000}"/>
    <cellStyle name="40% - Accent5 3 3 2 2 7" xfId="16282" xr:uid="{00000000-0005-0000-0000-00004C5A0000}"/>
    <cellStyle name="40% - Accent5 3 3 2 2 7 2" xfId="45288" xr:uid="{00000000-0005-0000-0000-00004D5A0000}"/>
    <cellStyle name="40% - Accent5 3 3 2 2 8" xfId="30789" xr:uid="{00000000-0005-0000-0000-00004E5A0000}"/>
    <cellStyle name="40% - Accent5 3 3 2 3" xfId="2252" xr:uid="{00000000-0005-0000-0000-00004F5A0000}"/>
    <cellStyle name="40% - Accent5 3 3 2 3 2" xfId="5356" xr:uid="{00000000-0005-0000-0000-0000505A0000}"/>
    <cellStyle name="40% - Accent5 3 3 2 3 2 2" xfId="12628" xr:uid="{00000000-0005-0000-0000-0000515A0000}"/>
    <cellStyle name="40% - Accent5 3 3 2 3 2 2 2" xfId="27162" xr:uid="{00000000-0005-0000-0000-0000525A0000}"/>
    <cellStyle name="40% - Accent5 3 3 2 3 2 2 2 2" xfId="56168" xr:uid="{00000000-0005-0000-0000-0000535A0000}"/>
    <cellStyle name="40% - Accent5 3 3 2 3 2 2 3" xfId="41669" xr:uid="{00000000-0005-0000-0000-0000545A0000}"/>
    <cellStyle name="40% - Accent5 3 3 2 3 2 3" xfId="19914" xr:uid="{00000000-0005-0000-0000-0000555A0000}"/>
    <cellStyle name="40% - Accent5 3 3 2 3 2 3 2" xfId="48920" xr:uid="{00000000-0005-0000-0000-0000565A0000}"/>
    <cellStyle name="40% - Accent5 3 3 2 3 2 4" xfId="34421" xr:uid="{00000000-0005-0000-0000-0000575A0000}"/>
    <cellStyle name="40% - Accent5 3 3 2 3 3" xfId="9524" xr:uid="{00000000-0005-0000-0000-0000585A0000}"/>
    <cellStyle name="40% - Accent5 3 3 2 3 3 2" xfId="24058" xr:uid="{00000000-0005-0000-0000-0000595A0000}"/>
    <cellStyle name="40% - Accent5 3 3 2 3 3 2 2" xfId="53064" xr:uid="{00000000-0005-0000-0000-00005A5A0000}"/>
    <cellStyle name="40% - Accent5 3 3 2 3 3 3" xfId="38565" xr:uid="{00000000-0005-0000-0000-00005B5A0000}"/>
    <cellStyle name="40% - Accent5 3 3 2 3 4" xfId="16810" xr:uid="{00000000-0005-0000-0000-00005C5A0000}"/>
    <cellStyle name="40% - Accent5 3 3 2 3 4 2" xfId="45816" xr:uid="{00000000-0005-0000-0000-00005D5A0000}"/>
    <cellStyle name="40% - Accent5 3 3 2 3 5" xfId="31317" xr:uid="{00000000-0005-0000-0000-00005E5A0000}"/>
    <cellStyle name="40% - Accent5 3 3 2 4" xfId="3284" xr:uid="{00000000-0005-0000-0000-00005F5A0000}"/>
    <cellStyle name="40% - Accent5 3 3 2 4 2" xfId="6388" xr:uid="{00000000-0005-0000-0000-0000605A0000}"/>
    <cellStyle name="40% - Accent5 3 3 2 4 2 2" xfId="13660" xr:uid="{00000000-0005-0000-0000-0000615A0000}"/>
    <cellStyle name="40% - Accent5 3 3 2 4 2 2 2" xfId="28194" xr:uid="{00000000-0005-0000-0000-0000625A0000}"/>
    <cellStyle name="40% - Accent5 3 3 2 4 2 2 2 2" xfId="57200" xr:uid="{00000000-0005-0000-0000-0000635A0000}"/>
    <cellStyle name="40% - Accent5 3 3 2 4 2 2 3" xfId="42701" xr:uid="{00000000-0005-0000-0000-0000645A0000}"/>
    <cellStyle name="40% - Accent5 3 3 2 4 2 3" xfId="20946" xr:uid="{00000000-0005-0000-0000-0000655A0000}"/>
    <cellStyle name="40% - Accent5 3 3 2 4 2 3 2" xfId="49952" xr:uid="{00000000-0005-0000-0000-0000665A0000}"/>
    <cellStyle name="40% - Accent5 3 3 2 4 2 4" xfId="35453" xr:uid="{00000000-0005-0000-0000-0000675A0000}"/>
    <cellStyle name="40% - Accent5 3 3 2 4 3" xfId="10556" xr:uid="{00000000-0005-0000-0000-0000685A0000}"/>
    <cellStyle name="40% - Accent5 3 3 2 4 3 2" xfId="25090" xr:uid="{00000000-0005-0000-0000-0000695A0000}"/>
    <cellStyle name="40% - Accent5 3 3 2 4 3 2 2" xfId="54096" xr:uid="{00000000-0005-0000-0000-00006A5A0000}"/>
    <cellStyle name="40% - Accent5 3 3 2 4 3 3" xfId="39597" xr:uid="{00000000-0005-0000-0000-00006B5A0000}"/>
    <cellStyle name="40% - Accent5 3 3 2 4 4" xfId="17842" xr:uid="{00000000-0005-0000-0000-00006C5A0000}"/>
    <cellStyle name="40% - Accent5 3 3 2 4 4 2" xfId="46848" xr:uid="{00000000-0005-0000-0000-00006D5A0000}"/>
    <cellStyle name="40% - Accent5 3 3 2 4 5" xfId="32349" xr:uid="{00000000-0005-0000-0000-00006E5A0000}"/>
    <cellStyle name="40% - Accent5 3 3 2 5" xfId="4316" xr:uid="{00000000-0005-0000-0000-00006F5A0000}"/>
    <cellStyle name="40% - Accent5 3 3 2 5 2" xfId="11588" xr:uid="{00000000-0005-0000-0000-0000705A0000}"/>
    <cellStyle name="40% - Accent5 3 3 2 5 2 2" xfId="26122" xr:uid="{00000000-0005-0000-0000-0000715A0000}"/>
    <cellStyle name="40% - Accent5 3 3 2 5 2 2 2" xfId="55128" xr:uid="{00000000-0005-0000-0000-0000725A0000}"/>
    <cellStyle name="40% - Accent5 3 3 2 5 2 3" xfId="40629" xr:uid="{00000000-0005-0000-0000-0000735A0000}"/>
    <cellStyle name="40% - Accent5 3 3 2 5 3" xfId="18874" xr:uid="{00000000-0005-0000-0000-0000745A0000}"/>
    <cellStyle name="40% - Accent5 3 3 2 5 3 2" xfId="47880" xr:uid="{00000000-0005-0000-0000-0000755A0000}"/>
    <cellStyle name="40% - Accent5 3 3 2 5 4" xfId="33381" xr:uid="{00000000-0005-0000-0000-0000765A0000}"/>
    <cellStyle name="40% - Accent5 3 3 2 6" xfId="7420" xr:uid="{00000000-0005-0000-0000-0000775A0000}"/>
    <cellStyle name="40% - Accent5 3 3 2 6 2" xfId="14692" xr:uid="{00000000-0005-0000-0000-0000785A0000}"/>
    <cellStyle name="40% - Accent5 3 3 2 6 2 2" xfId="29226" xr:uid="{00000000-0005-0000-0000-0000795A0000}"/>
    <cellStyle name="40% - Accent5 3 3 2 6 2 2 2" xfId="58232" xr:uid="{00000000-0005-0000-0000-00007A5A0000}"/>
    <cellStyle name="40% - Accent5 3 3 2 6 2 3" xfId="43733" xr:uid="{00000000-0005-0000-0000-00007B5A0000}"/>
    <cellStyle name="40% - Accent5 3 3 2 6 3" xfId="21978" xr:uid="{00000000-0005-0000-0000-00007C5A0000}"/>
    <cellStyle name="40% - Accent5 3 3 2 6 3 2" xfId="50984" xr:uid="{00000000-0005-0000-0000-00007D5A0000}"/>
    <cellStyle name="40% - Accent5 3 3 2 6 4" xfId="36485" xr:uid="{00000000-0005-0000-0000-00007E5A0000}"/>
    <cellStyle name="40% - Accent5 3 3 2 7" xfId="8484" xr:uid="{00000000-0005-0000-0000-00007F5A0000}"/>
    <cellStyle name="40% - Accent5 3 3 2 7 2" xfId="23018" xr:uid="{00000000-0005-0000-0000-0000805A0000}"/>
    <cellStyle name="40% - Accent5 3 3 2 7 2 2" xfId="52024" xr:uid="{00000000-0005-0000-0000-0000815A0000}"/>
    <cellStyle name="40% - Accent5 3 3 2 7 3" xfId="37525" xr:uid="{00000000-0005-0000-0000-0000825A0000}"/>
    <cellStyle name="40% - Accent5 3 3 2 8" xfId="15770" xr:uid="{00000000-0005-0000-0000-0000835A0000}"/>
    <cellStyle name="40% - Accent5 3 3 2 8 2" xfId="44776" xr:uid="{00000000-0005-0000-0000-0000845A0000}"/>
    <cellStyle name="40% - Accent5 3 3 2 9" xfId="30277" xr:uid="{00000000-0005-0000-0000-0000855A0000}"/>
    <cellStyle name="40% - Accent5 3 3 3" xfId="1400" xr:uid="{00000000-0005-0000-0000-0000865A0000}"/>
    <cellStyle name="40% - Accent5 3 3 3 2" xfId="2458" xr:uid="{00000000-0005-0000-0000-0000875A0000}"/>
    <cellStyle name="40% - Accent5 3 3 3 2 2" xfId="5562" xr:uid="{00000000-0005-0000-0000-0000885A0000}"/>
    <cellStyle name="40% - Accent5 3 3 3 2 2 2" xfId="12834" xr:uid="{00000000-0005-0000-0000-0000895A0000}"/>
    <cellStyle name="40% - Accent5 3 3 3 2 2 2 2" xfId="27368" xr:uid="{00000000-0005-0000-0000-00008A5A0000}"/>
    <cellStyle name="40% - Accent5 3 3 3 2 2 2 2 2" xfId="56374" xr:uid="{00000000-0005-0000-0000-00008B5A0000}"/>
    <cellStyle name="40% - Accent5 3 3 3 2 2 2 3" xfId="41875" xr:uid="{00000000-0005-0000-0000-00008C5A0000}"/>
    <cellStyle name="40% - Accent5 3 3 3 2 2 3" xfId="20120" xr:uid="{00000000-0005-0000-0000-00008D5A0000}"/>
    <cellStyle name="40% - Accent5 3 3 3 2 2 3 2" xfId="49126" xr:uid="{00000000-0005-0000-0000-00008E5A0000}"/>
    <cellStyle name="40% - Accent5 3 3 3 2 2 4" xfId="34627" xr:uid="{00000000-0005-0000-0000-00008F5A0000}"/>
    <cellStyle name="40% - Accent5 3 3 3 2 3" xfId="9730" xr:uid="{00000000-0005-0000-0000-0000905A0000}"/>
    <cellStyle name="40% - Accent5 3 3 3 2 3 2" xfId="24264" xr:uid="{00000000-0005-0000-0000-0000915A0000}"/>
    <cellStyle name="40% - Accent5 3 3 3 2 3 2 2" xfId="53270" xr:uid="{00000000-0005-0000-0000-0000925A0000}"/>
    <cellStyle name="40% - Accent5 3 3 3 2 3 3" xfId="38771" xr:uid="{00000000-0005-0000-0000-0000935A0000}"/>
    <cellStyle name="40% - Accent5 3 3 3 2 4" xfId="17016" xr:uid="{00000000-0005-0000-0000-0000945A0000}"/>
    <cellStyle name="40% - Accent5 3 3 3 2 4 2" xfId="46022" xr:uid="{00000000-0005-0000-0000-0000955A0000}"/>
    <cellStyle name="40% - Accent5 3 3 3 2 5" xfId="31523" xr:uid="{00000000-0005-0000-0000-0000965A0000}"/>
    <cellStyle name="40% - Accent5 3 3 3 3" xfId="3490" xr:uid="{00000000-0005-0000-0000-0000975A0000}"/>
    <cellStyle name="40% - Accent5 3 3 3 3 2" xfId="6594" xr:uid="{00000000-0005-0000-0000-0000985A0000}"/>
    <cellStyle name="40% - Accent5 3 3 3 3 2 2" xfId="13866" xr:uid="{00000000-0005-0000-0000-0000995A0000}"/>
    <cellStyle name="40% - Accent5 3 3 3 3 2 2 2" xfId="28400" xr:uid="{00000000-0005-0000-0000-00009A5A0000}"/>
    <cellStyle name="40% - Accent5 3 3 3 3 2 2 2 2" xfId="57406" xr:uid="{00000000-0005-0000-0000-00009B5A0000}"/>
    <cellStyle name="40% - Accent5 3 3 3 3 2 2 3" xfId="42907" xr:uid="{00000000-0005-0000-0000-00009C5A0000}"/>
    <cellStyle name="40% - Accent5 3 3 3 3 2 3" xfId="21152" xr:uid="{00000000-0005-0000-0000-00009D5A0000}"/>
    <cellStyle name="40% - Accent5 3 3 3 3 2 3 2" xfId="50158" xr:uid="{00000000-0005-0000-0000-00009E5A0000}"/>
    <cellStyle name="40% - Accent5 3 3 3 3 2 4" xfId="35659" xr:uid="{00000000-0005-0000-0000-00009F5A0000}"/>
    <cellStyle name="40% - Accent5 3 3 3 3 3" xfId="10762" xr:uid="{00000000-0005-0000-0000-0000A05A0000}"/>
    <cellStyle name="40% - Accent5 3 3 3 3 3 2" xfId="25296" xr:uid="{00000000-0005-0000-0000-0000A15A0000}"/>
    <cellStyle name="40% - Accent5 3 3 3 3 3 2 2" xfId="54302" xr:uid="{00000000-0005-0000-0000-0000A25A0000}"/>
    <cellStyle name="40% - Accent5 3 3 3 3 3 3" xfId="39803" xr:uid="{00000000-0005-0000-0000-0000A35A0000}"/>
    <cellStyle name="40% - Accent5 3 3 3 3 4" xfId="18048" xr:uid="{00000000-0005-0000-0000-0000A45A0000}"/>
    <cellStyle name="40% - Accent5 3 3 3 3 4 2" xfId="47054" xr:uid="{00000000-0005-0000-0000-0000A55A0000}"/>
    <cellStyle name="40% - Accent5 3 3 3 3 5" xfId="32555" xr:uid="{00000000-0005-0000-0000-0000A65A0000}"/>
    <cellStyle name="40% - Accent5 3 3 3 4" xfId="4522" xr:uid="{00000000-0005-0000-0000-0000A75A0000}"/>
    <cellStyle name="40% - Accent5 3 3 3 4 2" xfId="11794" xr:uid="{00000000-0005-0000-0000-0000A85A0000}"/>
    <cellStyle name="40% - Accent5 3 3 3 4 2 2" xfId="26328" xr:uid="{00000000-0005-0000-0000-0000A95A0000}"/>
    <cellStyle name="40% - Accent5 3 3 3 4 2 2 2" xfId="55334" xr:uid="{00000000-0005-0000-0000-0000AA5A0000}"/>
    <cellStyle name="40% - Accent5 3 3 3 4 2 3" xfId="40835" xr:uid="{00000000-0005-0000-0000-0000AB5A0000}"/>
    <cellStyle name="40% - Accent5 3 3 3 4 3" xfId="19080" xr:uid="{00000000-0005-0000-0000-0000AC5A0000}"/>
    <cellStyle name="40% - Accent5 3 3 3 4 3 2" xfId="48086" xr:uid="{00000000-0005-0000-0000-0000AD5A0000}"/>
    <cellStyle name="40% - Accent5 3 3 3 4 4" xfId="33587" xr:uid="{00000000-0005-0000-0000-0000AE5A0000}"/>
    <cellStyle name="40% - Accent5 3 3 3 5" xfId="7626" xr:uid="{00000000-0005-0000-0000-0000AF5A0000}"/>
    <cellStyle name="40% - Accent5 3 3 3 5 2" xfId="14898" xr:uid="{00000000-0005-0000-0000-0000B05A0000}"/>
    <cellStyle name="40% - Accent5 3 3 3 5 2 2" xfId="29432" xr:uid="{00000000-0005-0000-0000-0000B15A0000}"/>
    <cellStyle name="40% - Accent5 3 3 3 5 2 2 2" xfId="58438" xr:uid="{00000000-0005-0000-0000-0000B25A0000}"/>
    <cellStyle name="40% - Accent5 3 3 3 5 2 3" xfId="43939" xr:uid="{00000000-0005-0000-0000-0000B35A0000}"/>
    <cellStyle name="40% - Accent5 3 3 3 5 3" xfId="22184" xr:uid="{00000000-0005-0000-0000-0000B45A0000}"/>
    <cellStyle name="40% - Accent5 3 3 3 5 3 2" xfId="51190" xr:uid="{00000000-0005-0000-0000-0000B55A0000}"/>
    <cellStyle name="40% - Accent5 3 3 3 5 4" xfId="36691" xr:uid="{00000000-0005-0000-0000-0000B65A0000}"/>
    <cellStyle name="40% - Accent5 3 3 3 6" xfId="8690" xr:uid="{00000000-0005-0000-0000-0000B75A0000}"/>
    <cellStyle name="40% - Accent5 3 3 3 6 2" xfId="23224" xr:uid="{00000000-0005-0000-0000-0000B85A0000}"/>
    <cellStyle name="40% - Accent5 3 3 3 6 2 2" xfId="52230" xr:uid="{00000000-0005-0000-0000-0000B95A0000}"/>
    <cellStyle name="40% - Accent5 3 3 3 6 3" xfId="37731" xr:uid="{00000000-0005-0000-0000-0000BA5A0000}"/>
    <cellStyle name="40% - Accent5 3 3 3 7" xfId="15976" xr:uid="{00000000-0005-0000-0000-0000BB5A0000}"/>
    <cellStyle name="40% - Accent5 3 3 3 7 2" xfId="44982" xr:uid="{00000000-0005-0000-0000-0000BC5A0000}"/>
    <cellStyle name="40% - Accent5 3 3 3 8" xfId="30483" xr:uid="{00000000-0005-0000-0000-0000BD5A0000}"/>
    <cellStyle name="40% - Accent5 3 3 4" xfId="1946" xr:uid="{00000000-0005-0000-0000-0000BE5A0000}"/>
    <cellStyle name="40% - Accent5 3 3 4 2" xfId="5050" xr:uid="{00000000-0005-0000-0000-0000BF5A0000}"/>
    <cellStyle name="40% - Accent5 3 3 4 2 2" xfId="12322" xr:uid="{00000000-0005-0000-0000-0000C05A0000}"/>
    <cellStyle name="40% - Accent5 3 3 4 2 2 2" xfId="26856" xr:uid="{00000000-0005-0000-0000-0000C15A0000}"/>
    <cellStyle name="40% - Accent5 3 3 4 2 2 2 2" xfId="55862" xr:uid="{00000000-0005-0000-0000-0000C25A0000}"/>
    <cellStyle name="40% - Accent5 3 3 4 2 2 3" xfId="41363" xr:uid="{00000000-0005-0000-0000-0000C35A0000}"/>
    <cellStyle name="40% - Accent5 3 3 4 2 3" xfId="19608" xr:uid="{00000000-0005-0000-0000-0000C45A0000}"/>
    <cellStyle name="40% - Accent5 3 3 4 2 3 2" xfId="48614" xr:uid="{00000000-0005-0000-0000-0000C55A0000}"/>
    <cellStyle name="40% - Accent5 3 3 4 2 4" xfId="34115" xr:uid="{00000000-0005-0000-0000-0000C65A0000}"/>
    <cellStyle name="40% - Accent5 3 3 4 3" xfId="9218" xr:uid="{00000000-0005-0000-0000-0000C75A0000}"/>
    <cellStyle name="40% - Accent5 3 3 4 3 2" xfId="23752" xr:uid="{00000000-0005-0000-0000-0000C85A0000}"/>
    <cellStyle name="40% - Accent5 3 3 4 3 2 2" xfId="52758" xr:uid="{00000000-0005-0000-0000-0000C95A0000}"/>
    <cellStyle name="40% - Accent5 3 3 4 3 3" xfId="38259" xr:uid="{00000000-0005-0000-0000-0000CA5A0000}"/>
    <cellStyle name="40% - Accent5 3 3 4 4" xfId="16504" xr:uid="{00000000-0005-0000-0000-0000CB5A0000}"/>
    <cellStyle name="40% - Accent5 3 3 4 4 2" xfId="45510" xr:uid="{00000000-0005-0000-0000-0000CC5A0000}"/>
    <cellStyle name="40% - Accent5 3 3 4 5" xfId="31011" xr:uid="{00000000-0005-0000-0000-0000CD5A0000}"/>
    <cellStyle name="40% - Accent5 3 3 5" xfId="2978" xr:uid="{00000000-0005-0000-0000-0000CE5A0000}"/>
    <cellStyle name="40% - Accent5 3 3 5 2" xfId="6082" xr:uid="{00000000-0005-0000-0000-0000CF5A0000}"/>
    <cellStyle name="40% - Accent5 3 3 5 2 2" xfId="13354" xr:uid="{00000000-0005-0000-0000-0000D05A0000}"/>
    <cellStyle name="40% - Accent5 3 3 5 2 2 2" xfId="27888" xr:uid="{00000000-0005-0000-0000-0000D15A0000}"/>
    <cellStyle name="40% - Accent5 3 3 5 2 2 2 2" xfId="56894" xr:uid="{00000000-0005-0000-0000-0000D25A0000}"/>
    <cellStyle name="40% - Accent5 3 3 5 2 2 3" xfId="42395" xr:uid="{00000000-0005-0000-0000-0000D35A0000}"/>
    <cellStyle name="40% - Accent5 3 3 5 2 3" xfId="20640" xr:uid="{00000000-0005-0000-0000-0000D45A0000}"/>
    <cellStyle name="40% - Accent5 3 3 5 2 3 2" xfId="49646" xr:uid="{00000000-0005-0000-0000-0000D55A0000}"/>
    <cellStyle name="40% - Accent5 3 3 5 2 4" xfId="35147" xr:uid="{00000000-0005-0000-0000-0000D65A0000}"/>
    <cellStyle name="40% - Accent5 3 3 5 3" xfId="10250" xr:uid="{00000000-0005-0000-0000-0000D75A0000}"/>
    <cellStyle name="40% - Accent5 3 3 5 3 2" xfId="24784" xr:uid="{00000000-0005-0000-0000-0000D85A0000}"/>
    <cellStyle name="40% - Accent5 3 3 5 3 2 2" xfId="53790" xr:uid="{00000000-0005-0000-0000-0000D95A0000}"/>
    <cellStyle name="40% - Accent5 3 3 5 3 3" xfId="39291" xr:uid="{00000000-0005-0000-0000-0000DA5A0000}"/>
    <cellStyle name="40% - Accent5 3 3 5 4" xfId="17536" xr:uid="{00000000-0005-0000-0000-0000DB5A0000}"/>
    <cellStyle name="40% - Accent5 3 3 5 4 2" xfId="46542" xr:uid="{00000000-0005-0000-0000-0000DC5A0000}"/>
    <cellStyle name="40% - Accent5 3 3 5 5" xfId="32043" xr:uid="{00000000-0005-0000-0000-0000DD5A0000}"/>
    <cellStyle name="40% - Accent5 3 3 6" xfId="4010" xr:uid="{00000000-0005-0000-0000-0000DE5A0000}"/>
    <cellStyle name="40% - Accent5 3 3 6 2" xfId="11282" xr:uid="{00000000-0005-0000-0000-0000DF5A0000}"/>
    <cellStyle name="40% - Accent5 3 3 6 2 2" xfId="25816" xr:uid="{00000000-0005-0000-0000-0000E05A0000}"/>
    <cellStyle name="40% - Accent5 3 3 6 2 2 2" xfId="54822" xr:uid="{00000000-0005-0000-0000-0000E15A0000}"/>
    <cellStyle name="40% - Accent5 3 3 6 2 3" xfId="40323" xr:uid="{00000000-0005-0000-0000-0000E25A0000}"/>
    <cellStyle name="40% - Accent5 3 3 6 3" xfId="18568" xr:uid="{00000000-0005-0000-0000-0000E35A0000}"/>
    <cellStyle name="40% - Accent5 3 3 6 3 2" xfId="47574" xr:uid="{00000000-0005-0000-0000-0000E45A0000}"/>
    <cellStyle name="40% - Accent5 3 3 6 4" xfId="33075" xr:uid="{00000000-0005-0000-0000-0000E55A0000}"/>
    <cellStyle name="40% - Accent5 3 3 7" xfId="7114" xr:uid="{00000000-0005-0000-0000-0000E65A0000}"/>
    <cellStyle name="40% - Accent5 3 3 7 2" xfId="14386" xr:uid="{00000000-0005-0000-0000-0000E75A0000}"/>
    <cellStyle name="40% - Accent5 3 3 7 2 2" xfId="28920" xr:uid="{00000000-0005-0000-0000-0000E85A0000}"/>
    <cellStyle name="40% - Accent5 3 3 7 2 2 2" xfId="57926" xr:uid="{00000000-0005-0000-0000-0000E95A0000}"/>
    <cellStyle name="40% - Accent5 3 3 7 2 3" xfId="43427" xr:uid="{00000000-0005-0000-0000-0000EA5A0000}"/>
    <cellStyle name="40% - Accent5 3 3 7 3" xfId="21672" xr:uid="{00000000-0005-0000-0000-0000EB5A0000}"/>
    <cellStyle name="40% - Accent5 3 3 7 3 2" xfId="50678" xr:uid="{00000000-0005-0000-0000-0000EC5A0000}"/>
    <cellStyle name="40% - Accent5 3 3 7 4" xfId="36179" xr:uid="{00000000-0005-0000-0000-0000ED5A0000}"/>
    <cellStyle name="40% - Accent5 3 3 8" xfId="8178" xr:uid="{00000000-0005-0000-0000-0000EE5A0000}"/>
    <cellStyle name="40% - Accent5 3 3 8 2" xfId="22712" xr:uid="{00000000-0005-0000-0000-0000EF5A0000}"/>
    <cellStyle name="40% - Accent5 3 3 8 2 2" xfId="51718" xr:uid="{00000000-0005-0000-0000-0000F05A0000}"/>
    <cellStyle name="40% - Accent5 3 3 8 3" xfId="37219" xr:uid="{00000000-0005-0000-0000-0000F15A0000}"/>
    <cellStyle name="40% - Accent5 3 3 9" xfId="15464" xr:uid="{00000000-0005-0000-0000-0000F25A0000}"/>
    <cellStyle name="40% - Accent5 3 3 9 2" xfId="44470" xr:uid="{00000000-0005-0000-0000-0000F35A0000}"/>
    <cellStyle name="40% - Accent5 3 4" xfId="1105" xr:uid="{00000000-0005-0000-0000-0000F45A0000}"/>
    <cellStyle name="40% - Accent5 3 4 2" xfId="1602" xr:uid="{00000000-0005-0000-0000-0000F55A0000}"/>
    <cellStyle name="40% - Accent5 3 4 2 2" xfId="2661" xr:uid="{00000000-0005-0000-0000-0000F65A0000}"/>
    <cellStyle name="40% - Accent5 3 4 2 2 2" xfId="5765" xr:uid="{00000000-0005-0000-0000-0000F75A0000}"/>
    <cellStyle name="40% - Accent5 3 4 2 2 2 2" xfId="13037" xr:uid="{00000000-0005-0000-0000-0000F85A0000}"/>
    <cellStyle name="40% - Accent5 3 4 2 2 2 2 2" xfId="27571" xr:uid="{00000000-0005-0000-0000-0000F95A0000}"/>
    <cellStyle name="40% - Accent5 3 4 2 2 2 2 2 2" xfId="56577" xr:uid="{00000000-0005-0000-0000-0000FA5A0000}"/>
    <cellStyle name="40% - Accent5 3 4 2 2 2 2 3" xfId="42078" xr:uid="{00000000-0005-0000-0000-0000FB5A0000}"/>
    <cellStyle name="40% - Accent5 3 4 2 2 2 3" xfId="20323" xr:uid="{00000000-0005-0000-0000-0000FC5A0000}"/>
    <cellStyle name="40% - Accent5 3 4 2 2 2 3 2" xfId="49329" xr:uid="{00000000-0005-0000-0000-0000FD5A0000}"/>
    <cellStyle name="40% - Accent5 3 4 2 2 2 4" xfId="34830" xr:uid="{00000000-0005-0000-0000-0000FE5A0000}"/>
    <cellStyle name="40% - Accent5 3 4 2 2 3" xfId="9933" xr:uid="{00000000-0005-0000-0000-0000FF5A0000}"/>
    <cellStyle name="40% - Accent5 3 4 2 2 3 2" xfId="24467" xr:uid="{00000000-0005-0000-0000-0000005B0000}"/>
    <cellStyle name="40% - Accent5 3 4 2 2 3 2 2" xfId="53473" xr:uid="{00000000-0005-0000-0000-0000015B0000}"/>
    <cellStyle name="40% - Accent5 3 4 2 2 3 3" xfId="38974" xr:uid="{00000000-0005-0000-0000-0000025B0000}"/>
    <cellStyle name="40% - Accent5 3 4 2 2 4" xfId="17219" xr:uid="{00000000-0005-0000-0000-0000035B0000}"/>
    <cellStyle name="40% - Accent5 3 4 2 2 4 2" xfId="46225" xr:uid="{00000000-0005-0000-0000-0000045B0000}"/>
    <cellStyle name="40% - Accent5 3 4 2 2 5" xfId="31726" xr:uid="{00000000-0005-0000-0000-0000055B0000}"/>
    <cellStyle name="40% - Accent5 3 4 2 3" xfId="3693" xr:uid="{00000000-0005-0000-0000-0000065B0000}"/>
    <cellStyle name="40% - Accent5 3 4 2 3 2" xfId="6797" xr:uid="{00000000-0005-0000-0000-0000075B0000}"/>
    <cellStyle name="40% - Accent5 3 4 2 3 2 2" xfId="14069" xr:uid="{00000000-0005-0000-0000-0000085B0000}"/>
    <cellStyle name="40% - Accent5 3 4 2 3 2 2 2" xfId="28603" xr:uid="{00000000-0005-0000-0000-0000095B0000}"/>
    <cellStyle name="40% - Accent5 3 4 2 3 2 2 2 2" xfId="57609" xr:uid="{00000000-0005-0000-0000-00000A5B0000}"/>
    <cellStyle name="40% - Accent5 3 4 2 3 2 2 3" xfId="43110" xr:uid="{00000000-0005-0000-0000-00000B5B0000}"/>
    <cellStyle name="40% - Accent5 3 4 2 3 2 3" xfId="21355" xr:uid="{00000000-0005-0000-0000-00000C5B0000}"/>
    <cellStyle name="40% - Accent5 3 4 2 3 2 3 2" xfId="50361" xr:uid="{00000000-0005-0000-0000-00000D5B0000}"/>
    <cellStyle name="40% - Accent5 3 4 2 3 2 4" xfId="35862" xr:uid="{00000000-0005-0000-0000-00000E5B0000}"/>
    <cellStyle name="40% - Accent5 3 4 2 3 3" xfId="10965" xr:uid="{00000000-0005-0000-0000-00000F5B0000}"/>
    <cellStyle name="40% - Accent5 3 4 2 3 3 2" xfId="25499" xr:uid="{00000000-0005-0000-0000-0000105B0000}"/>
    <cellStyle name="40% - Accent5 3 4 2 3 3 2 2" xfId="54505" xr:uid="{00000000-0005-0000-0000-0000115B0000}"/>
    <cellStyle name="40% - Accent5 3 4 2 3 3 3" xfId="40006" xr:uid="{00000000-0005-0000-0000-0000125B0000}"/>
    <cellStyle name="40% - Accent5 3 4 2 3 4" xfId="18251" xr:uid="{00000000-0005-0000-0000-0000135B0000}"/>
    <cellStyle name="40% - Accent5 3 4 2 3 4 2" xfId="47257" xr:uid="{00000000-0005-0000-0000-0000145B0000}"/>
    <cellStyle name="40% - Accent5 3 4 2 3 5" xfId="32758" xr:uid="{00000000-0005-0000-0000-0000155B0000}"/>
    <cellStyle name="40% - Accent5 3 4 2 4" xfId="4725" xr:uid="{00000000-0005-0000-0000-0000165B0000}"/>
    <cellStyle name="40% - Accent5 3 4 2 4 2" xfId="11997" xr:uid="{00000000-0005-0000-0000-0000175B0000}"/>
    <cellStyle name="40% - Accent5 3 4 2 4 2 2" xfId="26531" xr:uid="{00000000-0005-0000-0000-0000185B0000}"/>
    <cellStyle name="40% - Accent5 3 4 2 4 2 2 2" xfId="55537" xr:uid="{00000000-0005-0000-0000-0000195B0000}"/>
    <cellStyle name="40% - Accent5 3 4 2 4 2 3" xfId="41038" xr:uid="{00000000-0005-0000-0000-00001A5B0000}"/>
    <cellStyle name="40% - Accent5 3 4 2 4 3" xfId="19283" xr:uid="{00000000-0005-0000-0000-00001B5B0000}"/>
    <cellStyle name="40% - Accent5 3 4 2 4 3 2" xfId="48289" xr:uid="{00000000-0005-0000-0000-00001C5B0000}"/>
    <cellStyle name="40% - Accent5 3 4 2 4 4" xfId="33790" xr:uid="{00000000-0005-0000-0000-00001D5B0000}"/>
    <cellStyle name="40% - Accent5 3 4 2 5" xfId="7829" xr:uid="{00000000-0005-0000-0000-00001E5B0000}"/>
    <cellStyle name="40% - Accent5 3 4 2 5 2" xfId="15101" xr:uid="{00000000-0005-0000-0000-00001F5B0000}"/>
    <cellStyle name="40% - Accent5 3 4 2 5 2 2" xfId="29635" xr:uid="{00000000-0005-0000-0000-0000205B0000}"/>
    <cellStyle name="40% - Accent5 3 4 2 5 2 2 2" xfId="58641" xr:uid="{00000000-0005-0000-0000-0000215B0000}"/>
    <cellStyle name="40% - Accent5 3 4 2 5 2 3" xfId="44142" xr:uid="{00000000-0005-0000-0000-0000225B0000}"/>
    <cellStyle name="40% - Accent5 3 4 2 5 3" xfId="22387" xr:uid="{00000000-0005-0000-0000-0000235B0000}"/>
    <cellStyle name="40% - Accent5 3 4 2 5 3 2" xfId="51393" xr:uid="{00000000-0005-0000-0000-0000245B0000}"/>
    <cellStyle name="40% - Accent5 3 4 2 5 4" xfId="36894" xr:uid="{00000000-0005-0000-0000-0000255B0000}"/>
    <cellStyle name="40% - Accent5 3 4 2 6" xfId="8893" xr:uid="{00000000-0005-0000-0000-0000265B0000}"/>
    <cellStyle name="40% - Accent5 3 4 2 6 2" xfId="23427" xr:uid="{00000000-0005-0000-0000-0000275B0000}"/>
    <cellStyle name="40% - Accent5 3 4 2 6 2 2" xfId="52433" xr:uid="{00000000-0005-0000-0000-0000285B0000}"/>
    <cellStyle name="40% - Accent5 3 4 2 6 3" xfId="37934" xr:uid="{00000000-0005-0000-0000-0000295B0000}"/>
    <cellStyle name="40% - Accent5 3 4 2 7" xfId="16179" xr:uid="{00000000-0005-0000-0000-00002A5B0000}"/>
    <cellStyle name="40% - Accent5 3 4 2 7 2" xfId="45185" xr:uid="{00000000-0005-0000-0000-00002B5B0000}"/>
    <cellStyle name="40% - Accent5 3 4 2 8" xfId="30686" xr:uid="{00000000-0005-0000-0000-00002C5B0000}"/>
    <cellStyle name="40% - Accent5 3 4 3" xfId="2149" xr:uid="{00000000-0005-0000-0000-00002D5B0000}"/>
    <cellStyle name="40% - Accent5 3 4 3 2" xfId="5253" xr:uid="{00000000-0005-0000-0000-00002E5B0000}"/>
    <cellStyle name="40% - Accent5 3 4 3 2 2" xfId="12525" xr:uid="{00000000-0005-0000-0000-00002F5B0000}"/>
    <cellStyle name="40% - Accent5 3 4 3 2 2 2" xfId="27059" xr:uid="{00000000-0005-0000-0000-0000305B0000}"/>
    <cellStyle name="40% - Accent5 3 4 3 2 2 2 2" xfId="56065" xr:uid="{00000000-0005-0000-0000-0000315B0000}"/>
    <cellStyle name="40% - Accent5 3 4 3 2 2 3" xfId="41566" xr:uid="{00000000-0005-0000-0000-0000325B0000}"/>
    <cellStyle name="40% - Accent5 3 4 3 2 3" xfId="19811" xr:uid="{00000000-0005-0000-0000-0000335B0000}"/>
    <cellStyle name="40% - Accent5 3 4 3 2 3 2" xfId="48817" xr:uid="{00000000-0005-0000-0000-0000345B0000}"/>
    <cellStyle name="40% - Accent5 3 4 3 2 4" xfId="34318" xr:uid="{00000000-0005-0000-0000-0000355B0000}"/>
    <cellStyle name="40% - Accent5 3 4 3 3" xfId="9421" xr:uid="{00000000-0005-0000-0000-0000365B0000}"/>
    <cellStyle name="40% - Accent5 3 4 3 3 2" xfId="23955" xr:uid="{00000000-0005-0000-0000-0000375B0000}"/>
    <cellStyle name="40% - Accent5 3 4 3 3 2 2" xfId="52961" xr:uid="{00000000-0005-0000-0000-0000385B0000}"/>
    <cellStyle name="40% - Accent5 3 4 3 3 3" xfId="38462" xr:uid="{00000000-0005-0000-0000-0000395B0000}"/>
    <cellStyle name="40% - Accent5 3 4 3 4" xfId="16707" xr:uid="{00000000-0005-0000-0000-00003A5B0000}"/>
    <cellStyle name="40% - Accent5 3 4 3 4 2" xfId="45713" xr:uid="{00000000-0005-0000-0000-00003B5B0000}"/>
    <cellStyle name="40% - Accent5 3 4 3 5" xfId="31214" xr:uid="{00000000-0005-0000-0000-00003C5B0000}"/>
    <cellStyle name="40% - Accent5 3 4 4" xfId="3181" xr:uid="{00000000-0005-0000-0000-00003D5B0000}"/>
    <cellStyle name="40% - Accent5 3 4 4 2" xfId="6285" xr:uid="{00000000-0005-0000-0000-00003E5B0000}"/>
    <cellStyle name="40% - Accent5 3 4 4 2 2" xfId="13557" xr:uid="{00000000-0005-0000-0000-00003F5B0000}"/>
    <cellStyle name="40% - Accent5 3 4 4 2 2 2" xfId="28091" xr:uid="{00000000-0005-0000-0000-0000405B0000}"/>
    <cellStyle name="40% - Accent5 3 4 4 2 2 2 2" xfId="57097" xr:uid="{00000000-0005-0000-0000-0000415B0000}"/>
    <cellStyle name="40% - Accent5 3 4 4 2 2 3" xfId="42598" xr:uid="{00000000-0005-0000-0000-0000425B0000}"/>
    <cellStyle name="40% - Accent5 3 4 4 2 3" xfId="20843" xr:uid="{00000000-0005-0000-0000-0000435B0000}"/>
    <cellStyle name="40% - Accent5 3 4 4 2 3 2" xfId="49849" xr:uid="{00000000-0005-0000-0000-0000445B0000}"/>
    <cellStyle name="40% - Accent5 3 4 4 2 4" xfId="35350" xr:uid="{00000000-0005-0000-0000-0000455B0000}"/>
    <cellStyle name="40% - Accent5 3 4 4 3" xfId="10453" xr:uid="{00000000-0005-0000-0000-0000465B0000}"/>
    <cellStyle name="40% - Accent5 3 4 4 3 2" xfId="24987" xr:uid="{00000000-0005-0000-0000-0000475B0000}"/>
    <cellStyle name="40% - Accent5 3 4 4 3 2 2" xfId="53993" xr:uid="{00000000-0005-0000-0000-0000485B0000}"/>
    <cellStyle name="40% - Accent5 3 4 4 3 3" xfId="39494" xr:uid="{00000000-0005-0000-0000-0000495B0000}"/>
    <cellStyle name="40% - Accent5 3 4 4 4" xfId="17739" xr:uid="{00000000-0005-0000-0000-00004A5B0000}"/>
    <cellStyle name="40% - Accent5 3 4 4 4 2" xfId="46745" xr:uid="{00000000-0005-0000-0000-00004B5B0000}"/>
    <cellStyle name="40% - Accent5 3 4 4 5" xfId="32246" xr:uid="{00000000-0005-0000-0000-00004C5B0000}"/>
    <cellStyle name="40% - Accent5 3 4 5" xfId="4213" xr:uid="{00000000-0005-0000-0000-00004D5B0000}"/>
    <cellStyle name="40% - Accent5 3 4 5 2" xfId="11485" xr:uid="{00000000-0005-0000-0000-00004E5B0000}"/>
    <cellStyle name="40% - Accent5 3 4 5 2 2" xfId="26019" xr:uid="{00000000-0005-0000-0000-00004F5B0000}"/>
    <cellStyle name="40% - Accent5 3 4 5 2 2 2" xfId="55025" xr:uid="{00000000-0005-0000-0000-0000505B0000}"/>
    <cellStyle name="40% - Accent5 3 4 5 2 3" xfId="40526" xr:uid="{00000000-0005-0000-0000-0000515B0000}"/>
    <cellStyle name="40% - Accent5 3 4 5 3" xfId="18771" xr:uid="{00000000-0005-0000-0000-0000525B0000}"/>
    <cellStyle name="40% - Accent5 3 4 5 3 2" xfId="47777" xr:uid="{00000000-0005-0000-0000-0000535B0000}"/>
    <cellStyle name="40% - Accent5 3 4 5 4" xfId="33278" xr:uid="{00000000-0005-0000-0000-0000545B0000}"/>
    <cellStyle name="40% - Accent5 3 4 6" xfId="7317" xr:uid="{00000000-0005-0000-0000-0000555B0000}"/>
    <cellStyle name="40% - Accent5 3 4 6 2" xfId="14589" xr:uid="{00000000-0005-0000-0000-0000565B0000}"/>
    <cellStyle name="40% - Accent5 3 4 6 2 2" xfId="29123" xr:uid="{00000000-0005-0000-0000-0000575B0000}"/>
    <cellStyle name="40% - Accent5 3 4 6 2 2 2" xfId="58129" xr:uid="{00000000-0005-0000-0000-0000585B0000}"/>
    <cellStyle name="40% - Accent5 3 4 6 2 3" xfId="43630" xr:uid="{00000000-0005-0000-0000-0000595B0000}"/>
    <cellStyle name="40% - Accent5 3 4 6 3" xfId="21875" xr:uid="{00000000-0005-0000-0000-00005A5B0000}"/>
    <cellStyle name="40% - Accent5 3 4 6 3 2" xfId="50881" xr:uid="{00000000-0005-0000-0000-00005B5B0000}"/>
    <cellStyle name="40% - Accent5 3 4 6 4" xfId="36382" xr:uid="{00000000-0005-0000-0000-00005C5B0000}"/>
    <cellStyle name="40% - Accent5 3 4 7" xfId="8381" xr:uid="{00000000-0005-0000-0000-00005D5B0000}"/>
    <cellStyle name="40% - Accent5 3 4 7 2" xfId="22915" xr:uid="{00000000-0005-0000-0000-00005E5B0000}"/>
    <cellStyle name="40% - Accent5 3 4 7 2 2" xfId="51921" xr:uid="{00000000-0005-0000-0000-00005F5B0000}"/>
    <cellStyle name="40% - Accent5 3 4 7 3" xfId="37422" xr:uid="{00000000-0005-0000-0000-0000605B0000}"/>
    <cellStyle name="40% - Accent5 3 4 8" xfId="15667" xr:uid="{00000000-0005-0000-0000-0000615B0000}"/>
    <cellStyle name="40% - Accent5 3 4 8 2" xfId="44673" xr:uid="{00000000-0005-0000-0000-0000625B0000}"/>
    <cellStyle name="40% - Accent5 3 4 9" xfId="30174" xr:uid="{00000000-0005-0000-0000-0000635B0000}"/>
    <cellStyle name="40% - Accent5 3 5" xfId="1015" xr:uid="{00000000-0005-0000-0000-0000645B0000}"/>
    <cellStyle name="40% - Accent5 3 5 2" xfId="1503" xr:uid="{00000000-0005-0000-0000-0000655B0000}"/>
    <cellStyle name="40% - Accent5 3 5 2 2" xfId="2561" xr:uid="{00000000-0005-0000-0000-0000665B0000}"/>
    <cellStyle name="40% - Accent5 3 5 2 2 2" xfId="5665" xr:uid="{00000000-0005-0000-0000-0000675B0000}"/>
    <cellStyle name="40% - Accent5 3 5 2 2 2 2" xfId="12937" xr:uid="{00000000-0005-0000-0000-0000685B0000}"/>
    <cellStyle name="40% - Accent5 3 5 2 2 2 2 2" xfId="27471" xr:uid="{00000000-0005-0000-0000-0000695B0000}"/>
    <cellStyle name="40% - Accent5 3 5 2 2 2 2 2 2" xfId="56477" xr:uid="{00000000-0005-0000-0000-00006A5B0000}"/>
    <cellStyle name="40% - Accent5 3 5 2 2 2 2 3" xfId="41978" xr:uid="{00000000-0005-0000-0000-00006B5B0000}"/>
    <cellStyle name="40% - Accent5 3 5 2 2 2 3" xfId="20223" xr:uid="{00000000-0005-0000-0000-00006C5B0000}"/>
    <cellStyle name="40% - Accent5 3 5 2 2 2 3 2" xfId="49229" xr:uid="{00000000-0005-0000-0000-00006D5B0000}"/>
    <cellStyle name="40% - Accent5 3 5 2 2 2 4" xfId="34730" xr:uid="{00000000-0005-0000-0000-00006E5B0000}"/>
    <cellStyle name="40% - Accent5 3 5 2 2 3" xfId="9833" xr:uid="{00000000-0005-0000-0000-00006F5B0000}"/>
    <cellStyle name="40% - Accent5 3 5 2 2 3 2" xfId="24367" xr:uid="{00000000-0005-0000-0000-0000705B0000}"/>
    <cellStyle name="40% - Accent5 3 5 2 2 3 2 2" xfId="53373" xr:uid="{00000000-0005-0000-0000-0000715B0000}"/>
    <cellStyle name="40% - Accent5 3 5 2 2 3 3" xfId="38874" xr:uid="{00000000-0005-0000-0000-0000725B0000}"/>
    <cellStyle name="40% - Accent5 3 5 2 2 4" xfId="17119" xr:uid="{00000000-0005-0000-0000-0000735B0000}"/>
    <cellStyle name="40% - Accent5 3 5 2 2 4 2" xfId="46125" xr:uid="{00000000-0005-0000-0000-0000745B0000}"/>
    <cellStyle name="40% - Accent5 3 5 2 2 5" xfId="31626" xr:uid="{00000000-0005-0000-0000-0000755B0000}"/>
    <cellStyle name="40% - Accent5 3 5 2 3" xfId="3593" xr:uid="{00000000-0005-0000-0000-0000765B0000}"/>
    <cellStyle name="40% - Accent5 3 5 2 3 2" xfId="6697" xr:uid="{00000000-0005-0000-0000-0000775B0000}"/>
    <cellStyle name="40% - Accent5 3 5 2 3 2 2" xfId="13969" xr:uid="{00000000-0005-0000-0000-0000785B0000}"/>
    <cellStyle name="40% - Accent5 3 5 2 3 2 2 2" xfId="28503" xr:uid="{00000000-0005-0000-0000-0000795B0000}"/>
    <cellStyle name="40% - Accent5 3 5 2 3 2 2 2 2" xfId="57509" xr:uid="{00000000-0005-0000-0000-00007A5B0000}"/>
    <cellStyle name="40% - Accent5 3 5 2 3 2 2 3" xfId="43010" xr:uid="{00000000-0005-0000-0000-00007B5B0000}"/>
    <cellStyle name="40% - Accent5 3 5 2 3 2 3" xfId="21255" xr:uid="{00000000-0005-0000-0000-00007C5B0000}"/>
    <cellStyle name="40% - Accent5 3 5 2 3 2 3 2" xfId="50261" xr:uid="{00000000-0005-0000-0000-00007D5B0000}"/>
    <cellStyle name="40% - Accent5 3 5 2 3 2 4" xfId="35762" xr:uid="{00000000-0005-0000-0000-00007E5B0000}"/>
    <cellStyle name="40% - Accent5 3 5 2 3 3" xfId="10865" xr:uid="{00000000-0005-0000-0000-00007F5B0000}"/>
    <cellStyle name="40% - Accent5 3 5 2 3 3 2" xfId="25399" xr:uid="{00000000-0005-0000-0000-0000805B0000}"/>
    <cellStyle name="40% - Accent5 3 5 2 3 3 2 2" xfId="54405" xr:uid="{00000000-0005-0000-0000-0000815B0000}"/>
    <cellStyle name="40% - Accent5 3 5 2 3 3 3" xfId="39906" xr:uid="{00000000-0005-0000-0000-0000825B0000}"/>
    <cellStyle name="40% - Accent5 3 5 2 3 4" xfId="18151" xr:uid="{00000000-0005-0000-0000-0000835B0000}"/>
    <cellStyle name="40% - Accent5 3 5 2 3 4 2" xfId="47157" xr:uid="{00000000-0005-0000-0000-0000845B0000}"/>
    <cellStyle name="40% - Accent5 3 5 2 3 5" xfId="32658" xr:uid="{00000000-0005-0000-0000-0000855B0000}"/>
    <cellStyle name="40% - Accent5 3 5 2 4" xfId="4625" xr:uid="{00000000-0005-0000-0000-0000865B0000}"/>
    <cellStyle name="40% - Accent5 3 5 2 4 2" xfId="11897" xr:uid="{00000000-0005-0000-0000-0000875B0000}"/>
    <cellStyle name="40% - Accent5 3 5 2 4 2 2" xfId="26431" xr:uid="{00000000-0005-0000-0000-0000885B0000}"/>
    <cellStyle name="40% - Accent5 3 5 2 4 2 2 2" xfId="55437" xr:uid="{00000000-0005-0000-0000-0000895B0000}"/>
    <cellStyle name="40% - Accent5 3 5 2 4 2 3" xfId="40938" xr:uid="{00000000-0005-0000-0000-00008A5B0000}"/>
    <cellStyle name="40% - Accent5 3 5 2 4 3" xfId="19183" xr:uid="{00000000-0005-0000-0000-00008B5B0000}"/>
    <cellStyle name="40% - Accent5 3 5 2 4 3 2" xfId="48189" xr:uid="{00000000-0005-0000-0000-00008C5B0000}"/>
    <cellStyle name="40% - Accent5 3 5 2 4 4" xfId="33690" xr:uid="{00000000-0005-0000-0000-00008D5B0000}"/>
    <cellStyle name="40% - Accent5 3 5 2 5" xfId="7729" xr:uid="{00000000-0005-0000-0000-00008E5B0000}"/>
    <cellStyle name="40% - Accent5 3 5 2 5 2" xfId="15001" xr:uid="{00000000-0005-0000-0000-00008F5B0000}"/>
    <cellStyle name="40% - Accent5 3 5 2 5 2 2" xfId="29535" xr:uid="{00000000-0005-0000-0000-0000905B0000}"/>
    <cellStyle name="40% - Accent5 3 5 2 5 2 2 2" xfId="58541" xr:uid="{00000000-0005-0000-0000-0000915B0000}"/>
    <cellStyle name="40% - Accent5 3 5 2 5 2 3" xfId="44042" xr:uid="{00000000-0005-0000-0000-0000925B0000}"/>
    <cellStyle name="40% - Accent5 3 5 2 5 3" xfId="22287" xr:uid="{00000000-0005-0000-0000-0000935B0000}"/>
    <cellStyle name="40% - Accent5 3 5 2 5 3 2" xfId="51293" xr:uid="{00000000-0005-0000-0000-0000945B0000}"/>
    <cellStyle name="40% - Accent5 3 5 2 5 4" xfId="36794" xr:uid="{00000000-0005-0000-0000-0000955B0000}"/>
    <cellStyle name="40% - Accent5 3 5 2 6" xfId="8793" xr:uid="{00000000-0005-0000-0000-0000965B0000}"/>
    <cellStyle name="40% - Accent5 3 5 2 6 2" xfId="23327" xr:uid="{00000000-0005-0000-0000-0000975B0000}"/>
    <cellStyle name="40% - Accent5 3 5 2 6 2 2" xfId="52333" xr:uid="{00000000-0005-0000-0000-0000985B0000}"/>
    <cellStyle name="40% - Accent5 3 5 2 6 3" xfId="37834" xr:uid="{00000000-0005-0000-0000-0000995B0000}"/>
    <cellStyle name="40% - Accent5 3 5 2 7" xfId="16079" xr:uid="{00000000-0005-0000-0000-00009A5B0000}"/>
    <cellStyle name="40% - Accent5 3 5 2 7 2" xfId="45085" xr:uid="{00000000-0005-0000-0000-00009B5B0000}"/>
    <cellStyle name="40% - Accent5 3 5 2 8" xfId="30586" xr:uid="{00000000-0005-0000-0000-00009C5B0000}"/>
    <cellStyle name="40% - Accent5 3 5 3" xfId="2049" xr:uid="{00000000-0005-0000-0000-00009D5B0000}"/>
    <cellStyle name="40% - Accent5 3 5 3 2" xfId="5153" xr:uid="{00000000-0005-0000-0000-00009E5B0000}"/>
    <cellStyle name="40% - Accent5 3 5 3 2 2" xfId="12425" xr:uid="{00000000-0005-0000-0000-00009F5B0000}"/>
    <cellStyle name="40% - Accent5 3 5 3 2 2 2" xfId="26959" xr:uid="{00000000-0005-0000-0000-0000A05B0000}"/>
    <cellStyle name="40% - Accent5 3 5 3 2 2 2 2" xfId="55965" xr:uid="{00000000-0005-0000-0000-0000A15B0000}"/>
    <cellStyle name="40% - Accent5 3 5 3 2 2 3" xfId="41466" xr:uid="{00000000-0005-0000-0000-0000A25B0000}"/>
    <cellStyle name="40% - Accent5 3 5 3 2 3" xfId="19711" xr:uid="{00000000-0005-0000-0000-0000A35B0000}"/>
    <cellStyle name="40% - Accent5 3 5 3 2 3 2" xfId="48717" xr:uid="{00000000-0005-0000-0000-0000A45B0000}"/>
    <cellStyle name="40% - Accent5 3 5 3 2 4" xfId="34218" xr:uid="{00000000-0005-0000-0000-0000A55B0000}"/>
    <cellStyle name="40% - Accent5 3 5 3 3" xfId="9321" xr:uid="{00000000-0005-0000-0000-0000A65B0000}"/>
    <cellStyle name="40% - Accent5 3 5 3 3 2" xfId="23855" xr:uid="{00000000-0005-0000-0000-0000A75B0000}"/>
    <cellStyle name="40% - Accent5 3 5 3 3 2 2" xfId="52861" xr:uid="{00000000-0005-0000-0000-0000A85B0000}"/>
    <cellStyle name="40% - Accent5 3 5 3 3 3" xfId="38362" xr:uid="{00000000-0005-0000-0000-0000A95B0000}"/>
    <cellStyle name="40% - Accent5 3 5 3 4" xfId="16607" xr:uid="{00000000-0005-0000-0000-0000AA5B0000}"/>
    <cellStyle name="40% - Accent5 3 5 3 4 2" xfId="45613" xr:uid="{00000000-0005-0000-0000-0000AB5B0000}"/>
    <cellStyle name="40% - Accent5 3 5 3 5" xfId="31114" xr:uid="{00000000-0005-0000-0000-0000AC5B0000}"/>
    <cellStyle name="40% - Accent5 3 5 4" xfId="3081" xr:uid="{00000000-0005-0000-0000-0000AD5B0000}"/>
    <cellStyle name="40% - Accent5 3 5 4 2" xfId="6185" xr:uid="{00000000-0005-0000-0000-0000AE5B0000}"/>
    <cellStyle name="40% - Accent5 3 5 4 2 2" xfId="13457" xr:uid="{00000000-0005-0000-0000-0000AF5B0000}"/>
    <cellStyle name="40% - Accent5 3 5 4 2 2 2" xfId="27991" xr:uid="{00000000-0005-0000-0000-0000B05B0000}"/>
    <cellStyle name="40% - Accent5 3 5 4 2 2 2 2" xfId="56997" xr:uid="{00000000-0005-0000-0000-0000B15B0000}"/>
    <cellStyle name="40% - Accent5 3 5 4 2 2 3" xfId="42498" xr:uid="{00000000-0005-0000-0000-0000B25B0000}"/>
    <cellStyle name="40% - Accent5 3 5 4 2 3" xfId="20743" xr:uid="{00000000-0005-0000-0000-0000B35B0000}"/>
    <cellStyle name="40% - Accent5 3 5 4 2 3 2" xfId="49749" xr:uid="{00000000-0005-0000-0000-0000B45B0000}"/>
    <cellStyle name="40% - Accent5 3 5 4 2 4" xfId="35250" xr:uid="{00000000-0005-0000-0000-0000B55B0000}"/>
    <cellStyle name="40% - Accent5 3 5 4 3" xfId="10353" xr:uid="{00000000-0005-0000-0000-0000B65B0000}"/>
    <cellStyle name="40% - Accent5 3 5 4 3 2" xfId="24887" xr:uid="{00000000-0005-0000-0000-0000B75B0000}"/>
    <cellStyle name="40% - Accent5 3 5 4 3 2 2" xfId="53893" xr:uid="{00000000-0005-0000-0000-0000B85B0000}"/>
    <cellStyle name="40% - Accent5 3 5 4 3 3" xfId="39394" xr:uid="{00000000-0005-0000-0000-0000B95B0000}"/>
    <cellStyle name="40% - Accent5 3 5 4 4" xfId="17639" xr:uid="{00000000-0005-0000-0000-0000BA5B0000}"/>
    <cellStyle name="40% - Accent5 3 5 4 4 2" xfId="46645" xr:uid="{00000000-0005-0000-0000-0000BB5B0000}"/>
    <cellStyle name="40% - Accent5 3 5 4 5" xfId="32146" xr:uid="{00000000-0005-0000-0000-0000BC5B0000}"/>
    <cellStyle name="40% - Accent5 3 5 5" xfId="4113" xr:uid="{00000000-0005-0000-0000-0000BD5B0000}"/>
    <cellStyle name="40% - Accent5 3 5 5 2" xfId="11385" xr:uid="{00000000-0005-0000-0000-0000BE5B0000}"/>
    <cellStyle name="40% - Accent5 3 5 5 2 2" xfId="25919" xr:uid="{00000000-0005-0000-0000-0000BF5B0000}"/>
    <cellStyle name="40% - Accent5 3 5 5 2 2 2" xfId="54925" xr:uid="{00000000-0005-0000-0000-0000C05B0000}"/>
    <cellStyle name="40% - Accent5 3 5 5 2 3" xfId="40426" xr:uid="{00000000-0005-0000-0000-0000C15B0000}"/>
    <cellStyle name="40% - Accent5 3 5 5 3" xfId="18671" xr:uid="{00000000-0005-0000-0000-0000C25B0000}"/>
    <cellStyle name="40% - Accent5 3 5 5 3 2" xfId="47677" xr:uid="{00000000-0005-0000-0000-0000C35B0000}"/>
    <cellStyle name="40% - Accent5 3 5 5 4" xfId="33178" xr:uid="{00000000-0005-0000-0000-0000C45B0000}"/>
    <cellStyle name="40% - Accent5 3 5 6" xfId="7217" xr:uid="{00000000-0005-0000-0000-0000C55B0000}"/>
    <cellStyle name="40% - Accent5 3 5 6 2" xfId="14489" xr:uid="{00000000-0005-0000-0000-0000C65B0000}"/>
    <cellStyle name="40% - Accent5 3 5 6 2 2" xfId="29023" xr:uid="{00000000-0005-0000-0000-0000C75B0000}"/>
    <cellStyle name="40% - Accent5 3 5 6 2 2 2" xfId="58029" xr:uid="{00000000-0005-0000-0000-0000C85B0000}"/>
    <cellStyle name="40% - Accent5 3 5 6 2 3" xfId="43530" xr:uid="{00000000-0005-0000-0000-0000C95B0000}"/>
    <cellStyle name="40% - Accent5 3 5 6 3" xfId="21775" xr:uid="{00000000-0005-0000-0000-0000CA5B0000}"/>
    <cellStyle name="40% - Accent5 3 5 6 3 2" xfId="50781" xr:uid="{00000000-0005-0000-0000-0000CB5B0000}"/>
    <cellStyle name="40% - Accent5 3 5 6 4" xfId="36282" xr:uid="{00000000-0005-0000-0000-0000CC5B0000}"/>
    <cellStyle name="40% - Accent5 3 5 7" xfId="8281" xr:uid="{00000000-0005-0000-0000-0000CD5B0000}"/>
    <cellStyle name="40% - Accent5 3 5 7 2" xfId="22815" xr:uid="{00000000-0005-0000-0000-0000CE5B0000}"/>
    <cellStyle name="40% - Accent5 3 5 7 2 2" xfId="51821" xr:uid="{00000000-0005-0000-0000-0000CF5B0000}"/>
    <cellStyle name="40% - Accent5 3 5 7 3" xfId="37322" xr:uid="{00000000-0005-0000-0000-0000D05B0000}"/>
    <cellStyle name="40% - Accent5 3 5 8" xfId="15567" xr:uid="{00000000-0005-0000-0000-0000D15B0000}"/>
    <cellStyle name="40% - Accent5 3 5 8 2" xfId="44573" xr:uid="{00000000-0005-0000-0000-0000D25B0000}"/>
    <cellStyle name="40% - Accent5 3 5 9" xfId="30074" xr:uid="{00000000-0005-0000-0000-0000D35B0000}"/>
    <cellStyle name="40% - Accent5 3 6" xfId="1299" xr:uid="{00000000-0005-0000-0000-0000D45B0000}"/>
    <cellStyle name="40% - Accent5 3 6 2" xfId="2355" xr:uid="{00000000-0005-0000-0000-0000D55B0000}"/>
    <cellStyle name="40% - Accent5 3 6 2 2" xfId="5459" xr:uid="{00000000-0005-0000-0000-0000D65B0000}"/>
    <cellStyle name="40% - Accent5 3 6 2 2 2" xfId="12731" xr:uid="{00000000-0005-0000-0000-0000D75B0000}"/>
    <cellStyle name="40% - Accent5 3 6 2 2 2 2" xfId="27265" xr:uid="{00000000-0005-0000-0000-0000D85B0000}"/>
    <cellStyle name="40% - Accent5 3 6 2 2 2 2 2" xfId="56271" xr:uid="{00000000-0005-0000-0000-0000D95B0000}"/>
    <cellStyle name="40% - Accent5 3 6 2 2 2 3" xfId="41772" xr:uid="{00000000-0005-0000-0000-0000DA5B0000}"/>
    <cellStyle name="40% - Accent5 3 6 2 2 3" xfId="20017" xr:uid="{00000000-0005-0000-0000-0000DB5B0000}"/>
    <cellStyle name="40% - Accent5 3 6 2 2 3 2" xfId="49023" xr:uid="{00000000-0005-0000-0000-0000DC5B0000}"/>
    <cellStyle name="40% - Accent5 3 6 2 2 4" xfId="34524" xr:uid="{00000000-0005-0000-0000-0000DD5B0000}"/>
    <cellStyle name="40% - Accent5 3 6 2 3" xfId="9627" xr:uid="{00000000-0005-0000-0000-0000DE5B0000}"/>
    <cellStyle name="40% - Accent5 3 6 2 3 2" xfId="24161" xr:uid="{00000000-0005-0000-0000-0000DF5B0000}"/>
    <cellStyle name="40% - Accent5 3 6 2 3 2 2" xfId="53167" xr:uid="{00000000-0005-0000-0000-0000E05B0000}"/>
    <cellStyle name="40% - Accent5 3 6 2 3 3" xfId="38668" xr:uid="{00000000-0005-0000-0000-0000E15B0000}"/>
    <cellStyle name="40% - Accent5 3 6 2 4" xfId="16913" xr:uid="{00000000-0005-0000-0000-0000E25B0000}"/>
    <cellStyle name="40% - Accent5 3 6 2 4 2" xfId="45919" xr:uid="{00000000-0005-0000-0000-0000E35B0000}"/>
    <cellStyle name="40% - Accent5 3 6 2 5" xfId="31420" xr:uid="{00000000-0005-0000-0000-0000E45B0000}"/>
    <cellStyle name="40% - Accent5 3 6 3" xfId="3387" xr:uid="{00000000-0005-0000-0000-0000E55B0000}"/>
    <cellStyle name="40% - Accent5 3 6 3 2" xfId="6491" xr:uid="{00000000-0005-0000-0000-0000E65B0000}"/>
    <cellStyle name="40% - Accent5 3 6 3 2 2" xfId="13763" xr:uid="{00000000-0005-0000-0000-0000E75B0000}"/>
    <cellStyle name="40% - Accent5 3 6 3 2 2 2" xfId="28297" xr:uid="{00000000-0005-0000-0000-0000E85B0000}"/>
    <cellStyle name="40% - Accent5 3 6 3 2 2 2 2" xfId="57303" xr:uid="{00000000-0005-0000-0000-0000E95B0000}"/>
    <cellStyle name="40% - Accent5 3 6 3 2 2 3" xfId="42804" xr:uid="{00000000-0005-0000-0000-0000EA5B0000}"/>
    <cellStyle name="40% - Accent5 3 6 3 2 3" xfId="21049" xr:uid="{00000000-0005-0000-0000-0000EB5B0000}"/>
    <cellStyle name="40% - Accent5 3 6 3 2 3 2" xfId="50055" xr:uid="{00000000-0005-0000-0000-0000EC5B0000}"/>
    <cellStyle name="40% - Accent5 3 6 3 2 4" xfId="35556" xr:uid="{00000000-0005-0000-0000-0000ED5B0000}"/>
    <cellStyle name="40% - Accent5 3 6 3 3" xfId="10659" xr:uid="{00000000-0005-0000-0000-0000EE5B0000}"/>
    <cellStyle name="40% - Accent5 3 6 3 3 2" xfId="25193" xr:uid="{00000000-0005-0000-0000-0000EF5B0000}"/>
    <cellStyle name="40% - Accent5 3 6 3 3 2 2" xfId="54199" xr:uid="{00000000-0005-0000-0000-0000F05B0000}"/>
    <cellStyle name="40% - Accent5 3 6 3 3 3" xfId="39700" xr:uid="{00000000-0005-0000-0000-0000F15B0000}"/>
    <cellStyle name="40% - Accent5 3 6 3 4" xfId="17945" xr:uid="{00000000-0005-0000-0000-0000F25B0000}"/>
    <cellStyle name="40% - Accent5 3 6 3 4 2" xfId="46951" xr:uid="{00000000-0005-0000-0000-0000F35B0000}"/>
    <cellStyle name="40% - Accent5 3 6 3 5" xfId="32452" xr:uid="{00000000-0005-0000-0000-0000F45B0000}"/>
    <cellStyle name="40% - Accent5 3 6 4" xfId="4419" xr:uid="{00000000-0005-0000-0000-0000F55B0000}"/>
    <cellStyle name="40% - Accent5 3 6 4 2" xfId="11691" xr:uid="{00000000-0005-0000-0000-0000F65B0000}"/>
    <cellStyle name="40% - Accent5 3 6 4 2 2" xfId="26225" xr:uid="{00000000-0005-0000-0000-0000F75B0000}"/>
    <cellStyle name="40% - Accent5 3 6 4 2 2 2" xfId="55231" xr:uid="{00000000-0005-0000-0000-0000F85B0000}"/>
    <cellStyle name="40% - Accent5 3 6 4 2 3" xfId="40732" xr:uid="{00000000-0005-0000-0000-0000F95B0000}"/>
    <cellStyle name="40% - Accent5 3 6 4 3" xfId="18977" xr:uid="{00000000-0005-0000-0000-0000FA5B0000}"/>
    <cellStyle name="40% - Accent5 3 6 4 3 2" xfId="47983" xr:uid="{00000000-0005-0000-0000-0000FB5B0000}"/>
    <cellStyle name="40% - Accent5 3 6 4 4" xfId="33484" xr:uid="{00000000-0005-0000-0000-0000FC5B0000}"/>
    <cellStyle name="40% - Accent5 3 6 5" xfId="7523" xr:uid="{00000000-0005-0000-0000-0000FD5B0000}"/>
    <cellStyle name="40% - Accent5 3 6 5 2" xfId="14795" xr:uid="{00000000-0005-0000-0000-0000FE5B0000}"/>
    <cellStyle name="40% - Accent5 3 6 5 2 2" xfId="29329" xr:uid="{00000000-0005-0000-0000-0000FF5B0000}"/>
    <cellStyle name="40% - Accent5 3 6 5 2 2 2" xfId="58335" xr:uid="{00000000-0005-0000-0000-0000005C0000}"/>
    <cellStyle name="40% - Accent5 3 6 5 2 3" xfId="43836" xr:uid="{00000000-0005-0000-0000-0000015C0000}"/>
    <cellStyle name="40% - Accent5 3 6 5 3" xfId="22081" xr:uid="{00000000-0005-0000-0000-0000025C0000}"/>
    <cellStyle name="40% - Accent5 3 6 5 3 2" xfId="51087" xr:uid="{00000000-0005-0000-0000-0000035C0000}"/>
    <cellStyle name="40% - Accent5 3 6 5 4" xfId="36588" xr:uid="{00000000-0005-0000-0000-0000045C0000}"/>
    <cellStyle name="40% - Accent5 3 6 6" xfId="8587" xr:uid="{00000000-0005-0000-0000-0000055C0000}"/>
    <cellStyle name="40% - Accent5 3 6 6 2" xfId="23121" xr:uid="{00000000-0005-0000-0000-0000065C0000}"/>
    <cellStyle name="40% - Accent5 3 6 6 2 2" xfId="52127" xr:uid="{00000000-0005-0000-0000-0000075C0000}"/>
    <cellStyle name="40% - Accent5 3 6 6 3" xfId="37628" xr:uid="{00000000-0005-0000-0000-0000085C0000}"/>
    <cellStyle name="40% - Accent5 3 6 7" xfId="15873" xr:uid="{00000000-0005-0000-0000-0000095C0000}"/>
    <cellStyle name="40% - Accent5 3 6 7 2" xfId="44879" xr:uid="{00000000-0005-0000-0000-00000A5C0000}"/>
    <cellStyle name="40% - Accent5 3 6 8" xfId="30380" xr:uid="{00000000-0005-0000-0000-00000B5C0000}"/>
    <cellStyle name="40% - Accent5 3 7" xfId="1843" xr:uid="{00000000-0005-0000-0000-00000C5C0000}"/>
    <cellStyle name="40% - Accent5 3 7 2" xfId="4947" xr:uid="{00000000-0005-0000-0000-00000D5C0000}"/>
    <cellStyle name="40% - Accent5 3 7 2 2" xfId="12219" xr:uid="{00000000-0005-0000-0000-00000E5C0000}"/>
    <cellStyle name="40% - Accent5 3 7 2 2 2" xfId="26753" xr:uid="{00000000-0005-0000-0000-00000F5C0000}"/>
    <cellStyle name="40% - Accent5 3 7 2 2 2 2" xfId="55759" xr:uid="{00000000-0005-0000-0000-0000105C0000}"/>
    <cellStyle name="40% - Accent5 3 7 2 2 3" xfId="41260" xr:uid="{00000000-0005-0000-0000-0000115C0000}"/>
    <cellStyle name="40% - Accent5 3 7 2 3" xfId="19505" xr:uid="{00000000-0005-0000-0000-0000125C0000}"/>
    <cellStyle name="40% - Accent5 3 7 2 3 2" xfId="48511" xr:uid="{00000000-0005-0000-0000-0000135C0000}"/>
    <cellStyle name="40% - Accent5 3 7 2 4" xfId="34012" xr:uid="{00000000-0005-0000-0000-0000145C0000}"/>
    <cellStyle name="40% - Accent5 3 7 3" xfId="9115" xr:uid="{00000000-0005-0000-0000-0000155C0000}"/>
    <cellStyle name="40% - Accent5 3 7 3 2" xfId="23649" xr:uid="{00000000-0005-0000-0000-0000165C0000}"/>
    <cellStyle name="40% - Accent5 3 7 3 2 2" xfId="52655" xr:uid="{00000000-0005-0000-0000-0000175C0000}"/>
    <cellStyle name="40% - Accent5 3 7 3 3" xfId="38156" xr:uid="{00000000-0005-0000-0000-0000185C0000}"/>
    <cellStyle name="40% - Accent5 3 7 4" xfId="16401" xr:uid="{00000000-0005-0000-0000-0000195C0000}"/>
    <cellStyle name="40% - Accent5 3 7 4 2" xfId="45407" xr:uid="{00000000-0005-0000-0000-00001A5C0000}"/>
    <cellStyle name="40% - Accent5 3 7 5" xfId="30908" xr:uid="{00000000-0005-0000-0000-00001B5C0000}"/>
    <cellStyle name="40% - Accent5 3 8" xfId="2875" xr:uid="{00000000-0005-0000-0000-00001C5C0000}"/>
    <cellStyle name="40% - Accent5 3 8 2" xfId="5979" xr:uid="{00000000-0005-0000-0000-00001D5C0000}"/>
    <cellStyle name="40% - Accent5 3 8 2 2" xfId="13251" xr:uid="{00000000-0005-0000-0000-00001E5C0000}"/>
    <cellStyle name="40% - Accent5 3 8 2 2 2" xfId="27785" xr:uid="{00000000-0005-0000-0000-00001F5C0000}"/>
    <cellStyle name="40% - Accent5 3 8 2 2 2 2" xfId="56791" xr:uid="{00000000-0005-0000-0000-0000205C0000}"/>
    <cellStyle name="40% - Accent5 3 8 2 2 3" xfId="42292" xr:uid="{00000000-0005-0000-0000-0000215C0000}"/>
    <cellStyle name="40% - Accent5 3 8 2 3" xfId="20537" xr:uid="{00000000-0005-0000-0000-0000225C0000}"/>
    <cellStyle name="40% - Accent5 3 8 2 3 2" xfId="49543" xr:uid="{00000000-0005-0000-0000-0000235C0000}"/>
    <cellStyle name="40% - Accent5 3 8 2 4" xfId="35044" xr:uid="{00000000-0005-0000-0000-0000245C0000}"/>
    <cellStyle name="40% - Accent5 3 8 3" xfId="10147" xr:uid="{00000000-0005-0000-0000-0000255C0000}"/>
    <cellStyle name="40% - Accent5 3 8 3 2" xfId="24681" xr:uid="{00000000-0005-0000-0000-0000265C0000}"/>
    <cellStyle name="40% - Accent5 3 8 3 2 2" xfId="53687" xr:uid="{00000000-0005-0000-0000-0000275C0000}"/>
    <cellStyle name="40% - Accent5 3 8 3 3" xfId="39188" xr:uid="{00000000-0005-0000-0000-0000285C0000}"/>
    <cellStyle name="40% - Accent5 3 8 4" xfId="17433" xr:uid="{00000000-0005-0000-0000-0000295C0000}"/>
    <cellStyle name="40% - Accent5 3 8 4 2" xfId="46439" xr:uid="{00000000-0005-0000-0000-00002A5C0000}"/>
    <cellStyle name="40% - Accent5 3 8 5" xfId="31940" xr:uid="{00000000-0005-0000-0000-00002B5C0000}"/>
    <cellStyle name="40% - Accent5 3 9" xfId="3907" xr:uid="{00000000-0005-0000-0000-00002C5C0000}"/>
    <cellStyle name="40% - Accent5 3 9 2" xfId="11179" xr:uid="{00000000-0005-0000-0000-00002D5C0000}"/>
    <cellStyle name="40% - Accent5 3 9 2 2" xfId="25713" xr:uid="{00000000-0005-0000-0000-00002E5C0000}"/>
    <cellStyle name="40% - Accent5 3 9 2 2 2" xfId="54719" xr:uid="{00000000-0005-0000-0000-00002F5C0000}"/>
    <cellStyle name="40% - Accent5 3 9 2 3" xfId="40220" xr:uid="{00000000-0005-0000-0000-0000305C0000}"/>
    <cellStyle name="40% - Accent5 3 9 3" xfId="18465" xr:uid="{00000000-0005-0000-0000-0000315C0000}"/>
    <cellStyle name="40% - Accent5 3 9 3 2" xfId="47471" xr:uid="{00000000-0005-0000-0000-0000325C0000}"/>
    <cellStyle name="40% - Accent5 3 9 4" xfId="32972" xr:uid="{00000000-0005-0000-0000-0000335C0000}"/>
    <cellStyle name="40% - Accent5 4" xfId="873" xr:uid="{00000000-0005-0000-0000-0000345C0000}"/>
    <cellStyle name="40% - Accent5 4 10" xfId="8103" xr:uid="{00000000-0005-0000-0000-0000355C0000}"/>
    <cellStyle name="40% - Accent5 4 10 2" xfId="22637" xr:uid="{00000000-0005-0000-0000-0000365C0000}"/>
    <cellStyle name="40% - Accent5 4 10 2 2" xfId="51643" xr:uid="{00000000-0005-0000-0000-0000375C0000}"/>
    <cellStyle name="40% - Accent5 4 10 3" xfId="37144" xr:uid="{00000000-0005-0000-0000-0000385C0000}"/>
    <cellStyle name="40% - Accent5 4 11" xfId="15389" xr:uid="{00000000-0005-0000-0000-0000395C0000}"/>
    <cellStyle name="40% - Accent5 4 11 2" xfId="44395" xr:uid="{00000000-0005-0000-0000-00003A5C0000}"/>
    <cellStyle name="40% - Accent5 4 12" xfId="29896" xr:uid="{00000000-0005-0000-0000-00003B5C0000}"/>
    <cellStyle name="40% - Accent5 4 2" xfId="953" xr:uid="{00000000-0005-0000-0000-00003C5C0000}"/>
    <cellStyle name="40% - Accent5 4 2 10" xfId="29999" xr:uid="{00000000-0005-0000-0000-00003D5C0000}"/>
    <cellStyle name="40% - Accent5 4 2 2" xfId="1228" xr:uid="{00000000-0005-0000-0000-00003E5C0000}"/>
    <cellStyle name="40% - Accent5 4 2 2 2" xfId="1733" xr:uid="{00000000-0005-0000-0000-00003F5C0000}"/>
    <cellStyle name="40% - Accent5 4 2 2 2 2" xfId="2792" xr:uid="{00000000-0005-0000-0000-0000405C0000}"/>
    <cellStyle name="40% - Accent5 4 2 2 2 2 2" xfId="5896" xr:uid="{00000000-0005-0000-0000-0000415C0000}"/>
    <cellStyle name="40% - Accent5 4 2 2 2 2 2 2" xfId="13168" xr:uid="{00000000-0005-0000-0000-0000425C0000}"/>
    <cellStyle name="40% - Accent5 4 2 2 2 2 2 2 2" xfId="27702" xr:uid="{00000000-0005-0000-0000-0000435C0000}"/>
    <cellStyle name="40% - Accent5 4 2 2 2 2 2 2 2 2" xfId="56708" xr:uid="{00000000-0005-0000-0000-0000445C0000}"/>
    <cellStyle name="40% - Accent5 4 2 2 2 2 2 2 3" xfId="42209" xr:uid="{00000000-0005-0000-0000-0000455C0000}"/>
    <cellStyle name="40% - Accent5 4 2 2 2 2 2 3" xfId="20454" xr:uid="{00000000-0005-0000-0000-0000465C0000}"/>
    <cellStyle name="40% - Accent5 4 2 2 2 2 2 3 2" xfId="49460" xr:uid="{00000000-0005-0000-0000-0000475C0000}"/>
    <cellStyle name="40% - Accent5 4 2 2 2 2 2 4" xfId="34961" xr:uid="{00000000-0005-0000-0000-0000485C0000}"/>
    <cellStyle name="40% - Accent5 4 2 2 2 2 3" xfId="10064" xr:uid="{00000000-0005-0000-0000-0000495C0000}"/>
    <cellStyle name="40% - Accent5 4 2 2 2 2 3 2" xfId="24598" xr:uid="{00000000-0005-0000-0000-00004A5C0000}"/>
    <cellStyle name="40% - Accent5 4 2 2 2 2 3 2 2" xfId="53604" xr:uid="{00000000-0005-0000-0000-00004B5C0000}"/>
    <cellStyle name="40% - Accent5 4 2 2 2 2 3 3" xfId="39105" xr:uid="{00000000-0005-0000-0000-00004C5C0000}"/>
    <cellStyle name="40% - Accent5 4 2 2 2 2 4" xfId="17350" xr:uid="{00000000-0005-0000-0000-00004D5C0000}"/>
    <cellStyle name="40% - Accent5 4 2 2 2 2 4 2" xfId="46356" xr:uid="{00000000-0005-0000-0000-00004E5C0000}"/>
    <cellStyle name="40% - Accent5 4 2 2 2 2 5" xfId="31857" xr:uid="{00000000-0005-0000-0000-00004F5C0000}"/>
    <cellStyle name="40% - Accent5 4 2 2 2 3" xfId="3824" xr:uid="{00000000-0005-0000-0000-0000505C0000}"/>
    <cellStyle name="40% - Accent5 4 2 2 2 3 2" xfId="6928" xr:uid="{00000000-0005-0000-0000-0000515C0000}"/>
    <cellStyle name="40% - Accent5 4 2 2 2 3 2 2" xfId="14200" xr:uid="{00000000-0005-0000-0000-0000525C0000}"/>
    <cellStyle name="40% - Accent5 4 2 2 2 3 2 2 2" xfId="28734" xr:uid="{00000000-0005-0000-0000-0000535C0000}"/>
    <cellStyle name="40% - Accent5 4 2 2 2 3 2 2 2 2" xfId="57740" xr:uid="{00000000-0005-0000-0000-0000545C0000}"/>
    <cellStyle name="40% - Accent5 4 2 2 2 3 2 2 3" xfId="43241" xr:uid="{00000000-0005-0000-0000-0000555C0000}"/>
    <cellStyle name="40% - Accent5 4 2 2 2 3 2 3" xfId="21486" xr:uid="{00000000-0005-0000-0000-0000565C0000}"/>
    <cellStyle name="40% - Accent5 4 2 2 2 3 2 3 2" xfId="50492" xr:uid="{00000000-0005-0000-0000-0000575C0000}"/>
    <cellStyle name="40% - Accent5 4 2 2 2 3 2 4" xfId="35993" xr:uid="{00000000-0005-0000-0000-0000585C0000}"/>
    <cellStyle name="40% - Accent5 4 2 2 2 3 3" xfId="11096" xr:uid="{00000000-0005-0000-0000-0000595C0000}"/>
    <cellStyle name="40% - Accent5 4 2 2 2 3 3 2" xfId="25630" xr:uid="{00000000-0005-0000-0000-00005A5C0000}"/>
    <cellStyle name="40% - Accent5 4 2 2 2 3 3 2 2" xfId="54636" xr:uid="{00000000-0005-0000-0000-00005B5C0000}"/>
    <cellStyle name="40% - Accent5 4 2 2 2 3 3 3" xfId="40137" xr:uid="{00000000-0005-0000-0000-00005C5C0000}"/>
    <cellStyle name="40% - Accent5 4 2 2 2 3 4" xfId="18382" xr:uid="{00000000-0005-0000-0000-00005D5C0000}"/>
    <cellStyle name="40% - Accent5 4 2 2 2 3 4 2" xfId="47388" xr:uid="{00000000-0005-0000-0000-00005E5C0000}"/>
    <cellStyle name="40% - Accent5 4 2 2 2 3 5" xfId="32889" xr:uid="{00000000-0005-0000-0000-00005F5C0000}"/>
    <cellStyle name="40% - Accent5 4 2 2 2 4" xfId="4856" xr:uid="{00000000-0005-0000-0000-0000605C0000}"/>
    <cellStyle name="40% - Accent5 4 2 2 2 4 2" xfId="12128" xr:uid="{00000000-0005-0000-0000-0000615C0000}"/>
    <cellStyle name="40% - Accent5 4 2 2 2 4 2 2" xfId="26662" xr:uid="{00000000-0005-0000-0000-0000625C0000}"/>
    <cellStyle name="40% - Accent5 4 2 2 2 4 2 2 2" xfId="55668" xr:uid="{00000000-0005-0000-0000-0000635C0000}"/>
    <cellStyle name="40% - Accent5 4 2 2 2 4 2 3" xfId="41169" xr:uid="{00000000-0005-0000-0000-0000645C0000}"/>
    <cellStyle name="40% - Accent5 4 2 2 2 4 3" xfId="19414" xr:uid="{00000000-0005-0000-0000-0000655C0000}"/>
    <cellStyle name="40% - Accent5 4 2 2 2 4 3 2" xfId="48420" xr:uid="{00000000-0005-0000-0000-0000665C0000}"/>
    <cellStyle name="40% - Accent5 4 2 2 2 4 4" xfId="33921" xr:uid="{00000000-0005-0000-0000-0000675C0000}"/>
    <cellStyle name="40% - Accent5 4 2 2 2 5" xfId="7960" xr:uid="{00000000-0005-0000-0000-0000685C0000}"/>
    <cellStyle name="40% - Accent5 4 2 2 2 5 2" xfId="15232" xr:uid="{00000000-0005-0000-0000-0000695C0000}"/>
    <cellStyle name="40% - Accent5 4 2 2 2 5 2 2" xfId="29766" xr:uid="{00000000-0005-0000-0000-00006A5C0000}"/>
    <cellStyle name="40% - Accent5 4 2 2 2 5 2 2 2" xfId="58772" xr:uid="{00000000-0005-0000-0000-00006B5C0000}"/>
    <cellStyle name="40% - Accent5 4 2 2 2 5 2 3" xfId="44273" xr:uid="{00000000-0005-0000-0000-00006C5C0000}"/>
    <cellStyle name="40% - Accent5 4 2 2 2 5 3" xfId="22518" xr:uid="{00000000-0005-0000-0000-00006D5C0000}"/>
    <cellStyle name="40% - Accent5 4 2 2 2 5 3 2" xfId="51524" xr:uid="{00000000-0005-0000-0000-00006E5C0000}"/>
    <cellStyle name="40% - Accent5 4 2 2 2 5 4" xfId="37025" xr:uid="{00000000-0005-0000-0000-00006F5C0000}"/>
    <cellStyle name="40% - Accent5 4 2 2 2 6" xfId="9024" xr:uid="{00000000-0005-0000-0000-0000705C0000}"/>
    <cellStyle name="40% - Accent5 4 2 2 2 6 2" xfId="23558" xr:uid="{00000000-0005-0000-0000-0000715C0000}"/>
    <cellStyle name="40% - Accent5 4 2 2 2 6 2 2" xfId="52564" xr:uid="{00000000-0005-0000-0000-0000725C0000}"/>
    <cellStyle name="40% - Accent5 4 2 2 2 6 3" xfId="38065" xr:uid="{00000000-0005-0000-0000-0000735C0000}"/>
    <cellStyle name="40% - Accent5 4 2 2 2 7" xfId="16310" xr:uid="{00000000-0005-0000-0000-0000745C0000}"/>
    <cellStyle name="40% - Accent5 4 2 2 2 7 2" xfId="45316" xr:uid="{00000000-0005-0000-0000-0000755C0000}"/>
    <cellStyle name="40% - Accent5 4 2 2 2 8" xfId="30817" xr:uid="{00000000-0005-0000-0000-0000765C0000}"/>
    <cellStyle name="40% - Accent5 4 2 2 3" xfId="2280" xr:uid="{00000000-0005-0000-0000-0000775C0000}"/>
    <cellStyle name="40% - Accent5 4 2 2 3 2" xfId="5384" xr:uid="{00000000-0005-0000-0000-0000785C0000}"/>
    <cellStyle name="40% - Accent5 4 2 2 3 2 2" xfId="12656" xr:uid="{00000000-0005-0000-0000-0000795C0000}"/>
    <cellStyle name="40% - Accent5 4 2 2 3 2 2 2" xfId="27190" xr:uid="{00000000-0005-0000-0000-00007A5C0000}"/>
    <cellStyle name="40% - Accent5 4 2 2 3 2 2 2 2" xfId="56196" xr:uid="{00000000-0005-0000-0000-00007B5C0000}"/>
    <cellStyle name="40% - Accent5 4 2 2 3 2 2 3" xfId="41697" xr:uid="{00000000-0005-0000-0000-00007C5C0000}"/>
    <cellStyle name="40% - Accent5 4 2 2 3 2 3" xfId="19942" xr:uid="{00000000-0005-0000-0000-00007D5C0000}"/>
    <cellStyle name="40% - Accent5 4 2 2 3 2 3 2" xfId="48948" xr:uid="{00000000-0005-0000-0000-00007E5C0000}"/>
    <cellStyle name="40% - Accent5 4 2 2 3 2 4" xfId="34449" xr:uid="{00000000-0005-0000-0000-00007F5C0000}"/>
    <cellStyle name="40% - Accent5 4 2 2 3 3" xfId="9552" xr:uid="{00000000-0005-0000-0000-0000805C0000}"/>
    <cellStyle name="40% - Accent5 4 2 2 3 3 2" xfId="24086" xr:uid="{00000000-0005-0000-0000-0000815C0000}"/>
    <cellStyle name="40% - Accent5 4 2 2 3 3 2 2" xfId="53092" xr:uid="{00000000-0005-0000-0000-0000825C0000}"/>
    <cellStyle name="40% - Accent5 4 2 2 3 3 3" xfId="38593" xr:uid="{00000000-0005-0000-0000-0000835C0000}"/>
    <cellStyle name="40% - Accent5 4 2 2 3 4" xfId="16838" xr:uid="{00000000-0005-0000-0000-0000845C0000}"/>
    <cellStyle name="40% - Accent5 4 2 2 3 4 2" xfId="45844" xr:uid="{00000000-0005-0000-0000-0000855C0000}"/>
    <cellStyle name="40% - Accent5 4 2 2 3 5" xfId="31345" xr:uid="{00000000-0005-0000-0000-0000865C0000}"/>
    <cellStyle name="40% - Accent5 4 2 2 4" xfId="3312" xr:uid="{00000000-0005-0000-0000-0000875C0000}"/>
    <cellStyle name="40% - Accent5 4 2 2 4 2" xfId="6416" xr:uid="{00000000-0005-0000-0000-0000885C0000}"/>
    <cellStyle name="40% - Accent5 4 2 2 4 2 2" xfId="13688" xr:uid="{00000000-0005-0000-0000-0000895C0000}"/>
    <cellStyle name="40% - Accent5 4 2 2 4 2 2 2" xfId="28222" xr:uid="{00000000-0005-0000-0000-00008A5C0000}"/>
    <cellStyle name="40% - Accent5 4 2 2 4 2 2 2 2" xfId="57228" xr:uid="{00000000-0005-0000-0000-00008B5C0000}"/>
    <cellStyle name="40% - Accent5 4 2 2 4 2 2 3" xfId="42729" xr:uid="{00000000-0005-0000-0000-00008C5C0000}"/>
    <cellStyle name="40% - Accent5 4 2 2 4 2 3" xfId="20974" xr:uid="{00000000-0005-0000-0000-00008D5C0000}"/>
    <cellStyle name="40% - Accent5 4 2 2 4 2 3 2" xfId="49980" xr:uid="{00000000-0005-0000-0000-00008E5C0000}"/>
    <cellStyle name="40% - Accent5 4 2 2 4 2 4" xfId="35481" xr:uid="{00000000-0005-0000-0000-00008F5C0000}"/>
    <cellStyle name="40% - Accent5 4 2 2 4 3" xfId="10584" xr:uid="{00000000-0005-0000-0000-0000905C0000}"/>
    <cellStyle name="40% - Accent5 4 2 2 4 3 2" xfId="25118" xr:uid="{00000000-0005-0000-0000-0000915C0000}"/>
    <cellStyle name="40% - Accent5 4 2 2 4 3 2 2" xfId="54124" xr:uid="{00000000-0005-0000-0000-0000925C0000}"/>
    <cellStyle name="40% - Accent5 4 2 2 4 3 3" xfId="39625" xr:uid="{00000000-0005-0000-0000-0000935C0000}"/>
    <cellStyle name="40% - Accent5 4 2 2 4 4" xfId="17870" xr:uid="{00000000-0005-0000-0000-0000945C0000}"/>
    <cellStyle name="40% - Accent5 4 2 2 4 4 2" xfId="46876" xr:uid="{00000000-0005-0000-0000-0000955C0000}"/>
    <cellStyle name="40% - Accent5 4 2 2 4 5" xfId="32377" xr:uid="{00000000-0005-0000-0000-0000965C0000}"/>
    <cellStyle name="40% - Accent5 4 2 2 5" xfId="4344" xr:uid="{00000000-0005-0000-0000-0000975C0000}"/>
    <cellStyle name="40% - Accent5 4 2 2 5 2" xfId="11616" xr:uid="{00000000-0005-0000-0000-0000985C0000}"/>
    <cellStyle name="40% - Accent5 4 2 2 5 2 2" xfId="26150" xr:uid="{00000000-0005-0000-0000-0000995C0000}"/>
    <cellStyle name="40% - Accent5 4 2 2 5 2 2 2" xfId="55156" xr:uid="{00000000-0005-0000-0000-00009A5C0000}"/>
    <cellStyle name="40% - Accent5 4 2 2 5 2 3" xfId="40657" xr:uid="{00000000-0005-0000-0000-00009B5C0000}"/>
    <cellStyle name="40% - Accent5 4 2 2 5 3" xfId="18902" xr:uid="{00000000-0005-0000-0000-00009C5C0000}"/>
    <cellStyle name="40% - Accent5 4 2 2 5 3 2" xfId="47908" xr:uid="{00000000-0005-0000-0000-00009D5C0000}"/>
    <cellStyle name="40% - Accent5 4 2 2 5 4" xfId="33409" xr:uid="{00000000-0005-0000-0000-00009E5C0000}"/>
    <cellStyle name="40% - Accent5 4 2 2 6" xfId="7448" xr:uid="{00000000-0005-0000-0000-00009F5C0000}"/>
    <cellStyle name="40% - Accent5 4 2 2 6 2" xfId="14720" xr:uid="{00000000-0005-0000-0000-0000A05C0000}"/>
    <cellStyle name="40% - Accent5 4 2 2 6 2 2" xfId="29254" xr:uid="{00000000-0005-0000-0000-0000A15C0000}"/>
    <cellStyle name="40% - Accent5 4 2 2 6 2 2 2" xfId="58260" xr:uid="{00000000-0005-0000-0000-0000A25C0000}"/>
    <cellStyle name="40% - Accent5 4 2 2 6 2 3" xfId="43761" xr:uid="{00000000-0005-0000-0000-0000A35C0000}"/>
    <cellStyle name="40% - Accent5 4 2 2 6 3" xfId="22006" xr:uid="{00000000-0005-0000-0000-0000A45C0000}"/>
    <cellStyle name="40% - Accent5 4 2 2 6 3 2" xfId="51012" xr:uid="{00000000-0005-0000-0000-0000A55C0000}"/>
    <cellStyle name="40% - Accent5 4 2 2 6 4" xfId="36513" xr:uid="{00000000-0005-0000-0000-0000A65C0000}"/>
    <cellStyle name="40% - Accent5 4 2 2 7" xfId="8512" xr:uid="{00000000-0005-0000-0000-0000A75C0000}"/>
    <cellStyle name="40% - Accent5 4 2 2 7 2" xfId="23046" xr:uid="{00000000-0005-0000-0000-0000A85C0000}"/>
    <cellStyle name="40% - Accent5 4 2 2 7 2 2" xfId="52052" xr:uid="{00000000-0005-0000-0000-0000A95C0000}"/>
    <cellStyle name="40% - Accent5 4 2 2 7 3" xfId="37553" xr:uid="{00000000-0005-0000-0000-0000AA5C0000}"/>
    <cellStyle name="40% - Accent5 4 2 2 8" xfId="15798" xr:uid="{00000000-0005-0000-0000-0000AB5C0000}"/>
    <cellStyle name="40% - Accent5 4 2 2 8 2" xfId="44804" xr:uid="{00000000-0005-0000-0000-0000AC5C0000}"/>
    <cellStyle name="40% - Accent5 4 2 2 9" xfId="30305" xr:uid="{00000000-0005-0000-0000-0000AD5C0000}"/>
    <cellStyle name="40% - Accent5 4 2 3" xfId="1428" xr:uid="{00000000-0005-0000-0000-0000AE5C0000}"/>
    <cellStyle name="40% - Accent5 4 2 3 2" xfId="2486" xr:uid="{00000000-0005-0000-0000-0000AF5C0000}"/>
    <cellStyle name="40% - Accent5 4 2 3 2 2" xfId="5590" xr:uid="{00000000-0005-0000-0000-0000B05C0000}"/>
    <cellStyle name="40% - Accent5 4 2 3 2 2 2" xfId="12862" xr:uid="{00000000-0005-0000-0000-0000B15C0000}"/>
    <cellStyle name="40% - Accent5 4 2 3 2 2 2 2" xfId="27396" xr:uid="{00000000-0005-0000-0000-0000B25C0000}"/>
    <cellStyle name="40% - Accent5 4 2 3 2 2 2 2 2" xfId="56402" xr:uid="{00000000-0005-0000-0000-0000B35C0000}"/>
    <cellStyle name="40% - Accent5 4 2 3 2 2 2 3" xfId="41903" xr:uid="{00000000-0005-0000-0000-0000B45C0000}"/>
    <cellStyle name="40% - Accent5 4 2 3 2 2 3" xfId="20148" xr:uid="{00000000-0005-0000-0000-0000B55C0000}"/>
    <cellStyle name="40% - Accent5 4 2 3 2 2 3 2" xfId="49154" xr:uid="{00000000-0005-0000-0000-0000B65C0000}"/>
    <cellStyle name="40% - Accent5 4 2 3 2 2 4" xfId="34655" xr:uid="{00000000-0005-0000-0000-0000B75C0000}"/>
    <cellStyle name="40% - Accent5 4 2 3 2 3" xfId="9758" xr:uid="{00000000-0005-0000-0000-0000B85C0000}"/>
    <cellStyle name="40% - Accent5 4 2 3 2 3 2" xfId="24292" xr:uid="{00000000-0005-0000-0000-0000B95C0000}"/>
    <cellStyle name="40% - Accent5 4 2 3 2 3 2 2" xfId="53298" xr:uid="{00000000-0005-0000-0000-0000BA5C0000}"/>
    <cellStyle name="40% - Accent5 4 2 3 2 3 3" xfId="38799" xr:uid="{00000000-0005-0000-0000-0000BB5C0000}"/>
    <cellStyle name="40% - Accent5 4 2 3 2 4" xfId="17044" xr:uid="{00000000-0005-0000-0000-0000BC5C0000}"/>
    <cellStyle name="40% - Accent5 4 2 3 2 4 2" xfId="46050" xr:uid="{00000000-0005-0000-0000-0000BD5C0000}"/>
    <cellStyle name="40% - Accent5 4 2 3 2 5" xfId="31551" xr:uid="{00000000-0005-0000-0000-0000BE5C0000}"/>
    <cellStyle name="40% - Accent5 4 2 3 3" xfId="3518" xr:uid="{00000000-0005-0000-0000-0000BF5C0000}"/>
    <cellStyle name="40% - Accent5 4 2 3 3 2" xfId="6622" xr:uid="{00000000-0005-0000-0000-0000C05C0000}"/>
    <cellStyle name="40% - Accent5 4 2 3 3 2 2" xfId="13894" xr:uid="{00000000-0005-0000-0000-0000C15C0000}"/>
    <cellStyle name="40% - Accent5 4 2 3 3 2 2 2" xfId="28428" xr:uid="{00000000-0005-0000-0000-0000C25C0000}"/>
    <cellStyle name="40% - Accent5 4 2 3 3 2 2 2 2" xfId="57434" xr:uid="{00000000-0005-0000-0000-0000C35C0000}"/>
    <cellStyle name="40% - Accent5 4 2 3 3 2 2 3" xfId="42935" xr:uid="{00000000-0005-0000-0000-0000C45C0000}"/>
    <cellStyle name="40% - Accent5 4 2 3 3 2 3" xfId="21180" xr:uid="{00000000-0005-0000-0000-0000C55C0000}"/>
    <cellStyle name="40% - Accent5 4 2 3 3 2 3 2" xfId="50186" xr:uid="{00000000-0005-0000-0000-0000C65C0000}"/>
    <cellStyle name="40% - Accent5 4 2 3 3 2 4" xfId="35687" xr:uid="{00000000-0005-0000-0000-0000C75C0000}"/>
    <cellStyle name="40% - Accent5 4 2 3 3 3" xfId="10790" xr:uid="{00000000-0005-0000-0000-0000C85C0000}"/>
    <cellStyle name="40% - Accent5 4 2 3 3 3 2" xfId="25324" xr:uid="{00000000-0005-0000-0000-0000C95C0000}"/>
    <cellStyle name="40% - Accent5 4 2 3 3 3 2 2" xfId="54330" xr:uid="{00000000-0005-0000-0000-0000CA5C0000}"/>
    <cellStyle name="40% - Accent5 4 2 3 3 3 3" xfId="39831" xr:uid="{00000000-0005-0000-0000-0000CB5C0000}"/>
    <cellStyle name="40% - Accent5 4 2 3 3 4" xfId="18076" xr:uid="{00000000-0005-0000-0000-0000CC5C0000}"/>
    <cellStyle name="40% - Accent5 4 2 3 3 4 2" xfId="47082" xr:uid="{00000000-0005-0000-0000-0000CD5C0000}"/>
    <cellStyle name="40% - Accent5 4 2 3 3 5" xfId="32583" xr:uid="{00000000-0005-0000-0000-0000CE5C0000}"/>
    <cellStyle name="40% - Accent5 4 2 3 4" xfId="4550" xr:uid="{00000000-0005-0000-0000-0000CF5C0000}"/>
    <cellStyle name="40% - Accent5 4 2 3 4 2" xfId="11822" xr:uid="{00000000-0005-0000-0000-0000D05C0000}"/>
    <cellStyle name="40% - Accent5 4 2 3 4 2 2" xfId="26356" xr:uid="{00000000-0005-0000-0000-0000D15C0000}"/>
    <cellStyle name="40% - Accent5 4 2 3 4 2 2 2" xfId="55362" xr:uid="{00000000-0005-0000-0000-0000D25C0000}"/>
    <cellStyle name="40% - Accent5 4 2 3 4 2 3" xfId="40863" xr:uid="{00000000-0005-0000-0000-0000D35C0000}"/>
    <cellStyle name="40% - Accent5 4 2 3 4 3" xfId="19108" xr:uid="{00000000-0005-0000-0000-0000D45C0000}"/>
    <cellStyle name="40% - Accent5 4 2 3 4 3 2" xfId="48114" xr:uid="{00000000-0005-0000-0000-0000D55C0000}"/>
    <cellStyle name="40% - Accent5 4 2 3 4 4" xfId="33615" xr:uid="{00000000-0005-0000-0000-0000D65C0000}"/>
    <cellStyle name="40% - Accent5 4 2 3 5" xfId="7654" xr:uid="{00000000-0005-0000-0000-0000D75C0000}"/>
    <cellStyle name="40% - Accent5 4 2 3 5 2" xfId="14926" xr:uid="{00000000-0005-0000-0000-0000D85C0000}"/>
    <cellStyle name="40% - Accent5 4 2 3 5 2 2" xfId="29460" xr:uid="{00000000-0005-0000-0000-0000D95C0000}"/>
    <cellStyle name="40% - Accent5 4 2 3 5 2 2 2" xfId="58466" xr:uid="{00000000-0005-0000-0000-0000DA5C0000}"/>
    <cellStyle name="40% - Accent5 4 2 3 5 2 3" xfId="43967" xr:uid="{00000000-0005-0000-0000-0000DB5C0000}"/>
    <cellStyle name="40% - Accent5 4 2 3 5 3" xfId="22212" xr:uid="{00000000-0005-0000-0000-0000DC5C0000}"/>
    <cellStyle name="40% - Accent5 4 2 3 5 3 2" xfId="51218" xr:uid="{00000000-0005-0000-0000-0000DD5C0000}"/>
    <cellStyle name="40% - Accent5 4 2 3 5 4" xfId="36719" xr:uid="{00000000-0005-0000-0000-0000DE5C0000}"/>
    <cellStyle name="40% - Accent5 4 2 3 6" xfId="8718" xr:uid="{00000000-0005-0000-0000-0000DF5C0000}"/>
    <cellStyle name="40% - Accent5 4 2 3 6 2" xfId="23252" xr:uid="{00000000-0005-0000-0000-0000E05C0000}"/>
    <cellStyle name="40% - Accent5 4 2 3 6 2 2" xfId="52258" xr:uid="{00000000-0005-0000-0000-0000E15C0000}"/>
    <cellStyle name="40% - Accent5 4 2 3 6 3" xfId="37759" xr:uid="{00000000-0005-0000-0000-0000E25C0000}"/>
    <cellStyle name="40% - Accent5 4 2 3 7" xfId="16004" xr:uid="{00000000-0005-0000-0000-0000E35C0000}"/>
    <cellStyle name="40% - Accent5 4 2 3 7 2" xfId="45010" xr:uid="{00000000-0005-0000-0000-0000E45C0000}"/>
    <cellStyle name="40% - Accent5 4 2 3 8" xfId="30511" xr:uid="{00000000-0005-0000-0000-0000E55C0000}"/>
    <cellStyle name="40% - Accent5 4 2 4" xfId="1974" xr:uid="{00000000-0005-0000-0000-0000E65C0000}"/>
    <cellStyle name="40% - Accent5 4 2 4 2" xfId="5078" xr:uid="{00000000-0005-0000-0000-0000E75C0000}"/>
    <cellStyle name="40% - Accent5 4 2 4 2 2" xfId="12350" xr:uid="{00000000-0005-0000-0000-0000E85C0000}"/>
    <cellStyle name="40% - Accent5 4 2 4 2 2 2" xfId="26884" xr:uid="{00000000-0005-0000-0000-0000E95C0000}"/>
    <cellStyle name="40% - Accent5 4 2 4 2 2 2 2" xfId="55890" xr:uid="{00000000-0005-0000-0000-0000EA5C0000}"/>
    <cellStyle name="40% - Accent5 4 2 4 2 2 3" xfId="41391" xr:uid="{00000000-0005-0000-0000-0000EB5C0000}"/>
    <cellStyle name="40% - Accent5 4 2 4 2 3" xfId="19636" xr:uid="{00000000-0005-0000-0000-0000EC5C0000}"/>
    <cellStyle name="40% - Accent5 4 2 4 2 3 2" xfId="48642" xr:uid="{00000000-0005-0000-0000-0000ED5C0000}"/>
    <cellStyle name="40% - Accent5 4 2 4 2 4" xfId="34143" xr:uid="{00000000-0005-0000-0000-0000EE5C0000}"/>
    <cellStyle name="40% - Accent5 4 2 4 3" xfId="9246" xr:uid="{00000000-0005-0000-0000-0000EF5C0000}"/>
    <cellStyle name="40% - Accent5 4 2 4 3 2" xfId="23780" xr:uid="{00000000-0005-0000-0000-0000F05C0000}"/>
    <cellStyle name="40% - Accent5 4 2 4 3 2 2" xfId="52786" xr:uid="{00000000-0005-0000-0000-0000F15C0000}"/>
    <cellStyle name="40% - Accent5 4 2 4 3 3" xfId="38287" xr:uid="{00000000-0005-0000-0000-0000F25C0000}"/>
    <cellStyle name="40% - Accent5 4 2 4 4" xfId="16532" xr:uid="{00000000-0005-0000-0000-0000F35C0000}"/>
    <cellStyle name="40% - Accent5 4 2 4 4 2" xfId="45538" xr:uid="{00000000-0005-0000-0000-0000F45C0000}"/>
    <cellStyle name="40% - Accent5 4 2 4 5" xfId="31039" xr:uid="{00000000-0005-0000-0000-0000F55C0000}"/>
    <cellStyle name="40% - Accent5 4 2 5" xfId="3006" xr:uid="{00000000-0005-0000-0000-0000F65C0000}"/>
    <cellStyle name="40% - Accent5 4 2 5 2" xfId="6110" xr:uid="{00000000-0005-0000-0000-0000F75C0000}"/>
    <cellStyle name="40% - Accent5 4 2 5 2 2" xfId="13382" xr:uid="{00000000-0005-0000-0000-0000F85C0000}"/>
    <cellStyle name="40% - Accent5 4 2 5 2 2 2" xfId="27916" xr:uid="{00000000-0005-0000-0000-0000F95C0000}"/>
    <cellStyle name="40% - Accent5 4 2 5 2 2 2 2" xfId="56922" xr:uid="{00000000-0005-0000-0000-0000FA5C0000}"/>
    <cellStyle name="40% - Accent5 4 2 5 2 2 3" xfId="42423" xr:uid="{00000000-0005-0000-0000-0000FB5C0000}"/>
    <cellStyle name="40% - Accent5 4 2 5 2 3" xfId="20668" xr:uid="{00000000-0005-0000-0000-0000FC5C0000}"/>
    <cellStyle name="40% - Accent5 4 2 5 2 3 2" xfId="49674" xr:uid="{00000000-0005-0000-0000-0000FD5C0000}"/>
    <cellStyle name="40% - Accent5 4 2 5 2 4" xfId="35175" xr:uid="{00000000-0005-0000-0000-0000FE5C0000}"/>
    <cellStyle name="40% - Accent5 4 2 5 3" xfId="10278" xr:uid="{00000000-0005-0000-0000-0000FF5C0000}"/>
    <cellStyle name="40% - Accent5 4 2 5 3 2" xfId="24812" xr:uid="{00000000-0005-0000-0000-0000005D0000}"/>
    <cellStyle name="40% - Accent5 4 2 5 3 2 2" xfId="53818" xr:uid="{00000000-0005-0000-0000-0000015D0000}"/>
    <cellStyle name="40% - Accent5 4 2 5 3 3" xfId="39319" xr:uid="{00000000-0005-0000-0000-0000025D0000}"/>
    <cellStyle name="40% - Accent5 4 2 5 4" xfId="17564" xr:uid="{00000000-0005-0000-0000-0000035D0000}"/>
    <cellStyle name="40% - Accent5 4 2 5 4 2" xfId="46570" xr:uid="{00000000-0005-0000-0000-0000045D0000}"/>
    <cellStyle name="40% - Accent5 4 2 5 5" xfId="32071" xr:uid="{00000000-0005-0000-0000-0000055D0000}"/>
    <cellStyle name="40% - Accent5 4 2 6" xfId="4038" xr:uid="{00000000-0005-0000-0000-0000065D0000}"/>
    <cellStyle name="40% - Accent5 4 2 6 2" xfId="11310" xr:uid="{00000000-0005-0000-0000-0000075D0000}"/>
    <cellStyle name="40% - Accent5 4 2 6 2 2" xfId="25844" xr:uid="{00000000-0005-0000-0000-0000085D0000}"/>
    <cellStyle name="40% - Accent5 4 2 6 2 2 2" xfId="54850" xr:uid="{00000000-0005-0000-0000-0000095D0000}"/>
    <cellStyle name="40% - Accent5 4 2 6 2 3" xfId="40351" xr:uid="{00000000-0005-0000-0000-00000A5D0000}"/>
    <cellStyle name="40% - Accent5 4 2 6 3" xfId="18596" xr:uid="{00000000-0005-0000-0000-00000B5D0000}"/>
    <cellStyle name="40% - Accent5 4 2 6 3 2" xfId="47602" xr:uid="{00000000-0005-0000-0000-00000C5D0000}"/>
    <cellStyle name="40% - Accent5 4 2 6 4" xfId="33103" xr:uid="{00000000-0005-0000-0000-00000D5D0000}"/>
    <cellStyle name="40% - Accent5 4 2 7" xfId="7142" xr:uid="{00000000-0005-0000-0000-00000E5D0000}"/>
    <cellStyle name="40% - Accent5 4 2 7 2" xfId="14414" xr:uid="{00000000-0005-0000-0000-00000F5D0000}"/>
    <cellStyle name="40% - Accent5 4 2 7 2 2" xfId="28948" xr:uid="{00000000-0005-0000-0000-0000105D0000}"/>
    <cellStyle name="40% - Accent5 4 2 7 2 2 2" xfId="57954" xr:uid="{00000000-0005-0000-0000-0000115D0000}"/>
    <cellStyle name="40% - Accent5 4 2 7 2 3" xfId="43455" xr:uid="{00000000-0005-0000-0000-0000125D0000}"/>
    <cellStyle name="40% - Accent5 4 2 7 3" xfId="21700" xr:uid="{00000000-0005-0000-0000-0000135D0000}"/>
    <cellStyle name="40% - Accent5 4 2 7 3 2" xfId="50706" xr:uid="{00000000-0005-0000-0000-0000145D0000}"/>
    <cellStyle name="40% - Accent5 4 2 7 4" xfId="36207" xr:uid="{00000000-0005-0000-0000-0000155D0000}"/>
    <cellStyle name="40% - Accent5 4 2 8" xfId="8206" xr:uid="{00000000-0005-0000-0000-0000165D0000}"/>
    <cellStyle name="40% - Accent5 4 2 8 2" xfId="22740" xr:uid="{00000000-0005-0000-0000-0000175D0000}"/>
    <cellStyle name="40% - Accent5 4 2 8 2 2" xfId="51746" xr:uid="{00000000-0005-0000-0000-0000185D0000}"/>
    <cellStyle name="40% - Accent5 4 2 8 3" xfId="37247" xr:uid="{00000000-0005-0000-0000-0000195D0000}"/>
    <cellStyle name="40% - Accent5 4 2 9" xfId="15492" xr:uid="{00000000-0005-0000-0000-00001A5D0000}"/>
    <cellStyle name="40% - Accent5 4 2 9 2" xfId="44498" xr:uid="{00000000-0005-0000-0000-00001B5D0000}"/>
    <cellStyle name="40% - Accent5 4 3" xfId="1132" xr:uid="{00000000-0005-0000-0000-00001C5D0000}"/>
    <cellStyle name="40% - Accent5 4 3 2" xfId="1630" xr:uid="{00000000-0005-0000-0000-00001D5D0000}"/>
    <cellStyle name="40% - Accent5 4 3 2 2" xfId="2689" xr:uid="{00000000-0005-0000-0000-00001E5D0000}"/>
    <cellStyle name="40% - Accent5 4 3 2 2 2" xfId="5793" xr:uid="{00000000-0005-0000-0000-00001F5D0000}"/>
    <cellStyle name="40% - Accent5 4 3 2 2 2 2" xfId="13065" xr:uid="{00000000-0005-0000-0000-0000205D0000}"/>
    <cellStyle name="40% - Accent5 4 3 2 2 2 2 2" xfId="27599" xr:uid="{00000000-0005-0000-0000-0000215D0000}"/>
    <cellStyle name="40% - Accent5 4 3 2 2 2 2 2 2" xfId="56605" xr:uid="{00000000-0005-0000-0000-0000225D0000}"/>
    <cellStyle name="40% - Accent5 4 3 2 2 2 2 3" xfId="42106" xr:uid="{00000000-0005-0000-0000-0000235D0000}"/>
    <cellStyle name="40% - Accent5 4 3 2 2 2 3" xfId="20351" xr:uid="{00000000-0005-0000-0000-0000245D0000}"/>
    <cellStyle name="40% - Accent5 4 3 2 2 2 3 2" xfId="49357" xr:uid="{00000000-0005-0000-0000-0000255D0000}"/>
    <cellStyle name="40% - Accent5 4 3 2 2 2 4" xfId="34858" xr:uid="{00000000-0005-0000-0000-0000265D0000}"/>
    <cellStyle name="40% - Accent5 4 3 2 2 3" xfId="9961" xr:uid="{00000000-0005-0000-0000-0000275D0000}"/>
    <cellStyle name="40% - Accent5 4 3 2 2 3 2" xfId="24495" xr:uid="{00000000-0005-0000-0000-0000285D0000}"/>
    <cellStyle name="40% - Accent5 4 3 2 2 3 2 2" xfId="53501" xr:uid="{00000000-0005-0000-0000-0000295D0000}"/>
    <cellStyle name="40% - Accent5 4 3 2 2 3 3" xfId="39002" xr:uid="{00000000-0005-0000-0000-00002A5D0000}"/>
    <cellStyle name="40% - Accent5 4 3 2 2 4" xfId="17247" xr:uid="{00000000-0005-0000-0000-00002B5D0000}"/>
    <cellStyle name="40% - Accent5 4 3 2 2 4 2" xfId="46253" xr:uid="{00000000-0005-0000-0000-00002C5D0000}"/>
    <cellStyle name="40% - Accent5 4 3 2 2 5" xfId="31754" xr:uid="{00000000-0005-0000-0000-00002D5D0000}"/>
    <cellStyle name="40% - Accent5 4 3 2 3" xfId="3721" xr:uid="{00000000-0005-0000-0000-00002E5D0000}"/>
    <cellStyle name="40% - Accent5 4 3 2 3 2" xfId="6825" xr:uid="{00000000-0005-0000-0000-00002F5D0000}"/>
    <cellStyle name="40% - Accent5 4 3 2 3 2 2" xfId="14097" xr:uid="{00000000-0005-0000-0000-0000305D0000}"/>
    <cellStyle name="40% - Accent5 4 3 2 3 2 2 2" xfId="28631" xr:uid="{00000000-0005-0000-0000-0000315D0000}"/>
    <cellStyle name="40% - Accent5 4 3 2 3 2 2 2 2" xfId="57637" xr:uid="{00000000-0005-0000-0000-0000325D0000}"/>
    <cellStyle name="40% - Accent5 4 3 2 3 2 2 3" xfId="43138" xr:uid="{00000000-0005-0000-0000-0000335D0000}"/>
    <cellStyle name="40% - Accent5 4 3 2 3 2 3" xfId="21383" xr:uid="{00000000-0005-0000-0000-0000345D0000}"/>
    <cellStyle name="40% - Accent5 4 3 2 3 2 3 2" xfId="50389" xr:uid="{00000000-0005-0000-0000-0000355D0000}"/>
    <cellStyle name="40% - Accent5 4 3 2 3 2 4" xfId="35890" xr:uid="{00000000-0005-0000-0000-0000365D0000}"/>
    <cellStyle name="40% - Accent5 4 3 2 3 3" xfId="10993" xr:uid="{00000000-0005-0000-0000-0000375D0000}"/>
    <cellStyle name="40% - Accent5 4 3 2 3 3 2" xfId="25527" xr:uid="{00000000-0005-0000-0000-0000385D0000}"/>
    <cellStyle name="40% - Accent5 4 3 2 3 3 2 2" xfId="54533" xr:uid="{00000000-0005-0000-0000-0000395D0000}"/>
    <cellStyle name="40% - Accent5 4 3 2 3 3 3" xfId="40034" xr:uid="{00000000-0005-0000-0000-00003A5D0000}"/>
    <cellStyle name="40% - Accent5 4 3 2 3 4" xfId="18279" xr:uid="{00000000-0005-0000-0000-00003B5D0000}"/>
    <cellStyle name="40% - Accent5 4 3 2 3 4 2" xfId="47285" xr:uid="{00000000-0005-0000-0000-00003C5D0000}"/>
    <cellStyle name="40% - Accent5 4 3 2 3 5" xfId="32786" xr:uid="{00000000-0005-0000-0000-00003D5D0000}"/>
    <cellStyle name="40% - Accent5 4 3 2 4" xfId="4753" xr:uid="{00000000-0005-0000-0000-00003E5D0000}"/>
    <cellStyle name="40% - Accent5 4 3 2 4 2" xfId="12025" xr:uid="{00000000-0005-0000-0000-00003F5D0000}"/>
    <cellStyle name="40% - Accent5 4 3 2 4 2 2" xfId="26559" xr:uid="{00000000-0005-0000-0000-0000405D0000}"/>
    <cellStyle name="40% - Accent5 4 3 2 4 2 2 2" xfId="55565" xr:uid="{00000000-0005-0000-0000-0000415D0000}"/>
    <cellStyle name="40% - Accent5 4 3 2 4 2 3" xfId="41066" xr:uid="{00000000-0005-0000-0000-0000425D0000}"/>
    <cellStyle name="40% - Accent5 4 3 2 4 3" xfId="19311" xr:uid="{00000000-0005-0000-0000-0000435D0000}"/>
    <cellStyle name="40% - Accent5 4 3 2 4 3 2" xfId="48317" xr:uid="{00000000-0005-0000-0000-0000445D0000}"/>
    <cellStyle name="40% - Accent5 4 3 2 4 4" xfId="33818" xr:uid="{00000000-0005-0000-0000-0000455D0000}"/>
    <cellStyle name="40% - Accent5 4 3 2 5" xfId="7857" xr:uid="{00000000-0005-0000-0000-0000465D0000}"/>
    <cellStyle name="40% - Accent5 4 3 2 5 2" xfId="15129" xr:uid="{00000000-0005-0000-0000-0000475D0000}"/>
    <cellStyle name="40% - Accent5 4 3 2 5 2 2" xfId="29663" xr:uid="{00000000-0005-0000-0000-0000485D0000}"/>
    <cellStyle name="40% - Accent5 4 3 2 5 2 2 2" xfId="58669" xr:uid="{00000000-0005-0000-0000-0000495D0000}"/>
    <cellStyle name="40% - Accent5 4 3 2 5 2 3" xfId="44170" xr:uid="{00000000-0005-0000-0000-00004A5D0000}"/>
    <cellStyle name="40% - Accent5 4 3 2 5 3" xfId="22415" xr:uid="{00000000-0005-0000-0000-00004B5D0000}"/>
    <cellStyle name="40% - Accent5 4 3 2 5 3 2" xfId="51421" xr:uid="{00000000-0005-0000-0000-00004C5D0000}"/>
    <cellStyle name="40% - Accent5 4 3 2 5 4" xfId="36922" xr:uid="{00000000-0005-0000-0000-00004D5D0000}"/>
    <cellStyle name="40% - Accent5 4 3 2 6" xfId="8921" xr:uid="{00000000-0005-0000-0000-00004E5D0000}"/>
    <cellStyle name="40% - Accent5 4 3 2 6 2" xfId="23455" xr:uid="{00000000-0005-0000-0000-00004F5D0000}"/>
    <cellStyle name="40% - Accent5 4 3 2 6 2 2" xfId="52461" xr:uid="{00000000-0005-0000-0000-0000505D0000}"/>
    <cellStyle name="40% - Accent5 4 3 2 6 3" xfId="37962" xr:uid="{00000000-0005-0000-0000-0000515D0000}"/>
    <cellStyle name="40% - Accent5 4 3 2 7" xfId="16207" xr:uid="{00000000-0005-0000-0000-0000525D0000}"/>
    <cellStyle name="40% - Accent5 4 3 2 7 2" xfId="45213" xr:uid="{00000000-0005-0000-0000-0000535D0000}"/>
    <cellStyle name="40% - Accent5 4 3 2 8" xfId="30714" xr:uid="{00000000-0005-0000-0000-0000545D0000}"/>
    <cellStyle name="40% - Accent5 4 3 3" xfId="2177" xr:uid="{00000000-0005-0000-0000-0000555D0000}"/>
    <cellStyle name="40% - Accent5 4 3 3 2" xfId="5281" xr:uid="{00000000-0005-0000-0000-0000565D0000}"/>
    <cellStyle name="40% - Accent5 4 3 3 2 2" xfId="12553" xr:uid="{00000000-0005-0000-0000-0000575D0000}"/>
    <cellStyle name="40% - Accent5 4 3 3 2 2 2" xfId="27087" xr:uid="{00000000-0005-0000-0000-0000585D0000}"/>
    <cellStyle name="40% - Accent5 4 3 3 2 2 2 2" xfId="56093" xr:uid="{00000000-0005-0000-0000-0000595D0000}"/>
    <cellStyle name="40% - Accent5 4 3 3 2 2 3" xfId="41594" xr:uid="{00000000-0005-0000-0000-00005A5D0000}"/>
    <cellStyle name="40% - Accent5 4 3 3 2 3" xfId="19839" xr:uid="{00000000-0005-0000-0000-00005B5D0000}"/>
    <cellStyle name="40% - Accent5 4 3 3 2 3 2" xfId="48845" xr:uid="{00000000-0005-0000-0000-00005C5D0000}"/>
    <cellStyle name="40% - Accent5 4 3 3 2 4" xfId="34346" xr:uid="{00000000-0005-0000-0000-00005D5D0000}"/>
    <cellStyle name="40% - Accent5 4 3 3 3" xfId="9449" xr:uid="{00000000-0005-0000-0000-00005E5D0000}"/>
    <cellStyle name="40% - Accent5 4 3 3 3 2" xfId="23983" xr:uid="{00000000-0005-0000-0000-00005F5D0000}"/>
    <cellStyle name="40% - Accent5 4 3 3 3 2 2" xfId="52989" xr:uid="{00000000-0005-0000-0000-0000605D0000}"/>
    <cellStyle name="40% - Accent5 4 3 3 3 3" xfId="38490" xr:uid="{00000000-0005-0000-0000-0000615D0000}"/>
    <cellStyle name="40% - Accent5 4 3 3 4" xfId="16735" xr:uid="{00000000-0005-0000-0000-0000625D0000}"/>
    <cellStyle name="40% - Accent5 4 3 3 4 2" xfId="45741" xr:uid="{00000000-0005-0000-0000-0000635D0000}"/>
    <cellStyle name="40% - Accent5 4 3 3 5" xfId="31242" xr:uid="{00000000-0005-0000-0000-0000645D0000}"/>
    <cellStyle name="40% - Accent5 4 3 4" xfId="3209" xr:uid="{00000000-0005-0000-0000-0000655D0000}"/>
    <cellStyle name="40% - Accent5 4 3 4 2" xfId="6313" xr:uid="{00000000-0005-0000-0000-0000665D0000}"/>
    <cellStyle name="40% - Accent5 4 3 4 2 2" xfId="13585" xr:uid="{00000000-0005-0000-0000-0000675D0000}"/>
    <cellStyle name="40% - Accent5 4 3 4 2 2 2" xfId="28119" xr:uid="{00000000-0005-0000-0000-0000685D0000}"/>
    <cellStyle name="40% - Accent5 4 3 4 2 2 2 2" xfId="57125" xr:uid="{00000000-0005-0000-0000-0000695D0000}"/>
    <cellStyle name="40% - Accent5 4 3 4 2 2 3" xfId="42626" xr:uid="{00000000-0005-0000-0000-00006A5D0000}"/>
    <cellStyle name="40% - Accent5 4 3 4 2 3" xfId="20871" xr:uid="{00000000-0005-0000-0000-00006B5D0000}"/>
    <cellStyle name="40% - Accent5 4 3 4 2 3 2" xfId="49877" xr:uid="{00000000-0005-0000-0000-00006C5D0000}"/>
    <cellStyle name="40% - Accent5 4 3 4 2 4" xfId="35378" xr:uid="{00000000-0005-0000-0000-00006D5D0000}"/>
    <cellStyle name="40% - Accent5 4 3 4 3" xfId="10481" xr:uid="{00000000-0005-0000-0000-00006E5D0000}"/>
    <cellStyle name="40% - Accent5 4 3 4 3 2" xfId="25015" xr:uid="{00000000-0005-0000-0000-00006F5D0000}"/>
    <cellStyle name="40% - Accent5 4 3 4 3 2 2" xfId="54021" xr:uid="{00000000-0005-0000-0000-0000705D0000}"/>
    <cellStyle name="40% - Accent5 4 3 4 3 3" xfId="39522" xr:uid="{00000000-0005-0000-0000-0000715D0000}"/>
    <cellStyle name="40% - Accent5 4 3 4 4" xfId="17767" xr:uid="{00000000-0005-0000-0000-0000725D0000}"/>
    <cellStyle name="40% - Accent5 4 3 4 4 2" xfId="46773" xr:uid="{00000000-0005-0000-0000-0000735D0000}"/>
    <cellStyle name="40% - Accent5 4 3 4 5" xfId="32274" xr:uid="{00000000-0005-0000-0000-0000745D0000}"/>
    <cellStyle name="40% - Accent5 4 3 5" xfId="4241" xr:uid="{00000000-0005-0000-0000-0000755D0000}"/>
    <cellStyle name="40% - Accent5 4 3 5 2" xfId="11513" xr:uid="{00000000-0005-0000-0000-0000765D0000}"/>
    <cellStyle name="40% - Accent5 4 3 5 2 2" xfId="26047" xr:uid="{00000000-0005-0000-0000-0000775D0000}"/>
    <cellStyle name="40% - Accent5 4 3 5 2 2 2" xfId="55053" xr:uid="{00000000-0005-0000-0000-0000785D0000}"/>
    <cellStyle name="40% - Accent5 4 3 5 2 3" xfId="40554" xr:uid="{00000000-0005-0000-0000-0000795D0000}"/>
    <cellStyle name="40% - Accent5 4 3 5 3" xfId="18799" xr:uid="{00000000-0005-0000-0000-00007A5D0000}"/>
    <cellStyle name="40% - Accent5 4 3 5 3 2" xfId="47805" xr:uid="{00000000-0005-0000-0000-00007B5D0000}"/>
    <cellStyle name="40% - Accent5 4 3 5 4" xfId="33306" xr:uid="{00000000-0005-0000-0000-00007C5D0000}"/>
    <cellStyle name="40% - Accent5 4 3 6" xfId="7345" xr:uid="{00000000-0005-0000-0000-00007D5D0000}"/>
    <cellStyle name="40% - Accent5 4 3 6 2" xfId="14617" xr:uid="{00000000-0005-0000-0000-00007E5D0000}"/>
    <cellStyle name="40% - Accent5 4 3 6 2 2" xfId="29151" xr:uid="{00000000-0005-0000-0000-00007F5D0000}"/>
    <cellStyle name="40% - Accent5 4 3 6 2 2 2" xfId="58157" xr:uid="{00000000-0005-0000-0000-0000805D0000}"/>
    <cellStyle name="40% - Accent5 4 3 6 2 3" xfId="43658" xr:uid="{00000000-0005-0000-0000-0000815D0000}"/>
    <cellStyle name="40% - Accent5 4 3 6 3" xfId="21903" xr:uid="{00000000-0005-0000-0000-0000825D0000}"/>
    <cellStyle name="40% - Accent5 4 3 6 3 2" xfId="50909" xr:uid="{00000000-0005-0000-0000-0000835D0000}"/>
    <cellStyle name="40% - Accent5 4 3 6 4" xfId="36410" xr:uid="{00000000-0005-0000-0000-0000845D0000}"/>
    <cellStyle name="40% - Accent5 4 3 7" xfId="8409" xr:uid="{00000000-0005-0000-0000-0000855D0000}"/>
    <cellStyle name="40% - Accent5 4 3 7 2" xfId="22943" xr:uid="{00000000-0005-0000-0000-0000865D0000}"/>
    <cellStyle name="40% - Accent5 4 3 7 2 2" xfId="51949" xr:uid="{00000000-0005-0000-0000-0000875D0000}"/>
    <cellStyle name="40% - Accent5 4 3 7 3" xfId="37450" xr:uid="{00000000-0005-0000-0000-0000885D0000}"/>
    <cellStyle name="40% - Accent5 4 3 8" xfId="15695" xr:uid="{00000000-0005-0000-0000-0000895D0000}"/>
    <cellStyle name="40% - Accent5 4 3 8 2" xfId="44701" xr:uid="{00000000-0005-0000-0000-00008A5D0000}"/>
    <cellStyle name="40% - Accent5 4 3 9" xfId="30202" xr:uid="{00000000-0005-0000-0000-00008B5D0000}"/>
    <cellStyle name="40% - Accent5 4 4" xfId="1041" xr:uid="{00000000-0005-0000-0000-00008C5D0000}"/>
    <cellStyle name="40% - Accent5 4 4 2" xfId="1531" xr:uid="{00000000-0005-0000-0000-00008D5D0000}"/>
    <cellStyle name="40% - Accent5 4 4 2 2" xfId="2589" xr:uid="{00000000-0005-0000-0000-00008E5D0000}"/>
    <cellStyle name="40% - Accent5 4 4 2 2 2" xfId="5693" xr:uid="{00000000-0005-0000-0000-00008F5D0000}"/>
    <cellStyle name="40% - Accent5 4 4 2 2 2 2" xfId="12965" xr:uid="{00000000-0005-0000-0000-0000905D0000}"/>
    <cellStyle name="40% - Accent5 4 4 2 2 2 2 2" xfId="27499" xr:uid="{00000000-0005-0000-0000-0000915D0000}"/>
    <cellStyle name="40% - Accent5 4 4 2 2 2 2 2 2" xfId="56505" xr:uid="{00000000-0005-0000-0000-0000925D0000}"/>
    <cellStyle name="40% - Accent5 4 4 2 2 2 2 3" xfId="42006" xr:uid="{00000000-0005-0000-0000-0000935D0000}"/>
    <cellStyle name="40% - Accent5 4 4 2 2 2 3" xfId="20251" xr:uid="{00000000-0005-0000-0000-0000945D0000}"/>
    <cellStyle name="40% - Accent5 4 4 2 2 2 3 2" xfId="49257" xr:uid="{00000000-0005-0000-0000-0000955D0000}"/>
    <cellStyle name="40% - Accent5 4 4 2 2 2 4" xfId="34758" xr:uid="{00000000-0005-0000-0000-0000965D0000}"/>
    <cellStyle name="40% - Accent5 4 4 2 2 3" xfId="9861" xr:uid="{00000000-0005-0000-0000-0000975D0000}"/>
    <cellStyle name="40% - Accent5 4 4 2 2 3 2" xfId="24395" xr:uid="{00000000-0005-0000-0000-0000985D0000}"/>
    <cellStyle name="40% - Accent5 4 4 2 2 3 2 2" xfId="53401" xr:uid="{00000000-0005-0000-0000-0000995D0000}"/>
    <cellStyle name="40% - Accent5 4 4 2 2 3 3" xfId="38902" xr:uid="{00000000-0005-0000-0000-00009A5D0000}"/>
    <cellStyle name="40% - Accent5 4 4 2 2 4" xfId="17147" xr:uid="{00000000-0005-0000-0000-00009B5D0000}"/>
    <cellStyle name="40% - Accent5 4 4 2 2 4 2" xfId="46153" xr:uid="{00000000-0005-0000-0000-00009C5D0000}"/>
    <cellStyle name="40% - Accent5 4 4 2 2 5" xfId="31654" xr:uid="{00000000-0005-0000-0000-00009D5D0000}"/>
    <cellStyle name="40% - Accent5 4 4 2 3" xfId="3621" xr:uid="{00000000-0005-0000-0000-00009E5D0000}"/>
    <cellStyle name="40% - Accent5 4 4 2 3 2" xfId="6725" xr:uid="{00000000-0005-0000-0000-00009F5D0000}"/>
    <cellStyle name="40% - Accent5 4 4 2 3 2 2" xfId="13997" xr:uid="{00000000-0005-0000-0000-0000A05D0000}"/>
    <cellStyle name="40% - Accent5 4 4 2 3 2 2 2" xfId="28531" xr:uid="{00000000-0005-0000-0000-0000A15D0000}"/>
    <cellStyle name="40% - Accent5 4 4 2 3 2 2 2 2" xfId="57537" xr:uid="{00000000-0005-0000-0000-0000A25D0000}"/>
    <cellStyle name="40% - Accent5 4 4 2 3 2 2 3" xfId="43038" xr:uid="{00000000-0005-0000-0000-0000A35D0000}"/>
    <cellStyle name="40% - Accent5 4 4 2 3 2 3" xfId="21283" xr:uid="{00000000-0005-0000-0000-0000A45D0000}"/>
    <cellStyle name="40% - Accent5 4 4 2 3 2 3 2" xfId="50289" xr:uid="{00000000-0005-0000-0000-0000A55D0000}"/>
    <cellStyle name="40% - Accent5 4 4 2 3 2 4" xfId="35790" xr:uid="{00000000-0005-0000-0000-0000A65D0000}"/>
    <cellStyle name="40% - Accent5 4 4 2 3 3" xfId="10893" xr:uid="{00000000-0005-0000-0000-0000A75D0000}"/>
    <cellStyle name="40% - Accent5 4 4 2 3 3 2" xfId="25427" xr:uid="{00000000-0005-0000-0000-0000A85D0000}"/>
    <cellStyle name="40% - Accent5 4 4 2 3 3 2 2" xfId="54433" xr:uid="{00000000-0005-0000-0000-0000A95D0000}"/>
    <cellStyle name="40% - Accent5 4 4 2 3 3 3" xfId="39934" xr:uid="{00000000-0005-0000-0000-0000AA5D0000}"/>
    <cellStyle name="40% - Accent5 4 4 2 3 4" xfId="18179" xr:uid="{00000000-0005-0000-0000-0000AB5D0000}"/>
    <cellStyle name="40% - Accent5 4 4 2 3 4 2" xfId="47185" xr:uid="{00000000-0005-0000-0000-0000AC5D0000}"/>
    <cellStyle name="40% - Accent5 4 4 2 3 5" xfId="32686" xr:uid="{00000000-0005-0000-0000-0000AD5D0000}"/>
    <cellStyle name="40% - Accent5 4 4 2 4" xfId="4653" xr:uid="{00000000-0005-0000-0000-0000AE5D0000}"/>
    <cellStyle name="40% - Accent5 4 4 2 4 2" xfId="11925" xr:uid="{00000000-0005-0000-0000-0000AF5D0000}"/>
    <cellStyle name="40% - Accent5 4 4 2 4 2 2" xfId="26459" xr:uid="{00000000-0005-0000-0000-0000B05D0000}"/>
    <cellStyle name="40% - Accent5 4 4 2 4 2 2 2" xfId="55465" xr:uid="{00000000-0005-0000-0000-0000B15D0000}"/>
    <cellStyle name="40% - Accent5 4 4 2 4 2 3" xfId="40966" xr:uid="{00000000-0005-0000-0000-0000B25D0000}"/>
    <cellStyle name="40% - Accent5 4 4 2 4 3" xfId="19211" xr:uid="{00000000-0005-0000-0000-0000B35D0000}"/>
    <cellStyle name="40% - Accent5 4 4 2 4 3 2" xfId="48217" xr:uid="{00000000-0005-0000-0000-0000B45D0000}"/>
    <cellStyle name="40% - Accent5 4 4 2 4 4" xfId="33718" xr:uid="{00000000-0005-0000-0000-0000B55D0000}"/>
    <cellStyle name="40% - Accent5 4 4 2 5" xfId="7757" xr:uid="{00000000-0005-0000-0000-0000B65D0000}"/>
    <cellStyle name="40% - Accent5 4 4 2 5 2" xfId="15029" xr:uid="{00000000-0005-0000-0000-0000B75D0000}"/>
    <cellStyle name="40% - Accent5 4 4 2 5 2 2" xfId="29563" xr:uid="{00000000-0005-0000-0000-0000B85D0000}"/>
    <cellStyle name="40% - Accent5 4 4 2 5 2 2 2" xfId="58569" xr:uid="{00000000-0005-0000-0000-0000B95D0000}"/>
    <cellStyle name="40% - Accent5 4 4 2 5 2 3" xfId="44070" xr:uid="{00000000-0005-0000-0000-0000BA5D0000}"/>
    <cellStyle name="40% - Accent5 4 4 2 5 3" xfId="22315" xr:uid="{00000000-0005-0000-0000-0000BB5D0000}"/>
    <cellStyle name="40% - Accent5 4 4 2 5 3 2" xfId="51321" xr:uid="{00000000-0005-0000-0000-0000BC5D0000}"/>
    <cellStyle name="40% - Accent5 4 4 2 5 4" xfId="36822" xr:uid="{00000000-0005-0000-0000-0000BD5D0000}"/>
    <cellStyle name="40% - Accent5 4 4 2 6" xfId="8821" xr:uid="{00000000-0005-0000-0000-0000BE5D0000}"/>
    <cellStyle name="40% - Accent5 4 4 2 6 2" xfId="23355" xr:uid="{00000000-0005-0000-0000-0000BF5D0000}"/>
    <cellStyle name="40% - Accent5 4 4 2 6 2 2" xfId="52361" xr:uid="{00000000-0005-0000-0000-0000C05D0000}"/>
    <cellStyle name="40% - Accent5 4 4 2 6 3" xfId="37862" xr:uid="{00000000-0005-0000-0000-0000C15D0000}"/>
    <cellStyle name="40% - Accent5 4 4 2 7" xfId="16107" xr:uid="{00000000-0005-0000-0000-0000C25D0000}"/>
    <cellStyle name="40% - Accent5 4 4 2 7 2" xfId="45113" xr:uid="{00000000-0005-0000-0000-0000C35D0000}"/>
    <cellStyle name="40% - Accent5 4 4 2 8" xfId="30614" xr:uid="{00000000-0005-0000-0000-0000C45D0000}"/>
    <cellStyle name="40% - Accent5 4 4 3" xfId="2077" xr:uid="{00000000-0005-0000-0000-0000C55D0000}"/>
    <cellStyle name="40% - Accent5 4 4 3 2" xfId="5181" xr:uid="{00000000-0005-0000-0000-0000C65D0000}"/>
    <cellStyle name="40% - Accent5 4 4 3 2 2" xfId="12453" xr:uid="{00000000-0005-0000-0000-0000C75D0000}"/>
    <cellStyle name="40% - Accent5 4 4 3 2 2 2" xfId="26987" xr:uid="{00000000-0005-0000-0000-0000C85D0000}"/>
    <cellStyle name="40% - Accent5 4 4 3 2 2 2 2" xfId="55993" xr:uid="{00000000-0005-0000-0000-0000C95D0000}"/>
    <cellStyle name="40% - Accent5 4 4 3 2 2 3" xfId="41494" xr:uid="{00000000-0005-0000-0000-0000CA5D0000}"/>
    <cellStyle name="40% - Accent5 4 4 3 2 3" xfId="19739" xr:uid="{00000000-0005-0000-0000-0000CB5D0000}"/>
    <cellStyle name="40% - Accent5 4 4 3 2 3 2" xfId="48745" xr:uid="{00000000-0005-0000-0000-0000CC5D0000}"/>
    <cellStyle name="40% - Accent5 4 4 3 2 4" xfId="34246" xr:uid="{00000000-0005-0000-0000-0000CD5D0000}"/>
    <cellStyle name="40% - Accent5 4 4 3 3" xfId="9349" xr:uid="{00000000-0005-0000-0000-0000CE5D0000}"/>
    <cellStyle name="40% - Accent5 4 4 3 3 2" xfId="23883" xr:uid="{00000000-0005-0000-0000-0000CF5D0000}"/>
    <cellStyle name="40% - Accent5 4 4 3 3 2 2" xfId="52889" xr:uid="{00000000-0005-0000-0000-0000D05D0000}"/>
    <cellStyle name="40% - Accent5 4 4 3 3 3" xfId="38390" xr:uid="{00000000-0005-0000-0000-0000D15D0000}"/>
    <cellStyle name="40% - Accent5 4 4 3 4" xfId="16635" xr:uid="{00000000-0005-0000-0000-0000D25D0000}"/>
    <cellStyle name="40% - Accent5 4 4 3 4 2" xfId="45641" xr:uid="{00000000-0005-0000-0000-0000D35D0000}"/>
    <cellStyle name="40% - Accent5 4 4 3 5" xfId="31142" xr:uid="{00000000-0005-0000-0000-0000D45D0000}"/>
    <cellStyle name="40% - Accent5 4 4 4" xfId="3109" xr:uid="{00000000-0005-0000-0000-0000D55D0000}"/>
    <cellStyle name="40% - Accent5 4 4 4 2" xfId="6213" xr:uid="{00000000-0005-0000-0000-0000D65D0000}"/>
    <cellStyle name="40% - Accent5 4 4 4 2 2" xfId="13485" xr:uid="{00000000-0005-0000-0000-0000D75D0000}"/>
    <cellStyle name="40% - Accent5 4 4 4 2 2 2" xfId="28019" xr:uid="{00000000-0005-0000-0000-0000D85D0000}"/>
    <cellStyle name="40% - Accent5 4 4 4 2 2 2 2" xfId="57025" xr:uid="{00000000-0005-0000-0000-0000D95D0000}"/>
    <cellStyle name="40% - Accent5 4 4 4 2 2 3" xfId="42526" xr:uid="{00000000-0005-0000-0000-0000DA5D0000}"/>
    <cellStyle name="40% - Accent5 4 4 4 2 3" xfId="20771" xr:uid="{00000000-0005-0000-0000-0000DB5D0000}"/>
    <cellStyle name="40% - Accent5 4 4 4 2 3 2" xfId="49777" xr:uid="{00000000-0005-0000-0000-0000DC5D0000}"/>
    <cellStyle name="40% - Accent5 4 4 4 2 4" xfId="35278" xr:uid="{00000000-0005-0000-0000-0000DD5D0000}"/>
    <cellStyle name="40% - Accent5 4 4 4 3" xfId="10381" xr:uid="{00000000-0005-0000-0000-0000DE5D0000}"/>
    <cellStyle name="40% - Accent5 4 4 4 3 2" xfId="24915" xr:uid="{00000000-0005-0000-0000-0000DF5D0000}"/>
    <cellStyle name="40% - Accent5 4 4 4 3 2 2" xfId="53921" xr:uid="{00000000-0005-0000-0000-0000E05D0000}"/>
    <cellStyle name="40% - Accent5 4 4 4 3 3" xfId="39422" xr:uid="{00000000-0005-0000-0000-0000E15D0000}"/>
    <cellStyle name="40% - Accent5 4 4 4 4" xfId="17667" xr:uid="{00000000-0005-0000-0000-0000E25D0000}"/>
    <cellStyle name="40% - Accent5 4 4 4 4 2" xfId="46673" xr:uid="{00000000-0005-0000-0000-0000E35D0000}"/>
    <cellStyle name="40% - Accent5 4 4 4 5" xfId="32174" xr:uid="{00000000-0005-0000-0000-0000E45D0000}"/>
    <cellStyle name="40% - Accent5 4 4 5" xfId="4141" xr:uid="{00000000-0005-0000-0000-0000E55D0000}"/>
    <cellStyle name="40% - Accent5 4 4 5 2" xfId="11413" xr:uid="{00000000-0005-0000-0000-0000E65D0000}"/>
    <cellStyle name="40% - Accent5 4 4 5 2 2" xfId="25947" xr:uid="{00000000-0005-0000-0000-0000E75D0000}"/>
    <cellStyle name="40% - Accent5 4 4 5 2 2 2" xfId="54953" xr:uid="{00000000-0005-0000-0000-0000E85D0000}"/>
    <cellStyle name="40% - Accent5 4 4 5 2 3" xfId="40454" xr:uid="{00000000-0005-0000-0000-0000E95D0000}"/>
    <cellStyle name="40% - Accent5 4 4 5 3" xfId="18699" xr:uid="{00000000-0005-0000-0000-0000EA5D0000}"/>
    <cellStyle name="40% - Accent5 4 4 5 3 2" xfId="47705" xr:uid="{00000000-0005-0000-0000-0000EB5D0000}"/>
    <cellStyle name="40% - Accent5 4 4 5 4" xfId="33206" xr:uid="{00000000-0005-0000-0000-0000EC5D0000}"/>
    <cellStyle name="40% - Accent5 4 4 6" xfId="7245" xr:uid="{00000000-0005-0000-0000-0000ED5D0000}"/>
    <cellStyle name="40% - Accent5 4 4 6 2" xfId="14517" xr:uid="{00000000-0005-0000-0000-0000EE5D0000}"/>
    <cellStyle name="40% - Accent5 4 4 6 2 2" xfId="29051" xr:uid="{00000000-0005-0000-0000-0000EF5D0000}"/>
    <cellStyle name="40% - Accent5 4 4 6 2 2 2" xfId="58057" xr:uid="{00000000-0005-0000-0000-0000F05D0000}"/>
    <cellStyle name="40% - Accent5 4 4 6 2 3" xfId="43558" xr:uid="{00000000-0005-0000-0000-0000F15D0000}"/>
    <cellStyle name="40% - Accent5 4 4 6 3" xfId="21803" xr:uid="{00000000-0005-0000-0000-0000F25D0000}"/>
    <cellStyle name="40% - Accent5 4 4 6 3 2" xfId="50809" xr:uid="{00000000-0005-0000-0000-0000F35D0000}"/>
    <cellStyle name="40% - Accent5 4 4 6 4" xfId="36310" xr:uid="{00000000-0005-0000-0000-0000F45D0000}"/>
    <cellStyle name="40% - Accent5 4 4 7" xfId="8309" xr:uid="{00000000-0005-0000-0000-0000F55D0000}"/>
    <cellStyle name="40% - Accent5 4 4 7 2" xfId="22843" xr:uid="{00000000-0005-0000-0000-0000F65D0000}"/>
    <cellStyle name="40% - Accent5 4 4 7 2 2" xfId="51849" xr:uid="{00000000-0005-0000-0000-0000F75D0000}"/>
    <cellStyle name="40% - Accent5 4 4 7 3" xfId="37350" xr:uid="{00000000-0005-0000-0000-0000F85D0000}"/>
    <cellStyle name="40% - Accent5 4 4 8" xfId="15595" xr:uid="{00000000-0005-0000-0000-0000F95D0000}"/>
    <cellStyle name="40% - Accent5 4 4 8 2" xfId="44601" xr:uid="{00000000-0005-0000-0000-0000FA5D0000}"/>
    <cellStyle name="40% - Accent5 4 4 9" xfId="30102" xr:uid="{00000000-0005-0000-0000-0000FB5D0000}"/>
    <cellStyle name="40% - Accent5 4 5" xfId="1326" xr:uid="{00000000-0005-0000-0000-0000FC5D0000}"/>
    <cellStyle name="40% - Accent5 4 5 2" xfId="2383" xr:uid="{00000000-0005-0000-0000-0000FD5D0000}"/>
    <cellStyle name="40% - Accent5 4 5 2 2" xfId="5487" xr:uid="{00000000-0005-0000-0000-0000FE5D0000}"/>
    <cellStyle name="40% - Accent5 4 5 2 2 2" xfId="12759" xr:uid="{00000000-0005-0000-0000-0000FF5D0000}"/>
    <cellStyle name="40% - Accent5 4 5 2 2 2 2" xfId="27293" xr:uid="{00000000-0005-0000-0000-0000005E0000}"/>
    <cellStyle name="40% - Accent5 4 5 2 2 2 2 2" xfId="56299" xr:uid="{00000000-0005-0000-0000-0000015E0000}"/>
    <cellStyle name="40% - Accent5 4 5 2 2 2 3" xfId="41800" xr:uid="{00000000-0005-0000-0000-0000025E0000}"/>
    <cellStyle name="40% - Accent5 4 5 2 2 3" xfId="20045" xr:uid="{00000000-0005-0000-0000-0000035E0000}"/>
    <cellStyle name="40% - Accent5 4 5 2 2 3 2" xfId="49051" xr:uid="{00000000-0005-0000-0000-0000045E0000}"/>
    <cellStyle name="40% - Accent5 4 5 2 2 4" xfId="34552" xr:uid="{00000000-0005-0000-0000-0000055E0000}"/>
    <cellStyle name="40% - Accent5 4 5 2 3" xfId="9655" xr:uid="{00000000-0005-0000-0000-0000065E0000}"/>
    <cellStyle name="40% - Accent5 4 5 2 3 2" xfId="24189" xr:uid="{00000000-0005-0000-0000-0000075E0000}"/>
    <cellStyle name="40% - Accent5 4 5 2 3 2 2" xfId="53195" xr:uid="{00000000-0005-0000-0000-0000085E0000}"/>
    <cellStyle name="40% - Accent5 4 5 2 3 3" xfId="38696" xr:uid="{00000000-0005-0000-0000-0000095E0000}"/>
    <cellStyle name="40% - Accent5 4 5 2 4" xfId="16941" xr:uid="{00000000-0005-0000-0000-00000A5E0000}"/>
    <cellStyle name="40% - Accent5 4 5 2 4 2" xfId="45947" xr:uid="{00000000-0005-0000-0000-00000B5E0000}"/>
    <cellStyle name="40% - Accent5 4 5 2 5" xfId="31448" xr:uid="{00000000-0005-0000-0000-00000C5E0000}"/>
    <cellStyle name="40% - Accent5 4 5 3" xfId="3415" xr:uid="{00000000-0005-0000-0000-00000D5E0000}"/>
    <cellStyle name="40% - Accent5 4 5 3 2" xfId="6519" xr:uid="{00000000-0005-0000-0000-00000E5E0000}"/>
    <cellStyle name="40% - Accent5 4 5 3 2 2" xfId="13791" xr:uid="{00000000-0005-0000-0000-00000F5E0000}"/>
    <cellStyle name="40% - Accent5 4 5 3 2 2 2" xfId="28325" xr:uid="{00000000-0005-0000-0000-0000105E0000}"/>
    <cellStyle name="40% - Accent5 4 5 3 2 2 2 2" xfId="57331" xr:uid="{00000000-0005-0000-0000-0000115E0000}"/>
    <cellStyle name="40% - Accent5 4 5 3 2 2 3" xfId="42832" xr:uid="{00000000-0005-0000-0000-0000125E0000}"/>
    <cellStyle name="40% - Accent5 4 5 3 2 3" xfId="21077" xr:uid="{00000000-0005-0000-0000-0000135E0000}"/>
    <cellStyle name="40% - Accent5 4 5 3 2 3 2" xfId="50083" xr:uid="{00000000-0005-0000-0000-0000145E0000}"/>
    <cellStyle name="40% - Accent5 4 5 3 2 4" xfId="35584" xr:uid="{00000000-0005-0000-0000-0000155E0000}"/>
    <cellStyle name="40% - Accent5 4 5 3 3" xfId="10687" xr:uid="{00000000-0005-0000-0000-0000165E0000}"/>
    <cellStyle name="40% - Accent5 4 5 3 3 2" xfId="25221" xr:uid="{00000000-0005-0000-0000-0000175E0000}"/>
    <cellStyle name="40% - Accent5 4 5 3 3 2 2" xfId="54227" xr:uid="{00000000-0005-0000-0000-0000185E0000}"/>
    <cellStyle name="40% - Accent5 4 5 3 3 3" xfId="39728" xr:uid="{00000000-0005-0000-0000-0000195E0000}"/>
    <cellStyle name="40% - Accent5 4 5 3 4" xfId="17973" xr:uid="{00000000-0005-0000-0000-00001A5E0000}"/>
    <cellStyle name="40% - Accent5 4 5 3 4 2" xfId="46979" xr:uid="{00000000-0005-0000-0000-00001B5E0000}"/>
    <cellStyle name="40% - Accent5 4 5 3 5" xfId="32480" xr:uid="{00000000-0005-0000-0000-00001C5E0000}"/>
    <cellStyle name="40% - Accent5 4 5 4" xfId="4447" xr:uid="{00000000-0005-0000-0000-00001D5E0000}"/>
    <cellStyle name="40% - Accent5 4 5 4 2" xfId="11719" xr:uid="{00000000-0005-0000-0000-00001E5E0000}"/>
    <cellStyle name="40% - Accent5 4 5 4 2 2" xfId="26253" xr:uid="{00000000-0005-0000-0000-00001F5E0000}"/>
    <cellStyle name="40% - Accent5 4 5 4 2 2 2" xfId="55259" xr:uid="{00000000-0005-0000-0000-0000205E0000}"/>
    <cellStyle name="40% - Accent5 4 5 4 2 3" xfId="40760" xr:uid="{00000000-0005-0000-0000-0000215E0000}"/>
    <cellStyle name="40% - Accent5 4 5 4 3" xfId="19005" xr:uid="{00000000-0005-0000-0000-0000225E0000}"/>
    <cellStyle name="40% - Accent5 4 5 4 3 2" xfId="48011" xr:uid="{00000000-0005-0000-0000-0000235E0000}"/>
    <cellStyle name="40% - Accent5 4 5 4 4" xfId="33512" xr:uid="{00000000-0005-0000-0000-0000245E0000}"/>
    <cellStyle name="40% - Accent5 4 5 5" xfId="7551" xr:uid="{00000000-0005-0000-0000-0000255E0000}"/>
    <cellStyle name="40% - Accent5 4 5 5 2" xfId="14823" xr:uid="{00000000-0005-0000-0000-0000265E0000}"/>
    <cellStyle name="40% - Accent5 4 5 5 2 2" xfId="29357" xr:uid="{00000000-0005-0000-0000-0000275E0000}"/>
    <cellStyle name="40% - Accent5 4 5 5 2 2 2" xfId="58363" xr:uid="{00000000-0005-0000-0000-0000285E0000}"/>
    <cellStyle name="40% - Accent5 4 5 5 2 3" xfId="43864" xr:uid="{00000000-0005-0000-0000-0000295E0000}"/>
    <cellStyle name="40% - Accent5 4 5 5 3" xfId="22109" xr:uid="{00000000-0005-0000-0000-00002A5E0000}"/>
    <cellStyle name="40% - Accent5 4 5 5 3 2" xfId="51115" xr:uid="{00000000-0005-0000-0000-00002B5E0000}"/>
    <cellStyle name="40% - Accent5 4 5 5 4" xfId="36616" xr:uid="{00000000-0005-0000-0000-00002C5E0000}"/>
    <cellStyle name="40% - Accent5 4 5 6" xfId="8615" xr:uid="{00000000-0005-0000-0000-00002D5E0000}"/>
    <cellStyle name="40% - Accent5 4 5 6 2" xfId="23149" xr:uid="{00000000-0005-0000-0000-00002E5E0000}"/>
    <cellStyle name="40% - Accent5 4 5 6 2 2" xfId="52155" xr:uid="{00000000-0005-0000-0000-00002F5E0000}"/>
    <cellStyle name="40% - Accent5 4 5 6 3" xfId="37656" xr:uid="{00000000-0005-0000-0000-0000305E0000}"/>
    <cellStyle name="40% - Accent5 4 5 7" xfId="15901" xr:uid="{00000000-0005-0000-0000-0000315E0000}"/>
    <cellStyle name="40% - Accent5 4 5 7 2" xfId="44907" xr:uid="{00000000-0005-0000-0000-0000325E0000}"/>
    <cellStyle name="40% - Accent5 4 5 8" xfId="30408" xr:uid="{00000000-0005-0000-0000-0000335E0000}"/>
    <cellStyle name="40% - Accent5 4 6" xfId="1871" xr:uid="{00000000-0005-0000-0000-0000345E0000}"/>
    <cellStyle name="40% - Accent5 4 6 2" xfId="4975" xr:uid="{00000000-0005-0000-0000-0000355E0000}"/>
    <cellStyle name="40% - Accent5 4 6 2 2" xfId="12247" xr:uid="{00000000-0005-0000-0000-0000365E0000}"/>
    <cellStyle name="40% - Accent5 4 6 2 2 2" xfId="26781" xr:uid="{00000000-0005-0000-0000-0000375E0000}"/>
    <cellStyle name="40% - Accent5 4 6 2 2 2 2" xfId="55787" xr:uid="{00000000-0005-0000-0000-0000385E0000}"/>
    <cellStyle name="40% - Accent5 4 6 2 2 3" xfId="41288" xr:uid="{00000000-0005-0000-0000-0000395E0000}"/>
    <cellStyle name="40% - Accent5 4 6 2 3" xfId="19533" xr:uid="{00000000-0005-0000-0000-00003A5E0000}"/>
    <cellStyle name="40% - Accent5 4 6 2 3 2" xfId="48539" xr:uid="{00000000-0005-0000-0000-00003B5E0000}"/>
    <cellStyle name="40% - Accent5 4 6 2 4" xfId="34040" xr:uid="{00000000-0005-0000-0000-00003C5E0000}"/>
    <cellStyle name="40% - Accent5 4 6 3" xfId="9143" xr:uid="{00000000-0005-0000-0000-00003D5E0000}"/>
    <cellStyle name="40% - Accent5 4 6 3 2" xfId="23677" xr:uid="{00000000-0005-0000-0000-00003E5E0000}"/>
    <cellStyle name="40% - Accent5 4 6 3 2 2" xfId="52683" xr:uid="{00000000-0005-0000-0000-00003F5E0000}"/>
    <cellStyle name="40% - Accent5 4 6 3 3" xfId="38184" xr:uid="{00000000-0005-0000-0000-0000405E0000}"/>
    <cellStyle name="40% - Accent5 4 6 4" xfId="16429" xr:uid="{00000000-0005-0000-0000-0000415E0000}"/>
    <cellStyle name="40% - Accent5 4 6 4 2" xfId="45435" xr:uid="{00000000-0005-0000-0000-0000425E0000}"/>
    <cellStyle name="40% - Accent5 4 6 5" xfId="30936" xr:uid="{00000000-0005-0000-0000-0000435E0000}"/>
    <cellStyle name="40% - Accent5 4 7" xfId="2903" xr:uid="{00000000-0005-0000-0000-0000445E0000}"/>
    <cellStyle name="40% - Accent5 4 7 2" xfId="6007" xr:uid="{00000000-0005-0000-0000-0000455E0000}"/>
    <cellStyle name="40% - Accent5 4 7 2 2" xfId="13279" xr:uid="{00000000-0005-0000-0000-0000465E0000}"/>
    <cellStyle name="40% - Accent5 4 7 2 2 2" xfId="27813" xr:uid="{00000000-0005-0000-0000-0000475E0000}"/>
    <cellStyle name="40% - Accent5 4 7 2 2 2 2" xfId="56819" xr:uid="{00000000-0005-0000-0000-0000485E0000}"/>
    <cellStyle name="40% - Accent5 4 7 2 2 3" xfId="42320" xr:uid="{00000000-0005-0000-0000-0000495E0000}"/>
    <cellStyle name="40% - Accent5 4 7 2 3" xfId="20565" xr:uid="{00000000-0005-0000-0000-00004A5E0000}"/>
    <cellStyle name="40% - Accent5 4 7 2 3 2" xfId="49571" xr:uid="{00000000-0005-0000-0000-00004B5E0000}"/>
    <cellStyle name="40% - Accent5 4 7 2 4" xfId="35072" xr:uid="{00000000-0005-0000-0000-00004C5E0000}"/>
    <cellStyle name="40% - Accent5 4 7 3" xfId="10175" xr:uid="{00000000-0005-0000-0000-00004D5E0000}"/>
    <cellStyle name="40% - Accent5 4 7 3 2" xfId="24709" xr:uid="{00000000-0005-0000-0000-00004E5E0000}"/>
    <cellStyle name="40% - Accent5 4 7 3 2 2" xfId="53715" xr:uid="{00000000-0005-0000-0000-00004F5E0000}"/>
    <cellStyle name="40% - Accent5 4 7 3 3" xfId="39216" xr:uid="{00000000-0005-0000-0000-0000505E0000}"/>
    <cellStyle name="40% - Accent5 4 7 4" xfId="17461" xr:uid="{00000000-0005-0000-0000-0000515E0000}"/>
    <cellStyle name="40% - Accent5 4 7 4 2" xfId="46467" xr:uid="{00000000-0005-0000-0000-0000525E0000}"/>
    <cellStyle name="40% - Accent5 4 7 5" xfId="31968" xr:uid="{00000000-0005-0000-0000-0000535E0000}"/>
    <cellStyle name="40% - Accent5 4 8" xfId="3935" xr:uid="{00000000-0005-0000-0000-0000545E0000}"/>
    <cellStyle name="40% - Accent5 4 8 2" xfId="11207" xr:uid="{00000000-0005-0000-0000-0000555E0000}"/>
    <cellStyle name="40% - Accent5 4 8 2 2" xfId="25741" xr:uid="{00000000-0005-0000-0000-0000565E0000}"/>
    <cellStyle name="40% - Accent5 4 8 2 2 2" xfId="54747" xr:uid="{00000000-0005-0000-0000-0000575E0000}"/>
    <cellStyle name="40% - Accent5 4 8 2 3" xfId="40248" xr:uid="{00000000-0005-0000-0000-0000585E0000}"/>
    <cellStyle name="40% - Accent5 4 8 3" xfId="18493" xr:uid="{00000000-0005-0000-0000-0000595E0000}"/>
    <cellStyle name="40% - Accent5 4 8 3 2" xfId="47499" xr:uid="{00000000-0005-0000-0000-00005A5E0000}"/>
    <cellStyle name="40% - Accent5 4 8 4" xfId="33000" xr:uid="{00000000-0005-0000-0000-00005B5E0000}"/>
    <cellStyle name="40% - Accent5 4 9" xfId="7039" xr:uid="{00000000-0005-0000-0000-00005C5E0000}"/>
    <cellStyle name="40% - Accent5 4 9 2" xfId="14311" xr:uid="{00000000-0005-0000-0000-00005D5E0000}"/>
    <cellStyle name="40% - Accent5 4 9 2 2" xfId="28845" xr:uid="{00000000-0005-0000-0000-00005E5E0000}"/>
    <cellStyle name="40% - Accent5 4 9 2 2 2" xfId="57851" xr:uid="{00000000-0005-0000-0000-00005F5E0000}"/>
    <cellStyle name="40% - Accent5 4 9 2 3" xfId="43352" xr:uid="{00000000-0005-0000-0000-0000605E0000}"/>
    <cellStyle name="40% - Accent5 4 9 3" xfId="21597" xr:uid="{00000000-0005-0000-0000-0000615E0000}"/>
    <cellStyle name="40% - Accent5 4 9 3 2" xfId="50603" xr:uid="{00000000-0005-0000-0000-0000625E0000}"/>
    <cellStyle name="40% - Accent5 4 9 4" xfId="36104" xr:uid="{00000000-0005-0000-0000-0000635E0000}"/>
    <cellStyle name="40% - Accent5 5" xfId="912" xr:uid="{00000000-0005-0000-0000-0000645E0000}"/>
    <cellStyle name="40% - Accent5 5 10" xfId="29947" xr:uid="{00000000-0005-0000-0000-0000655E0000}"/>
    <cellStyle name="40% - Accent5 5 2" xfId="1180" xr:uid="{00000000-0005-0000-0000-0000665E0000}"/>
    <cellStyle name="40% - Accent5 5 2 2" xfId="1681" xr:uid="{00000000-0005-0000-0000-0000675E0000}"/>
    <cellStyle name="40% - Accent5 5 2 2 2" xfId="2740" xr:uid="{00000000-0005-0000-0000-0000685E0000}"/>
    <cellStyle name="40% - Accent5 5 2 2 2 2" xfId="5844" xr:uid="{00000000-0005-0000-0000-0000695E0000}"/>
    <cellStyle name="40% - Accent5 5 2 2 2 2 2" xfId="13116" xr:uid="{00000000-0005-0000-0000-00006A5E0000}"/>
    <cellStyle name="40% - Accent5 5 2 2 2 2 2 2" xfId="27650" xr:uid="{00000000-0005-0000-0000-00006B5E0000}"/>
    <cellStyle name="40% - Accent5 5 2 2 2 2 2 2 2" xfId="56656" xr:uid="{00000000-0005-0000-0000-00006C5E0000}"/>
    <cellStyle name="40% - Accent5 5 2 2 2 2 2 3" xfId="42157" xr:uid="{00000000-0005-0000-0000-00006D5E0000}"/>
    <cellStyle name="40% - Accent5 5 2 2 2 2 3" xfId="20402" xr:uid="{00000000-0005-0000-0000-00006E5E0000}"/>
    <cellStyle name="40% - Accent5 5 2 2 2 2 3 2" xfId="49408" xr:uid="{00000000-0005-0000-0000-00006F5E0000}"/>
    <cellStyle name="40% - Accent5 5 2 2 2 2 4" xfId="34909" xr:uid="{00000000-0005-0000-0000-0000705E0000}"/>
    <cellStyle name="40% - Accent5 5 2 2 2 3" xfId="10012" xr:uid="{00000000-0005-0000-0000-0000715E0000}"/>
    <cellStyle name="40% - Accent5 5 2 2 2 3 2" xfId="24546" xr:uid="{00000000-0005-0000-0000-0000725E0000}"/>
    <cellStyle name="40% - Accent5 5 2 2 2 3 2 2" xfId="53552" xr:uid="{00000000-0005-0000-0000-0000735E0000}"/>
    <cellStyle name="40% - Accent5 5 2 2 2 3 3" xfId="39053" xr:uid="{00000000-0005-0000-0000-0000745E0000}"/>
    <cellStyle name="40% - Accent5 5 2 2 2 4" xfId="17298" xr:uid="{00000000-0005-0000-0000-0000755E0000}"/>
    <cellStyle name="40% - Accent5 5 2 2 2 4 2" xfId="46304" xr:uid="{00000000-0005-0000-0000-0000765E0000}"/>
    <cellStyle name="40% - Accent5 5 2 2 2 5" xfId="31805" xr:uid="{00000000-0005-0000-0000-0000775E0000}"/>
    <cellStyle name="40% - Accent5 5 2 2 3" xfId="3772" xr:uid="{00000000-0005-0000-0000-0000785E0000}"/>
    <cellStyle name="40% - Accent5 5 2 2 3 2" xfId="6876" xr:uid="{00000000-0005-0000-0000-0000795E0000}"/>
    <cellStyle name="40% - Accent5 5 2 2 3 2 2" xfId="14148" xr:uid="{00000000-0005-0000-0000-00007A5E0000}"/>
    <cellStyle name="40% - Accent5 5 2 2 3 2 2 2" xfId="28682" xr:uid="{00000000-0005-0000-0000-00007B5E0000}"/>
    <cellStyle name="40% - Accent5 5 2 2 3 2 2 2 2" xfId="57688" xr:uid="{00000000-0005-0000-0000-00007C5E0000}"/>
    <cellStyle name="40% - Accent5 5 2 2 3 2 2 3" xfId="43189" xr:uid="{00000000-0005-0000-0000-00007D5E0000}"/>
    <cellStyle name="40% - Accent5 5 2 2 3 2 3" xfId="21434" xr:uid="{00000000-0005-0000-0000-00007E5E0000}"/>
    <cellStyle name="40% - Accent5 5 2 2 3 2 3 2" xfId="50440" xr:uid="{00000000-0005-0000-0000-00007F5E0000}"/>
    <cellStyle name="40% - Accent5 5 2 2 3 2 4" xfId="35941" xr:uid="{00000000-0005-0000-0000-0000805E0000}"/>
    <cellStyle name="40% - Accent5 5 2 2 3 3" xfId="11044" xr:uid="{00000000-0005-0000-0000-0000815E0000}"/>
    <cellStyle name="40% - Accent5 5 2 2 3 3 2" xfId="25578" xr:uid="{00000000-0005-0000-0000-0000825E0000}"/>
    <cellStyle name="40% - Accent5 5 2 2 3 3 2 2" xfId="54584" xr:uid="{00000000-0005-0000-0000-0000835E0000}"/>
    <cellStyle name="40% - Accent5 5 2 2 3 3 3" xfId="40085" xr:uid="{00000000-0005-0000-0000-0000845E0000}"/>
    <cellStyle name="40% - Accent5 5 2 2 3 4" xfId="18330" xr:uid="{00000000-0005-0000-0000-0000855E0000}"/>
    <cellStyle name="40% - Accent5 5 2 2 3 4 2" xfId="47336" xr:uid="{00000000-0005-0000-0000-0000865E0000}"/>
    <cellStyle name="40% - Accent5 5 2 2 3 5" xfId="32837" xr:uid="{00000000-0005-0000-0000-0000875E0000}"/>
    <cellStyle name="40% - Accent5 5 2 2 4" xfId="4804" xr:uid="{00000000-0005-0000-0000-0000885E0000}"/>
    <cellStyle name="40% - Accent5 5 2 2 4 2" xfId="12076" xr:uid="{00000000-0005-0000-0000-0000895E0000}"/>
    <cellStyle name="40% - Accent5 5 2 2 4 2 2" xfId="26610" xr:uid="{00000000-0005-0000-0000-00008A5E0000}"/>
    <cellStyle name="40% - Accent5 5 2 2 4 2 2 2" xfId="55616" xr:uid="{00000000-0005-0000-0000-00008B5E0000}"/>
    <cellStyle name="40% - Accent5 5 2 2 4 2 3" xfId="41117" xr:uid="{00000000-0005-0000-0000-00008C5E0000}"/>
    <cellStyle name="40% - Accent5 5 2 2 4 3" xfId="19362" xr:uid="{00000000-0005-0000-0000-00008D5E0000}"/>
    <cellStyle name="40% - Accent5 5 2 2 4 3 2" xfId="48368" xr:uid="{00000000-0005-0000-0000-00008E5E0000}"/>
    <cellStyle name="40% - Accent5 5 2 2 4 4" xfId="33869" xr:uid="{00000000-0005-0000-0000-00008F5E0000}"/>
    <cellStyle name="40% - Accent5 5 2 2 5" xfId="7908" xr:uid="{00000000-0005-0000-0000-0000905E0000}"/>
    <cellStyle name="40% - Accent5 5 2 2 5 2" xfId="15180" xr:uid="{00000000-0005-0000-0000-0000915E0000}"/>
    <cellStyle name="40% - Accent5 5 2 2 5 2 2" xfId="29714" xr:uid="{00000000-0005-0000-0000-0000925E0000}"/>
    <cellStyle name="40% - Accent5 5 2 2 5 2 2 2" xfId="58720" xr:uid="{00000000-0005-0000-0000-0000935E0000}"/>
    <cellStyle name="40% - Accent5 5 2 2 5 2 3" xfId="44221" xr:uid="{00000000-0005-0000-0000-0000945E0000}"/>
    <cellStyle name="40% - Accent5 5 2 2 5 3" xfId="22466" xr:uid="{00000000-0005-0000-0000-0000955E0000}"/>
    <cellStyle name="40% - Accent5 5 2 2 5 3 2" xfId="51472" xr:uid="{00000000-0005-0000-0000-0000965E0000}"/>
    <cellStyle name="40% - Accent5 5 2 2 5 4" xfId="36973" xr:uid="{00000000-0005-0000-0000-0000975E0000}"/>
    <cellStyle name="40% - Accent5 5 2 2 6" xfId="8972" xr:uid="{00000000-0005-0000-0000-0000985E0000}"/>
    <cellStyle name="40% - Accent5 5 2 2 6 2" xfId="23506" xr:uid="{00000000-0005-0000-0000-0000995E0000}"/>
    <cellStyle name="40% - Accent5 5 2 2 6 2 2" xfId="52512" xr:uid="{00000000-0005-0000-0000-00009A5E0000}"/>
    <cellStyle name="40% - Accent5 5 2 2 6 3" xfId="38013" xr:uid="{00000000-0005-0000-0000-00009B5E0000}"/>
    <cellStyle name="40% - Accent5 5 2 2 7" xfId="16258" xr:uid="{00000000-0005-0000-0000-00009C5E0000}"/>
    <cellStyle name="40% - Accent5 5 2 2 7 2" xfId="45264" xr:uid="{00000000-0005-0000-0000-00009D5E0000}"/>
    <cellStyle name="40% - Accent5 5 2 2 8" xfId="30765" xr:uid="{00000000-0005-0000-0000-00009E5E0000}"/>
    <cellStyle name="40% - Accent5 5 2 3" xfId="2228" xr:uid="{00000000-0005-0000-0000-00009F5E0000}"/>
    <cellStyle name="40% - Accent5 5 2 3 2" xfId="5332" xr:uid="{00000000-0005-0000-0000-0000A05E0000}"/>
    <cellStyle name="40% - Accent5 5 2 3 2 2" xfId="12604" xr:uid="{00000000-0005-0000-0000-0000A15E0000}"/>
    <cellStyle name="40% - Accent5 5 2 3 2 2 2" xfId="27138" xr:uid="{00000000-0005-0000-0000-0000A25E0000}"/>
    <cellStyle name="40% - Accent5 5 2 3 2 2 2 2" xfId="56144" xr:uid="{00000000-0005-0000-0000-0000A35E0000}"/>
    <cellStyle name="40% - Accent5 5 2 3 2 2 3" xfId="41645" xr:uid="{00000000-0005-0000-0000-0000A45E0000}"/>
    <cellStyle name="40% - Accent5 5 2 3 2 3" xfId="19890" xr:uid="{00000000-0005-0000-0000-0000A55E0000}"/>
    <cellStyle name="40% - Accent5 5 2 3 2 3 2" xfId="48896" xr:uid="{00000000-0005-0000-0000-0000A65E0000}"/>
    <cellStyle name="40% - Accent5 5 2 3 2 4" xfId="34397" xr:uid="{00000000-0005-0000-0000-0000A75E0000}"/>
    <cellStyle name="40% - Accent5 5 2 3 3" xfId="9500" xr:uid="{00000000-0005-0000-0000-0000A85E0000}"/>
    <cellStyle name="40% - Accent5 5 2 3 3 2" xfId="24034" xr:uid="{00000000-0005-0000-0000-0000A95E0000}"/>
    <cellStyle name="40% - Accent5 5 2 3 3 2 2" xfId="53040" xr:uid="{00000000-0005-0000-0000-0000AA5E0000}"/>
    <cellStyle name="40% - Accent5 5 2 3 3 3" xfId="38541" xr:uid="{00000000-0005-0000-0000-0000AB5E0000}"/>
    <cellStyle name="40% - Accent5 5 2 3 4" xfId="16786" xr:uid="{00000000-0005-0000-0000-0000AC5E0000}"/>
    <cellStyle name="40% - Accent5 5 2 3 4 2" xfId="45792" xr:uid="{00000000-0005-0000-0000-0000AD5E0000}"/>
    <cellStyle name="40% - Accent5 5 2 3 5" xfId="31293" xr:uid="{00000000-0005-0000-0000-0000AE5E0000}"/>
    <cellStyle name="40% - Accent5 5 2 4" xfId="3260" xr:uid="{00000000-0005-0000-0000-0000AF5E0000}"/>
    <cellStyle name="40% - Accent5 5 2 4 2" xfId="6364" xr:uid="{00000000-0005-0000-0000-0000B05E0000}"/>
    <cellStyle name="40% - Accent5 5 2 4 2 2" xfId="13636" xr:uid="{00000000-0005-0000-0000-0000B15E0000}"/>
    <cellStyle name="40% - Accent5 5 2 4 2 2 2" xfId="28170" xr:uid="{00000000-0005-0000-0000-0000B25E0000}"/>
    <cellStyle name="40% - Accent5 5 2 4 2 2 2 2" xfId="57176" xr:uid="{00000000-0005-0000-0000-0000B35E0000}"/>
    <cellStyle name="40% - Accent5 5 2 4 2 2 3" xfId="42677" xr:uid="{00000000-0005-0000-0000-0000B45E0000}"/>
    <cellStyle name="40% - Accent5 5 2 4 2 3" xfId="20922" xr:uid="{00000000-0005-0000-0000-0000B55E0000}"/>
    <cellStyle name="40% - Accent5 5 2 4 2 3 2" xfId="49928" xr:uid="{00000000-0005-0000-0000-0000B65E0000}"/>
    <cellStyle name="40% - Accent5 5 2 4 2 4" xfId="35429" xr:uid="{00000000-0005-0000-0000-0000B75E0000}"/>
    <cellStyle name="40% - Accent5 5 2 4 3" xfId="10532" xr:uid="{00000000-0005-0000-0000-0000B85E0000}"/>
    <cellStyle name="40% - Accent5 5 2 4 3 2" xfId="25066" xr:uid="{00000000-0005-0000-0000-0000B95E0000}"/>
    <cellStyle name="40% - Accent5 5 2 4 3 2 2" xfId="54072" xr:uid="{00000000-0005-0000-0000-0000BA5E0000}"/>
    <cellStyle name="40% - Accent5 5 2 4 3 3" xfId="39573" xr:uid="{00000000-0005-0000-0000-0000BB5E0000}"/>
    <cellStyle name="40% - Accent5 5 2 4 4" xfId="17818" xr:uid="{00000000-0005-0000-0000-0000BC5E0000}"/>
    <cellStyle name="40% - Accent5 5 2 4 4 2" xfId="46824" xr:uid="{00000000-0005-0000-0000-0000BD5E0000}"/>
    <cellStyle name="40% - Accent5 5 2 4 5" xfId="32325" xr:uid="{00000000-0005-0000-0000-0000BE5E0000}"/>
    <cellStyle name="40% - Accent5 5 2 5" xfId="4292" xr:uid="{00000000-0005-0000-0000-0000BF5E0000}"/>
    <cellStyle name="40% - Accent5 5 2 5 2" xfId="11564" xr:uid="{00000000-0005-0000-0000-0000C05E0000}"/>
    <cellStyle name="40% - Accent5 5 2 5 2 2" xfId="26098" xr:uid="{00000000-0005-0000-0000-0000C15E0000}"/>
    <cellStyle name="40% - Accent5 5 2 5 2 2 2" xfId="55104" xr:uid="{00000000-0005-0000-0000-0000C25E0000}"/>
    <cellStyle name="40% - Accent5 5 2 5 2 3" xfId="40605" xr:uid="{00000000-0005-0000-0000-0000C35E0000}"/>
    <cellStyle name="40% - Accent5 5 2 5 3" xfId="18850" xr:uid="{00000000-0005-0000-0000-0000C45E0000}"/>
    <cellStyle name="40% - Accent5 5 2 5 3 2" xfId="47856" xr:uid="{00000000-0005-0000-0000-0000C55E0000}"/>
    <cellStyle name="40% - Accent5 5 2 5 4" xfId="33357" xr:uid="{00000000-0005-0000-0000-0000C65E0000}"/>
    <cellStyle name="40% - Accent5 5 2 6" xfId="7396" xr:uid="{00000000-0005-0000-0000-0000C75E0000}"/>
    <cellStyle name="40% - Accent5 5 2 6 2" xfId="14668" xr:uid="{00000000-0005-0000-0000-0000C85E0000}"/>
    <cellStyle name="40% - Accent5 5 2 6 2 2" xfId="29202" xr:uid="{00000000-0005-0000-0000-0000C95E0000}"/>
    <cellStyle name="40% - Accent5 5 2 6 2 2 2" xfId="58208" xr:uid="{00000000-0005-0000-0000-0000CA5E0000}"/>
    <cellStyle name="40% - Accent5 5 2 6 2 3" xfId="43709" xr:uid="{00000000-0005-0000-0000-0000CB5E0000}"/>
    <cellStyle name="40% - Accent5 5 2 6 3" xfId="21954" xr:uid="{00000000-0005-0000-0000-0000CC5E0000}"/>
    <cellStyle name="40% - Accent5 5 2 6 3 2" xfId="50960" xr:uid="{00000000-0005-0000-0000-0000CD5E0000}"/>
    <cellStyle name="40% - Accent5 5 2 6 4" xfId="36461" xr:uid="{00000000-0005-0000-0000-0000CE5E0000}"/>
    <cellStyle name="40% - Accent5 5 2 7" xfId="8460" xr:uid="{00000000-0005-0000-0000-0000CF5E0000}"/>
    <cellStyle name="40% - Accent5 5 2 7 2" xfId="22994" xr:uid="{00000000-0005-0000-0000-0000D05E0000}"/>
    <cellStyle name="40% - Accent5 5 2 7 2 2" xfId="52000" xr:uid="{00000000-0005-0000-0000-0000D15E0000}"/>
    <cellStyle name="40% - Accent5 5 2 7 3" xfId="37501" xr:uid="{00000000-0005-0000-0000-0000D25E0000}"/>
    <cellStyle name="40% - Accent5 5 2 8" xfId="15746" xr:uid="{00000000-0005-0000-0000-0000D35E0000}"/>
    <cellStyle name="40% - Accent5 5 2 8 2" xfId="44752" xr:uid="{00000000-0005-0000-0000-0000D45E0000}"/>
    <cellStyle name="40% - Accent5 5 2 9" xfId="30253" xr:uid="{00000000-0005-0000-0000-0000D55E0000}"/>
    <cellStyle name="40% - Accent5 5 3" xfId="1377" xr:uid="{00000000-0005-0000-0000-0000D65E0000}"/>
    <cellStyle name="40% - Accent5 5 3 2" xfId="2434" xr:uid="{00000000-0005-0000-0000-0000D75E0000}"/>
    <cellStyle name="40% - Accent5 5 3 2 2" xfId="5538" xr:uid="{00000000-0005-0000-0000-0000D85E0000}"/>
    <cellStyle name="40% - Accent5 5 3 2 2 2" xfId="12810" xr:uid="{00000000-0005-0000-0000-0000D95E0000}"/>
    <cellStyle name="40% - Accent5 5 3 2 2 2 2" xfId="27344" xr:uid="{00000000-0005-0000-0000-0000DA5E0000}"/>
    <cellStyle name="40% - Accent5 5 3 2 2 2 2 2" xfId="56350" xr:uid="{00000000-0005-0000-0000-0000DB5E0000}"/>
    <cellStyle name="40% - Accent5 5 3 2 2 2 3" xfId="41851" xr:uid="{00000000-0005-0000-0000-0000DC5E0000}"/>
    <cellStyle name="40% - Accent5 5 3 2 2 3" xfId="20096" xr:uid="{00000000-0005-0000-0000-0000DD5E0000}"/>
    <cellStyle name="40% - Accent5 5 3 2 2 3 2" xfId="49102" xr:uid="{00000000-0005-0000-0000-0000DE5E0000}"/>
    <cellStyle name="40% - Accent5 5 3 2 2 4" xfId="34603" xr:uid="{00000000-0005-0000-0000-0000DF5E0000}"/>
    <cellStyle name="40% - Accent5 5 3 2 3" xfId="9706" xr:uid="{00000000-0005-0000-0000-0000E05E0000}"/>
    <cellStyle name="40% - Accent5 5 3 2 3 2" xfId="24240" xr:uid="{00000000-0005-0000-0000-0000E15E0000}"/>
    <cellStyle name="40% - Accent5 5 3 2 3 2 2" xfId="53246" xr:uid="{00000000-0005-0000-0000-0000E25E0000}"/>
    <cellStyle name="40% - Accent5 5 3 2 3 3" xfId="38747" xr:uid="{00000000-0005-0000-0000-0000E35E0000}"/>
    <cellStyle name="40% - Accent5 5 3 2 4" xfId="16992" xr:uid="{00000000-0005-0000-0000-0000E45E0000}"/>
    <cellStyle name="40% - Accent5 5 3 2 4 2" xfId="45998" xr:uid="{00000000-0005-0000-0000-0000E55E0000}"/>
    <cellStyle name="40% - Accent5 5 3 2 5" xfId="31499" xr:uid="{00000000-0005-0000-0000-0000E65E0000}"/>
    <cellStyle name="40% - Accent5 5 3 3" xfId="3466" xr:uid="{00000000-0005-0000-0000-0000E75E0000}"/>
    <cellStyle name="40% - Accent5 5 3 3 2" xfId="6570" xr:uid="{00000000-0005-0000-0000-0000E85E0000}"/>
    <cellStyle name="40% - Accent5 5 3 3 2 2" xfId="13842" xr:uid="{00000000-0005-0000-0000-0000E95E0000}"/>
    <cellStyle name="40% - Accent5 5 3 3 2 2 2" xfId="28376" xr:uid="{00000000-0005-0000-0000-0000EA5E0000}"/>
    <cellStyle name="40% - Accent5 5 3 3 2 2 2 2" xfId="57382" xr:uid="{00000000-0005-0000-0000-0000EB5E0000}"/>
    <cellStyle name="40% - Accent5 5 3 3 2 2 3" xfId="42883" xr:uid="{00000000-0005-0000-0000-0000EC5E0000}"/>
    <cellStyle name="40% - Accent5 5 3 3 2 3" xfId="21128" xr:uid="{00000000-0005-0000-0000-0000ED5E0000}"/>
    <cellStyle name="40% - Accent5 5 3 3 2 3 2" xfId="50134" xr:uid="{00000000-0005-0000-0000-0000EE5E0000}"/>
    <cellStyle name="40% - Accent5 5 3 3 2 4" xfId="35635" xr:uid="{00000000-0005-0000-0000-0000EF5E0000}"/>
    <cellStyle name="40% - Accent5 5 3 3 3" xfId="10738" xr:uid="{00000000-0005-0000-0000-0000F05E0000}"/>
    <cellStyle name="40% - Accent5 5 3 3 3 2" xfId="25272" xr:uid="{00000000-0005-0000-0000-0000F15E0000}"/>
    <cellStyle name="40% - Accent5 5 3 3 3 2 2" xfId="54278" xr:uid="{00000000-0005-0000-0000-0000F25E0000}"/>
    <cellStyle name="40% - Accent5 5 3 3 3 3" xfId="39779" xr:uid="{00000000-0005-0000-0000-0000F35E0000}"/>
    <cellStyle name="40% - Accent5 5 3 3 4" xfId="18024" xr:uid="{00000000-0005-0000-0000-0000F45E0000}"/>
    <cellStyle name="40% - Accent5 5 3 3 4 2" xfId="47030" xr:uid="{00000000-0005-0000-0000-0000F55E0000}"/>
    <cellStyle name="40% - Accent5 5 3 3 5" xfId="32531" xr:uid="{00000000-0005-0000-0000-0000F65E0000}"/>
    <cellStyle name="40% - Accent5 5 3 4" xfId="4498" xr:uid="{00000000-0005-0000-0000-0000F75E0000}"/>
    <cellStyle name="40% - Accent5 5 3 4 2" xfId="11770" xr:uid="{00000000-0005-0000-0000-0000F85E0000}"/>
    <cellStyle name="40% - Accent5 5 3 4 2 2" xfId="26304" xr:uid="{00000000-0005-0000-0000-0000F95E0000}"/>
    <cellStyle name="40% - Accent5 5 3 4 2 2 2" xfId="55310" xr:uid="{00000000-0005-0000-0000-0000FA5E0000}"/>
    <cellStyle name="40% - Accent5 5 3 4 2 3" xfId="40811" xr:uid="{00000000-0005-0000-0000-0000FB5E0000}"/>
    <cellStyle name="40% - Accent5 5 3 4 3" xfId="19056" xr:uid="{00000000-0005-0000-0000-0000FC5E0000}"/>
    <cellStyle name="40% - Accent5 5 3 4 3 2" xfId="48062" xr:uid="{00000000-0005-0000-0000-0000FD5E0000}"/>
    <cellStyle name="40% - Accent5 5 3 4 4" xfId="33563" xr:uid="{00000000-0005-0000-0000-0000FE5E0000}"/>
    <cellStyle name="40% - Accent5 5 3 5" xfId="7602" xr:uid="{00000000-0005-0000-0000-0000FF5E0000}"/>
    <cellStyle name="40% - Accent5 5 3 5 2" xfId="14874" xr:uid="{00000000-0005-0000-0000-0000005F0000}"/>
    <cellStyle name="40% - Accent5 5 3 5 2 2" xfId="29408" xr:uid="{00000000-0005-0000-0000-0000015F0000}"/>
    <cellStyle name="40% - Accent5 5 3 5 2 2 2" xfId="58414" xr:uid="{00000000-0005-0000-0000-0000025F0000}"/>
    <cellStyle name="40% - Accent5 5 3 5 2 3" xfId="43915" xr:uid="{00000000-0005-0000-0000-0000035F0000}"/>
    <cellStyle name="40% - Accent5 5 3 5 3" xfId="22160" xr:uid="{00000000-0005-0000-0000-0000045F0000}"/>
    <cellStyle name="40% - Accent5 5 3 5 3 2" xfId="51166" xr:uid="{00000000-0005-0000-0000-0000055F0000}"/>
    <cellStyle name="40% - Accent5 5 3 5 4" xfId="36667" xr:uid="{00000000-0005-0000-0000-0000065F0000}"/>
    <cellStyle name="40% - Accent5 5 3 6" xfId="8666" xr:uid="{00000000-0005-0000-0000-0000075F0000}"/>
    <cellStyle name="40% - Accent5 5 3 6 2" xfId="23200" xr:uid="{00000000-0005-0000-0000-0000085F0000}"/>
    <cellStyle name="40% - Accent5 5 3 6 2 2" xfId="52206" xr:uid="{00000000-0005-0000-0000-0000095F0000}"/>
    <cellStyle name="40% - Accent5 5 3 6 3" xfId="37707" xr:uid="{00000000-0005-0000-0000-00000A5F0000}"/>
    <cellStyle name="40% - Accent5 5 3 7" xfId="15952" xr:uid="{00000000-0005-0000-0000-00000B5F0000}"/>
    <cellStyle name="40% - Accent5 5 3 7 2" xfId="44958" xr:uid="{00000000-0005-0000-0000-00000C5F0000}"/>
    <cellStyle name="40% - Accent5 5 3 8" xfId="30459" xr:uid="{00000000-0005-0000-0000-00000D5F0000}"/>
    <cellStyle name="40% - Accent5 5 4" xfId="1922" xr:uid="{00000000-0005-0000-0000-00000E5F0000}"/>
    <cellStyle name="40% - Accent5 5 4 2" xfId="5026" xr:uid="{00000000-0005-0000-0000-00000F5F0000}"/>
    <cellStyle name="40% - Accent5 5 4 2 2" xfId="12298" xr:uid="{00000000-0005-0000-0000-0000105F0000}"/>
    <cellStyle name="40% - Accent5 5 4 2 2 2" xfId="26832" xr:uid="{00000000-0005-0000-0000-0000115F0000}"/>
    <cellStyle name="40% - Accent5 5 4 2 2 2 2" xfId="55838" xr:uid="{00000000-0005-0000-0000-0000125F0000}"/>
    <cellStyle name="40% - Accent5 5 4 2 2 3" xfId="41339" xr:uid="{00000000-0005-0000-0000-0000135F0000}"/>
    <cellStyle name="40% - Accent5 5 4 2 3" xfId="19584" xr:uid="{00000000-0005-0000-0000-0000145F0000}"/>
    <cellStyle name="40% - Accent5 5 4 2 3 2" xfId="48590" xr:uid="{00000000-0005-0000-0000-0000155F0000}"/>
    <cellStyle name="40% - Accent5 5 4 2 4" xfId="34091" xr:uid="{00000000-0005-0000-0000-0000165F0000}"/>
    <cellStyle name="40% - Accent5 5 4 3" xfId="9194" xr:uid="{00000000-0005-0000-0000-0000175F0000}"/>
    <cellStyle name="40% - Accent5 5 4 3 2" xfId="23728" xr:uid="{00000000-0005-0000-0000-0000185F0000}"/>
    <cellStyle name="40% - Accent5 5 4 3 2 2" xfId="52734" xr:uid="{00000000-0005-0000-0000-0000195F0000}"/>
    <cellStyle name="40% - Accent5 5 4 3 3" xfId="38235" xr:uid="{00000000-0005-0000-0000-00001A5F0000}"/>
    <cellStyle name="40% - Accent5 5 4 4" xfId="16480" xr:uid="{00000000-0005-0000-0000-00001B5F0000}"/>
    <cellStyle name="40% - Accent5 5 4 4 2" xfId="45486" xr:uid="{00000000-0005-0000-0000-00001C5F0000}"/>
    <cellStyle name="40% - Accent5 5 4 5" xfId="30987" xr:uid="{00000000-0005-0000-0000-00001D5F0000}"/>
    <cellStyle name="40% - Accent5 5 5" xfId="2954" xr:uid="{00000000-0005-0000-0000-00001E5F0000}"/>
    <cellStyle name="40% - Accent5 5 5 2" xfId="6058" xr:uid="{00000000-0005-0000-0000-00001F5F0000}"/>
    <cellStyle name="40% - Accent5 5 5 2 2" xfId="13330" xr:uid="{00000000-0005-0000-0000-0000205F0000}"/>
    <cellStyle name="40% - Accent5 5 5 2 2 2" xfId="27864" xr:uid="{00000000-0005-0000-0000-0000215F0000}"/>
    <cellStyle name="40% - Accent5 5 5 2 2 2 2" xfId="56870" xr:uid="{00000000-0005-0000-0000-0000225F0000}"/>
    <cellStyle name="40% - Accent5 5 5 2 2 3" xfId="42371" xr:uid="{00000000-0005-0000-0000-0000235F0000}"/>
    <cellStyle name="40% - Accent5 5 5 2 3" xfId="20616" xr:uid="{00000000-0005-0000-0000-0000245F0000}"/>
    <cellStyle name="40% - Accent5 5 5 2 3 2" xfId="49622" xr:uid="{00000000-0005-0000-0000-0000255F0000}"/>
    <cellStyle name="40% - Accent5 5 5 2 4" xfId="35123" xr:uid="{00000000-0005-0000-0000-0000265F0000}"/>
    <cellStyle name="40% - Accent5 5 5 3" xfId="10226" xr:uid="{00000000-0005-0000-0000-0000275F0000}"/>
    <cellStyle name="40% - Accent5 5 5 3 2" xfId="24760" xr:uid="{00000000-0005-0000-0000-0000285F0000}"/>
    <cellStyle name="40% - Accent5 5 5 3 2 2" xfId="53766" xr:uid="{00000000-0005-0000-0000-0000295F0000}"/>
    <cellStyle name="40% - Accent5 5 5 3 3" xfId="39267" xr:uid="{00000000-0005-0000-0000-00002A5F0000}"/>
    <cellStyle name="40% - Accent5 5 5 4" xfId="17512" xr:uid="{00000000-0005-0000-0000-00002B5F0000}"/>
    <cellStyle name="40% - Accent5 5 5 4 2" xfId="46518" xr:uid="{00000000-0005-0000-0000-00002C5F0000}"/>
    <cellStyle name="40% - Accent5 5 5 5" xfId="32019" xr:uid="{00000000-0005-0000-0000-00002D5F0000}"/>
    <cellStyle name="40% - Accent5 5 6" xfId="3986" xr:uid="{00000000-0005-0000-0000-00002E5F0000}"/>
    <cellStyle name="40% - Accent5 5 6 2" xfId="11258" xr:uid="{00000000-0005-0000-0000-00002F5F0000}"/>
    <cellStyle name="40% - Accent5 5 6 2 2" xfId="25792" xr:uid="{00000000-0005-0000-0000-0000305F0000}"/>
    <cellStyle name="40% - Accent5 5 6 2 2 2" xfId="54798" xr:uid="{00000000-0005-0000-0000-0000315F0000}"/>
    <cellStyle name="40% - Accent5 5 6 2 3" xfId="40299" xr:uid="{00000000-0005-0000-0000-0000325F0000}"/>
    <cellStyle name="40% - Accent5 5 6 3" xfId="18544" xr:uid="{00000000-0005-0000-0000-0000335F0000}"/>
    <cellStyle name="40% - Accent5 5 6 3 2" xfId="47550" xr:uid="{00000000-0005-0000-0000-0000345F0000}"/>
    <cellStyle name="40% - Accent5 5 6 4" xfId="33051" xr:uid="{00000000-0005-0000-0000-0000355F0000}"/>
    <cellStyle name="40% - Accent5 5 7" xfId="7090" xr:uid="{00000000-0005-0000-0000-0000365F0000}"/>
    <cellStyle name="40% - Accent5 5 7 2" xfId="14362" xr:uid="{00000000-0005-0000-0000-0000375F0000}"/>
    <cellStyle name="40% - Accent5 5 7 2 2" xfId="28896" xr:uid="{00000000-0005-0000-0000-0000385F0000}"/>
    <cellStyle name="40% - Accent5 5 7 2 2 2" xfId="57902" xr:uid="{00000000-0005-0000-0000-0000395F0000}"/>
    <cellStyle name="40% - Accent5 5 7 2 3" xfId="43403" xr:uid="{00000000-0005-0000-0000-00003A5F0000}"/>
    <cellStyle name="40% - Accent5 5 7 3" xfId="21648" xr:uid="{00000000-0005-0000-0000-00003B5F0000}"/>
    <cellStyle name="40% - Accent5 5 7 3 2" xfId="50654" xr:uid="{00000000-0005-0000-0000-00003C5F0000}"/>
    <cellStyle name="40% - Accent5 5 7 4" xfId="36155" xr:uid="{00000000-0005-0000-0000-00003D5F0000}"/>
    <cellStyle name="40% - Accent5 5 8" xfId="8154" xr:uid="{00000000-0005-0000-0000-00003E5F0000}"/>
    <cellStyle name="40% - Accent5 5 8 2" xfId="22688" xr:uid="{00000000-0005-0000-0000-00003F5F0000}"/>
    <cellStyle name="40% - Accent5 5 8 2 2" xfId="51694" xr:uid="{00000000-0005-0000-0000-0000405F0000}"/>
    <cellStyle name="40% - Accent5 5 8 3" xfId="37195" xr:uid="{00000000-0005-0000-0000-0000415F0000}"/>
    <cellStyle name="40% - Accent5 5 9" xfId="15440" xr:uid="{00000000-0005-0000-0000-0000425F0000}"/>
    <cellStyle name="40% - Accent5 5 9 2" xfId="44446" xr:uid="{00000000-0005-0000-0000-0000435F0000}"/>
    <cellStyle name="40% - Accent5 6" xfId="1086" xr:uid="{00000000-0005-0000-0000-0000445F0000}"/>
    <cellStyle name="40% - Accent5 6 2" xfId="1578" xr:uid="{00000000-0005-0000-0000-0000455F0000}"/>
    <cellStyle name="40% - Accent5 6 2 2" xfId="2637" xr:uid="{00000000-0005-0000-0000-0000465F0000}"/>
    <cellStyle name="40% - Accent5 6 2 2 2" xfId="5741" xr:uid="{00000000-0005-0000-0000-0000475F0000}"/>
    <cellStyle name="40% - Accent5 6 2 2 2 2" xfId="13013" xr:uid="{00000000-0005-0000-0000-0000485F0000}"/>
    <cellStyle name="40% - Accent5 6 2 2 2 2 2" xfId="27547" xr:uid="{00000000-0005-0000-0000-0000495F0000}"/>
    <cellStyle name="40% - Accent5 6 2 2 2 2 2 2" xfId="56553" xr:uid="{00000000-0005-0000-0000-00004A5F0000}"/>
    <cellStyle name="40% - Accent5 6 2 2 2 2 3" xfId="42054" xr:uid="{00000000-0005-0000-0000-00004B5F0000}"/>
    <cellStyle name="40% - Accent5 6 2 2 2 3" xfId="20299" xr:uid="{00000000-0005-0000-0000-00004C5F0000}"/>
    <cellStyle name="40% - Accent5 6 2 2 2 3 2" xfId="49305" xr:uid="{00000000-0005-0000-0000-00004D5F0000}"/>
    <cellStyle name="40% - Accent5 6 2 2 2 4" xfId="34806" xr:uid="{00000000-0005-0000-0000-00004E5F0000}"/>
    <cellStyle name="40% - Accent5 6 2 2 3" xfId="9909" xr:uid="{00000000-0005-0000-0000-00004F5F0000}"/>
    <cellStyle name="40% - Accent5 6 2 2 3 2" xfId="24443" xr:uid="{00000000-0005-0000-0000-0000505F0000}"/>
    <cellStyle name="40% - Accent5 6 2 2 3 2 2" xfId="53449" xr:uid="{00000000-0005-0000-0000-0000515F0000}"/>
    <cellStyle name="40% - Accent5 6 2 2 3 3" xfId="38950" xr:uid="{00000000-0005-0000-0000-0000525F0000}"/>
    <cellStyle name="40% - Accent5 6 2 2 4" xfId="17195" xr:uid="{00000000-0005-0000-0000-0000535F0000}"/>
    <cellStyle name="40% - Accent5 6 2 2 4 2" xfId="46201" xr:uid="{00000000-0005-0000-0000-0000545F0000}"/>
    <cellStyle name="40% - Accent5 6 2 2 5" xfId="31702" xr:uid="{00000000-0005-0000-0000-0000555F0000}"/>
    <cellStyle name="40% - Accent5 6 2 3" xfId="3669" xr:uid="{00000000-0005-0000-0000-0000565F0000}"/>
    <cellStyle name="40% - Accent5 6 2 3 2" xfId="6773" xr:uid="{00000000-0005-0000-0000-0000575F0000}"/>
    <cellStyle name="40% - Accent5 6 2 3 2 2" xfId="14045" xr:uid="{00000000-0005-0000-0000-0000585F0000}"/>
    <cellStyle name="40% - Accent5 6 2 3 2 2 2" xfId="28579" xr:uid="{00000000-0005-0000-0000-0000595F0000}"/>
    <cellStyle name="40% - Accent5 6 2 3 2 2 2 2" xfId="57585" xr:uid="{00000000-0005-0000-0000-00005A5F0000}"/>
    <cellStyle name="40% - Accent5 6 2 3 2 2 3" xfId="43086" xr:uid="{00000000-0005-0000-0000-00005B5F0000}"/>
    <cellStyle name="40% - Accent5 6 2 3 2 3" xfId="21331" xr:uid="{00000000-0005-0000-0000-00005C5F0000}"/>
    <cellStyle name="40% - Accent5 6 2 3 2 3 2" xfId="50337" xr:uid="{00000000-0005-0000-0000-00005D5F0000}"/>
    <cellStyle name="40% - Accent5 6 2 3 2 4" xfId="35838" xr:uid="{00000000-0005-0000-0000-00005E5F0000}"/>
    <cellStyle name="40% - Accent5 6 2 3 3" xfId="10941" xr:uid="{00000000-0005-0000-0000-00005F5F0000}"/>
    <cellStyle name="40% - Accent5 6 2 3 3 2" xfId="25475" xr:uid="{00000000-0005-0000-0000-0000605F0000}"/>
    <cellStyle name="40% - Accent5 6 2 3 3 2 2" xfId="54481" xr:uid="{00000000-0005-0000-0000-0000615F0000}"/>
    <cellStyle name="40% - Accent5 6 2 3 3 3" xfId="39982" xr:uid="{00000000-0005-0000-0000-0000625F0000}"/>
    <cellStyle name="40% - Accent5 6 2 3 4" xfId="18227" xr:uid="{00000000-0005-0000-0000-0000635F0000}"/>
    <cellStyle name="40% - Accent5 6 2 3 4 2" xfId="47233" xr:uid="{00000000-0005-0000-0000-0000645F0000}"/>
    <cellStyle name="40% - Accent5 6 2 3 5" xfId="32734" xr:uid="{00000000-0005-0000-0000-0000655F0000}"/>
    <cellStyle name="40% - Accent5 6 2 4" xfId="4701" xr:uid="{00000000-0005-0000-0000-0000665F0000}"/>
    <cellStyle name="40% - Accent5 6 2 4 2" xfId="11973" xr:uid="{00000000-0005-0000-0000-0000675F0000}"/>
    <cellStyle name="40% - Accent5 6 2 4 2 2" xfId="26507" xr:uid="{00000000-0005-0000-0000-0000685F0000}"/>
    <cellStyle name="40% - Accent5 6 2 4 2 2 2" xfId="55513" xr:uid="{00000000-0005-0000-0000-0000695F0000}"/>
    <cellStyle name="40% - Accent5 6 2 4 2 3" xfId="41014" xr:uid="{00000000-0005-0000-0000-00006A5F0000}"/>
    <cellStyle name="40% - Accent5 6 2 4 3" xfId="19259" xr:uid="{00000000-0005-0000-0000-00006B5F0000}"/>
    <cellStyle name="40% - Accent5 6 2 4 3 2" xfId="48265" xr:uid="{00000000-0005-0000-0000-00006C5F0000}"/>
    <cellStyle name="40% - Accent5 6 2 4 4" xfId="33766" xr:uid="{00000000-0005-0000-0000-00006D5F0000}"/>
    <cellStyle name="40% - Accent5 6 2 5" xfId="7805" xr:uid="{00000000-0005-0000-0000-00006E5F0000}"/>
    <cellStyle name="40% - Accent5 6 2 5 2" xfId="15077" xr:uid="{00000000-0005-0000-0000-00006F5F0000}"/>
    <cellStyle name="40% - Accent5 6 2 5 2 2" xfId="29611" xr:uid="{00000000-0005-0000-0000-0000705F0000}"/>
    <cellStyle name="40% - Accent5 6 2 5 2 2 2" xfId="58617" xr:uid="{00000000-0005-0000-0000-0000715F0000}"/>
    <cellStyle name="40% - Accent5 6 2 5 2 3" xfId="44118" xr:uid="{00000000-0005-0000-0000-0000725F0000}"/>
    <cellStyle name="40% - Accent5 6 2 5 3" xfId="22363" xr:uid="{00000000-0005-0000-0000-0000735F0000}"/>
    <cellStyle name="40% - Accent5 6 2 5 3 2" xfId="51369" xr:uid="{00000000-0005-0000-0000-0000745F0000}"/>
    <cellStyle name="40% - Accent5 6 2 5 4" xfId="36870" xr:uid="{00000000-0005-0000-0000-0000755F0000}"/>
    <cellStyle name="40% - Accent5 6 2 6" xfId="8869" xr:uid="{00000000-0005-0000-0000-0000765F0000}"/>
    <cellStyle name="40% - Accent5 6 2 6 2" xfId="23403" xr:uid="{00000000-0005-0000-0000-0000775F0000}"/>
    <cellStyle name="40% - Accent5 6 2 6 2 2" xfId="52409" xr:uid="{00000000-0005-0000-0000-0000785F0000}"/>
    <cellStyle name="40% - Accent5 6 2 6 3" xfId="37910" xr:uid="{00000000-0005-0000-0000-0000795F0000}"/>
    <cellStyle name="40% - Accent5 6 2 7" xfId="16155" xr:uid="{00000000-0005-0000-0000-00007A5F0000}"/>
    <cellStyle name="40% - Accent5 6 2 7 2" xfId="45161" xr:uid="{00000000-0005-0000-0000-00007B5F0000}"/>
    <cellStyle name="40% - Accent5 6 2 8" xfId="30662" xr:uid="{00000000-0005-0000-0000-00007C5F0000}"/>
    <cellStyle name="40% - Accent5 6 3" xfId="2125" xr:uid="{00000000-0005-0000-0000-00007D5F0000}"/>
    <cellStyle name="40% - Accent5 6 3 2" xfId="5229" xr:uid="{00000000-0005-0000-0000-00007E5F0000}"/>
    <cellStyle name="40% - Accent5 6 3 2 2" xfId="12501" xr:uid="{00000000-0005-0000-0000-00007F5F0000}"/>
    <cellStyle name="40% - Accent5 6 3 2 2 2" xfId="27035" xr:uid="{00000000-0005-0000-0000-0000805F0000}"/>
    <cellStyle name="40% - Accent5 6 3 2 2 2 2" xfId="56041" xr:uid="{00000000-0005-0000-0000-0000815F0000}"/>
    <cellStyle name="40% - Accent5 6 3 2 2 3" xfId="41542" xr:uid="{00000000-0005-0000-0000-0000825F0000}"/>
    <cellStyle name="40% - Accent5 6 3 2 3" xfId="19787" xr:uid="{00000000-0005-0000-0000-0000835F0000}"/>
    <cellStyle name="40% - Accent5 6 3 2 3 2" xfId="48793" xr:uid="{00000000-0005-0000-0000-0000845F0000}"/>
    <cellStyle name="40% - Accent5 6 3 2 4" xfId="34294" xr:uid="{00000000-0005-0000-0000-0000855F0000}"/>
    <cellStyle name="40% - Accent5 6 3 3" xfId="9397" xr:uid="{00000000-0005-0000-0000-0000865F0000}"/>
    <cellStyle name="40% - Accent5 6 3 3 2" xfId="23931" xr:uid="{00000000-0005-0000-0000-0000875F0000}"/>
    <cellStyle name="40% - Accent5 6 3 3 2 2" xfId="52937" xr:uid="{00000000-0005-0000-0000-0000885F0000}"/>
    <cellStyle name="40% - Accent5 6 3 3 3" xfId="38438" xr:uid="{00000000-0005-0000-0000-0000895F0000}"/>
    <cellStyle name="40% - Accent5 6 3 4" xfId="16683" xr:uid="{00000000-0005-0000-0000-00008A5F0000}"/>
    <cellStyle name="40% - Accent5 6 3 4 2" xfId="45689" xr:uid="{00000000-0005-0000-0000-00008B5F0000}"/>
    <cellStyle name="40% - Accent5 6 3 5" xfId="31190" xr:uid="{00000000-0005-0000-0000-00008C5F0000}"/>
    <cellStyle name="40% - Accent5 6 4" xfId="3157" xr:uid="{00000000-0005-0000-0000-00008D5F0000}"/>
    <cellStyle name="40% - Accent5 6 4 2" xfId="6261" xr:uid="{00000000-0005-0000-0000-00008E5F0000}"/>
    <cellStyle name="40% - Accent5 6 4 2 2" xfId="13533" xr:uid="{00000000-0005-0000-0000-00008F5F0000}"/>
    <cellStyle name="40% - Accent5 6 4 2 2 2" xfId="28067" xr:uid="{00000000-0005-0000-0000-0000905F0000}"/>
    <cellStyle name="40% - Accent5 6 4 2 2 2 2" xfId="57073" xr:uid="{00000000-0005-0000-0000-0000915F0000}"/>
    <cellStyle name="40% - Accent5 6 4 2 2 3" xfId="42574" xr:uid="{00000000-0005-0000-0000-0000925F0000}"/>
    <cellStyle name="40% - Accent5 6 4 2 3" xfId="20819" xr:uid="{00000000-0005-0000-0000-0000935F0000}"/>
    <cellStyle name="40% - Accent5 6 4 2 3 2" xfId="49825" xr:uid="{00000000-0005-0000-0000-0000945F0000}"/>
    <cellStyle name="40% - Accent5 6 4 2 4" xfId="35326" xr:uid="{00000000-0005-0000-0000-0000955F0000}"/>
    <cellStyle name="40% - Accent5 6 4 3" xfId="10429" xr:uid="{00000000-0005-0000-0000-0000965F0000}"/>
    <cellStyle name="40% - Accent5 6 4 3 2" xfId="24963" xr:uid="{00000000-0005-0000-0000-0000975F0000}"/>
    <cellStyle name="40% - Accent5 6 4 3 2 2" xfId="53969" xr:uid="{00000000-0005-0000-0000-0000985F0000}"/>
    <cellStyle name="40% - Accent5 6 4 3 3" xfId="39470" xr:uid="{00000000-0005-0000-0000-0000995F0000}"/>
    <cellStyle name="40% - Accent5 6 4 4" xfId="17715" xr:uid="{00000000-0005-0000-0000-00009A5F0000}"/>
    <cellStyle name="40% - Accent5 6 4 4 2" xfId="46721" xr:uid="{00000000-0005-0000-0000-00009B5F0000}"/>
    <cellStyle name="40% - Accent5 6 4 5" xfId="32222" xr:uid="{00000000-0005-0000-0000-00009C5F0000}"/>
    <cellStyle name="40% - Accent5 6 5" xfId="4189" xr:uid="{00000000-0005-0000-0000-00009D5F0000}"/>
    <cellStyle name="40% - Accent5 6 5 2" xfId="11461" xr:uid="{00000000-0005-0000-0000-00009E5F0000}"/>
    <cellStyle name="40% - Accent5 6 5 2 2" xfId="25995" xr:uid="{00000000-0005-0000-0000-00009F5F0000}"/>
    <cellStyle name="40% - Accent5 6 5 2 2 2" xfId="55001" xr:uid="{00000000-0005-0000-0000-0000A05F0000}"/>
    <cellStyle name="40% - Accent5 6 5 2 3" xfId="40502" xr:uid="{00000000-0005-0000-0000-0000A15F0000}"/>
    <cellStyle name="40% - Accent5 6 5 3" xfId="18747" xr:uid="{00000000-0005-0000-0000-0000A25F0000}"/>
    <cellStyle name="40% - Accent5 6 5 3 2" xfId="47753" xr:uid="{00000000-0005-0000-0000-0000A35F0000}"/>
    <cellStyle name="40% - Accent5 6 5 4" xfId="33254" xr:uid="{00000000-0005-0000-0000-0000A45F0000}"/>
    <cellStyle name="40% - Accent5 6 6" xfId="7293" xr:uid="{00000000-0005-0000-0000-0000A55F0000}"/>
    <cellStyle name="40% - Accent5 6 6 2" xfId="14565" xr:uid="{00000000-0005-0000-0000-0000A65F0000}"/>
    <cellStyle name="40% - Accent5 6 6 2 2" xfId="29099" xr:uid="{00000000-0005-0000-0000-0000A75F0000}"/>
    <cellStyle name="40% - Accent5 6 6 2 2 2" xfId="58105" xr:uid="{00000000-0005-0000-0000-0000A85F0000}"/>
    <cellStyle name="40% - Accent5 6 6 2 3" xfId="43606" xr:uid="{00000000-0005-0000-0000-0000A95F0000}"/>
    <cellStyle name="40% - Accent5 6 6 3" xfId="21851" xr:uid="{00000000-0005-0000-0000-0000AA5F0000}"/>
    <cellStyle name="40% - Accent5 6 6 3 2" xfId="50857" xr:uid="{00000000-0005-0000-0000-0000AB5F0000}"/>
    <cellStyle name="40% - Accent5 6 6 4" xfId="36358" xr:uid="{00000000-0005-0000-0000-0000AC5F0000}"/>
    <cellStyle name="40% - Accent5 6 7" xfId="8357" xr:uid="{00000000-0005-0000-0000-0000AD5F0000}"/>
    <cellStyle name="40% - Accent5 6 7 2" xfId="22891" xr:uid="{00000000-0005-0000-0000-0000AE5F0000}"/>
    <cellStyle name="40% - Accent5 6 7 2 2" xfId="51897" xr:uid="{00000000-0005-0000-0000-0000AF5F0000}"/>
    <cellStyle name="40% - Accent5 6 7 3" xfId="37398" xr:uid="{00000000-0005-0000-0000-0000B05F0000}"/>
    <cellStyle name="40% - Accent5 6 8" xfId="15643" xr:uid="{00000000-0005-0000-0000-0000B15F0000}"/>
    <cellStyle name="40% - Accent5 6 8 2" xfId="44649" xr:uid="{00000000-0005-0000-0000-0000B25F0000}"/>
    <cellStyle name="40% - Accent5 6 9" xfId="30150" xr:uid="{00000000-0005-0000-0000-0000B35F0000}"/>
    <cellStyle name="40% - Accent5 7" xfId="994" xr:uid="{00000000-0005-0000-0000-0000B45F0000}"/>
    <cellStyle name="40% - Accent5 7 2" xfId="1479" xr:uid="{00000000-0005-0000-0000-0000B55F0000}"/>
    <cellStyle name="40% - Accent5 7 2 2" xfId="2537" xr:uid="{00000000-0005-0000-0000-0000B65F0000}"/>
    <cellStyle name="40% - Accent5 7 2 2 2" xfId="5641" xr:uid="{00000000-0005-0000-0000-0000B75F0000}"/>
    <cellStyle name="40% - Accent5 7 2 2 2 2" xfId="12913" xr:uid="{00000000-0005-0000-0000-0000B85F0000}"/>
    <cellStyle name="40% - Accent5 7 2 2 2 2 2" xfId="27447" xr:uid="{00000000-0005-0000-0000-0000B95F0000}"/>
    <cellStyle name="40% - Accent5 7 2 2 2 2 2 2" xfId="56453" xr:uid="{00000000-0005-0000-0000-0000BA5F0000}"/>
    <cellStyle name="40% - Accent5 7 2 2 2 2 3" xfId="41954" xr:uid="{00000000-0005-0000-0000-0000BB5F0000}"/>
    <cellStyle name="40% - Accent5 7 2 2 2 3" xfId="20199" xr:uid="{00000000-0005-0000-0000-0000BC5F0000}"/>
    <cellStyle name="40% - Accent5 7 2 2 2 3 2" xfId="49205" xr:uid="{00000000-0005-0000-0000-0000BD5F0000}"/>
    <cellStyle name="40% - Accent5 7 2 2 2 4" xfId="34706" xr:uid="{00000000-0005-0000-0000-0000BE5F0000}"/>
    <cellStyle name="40% - Accent5 7 2 2 3" xfId="9809" xr:uid="{00000000-0005-0000-0000-0000BF5F0000}"/>
    <cellStyle name="40% - Accent5 7 2 2 3 2" xfId="24343" xr:uid="{00000000-0005-0000-0000-0000C05F0000}"/>
    <cellStyle name="40% - Accent5 7 2 2 3 2 2" xfId="53349" xr:uid="{00000000-0005-0000-0000-0000C15F0000}"/>
    <cellStyle name="40% - Accent5 7 2 2 3 3" xfId="38850" xr:uid="{00000000-0005-0000-0000-0000C25F0000}"/>
    <cellStyle name="40% - Accent5 7 2 2 4" xfId="17095" xr:uid="{00000000-0005-0000-0000-0000C35F0000}"/>
    <cellStyle name="40% - Accent5 7 2 2 4 2" xfId="46101" xr:uid="{00000000-0005-0000-0000-0000C45F0000}"/>
    <cellStyle name="40% - Accent5 7 2 2 5" xfId="31602" xr:uid="{00000000-0005-0000-0000-0000C55F0000}"/>
    <cellStyle name="40% - Accent5 7 2 3" xfId="3569" xr:uid="{00000000-0005-0000-0000-0000C65F0000}"/>
    <cellStyle name="40% - Accent5 7 2 3 2" xfId="6673" xr:uid="{00000000-0005-0000-0000-0000C75F0000}"/>
    <cellStyle name="40% - Accent5 7 2 3 2 2" xfId="13945" xr:uid="{00000000-0005-0000-0000-0000C85F0000}"/>
    <cellStyle name="40% - Accent5 7 2 3 2 2 2" xfId="28479" xr:uid="{00000000-0005-0000-0000-0000C95F0000}"/>
    <cellStyle name="40% - Accent5 7 2 3 2 2 2 2" xfId="57485" xr:uid="{00000000-0005-0000-0000-0000CA5F0000}"/>
    <cellStyle name="40% - Accent5 7 2 3 2 2 3" xfId="42986" xr:uid="{00000000-0005-0000-0000-0000CB5F0000}"/>
    <cellStyle name="40% - Accent5 7 2 3 2 3" xfId="21231" xr:uid="{00000000-0005-0000-0000-0000CC5F0000}"/>
    <cellStyle name="40% - Accent5 7 2 3 2 3 2" xfId="50237" xr:uid="{00000000-0005-0000-0000-0000CD5F0000}"/>
    <cellStyle name="40% - Accent5 7 2 3 2 4" xfId="35738" xr:uid="{00000000-0005-0000-0000-0000CE5F0000}"/>
    <cellStyle name="40% - Accent5 7 2 3 3" xfId="10841" xr:uid="{00000000-0005-0000-0000-0000CF5F0000}"/>
    <cellStyle name="40% - Accent5 7 2 3 3 2" xfId="25375" xr:uid="{00000000-0005-0000-0000-0000D05F0000}"/>
    <cellStyle name="40% - Accent5 7 2 3 3 2 2" xfId="54381" xr:uid="{00000000-0005-0000-0000-0000D15F0000}"/>
    <cellStyle name="40% - Accent5 7 2 3 3 3" xfId="39882" xr:uid="{00000000-0005-0000-0000-0000D25F0000}"/>
    <cellStyle name="40% - Accent5 7 2 3 4" xfId="18127" xr:uid="{00000000-0005-0000-0000-0000D35F0000}"/>
    <cellStyle name="40% - Accent5 7 2 3 4 2" xfId="47133" xr:uid="{00000000-0005-0000-0000-0000D45F0000}"/>
    <cellStyle name="40% - Accent5 7 2 3 5" xfId="32634" xr:uid="{00000000-0005-0000-0000-0000D55F0000}"/>
    <cellStyle name="40% - Accent5 7 2 4" xfId="4601" xr:uid="{00000000-0005-0000-0000-0000D65F0000}"/>
    <cellStyle name="40% - Accent5 7 2 4 2" xfId="11873" xr:uid="{00000000-0005-0000-0000-0000D75F0000}"/>
    <cellStyle name="40% - Accent5 7 2 4 2 2" xfId="26407" xr:uid="{00000000-0005-0000-0000-0000D85F0000}"/>
    <cellStyle name="40% - Accent5 7 2 4 2 2 2" xfId="55413" xr:uid="{00000000-0005-0000-0000-0000D95F0000}"/>
    <cellStyle name="40% - Accent5 7 2 4 2 3" xfId="40914" xr:uid="{00000000-0005-0000-0000-0000DA5F0000}"/>
    <cellStyle name="40% - Accent5 7 2 4 3" xfId="19159" xr:uid="{00000000-0005-0000-0000-0000DB5F0000}"/>
    <cellStyle name="40% - Accent5 7 2 4 3 2" xfId="48165" xr:uid="{00000000-0005-0000-0000-0000DC5F0000}"/>
    <cellStyle name="40% - Accent5 7 2 4 4" xfId="33666" xr:uid="{00000000-0005-0000-0000-0000DD5F0000}"/>
    <cellStyle name="40% - Accent5 7 2 5" xfId="7705" xr:uid="{00000000-0005-0000-0000-0000DE5F0000}"/>
    <cellStyle name="40% - Accent5 7 2 5 2" xfId="14977" xr:uid="{00000000-0005-0000-0000-0000DF5F0000}"/>
    <cellStyle name="40% - Accent5 7 2 5 2 2" xfId="29511" xr:uid="{00000000-0005-0000-0000-0000E05F0000}"/>
    <cellStyle name="40% - Accent5 7 2 5 2 2 2" xfId="58517" xr:uid="{00000000-0005-0000-0000-0000E15F0000}"/>
    <cellStyle name="40% - Accent5 7 2 5 2 3" xfId="44018" xr:uid="{00000000-0005-0000-0000-0000E25F0000}"/>
    <cellStyle name="40% - Accent5 7 2 5 3" xfId="22263" xr:uid="{00000000-0005-0000-0000-0000E35F0000}"/>
    <cellStyle name="40% - Accent5 7 2 5 3 2" xfId="51269" xr:uid="{00000000-0005-0000-0000-0000E45F0000}"/>
    <cellStyle name="40% - Accent5 7 2 5 4" xfId="36770" xr:uid="{00000000-0005-0000-0000-0000E55F0000}"/>
    <cellStyle name="40% - Accent5 7 2 6" xfId="8769" xr:uid="{00000000-0005-0000-0000-0000E65F0000}"/>
    <cellStyle name="40% - Accent5 7 2 6 2" xfId="23303" xr:uid="{00000000-0005-0000-0000-0000E75F0000}"/>
    <cellStyle name="40% - Accent5 7 2 6 2 2" xfId="52309" xr:uid="{00000000-0005-0000-0000-0000E85F0000}"/>
    <cellStyle name="40% - Accent5 7 2 6 3" xfId="37810" xr:uid="{00000000-0005-0000-0000-0000E95F0000}"/>
    <cellStyle name="40% - Accent5 7 2 7" xfId="16055" xr:uid="{00000000-0005-0000-0000-0000EA5F0000}"/>
    <cellStyle name="40% - Accent5 7 2 7 2" xfId="45061" xr:uid="{00000000-0005-0000-0000-0000EB5F0000}"/>
    <cellStyle name="40% - Accent5 7 2 8" xfId="30562" xr:uid="{00000000-0005-0000-0000-0000EC5F0000}"/>
    <cellStyle name="40% - Accent5 7 3" xfId="2025" xr:uid="{00000000-0005-0000-0000-0000ED5F0000}"/>
    <cellStyle name="40% - Accent5 7 3 2" xfId="5129" xr:uid="{00000000-0005-0000-0000-0000EE5F0000}"/>
    <cellStyle name="40% - Accent5 7 3 2 2" xfId="12401" xr:uid="{00000000-0005-0000-0000-0000EF5F0000}"/>
    <cellStyle name="40% - Accent5 7 3 2 2 2" xfId="26935" xr:uid="{00000000-0005-0000-0000-0000F05F0000}"/>
    <cellStyle name="40% - Accent5 7 3 2 2 2 2" xfId="55941" xr:uid="{00000000-0005-0000-0000-0000F15F0000}"/>
    <cellStyle name="40% - Accent5 7 3 2 2 3" xfId="41442" xr:uid="{00000000-0005-0000-0000-0000F25F0000}"/>
    <cellStyle name="40% - Accent5 7 3 2 3" xfId="19687" xr:uid="{00000000-0005-0000-0000-0000F35F0000}"/>
    <cellStyle name="40% - Accent5 7 3 2 3 2" xfId="48693" xr:uid="{00000000-0005-0000-0000-0000F45F0000}"/>
    <cellStyle name="40% - Accent5 7 3 2 4" xfId="34194" xr:uid="{00000000-0005-0000-0000-0000F55F0000}"/>
    <cellStyle name="40% - Accent5 7 3 3" xfId="9297" xr:uid="{00000000-0005-0000-0000-0000F65F0000}"/>
    <cellStyle name="40% - Accent5 7 3 3 2" xfId="23831" xr:uid="{00000000-0005-0000-0000-0000F75F0000}"/>
    <cellStyle name="40% - Accent5 7 3 3 2 2" xfId="52837" xr:uid="{00000000-0005-0000-0000-0000F85F0000}"/>
    <cellStyle name="40% - Accent5 7 3 3 3" xfId="38338" xr:uid="{00000000-0005-0000-0000-0000F95F0000}"/>
    <cellStyle name="40% - Accent5 7 3 4" xfId="16583" xr:uid="{00000000-0005-0000-0000-0000FA5F0000}"/>
    <cellStyle name="40% - Accent5 7 3 4 2" xfId="45589" xr:uid="{00000000-0005-0000-0000-0000FB5F0000}"/>
    <cellStyle name="40% - Accent5 7 3 5" xfId="31090" xr:uid="{00000000-0005-0000-0000-0000FC5F0000}"/>
    <cellStyle name="40% - Accent5 7 4" xfId="3057" xr:uid="{00000000-0005-0000-0000-0000FD5F0000}"/>
    <cellStyle name="40% - Accent5 7 4 2" xfId="6161" xr:uid="{00000000-0005-0000-0000-0000FE5F0000}"/>
    <cellStyle name="40% - Accent5 7 4 2 2" xfId="13433" xr:uid="{00000000-0005-0000-0000-0000FF5F0000}"/>
    <cellStyle name="40% - Accent5 7 4 2 2 2" xfId="27967" xr:uid="{00000000-0005-0000-0000-000000600000}"/>
    <cellStyle name="40% - Accent5 7 4 2 2 2 2" xfId="56973" xr:uid="{00000000-0005-0000-0000-000001600000}"/>
    <cellStyle name="40% - Accent5 7 4 2 2 3" xfId="42474" xr:uid="{00000000-0005-0000-0000-000002600000}"/>
    <cellStyle name="40% - Accent5 7 4 2 3" xfId="20719" xr:uid="{00000000-0005-0000-0000-000003600000}"/>
    <cellStyle name="40% - Accent5 7 4 2 3 2" xfId="49725" xr:uid="{00000000-0005-0000-0000-000004600000}"/>
    <cellStyle name="40% - Accent5 7 4 2 4" xfId="35226" xr:uid="{00000000-0005-0000-0000-000005600000}"/>
    <cellStyle name="40% - Accent5 7 4 3" xfId="10329" xr:uid="{00000000-0005-0000-0000-000006600000}"/>
    <cellStyle name="40% - Accent5 7 4 3 2" xfId="24863" xr:uid="{00000000-0005-0000-0000-000007600000}"/>
    <cellStyle name="40% - Accent5 7 4 3 2 2" xfId="53869" xr:uid="{00000000-0005-0000-0000-000008600000}"/>
    <cellStyle name="40% - Accent5 7 4 3 3" xfId="39370" xr:uid="{00000000-0005-0000-0000-000009600000}"/>
    <cellStyle name="40% - Accent5 7 4 4" xfId="17615" xr:uid="{00000000-0005-0000-0000-00000A600000}"/>
    <cellStyle name="40% - Accent5 7 4 4 2" xfId="46621" xr:uid="{00000000-0005-0000-0000-00000B600000}"/>
    <cellStyle name="40% - Accent5 7 4 5" xfId="32122" xr:uid="{00000000-0005-0000-0000-00000C600000}"/>
    <cellStyle name="40% - Accent5 7 5" xfId="4089" xr:uid="{00000000-0005-0000-0000-00000D600000}"/>
    <cellStyle name="40% - Accent5 7 5 2" xfId="11361" xr:uid="{00000000-0005-0000-0000-00000E600000}"/>
    <cellStyle name="40% - Accent5 7 5 2 2" xfId="25895" xr:uid="{00000000-0005-0000-0000-00000F600000}"/>
    <cellStyle name="40% - Accent5 7 5 2 2 2" xfId="54901" xr:uid="{00000000-0005-0000-0000-000010600000}"/>
    <cellStyle name="40% - Accent5 7 5 2 3" xfId="40402" xr:uid="{00000000-0005-0000-0000-000011600000}"/>
    <cellStyle name="40% - Accent5 7 5 3" xfId="18647" xr:uid="{00000000-0005-0000-0000-000012600000}"/>
    <cellStyle name="40% - Accent5 7 5 3 2" xfId="47653" xr:uid="{00000000-0005-0000-0000-000013600000}"/>
    <cellStyle name="40% - Accent5 7 5 4" xfId="33154" xr:uid="{00000000-0005-0000-0000-000014600000}"/>
    <cellStyle name="40% - Accent5 7 6" xfId="7193" xr:uid="{00000000-0005-0000-0000-000015600000}"/>
    <cellStyle name="40% - Accent5 7 6 2" xfId="14465" xr:uid="{00000000-0005-0000-0000-000016600000}"/>
    <cellStyle name="40% - Accent5 7 6 2 2" xfId="28999" xr:uid="{00000000-0005-0000-0000-000017600000}"/>
    <cellStyle name="40% - Accent5 7 6 2 2 2" xfId="58005" xr:uid="{00000000-0005-0000-0000-000018600000}"/>
    <cellStyle name="40% - Accent5 7 6 2 3" xfId="43506" xr:uid="{00000000-0005-0000-0000-000019600000}"/>
    <cellStyle name="40% - Accent5 7 6 3" xfId="21751" xr:uid="{00000000-0005-0000-0000-00001A600000}"/>
    <cellStyle name="40% - Accent5 7 6 3 2" xfId="50757" xr:uid="{00000000-0005-0000-0000-00001B600000}"/>
    <cellStyle name="40% - Accent5 7 6 4" xfId="36258" xr:uid="{00000000-0005-0000-0000-00001C600000}"/>
    <cellStyle name="40% - Accent5 7 7" xfId="8257" xr:uid="{00000000-0005-0000-0000-00001D600000}"/>
    <cellStyle name="40% - Accent5 7 7 2" xfId="22791" xr:uid="{00000000-0005-0000-0000-00001E600000}"/>
    <cellStyle name="40% - Accent5 7 7 2 2" xfId="51797" xr:uid="{00000000-0005-0000-0000-00001F600000}"/>
    <cellStyle name="40% - Accent5 7 7 3" xfId="37298" xr:uid="{00000000-0005-0000-0000-000020600000}"/>
    <cellStyle name="40% - Accent5 7 8" xfId="15543" xr:uid="{00000000-0005-0000-0000-000021600000}"/>
    <cellStyle name="40% - Accent5 7 8 2" xfId="44549" xr:uid="{00000000-0005-0000-0000-000022600000}"/>
    <cellStyle name="40% - Accent5 7 9" xfId="30050" xr:uid="{00000000-0005-0000-0000-000023600000}"/>
    <cellStyle name="40% - Accent5 8" xfId="1276" xr:uid="{00000000-0005-0000-0000-000024600000}"/>
    <cellStyle name="40% - Accent5 8 2" xfId="2331" xr:uid="{00000000-0005-0000-0000-000025600000}"/>
    <cellStyle name="40% - Accent5 8 2 2" xfId="5435" xr:uid="{00000000-0005-0000-0000-000026600000}"/>
    <cellStyle name="40% - Accent5 8 2 2 2" xfId="12707" xr:uid="{00000000-0005-0000-0000-000027600000}"/>
    <cellStyle name="40% - Accent5 8 2 2 2 2" xfId="27241" xr:uid="{00000000-0005-0000-0000-000028600000}"/>
    <cellStyle name="40% - Accent5 8 2 2 2 2 2" xfId="56247" xr:uid="{00000000-0005-0000-0000-000029600000}"/>
    <cellStyle name="40% - Accent5 8 2 2 2 3" xfId="41748" xr:uid="{00000000-0005-0000-0000-00002A600000}"/>
    <cellStyle name="40% - Accent5 8 2 2 3" xfId="19993" xr:uid="{00000000-0005-0000-0000-00002B600000}"/>
    <cellStyle name="40% - Accent5 8 2 2 3 2" xfId="48999" xr:uid="{00000000-0005-0000-0000-00002C600000}"/>
    <cellStyle name="40% - Accent5 8 2 2 4" xfId="34500" xr:uid="{00000000-0005-0000-0000-00002D600000}"/>
    <cellStyle name="40% - Accent5 8 2 3" xfId="9603" xr:uid="{00000000-0005-0000-0000-00002E600000}"/>
    <cellStyle name="40% - Accent5 8 2 3 2" xfId="24137" xr:uid="{00000000-0005-0000-0000-00002F600000}"/>
    <cellStyle name="40% - Accent5 8 2 3 2 2" xfId="53143" xr:uid="{00000000-0005-0000-0000-000030600000}"/>
    <cellStyle name="40% - Accent5 8 2 3 3" xfId="38644" xr:uid="{00000000-0005-0000-0000-000031600000}"/>
    <cellStyle name="40% - Accent5 8 2 4" xfId="16889" xr:uid="{00000000-0005-0000-0000-000032600000}"/>
    <cellStyle name="40% - Accent5 8 2 4 2" xfId="45895" xr:uid="{00000000-0005-0000-0000-000033600000}"/>
    <cellStyle name="40% - Accent5 8 2 5" xfId="31396" xr:uid="{00000000-0005-0000-0000-000034600000}"/>
    <cellStyle name="40% - Accent5 8 3" xfId="3363" xr:uid="{00000000-0005-0000-0000-000035600000}"/>
    <cellStyle name="40% - Accent5 8 3 2" xfId="6467" xr:uid="{00000000-0005-0000-0000-000036600000}"/>
    <cellStyle name="40% - Accent5 8 3 2 2" xfId="13739" xr:uid="{00000000-0005-0000-0000-000037600000}"/>
    <cellStyle name="40% - Accent5 8 3 2 2 2" xfId="28273" xr:uid="{00000000-0005-0000-0000-000038600000}"/>
    <cellStyle name="40% - Accent5 8 3 2 2 2 2" xfId="57279" xr:uid="{00000000-0005-0000-0000-000039600000}"/>
    <cellStyle name="40% - Accent5 8 3 2 2 3" xfId="42780" xr:uid="{00000000-0005-0000-0000-00003A600000}"/>
    <cellStyle name="40% - Accent5 8 3 2 3" xfId="21025" xr:uid="{00000000-0005-0000-0000-00003B600000}"/>
    <cellStyle name="40% - Accent5 8 3 2 3 2" xfId="50031" xr:uid="{00000000-0005-0000-0000-00003C600000}"/>
    <cellStyle name="40% - Accent5 8 3 2 4" xfId="35532" xr:uid="{00000000-0005-0000-0000-00003D600000}"/>
    <cellStyle name="40% - Accent5 8 3 3" xfId="10635" xr:uid="{00000000-0005-0000-0000-00003E600000}"/>
    <cellStyle name="40% - Accent5 8 3 3 2" xfId="25169" xr:uid="{00000000-0005-0000-0000-00003F600000}"/>
    <cellStyle name="40% - Accent5 8 3 3 2 2" xfId="54175" xr:uid="{00000000-0005-0000-0000-000040600000}"/>
    <cellStyle name="40% - Accent5 8 3 3 3" xfId="39676" xr:uid="{00000000-0005-0000-0000-000041600000}"/>
    <cellStyle name="40% - Accent5 8 3 4" xfId="17921" xr:uid="{00000000-0005-0000-0000-000042600000}"/>
    <cellStyle name="40% - Accent5 8 3 4 2" xfId="46927" xr:uid="{00000000-0005-0000-0000-000043600000}"/>
    <cellStyle name="40% - Accent5 8 3 5" xfId="32428" xr:uid="{00000000-0005-0000-0000-000044600000}"/>
    <cellStyle name="40% - Accent5 8 4" xfId="4395" xr:uid="{00000000-0005-0000-0000-000045600000}"/>
    <cellStyle name="40% - Accent5 8 4 2" xfId="11667" xr:uid="{00000000-0005-0000-0000-000046600000}"/>
    <cellStyle name="40% - Accent5 8 4 2 2" xfId="26201" xr:uid="{00000000-0005-0000-0000-000047600000}"/>
    <cellStyle name="40% - Accent5 8 4 2 2 2" xfId="55207" xr:uid="{00000000-0005-0000-0000-000048600000}"/>
    <cellStyle name="40% - Accent5 8 4 2 3" xfId="40708" xr:uid="{00000000-0005-0000-0000-000049600000}"/>
    <cellStyle name="40% - Accent5 8 4 3" xfId="18953" xr:uid="{00000000-0005-0000-0000-00004A600000}"/>
    <cellStyle name="40% - Accent5 8 4 3 2" xfId="47959" xr:uid="{00000000-0005-0000-0000-00004B600000}"/>
    <cellStyle name="40% - Accent5 8 4 4" xfId="33460" xr:uid="{00000000-0005-0000-0000-00004C600000}"/>
    <cellStyle name="40% - Accent5 8 5" xfId="7499" xr:uid="{00000000-0005-0000-0000-00004D600000}"/>
    <cellStyle name="40% - Accent5 8 5 2" xfId="14771" xr:uid="{00000000-0005-0000-0000-00004E600000}"/>
    <cellStyle name="40% - Accent5 8 5 2 2" xfId="29305" xr:uid="{00000000-0005-0000-0000-00004F600000}"/>
    <cellStyle name="40% - Accent5 8 5 2 2 2" xfId="58311" xr:uid="{00000000-0005-0000-0000-000050600000}"/>
    <cellStyle name="40% - Accent5 8 5 2 3" xfId="43812" xr:uid="{00000000-0005-0000-0000-000051600000}"/>
    <cellStyle name="40% - Accent5 8 5 3" xfId="22057" xr:uid="{00000000-0005-0000-0000-000052600000}"/>
    <cellStyle name="40% - Accent5 8 5 3 2" xfId="51063" xr:uid="{00000000-0005-0000-0000-000053600000}"/>
    <cellStyle name="40% - Accent5 8 5 4" xfId="36564" xr:uid="{00000000-0005-0000-0000-000054600000}"/>
    <cellStyle name="40% - Accent5 8 6" xfId="8563" xr:uid="{00000000-0005-0000-0000-000055600000}"/>
    <cellStyle name="40% - Accent5 8 6 2" xfId="23097" xr:uid="{00000000-0005-0000-0000-000056600000}"/>
    <cellStyle name="40% - Accent5 8 6 2 2" xfId="52103" xr:uid="{00000000-0005-0000-0000-000057600000}"/>
    <cellStyle name="40% - Accent5 8 6 3" xfId="37604" xr:uid="{00000000-0005-0000-0000-000058600000}"/>
    <cellStyle name="40% - Accent5 8 7" xfId="15849" xr:uid="{00000000-0005-0000-0000-000059600000}"/>
    <cellStyle name="40% - Accent5 8 7 2" xfId="44855" xr:uid="{00000000-0005-0000-0000-00005A600000}"/>
    <cellStyle name="40% - Accent5 8 8" xfId="30356" xr:uid="{00000000-0005-0000-0000-00005B600000}"/>
    <cellStyle name="40% - Accent5 9" xfId="1819" xr:uid="{00000000-0005-0000-0000-00005C600000}"/>
    <cellStyle name="40% - Accent5 9 2" xfId="4923" xr:uid="{00000000-0005-0000-0000-00005D600000}"/>
    <cellStyle name="40% - Accent5 9 2 2" xfId="12195" xr:uid="{00000000-0005-0000-0000-00005E600000}"/>
    <cellStyle name="40% - Accent5 9 2 2 2" xfId="26729" xr:uid="{00000000-0005-0000-0000-00005F600000}"/>
    <cellStyle name="40% - Accent5 9 2 2 2 2" xfId="55735" xr:uid="{00000000-0005-0000-0000-000060600000}"/>
    <cellStyle name="40% - Accent5 9 2 2 3" xfId="41236" xr:uid="{00000000-0005-0000-0000-000061600000}"/>
    <cellStyle name="40% - Accent5 9 2 3" xfId="19481" xr:uid="{00000000-0005-0000-0000-000062600000}"/>
    <cellStyle name="40% - Accent5 9 2 3 2" xfId="48487" xr:uid="{00000000-0005-0000-0000-000063600000}"/>
    <cellStyle name="40% - Accent5 9 2 4" xfId="33988" xr:uid="{00000000-0005-0000-0000-000064600000}"/>
    <cellStyle name="40% - Accent5 9 3" xfId="9091" xr:uid="{00000000-0005-0000-0000-000065600000}"/>
    <cellStyle name="40% - Accent5 9 3 2" xfId="23625" xr:uid="{00000000-0005-0000-0000-000066600000}"/>
    <cellStyle name="40% - Accent5 9 3 2 2" xfId="52631" xr:uid="{00000000-0005-0000-0000-000067600000}"/>
    <cellStyle name="40% - Accent5 9 3 3" xfId="38132" xr:uid="{00000000-0005-0000-0000-000068600000}"/>
    <cellStyle name="40% - Accent5 9 4" xfId="16377" xr:uid="{00000000-0005-0000-0000-000069600000}"/>
    <cellStyle name="40% - Accent5 9 4 2" xfId="45383" xr:uid="{00000000-0005-0000-0000-00006A600000}"/>
    <cellStyle name="40% - Accent5 9 5" xfId="30884" xr:uid="{00000000-0005-0000-0000-00006B600000}"/>
    <cellStyle name="40% - Accent6" xfId="83" builtinId="51" customBuiltin="1"/>
    <cellStyle name="40% - Accent6 10" xfId="2853" xr:uid="{00000000-0005-0000-0000-00006D600000}"/>
    <cellStyle name="40% - Accent6 10 2" xfId="5957" xr:uid="{00000000-0005-0000-0000-00006E600000}"/>
    <cellStyle name="40% - Accent6 10 2 2" xfId="13229" xr:uid="{00000000-0005-0000-0000-00006F600000}"/>
    <cellStyle name="40% - Accent6 10 2 2 2" xfId="27763" xr:uid="{00000000-0005-0000-0000-000070600000}"/>
    <cellStyle name="40% - Accent6 10 2 2 2 2" xfId="56769" xr:uid="{00000000-0005-0000-0000-000071600000}"/>
    <cellStyle name="40% - Accent6 10 2 2 3" xfId="42270" xr:uid="{00000000-0005-0000-0000-000072600000}"/>
    <cellStyle name="40% - Accent6 10 2 3" xfId="20515" xr:uid="{00000000-0005-0000-0000-000073600000}"/>
    <cellStyle name="40% - Accent6 10 2 3 2" xfId="49521" xr:uid="{00000000-0005-0000-0000-000074600000}"/>
    <cellStyle name="40% - Accent6 10 2 4" xfId="35022" xr:uid="{00000000-0005-0000-0000-000075600000}"/>
    <cellStyle name="40% - Accent6 10 3" xfId="10125" xr:uid="{00000000-0005-0000-0000-000076600000}"/>
    <cellStyle name="40% - Accent6 10 3 2" xfId="24659" xr:uid="{00000000-0005-0000-0000-000077600000}"/>
    <cellStyle name="40% - Accent6 10 3 2 2" xfId="53665" xr:uid="{00000000-0005-0000-0000-000078600000}"/>
    <cellStyle name="40% - Accent6 10 3 3" xfId="39166" xr:uid="{00000000-0005-0000-0000-000079600000}"/>
    <cellStyle name="40% - Accent6 10 4" xfId="17411" xr:uid="{00000000-0005-0000-0000-00007A600000}"/>
    <cellStyle name="40% - Accent6 10 4 2" xfId="46417" xr:uid="{00000000-0005-0000-0000-00007B600000}"/>
    <cellStyle name="40% - Accent6 10 5" xfId="31918" xr:uid="{00000000-0005-0000-0000-00007C600000}"/>
    <cellStyle name="40% - Accent6 11" xfId="3885" xr:uid="{00000000-0005-0000-0000-00007D600000}"/>
    <cellStyle name="40% - Accent6 11 2" xfId="11157" xr:uid="{00000000-0005-0000-0000-00007E600000}"/>
    <cellStyle name="40% - Accent6 11 2 2" xfId="25691" xr:uid="{00000000-0005-0000-0000-00007F600000}"/>
    <cellStyle name="40% - Accent6 11 2 2 2" xfId="54697" xr:uid="{00000000-0005-0000-0000-000080600000}"/>
    <cellStyle name="40% - Accent6 11 2 3" xfId="40198" xr:uid="{00000000-0005-0000-0000-000081600000}"/>
    <cellStyle name="40% - Accent6 11 3" xfId="18443" xr:uid="{00000000-0005-0000-0000-000082600000}"/>
    <cellStyle name="40% - Accent6 11 3 2" xfId="47449" xr:uid="{00000000-0005-0000-0000-000083600000}"/>
    <cellStyle name="40% - Accent6 11 4" xfId="32950" xr:uid="{00000000-0005-0000-0000-000084600000}"/>
    <cellStyle name="40% - Accent6 12" xfId="6989" xr:uid="{00000000-0005-0000-0000-000085600000}"/>
    <cellStyle name="40% - Accent6 12 2" xfId="14261" xr:uid="{00000000-0005-0000-0000-000086600000}"/>
    <cellStyle name="40% - Accent6 12 2 2" xfId="28795" xr:uid="{00000000-0005-0000-0000-000087600000}"/>
    <cellStyle name="40% - Accent6 12 2 2 2" xfId="57801" xr:uid="{00000000-0005-0000-0000-000088600000}"/>
    <cellStyle name="40% - Accent6 12 2 3" xfId="43302" xr:uid="{00000000-0005-0000-0000-000089600000}"/>
    <cellStyle name="40% - Accent6 12 3" xfId="21547" xr:uid="{00000000-0005-0000-0000-00008A600000}"/>
    <cellStyle name="40% - Accent6 12 3 2" xfId="50553" xr:uid="{00000000-0005-0000-0000-00008B600000}"/>
    <cellStyle name="40% - Accent6 12 4" xfId="36054" xr:uid="{00000000-0005-0000-0000-00008C600000}"/>
    <cellStyle name="40% - Accent6 13" xfId="8053" xr:uid="{00000000-0005-0000-0000-00008D600000}"/>
    <cellStyle name="40% - Accent6 13 2" xfId="22587" xr:uid="{00000000-0005-0000-0000-00008E600000}"/>
    <cellStyle name="40% - Accent6 13 2 2" xfId="51593" xr:uid="{00000000-0005-0000-0000-00008F600000}"/>
    <cellStyle name="40% - Accent6 13 3" xfId="37094" xr:uid="{00000000-0005-0000-0000-000090600000}"/>
    <cellStyle name="40% - Accent6 14" xfId="15333" xr:uid="{00000000-0005-0000-0000-000091600000}"/>
    <cellStyle name="40% - Accent6 14 2" xfId="44339" xr:uid="{00000000-0005-0000-0000-000092600000}"/>
    <cellStyle name="40% - Accent6 15" xfId="29839" xr:uid="{00000000-0005-0000-0000-000093600000}"/>
    <cellStyle name="40% - Accent6 16" xfId="326" xr:uid="{00000000-0005-0000-0000-000094600000}"/>
    <cellStyle name="40% - Accent6 17" xfId="58838" xr:uid="{00000000-0005-0000-0000-000095600000}"/>
    <cellStyle name="40% - Accent6 2" xfId="413" xr:uid="{00000000-0005-0000-0000-000096600000}"/>
    <cellStyle name="40% - Accent6 2 2" xfId="320" xr:uid="{00000000-0005-0000-0000-000097600000}"/>
    <cellStyle name="40% - Accent6 3" xfId="851" xr:uid="{00000000-0005-0000-0000-000098600000}"/>
    <cellStyle name="40% - Accent6 3 10" xfId="7013" xr:uid="{00000000-0005-0000-0000-000099600000}"/>
    <cellStyle name="40% - Accent6 3 10 2" xfId="14285" xr:uid="{00000000-0005-0000-0000-00009A600000}"/>
    <cellStyle name="40% - Accent6 3 10 2 2" xfId="28819" xr:uid="{00000000-0005-0000-0000-00009B600000}"/>
    <cellStyle name="40% - Accent6 3 10 2 2 2" xfId="57825" xr:uid="{00000000-0005-0000-0000-00009C600000}"/>
    <cellStyle name="40% - Accent6 3 10 2 3" xfId="43326" xr:uid="{00000000-0005-0000-0000-00009D600000}"/>
    <cellStyle name="40% - Accent6 3 10 3" xfId="21571" xr:uid="{00000000-0005-0000-0000-00009E600000}"/>
    <cellStyle name="40% - Accent6 3 10 3 2" xfId="50577" xr:uid="{00000000-0005-0000-0000-00009F600000}"/>
    <cellStyle name="40% - Accent6 3 10 4" xfId="36078" xr:uid="{00000000-0005-0000-0000-0000A0600000}"/>
    <cellStyle name="40% - Accent6 3 11" xfId="8077" xr:uid="{00000000-0005-0000-0000-0000A1600000}"/>
    <cellStyle name="40% - Accent6 3 11 2" xfId="22611" xr:uid="{00000000-0005-0000-0000-0000A2600000}"/>
    <cellStyle name="40% - Accent6 3 11 2 2" xfId="51617" xr:uid="{00000000-0005-0000-0000-0000A3600000}"/>
    <cellStyle name="40% - Accent6 3 11 3" xfId="37118" xr:uid="{00000000-0005-0000-0000-0000A4600000}"/>
    <cellStyle name="40% - Accent6 3 12" xfId="15363" xr:uid="{00000000-0005-0000-0000-0000A5600000}"/>
    <cellStyle name="40% - Accent6 3 12 2" xfId="44369" xr:uid="{00000000-0005-0000-0000-0000A6600000}"/>
    <cellStyle name="40% - Accent6 3 13" xfId="29870" xr:uid="{00000000-0005-0000-0000-0000A7600000}"/>
    <cellStyle name="40% - Accent6 3 2" xfId="894" xr:uid="{00000000-0005-0000-0000-0000A8600000}"/>
    <cellStyle name="40% - Accent6 3 2 10" xfId="8129" xr:uid="{00000000-0005-0000-0000-0000A9600000}"/>
    <cellStyle name="40% - Accent6 3 2 10 2" xfId="22663" xr:uid="{00000000-0005-0000-0000-0000AA600000}"/>
    <cellStyle name="40% - Accent6 3 2 10 2 2" xfId="51669" xr:uid="{00000000-0005-0000-0000-0000AB600000}"/>
    <cellStyle name="40% - Accent6 3 2 10 3" xfId="37170" xr:uid="{00000000-0005-0000-0000-0000AC600000}"/>
    <cellStyle name="40% - Accent6 3 2 11" xfId="15415" xr:uid="{00000000-0005-0000-0000-0000AD600000}"/>
    <cellStyle name="40% - Accent6 3 2 11 2" xfId="44421" xr:uid="{00000000-0005-0000-0000-0000AE600000}"/>
    <cellStyle name="40% - Accent6 3 2 12" xfId="29922" xr:uid="{00000000-0005-0000-0000-0000AF600000}"/>
    <cellStyle name="40% - Accent6 3 2 2" xfId="974" xr:uid="{00000000-0005-0000-0000-0000B0600000}"/>
    <cellStyle name="40% - Accent6 3 2 2 10" xfId="30025" xr:uid="{00000000-0005-0000-0000-0000B1600000}"/>
    <cellStyle name="40% - Accent6 3 2 2 2" xfId="1253" xr:uid="{00000000-0005-0000-0000-0000B2600000}"/>
    <cellStyle name="40% - Accent6 3 2 2 2 2" xfId="1759" xr:uid="{00000000-0005-0000-0000-0000B3600000}"/>
    <cellStyle name="40% - Accent6 3 2 2 2 2 2" xfId="2818" xr:uid="{00000000-0005-0000-0000-0000B4600000}"/>
    <cellStyle name="40% - Accent6 3 2 2 2 2 2 2" xfId="5922" xr:uid="{00000000-0005-0000-0000-0000B5600000}"/>
    <cellStyle name="40% - Accent6 3 2 2 2 2 2 2 2" xfId="13194" xr:uid="{00000000-0005-0000-0000-0000B6600000}"/>
    <cellStyle name="40% - Accent6 3 2 2 2 2 2 2 2 2" xfId="27728" xr:uid="{00000000-0005-0000-0000-0000B7600000}"/>
    <cellStyle name="40% - Accent6 3 2 2 2 2 2 2 2 2 2" xfId="56734" xr:uid="{00000000-0005-0000-0000-0000B8600000}"/>
    <cellStyle name="40% - Accent6 3 2 2 2 2 2 2 2 3" xfId="42235" xr:uid="{00000000-0005-0000-0000-0000B9600000}"/>
    <cellStyle name="40% - Accent6 3 2 2 2 2 2 2 3" xfId="20480" xr:uid="{00000000-0005-0000-0000-0000BA600000}"/>
    <cellStyle name="40% - Accent6 3 2 2 2 2 2 2 3 2" xfId="49486" xr:uid="{00000000-0005-0000-0000-0000BB600000}"/>
    <cellStyle name="40% - Accent6 3 2 2 2 2 2 2 4" xfId="34987" xr:uid="{00000000-0005-0000-0000-0000BC600000}"/>
    <cellStyle name="40% - Accent6 3 2 2 2 2 2 3" xfId="10090" xr:uid="{00000000-0005-0000-0000-0000BD600000}"/>
    <cellStyle name="40% - Accent6 3 2 2 2 2 2 3 2" xfId="24624" xr:uid="{00000000-0005-0000-0000-0000BE600000}"/>
    <cellStyle name="40% - Accent6 3 2 2 2 2 2 3 2 2" xfId="53630" xr:uid="{00000000-0005-0000-0000-0000BF600000}"/>
    <cellStyle name="40% - Accent6 3 2 2 2 2 2 3 3" xfId="39131" xr:uid="{00000000-0005-0000-0000-0000C0600000}"/>
    <cellStyle name="40% - Accent6 3 2 2 2 2 2 4" xfId="17376" xr:uid="{00000000-0005-0000-0000-0000C1600000}"/>
    <cellStyle name="40% - Accent6 3 2 2 2 2 2 4 2" xfId="46382" xr:uid="{00000000-0005-0000-0000-0000C2600000}"/>
    <cellStyle name="40% - Accent6 3 2 2 2 2 2 5" xfId="31883" xr:uid="{00000000-0005-0000-0000-0000C3600000}"/>
    <cellStyle name="40% - Accent6 3 2 2 2 2 3" xfId="3850" xr:uid="{00000000-0005-0000-0000-0000C4600000}"/>
    <cellStyle name="40% - Accent6 3 2 2 2 2 3 2" xfId="6954" xr:uid="{00000000-0005-0000-0000-0000C5600000}"/>
    <cellStyle name="40% - Accent6 3 2 2 2 2 3 2 2" xfId="14226" xr:uid="{00000000-0005-0000-0000-0000C6600000}"/>
    <cellStyle name="40% - Accent6 3 2 2 2 2 3 2 2 2" xfId="28760" xr:uid="{00000000-0005-0000-0000-0000C7600000}"/>
    <cellStyle name="40% - Accent6 3 2 2 2 2 3 2 2 2 2" xfId="57766" xr:uid="{00000000-0005-0000-0000-0000C8600000}"/>
    <cellStyle name="40% - Accent6 3 2 2 2 2 3 2 2 3" xfId="43267" xr:uid="{00000000-0005-0000-0000-0000C9600000}"/>
    <cellStyle name="40% - Accent6 3 2 2 2 2 3 2 3" xfId="21512" xr:uid="{00000000-0005-0000-0000-0000CA600000}"/>
    <cellStyle name="40% - Accent6 3 2 2 2 2 3 2 3 2" xfId="50518" xr:uid="{00000000-0005-0000-0000-0000CB600000}"/>
    <cellStyle name="40% - Accent6 3 2 2 2 2 3 2 4" xfId="36019" xr:uid="{00000000-0005-0000-0000-0000CC600000}"/>
    <cellStyle name="40% - Accent6 3 2 2 2 2 3 3" xfId="11122" xr:uid="{00000000-0005-0000-0000-0000CD600000}"/>
    <cellStyle name="40% - Accent6 3 2 2 2 2 3 3 2" xfId="25656" xr:uid="{00000000-0005-0000-0000-0000CE600000}"/>
    <cellStyle name="40% - Accent6 3 2 2 2 2 3 3 2 2" xfId="54662" xr:uid="{00000000-0005-0000-0000-0000CF600000}"/>
    <cellStyle name="40% - Accent6 3 2 2 2 2 3 3 3" xfId="40163" xr:uid="{00000000-0005-0000-0000-0000D0600000}"/>
    <cellStyle name="40% - Accent6 3 2 2 2 2 3 4" xfId="18408" xr:uid="{00000000-0005-0000-0000-0000D1600000}"/>
    <cellStyle name="40% - Accent6 3 2 2 2 2 3 4 2" xfId="47414" xr:uid="{00000000-0005-0000-0000-0000D2600000}"/>
    <cellStyle name="40% - Accent6 3 2 2 2 2 3 5" xfId="32915" xr:uid="{00000000-0005-0000-0000-0000D3600000}"/>
    <cellStyle name="40% - Accent6 3 2 2 2 2 4" xfId="4882" xr:uid="{00000000-0005-0000-0000-0000D4600000}"/>
    <cellStyle name="40% - Accent6 3 2 2 2 2 4 2" xfId="12154" xr:uid="{00000000-0005-0000-0000-0000D5600000}"/>
    <cellStyle name="40% - Accent6 3 2 2 2 2 4 2 2" xfId="26688" xr:uid="{00000000-0005-0000-0000-0000D6600000}"/>
    <cellStyle name="40% - Accent6 3 2 2 2 2 4 2 2 2" xfId="55694" xr:uid="{00000000-0005-0000-0000-0000D7600000}"/>
    <cellStyle name="40% - Accent6 3 2 2 2 2 4 2 3" xfId="41195" xr:uid="{00000000-0005-0000-0000-0000D8600000}"/>
    <cellStyle name="40% - Accent6 3 2 2 2 2 4 3" xfId="19440" xr:uid="{00000000-0005-0000-0000-0000D9600000}"/>
    <cellStyle name="40% - Accent6 3 2 2 2 2 4 3 2" xfId="48446" xr:uid="{00000000-0005-0000-0000-0000DA600000}"/>
    <cellStyle name="40% - Accent6 3 2 2 2 2 4 4" xfId="33947" xr:uid="{00000000-0005-0000-0000-0000DB600000}"/>
    <cellStyle name="40% - Accent6 3 2 2 2 2 5" xfId="7986" xr:uid="{00000000-0005-0000-0000-0000DC600000}"/>
    <cellStyle name="40% - Accent6 3 2 2 2 2 5 2" xfId="15258" xr:uid="{00000000-0005-0000-0000-0000DD600000}"/>
    <cellStyle name="40% - Accent6 3 2 2 2 2 5 2 2" xfId="29792" xr:uid="{00000000-0005-0000-0000-0000DE600000}"/>
    <cellStyle name="40% - Accent6 3 2 2 2 2 5 2 2 2" xfId="58798" xr:uid="{00000000-0005-0000-0000-0000DF600000}"/>
    <cellStyle name="40% - Accent6 3 2 2 2 2 5 2 3" xfId="44299" xr:uid="{00000000-0005-0000-0000-0000E0600000}"/>
    <cellStyle name="40% - Accent6 3 2 2 2 2 5 3" xfId="22544" xr:uid="{00000000-0005-0000-0000-0000E1600000}"/>
    <cellStyle name="40% - Accent6 3 2 2 2 2 5 3 2" xfId="51550" xr:uid="{00000000-0005-0000-0000-0000E2600000}"/>
    <cellStyle name="40% - Accent6 3 2 2 2 2 5 4" xfId="37051" xr:uid="{00000000-0005-0000-0000-0000E3600000}"/>
    <cellStyle name="40% - Accent6 3 2 2 2 2 6" xfId="9050" xr:uid="{00000000-0005-0000-0000-0000E4600000}"/>
    <cellStyle name="40% - Accent6 3 2 2 2 2 6 2" xfId="23584" xr:uid="{00000000-0005-0000-0000-0000E5600000}"/>
    <cellStyle name="40% - Accent6 3 2 2 2 2 6 2 2" xfId="52590" xr:uid="{00000000-0005-0000-0000-0000E6600000}"/>
    <cellStyle name="40% - Accent6 3 2 2 2 2 6 3" xfId="38091" xr:uid="{00000000-0005-0000-0000-0000E7600000}"/>
    <cellStyle name="40% - Accent6 3 2 2 2 2 7" xfId="16336" xr:uid="{00000000-0005-0000-0000-0000E8600000}"/>
    <cellStyle name="40% - Accent6 3 2 2 2 2 7 2" xfId="45342" xr:uid="{00000000-0005-0000-0000-0000E9600000}"/>
    <cellStyle name="40% - Accent6 3 2 2 2 2 8" xfId="30843" xr:uid="{00000000-0005-0000-0000-0000EA600000}"/>
    <cellStyle name="40% - Accent6 3 2 2 2 3" xfId="2306" xr:uid="{00000000-0005-0000-0000-0000EB600000}"/>
    <cellStyle name="40% - Accent6 3 2 2 2 3 2" xfId="5410" xr:uid="{00000000-0005-0000-0000-0000EC600000}"/>
    <cellStyle name="40% - Accent6 3 2 2 2 3 2 2" xfId="12682" xr:uid="{00000000-0005-0000-0000-0000ED600000}"/>
    <cellStyle name="40% - Accent6 3 2 2 2 3 2 2 2" xfId="27216" xr:uid="{00000000-0005-0000-0000-0000EE600000}"/>
    <cellStyle name="40% - Accent6 3 2 2 2 3 2 2 2 2" xfId="56222" xr:uid="{00000000-0005-0000-0000-0000EF600000}"/>
    <cellStyle name="40% - Accent6 3 2 2 2 3 2 2 3" xfId="41723" xr:uid="{00000000-0005-0000-0000-0000F0600000}"/>
    <cellStyle name="40% - Accent6 3 2 2 2 3 2 3" xfId="19968" xr:uid="{00000000-0005-0000-0000-0000F1600000}"/>
    <cellStyle name="40% - Accent6 3 2 2 2 3 2 3 2" xfId="48974" xr:uid="{00000000-0005-0000-0000-0000F2600000}"/>
    <cellStyle name="40% - Accent6 3 2 2 2 3 2 4" xfId="34475" xr:uid="{00000000-0005-0000-0000-0000F3600000}"/>
    <cellStyle name="40% - Accent6 3 2 2 2 3 3" xfId="9578" xr:uid="{00000000-0005-0000-0000-0000F4600000}"/>
    <cellStyle name="40% - Accent6 3 2 2 2 3 3 2" xfId="24112" xr:uid="{00000000-0005-0000-0000-0000F5600000}"/>
    <cellStyle name="40% - Accent6 3 2 2 2 3 3 2 2" xfId="53118" xr:uid="{00000000-0005-0000-0000-0000F6600000}"/>
    <cellStyle name="40% - Accent6 3 2 2 2 3 3 3" xfId="38619" xr:uid="{00000000-0005-0000-0000-0000F7600000}"/>
    <cellStyle name="40% - Accent6 3 2 2 2 3 4" xfId="16864" xr:uid="{00000000-0005-0000-0000-0000F8600000}"/>
    <cellStyle name="40% - Accent6 3 2 2 2 3 4 2" xfId="45870" xr:uid="{00000000-0005-0000-0000-0000F9600000}"/>
    <cellStyle name="40% - Accent6 3 2 2 2 3 5" xfId="31371" xr:uid="{00000000-0005-0000-0000-0000FA600000}"/>
    <cellStyle name="40% - Accent6 3 2 2 2 4" xfId="3338" xr:uid="{00000000-0005-0000-0000-0000FB600000}"/>
    <cellStyle name="40% - Accent6 3 2 2 2 4 2" xfId="6442" xr:uid="{00000000-0005-0000-0000-0000FC600000}"/>
    <cellStyle name="40% - Accent6 3 2 2 2 4 2 2" xfId="13714" xr:uid="{00000000-0005-0000-0000-0000FD600000}"/>
    <cellStyle name="40% - Accent6 3 2 2 2 4 2 2 2" xfId="28248" xr:uid="{00000000-0005-0000-0000-0000FE600000}"/>
    <cellStyle name="40% - Accent6 3 2 2 2 4 2 2 2 2" xfId="57254" xr:uid="{00000000-0005-0000-0000-0000FF600000}"/>
    <cellStyle name="40% - Accent6 3 2 2 2 4 2 2 3" xfId="42755" xr:uid="{00000000-0005-0000-0000-000000610000}"/>
    <cellStyle name="40% - Accent6 3 2 2 2 4 2 3" xfId="21000" xr:uid="{00000000-0005-0000-0000-000001610000}"/>
    <cellStyle name="40% - Accent6 3 2 2 2 4 2 3 2" xfId="50006" xr:uid="{00000000-0005-0000-0000-000002610000}"/>
    <cellStyle name="40% - Accent6 3 2 2 2 4 2 4" xfId="35507" xr:uid="{00000000-0005-0000-0000-000003610000}"/>
    <cellStyle name="40% - Accent6 3 2 2 2 4 3" xfId="10610" xr:uid="{00000000-0005-0000-0000-000004610000}"/>
    <cellStyle name="40% - Accent6 3 2 2 2 4 3 2" xfId="25144" xr:uid="{00000000-0005-0000-0000-000005610000}"/>
    <cellStyle name="40% - Accent6 3 2 2 2 4 3 2 2" xfId="54150" xr:uid="{00000000-0005-0000-0000-000006610000}"/>
    <cellStyle name="40% - Accent6 3 2 2 2 4 3 3" xfId="39651" xr:uid="{00000000-0005-0000-0000-000007610000}"/>
    <cellStyle name="40% - Accent6 3 2 2 2 4 4" xfId="17896" xr:uid="{00000000-0005-0000-0000-000008610000}"/>
    <cellStyle name="40% - Accent6 3 2 2 2 4 4 2" xfId="46902" xr:uid="{00000000-0005-0000-0000-000009610000}"/>
    <cellStyle name="40% - Accent6 3 2 2 2 4 5" xfId="32403" xr:uid="{00000000-0005-0000-0000-00000A610000}"/>
    <cellStyle name="40% - Accent6 3 2 2 2 5" xfId="4370" xr:uid="{00000000-0005-0000-0000-00000B610000}"/>
    <cellStyle name="40% - Accent6 3 2 2 2 5 2" xfId="11642" xr:uid="{00000000-0005-0000-0000-00000C610000}"/>
    <cellStyle name="40% - Accent6 3 2 2 2 5 2 2" xfId="26176" xr:uid="{00000000-0005-0000-0000-00000D610000}"/>
    <cellStyle name="40% - Accent6 3 2 2 2 5 2 2 2" xfId="55182" xr:uid="{00000000-0005-0000-0000-00000E610000}"/>
    <cellStyle name="40% - Accent6 3 2 2 2 5 2 3" xfId="40683" xr:uid="{00000000-0005-0000-0000-00000F610000}"/>
    <cellStyle name="40% - Accent6 3 2 2 2 5 3" xfId="18928" xr:uid="{00000000-0005-0000-0000-000010610000}"/>
    <cellStyle name="40% - Accent6 3 2 2 2 5 3 2" xfId="47934" xr:uid="{00000000-0005-0000-0000-000011610000}"/>
    <cellStyle name="40% - Accent6 3 2 2 2 5 4" xfId="33435" xr:uid="{00000000-0005-0000-0000-000012610000}"/>
    <cellStyle name="40% - Accent6 3 2 2 2 6" xfId="7474" xr:uid="{00000000-0005-0000-0000-000013610000}"/>
    <cellStyle name="40% - Accent6 3 2 2 2 6 2" xfId="14746" xr:uid="{00000000-0005-0000-0000-000014610000}"/>
    <cellStyle name="40% - Accent6 3 2 2 2 6 2 2" xfId="29280" xr:uid="{00000000-0005-0000-0000-000015610000}"/>
    <cellStyle name="40% - Accent6 3 2 2 2 6 2 2 2" xfId="58286" xr:uid="{00000000-0005-0000-0000-000016610000}"/>
    <cellStyle name="40% - Accent6 3 2 2 2 6 2 3" xfId="43787" xr:uid="{00000000-0005-0000-0000-000017610000}"/>
    <cellStyle name="40% - Accent6 3 2 2 2 6 3" xfId="22032" xr:uid="{00000000-0005-0000-0000-000018610000}"/>
    <cellStyle name="40% - Accent6 3 2 2 2 6 3 2" xfId="51038" xr:uid="{00000000-0005-0000-0000-000019610000}"/>
    <cellStyle name="40% - Accent6 3 2 2 2 6 4" xfId="36539" xr:uid="{00000000-0005-0000-0000-00001A610000}"/>
    <cellStyle name="40% - Accent6 3 2 2 2 7" xfId="8538" xr:uid="{00000000-0005-0000-0000-00001B610000}"/>
    <cellStyle name="40% - Accent6 3 2 2 2 7 2" xfId="23072" xr:uid="{00000000-0005-0000-0000-00001C610000}"/>
    <cellStyle name="40% - Accent6 3 2 2 2 7 2 2" xfId="52078" xr:uid="{00000000-0005-0000-0000-00001D610000}"/>
    <cellStyle name="40% - Accent6 3 2 2 2 7 3" xfId="37579" xr:uid="{00000000-0005-0000-0000-00001E610000}"/>
    <cellStyle name="40% - Accent6 3 2 2 2 8" xfId="15824" xr:uid="{00000000-0005-0000-0000-00001F610000}"/>
    <cellStyle name="40% - Accent6 3 2 2 2 8 2" xfId="44830" xr:uid="{00000000-0005-0000-0000-000020610000}"/>
    <cellStyle name="40% - Accent6 3 2 2 2 9" xfId="30331" xr:uid="{00000000-0005-0000-0000-000021610000}"/>
    <cellStyle name="40% - Accent6 3 2 2 3" xfId="1454" xr:uid="{00000000-0005-0000-0000-000022610000}"/>
    <cellStyle name="40% - Accent6 3 2 2 3 2" xfId="2512" xr:uid="{00000000-0005-0000-0000-000023610000}"/>
    <cellStyle name="40% - Accent6 3 2 2 3 2 2" xfId="5616" xr:uid="{00000000-0005-0000-0000-000024610000}"/>
    <cellStyle name="40% - Accent6 3 2 2 3 2 2 2" xfId="12888" xr:uid="{00000000-0005-0000-0000-000025610000}"/>
    <cellStyle name="40% - Accent6 3 2 2 3 2 2 2 2" xfId="27422" xr:uid="{00000000-0005-0000-0000-000026610000}"/>
    <cellStyle name="40% - Accent6 3 2 2 3 2 2 2 2 2" xfId="56428" xr:uid="{00000000-0005-0000-0000-000027610000}"/>
    <cellStyle name="40% - Accent6 3 2 2 3 2 2 2 3" xfId="41929" xr:uid="{00000000-0005-0000-0000-000028610000}"/>
    <cellStyle name="40% - Accent6 3 2 2 3 2 2 3" xfId="20174" xr:uid="{00000000-0005-0000-0000-000029610000}"/>
    <cellStyle name="40% - Accent6 3 2 2 3 2 2 3 2" xfId="49180" xr:uid="{00000000-0005-0000-0000-00002A610000}"/>
    <cellStyle name="40% - Accent6 3 2 2 3 2 2 4" xfId="34681" xr:uid="{00000000-0005-0000-0000-00002B610000}"/>
    <cellStyle name="40% - Accent6 3 2 2 3 2 3" xfId="9784" xr:uid="{00000000-0005-0000-0000-00002C610000}"/>
    <cellStyle name="40% - Accent6 3 2 2 3 2 3 2" xfId="24318" xr:uid="{00000000-0005-0000-0000-00002D610000}"/>
    <cellStyle name="40% - Accent6 3 2 2 3 2 3 2 2" xfId="53324" xr:uid="{00000000-0005-0000-0000-00002E610000}"/>
    <cellStyle name="40% - Accent6 3 2 2 3 2 3 3" xfId="38825" xr:uid="{00000000-0005-0000-0000-00002F610000}"/>
    <cellStyle name="40% - Accent6 3 2 2 3 2 4" xfId="17070" xr:uid="{00000000-0005-0000-0000-000030610000}"/>
    <cellStyle name="40% - Accent6 3 2 2 3 2 4 2" xfId="46076" xr:uid="{00000000-0005-0000-0000-000031610000}"/>
    <cellStyle name="40% - Accent6 3 2 2 3 2 5" xfId="31577" xr:uid="{00000000-0005-0000-0000-000032610000}"/>
    <cellStyle name="40% - Accent6 3 2 2 3 3" xfId="3544" xr:uid="{00000000-0005-0000-0000-000033610000}"/>
    <cellStyle name="40% - Accent6 3 2 2 3 3 2" xfId="6648" xr:uid="{00000000-0005-0000-0000-000034610000}"/>
    <cellStyle name="40% - Accent6 3 2 2 3 3 2 2" xfId="13920" xr:uid="{00000000-0005-0000-0000-000035610000}"/>
    <cellStyle name="40% - Accent6 3 2 2 3 3 2 2 2" xfId="28454" xr:uid="{00000000-0005-0000-0000-000036610000}"/>
    <cellStyle name="40% - Accent6 3 2 2 3 3 2 2 2 2" xfId="57460" xr:uid="{00000000-0005-0000-0000-000037610000}"/>
    <cellStyle name="40% - Accent6 3 2 2 3 3 2 2 3" xfId="42961" xr:uid="{00000000-0005-0000-0000-000038610000}"/>
    <cellStyle name="40% - Accent6 3 2 2 3 3 2 3" xfId="21206" xr:uid="{00000000-0005-0000-0000-000039610000}"/>
    <cellStyle name="40% - Accent6 3 2 2 3 3 2 3 2" xfId="50212" xr:uid="{00000000-0005-0000-0000-00003A610000}"/>
    <cellStyle name="40% - Accent6 3 2 2 3 3 2 4" xfId="35713" xr:uid="{00000000-0005-0000-0000-00003B610000}"/>
    <cellStyle name="40% - Accent6 3 2 2 3 3 3" xfId="10816" xr:uid="{00000000-0005-0000-0000-00003C610000}"/>
    <cellStyle name="40% - Accent6 3 2 2 3 3 3 2" xfId="25350" xr:uid="{00000000-0005-0000-0000-00003D610000}"/>
    <cellStyle name="40% - Accent6 3 2 2 3 3 3 2 2" xfId="54356" xr:uid="{00000000-0005-0000-0000-00003E610000}"/>
    <cellStyle name="40% - Accent6 3 2 2 3 3 3 3" xfId="39857" xr:uid="{00000000-0005-0000-0000-00003F610000}"/>
    <cellStyle name="40% - Accent6 3 2 2 3 3 4" xfId="18102" xr:uid="{00000000-0005-0000-0000-000040610000}"/>
    <cellStyle name="40% - Accent6 3 2 2 3 3 4 2" xfId="47108" xr:uid="{00000000-0005-0000-0000-000041610000}"/>
    <cellStyle name="40% - Accent6 3 2 2 3 3 5" xfId="32609" xr:uid="{00000000-0005-0000-0000-000042610000}"/>
    <cellStyle name="40% - Accent6 3 2 2 3 4" xfId="4576" xr:uid="{00000000-0005-0000-0000-000043610000}"/>
    <cellStyle name="40% - Accent6 3 2 2 3 4 2" xfId="11848" xr:uid="{00000000-0005-0000-0000-000044610000}"/>
    <cellStyle name="40% - Accent6 3 2 2 3 4 2 2" xfId="26382" xr:uid="{00000000-0005-0000-0000-000045610000}"/>
    <cellStyle name="40% - Accent6 3 2 2 3 4 2 2 2" xfId="55388" xr:uid="{00000000-0005-0000-0000-000046610000}"/>
    <cellStyle name="40% - Accent6 3 2 2 3 4 2 3" xfId="40889" xr:uid="{00000000-0005-0000-0000-000047610000}"/>
    <cellStyle name="40% - Accent6 3 2 2 3 4 3" xfId="19134" xr:uid="{00000000-0005-0000-0000-000048610000}"/>
    <cellStyle name="40% - Accent6 3 2 2 3 4 3 2" xfId="48140" xr:uid="{00000000-0005-0000-0000-000049610000}"/>
    <cellStyle name="40% - Accent6 3 2 2 3 4 4" xfId="33641" xr:uid="{00000000-0005-0000-0000-00004A610000}"/>
    <cellStyle name="40% - Accent6 3 2 2 3 5" xfId="7680" xr:uid="{00000000-0005-0000-0000-00004B610000}"/>
    <cellStyle name="40% - Accent6 3 2 2 3 5 2" xfId="14952" xr:uid="{00000000-0005-0000-0000-00004C610000}"/>
    <cellStyle name="40% - Accent6 3 2 2 3 5 2 2" xfId="29486" xr:uid="{00000000-0005-0000-0000-00004D610000}"/>
    <cellStyle name="40% - Accent6 3 2 2 3 5 2 2 2" xfId="58492" xr:uid="{00000000-0005-0000-0000-00004E610000}"/>
    <cellStyle name="40% - Accent6 3 2 2 3 5 2 3" xfId="43993" xr:uid="{00000000-0005-0000-0000-00004F610000}"/>
    <cellStyle name="40% - Accent6 3 2 2 3 5 3" xfId="22238" xr:uid="{00000000-0005-0000-0000-000050610000}"/>
    <cellStyle name="40% - Accent6 3 2 2 3 5 3 2" xfId="51244" xr:uid="{00000000-0005-0000-0000-000051610000}"/>
    <cellStyle name="40% - Accent6 3 2 2 3 5 4" xfId="36745" xr:uid="{00000000-0005-0000-0000-000052610000}"/>
    <cellStyle name="40% - Accent6 3 2 2 3 6" xfId="8744" xr:uid="{00000000-0005-0000-0000-000053610000}"/>
    <cellStyle name="40% - Accent6 3 2 2 3 6 2" xfId="23278" xr:uid="{00000000-0005-0000-0000-000054610000}"/>
    <cellStyle name="40% - Accent6 3 2 2 3 6 2 2" xfId="52284" xr:uid="{00000000-0005-0000-0000-000055610000}"/>
    <cellStyle name="40% - Accent6 3 2 2 3 6 3" xfId="37785" xr:uid="{00000000-0005-0000-0000-000056610000}"/>
    <cellStyle name="40% - Accent6 3 2 2 3 7" xfId="16030" xr:uid="{00000000-0005-0000-0000-000057610000}"/>
    <cellStyle name="40% - Accent6 3 2 2 3 7 2" xfId="45036" xr:uid="{00000000-0005-0000-0000-000058610000}"/>
    <cellStyle name="40% - Accent6 3 2 2 3 8" xfId="30537" xr:uid="{00000000-0005-0000-0000-000059610000}"/>
    <cellStyle name="40% - Accent6 3 2 2 4" xfId="2000" xr:uid="{00000000-0005-0000-0000-00005A610000}"/>
    <cellStyle name="40% - Accent6 3 2 2 4 2" xfId="5104" xr:uid="{00000000-0005-0000-0000-00005B610000}"/>
    <cellStyle name="40% - Accent6 3 2 2 4 2 2" xfId="12376" xr:uid="{00000000-0005-0000-0000-00005C610000}"/>
    <cellStyle name="40% - Accent6 3 2 2 4 2 2 2" xfId="26910" xr:uid="{00000000-0005-0000-0000-00005D610000}"/>
    <cellStyle name="40% - Accent6 3 2 2 4 2 2 2 2" xfId="55916" xr:uid="{00000000-0005-0000-0000-00005E610000}"/>
    <cellStyle name="40% - Accent6 3 2 2 4 2 2 3" xfId="41417" xr:uid="{00000000-0005-0000-0000-00005F610000}"/>
    <cellStyle name="40% - Accent6 3 2 2 4 2 3" xfId="19662" xr:uid="{00000000-0005-0000-0000-000060610000}"/>
    <cellStyle name="40% - Accent6 3 2 2 4 2 3 2" xfId="48668" xr:uid="{00000000-0005-0000-0000-000061610000}"/>
    <cellStyle name="40% - Accent6 3 2 2 4 2 4" xfId="34169" xr:uid="{00000000-0005-0000-0000-000062610000}"/>
    <cellStyle name="40% - Accent6 3 2 2 4 3" xfId="9272" xr:uid="{00000000-0005-0000-0000-000063610000}"/>
    <cellStyle name="40% - Accent6 3 2 2 4 3 2" xfId="23806" xr:uid="{00000000-0005-0000-0000-000064610000}"/>
    <cellStyle name="40% - Accent6 3 2 2 4 3 2 2" xfId="52812" xr:uid="{00000000-0005-0000-0000-000065610000}"/>
    <cellStyle name="40% - Accent6 3 2 2 4 3 3" xfId="38313" xr:uid="{00000000-0005-0000-0000-000066610000}"/>
    <cellStyle name="40% - Accent6 3 2 2 4 4" xfId="16558" xr:uid="{00000000-0005-0000-0000-000067610000}"/>
    <cellStyle name="40% - Accent6 3 2 2 4 4 2" xfId="45564" xr:uid="{00000000-0005-0000-0000-000068610000}"/>
    <cellStyle name="40% - Accent6 3 2 2 4 5" xfId="31065" xr:uid="{00000000-0005-0000-0000-000069610000}"/>
    <cellStyle name="40% - Accent6 3 2 2 5" xfId="3032" xr:uid="{00000000-0005-0000-0000-00006A610000}"/>
    <cellStyle name="40% - Accent6 3 2 2 5 2" xfId="6136" xr:uid="{00000000-0005-0000-0000-00006B610000}"/>
    <cellStyle name="40% - Accent6 3 2 2 5 2 2" xfId="13408" xr:uid="{00000000-0005-0000-0000-00006C610000}"/>
    <cellStyle name="40% - Accent6 3 2 2 5 2 2 2" xfId="27942" xr:uid="{00000000-0005-0000-0000-00006D610000}"/>
    <cellStyle name="40% - Accent6 3 2 2 5 2 2 2 2" xfId="56948" xr:uid="{00000000-0005-0000-0000-00006E610000}"/>
    <cellStyle name="40% - Accent6 3 2 2 5 2 2 3" xfId="42449" xr:uid="{00000000-0005-0000-0000-00006F610000}"/>
    <cellStyle name="40% - Accent6 3 2 2 5 2 3" xfId="20694" xr:uid="{00000000-0005-0000-0000-000070610000}"/>
    <cellStyle name="40% - Accent6 3 2 2 5 2 3 2" xfId="49700" xr:uid="{00000000-0005-0000-0000-000071610000}"/>
    <cellStyle name="40% - Accent6 3 2 2 5 2 4" xfId="35201" xr:uid="{00000000-0005-0000-0000-000072610000}"/>
    <cellStyle name="40% - Accent6 3 2 2 5 3" xfId="10304" xr:uid="{00000000-0005-0000-0000-000073610000}"/>
    <cellStyle name="40% - Accent6 3 2 2 5 3 2" xfId="24838" xr:uid="{00000000-0005-0000-0000-000074610000}"/>
    <cellStyle name="40% - Accent6 3 2 2 5 3 2 2" xfId="53844" xr:uid="{00000000-0005-0000-0000-000075610000}"/>
    <cellStyle name="40% - Accent6 3 2 2 5 3 3" xfId="39345" xr:uid="{00000000-0005-0000-0000-000076610000}"/>
    <cellStyle name="40% - Accent6 3 2 2 5 4" xfId="17590" xr:uid="{00000000-0005-0000-0000-000077610000}"/>
    <cellStyle name="40% - Accent6 3 2 2 5 4 2" xfId="46596" xr:uid="{00000000-0005-0000-0000-000078610000}"/>
    <cellStyle name="40% - Accent6 3 2 2 5 5" xfId="32097" xr:uid="{00000000-0005-0000-0000-000079610000}"/>
    <cellStyle name="40% - Accent6 3 2 2 6" xfId="4064" xr:uid="{00000000-0005-0000-0000-00007A610000}"/>
    <cellStyle name="40% - Accent6 3 2 2 6 2" xfId="11336" xr:uid="{00000000-0005-0000-0000-00007B610000}"/>
    <cellStyle name="40% - Accent6 3 2 2 6 2 2" xfId="25870" xr:uid="{00000000-0005-0000-0000-00007C610000}"/>
    <cellStyle name="40% - Accent6 3 2 2 6 2 2 2" xfId="54876" xr:uid="{00000000-0005-0000-0000-00007D610000}"/>
    <cellStyle name="40% - Accent6 3 2 2 6 2 3" xfId="40377" xr:uid="{00000000-0005-0000-0000-00007E610000}"/>
    <cellStyle name="40% - Accent6 3 2 2 6 3" xfId="18622" xr:uid="{00000000-0005-0000-0000-00007F610000}"/>
    <cellStyle name="40% - Accent6 3 2 2 6 3 2" xfId="47628" xr:uid="{00000000-0005-0000-0000-000080610000}"/>
    <cellStyle name="40% - Accent6 3 2 2 6 4" xfId="33129" xr:uid="{00000000-0005-0000-0000-000081610000}"/>
    <cellStyle name="40% - Accent6 3 2 2 7" xfId="7168" xr:uid="{00000000-0005-0000-0000-000082610000}"/>
    <cellStyle name="40% - Accent6 3 2 2 7 2" xfId="14440" xr:uid="{00000000-0005-0000-0000-000083610000}"/>
    <cellStyle name="40% - Accent6 3 2 2 7 2 2" xfId="28974" xr:uid="{00000000-0005-0000-0000-000084610000}"/>
    <cellStyle name="40% - Accent6 3 2 2 7 2 2 2" xfId="57980" xr:uid="{00000000-0005-0000-0000-000085610000}"/>
    <cellStyle name="40% - Accent6 3 2 2 7 2 3" xfId="43481" xr:uid="{00000000-0005-0000-0000-000086610000}"/>
    <cellStyle name="40% - Accent6 3 2 2 7 3" xfId="21726" xr:uid="{00000000-0005-0000-0000-000087610000}"/>
    <cellStyle name="40% - Accent6 3 2 2 7 3 2" xfId="50732" xr:uid="{00000000-0005-0000-0000-000088610000}"/>
    <cellStyle name="40% - Accent6 3 2 2 7 4" xfId="36233" xr:uid="{00000000-0005-0000-0000-000089610000}"/>
    <cellStyle name="40% - Accent6 3 2 2 8" xfId="8232" xr:uid="{00000000-0005-0000-0000-00008A610000}"/>
    <cellStyle name="40% - Accent6 3 2 2 8 2" xfId="22766" xr:uid="{00000000-0005-0000-0000-00008B610000}"/>
    <cellStyle name="40% - Accent6 3 2 2 8 2 2" xfId="51772" xr:uid="{00000000-0005-0000-0000-00008C610000}"/>
    <cellStyle name="40% - Accent6 3 2 2 8 3" xfId="37273" xr:uid="{00000000-0005-0000-0000-00008D610000}"/>
    <cellStyle name="40% - Accent6 3 2 2 9" xfId="15518" xr:uid="{00000000-0005-0000-0000-00008E610000}"/>
    <cellStyle name="40% - Accent6 3 2 2 9 2" xfId="44524" xr:uid="{00000000-0005-0000-0000-00008F610000}"/>
    <cellStyle name="40% - Accent6 3 2 3" xfId="1157" xr:uid="{00000000-0005-0000-0000-000090610000}"/>
    <cellStyle name="40% - Accent6 3 2 3 2" xfId="1656" xr:uid="{00000000-0005-0000-0000-000091610000}"/>
    <cellStyle name="40% - Accent6 3 2 3 2 2" xfId="2715" xr:uid="{00000000-0005-0000-0000-000092610000}"/>
    <cellStyle name="40% - Accent6 3 2 3 2 2 2" xfId="5819" xr:uid="{00000000-0005-0000-0000-000093610000}"/>
    <cellStyle name="40% - Accent6 3 2 3 2 2 2 2" xfId="13091" xr:uid="{00000000-0005-0000-0000-000094610000}"/>
    <cellStyle name="40% - Accent6 3 2 3 2 2 2 2 2" xfId="27625" xr:uid="{00000000-0005-0000-0000-000095610000}"/>
    <cellStyle name="40% - Accent6 3 2 3 2 2 2 2 2 2" xfId="56631" xr:uid="{00000000-0005-0000-0000-000096610000}"/>
    <cellStyle name="40% - Accent6 3 2 3 2 2 2 2 3" xfId="42132" xr:uid="{00000000-0005-0000-0000-000097610000}"/>
    <cellStyle name="40% - Accent6 3 2 3 2 2 2 3" xfId="20377" xr:uid="{00000000-0005-0000-0000-000098610000}"/>
    <cellStyle name="40% - Accent6 3 2 3 2 2 2 3 2" xfId="49383" xr:uid="{00000000-0005-0000-0000-000099610000}"/>
    <cellStyle name="40% - Accent6 3 2 3 2 2 2 4" xfId="34884" xr:uid="{00000000-0005-0000-0000-00009A610000}"/>
    <cellStyle name="40% - Accent6 3 2 3 2 2 3" xfId="9987" xr:uid="{00000000-0005-0000-0000-00009B610000}"/>
    <cellStyle name="40% - Accent6 3 2 3 2 2 3 2" xfId="24521" xr:uid="{00000000-0005-0000-0000-00009C610000}"/>
    <cellStyle name="40% - Accent6 3 2 3 2 2 3 2 2" xfId="53527" xr:uid="{00000000-0005-0000-0000-00009D610000}"/>
    <cellStyle name="40% - Accent6 3 2 3 2 2 3 3" xfId="39028" xr:uid="{00000000-0005-0000-0000-00009E610000}"/>
    <cellStyle name="40% - Accent6 3 2 3 2 2 4" xfId="17273" xr:uid="{00000000-0005-0000-0000-00009F610000}"/>
    <cellStyle name="40% - Accent6 3 2 3 2 2 4 2" xfId="46279" xr:uid="{00000000-0005-0000-0000-0000A0610000}"/>
    <cellStyle name="40% - Accent6 3 2 3 2 2 5" xfId="31780" xr:uid="{00000000-0005-0000-0000-0000A1610000}"/>
    <cellStyle name="40% - Accent6 3 2 3 2 3" xfId="3747" xr:uid="{00000000-0005-0000-0000-0000A2610000}"/>
    <cellStyle name="40% - Accent6 3 2 3 2 3 2" xfId="6851" xr:uid="{00000000-0005-0000-0000-0000A3610000}"/>
    <cellStyle name="40% - Accent6 3 2 3 2 3 2 2" xfId="14123" xr:uid="{00000000-0005-0000-0000-0000A4610000}"/>
    <cellStyle name="40% - Accent6 3 2 3 2 3 2 2 2" xfId="28657" xr:uid="{00000000-0005-0000-0000-0000A5610000}"/>
    <cellStyle name="40% - Accent6 3 2 3 2 3 2 2 2 2" xfId="57663" xr:uid="{00000000-0005-0000-0000-0000A6610000}"/>
    <cellStyle name="40% - Accent6 3 2 3 2 3 2 2 3" xfId="43164" xr:uid="{00000000-0005-0000-0000-0000A7610000}"/>
    <cellStyle name="40% - Accent6 3 2 3 2 3 2 3" xfId="21409" xr:uid="{00000000-0005-0000-0000-0000A8610000}"/>
    <cellStyle name="40% - Accent6 3 2 3 2 3 2 3 2" xfId="50415" xr:uid="{00000000-0005-0000-0000-0000A9610000}"/>
    <cellStyle name="40% - Accent6 3 2 3 2 3 2 4" xfId="35916" xr:uid="{00000000-0005-0000-0000-0000AA610000}"/>
    <cellStyle name="40% - Accent6 3 2 3 2 3 3" xfId="11019" xr:uid="{00000000-0005-0000-0000-0000AB610000}"/>
    <cellStyle name="40% - Accent6 3 2 3 2 3 3 2" xfId="25553" xr:uid="{00000000-0005-0000-0000-0000AC610000}"/>
    <cellStyle name="40% - Accent6 3 2 3 2 3 3 2 2" xfId="54559" xr:uid="{00000000-0005-0000-0000-0000AD610000}"/>
    <cellStyle name="40% - Accent6 3 2 3 2 3 3 3" xfId="40060" xr:uid="{00000000-0005-0000-0000-0000AE610000}"/>
    <cellStyle name="40% - Accent6 3 2 3 2 3 4" xfId="18305" xr:uid="{00000000-0005-0000-0000-0000AF610000}"/>
    <cellStyle name="40% - Accent6 3 2 3 2 3 4 2" xfId="47311" xr:uid="{00000000-0005-0000-0000-0000B0610000}"/>
    <cellStyle name="40% - Accent6 3 2 3 2 3 5" xfId="32812" xr:uid="{00000000-0005-0000-0000-0000B1610000}"/>
    <cellStyle name="40% - Accent6 3 2 3 2 4" xfId="4779" xr:uid="{00000000-0005-0000-0000-0000B2610000}"/>
    <cellStyle name="40% - Accent6 3 2 3 2 4 2" xfId="12051" xr:uid="{00000000-0005-0000-0000-0000B3610000}"/>
    <cellStyle name="40% - Accent6 3 2 3 2 4 2 2" xfId="26585" xr:uid="{00000000-0005-0000-0000-0000B4610000}"/>
    <cellStyle name="40% - Accent6 3 2 3 2 4 2 2 2" xfId="55591" xr:uid="{00000000-0005-0000-0000-0000B5610000}"/>
    <cellStyle name="40% - Accent6 3 2 3 2 4 2 3" xfId="41092" xr:uid="{00000000-0005-0000-0000-0000B6610000}"/>
    <cellStyle name="40% - Accent6 3 2 3 2 4 3" xfId="19337" xr:uid="{00000000-0005-0000-0000-0000B7610000}"/>
    <cellStyle name="40% - Accent6 3 2 3 2 4 3 2" xfId="48343" xr:uid="{00000000-0005-0000-0000-0000B8610000}"/>
    <cellStyle name="40% - Accent6 3 2 3 2 4 4" xfId="33844" xr:uid="{00000000-0005-0000-0000-0000B9610000}"/>
    <cellStyle name="40% - Accent6 3 2 3 2 5" xfId="7883" xr:uid="{00000000-0005-0000-0000-0000BA610000}"/>
    <cellStyle name="40% - Accent6 3 2 3 2 5 2" xfId="15155" xr:uid="{00000000-0005-0000-0000-0000BB610000}"/>
    <cellStyle name="40% - Accent6 3 2 3 2 5 2 2" xfId="29689" xr:uid="{00000000-0005-0000-0000-0000BC610000}"/>
    <cellStyle name="40% - Accent6 3 2 3 2 5 2 2 2" xfId="58695" xr:uid="{00000000-0005-0000-0000-0000BD610000}"/>
    <cellStyle name="40% - Accent6 3 2 3 2 5 2 3" xfId="44196" xr:uid="{00000000-0005-0000-0000-0000BE610000}"/>
    <cellStyle name="40% - Accent6 3 2 3 2 5 3" xfId="22441" xr:uid="{00000000-0005-0000-0000-0000BF610000}"/>
    <cellStyle name="40% - Accent6 3 2 3 2 5 3 2" xfId="51447" xr:uid="{00000000-0005-0000-0000-0000C0610000}"/>
    <cellStyle name="40% - Accent6 3 2 3 2 5 4" xfId="36948" xr:uid="{00000000-0005-0000-0000-0000C1610000}"/>
    <cellStyle name="40% - Accent6 3 2 3 2 6" xfId="8947" xr:uid="{00000000-0005-0000-0000-0000C2610000}"/>
    <cellStyle name="40% - Accent6 3 2 3 2 6 2" xfId="23481" xr:uid="{00000000-0005-0000-0000-0000C3610000}"/>
    <cellStyle name="40% - Accent6 3 2 3 2 6 2 2" xfId="52487" xr:uid="{00000000-0005-0000-0000-0000C4610000}"/>
    <cellStyle name="40% - Accent6 3 2 3 2 6 3" xfId="37988" xr:uid="{00000000-0005-0000-0000-0000C5610000}"/>
    <cellStyle name="40% - Accent6 3 2 3 2 7" xfId="16233" xr:uid="{00000000-0005-0000-0000-0000C6610000}"/>
    <cellStyle name="40% - Accent6 3 2 3 2 7 2" xfId="45239" xr:uid="{00000000-0005-0000-0000-0000C7610000}"/>
    <cellStyle name="40% - Accent6 3 2 3 2 8" xfId="30740" xr:uid="{00000000-0005-0000-0000-0000C8610000}"/>
    <cellStyle name="40% - Accent6 3 2 3 3" xfId="2203" xr:uid="{00000000-0005-0000-0000-0000C9610000}"/>
    <cellStyle name="40% - Accent6 3 2 3 3 2" xfId="5307" xr:uid="{00000000-0005-0000-0000-0000CA610000}"/>
    <cellStyle name="40% - Accent6 3 2 3 3 2 2" xfId="12579" xr:uid="{00000000-0005-0000-0000-0000CB610000}"/>
    <cellStyle name="40% - Accent6 3 2 3 3 2 2 2" xfId="27113" xr:uid="{00000000-0005-0000-0000-0000CC610000}"/>
    <cellStyle name="40% - Accent6 3 2 3 3 2 2 2 2" xfId="56119" xr:uid="{00000000-0005-0000-0000-0000CD610000}"/>
    <cellStyle name="40% - Accent6 3 2 3 3 2 2 3" xfId="41620" xr:uid="{00000000-0005-0000-0000-0000CE610000}"/>
    <cellStyle name="40% - Accent6 3 2 3 3 2 3" xfId="19865" xr:uid="{00000000-0005-0000-0000-0000CF610000}"/>
    <cellStyle name="40% - Accent6 3 2 3 3 2 3 2" xfId="48871" xr:uid="{00000000-0005-0000-0000-0000D0610000}"/>
    <cellStyle name="40% - Accent6 3 2 3 3 2 4" xfId="34372" xr:uid="{00000000-0005-0000-0000-0000D1610000}"/>
    <cellStyle name="40% - Accent6 3 2 3 3 3" xfId="9475" xr:uid="{00000000-0005-0000-0000-0000D2610000}"/>
    <cellStyle name="40% - Accent6 3 2 3 3 3 2" xfId="24009" xr:uid="{00000000-0005-0000-0000-0000D3610000}"/>
    <cellStyle name="40% - Accent6 3 2 3 3 3 2 2" xfId="53015" xr:uid="{00000000-0005-0000-0000-0000D4610000}"/>
    <cellStyle name="40% - Accent6 3 2 3 3 3 3" xfId="38516" xr:uid="{00000000-0005-0000-0000-0000D5610000}"/>
    <cellStyle name="40% - Accent6 3 2 3 3 4" xfId="16761" xr:uid="{00000000-0005-0000-0000-0000D6610000}"/>
    <cellStyle name="40% - Accent6 3 2 3 3 4 2" xfId="45767" xr:uid="{00000000-0005-0000-0000-0000D7610000}"/>
    <cellStyle name="40% - Accent6 3 2 3 3 5" xfId="31268" xr:uid="{00000000-0005-0000-0000-0000D8610000}"/>
    <cellStyle name="40% - Accent6 3 2 3 4" xfId="3235" xr:uid="{00000000-0005-0000-0000-0000D9610000}"/>
    <cellStyle name="40% - Accent6 3 2 3 4 2" xfId="6339" xr:uid="{00000000-0005-0000-0000-0000DA610000}"/>
    <cellStyle name="40% - Accent6 3 2 3 4 2 2" xfId="13611" xr:uid="{00000000-0005-0000-0000-0000DB610000}"/>
    <cellStyle name="40% - Accent6 3 2 3 4 2 2 2" xfId="28145" xr:uid="{00000000-0005-0000-0000-0000DC610000}"/>
    <cellStyle name="40% - Accent6 3 2 3 4 2 2 2 2" xfId="57151" xr:uid="{00000000-0005-0000-0000-0000DD610000}"/>
    <cellStyle name="40% - Accent6 3 2 3 4 2 2 3" xfId="42652" xr:uid="{00000000-0005-0000-0000-0000DE610000}"/>
    <cellStyle name="40% - Accent6 3 2 3 4 2 3" xfId="20897" xr:uid="{00000000-0005-0000-0000-0000DF610000}"/>
    <cellStyle name="40% - Accent6 3 2 3 4 2 3 2" xfId="49903" xr:uid="{00000000-0005-0000-0000-0000E0610000}"/>
    <cellStyle name="40% - Accent6 3 2 3 4 2 4" xfId="35404" xr:uid="{00000000-0005-0000-0000-0000E1610000}"/>
    <cellStyle name="40% - Accent6 3 2 3 4 3" xfId="10507" xr:uid="{00000000-0005-0000-0000-0000E2610000}"/>
    <cellStyle name="40% - Accent6 3 2 3 4 3 2" xfId="25041" xr:uid="{00000000-0005-0000-0000-0000E3610000}"/>
    <cellStyle name="40% - Accent6 3 2 3 4 3 2 2" xfId="54047" xr:uid="{00000000-0005-0000-0000-0000E4610000}"/>
    <cellStyle name="40% - Accent6 3 2 3 4 3 3" xfId="39548" xr:uid="{00000000-0005-0000-0000-0000E5610000}"/>
    <cellStyle name="40% - Accent6 3 2 3 4 4" xfId="17793" xr:uid="{00000000-0005-0000-0000-0000E6610000}"/>
    <cellStyle name="40% - Accent6 3 2 3 4 4 2" xfId="46799" xr:uid="{00000000-0005-0000-0000-0000E7610000}"/>
    <cellStyle name="40% - Accent6 3 2 3 4 5" xfId="32300" xr:uid="{00000000-0005-0000-0000-0000E8610000}"/>
    <cellStyle name="40% - Accent6 3 2 3 5" xfId="4267" xr:uid="{00000000-0005-0000-0000-0000E9610000}"/>
    <cellStyle name="40% - Accent6 3 2 3 5 2" xfId="11539" xr:uid="{00000000-0005-0000-0000-0000EA610000}"/>
    <cellStyle name="40% - Accent6 3 2 3 5 2 2" xfId="26073" xr:uid="{00000000-0005-0000-0000-0000EB610000}"/>
    <cellStyle name="40% - Accent6 3 2 3 5 2 2 2" xfId="55079" xr:uid="{00000000-0005-0000-0000-0000EC610000}"/>
    <cellStyle name="40% - Accent6 3 2 3 5 2 3" xfId="40580" xr:uid="{00000000-0005-0000-0000-0000ED610000}"/>
    <cellStyle name="40% - Accent6 3 2 3 5 3" xfId="18825" xr:uid="{00000000-0005-0000-0000-0000EE610000}"/>
    <cellStyle name="40% - Accent6 3 2 3 5 3 2" xfId="47831" xr:uid="{00000000-0005-0000-0000-0000EF610000}"/>
    <cellStyle name="40% - Accent6 3 2 3 5 4" xfId="33332" xr:uid="{00000000-0005-0000-0000-0000F0610000}"/>
    <cellStyle name="40% - Accent6 3 2 3 6" xfId="7371" xr:uid="{00000000-0005-0000-0000-0000F1610000}"/>
    <cellStyle name="40% - Accent6 3 2 3 6 2" xfId="14643" xr:uid="{00000000-0005-0000-0000-0000F2610000}"/>
    <cellStyle name="40% - Accent6 3 2 3 6 2 2" xfId="29177" xr:uid="{00000000-0005-0000-0000-0000F3610000}"/>
    <cellStyle name="40% - Accent6 3 2 3 6 2 2 2" xfId="58183" xr:uid="{00000000-0005-0000-0000-0000F4610000}"/>
    <cellStyle name="40% - Accent6 3 2 3 6 2 3" xfId="43684" xr:uid="{00000000-0005-0000-0000-0000F5610000}"/>
    <cellStyle name="40% - Accent6 3 2 3 6 3" xfId="21929" xr:uid="{00000000-0005-0000-0000-0000F6610000}"/>
    <cellStyle name="40% - Accent6 3 2 3 6 3 2" xfId="50935" xr:uid="{00000000-0005-0000-0000-0000F7610000}"/>
    <cellStyle name="40% - Accent6 3 2 3 6 4" xfId="36436" xr:uid="{00000000-0005-0000-0000-0000F8610000}"/>
    <cellStyle name="40% - Accent6 3 2 3 7" xfId="8435" xr:uid="{00000000-0005-0000-0000-0000F9610000}"/>
    <cellStyle name="40% - Accent6 3 2 3 7 2" xfId="22969" xr:uid="{00000000-0005-0000-0000-0000FA610000}"/>
    <cellStyle name="40% - Accent6 3 2 3 7 2 2" xfId="51975" xr:uid="{00000000-0005-0000-0000-0000FB610000}"/>
    <cellStyle name="40% - Accent6 3 2 3 7 3" xfId="37476" xr:uid="{00000000-0005-0000-0000-0000FC610000}"/>
    <cellStyle name="40% - Accent6 3 2 3 8" xfId="15721" xr:uid="{00000000-0005-0000-0000-0000FD610000}"/>
    <cellStyle name="40% - Accent6 3 2 3 8 2" xfId="44727" xr:uid="{00000000-0005-0000-0000-0000FE610000}"/>
    <cellStyle name="40% - Accent6 3 2 3 9" xfId="30228" xr:uid="{00000000-0005-0000-0000-0000FF610000}"/>
    <cellStyle name="40% - Accent6 3 2 4" xfId="1066" xr:uid="{00000000-0005-0000-0000-000000620000}"/>
    <cellStyle name="40% - Accent6 3 2 4 2" xfId="1557" xr:uid="{00000000-0005-0000-0000-000001620000}"/>
    <cellStyle name="40% - Accent6 3 2 4 2 2" xfId="2615" xr:uid="{00000000-0005-0000-0000-000002620000}"/>
    <cellStyle name="40% - Accent6 3 2 4 2 2 2" xfId="5719" xr:uid="{00000000-0005-0000-0000-000003620000}"/>
    <cellStyle name="40% - Accent6 3 2 4 2 2 2 2" xfId="12991" xr:uid="{00000000-0005-0000-0000-000004620000}"/>
    <cellStyle name="40% - Accent6 3 2 4 2 2 2 2 2" xfId="27525" xr:uid="{00000000-0005-0000-0000-000005620000}"/>
    <cellStyle name="40% - Accent6 3 2 4 2 2 2 2 2 2" xfId="56531" xr:uid="{00000000-0005-0000-0000-000006620000}"/>
    <cellStyle name="40% - Accent6 3 2 4 2 2 2 2 3" xfId="42032" xr:uid="{00000000-0005-0000-0000-000007620000}"/>
    <cellStyle name="40% - Accent6 3 2 4 2 2 2 3" xfId="20277" xr:uid="{00000000-0005-0000-0000-000008620000}"/>
    <cellStyle name="40% - Accent6 3 2 4 2 2 2 3 2" xfId="49283" xr:uid="{00000000-0005-0000-0000-000009620000}"/>
    <cellStyle name="40% - Accent6 3 2 4 2 2 2 4" xfId="34784" xr:uid="{00000000-0005-0000-0000-00000A620000}"/>
    <cellStyle name="40% - Accent6 3 2 4 2 2 3" xfId="9887" xr:uid="{00000000-0005-0000-0000-00000B620000}"/>
    <cellStyle name="40% - Accent6 3 2 4 2 2 3 2" xfId="24421" xr:uid="{00000000-0005-0000-0000-00000C620000}"/>
    <cellStyle name="40% - Accent6 3 2 4 2 2 3 2 2" xfId="53427" xr:uid="{00000000-0005-0000-0000-00000D620000}"/>
    <cellStyle name="40% - Accent6 3 2 4 2 2 3 3" xfId="38928" xr:uid="{00000000-0005-0000-0000-00000E620000}"/>
    <cellStyle name="40% - Accent6 3 2 4 2 2 4" xfId="17173" xr:uid="{00000000-0005-0000-0000-00000F620000}"/>
    <cellStyle name="40% - Accent6 3 2 4 2 2 4 2" xfId="46179" xr:uid="{00000000-0005-0000-0000-000010620000}"/>
    <cellStyle name="40% - Accent6 3 2 4 2 2 5" xfId="31680" xr:uid="{00000000-0005-0000-0000-000011620000}"/>
    <cellStyle name="40% - Accent6 3 2 4 2 3" xfId="3647" xr:uid="{00000000-0005-0000-0000-000012620000}"/>
    <cellStyle name="40% - Accent6 3 2 4 2 3 2" xfId="6751" xr:uid="{00000000-0005-0000-0000-000013620000}"/>
    <cellStyle name="40% - Accent6 3 2 4 2 3 2 2" xfId="14023" xr:uid="{00000000-0005-0000-0000-000014620000}"/>
    <cellStyle name="40% - Accent6 3 2 4 2 3 2 2 2" xfId="28557" xr:uid="{00000000-0005-0000-0000-000015620000}"/>
    <cellStyle name="40% - Accent6 3 2 4 2 3 2 2 2 2" xfId="57563" xr:uid="{00000000-0005-0000-0000-000016620000}"/>
    <cellStyle name="40% - Accent6 3 2 4 2 3 2 2 3" xfId="43064" xr:uid="{00000000-0005-0000-0000-000017620000}"/>
    <cellStyle name="40% - Accent6 3 2 4 2 3 2 3" xfId="21309" xr:uid="{00000000-0005-0000-0000-000018620000}"/>
    <cellStyle name="40% - Accent6 3 2 4 2 3 2 3 2" xfId="50315" xr:uid="{00000000-0005-0000-0000-000019620000}"/>
    <cellStyle name="40% - Accent6 3 2 4 2 3 2 4" xfId="35816" xr:uid="{00000000-0005-0000-0000-00001A620000}"/>
    <cellStyle name="40% - Accent6 3 2 4 2 3 3" xfId="10919" xr:uid="{00000000-0005-0000-0000-00001B620000}"/>
    <cellStyle name="40% - Accent6 3 2 4 2 3 3 2" xfId="25453" xr:uid="{00000000-0005-0000-0000-00001C620000}"/>
    <cellStyle name="40% - Accent6 3 2 4 2 3 3 2 2" xfId="54459" xr:uid="{00000000-0005-0000-0000-00001D620000}"/>
    <cellStyle name="40% - Accent6 3 2 4 2 3 3 3" xfId="39960" xr:uid="{00000000-0005-0000-0000-00001E620000}"/>
    <cellStyle name="40% - Accent6 3 2 4 2 3 4" xfId="18205" xr:uid="{00000000-0005-0000-0000-00001F620000}"/>
    <cellStyle name="40% - Accent6 3 2 4 2 3 4 2" xfId="47211" xr:uid="{00000000-0005-0000-0000-000020620000}"/>
    <cellStyle name="40% - Accent6 3 2 4 2 3 5" xfId="32712" xr:uid="{00000000-0005-0000-0000-000021620000}"/>
    <cellStyle name="40% - Accent6 3 2 4 2 4" xfId="4679" xr:uid="{00000000-0005-0000-0000-000022620000}"/>
    <cellStyle name="40% - Accent6 3 2 4 2 4 2" xfId="11951" xr:uid="{00000000-0005-0000-0000-000023620000}"/>
    <cellStyle name="40% - Accent6 3 2 4 2 4 2 2" xfId="26485" xr:uid="{00000000-0005-0000-0000-000024620000}"/>
    <cellStyle name="40% - Accent6 3 2 4 2 4 2 2 2" xfId="55491" xr:uid="{00000000-0005-0000-0000-000025620000}"/>
    <cellStyle name="40% - Accent6 3 2 4 2 4 2 3" xfId="40992" xr:uid="{00000000-0005-0000-0000-000026620000}"/>
    <cellStyle name="40% - Accent6 3 2 4 2 4 3" xfId="19237" xr:uid="{00000000-0005-0000-0000-000027620000}"/>
    <cellStyle name="40% - Accent6 3 2 4 2 4 3 2" xfId="48243" xr:uid="{00000000-0005-0000-0000-000028620000}"/>
    <cellStyle name="40% - Accent6 3 2 4 2 4 4" xfId="33744" xr:uid="{00000000-0005-0000-0000-000029620000}"/>
    <cellStyle name="40% - Accent6 3 2 4 2 5" xfId="7783" xr:uid="{00000000-0005-0000-0000-00002A620000}"/>
    <cellStyle name="40% - Accent6 3 2 4 2 5 2" xfId="15055" xr:uid="{00000000-0005-0000-0000-00002B620000}"/>
    <cellStyle name="40% - Accent6 3 2 4 2 5 2 2" xfId="29589" xr:uid="{00000000-0005-0000-0000-00002C620000}"/>
    <cellStyle name="40% - Accent6 3 2 4 2 5 2 2 2" xfId="58595" xr:uid="{00000000-0005-0000-0000-00002D620000}"/>
    <cellStyle name="40% - Accent6 3 2 4 2 5 2 3" xfId="44096" xr:uid="{00000000-0005-0000-0000-00002E620000}"/>
    <cellStyle name="40% - Accent6 3 2 4 2 5 3" xfId="22341" xr:uid="{00000000-0005-0000-0000-00002F620000}"/>
    <cellStyle name="40% - Accent6 3 2 4 2 5 3 2" xfId="51347" xr:uid="{00000000-0005-0000-0000-000030620000}"/>
    <cellStyle name="40% - Accent6 3 2 4 2 5 4" xfId="36848" xr:uid="{00000000-0005-0000-0000-000031620000}"/>
    <cellStyle name="40% - Accent6 3 2 4 2 6" xfId="8847" xr:uid="{00000000-0005-0000-0000-000032620000}"/>
    <cellStyle name="40% - Accent6 3 2 4 2 6 2" xfId="23381" xr:uid="{00000000-0005-0000-0000-000033620000}"/>
    <cellStyle name="40% - Accent6 3 2 4 2 6 2 2" xfId="52387" xr:uid="{00000000-0005-0000-0000-000034620000}"/>
    <cellStyle name="40% - Accent6 3 2 4 2 6 3" xfId="37888" xr:uid="{00000000-0005-0000-0000-000035620000}"/>
    <cellStyle name="40% - Accent6 3 2 4 2 7" xfId="16133" xr:uid="{00000000-0005-0000-0000-000036620000}"/>
    <cellStyle name="40% - Accent6 3 2 4 2 7 2" xfId="45139" xr:uid="{00000000-0005-0000-0000-000037620000}"/>
    <cellStyle name="40% - Accent6 3 2 4 2 8" xfId="30640" xr:uid="{00000000-0005-0000-0000-000038620000}"/>
    <cellStyle name="40% - Accent6 3 2 4 3" xfId="2103" xr:uid="{00000000-0005-0000-0000-000039620000}"/>
    <cellStyle name="40% - Accent6 3 2 4 3 2" xfId="5207" xr:uid="{00000000-0005-0000-0000-00003A620000}"/>
    <cellStyle name="40% - Accent6 3 2 4 3 2 2" xfId="12479" xr:uid="{00000000-0005-0000-0000-00003B620000}"/>
    <cellStyle name="40% - Accent6 3 2 4 3 2 2 2" xfId="27013" xr:uid="{00000000-0005-0000-0000-00003C620000}"/>
    <cellStyle name="40% - Accent6 3 2 4 3 2 2 2 2" xfId="56019" xr:uid="{00000000-0005-0000-0000-00003D620000}"/>
    <cellStyle name="40% - Accent6 3 2 4 3 2 2 3" xfId="41520" xr:uid="{00000000-0005-0000-0000-00003E620000}"/>
    <cellStyle name="40% - Accent6 3 2 4 3 2 3" xfId="19765" xr:uid="{00000000-0005-0000-0000-00003F620000}"/>
    <cellStyle name="40% - Accent6 3 2 4 3 2 3 2" xfId="48771" xr:uid="{00000000-0005-0000-0000-000040620000}"/>
    <cellStyle name="40% - Accent6 3 2 4 3 2 4" xfId="34272" xr:uid="{00000000-0005-0000-0000-000041620000}"/>
    <cellStyle name="40% - Accent6 3 2 4 3 3" xfId="9375" xr:uid="{00000000-0005-0000-0000-000042620000}"/>
    <cellStyle name="40% - Accent6 3 2 4 3 3 2" xfId="23909" xr:uid="{00000000-0005-0000-0000-000043620000}"/>
    <cellStyle name="40% - Accent6 3 2 4 3 3 2 2" xfId="52915" xr:uid="{00000000-0005-0000-0000-000044620000}"/>
    <cellStyle name="40% - Accent6 3 2 4 3 3 3" xfId="38416" xr:uid="{00000000-0005-0000-0000-000045620000}"/>
    <cellStyle name="40% - Accent6 3 2 4 3 4" xfId="16661" xr:uid="{00000000-0005-0000-0000-000046620000}"/>
    <cellStyle name="40% - Accent6 3 2 4 3 4 2" xfId="45667" xr:uid="{00000000-0005-0000-0000-000047620000}"/>
    <cellStyle name="40% - Accent6 3 2 4 3 5" xfId="31168" xr:uid="{00000000-0005-0000-0000-000048620000}"/>
    <cellStyle name="40% - Accent6 3 2 4 4" xfId="3135" xr:uid="{00000000-0005-0000-0000-000049620000}"/>
    <cellStyle name="40% - Accent6 3 2 4 4 2" xfId="6239" xr:uid="{00000000-0005-0000-0000-00004A620000}"/>
    <cellStyle name="40% - Accent6 3 2 4 4 2 2" xfId="13511" xr:uid="{00000000-0005-0000-0000-00004B620000}"/>
    <cellStyle name="40% - Accent6 3 2 4 4 2 2 2" xfId="28045" xr:uid="{00000000-0005-0000-0000-00004C620000}"/>
    <cellStyle name="40% - Accent6 3 2 4 4 2 2 2 2" xfId="57051" xr:uid="{00000000-0005-0000-0000-00004D620000}"/>
    <cellStyle name="40% - Accent6 3 2 4 4 2 2 3" xfId="42552" xr:uid="{00000000-0005-0000-0000-00004E620000}"/>
    <cellStyle name="40% - Accent6 3 2 4 4 2 3" xfId="20797" xr:uid="{00000000-0005-0000-0000-00004F620000}"/>
    <cellStyle name="40% - Accent6 3 2 4 4 2 3 2" xfId="49803" xr:uid="{00000000-0005-0000-0000-000050620000}"/>
    <cellStyle name="40% - Accent6 3 2 4 4 2 4" xfId="35304" xr:uid="{00000000-0005-0000-0000-000051620000}"/>
    <cellStyle name="40% - Accent6 3 2 4 4 3" xfId="10407" xr:uid="{00000000-0005-0000-0000-000052620000}"/>
    <cellStyle name="40% - Accent6 3 2 4 4 3 2" xfId="24941" xr:uid="{00000000-0005-0000-0000-000053620000}"/>
    <cellStyle name="40% - Accent6 3 2 4 4 3 2 2" xfId="53947" xr:uid="{00000000-0005-0000-0000-000054620000}"/>
    <cellStyle name="40% - Accent6 3 2 4 4 3 3" xfId="39448" xr:uid="{00000000-0005-0000-0000-000055620000}"/>
    <cellStyle name="40% - Accent6 3 2 4 4 4" xfId="17693" xr:uid="{00000000-0005-0000-0000-000056620000}"/>
    <cellStyle name="40% - Accent6 3 2 4 4 4 2" xfId="46699" xr:uid="{00000000-0005-0000-0000-000057620000}"/>
    <cellStyle name="40% - Accent6 3 2 4 4 5" xfId="32200" xr:uid="{00000000-0005-0000-0000-000058620000}"/>
    <cellStyle name="40% - Accent6 3 2 4 5" xfId="4167" xr:uid="{00000000-0005-0000-0000-000059620000}"/>
    <cellStyle name="40% - Accent6 3 2 4 5 2" xfId="11439" xr:uid="{00000000-0005-0000-0000-00005A620000}"/>
    <cellStyle name="40% - Accent6 3 2 4 5 2 2" xfId="25973" xr:uid="{00000000-0005-0000-0000-00005B620000}"/>
    <cellStyle name="40% - Accent6 3 2 4 5 2 2 2" xfId="54979" xr:uid="{00000000-0005-0000-0000-00005C620000}"/>
    <cellStyle name="40% - Accent6 3 2 4 5 2 3" xfId="40480" xr:uid="{00000000-0005-0000-0000-00005D620000}"/>
    <cellStyle name="40% - Accent6 3 2 4 5 3" xfId="18725" xr:uid="{00000000-0005-0000-0000-00005E620000}"/>
    <cellStyle name="40% - Accent6 3 2 4 5 3 2" xfId="47731" xr:uid="{00000000-0005-0000-0000-00005F620000}"/>
    <cellStyle name="40% - Accent6 3 2 4 5 4" xfId="33232" xr:uid="{00000000-0005-0000-0000-000060620000}"/>
    <cellStyle name="40% - Accent6 3 2 4 6" xfId="7271" xr:uid="{00000000-0005-0000-0000-000061620000}"/>
    <cellStyle name="40% - Accent6 3 2 4 6 2" xfId="14543" xr:uid="{00000000-0005-0000-0000-000062620000}"/>
    <cellStyle name="40% - Accent6 3 2 4 6 2 2" xfId="29077" xr:uid="{00000000-0005-0000-0000-000063620000}"/>
    <cellStyle name="40% - Accent6 3 2 4 6 2 2 2" xfId="58083" xr:uid="{00000000-0005-0000-0000-000064620000}"/>
    <cellStyle name="40% - Accent6 3 2 4 6 2 3" xfId="43584" xr:uid="{00000000-0005-0000-0000-000065620000}"/>
    <cellStyle name="40% - Accent6 3 2 4 6 3" xfId="21829" xr:uid="{00000000-0005-0000-0000-000066620000}"/>
    <cellStyle name="40% - Accent6 3 2 4 6 3 2" xfId="50835" xr:uid="{00000000-0005-0000-0000-000067620000}"/>
    <cellStyle name="40% - Accent6 3 2 4 6 4" xfId="36336" xr:uid="{00000000-0005-0000-0000-000068620000}"/>
    <cellStyle name="40% - Accent6 3 2 4 7" xfId="8335" xr:uid="{00000000-0005-0000-0000-000069620000}"/>
    <cellStyle name="40% - Accent6 3 2 4 7 2" xfId="22869" xr:uid="{00000000-0005-0000-0000-00006A620000}"/>
    <cellStyle name="40% - Accent6 3 2 4 7 2 2" xfId="51875" xr:uid="{00000000-0005-0000-0000-00006B620000}"/>
    <cellStyle name="40% - Accent6 3 2 4 7 3" xfId="37376" xr:uid="{00000000-0005-0000-0000-00006C620000}"/>
    <cellStyle name="40% - Accent6 3 2 4 8" xfId="15621" xr:uid="{00000000-0005-0000-0000-00006D620000}"/>
    <cellStyle name="40% - Accent6 3 2 4 8 2" xfId="44627" xr:uid="{00000000-0005-0000-0000-00006E620000}"/>
    <cellStyle name="40% - Accent6 3 2 4 9" xfId="30128" xr:uid="{00000000-0005-0000-0000-00006F620000}"/>
    <cellStyle name="40% - Accent6 3 2 5" xfId="1352" xr:uid="{00000000-0005-0000-0000-000070620000}"/>
    <cellStyle name="40% - Accent6 3 2 5 2" xfId="2409" xr:uid="{00000000-0005-0000-0000-000071620000}"/>
    <cellStyle name="40% - Accent6 3 2 5 2 2" xfId="5513" xr:uid="{00000000-0005-0000-0000-000072620000}"/>
    <cellStyle name="40% - Accent6 3 2 5 2 2 2" xfId="12785" xr:uid="{00000000-0005-0000-0000-000073620000}"/>
    <cellStyle name="40% - Accent6 3 2 5 2 2 2 2" xfId="27319" xr:uid="{00000000-0005-0000-0000-000074620000}"/>
    <cellStyle name="40% - Accent6 3 2 5 2 2 2 2 2" xfId="56325" xr:uid="{00000000-0005-0000-0000-000075620000}"/>
    <cellStyle name="40% - Accent6 3 2 5 2 2 2 3" xfId="41826" xr:uid="{00000000-0005-0000-0000-000076620000}"/>
    <cellStyle name="40% - Accent6 3 2 5 2 2 3" xfId="20071" xr:uid="{00000000-0005-0000-0000-000077620000}"/>
    <cellStyle name="40% - Accent6 3 2 5 2 2 3 2" xfId="49077" xr:uid="{00000000-0005-0000-0000-000078620000}"/>
    <cellStyle name="40% - Accent6 3 2 5 2 2 4" xfId="34578" xr:uid="{00000000-0005-0000-0000-000079620000}"/>
    <cellStyle name="40% - Accent6 3 2 5 2 3" xfId="9681" xr:uid="{00000000-0005-0000-0000-00007A620000}"/>
    <cellStyle name="40% - Accent6 3 2 5 2 3 2" xfId="24215" xr:uid="{00000000-0005-0000-0000-00007B620000}"/>
    <cellStyle name="40% - Accent6 3 2 5 2 3 2 2" xfId="53221" xr:uid="{00000000-0005-0000-0000-00007C620000}"/>
    <cellStyle name="40% - Accent6 3 2 5 2 3 3" xfId="38722" xr:uid="{00000000-0005-0000-0000-00007D620000}"/>
    <cellStyle name="40% - Accent6 3 2 5 2 4" xfId="16967" xr:uid="{00000000-0005-0000-0000-00007E620000}"/>
    <cellStyle name="40% - Accent6 3 2 5 2 4 2" xfId="45973" xr:uid="{00000000-0005-0000-0000-00007F620000}"/>
    <cellStyle name="40% - Accent6 3 2 5 2 5" xfId="31474" xr:uid="{00000000-0005-0000-0000-000080620000}"/>
    <cellStyle name="40% - Accent6 3 2 5 3" xfId="3441" xr:uid="{00000000-0005-0000-0000-000081620000}"/>
    <cellStyle name="40% - Accent6 3 2 5 3 2" xfId="6545" xr:uid="{00000000-0005-0000-0000-000082620000}"/>
    <cellStyle name="40% - Accent6 3 2 5 3 2 2" xfId="13817" xr:uid="{00000000-0005-0000-0000-000083620000}"/>
    <cellStyle name="40% - Accent6 3 2 5 3 2 2 2" xfId="28351" xr:uid="{00000000-0005-0000-0000-000084620000}"/>
    <cellStyle name="40% - Accent6 3 2 5 3 2 2 2 2" xfId="57357" xr:uid="{00000000-0005-0000-0000-000085620000}"/>
    <cellStyle name="40% - Accent6 3 2 5 3 2 2 3" xfId="42858" xr:uid="{00000000-0005-0000-0000-000086620000}"/>
    <cellStyle name="40% - Accent6 3 2 5 3 2 3" xfId="21103" xr:uid="{00000000-0005-0000-0000-000087620000}"/>
    <cellStyle name="40% - Accent6 3 2 5 3 2 3 2" xfId="50109" xr:uid="{00000000-0005-0000-0000-000088620000}"/>
    <cellStyle name="40% - Accent6 3 2 5 3 2 4" xfId="35610" xr:uid="{00000000-0005-0000-0000-000089620000}"/>
    <cellStyle name="40% - Accent6 3 2 5 3 3" xfId="10713" xr:uid="{00000000-0005-0000-0000-00008A620000}"/>
    <cellStyle name="40% - Accent6 3 2 5 3 3 2" xfId="25247" xr:uid="{00000000-0005-0000-0000-00008B620000}"/>
    <cellStyle name="40% - Accent6 3 2 5 3 3 2 2" xfId="54253" xr:uid="{00000000-0005-0000-0000-00008C620000}"/>
    <cellStyle name="40% - Accent6 3 2 5 3 3 3" xfId="39754" xr:uid="{00000000-0005-0000-0000-00008D620000}"/>
    <cellStyle name="40% - Accent6 3 2 5 3 4" xfId="17999" xr:uid="{00000000-0005-0000-0000-00008E620000}"/>
    <cellStyle name="40% - Accent6 3 2 5 3 4 2" xfId="47005" xr:uid="{00000000-0005-0000-0000-00008F620000}"/>
    <cellStyle name="40% - Accent6 3 2 5 3 5" xfId="32506" xr:uid="{00000000-0005-0000-0000-000090620000}"/>
    <cellStyle name="40% - Accent6 3 2 5 4" xfId="4473" xr:uid="{00000000-0005-0000-0000-000091620000}"/>
    <cellStyle name="40% - Accent6 3 2 5 4 2" xfId="11745" xr:uid="{00000000-0005-0000-0000-000092620000}"/>
    <cellStyle name="40% - Accent6 3 2 5 4 2 2" xfId="26279" xr:uid="{00000000-0005-0000-0000-000093620000}"/>
    <cellStyle name="40% - Accent6 3 2 5 4 2 2 2" xfId="55285" xr:uid="{00000000-0005-0000-0000-000094620000}"/>
    <cellStyle name="40% - Accent6 3 2 5 4 2 3" xfId="40786" xr:uid="{00000000-0005-0000-0000-000095620000}"/>
    <cellStyle name="40% - Accent6 3 2 5 4 3" xfId="19031" xr:uid="{00000000-0005-0000-0000-000096620000}"/>
    <cellStyle name="40% - Accent6 3 2 5 4 3 2" xfId="48037" xr:uid="{00000000-0005-0000-0000-000097620000}"/>
    <cellStyle name="40% - Accent6 3 2 5 4 4" xfId="33538" xr:uid="{00000000-0005-0000-0000-000098620000}"/>
    <cellStyle name="40% - Accent6 3 2 5 5" xfId="7577" xr:uid="{00000000-0005-0000-0000-000099620000}"/>
    <cellStyle name="40% - Accent6 3 2 5 5 2" xfId="14849" xr:uid="{00000000-0005-0000-0000-00009A620000}"/>
    <cellStyle name="40% - Accent6 3 2 5 5 2 2" xfId="29383" xr:uid="{00000000-0005-0000-0000-00009B620000}"/>
    <cellStyle name="40% - Accent6 3 2 5 5 2 2 2" xfId="58389" xr:uid="{00000000-0005-0000-0000-00009C620000}"/>
    <cellStyle name="40% - Accent6 3 2 5 5 2 3" xfId="43890" xr:uid="{00000000-0005-0000-0000-00009D620000}"/>
    <cellStyle name="40% - Accent6 3 2 5 5 3" xfId="22135" xr:uid="{00000000-0005-0000-0000-00009E620000}"/>
    <cellStyle name="40% - Accent6 3 2 5 5 3 2" xfId="51141" xr:uid="{00000000-0005-0000-0000-00009F620000}"/>
    <cellStyle name="40% - Accent6 3 2 5 5 4" xfId="36642" xr:uid="{00000000-0005-0000-0000-0000A0620000}"/>
    <cellStyle name="40% - Accent6 3 2 5 6" xfId="8641" xr:uid="{00000000-0005-0000-0000-0000A1620000}"/>
    <cellStyle name="40% - Accent6 3 2 5 6 2" xfId="23175" xr:uid="{00000000-0005-0000-0000-0000A2620000}"/>
    <cellStyle name="40% - Accent6 3 2 5 6 2 2" xfId="52181" xr:uid="{00000000-0005-0000-0000-0000A3620000}"/>
    <cellStyle name="40% - Accent6 3 2 5 6 3" xfId="37682" xr:uid="{00000000-0005-0000-0000-0000A4620000}"/>
    <cellStyle name="40% - Accent6 3 2 5 7" xfId="15927" xr:uid="{00000000-0005-0000-0000-0000A5620000}"/>
    <cellStyle name="40% - Accent6 3 2 5 7 2" xfId="44933" xr:uid="{00000000-0005-0000-0000-0000A6620000}"/>
    <cellStyle name="40% - Accent6 3 2 5 8" xfId="30434" xr:uid="{00000000-0005-0000-0000-0000A7620000}"/>
    <cellStyle name="40% - Accent6 3 2 6" xfId="1897" xr:uid="{00000000-0005-0000-0000-0000A8620000}"/>
    <cellStyle name="40% - Accent6 3 2 6 2" xfId="5001" xr:uid="{00000000-0005-0000-0000-0000A9620000}"/>
    <cellStyle name="40% - Accent6 3 2 6 2 2" xfId="12273" xr:uid="{00000000-0005-0000-0000-0000AA620000}"/>
    <cellStyle name="40% - Accent6 3 2 6 2 2 2" xfId="26807" xr:uid="{00000000-0005-0000-0000-0000AB620000}"/>
    <cellStyle name="40% - Accent6 3 2 6 2 2 2 2" xfId="55813" xr:uid="{00000000-0005-0000-0000-0000AC620000}"/>
    <cellStyle name="40% - Accent6 3 2 6 2 2 3" xfId="41314" xr:uid="{00000000-0005-0000-0000-0000AD620000}"/>
    <cellStyle name="40% - Accent6 3 2 6 2 3" xfId="19559" xr:uid="{00000000-0005-0000-0000-0000AE620000}"/>
    <cellStyle name="40% - Accent6 3 2 6 2 3 2" xfId="48565" xr:uid="{00000000-0005-0000-0000-0000AF620000}"/>
    <cellStyle name="40% - Accent6 3 2 6 2 4" xfId="34066" xr:uid="{00000000-0005-0000-0000-0000B0620000}"/>
    <cellStyle name="40% - Accent6 3 2 6 3" xfId="9169" xr:uid="{00000000-0005-0000-0000-0000B1620000}"/>
    <cellStyle name="40% - Accent6 3 2 6 3 2" xfId="23703" xr:uid="{00000000-0005-0000-0000-0000B2620000}"/>
    <cellStyle name="40% - Accent6 3 2 6 3 2 2" xfId="52709" xr:uid="{00000000-0005-0000-0000-0000B3620000}"/>
    <cellStyle name="40% - Accent6 3 2 6 3 3" xfId="38210" xr:uid="{00000000-0005-0000-0000-0000B4620000}"/>
    <cellStyle name="40% - Accent6 3 2 6 4" xfId="16455" xr:uid="{00000000-0005-0000-0000-0000B5620000}"/>
    <cellStyle name="40% - Accent6 3 2 6 4 2" xfId="45461" xr:uid="{00000000-0005-0000-0000-0000B6620000}"/>
    <cellStyle name="40% - Accent6 3 2 6 5" xfId="30962" xr:uid="{00000000-0005-0000-0000-0000B7620000}"/>
    <cellStyle name="40% - Accent6 3 2 7" xfId="2929" xr:uid="{00000000-0005-0000-0000-0000B8620000}"/>
    <cellStyle name="40% - Accent6 3 2 7 2" xfId="6033" xr:uid="{00000000-0005-0000-0000-0000B9620000}"/>
    <cellStyle name="40% - Accent6 3 2 7 2 2" xfId="13305" xr:uid="{00000000-0005-0000-0000-0000BA620000}"/>
    <cellStyle name="40% - Accent6 3 2 7 2 2 2" xfId="27839" xr:uid="{00000000-0005-0000-0000-0000BB620000}"/>
    <cellStyle name="40% - Accent6 3 2 7 2 2 2 2" xfId="56845" xr:uid="{00000000-0005-0000-0000-0000BC620000}"/>
    <cellStyle name="40% - Accent6 3 2 7 2 2 3" xfId="42346" xr:uid="{00000000-0005-0000-0000-0000BD620000}"/>
    <cellStyle name="40% - Accent6 3 2 7 2 3" xfId="20591" xr:uid="{00000000-0005-0000-0000-0000BE620000}"/>
    <cellStyle name="40% - Accent6 3 2 7 2 3 2" xfId="49597" xr:uid="{00000000-0005-0000-0000-0000BF620000}"/>
    <cellStyle name="40% - Accent6 3 2 7 2 4" xfId="35098" xr:uid="{00000000-0005-0000-0000-0000C0620000}"/>
    <cellStyle name="40% - Accent6 3 2 7 3" xfId="10201" xr:uid="{00000000-0005-0000-0000-0000C1620000}"/>
    <cellStyle name="40% - Accent6 3 2 7 3 2" xfId="24735" xr:uid="{00000000-0005-0000-0000-0000C2620000}"/>
    <cellStyle name="40% - Accent6 3 2 7 3 2 2" xfId="53741" xr:uid="{00000000-0005-0000-0000-0000C3620000}"/>
    <cellStyle name="40% - Accent6 3 2 7 3 3" xfId="39242" xr:uid="{00000000-0005-0000-0000-0000C4620000}"/>
    <cellStyle name="40% - Accent6 3 2 7 4" xfId="17487" xr:uid="{00000000-0005-0000-0000-0000C5620000}"/>
    <cellStyle name="40% - Accent6 3 2 7 4 2" xfId="46493" xr:uid="{00000000-0005-0000-0000-0000C6620000}"/>
    <cellStyle name="40% - Accent6 3 2 7 5" xfId="31994" xr:uid="{00000000-0005-0000-0000-0000C7620000}"/>
    <cellStyle name="40% - Accent6 3 2 8" xfId="3961" xr:uid="{00000000-0005-0000-0000-0000C8620000}"/>
    <cellStyle name="40% - Accent6 3 2 8 2" xfId="11233" xr:uid="{00000000-0005-0000-0000-0000C9620000}"/>
    <cellStyle name="40% - Accent6 3 2 8 2 2" xfId="25767" xr:uid="{00000000-0005-0000-0000-0000CA620000}"/>
    <cellStyle name="40% - Accent6 3 2 8 2 2 2" xfId="54773" xr:uid="{00000000-0005-0000-0000-0000CB620000}"/>
    <cellStyle name="40% - Accent6 3 2 8 2 3" xfId="40274" xr:uid="{00000000-0005-0000-0000-0000CC620000}"/>
    <cellStyle name="40% - Accent6 3 2 8 3" xfId="18519" xr:uid="{00000000-0005-0000-0000-0000CD620000}"/>
    <cellStyle name="40% - Accent6 3 2 8 3 2" xfId="47525" xr:uid="{00000000-0005-0000-0000-0000CE620000}"/>
    <cellStyle name="40% - Accent6 3 2 8 4" xfId="33026" xr:uid="{00000000-0005-0000-0000-0000CF620000}"/>
    <cellStyle name="40% - Accent6 3 2 9" xfId="7065" xr:uid="{00000000-0005-0000-0000-0000D0620000}"/>
    <cellStyle name="40% - Accent6 3 2 9 2" xfId="14337" xr:uid="{00000000-0005-0000-0000-0000D1620000}"/>
    <cellStyle name="40% - Accent6 3 2 9 2 2" xfId="28871" xr:uid="{00000000-0005-0000-0000-0000D2620000}"/>
    <cellStyle name="40% - Accent6 3 2 9 2 2 2" xfId="57877" xr:uid="{00000000-0005-0000-0000-0000D3620000}"/>
    <cellStyle name="40% - Accent6 3 2 9 2 3" xfId="43378" xr:uid="{00000000-0005-0000-0000-0000D4620000}"/>
    <cellStyle name="40% - Accent6 3 2 9 3" xfId="21623" xr:uid="{00000000-0005-0000-0000-0000D5620000}"/>
    <cellStyle name="40% - Accent6 3 2 9 3 2" xfId="50629" xr:uid="{00000000-0005-0000-0000-0000D6620000}"/>
    <cellStyle name="40% - Accent6 3 2 9 4" xfId="36130" xr:uid="{00000000-0005-0000-0000-0000D7620000}"/>
    <cellStyle name="40% - Accent6 3 3" xfId="932" xr:uid="{00000000-0005-0000-0000-0000D8620000}"/>
    <cellStyle name="40% - Accent6 3 3 10" xfId="29973" xr:uid="{00000000-0005-0000-0000-0000D9620000}"/>
    <cellStyle name="40% - Accent6 3 3 2" xfId="1204" xr:uid="{00000000-0005-0000-0000-0000DA620000}"/>
    <cellStyle name="40% - Accent6 3 3 2 2" xfId="1707" xr:uid="{00000000-0005-0000-0000-0000DB620000}"/>
    <cellStyle name="40% - Accent6 3 3 2 2 2" xfId="2766" xr:uid="{00000000-0005-0000-0000-0000DC620000}"/>
    <cellStyle name="40% - Accent6 3 3 2 2 2 2" xfId="5870" xr:uid="{00000000-0005-0000-0000-0000DD620000}"/>
    <cellStyle name="40% - Accent6 3 3 2 2 2 2 2" xfId="13142" xr:uid="{00000000-0005-0000-0000-0000DE620000}"/>
    <cellStyle name="40% - Accent6 3 3 2 2 2 2 2 2" xfId="27676" xr:uid="{00000000-0005-0000-0000-0000DF620000}"/>
    <cellStyle name="40% - Accent6 3 3 2 2 2 2 2 2 2" xfId="56682" xr:uid="{00000000-0005-0000-0000-0000E0620000}"/>
    <cellStyle name="40% - Accent6 3 3 2 2 2 2 2 3" xfId="42183" xr:uid="{00000000-0005-0000-0000-0000E1620000}"/>
    <cellStyle name="40% - Accent6 3 3 2 2 2 2 3" xfId="20428" xr:uid="{00000000-0005-0000-0000-0000E2620000}"/>
    <cellStyle name="40% - Accent6 3 3 2 2 2 2 3 2" xfId="49434" xr:uid="{00000000-0005-0000-0000-0000E3620000}"/>
    <cellStyle name="40% - Accent6 3 3 2 2 2 2 4" xfId="34935" xr:uid="{00000000-0005-0000-0000-0000E4620000}"/>
    <cellStyle name="40% - Accent6 3 3 2 2 2 3" xfId="10038" xr:uid="{00000000-0005-0000-0000-0000E5620000}"/>
    <cellStyle name="40% - Accent6 3 3 2 2 2 3 2" xfId="24572" xr:uid="{00000000-0005-0000-0000-0000E6620000}"/>
    <cellStyle name="40% - Accent6 3 3 2 2 2 3 2 2" xfId="53578" xr:uid="{00000000-0005-0000-0000-0000E7620000}"/>
    <cellStyle name="40% - Accent6 3 3 2 2 2 3 3" xfId="39079" xr:uid="{00000000-0005-0000-0000-0000E8620000}"/>
    <cellStyle name="40% - Accent6 3 3 2 2 2 4" xfId="17324" xr:uid="{00000000-0005-0000-0000-0000E9620000}"/>
    <cellStyle name="40% - Accent6 3 3 2 2 2 4 2" xfId="46330" xr:uid="{00000000-0005-0000-0000-0000EA620000}"/>
    <cellStyle name="40% - Accent6 3 3 2 2 2 5" xfId="31831" xr:uid="{00000000-0005-0000-0000-0000EB620000}"/>
    <cellStyle name="40% - Accent6 3 3 2 2 3" xfId="3798" xr:uid="{00000000-0005-0000-0000-0000EC620000}"/>
    <cellStyle name="40% - Accent6 3 3 2 2 3 2" xfId="6902" xr:uid="{00000000-0005-0000-0000-0000ED620000}"/>
    <cellStyle name="40% - Accent6 3 3 2 2 3 2 2" xfId="14174" xr:uid="{00000000-0005-0000-0000-0000EE620000}"/>
    <cellStyle name="40% - Accent6 3 3 2 2 3 2 2 2" xfId="28708" xr:uid="{00000000-0005-0000-0000-0000EF620000}"/>
    <cellStyle name="40% - Accent6 3 3 2 2 3 2 2 2 2" xfId="57714" xr:uid="{00000000-0005-0000-0000-0000F0620000}"/>
    <cellStyle name="40% - Accent6 3 3 2 2 3 2 2 3" xfId="43215" xr:uid="{00000000-0005-0000-0000-0000F1620000}"/>
    <cellStyle name="40% - Accent6 3 3 2 2 3 2 3" xfId="21460" xr:uid="{00000000-0005-0000-0000-0000F2620000}"/>
    <cellStyle name="40% - Accent6 3 3 2 2 3 2 3 2" xfId="50466" xr:uid="{00000000-0005-0000-0000-0000F3620000}"/>
    <cellStyle name="40% - Accent6 3 3 2 2 3 2 4" xfId="35967" xr:uid="{00000000-0005-0000-0000-0000F4620000}"/>
    <cellStyle name="40% - Accent6 3 3 2 2 3 3" xfId="11070" xr:uid="{00000000-0005-0000-0000-0000F5620000}"/>
    <cellStyle name="40% - Accent6 3 3 2 2 3 3 2" xfId="25604" xr:uid="{00000000-0005-0000-0000-0000F6620000}"/>
    <cellStyle name="40% - Accent6 3 3 2 2 3 3 2 2" xfId="54610" xr:uid="{00000000-0005-0000-0000-0000F7620000}"/>
    <cellStyle name="40% - Accent6 3 3 2 2 3 3 3" xfId="40111" xr:uid="{00000000-0005-0000-0000-0000F8620000}"/>
    <cellStyle name="40% - Accent6 3 3 2 2 3 4" xfId="18356" xr:uid="{00000000-0005-0000-0000-0000F9620000}"/>
    <cellStyle name="40% - Accent6 3 3 2 2 3 4 2" xfId="47362" xr:uid="{00000000-0005-0000-0000-0000FA620000}"/>
    <cellStyle name="40% - Accent6 3 3 2 2 3 5" xfId="32863" xr:uid="{00000000-0005-0000-0000-0000FB620000}"/>
    <cellStyle name="40% - Accent6 3 3 2 2 4" xfId="4830" xr:uid="{00000000-0005-0000-0000-0000FC620000}"/>
    <cellStyle name="40% - Accent6 3 3 2 2 4 2" xfId="12102" xr:uid="{00000000-0005-0000-0000-0000FD620000}"/>
    <cellStyle name="40% - Accent6 3 3 2 2 4 2 2" xfId="26636" xr:uid="{00000000-0005-0000-0000-0000FE620000}"/>
    <cellStyle name="40% - Accent6 3 3 2 2 4 2 2 2" xfId="55642" xr:uid="{00000000-0005-0000-0000-0000FF620000}"/>
    <cellStyle name="40% - Accent6 3 3 2 2 4 2 3" xfId="41143" xr:uid="{00000000-0005-0000-0000-000000630000}"/>
    <cellStyle name="40% - Accent6 3 3 2 2 4 3" xfId="19388" xr:uid="{00000000-0005-0000-0000-000001630000}"/>
    <cellStyle name="40% - Accent6 3 3 2 2 4 3 2" xfId="48394" xr:uid="{00000000-0005-0000-0000-000002630000}"/>
    <cellStyle name="40% - Accent6 3 3 2 2 4 4" xfId="33895" xr:uid="{00000000-0005-0000-0000-000003630000}"/>
    <cellStyle name="40% - Accent6 3 3 2 2 5" xfId="7934" xr:uid="{00000000-0005-0000-0000-000004630000}"/>
    <cellStyle name="40% - Accent6 3 3 2 2 5 2" xfId="15206" xr:uid="{00000000-0005-0000-0000-000005630000}"/>
    <cellStyle name="40% - Accent6 3 3 2 2 5 2 2" xfId="29740" xr:uid="{00000000-0005-0000-0000-000006630000}"/>
    <cellStyle name="40% - Accent6 3 3 2 2 5 2 2 2" xfId="58746" xr:uid="{00000000-0005-0000-0000-000007630000}"/>
    <cellStyle name="40% - Accent6 3 3 2 2 5 2 3" xfId="44247" xr:uid="{00000000-0005-0000-0000-000008630000}"/>
    <cellStyle name="40% - Accent6 3 3 2 2 5 3" xfId="22492" xr:uid="{00000000-0005-0000-0000-000009630000}"/>
    <cellStyle name="40% - Accent6 3 3 2 2 5 3 2" xfId="51498" xr:uid="{00000000-0005-0000-0000-00000A630000}"/>
    <cellStyle name="40% - Accent6 3 3 2 2 5 4" xfId="36999" xr:uid="{00000000-0005-0000-0000-00000B630000}"/>
    <cellStyle name="40% - Accent6 3 3 2 2 6" xfId="8998" xr:uid="{00000000-0005-0000-0000-00000C630000}"/>
    <cellStyle name="40% - Accent6 3 3 2 2 6 2" xfId="23532" xr:uid="{00000000-0005-0000-0000-00000D630000}"/>
    <cellStyle name="40% - Accent6 3 3 2 2 6 2 2" xfId="52538" xr:uid="{00000000-0005-0000-0000-00000E630000}"/>
    <cellStyle name="40% - Accent6 3 3 2 2 6 3" xfId="38039" xr:uid="{00000000-0005-0000-0000-00000F630000}"/>
    <cellStyle name="40% - Accent6 3 3 2 2 7" xfId="16284" xr:uid="{00000000-0005-0000-0000-000010630000}"/>
    <cellStyle name="40% - Accent6 3 3 2 2 7 2" xfId="45290" xr:uid="{00000000-0005-0000-0000-000011630000}"/>
    <cellStyle name="40% - Accent6 3 3 2 2 8" xfId="30791" xr:uid="{00000000-0005-0000-0000-000012630000}"/>
    <cellStyle name="40% - Accent6 3 3 2 3" xfId="2254" xr:uid="{00000000-0005-0000-0000-000013630000}"/>
    <cellStyle name="40% - Accent6 3 3 2 3 2" xfId="5358" xr:uid="{00000000-0005-0000-0000-000014630000}"/>
    <cellStyle name="40% - Accent6 3 3 2 3 2 2" xfId="12630" xr:uid="{00000000-0005-0000-0000-000015630000}"/>
    <cellStyle name="40% - Accent6 3 3 2 3 2 2 2" xfId="27164" xr:uid="{00000000-0005-0000-0000-000016630000}"/>
    <cellStyle name="40% - Accent6 3 3 2 3 2 2 2 2" xfId="56170" xr:uid="{00000000-0005-0000-0000-000017630000}"/>
    <cellStyle name="40% - Accent6 3 3 2 3 2 2 3" xfId="41671" xr:uid="{00000000-0005-0000-0000-000018630000}"/>
    <cellStyle name="40% - Accent6 3 3 2 3 2 3" xfId="19916" xr:uid="{00000000-0005-0000-0000-000019630000}"/>
    <cellStyle name="40% - Accent6 3 3 2 3 2 3 2" xfId="48922" xr:uid="{00000000-0005-0000-0000-00001A630000}"/>
    <cellStyle name="40% - Accent6 3 3 2 3 2 4" xfId="34423" xr:uid="{00000000-0005-0000-0000-00001B630000}"/>
    <cellStyle name="40% - Accent6 3 3 2 3 3" xfId="9526" xr:uid="{00000000-0005-0000-0000-00001C630000}"/>
    <cellStyle name="40% - Accent6 3 3 2 3 3 2" xfId="24060" xr:uid="{00000000-0005-0000-0000-00001D630000}"/>
    <cellStyle name="40% - Accent6 3 3 2 3 3 2 2" xfId="53066" xr:uid="{00000000-0005-0000-0000-00001E630000}"/>
    <cellStyle name="40% - Accent6 3 3 2 3 3 3" xfId="38567" xr:uid="{00000000-0005-0000-0000-00001F630000}"/>
    <cellStyle name="40% - Accent6 3 3 2 3 4" xfId="16812" xr:uid="{00000000-0005-0000-0000-000020630000}"/>
    <cellStyle name="40% - Accent6 3 3 2 3 4 2" xfId="45818" xr:uid="{00000000-0005-0000-0000-000021630000}"/>
    <cellStyle name="40% - Accent6 3 3 2 3 5" xfId="31319" xr:uid="{00000000-0005-0000-0000-000022630000}"/>
    <cellStyle name="40% - Accent6 3 3 2 4" xfId="3286" xr:uid="{00000000-0005-0000-0000-000023630000}"/>
    <cellStyle name="40% - Accent6 3 3 2 4 2" xfId="6390" xr:uid="{00000000-0005-0000-0000-000024630000}"/>
    <cellStyle name="40% - Accent6 3 3 2 4 2 2" xfId="13662" xr:uid="{00000000-0005-0000-0000-000025630000}"/>
    <cellStyle name="40% - Accent6 3 3 2 4 2 2 2" xfId="28196" xr:uid="{00000000-0005-0000-0000-000026630000}"/>
    <cellStyle name="40% - Accent6 3 3 2 4 2 2 2 2" xfId="57202" xr:uid="{00000000-0005-0000-0000-000027630000}"/>
    <cellStyle name="40% - Accent6 3 3 2 4 2 2 3" xfId="42703" xr:uid="{00000000-0005-0000-0000-000028630000}"/>
    <cellStyle name="40% - Accent6 3 3 2 4 2 3" xfId="20948" xr:uid="{00000000-0005-0000-0000-000029630000}"/>
    <cellStyle name="40% - Accent6 3 3 2 4 2 3 2" xfId="49954" xr:uid="{00000000-0005-0000-0000-00002A630000}"/>
    <cellStyle name="40% - Accent6 3 3 2 4 2 4" xfId="35455" xr:uid="{00000000-0005-0000-0000-00002B630000}"/>
    <cellStyle name="40% - Accent6 3 3 2 4 3" xfId="10558" xr:uid="{00000000-0005-0000-0000-00002C630000}"/>
    <cellStyle name="40% - Accent6 3 3 2 4 3 2" xfId="25092" xr:uid="{00000000-0005-0000-0000-00002D630000}"/>
    <cellStyle name="40% - Accent6 3 3 2 4 3 2 2" xfId="54098" xr:uid="{00000000-0005-0000-0000-00002E630000}"/>
    <cellStyle name="40% - Accent6 3 3 2 4 3 3" xfId="39599" xr:uid="{00000000-0005-0000-0000-00002F630000}"/>
    <cellStyle name="40% - Accent6 3 3 2 4 4" xfId="17844" xr:uid="{00000000-0005-0000-0000-000030630000}"/>
    <cellStyle name="40% - Accent6 3 3 2 4 4 2" xfId="46850" xr:uid="{00000000-0005-0000-0000-000031630000}"/>
    <cellStyle name="40% - Accent6 3 3 2 4 5" xfId="32351" xr:uid="{00000000-0005-0000-0000-000032630000}"/>
    <cellStyle name="40% - Accent6 3 3 2 5" xfId="4318" xr:uid="{00000000-0005-0000-0000-000033630000}"/>
    <cellStyle name="40% - Accent6 3 3 2 5 2" xfId="11590" xr:uid="{00000000-0005-0000-0000-000034630000}"/>
    <cellStyle name="40% - Accent6 3 3 2 5 2 2" xfId="26124" xr:uid="{00000000-0005-0000-0000-000035630000}"/>
    <cellStyle name="40% - Accent6 3 3 2 5 2 2 2" xfId="55130" xr:uid="{00000000-0005-0000-0000-000036630000}"/>
    <cellStyle name="40% - Accent6 3 3 2 5 2 3" xfId="40631" xr:uid="{00000000-0005-0000-0000-000037630000}"/>
    <cellStyle name="40% - Accent6 3 3 2 5 3" xfId="18876" xr:uid="{00000000-0005-0000-0000-000038630000}"/>
    <cellStyle name="40% - Accent6 3 3 2 5 3 2" xfId="47882" xr:uid="{00000000-0005-0000-0000-000039630000}"/>
    <cellStyle name="40% - Accent6 3 3 2 5 4" xfId="33383" xr:uid="{00000000-0005-0000-0000-00003A630000}"/>
    <cellStyle name="40% - Accent6 3 3 2 6" xfId="7422" xr:uid="{00000000-0005-0000-0000-00003B630000}"/>
    <cellStyle name="40% - Accent6 3 3 2 6 2" xfId="14694" xr:uid="{00000000-0005-0000-0000-00003C630000}"/>
    <cellStyle name="40% - Accent6 3 3 2 6 2 2" xfId="29228" xr:uid="{00000000-0005-0000-0000-00003D630000}"/>
    <cellStyle name="40% - Accent6 3 3 2 6 2 2 2" xfId="58234" xr:uid="{00000000-0005-0000-0000-00003E630000}"/>
    <cellStyle name="40% - Accent6 3 3 2 6 2 3" xfId="43735" xr:uid="{00000000-0005-0000-0000-00003F630000}"/>
    <cellStyle name="40% - Accent6 3 3 2 6 3" xfId="21980" xr:uid="{00000000-0005-0000-0000-000040630000}"/>
    <cellStyle name="40% - Accent6 3 3 2 6 3 2" xfId="50986" xr:uid="{00000000-0005-0000-0000-000041630000}"/>
    <cellStyle name="40% - Accent6 3 3 2 6 4" xfId="36487" xr:uid="{00000000-0005-0000-0000-000042630000}"/>
    <cellStyle name="40% - Accent6 3 3 2 7" xfId="8486" xr:uid="{00000000-0005-0000-0000-000043630000}"/>
    <cellStyle name="40% - Accent6 3 3 2 7 2" xfId="23020" xr:uid="{00000000-0005-0000-0000-000044630000}"/>
    <cellStyle name="40% - Accent6 3 3 2 7 2 2" xfId="52026" xr:uid="{00000000-0005-0000-0000-000045630000}"/>
    <cellStyle name="40% - Accent6 3 3 2 7 3" xfId="37527" xr:uid="{00000000-0005-0000-0000-000046630000}"/>
    <cellStyle name="40% - Accent6 3 3 2 8" xfId="15772" xr:uid="{00000000-0005-0000-0000-000047630000}"/>
    <cellStyle name="40% - Accent6 3 3 2 8 2" xfId="44778" xr:uid="{00000000-0005-0000-0000-000048630000}"/>
    <cellStyle name="40% - Accent6 3 3 2 9" xfId="30279" xr:uid="{00000000-0005-0000-0000-000049630000}"/>
    <cellStyle name="40% - Accent6 3 3 3" xfId="1402" xr:uid="{00000000-0005-0000-0000-00004A630000}"/>
    <cellStyle name="40% - Accent6 3 3 3 2" xfId="2460" xr:uid="{00000000-0005-0000-0000-00004B630000}"/>
    <cellStyle name="40% - Accent6 3 3 3 2 2" xfId="5564" xr:uid="{00000000-0005-0000-0000-00004C630000}"/>
    <cellStyle name="40% - Accent6 3 3 3 2 2 2" xfId="12836" xr:uid="{00000000-0005-0000-0000-00004D630000}"/>
    <cellStyle name="40% - Accent6 3 3 3 2 2 2 2" xfId="27370" xr:uid="{00000000-0005-0000-0000-00004E630000}"/>
    <cellStyle name="40% - Accent6 3 3 3 2 2 2 2 2" xfId="56376" xr:uid="{00000000-0005-0000-0000-00004F630000}"/>
    <cellStyle name="40% - Accent6 3 3 3 2 2 2 3" xfId="41877" xr:uid="{00000000-0005-0000-0000-000050630000}"/>
    <cellStyle name="40% - Accent6 3 3 3 2 2 3" xfId="20122" xr:uid="{00000000-0005-0000-0000-000051630000}"/>
    <cellStyle name="40% - Accent6 3 3 3 2 2 3 2" xfId="49128" xr:uid="{00000000-0005-0000-0000-000052630000}"/>
    <cellStyle name="40% - Accent6 3 3 3 2 2 4" xfId="34629" xr:uid="{00000000-0005-0000-0000-000053630000}"/>
    <cellStyle name="40% - Accent6 3 3 3 2 3" xfId="9732" xr:uid="{00000000-0005-0000-0000-000054630000}"/>
    <cellStyle name="40% - Accent6 3 3 3 2 3 2" xfId="24266" xr:uid="{00000000-0005-0000-0000-000055630000}"/>
    <cellStyle name="40% - Accent6 3 3 3 2 3 2 2" xfId="53272" xr:uid="{00000000-0005-0000-0000-000056630000}"/>
    <cellStyle name="40% - Accent6 3 3 3 2 3 3" xfId="38773" xr:uid="{00000000-0005-0000-0000-000057630000}"/>
    <cellStyle name="40% - Accent6 3 3 3 2 4" xfId="17018" xr:uid="{00000000-0005-0000-0000-000058630000}"/>
    <cellStyle name="40% - Accent6 3 3 3 2 4 2" xfId="46024" xr:uid="{00000000-0005-0000-0000-000059630000}"/>
    <cellStyle name="40% - Accent6 3 3 3 2 5" xfId="31525" xr:uid="{00000000-0005-0000-0000-00005A630000}"/>
    <cellStyle name="40% - Accent6 3 3 3 3" xfId="3492" xr:uid="{00000000-0005-0000-0000-00005B630000}"/>
    <cellStyle name="40% - Accent6 3 3 3 3 2" xfId="6596" xr:uid="{00000000-0005-0000-0000-00005C630000}"/>
    <cellStyle name="40% - Accent6 3 3 3 3 2 2" xfId="13868" xr:uid="{00000000-0005-0000-0000-00005D630000}"/>
    <cellStyle name="40% - Accent6 3 3 3 3 2 2 2" xfId="28402" xr:uid="{00000000-0005-0000-0000-00005E630000}"/>
    <cellStyle name="40% - Accent6 3 3 3 3 2 2 2 2" xfId="57408" xr:uid="{00000000-0005-0000-0000-00005F630000}"/>
    <cellStyle name="40% - Accent6 3 3 3 3 2 2 3" xfId="42909" xr:uid="{00000000-0005-0000-0000-000060630000}"/>
    <cellStyle name="40% - Accent6 3 3 3 3 2 3" xfId="21154" xr:uid="{00000000-0005-0000-0000-000061630000}"/>
    <cellStyle name="40% - Accent6 3 3 3 3 2 3 2" xfId="50160" xr:uid="{00000000-0005-0000-0000-000062630000}"/>
    <cellStyle name="40% - Accent6 3 3 3 3 2 4" xfId="35661" xr:uid="{00000000-0005-0000-0000-000063630000}"/>
    <cellStyle name="40% - Accent6 3 3 3 3 3" xfId="10764" xr:uid="{00000000-0005-0000-0000-000064630000}"/>
    <cellStyle name="40% - Accent6 3 3 3 3 3 2" xfId="25298" xr:uid="{00000000-0005-0000-0000-000065630000}"/>
    <cellStyle name="40% - Accent6 3 3 3 3 3 2 2" xfId="54304" xr:uid="{00000000-0005-0000-0000-000066630000}"/>
    <cellStyle name="40% - Accent6 3 3 3 3 3 3" xfId="39805" xr:uid="{00000000-0005-0000-0000-000067630000}"/>
    <cellStyle name="40% - Accent6 3 3 3 3 4" xfId="18050" xr:uid="{00000000-0005-0000-0000-000068630000}"/>
    <cellStyle name="40% - Accent6 3 3 3 3 4 2" xfId="47056" xr:uid="{00000000-0005-0000-0000-000069630000}"/>
    <cellStyle name="40% - Accent6 3 3 3 3 5" xfId="32557" xr:uid="{00000000-0005-0000-0000-00006A630000}"/>
    <cellStyle name="40% - Accent6 3 3 3 4" xfId="4524" xr:uid="{00000000-0005-0000-0000-00006B630000}"/>
    <cellStyle name="40% - Accent6 3 3 3 4 2" xfId="11796" xr:uid="{00000000-0005-0000-0000-00006C630000}"/>
    <cellStyle name="40% - Accent6 3 3 3 4 2 2" xfId="26330" xr:uid="{00000000-0005-0000-0000-00006D630000}"/>
    <cellStyle name="40% - Accent6 3 3 3 4 2 2 2" xfId="55336" xr:uid="{00000000-0005-0000-0000-00006E630000}"/>
    <cellStyle name="40% - Accent6 3 3 3 4 2 3" xfId="40837" xr:uid="{00000000-0005-0000-0000-00006F630000}"/>
    <cellStyle name="40% - Accent6 3 3 3 4 3" xfId="19082" xr:uid="{00000000-0005-0000-0000-000070630000}"/>
    <cellStyle name="40% - Accent6 3 3 3 4 3 2" xfId="48088" xr:uid="{00000000-0005-0000-0000-000071630000}"/>
    <cellStyle name="40% - Accent6 3 3 3 4 4" xfId="33589" xr:uid="{00000000-0005-0000-0000-000072630000}"/>
    <cellStyle name="40% - Accent6 3 3 3 5" xfId="7628" xr:uid="{00000000-0005-0000-0000-000073630000}"/>
    <cellStyle name="40% - Accent6 3 3 3 5 2" xfId="14900" xr:uid="{00000000-0005-0000-0000-000074630000}"/>
    <cellStyle name="40% - Accent6 3 3 3 5 2 2" xfId="29434" xr:uid="{00000000-0005-0000-0000-000075630000}"/>
    <cellStyle name="40% - Accent6 3 3 3 5 2 2 2" xfId="58440" xr:uid="{00000000-0005-0000-0000-000076630000}"/>
    <cellStyle name="40% - Accent6 3 3 3 5 2 3" xfId="43941" xr:uid="{00000000-0005-0000-0000-000077630000}"/>
    <cellStyle name="40% - Accent6 3 3 3 5 3" xfId="22186" xr:uid="{00000000-0005-0000-0000-000078630000}"/>
    <cellStyle name="40% - Accent6 3 3 3 5 3 2" xfId="51192" xr:uid="{00000000-0005-0000-0000-000079630000}"/>
    <cellStyle name="40% - Accent6 3 3 3 5 4" xfId="36693" xr:uid="{00000000-0005-0000-0000-00007A630000}"/>
    <cellStyle name="40% - Accent6 3 3 3 6" xfId="8692" xr:uid="{00000000-0005-0000-0000-00007B630000}"/>
    <cellStyle name="40% - Accent6 3 3 3 6 2" xfId="23226" xr:uid="{00000000-0005-0000-0000-00007C630000}"/>
    <cellStyle name="40% - Accent6 3 3 3 6 2 2" xfId="52232" xr:uid="{00000000-0005-0000-0000-00007D630000}"/>
    <cellStyle name="40% - Accent6 3 3 3 6 3" xfId="37733" xr:uid="{00000000-0005-0000-0000-00007E630000}"/>
    <cellStyle name="40% - Accent6 3 3 3 7" xfId="15978" xr:uid="{00000000-0005-0000-0000-00007F630000}"/>
    <cellStyle name="40% - Accent6 3 3 3 7 2" xfId="44984" xr:uid="{00000000-0005-0000-0000-000080630000}"/>
    <cellStyle name="40% - Accent6 3 3 3 8" xfId="30485" xr:uid="{00000000-0005-0000-0000-000081630000}"/>
    <cellStyle name="40% - Accent6 3 3 4" xfId="1948" xr:uid="{00000000-0005-0000-0000-000082630000}"/>
    <cellStyle name="40% - Accent6 3 3 4 2" xfId="5052" xr:uid="{00000000-0005-0000-0000-000083630000}"/>
    <cellStyle name="40% - Accent6 3 3 4 2 2" xfId="12324" xr:uid="{00000000-0005-0000-0000-000084630000}"/>
    <cellStyle name="40% - Accent6 3 3 4 2 2 2" xfId="26858" xr:uid="{00000000-0005-0000-0000-000085630000}"/>
    <cellStyle name="40% - Accent6 3 3 4 2 2 2 2" xfId="55864" xr:uid="{00000000-0005-0000-0000-000086630000}"/>
    <cellStyle name="40% - Accent6 3 3 4 2 2 3" xfId="41365" xr:uid="{00000000-0005-0000-0000-000087630000}"/>
    <cellStyle name="40% - Accent6 3 3 4 2 3" xfId="19610" xr:uid="{00000000-0005-0000-0000-000088630000}"/>
    <cellStyle name="40% - Accent6 3 3 4 2 3 2" xfId="48616" xr:uid="{00000000-0005-0000-0000-000089630000}"/>
    <cellStyle name="40% - Accent6 3 3 4 2 4" xfId="34117" xr:uid="{00000000-0005-0000-0000-00008A630000}"/>
    <cellStyle name="40% - Accent6 3 3 4 3" xfId="9220" xr:uid="{00000000-0005-0000-0000-00008B630000}"/>
    <cellStyle name="40% - Accent6 3 3 4 3 2" xfId="23754" xr:uid="{00000000-0005-0000-0000-00008C630000}"/>
    <cellStyle name="40% - Accent6 3 3 4 3 2 2" xfId="52760" xr:uid="{00000000-0005-0000-0000-00008D630000}"/>
    <cellStyle name="40% - Accent6 3 3 4 3 3" xfId="38261" xr:uid="{00000000-0005-0000-0000-00008E630000}"/>
    <cellStyle name="40% - Accent6 3 3 4 4" xfId="16506" xr:uid="{00000000-0005-0000-0000-00008F630000}"/>
    <cellStyle name="40% - Accent6 3 3 4 4 2" xfId="45512" xr:uid="{00000000-0005-0000-0000-000090630000}"/>
    <cellStyle name="40% - Accent6 3 3 4 5" xfId="31013" xr:uid="{00000000-0005-0000-0000-000091630000}"/>
    <cellStyle name="40% - Accent6 3 3 5" xfId="2980" xr:uid="{00000000-0005-0000-0000-000092630000}"/>
    <cellStyle name="40% - Accent6 3 3 5 2" xfId="6084" xr:uid="{00000000-0005-0000-0000-000093630000}"/>
    <cellStyle name="40% - Accent6 3 3 5 2 2" xfId="13356" xr:uid="{00000000-0005-0000-0000-000094630000}"/>
    <cellStyle name="40% - Accent6 3 3 5 2 2 2" xfId="27890" xr:uid="{00000000-0005-0000-0000-000095630000}"/>
    <cellStyle name="40% - Accent6 3 3 5 2 2 2 2" xfId="56896" xr:uid="{00000000-0005-0000-0000-000096630000}"/>
    <cellStyle name="40% - Accent6 3 3 5 2 2 3" xfId="42397" xr:uid="{00000000-0005-0000-0000-000097630000}"/>
    <cellStyle name="40% - Accent6 3 3 5 2 3" xfId="20642" xr:uid="{00000000-0005-0000-0000-000098630000}"/>
    <cellStyle name="40% - Accent6 3 3 5 2 3 2" xfId="49648" xr:uid="{00000000-0005-0000-0000-000099630000}"/>
    <cellStyle name="40% - Accent6 3 3 5 2 4" xfId="35149" xr:uid="{00000000-0005-0000-0000-00009A630000}"/>
    <cellStyle name="40% - Accent6 3 3 5 3" xfId="10252" xr:uid="{00000000-0005-0000-0000-00009B630000}"/>
    <cellStyle name="40% - Accent6 3 3 5 3 2" xfId="24786" xr:uid="{00000000-0005-0000-0000-00009C630000}"/>
    <cellStyle name="40% - Accent6 3 3 5 3 2 2" xfId="53792" xr:uid="{00000000-0005-0000-0000-00009D630000}"/>
    <cellStyle name="40% - Accent6 3 3 5 3 3" xfId="39293" xr:uid="{00000000-0005-0000-0000-00009E630000}"/>
    <cellStyle name="40% - Accent6 3 3 5 4" xfId="17538" xr:uid="{00000000-0005-0000-0000-00009F630000}"/>
    <cellStyle name="40% - Accent6 3 3 5 4 2" xfId="46544" xr:uid="{00000000-0005-0000-0000-0000A0630000}"/>
    <cellStyle name="40% - Accent6 3 3 5 5" xfId="32045" xr:uid="{00000000-0005-0000-0000-0000A1630000}"/>
    <cellStyle name="40% - Accent6 3 3 6" xfId="4012" xr:uid="{00000000-0005-0000-0000-0000A2630000}"/>
    <cellStyle name="40% - Accent6 3 3 6 2" xfId="11284" xr:uid="{00000000-0005-0000-0000-0000A3630000}"/>
    <cellStyle name="40% - Accent6 3 3 6 2 2" xfId="25818" xr:uid="{00000000-0005-0000-0000-0000A4630000}"/>
    <cellStyle name="40% - Accent6 3 3 6 2 2 2" xfId="54824" xr:uid="{00000000-0005-0000-0000-0000A5630000}"/>
    <cellStyle name="40% - Accent6 3 3 6 2 3" xfId="40325" xr:uid="{00000000-0005-0000-0000-0000A6630000}"/>
    <cellStyle name="40% - Accent6 3 3 6 3" xfId="18570" xr:uid="{00000000-0005-0000-0000-0000A7630000}"/>
    <cellStyle name="40% - Accent6 3 3 6 3 2" xfId="47576" xr:uid="{00000000-0005-0000-0000-0000A8630000}"/>
    <cellStyle name="40% - Accent6 3 3 6 4" xfId="33077" xr:uid="{00000000-0005-0000-0000-0000A9630000}"/>
    <cellStyle name="40% - Accent6 3 3 7" xfId="7116" xr:uid="{00000000-0005-0000-0000-0000AA630000}"/>
    <cellStyle name="40% - Accent6 3 3 7 2" xfId="14388" xr:uid="{00000000-0005-0000-0000-0000AB630000}"/>
    <cellStyle name="40% - Accent6 3 3 7 2 2" xfId="28922" xr:uid="{00000000-0005-0000-0000-0000AC630000}"/>
    <cellStyle name="40% - Accent6 3 3 7 2 2 2" xfId="57928" xr:uid="{00000000-0005-0000-0000-0000AD630000}"/>
    <cellStyle name="40% - Accent6 3 3 7 2 3" xfId="43429" xr:uid="{00000000-0005-0000-0000-0000AE630000}"/>
    <cellStyle name="40% - Accent6 3 3 7 3" xfId="21674" xr:uid="{00000000-0005-0000-0000-0000AF630000}"/>
    <cellStyle name="40% - Accent6 3 3 7 3 2" xfId="50680" xr:uid="{00000000-0005-0000-0000-0000B0630000}"/>
    <cellStyle name="40% - Accent6 3 3 7 4" xfId="36181" xr:uid="{00000000-0005-0000-0000-0000B1630000}"/>
    <cellStyle name="40% - Accent6 3 3 8" xfId="8180" xr:uid="{00000000-0005-0000-0000-0000B2630000}"/>
    <cellStyle name="40% - Accent6 3 3 8 2" xfId="22714" xr:uid="{00000000-0005-0000-0000-0000B3630000}"/>
    <cellStyle name="40% - Accent6 3 3 8 2 2" xfId="51720" xr:uid="{00000000-0005-0000-0000-0000B4630000}"/>
    <cellStyle name="40% - Accent6 3 3 8 3" xfId="37221" xr:uid="{00000000-0005-0000-0000-0000B5630000}"/>
    <cellStyle name="40% - Accent6 3 3 9" xfId="15466" xr:uid="{00000000-0005-0000-0000-0000B6630000}"/>
    <cellStyle name="40% - Accent6 3 3 9 2" xfId="44472" xr:uid="{00000000-0005-0000-0000-0000B7630000}"/>
    <cellStyle name="40% - Accent6 3 4" xfId="1107" xr:uid="{00000000-0005-0000-0000-0000B8630000}"/>
    <cellStyle name="40% - Accent6 3 4 2" xfId="1604" xr:uid="{00000000-0005-0000-0000-0000B9630000}"/>
    <cellStyle name="40% - Accent6 3 4 2 2" xfId="2663" xr:uid="{00000000-0005-0000-0000-0000BA630000}"/>
    <cellStyle name="40% - Accent6 3 4 2 2 2" xfId="5767" xr:uid="{00000000-0005-0000-0000-0000BB630000}"/>
    <cellStyle name="40% - Accent6 3 4 2 2 2 2" xfId="13039" xr:uid="{00000000-0005-0000-0000-0000BC630000}"/>
    <cellStyle name="40% - Accent6 3 4 2 2 2 2 2" xfId="27573" xr:uid="{00000000-0005-0000-0000-0000BD630000}"/>
    <cellStyle name="40% - Accent6 3 4 2 2 2 2 2 2" xfId="56579" xr:uid="{00000000-0005-0000-0000-0000BE630000}"/>
    <cellStyle name="40% - Accent6 3 4 2 2 2 2 3" xfId="42080" xr:uid="{00000000-0005-0000-0000-0000BF630000}"/>
    <cellStyle name="40% - Accent6 3 4 2 2 2 3" xfId="20325" xr:uid="{00000000-0005-0000-0000-0000C0630000}"/>
    <cellStyle name="40% - Accent6 3 4 2 2 2 3 2" xfId="49331" xr:uid="{00000000-0005-0000-0000-0000C1630000}"/>
    <cellStyle name="40% - Accent6 3 4 2 2 2 4" xfId="34832" xr:uid="{00000000-0005-0000-0000-0000C2630000}"/>
    <cellStyle name="40% - Accent6 3 4 2 2 3" xfId="9935" xr:uid="{00000000-0005-0000-0000-0000C3630000}"/>
    <cellStyle name="40% - Accent6 3 4 2 2 3 2" xfId="24469" xr:uid="{00000000-0005-0000-0000-0000C4630000}"/>
    <cellStyle name="40% - Accent6 3 4 2 2 3 2 2" xfId="53475" xr:uid="{00000000-0005-0000-0000-0000C5630000}"/>
    <cellStyle name="40% - Accent6 3 4 2 2 3 3" xfId="38976" xr:uid="{00000000-0005-0000-0000-0000C6630000}"/>
    <cellStyle name="40% - Accent6 3 4 2 2 4" xfId="17221" xr:uid="{00000000-0005-0000-0000-0000C7630000}"/>
    <cellStyle name="40% - Accent6 3 4 2 2 4 2" xfId="46227" xr:uid="{00000000-0005-0000-0000-0000C8630000}"/>
    <cellStyle name="40% - Accent6 3 4 2 2 5" xfId="31728" xr:uid="{00000000-0005-0000-0000-0000C9630000}"/>
    <cellStyle name="40% - Accent6 3 4 2 3" xfId="3695" xr:uid="{00000000-0005-0000-0000-0000CA630000}"/>
    <cellStyle name="40% - Accent6 3 4 2 3 2" xfId="6799" xr:uid="{00000000-0005-0000-0000-0000CB630000}"/>
    <cellStyle name="40% - Accent6 3 4 2 3 2 2" xfId="14071" xr:uid="{00000000-0005-0000-0000-0000CC630000}"/>
    <cellStyle name="40% - Accent6 3 4 2 3 2 2 2" xfId="28605" xr:uid="{00000000-0005-0000-0000-0000CD630000}"/>
    <cellStyle name="40% - Accent6 3 4 2 3 2 2 2 2" xfId="57611" xr:uid="{00000000-0005-0000-0000-0000CE630000}"/>
    <cellStyle name="40% - Accent6 3 4 2 3 2 2 3" xfId="43112" xr:uid="{00000000-0005-0000-0000-0000CF630000}"/>
    <cellStyle name="40% - Accent6 3 4 2 3 2 3" xfId="21357" xr:uid="{00000000-0005-0000-0000-0000D0630000}"/>
    <cellStyle name="40% - Accent6 3 4 2 3 2 3 2" xfId="50363" xr:uid="{00000000-0005-0000-0000-0000D1630000}"/>
    <cellStyle name="40% - Accent6 3 4 2 3 2 4" xfId="35864" xr:uid="{00000000-0005-0000-0000-0000D2630000}"/>
    <cellStyle name="40% - Accent6 3 4 2 3 3" xfId="10967" xr:uid="{00000000-0005-0000-0000-0000D3630000}"/>
    <cellStyle name="40% - Accent6 3 4 2 3 3 2" xfId="25501" xr:uid="{00000000-0005-0000-0000-0000D4630000}"/>
    <cellStyle name="40% - Accent6 3 4 2 3 3 2 2" xfId="54507" xr:uid="{00000000-0005-0000-0000-0000D5630000}"/>
    <cellStyle name="40% - Accent6 3 4 2 3 3 3" xfId="40008" xr:uid="{00000000-0005-0000-0000-0000D6630000}"/>
    <cellStyle name="40% - Accent6 3 4 2 3 4" xfId="18253" xr:uid="{00000000-0005-0000-0000-0000D7630000}"/>
    <cellStyle name="40% - Accent6 3 4 2 3 4 2" xfId="47259" xr:uid="{00000000-0005-0000-0000-0000D8630000}"/>
    <cellStyle name="40% - Accent6 3 4 2 3 5" xfId="32760" xr:uid="{00000000-0005-0000-0000-0000D9630000}"/>
    <cellStyle name="40% - Accent6 3 4 2 4" xfId="4727" xr:uid="{00000000-0005-0000-0000-0000DA630000}"/>
    <cellStyle name="40% - Accent6 3 4 2 4 2" xfId="11999" xr:uid="{00000000-0005-0000-0000-0000DB630000}"/>
    <cellStyle name="40% - Accent6 3 4 2 4 2 2" xfId="26533" xr:uid="{00000000-0005-0000-0000-0000DC630000}"/>
    <cellStyle name="40% - Accent6 3 4 2 4 2 2 2" xfId="55539" xr:uid="{00000000-0005-0000-0000-0000DD630000}"/>
    <cellStyle name="40% - Accent6 3 4 2 4 2 3" xfId="41040" xr:uid="{00000000-0005-0000-0000-0000DE630000}"/>
    <cellStyle name="40% - Accent6 3 4 2 4 3" xfId="19285" xr:uid="{00000000-0005-0000-0000-0000DF630000}"/>
    <cellStyle name="40% - Accent6 3 4 2 4 3 2" xfId="48291" xr:uid="{00000000-0005-0000-0000-0000E0630000}"/>
    <cellStyle name="40% - Accent6 3 4 2 4 4" xfId="33792" xr:uid="{00000000-0005-0000-0000-0000E1630000}"/>
    <cellStyle name="40% - Accent6 3 4 2 5" xfId="7831" xr:uid="{00000000-0005-0000-0000-0000E2630000}"/>
    <cellStyle name="40% - Accent6 3 4 2 5 2" xfId="15103" xr:uid="{00000000-0005-0000-0000-0000E3630000}"/>
    <cellStyle name="40% - Accent6 3 4 2 5 2 2" xfId="29637" xr:uid="{00000000-0005-0000-0000-0000E4630000}"/>
    <cellStyle name="40% - Accent6 3 4 2 5 2 2 2" xfId="58643" xr:uid="{00000000-0005-0000-0000-0000E5630000}"/>
    <cellStyle name="40% - Accent6 3 4 2 5 2 3" xfId="44144" xr:uid="{00000000-0005-0000-0000-0000E6630000}"/>
    <cellStyle name="40% - Accent6 3 4 2 5 3" xfId="22389" xr:uid="{00000000-0005-0000-0000-0000E7630000}"/>
    <cellStyle name="40% - Accent6 3 4 2 5 3 2" xfId="51395" xr:uid="{00000000-0005-0000-0000-0000E8630000}"/>
    <cellStyle name="40% - Accent6 3 4 2 5 4" xfId="36896" xr:uid="{00000000-0005-0000-0000-0000E9630000}"/>
    <cellStyle name="40% - Accent6 3 4 2 6" xfId="8895" xr:uid="{00000000-0005-0000-0000-0000EA630000}"/>
    <cellStyle name="40% - Accent6 3 4 2 6 2" xfId="23429" xr:uid="{00000000-0005-0000-0000-0000EB630000}"/>
    <cellStyle name="40% - Accent6 3 4 2 6 2 2" xfId="52435" xr:uid="{00000000-0005-0000-0000-0000EC630000}"/>
    <cellStyle name="40% - Accent6 3 4 2 6 3" xfId="37936" xr:uid="{00000000-0005-0000-0000-0000ED630000}"/>
    <cellStyle name="40% - Accent6 3 4 2 7" xfId="16181" xr:uid="{00000000-0005-0000-0000-0000EE630000}"/>
    <cellStyle name="40% - Accent6 3 4 2 7 2" xfId="45187" xr:uid="{00000000-0005-0000-0000-0000EF630000}"/>
    <cellStyle name="40% - Accent6 3 4 2 8" xfId="30688" xr:uid="{00000000-0005-0000-0000-0000F0630000}"/>
    <cellStyle name="40% - Accent6 3 4 3" xfId="2151" xr:uid="{00000000-0005-0000-0000-0000F1630000}"/>
    <cellStyle name="40% - Accent6 3 4 3 2" xfId="5255" xr:uid="{00000000-0005-0000-0000-0000F2630000}"/>
    <cellStyle name="40% - Accent6 3 4 3 2 2" xfId="12527" xr:uid="{00000000-0005-0000-0000-0000F3630000}"/>
    <cellStyle name="40% - Accent6 3 4 3 2 2 2" xfId="27061" xr:uid="{00000000-0005-0000-0000-0000F4630000}"/>
    <cellStyle name="40% - Accent6 3 4 3 2 2 2 2" xfId="56067" xr:uid="{00000000-0005-0000-0000-0000F5630000}"/>
    <cellStyle name="40% - Accent6 3 4 3 2 2 3" xfId="41568" xr:uid="{00000000-0005-0000-0000-0000F6630000}"/>
    <cellStyle name="40% - Accent6 3 4 3 2 3" xfId="19813" xr:uid="{00000000-0005-0000-0000-0000F7630000}"/>
    <cellStyle name="40% - Accent6 3 4 3 2 3 2" xfId="48819" xr:uid="{00000000-0005-0000-0000-0000F8630000}"/>
    <cellStyle name="40% - Accent6 3 4 3 2 4" xfId="34320" xr:uid="{00000000-0005-0000-0000-0000F9630000}"/>
    <cellStyle name="40% - Accent6 3 4 3 3" xfId="9423" xr:uid="{00000000-0005-0000-0000-0000FA630000}"/>
    <cellStyle name="40% - Accent6 3 4 3 3 2" xfId="23957" xr:uid="{00000000-0005-0000-0000-0000FB630000}"/>
    <cellStyle name="40% - Accent6 3 4 3 3 2 2" xfId="52963" xr:uid="{00000000-0005-0000-0000-0000FC630000}"/>
    <cellStyle name="40% - Accent6 3 4 3 3 3" xfId="38464" xr:uid="{00000000-0005-0000-0000-0000FD630000}"/>
    <cellStyle name="40% - Accent6 3 4 3 4" xfId="16709" xr:uid="{00000000-0005-0000-0000-0000FE630000}"/>
    <cellStyle name="40% - Accent6 3 4 3 4 2" xfId="45715" xr:uid="{00000000-0005-0000-0000-0000FF630000}"/>
    <cellStyle name="40% - Accent6 3 4 3 5" xfId="31216" xr:uid="{00000000-0005-0000-0000-000000640000}"/>
    <cellStyle name="40% - Accent6 3 4 4" xfId="3183" xr:uid="{00000000-0005-0000-0000-000001640000}"/>
    <cellStyle name="40% - Accent6 3 4 4 2" xfId="6287" xr:uid="{00000000-0005-0000-0000-000002640000}"/>
    <cellStyle name="40% - Accent6 3 4 4 2 2" xfId="13559" xr:uid="{00000000-0005-0000-0000-000003640000}"/>
    <cellStyle name="40% - Accent6 3 4 4 2 2 2" xfId="28093" xr:uid="{00000000-0005-0000-0000-000004640000}"/>
    <cellStyle name="40% - Accent6 3 4 4 2 2 2 2" xfId="57099" xr:uid="{00000000-0005-0000-0000-000005640000}"/>
    <cellStyle name="40% - Accent6 3 4 4 2 2 3" xfId="42600" xr:uid="{00000000-0005-0000-0000-000006640000}"/>
    <cellStyle name="40% - Accent6 3 4 4 2 3" xfId="20845" xr:uid="{00000000-0005-0000-0000-000007640000}"/>
    <cellStyle name="40% - Accent6 3 4 4 2 3 2" xfId="49851" xr:uid="{00000000-0005-0000-0000-000008640000}"/>
    <cellStyle name="40% - Accent6 3 4 4 2 4" xfId="35352" xr:uid="{00000000-0005-0000-0000-000009640000}"/>
    <cellStyle name="40% - Accent6 3 4 4 3" xfId="10455" xr:uid="{00000000-0005-0000-0000-00000A640000}"/>
    <cellStyle name="40% - Accent6 3 4 4 3 2" xfId="24989" xr:uid="{00000000-0005-0000-0000-00000B640000}"/>
    <cellStyle name="40% - Accent6 3 4 4 3 2 2" xfId="53995" xr:uid="{00000000-0005-0000-0000-00000C640000}"/>
    <cellStyle name="40% - Accent6 3 4 4 3 3" xfId="39496" xr:uid="{00000000-0005-0000-0000-00000D640000}"/>
    <cellStyle name="40% - Accent6 3 4 4 4" xfId="17741" xr:uid="{00000000-0005-0000-0000-00000E640000}"/>
    <cellStyle name="40% - Accent6 3 4 4 4 2" xfId="46747" xr:uid="{00000000-0005-0000-0000-00000F640000}"/>
    <cellStyle name="40% - Accent6 3 4 4 5" xfId="32248" xr:uid="{00000000-0005-0000-0000-000010640000}"/>
    <cellStyle name="40% - Accent6 3 4 5" xfId="4215" xr:uid="{00000000-0005-0000-0000-000011640000}"/>
    <cellStyle name="40% - Accent6 3 4 5 2" xfId="11487" xr:uid="{00000000-0005-0000-0000-000012640000}"/>
    <cellStyle name="40% - Accent6 3 4 5 2 2" xfId="26021" xr:uid="{00000000-0005-0000-0000-000013640000}"/>
    <cellStyle name="40% - Accent6 3 4 5 2 2 2" xfId="55027" xr:uid="{00000000-0005-0000-0000-000014640000}"/>
    <cellStyle name="40% - Accent6 3 4 5 2 3" xfId="40528" xr:uid="{00000000-0005-0000-0000-000015640000}"/>
    <cellStyle name="40% - Accent6 3 4 5 3" xfId="18773" xr:uid="{00000000-0005-0000-0000-000016640000}"/>
    <cellStyle name="40% - Accent6 3 4 5 3 2" xfId="47779" xr:uid="{00000000-0005-0000-0000-000017640000}"/>
    <cellStyle name="40% - Accent6 3 4 5 4" xfId="33280" xr:uid="{00000000-0005-0000-0000-000018640000}"/>
    <cellStyle name="40% - Accent6 3 4 6" xfId="7319" xr:uid="{00000000-0005-0000-0000-000019640000}"/>
    <cellStyle name="40% - Accent6 3 4 6 2" xfId="14591" xr:uid="{00000000-0005-0000-0000-00001A640000}"/>
    <cellStyle name="40% - Accent6 3 4 6 2 2" xfId="29125" xr:uid="{00000000-0005-0000-0000-00001B640000}"/>
    <cellStyle name="40% - Accent6 3 4 6 2 2 2" xfId="58131" xr:uid="{00000000-0005-0000-0000-00001C640000}"/>
    <cellStyle name="40% - Accent6 3 4 6 2 3" xfId="43632" xr:uid="{00000000-0005-0000-0000-00001D640000}"/>
    <cellStyle name="40% - Accent6 3 4 6 3" xfId="21877" xr:uid="{00000000-0005-0000-0000-00001E640000}"/>
    <cellStyle name="40% - Accent6 3 4 6 3 2" xfId="50883" xr:uid="{00000000-0005-0000-0000-00001F640000}"/>
    <cellStyle name="40% - Accent6 3 4 6 4" xfId="36384" xr:uid="{00000000-0005-0000-0000-000020640000}"/>
    <cellStyle name="40% - Accent6 3 4 7" xfId="8383" xr:uid="{00000000-0005-0000-0000-000021640000}"/>
    <cellStyle name="40% - Accent6 3 4 7 2" xfId="22917" xr:uid="{00000000-0005-0000-0000-000022640000}"/>
    <cellStyle name="40% - Accent6 3 4 7 2 2" xfId="51923" xr:uid="{00000000-0005-0000-0000-000023640000}"/>
    <cellStyle name="40% - Accent6 3 4 7 3" xfId="37424" xr:uid="{00000000-0005-0000-0000-000024640000}"/>
    <cellStyle name="40% - Accent6 3 4 8" xfId="15669" xr:uid="{00000000-0005-0000-0000-000025640000}"/>
    <cellStyle name="40% - Accent6 3 4 8 2" xfId="44675" xr:uid="{00000000-0005-0000-0000-000026640000}"/>
    <cellStyle name="40% - Accent6 3 4 9" xfId="30176" xr:uid="{00000000-0005-0000-0000-000027640000}"/>
    <cellStyle name="40% - Accent6 3 5" xfId="1017" xr:uid="{00000000-0005-0000-0000-000028640000}"/>
    <cellStyle name="40% - Accent6 3 5 2" xfId="1505" xr:uid="{00000000-0005-0000-0000-000029640000}"/>
    <cellStyle name="40% - Accent6 3 5 2 2" xfId="2563" xr:uid="{00000000-0005-0000-0000-00002A640000}"/>
    <cellStyle name="40% - Accent6 3 5 2 2 2" xfId="5667" xr:uid="{00000000-0005-0000-0000-00002B640000}"/>
    <cellStyle name="40% - Accent6 3 5 2 2 2 2" xfId="12939" xr:uid="{00000000-0005-0000-0000-00002C640000}"/>
    <cellStyle name="40% - Accent6 3 5 2 2 2 2 2" xfId="27473" xr:uid="{00000000-0005-0000-0000-00002D640000}"/>
    <cellStyle name="40% - Accent6 3 5 2 2 2 2 2 2" xfId="56479" xr:uid="{00000000-0005-0000-0000-00002E640000}"/>
    <cellStyle name="40% - Accent6 3 5 2 2 2 2 3" xfId="41980" xr:uid="{00000000-0005-0000-0000-00002F640000}"/>
    <cellStyle name="40% - Accent6 3 5 2 2 2 3" xfId="20225" xr:uid="{00000000-0005-0000-0000-000030640000}"/>
    <cellStyle name="40% - Accent6 3 5 2 2 2 3 2" xfId="49231" xr:uid="{00000000-0005-0000-0000-000031640000}"/>
    <cellStyle name="40% - Accent6 3 5 2 2 2 4" xfId="34732" xr:uid="{00000000-0005-0000-0000-000032640000}"/>
    <cellStyle name="40% - Accent6 3 5 2 2 3" xfId="9835" xr:uid="{00000000-0005-0000-0000-000033640000}"/>
    <cellStyle name="40% - Accent6 3 5 2 2 3 2" xfId="24369" xr:uid="{00000000-0005-0000-0000-000034640000}"/>
    <cellStyle name="40% - Accent6 3 5 2 2 3 2 2" xfId="53375" xr:uid="{00000000-0005-0000-0000-000035640000}"/>
    <cellStyle name="40% - Accent6 3 5 2 2 3 3" xfId="38876" xr:uid="{00000000-0005-0000-0000-000036640000}"/>
    <cellStyle name="40% - Accent6 3 5 2 2 4" xfId="17121" xr:uid="{00000000-0005-0000-0000-000037640000}"/>
    <cellStyle name="40% - Accent6 3 5 2 2 4 2" xfId="46127" xr:uid="{00000000-0005-0000-0000-000038640000}"/>
    <cellStyle name="40% - Accent6 3 5 2 2 5" xfId="31628" xr:uid="{00000000-0005-0000-0000-000039640000}"/>
    <cellStyle name="40% - Accent6 3 5 2 3" xfId="3595" xr:uid="{00000000-0005-0000-0000-00003A640000}"/>
    <cellStyle name="40% - Accent6 3 5 2 3 2" xfId="6699" xr:uid="{00000000-0005-0000-0000-00003B640000}"/>
    <cellStyle name="40% - Accent6 3 5 2 3 2 2" xfId="13971" xr:uid="{00000000-0005-0000-0000-00003C640000}"/>
    <cellStyle name="40% - Accent6 3 5 2 3 2 2 2" xfId="28505" xr:uid="{00000000-0005-0000-0000-00003D640000}"/>
    <cellStyle name="40% - Accent6 3 5 2 3 2 2 2 2" xfId="57511" xr:uid="{00000000-0005-0000-0000-00003E640000}"/>
    <cellStyle name="40% - Accent6 3 5 2 3 2 2 3" xfId="43012" xr:uid="{00000000-0005-0000-0000-00003F640000}"/>
    <cellStyle name="40% - Accent6 3 5 2 3 2 3" xfId="21257" xr:uid="{00000000-0005-0000-0000-000040640000}"/>
    <cellStyle name="40% - Accent6 3 5 2 3 2 3 2" xfId="50263" xr:uid="{00000000-0005-0000-0000-000041640000}"/>
    <cellStyle name="40% - Accent6 3 5 2 3 2 4" xfId="35764" xr:uid="{00000000-0005-0000-0000-000042640000}"/>
    <cellStyle name="40% - Accent6 3 5 2 3 3" xfId="10867" xr:uid="{00000000-0005-0000-0000-000043640000}"/>
    <cellStyle name="40% - Accent6 3 5 2 3 3 2" xfId="25401" xr:uid="{00000000-0005-0000-0000-000044640000}"/>
    <cellStyle name="40% - Accent6 3 5 2 3 3 2 2" xfId="54407" xr:uid="{00000000-0005-0000-0000-000045640000}"/>
    <cellStyle name="40% - Accent6 3 5 2 3 3 3" xfId="39908" xr:uid="{00000000-0005-0000-0000-000046640000}"/>
    <cellStyle name="40% - Accent6 3 5 2 3 4" xfId="18153" xr:uid="{00000000-0005-0000-0000-000047640000}"/>
    <cellStyle name="40% - Accent6 3 5 2 3 4 2" xfId="47159" xr:uid="{00000000-0005-0000-0000-000048640000}"/>
    <cellStyle name="40% - Accent6 3 5 2 3 5" xfId="32660" xr:uid="{00000000-0005-0000-0000-000049640000}"/>
    <cellStyle name="40% - Accent6 3 5 2 4" xfId="4627" xr:uid="{00000000-0005-0000-0000-00004A640000}"/>
    <cellStyle name="40% - Accent6 3 5 2 4 2" xfId="11899" xr:uid="{00000000-0005-0000-0000-00004B640000}"/>
    <cellStyle name="40% - Accent6 3 5 2 4 2 2" xfId="26433" xr:uid="{00000000-0005-0000-0000-00004C640000}"/>
    <cellStyle name="40% - Accent6 3 5 2 4 2 2 2" xfId="55439" xr:uid="{00000000-0005-0000-0000-00004D640000}"/>
    <cellStyle name="40% - Accent6 3 5 2 4 2 3" xfId="40940" xr:uid="{00000000-0005-0000-0000-00004E640000}"/>
    <cellStyle name="40% - Accent6 3 5 2 4 3" xfId="19185" xr:uid="{00000000-0005-0000-0000-00004F640000}"/>
    <cellStyle name="40% - Accent6 3 5 2 4 3 2" xfId="48191" xr:uid="{00000000-0005-0000-0000-000050640000}"/>
    <cellStyle name="40% - Accent6 3 5 2 4 4" xfId="33692" xr:uid="{00000000-0005-0000-0000-000051640000}"/>
    <cellStyle name="40% - Accent6 3 5 2 5" xfId="7731" xr:uid="{00000000-0005-0000-0000-000052640000}"/>
    <cellStyle name="40% - Accent6 3 5 2 5 2" xfId="15003" xr:uid="{00000000-0005-0000-0000-000053640000}"/>
    <cellStyle name="40% - Accent6 3 5 2 5 2 2" xfId="29537" xr:uid="{00000000-0005-0000-0000-000054640000}"/>
    <cellStyle name="40% - Accent6 3 5 2 5 2 2 2" xfId="58543" xr:uid="{00000000-0005-0000-0000-000055640000}"/>
    <cellStyle name="40% - Accent6 3 5 2 5 2 3" xfId="44044" xr:uid="{00000000-0005-0000-0000-000056640000}"/>
    <cellStyle name="40% - Accent6 3 5 2 5 3" xfId="22289" xr:uid="{00000000-0005-0000-0000-000057640000}"/>
    <cellStyle name="40% - Accent6 3 5 2 5 3 2" xfId="51295" xr:uid="{00000000-0005-0000-0000-000058640000}"/>
    <cellStyle name="40% - Accent6 3 5 2 5 4" xfId="36796" xr:uid="{00000000-0005-0000-0000-000059640000}"/>
    <cellStyle name="40% - Accent6 3 5 2 6" xfId="8795" xr:uid="{00000000-0005-0000-0000-00005A640000}"/>
    <cellStyle name="40% - Accent6 3 5 2 6 2" xfId="23329" xr:uid="{00000000-0005-0000-0000-00005B640000}"/>
    <cellStyle name="40% - Accent6 3 5 2 6 2 2" xfId="52335" xr:uid="{00000000-0005-0000-0000-00005C640000}"/>
    <cellStyle name="40% - Accent6 3 5 2 6 3" xfId="37836" xr:uid="{00000000-0005-0000-0000-00005D640000}"/>
    <cellStyle name="40% - Accent6 3 5 2 7" xfId="16081" xr:uid="{00000000-0005-0000-0000-00005E640000}"/>
    <cellStyle name="40% - Accent6 3 5 2 7 2" xfId="45087" xr:uid="{00000000-0005-0000-0000-00005F640000}"/>
    <cellStyle name="40% - Accent6 3 5 2 8" xfId="30588" xr:uid="{00000000-0005-0000-0000-000060640000}"/>
    <cellStyle name="40% - Accent6 3 5 3" xfId="2051" xr:uid="{00000000-0005-0000-0000-000061640000}"/>
    <cellStyle name="40% - Accent6 3 5 3 2" xfId="5155" xr:uid="{00000000-0005-0000-0000-000062640000}"/>
    <cellStyle name="40% - Accent6 3 5 3 2 2" xfId="12427" xr:uid="{00000000-0005-0000-0000-000063640000}"/>
    <cellStyle name="40% - Accent6 3 5 3 2 2 2" xfId="26961" xr:uid="{00000000-0005-0000-0000-000064640000}"/>
    <cellStyle name="40% - Accent6 3 5 3 2 2 2 2" xfId="55967" xr:uid="{00000000-0005-0000-0000-000065640000}"/>
    <cellStyle name="40% - Accent6 3 5 3 2 2 3" xfId="41468" xr:uid="{00000000-0005-0000-0000-000066640000}"/>
    <cellStyle name="40% - Accent6 3 5 3 2 3" xfId="19713" xr:uid="{00000000-0005-0000-0000-000067640000}"/>
    <cellStyle name="40% - Accent6 3 5 3 2 3 2" xfId="48719" xr:uid="{00000000-0005-0000-0000-000068640000}"/>
    <cellStyle name="40% - Accent6 3 5 3 2 4" xfId="34220" xr:uid="{00000000-0005-0000-0000-000069640000}"/>
    <cellStyle name="40% - Accent6 3 5 3 3" xfId="9323" xr:uid="{00000000-0005-0000-0000-00006A640000}"/>
    <cellStyle name="40% - Accent6 3 5 3 3 2" xfId="23857" xr:uid="{00000000-0005-0000-0000-00006B640000}"/>
    <cellStyle name="40% - Accent6 3 5 3 3 2 2" xfId="52863" xr:uid="{00000000-0005-0000-0000-00006C640000}"/>
    <cellStyle name="40% - Accent6 3 5 3 3 3" xfId="38364" xr:uid="{00000000-0005-0000-0000-00006D640000}"/>
    <cellStyle name="40% - Accent6 3 5 3 4" xfId="16609" xr:uid="{00000000-0005-0000-0000-00006E640000}"/>
    <cellStyle name="40% - Accent6 3 5 3 4 2" xfId="45615" xr:uid="{00000000-0005-0000-0000-00006F640000}"/>
    <cellStyle name="40% - Accent6 3 5 3 5" xfId="31116" xr:uid="{00000000-0005-0000-0000-000070640000}"/>
    <cellStyle name="40% - Accent6 3 5 4" xfId="3083" xr:uid="{00000000-0005-0000-0000-000071640000}"/>
    <cellStyle name="40% - Accent6 3 5 4 2" xfId="6187" xr:uid="{00000000-0005-0000-0000-000072640000}"/>
    <cellStyle name="40% - Accent6 3 5 4 2 2" xfId="13459" xr:uid="{00000000-0005-0000-0000-000073640000}"/>
    <cellStyle name="40% - Accent6 3 5 4 2 2 2" xfId="27993" xr:uid="{00000000-0005-0000-0000-000074640000}"/>
    <cellStyle name="40% - Accent6 3 5 4 2 2 2 2" xfId="56999" xr:uid="{00000000-0005-0000-0000-000075640000}"/>
    <cellStyle name="40% - Accent6 3 5 4 2 2 3" xfId="42500" xr:uid="{00000000-0005-0000-0000-000076640000}"/>
    <cellStyle name="40% - Accent6 3 5 4 2 3" xfId="20745" xr:uid="{00000000-0005-0000-0000-000077640000}"/>
    <cellStyle name="40% - Accent6 3 5 4 2 3 2" xfId="49751" xr:uid="{00000000-0005-0000-0000-000078640000}"/>
    <cellStyle name="40% - Accent6 3 5 4 2 4" xfId="35252" xr:uid="{00000000-0005-0000-0000-000079640000}"/>
    <cellStyle name="40% - Accent6 3 5 4 3" xfId="10355" xr:uid="{00000000-0005-0000-0000-00007A640000}"/>
    <cellStyle name="40% - Accent6 3 5 4 3 2" xfId="24889" xr:uid="{00000000-0005-0000-0000-00007B640000}"/>
    <cellStyle name="40% - Accent6 3 5 4 3 2 2" xfId="53895" xr:uid="{00000000-0005-0000-0000-00007C640000}"/>
    <cellStyle name="40% - Accent6 3 5 4 3 3" xfId="39396" xr:uid="{00000000-0005-0000-0000-00007D640000}"/>
    <cellStyle name="40% - Accent6 3 5 4 4" xfId="17641" xr:uid="{00000000-0005-0000-0000-00007E640000}"/>
    <cellStyle name="40% - Accent6 3 5 4 4 2" xfId="46647" xr:uid="{00000000-0005-0000-0000-00007F640000}"/>
    <cellStyle name="40% - Accent6 3 5 4 5" xfId="32148" xr:uid="{00000000-0005-0000-0000-000080640000}"/>
    <cellStyle name="40% - Accent6 3 5 5" xfId="4115" xr:uid="{00000000-0005-0000-0000-000081640000}"/>
    <cellStyle name="40% - Accent6 3 5 5 2" xfId="11387" xr:uid="{00000000-0005-0000-0000-000082640000}"/>
    <cellStyle name="40% - Accent6 3 5 5 2 2" xfId="25921" xr:uid="{00000000-0005-0000-0000-000083640000}"/>
    <cellStyle name="40% - Accent6 3 5 5 2 2 2" xfId="54927" xr:uid="{00000000-0005-0000-0000-000084640000}"/>
    <cellStyle name="40% - Accent6 3 5 5 2 3" xfId="40428" xr:uid="{00000000-0005-0000-0000-000085640000}"/>
    <cellStyle name="40% - Accent6 3 5 5 3" xfId="18673" xr:uid="{00000000-0005-0000-0000-000086640000}"/>
    <cellStyle name="40% - Accent6 3 5 5 3 2" xfId="47679" xr:uid="{00000000-0005-0000-0000-000087640000}"/>
    <cellStyle name="40% - Accent6 3 5 5 4" xfId="33180" xr:uid="{00000000-0005-0000-0000-000088640000}"/>
    <cellStyle name="40% - Accent6 3 5 6" xfId="7219" xr:uid="{00000000-0005-0000-0000-000089640000}"/>
    <cellStyle name="40% - Accent6 3 5 6 2" xfId="14491" xr:uid="{00000000-0005-0000-0000-00008A640000}"/>
    <cellStyle name="40% - Accent6 3 5 6 2 2" xfId="29025" xr:uid="{00000000-0005-0000-0000-00008B640000}"/>
    <cellStyle name="40% - Accent6 3 5 6 2 2 2" xfId="58031" xr:uid="{00000000-0005-0000-0000-00008C640000}"/>
    <cellStyle name="40% - Accent6 3 5 6 2 3" xfId="43532" xr:uid="{00000000-0005-0000-0000-00008D640000}"/>
    <cellStyle name="40% - Accent6 3 5 6 3" xfId="21777" xr:uid="{00000000-0005-0000-0000-00008E640000}"/>
    <cellStyle name="40% - Accent6 3 5 6 3 2" xfId="50783" xr:uid="{00000000-0005-0000-0000-00008F640000}"/>
    <cellStyle name="40% - Accent6 3 5 6 4" xfId="36284" xr:uid="{00000000-0005-0000-0000-000090640000}"/>
    <cellStyle name="40% - Accent6 3 5 7" xfId="8283" xr:uid="{00000000-0005-0000-0000-000091640000}"/>
    <cellStyle name="40% - Accent6 3 5 7 2" xfId="22817" xr:uid="{00000000-0005-0000-0000-000092640000}"/>
    <cellStyle name="40% - Accent6 3 5 7 2 2" xfId="51823" xr:uid="{00000000-0005-0000-0000-000093640000}"/>
    <cellStyle name="40% - Accent6 3 5 7 3" xfId="37324" xr:uid="{00000000-0005-0000-0000-000094640000}"/>
    <cellStyle name="40% - Accent6 3 5 8" xfId="15569" xr:uid="{00000000-0005-0000-0000-000095640000}"/>
    <cellStyle name="40% - Accent6 3 5 8 2" xfId="44575" xr:uid="{00000000-0005-0000-0000-000096640000}"/>
    <cellStyle name="40% - Accent6 3 5 9" xfId="30076" xr:uid="{00000000-0005-0000-0000-000097640000}"/>
    <cellStyle name="40% - Accent6 3 6" xfId="1301" xr:uid="{00000000-0005-0000-0000-000098640000}"/>
    <cellStyle name="40% - Accent6 3 6 2" xfId="2357" xr:uid="{00000000-0005-0000-0000-000099640000}"/>
    <cellStyle name="40% - Accent6 3 6 2 2" xfId="5461" xr:uid="{00000000-0005-0000-0000-00009A640000}"/>
    <cellStyle name="40% - Accent6 3 6 2 2 2" xfId="12733" xr:uid="{00000000-0005-0000-0000-00009B640000}"/>
    <cellStyle name="40% - Accent6 3 6 2 2 2 2" xfId="27267" xr:uid="{00000000-0005-0000-0000-00009C640000}"/>
    <cellStyle name="40% - Accent6 3 6 2 2 2 2 2" xfId="56273" xr:uid="{00000000-0005-0000-0000-00009D640000}"/>
    <cellStyle name="40% - Accent6 3 6 2 2 2 3" xfId="41774" xr:uid="{00000000-0005-0000-0000-00009E640000}"/>
    <cellStyle name="40% - Accent6 3 6 2 2 3" xfId="20019" xr:uid="{00000000-0005-0000-0000-00009F640000}"/>
    <cellStyle name="40% - Accent6 3 6 2 2 3 2" xfId="49025" xr:uid="{00000000-0005-0000-0000-0000A0640000}"/>
    <cellStyle name="40% - Accent6 3 6 2 2 4" xfId="34526" xr:uid="{00000000-0005-0000-0000-0000A1640000}"/>
    <cellStyle name="40% - Accent6 3 6 2 3" xfId="9629" xr:uid="{00000000-0005-0000-0000-0000A2640000}"/>
    <cellStyle name="40% - Accent6 3 6 2 3 2" xfId="24163" xr:uid="{00000000-0005-0000-0000-0000A3640000}"/>
    <cellStyle name="40% - Accent6 3 6 2 3 2 2" xfId="53169" xr:uid="{00000000-0005-0000-0000-0000A4640000}"/>
    <cellStyle name="40% - Accent6 3 6 2 3 3" xfId="38670" xr:uid="{00000000-0005-0000-0000-0000A5640000}"/>
    <cellStyle name="40% - Accent6 3 6 2 4" xfId="16915" xr:uid="{00000000-0005-0000-0000-0000A6640000}"/>
    <cellStyle name="40% - Accent6 3 6 2 4 2" xfId="45921" xr:uid="{00000000-0005-0000-0000-0000A7640000}"/>
    <cellStyle name="40% - Accent6 3 6 2 5" xfId="31422" xr:uid="{00000000-0005-0000-0000-0000A8640000}"/>
    <cellStyle name="40% - Accent6 3 6 3" xfId="3389" xr:uid="{00000000-0005-0000-0000-0000A9640000}"/>
    <cellStyle name="40% - Accent6 3 6 3 2" xfId="6493" xr:uid="{00000000-0005-0000-0000-0000AA640000}"/>
    <cellStyle name="40% - Accent6 3 6 3 2 2" xfId="13765" xr:uid="{00000000-0005-0000-0000-0000AB640000}"/>
    <cellStyle name="40% - Accent6 3 6 3 2 2 2" xfId="28299" xr:uid="{00000000-0005-0000-0000-0000AC640000}"/>
    <cellStyle name="40% - Accent6 3 6 3 2 2 2 2" xfId="57305" xr:uid="{00000000-0005-0000-0000-0000AD640000}"/>
    <cellStyle name="40% - Accent6 3 6 3 2 2 3" xfId="42806" xr:uid="{00000000-0005-0000-0000-0000AE640000}"/>
    <cellStyle name="40% - Accent6 3 6 3 2 3" xfId="21051" xr:uid="{00000000-0005-0000-0000-0000AF640000}"/>
    <cellStyle name="40% - Accent6 3 6 3 2 3 2" xfId="50057" xr:uid="{00000000-0005-0000-0000-0000B0640000}"/>
    <cellStyle name="40% - Accent6 3 6 3 2 4" xfId="35558" xr:uid="{00000000-0005-0000-0000-0000B1640000}"/>
    <cellStyle name="40% - Accent6 3 6 3 3" xfId="10661" xr:uid="{00000000-0005-0000-0000-0000B2640000}"/>
    <cellStyle name="40% - Accent6 3 6 3 3 2" xfId="25195" xr:uid="{00000000-0005-0000-0000-0000B3640000}"/>
    <cellStyle name="40% - Accent6 3 6 3 3 2 2" xfId="54201" xr:uid="{00000000-0005-0000-0000-0000B4640000}"/>
    <cellStyle name="40% - Accent6 3 6 3 3 3" xfId="39702" xr:uid="{00000000-0005-0000-0000-0000B5640000}"/>
    <cellStyle name="40% - Accent6 3 6 3 4" xfId="17947" xr:uid="{00000000-0005-0000-0000-0000B6640000}"/>
    <cellStyle name="40% - Accent6 3 6 3 4 2" xfId="46953" xr:uid="{00000000-0005-0000-0000-0000B7640000}"/>
    <cellStyle name="40% - Accent6 3 6 3 5" xfId="32454" xr:uid="{00000000-0005-0000-0000-0000B8640000}"/>
    <cellStyle name="40% - Accent6 3 6 4" xfId="4421" xr:uid="{00000000-0005-0000-0000-0000B9640000}"/>
    <cellStyle name="40% - Accent6 3 6 4 2" xfId="11693" xr:uid="{00000000-0005-0000-0000-0000BA640000}"/>
    <cellStyle name="40% - Accent6 3 6 4 2 2" xfId="26227" xr:uid="{00000000-0005-0000-0000-0000BB640000}"/>
    <cellStyle name="40% - Accent6 3 6 4 2 2 2" xfId="55233" xr:uid="{00000000-0005-0000-0000-0000BC640000}"/>
    <cellStyle name="40% - Accent6 3 6 4 2 3" xfId="40734" xr:uid="{00000000-0005-0000-0000-0000BD640000}"/>
    <cellStyle name="40% - Accent6 3 6 4 3" xfId="18979" xr:uid="{00000000-0005-0000-0000-0000BE640000}"/>
    <cellStyle name="40% - Accent6 3 6 4 3 2" xfId="47985" xr:uid="{00000000-0005-0000-0000-0000BF640000}"/>
    <cellStyle name="40% - Accent6 3 6 4 4" xfId="33486" xr:uid="{00000000-0005-0000-0000-0000C0640000}"/>
    <cellStyle name="40% - Accent6 3 6 5" xfId="7525" xr:uid="{00000000-0005-0000-0000-0000C1640000}"/>
    <cellStyle name="40% - Accent6 3 6 5 2" xfId="14797" xr:uid="{00000000-0005-0000-0000-0000C2640000}"/>
    <cellStyle name="40% - Accent6 3 6 5 2 2" xfId="29331" xr:uid="{00000000-0005-0000-0000-0000C3640000}"/>
    <cellStyle name="40% - Accent6 3 6 5 2 2 2" xfId="58337" xr:uid="{00000000-0005-0000-0000-0000C4640000}"/>
    <cellStyle name="40% - Accent6 3 6 5 2 3" xfId="43838" xr:uid="{00000000-0005-0000-0000-0000C5640000}"/>
    <cellStyle name="40% - Accent6 3 6 5 3" xfId="22083" xr:uid="{00000000-0005-0000-0000-0000C6640000}"/>
    <cellStyle name="40% - Accent6 3 6 5 3 2" xfId="51089" xr:uid="{00000000-0005-0000-0000-0000C7640000}"/>
    <cellStyle name="40% - Accent6 3 6 5 4" xfId="36590" xr:uid="{00000000-0005-0000-0000-0000C8640000}"/>
    <cellStyle name="40% - Accent6 3 6 6" xfId="8589" xr:uid="{00000000-0005-0000-0000-0000C9640000}"/>
    <cellStyle name="40% - Accent6 3 6 6 2" xfId="23123" xr:uid="{00000000-0005-0000-0000-0000CA640000}"/>
    <cellStyle name="40% - Accent6 3 6 6 2 2" xfId="52129" xr:uid="{00000000-0005-0000-0000-0000CB640000}"/>
    <cellStyle name="40% - Accent6 3 6 6 3" xfId="37630" xr:uid="{00000000-0005-0000-0000-0000CC640000}"/>
    <cellStyle name="40% - Accent6 3 6 7" xfId="15875" xr:uid="{00000000-0005-0000-0000-0000CD640000}"/>
    <cellStyle name="40% - Accent6 3 6 7 2" xfId="44881" xr:uid="{00000000-0005-0000-0000-0000CE640000}"/>
    <cellStyle name="40% - Accent6 3 6 8" xfId="30382" xr:uid="{00000000-0005-0000-0000-0000CF640000}"/>
    <cellStyle name="40% - Accent6 3 7" xfId="1845" xr:uid="{00000000-0005-0000-0000-0000D0640000}"/>
    <cellStyle name="40% - Accent6 3 7 2" xfId="4949" xr:uid="{00000000-0005-0000-0000-0000D1640000}"/>
    <cellStyle name="40% - Accent6 3 7 2 2" xfId="12221" xr:uid="{00000000-0005-0000-0000-0000D2640000}"/>
    <cellStyle name="40% - Accent6 3 7 2 2 2" xfId="26755" xr:uid="{00000000-0005-0000-0000-0000D3640000}"/>
    <cellStyle name="40% - Accent6 3 7 2 2 2 2" xfId="55761" xr:uid="{00000000-0005-0000-0000-0000D4640000}"/>
    <cellStyle name="40% - Accent6 3 7 2 2 3" xfId="41262" xr:uid="{00000000-0005-0000-0000-0000D5640000}"/>
    <cellStyle name="40% - Accent6 3 7 2 3" xfId="19507" xr:uid="{00000000-0005-0000-0000-0000D6640000}"/>
    <cellStyle name="40% - Accent6 3 7 2 3 2" xfId="48513" xr:uid="{00000000-0005-0000-0000-0000D7640000}"/>
    <cellStyle name="40% - Accent6 3 7 2 4" xfId="34014" xr:uid="{00000000-0005-0000-0000-0000D8640000}"/>
    <cellStyle name="40% - Accent6 3 7 3" xfId="9117" xr:uid="{00000000-0005-0000-0000-0000D9640000}"/>
    <cellStyle name="40% - Accent6 3 7 3 2" xfId="23651" xr:uid="{00000000-0005-0000-0000-0000DA640000}"/>
    <cellStyle name="40% - Accent6 3 7 3 2 2" xfId="52657" xr:uid="{00000000-0005-0000-0000-0000DB640000}"/>
    <cellStyle name="40% - Accent6 3 7 3 3" xfId="38158" xr:uid="{00000000-0005-0000-0000-0000DC640000}"/>
    <cellStyle name="40% - Accent6 3 7 4" xfId="16403" xr:uid="{00000000-0005-0000-0000-0000DD640000}"/>
    <cellStyle name="40% - Accent6 3 7 4 2" xfId="45409" xr:uid="{00000000-0005-0000-0000-0000DE640000}"/>
    <cellStyle name="40% - Accent6 3 7 5" xfId="30910" xr:uid="{00000000-0005-0000-0000-0000DF640000}"/>
    <cellStyle name="40% - Accent6 3 8" xfId="2877" xr:uid="{00000000-0005-0000-0000-0000E0640000}"/>
    <cellStyle name="40% - Accent6 3 8 2" xfId="5981" xr:uid="{00000000-0005-0000-0000-0000E1640000}"/>
    <cellStyle name="40% - Accent6 3 8 2 2" xfId="13253" xr:uid="{00000000-0005-0000-0000-0000E2640000}"/>
    <cellStyle name="40% - Accent6 3 8 2 2 2" xfId="27787" xr:uid="{00000000-0005-0000-0000-0000E3640000}"/>
    <cellStyle name="40% - Accent6 3 8 2 2 2 2" xfId="56793" xr:uid="{00000000-0005-0000-0000-0000E4640000}"/>
    <cellStyle name="40% - Accent6 3 8 2 2 3" xfId="42294" xr:uid="{00000000-0005-0000-0000-0000E5640000}"/>
    <cellStyle name="40% - Accent6 3 8 2 3" xfId="20539" xr:uid="{00000000-0005-0000-0000-0000E6640000}"/>
    <cellStyle name="40% - Accent6 3 8 2 3 2" xfId="49545" xr:uid="{00000000-0005-0000-0000-0000E7640000}"/>
    <cellStyle name="40% - Accent6 3 8 2 4" xfId="35046" xr:uid="{00000000-0005-0000-0000-0000E8640000}"/>
    <cellStyle name="40% - Accent6 3 8 3" xfId="10149" xr:uid="{00000000-0005-0000-0000-0000E9640000}"/>
    <cellStyle name="40% - Accent6 3 8 3 2" xfId="24683" xr:uid="{00000000-0005-0000-0000-0000EA640000}"/>
    <cellStyle name="40% - Accent6 3 8 3 2 2" xfId="53689" xr:uid="{00000000-0005-0000-0000-0000EB640000}"/>
    <cellStyle name="40% - Accent6 3 8 3 3" xfId="39190" xr:uid="{00000000-0005-0000-0000-0000EC640000}"/>
    <cellStyle name="40% - Accent6 3 8 4" xfId="17435" xr:uid="{00000000-0005-0000-0000-0000ED640000}"/>
    <cellStyle name="40% - Accent6 3 8 4 2" xfId="46441" xr:uid="{00000000-0005-0000-0000-0000EE640000}"/>
    <cellStyle name="40% - Accent6 3 8 5" xfId="31942" xr:uid="{00000000-0005-0000-0000-0000EF640000}"/>
    <cellStyle name="40% - Accent6 3 9" xfId="3909" xr:uid="{00000000-0005-0000-0000-0000F0640000}"/>
    <cellStyle name="40% - Accent6 3 9 2" xfId="11181" xr:uid="{00000000-0005-0000-0000-0000F1640000}"/>
    <cellStyle name="40% - Accent6 3 9 2 2" xfId="25715" xr:uid="{00000000-0005-0000-0000-0000F2640000}"/>
    <cellStyle name="40% - Accent6 3 9 2 2 2" xfId="54721" xr:uid="{00000000-0005-0000-0000-0000F3640000}"/>
    <cellStyle name="40% - Accent6 3 9 2 3" xfId="40222" xr:uid="{00000000-0005-0000-0000-0000F4640000}"/>
    <cellStyle name="40% - Accent6 3 9 3" xfId="18467" xr:uid="{00000000-0005-0000-0000-0000F5640000}"/>
    <cellStyle name="40% - Accent6 3 9 3 2" xfId="47473" xr:uid="{00000000-0005-0000-0000-0000F6640000}"/>
    <cellStyle name="40% - Accent6 3 9 4" xfId="32974" xr:uid="{00000000-0005-0000-0000-0000F7640000}"/>
    <cellStyle name="40% - Accent6 4" xfId="875" xr:uid="{00000000-0005-0000-0000-0000F8640000}"/>
    <cellStyle name="40% - Accent6 4 10" xfId="8105" xr:uid="{00000000-0005-0000-0000-0000F9640000}"/>
    <cellStyle name="40% - Accent6 4 10 2" xfId="22639" xr:uid="{00000000-0005-0000-0000-0000FA640000}"/>
    <cellStyle name="40% - Accent6 4 10 2 2" xfId="51645" xr:uid="{00000000-0005-0000-0000-0000FB640000}"/>
    <cellStyle name="40% - Accent6 4 10 3" xfId="37146" xr:uid="{00000000-0005-0000-0000-0000FC640000}"/>
    <cellStyle name="40% - Accent6 4 11" xfId="15391" xr:uid="{00000000-0005-0000-0000-0000FD640000}"/>
    <cellStyle name="40% - Accent6 4 11 2" xfId="44397" xr:uid="{00000000-0005-0000-0000-0000FE640000}"/>
    <cellStyle name="40% - Accent6 4 12" xfId="29898" xr:uid="{00000000-0005-0000-0000-0000FF640000}"/>
    <cellStyle name="40% - Accent6 4 2" xfId="955" xr:uid="{00000000-0005-0000-0000-000000650000}"/>
    <cellStyle name="40% - Accent6 4 2 10" xfId="30001" xr:uid="{00000000-0005-0000-0000-000001650000}"/>
    <cellStyle name="40% - Accent6 4 2 2" xfId="1230" xr:uid="{00000000-0005-0000-0000-000002650000}"/>
    <cellStyle name="40% - Accent6 4 2 2 2" xfId="1735" xr:uid="{00000000-0005-0000-0000-000003650000}"/>
    <cellStyle name="40% - Accent6 4 2 2 2 2" xfId="2794" xr:uid="{00000000-0005-0000-0000-000004650000}"/>
    <cellStyle name="40% - Accent6 4 2 2 2 2 2" xfId="5898" xr:uid="{00000000-0005-0000-0000-000005650000}"/>
    <cellStyle name="40% - Accent6 4 2 2 2 2 2 2" xfId="13170" xr:uid="{00000000-0005-0000-0000-000006650000}"/>
    <cellStyle name="40% - Accent6 4 2 2 2 2 2 2 2" xfId="27704" xr:uid="{00000000-0005-0000-0000-000007650000}"/>
    <cellStyle name="40% - Accent6 4 2 2 2 2 2 2 2 2" xfId="56710" xr:uid="{00000000-0005-0000-0000-000008650000}"/>
    <cellStyle name="40% - Accent6 4 2 2 2 2 2 2 3" xfId="42211" xr:uid="{00000000-0005-0000-0000-000009650000}"/>
    <cellStyle name="40% - Accent6 4 2 2 2 2 2 3" xfId="20456" xr:uid="{00000000-0005-0000-0000-00000A650000}"/>
    <cellStyle name="40% - Accent6 4 2 2 2 2 2 3 2" xfId="49462" xr:uid="{00000000-0005-0000-0000-00000B650000}"/>
    <cellStyle name="40% - Accent6 4 2 2 2 2 2 4" xfId="34963" xr:uid="{00000000-0005-0000-0000-00000C650000}"/>
    <cellStyle name="40% - Accent6 4 2 2 2 2 3" xfId="10066" xr:uid="{00000000-0005-0000-0000-00000D650000}"/>
    <cellStyle name="40% - Accent6 4 2 2 2 2 3 2" xfId="24600" xr:uid="{00000000-0005-0000-0000-00000E650000}"/>
    <cellStyle name="40% - Accent6 4 2 2 2 2 3 2 2" xfId="53606" xr:uid="{00000000-0005-0000-0000-00000F650000}"/>
    <cellStyle name="40% - Accent6 4 2 2 2 2 3 3" xfId="39107" xr:uid="{00000000-0005-0000-0000-000010650000}"/>
    <cellStyle name="40% - Accent6 4 2 2 2 2 4" xfId="17352" xr:uid="{00000000-0005-0000-0000-000011650000}"/>
    <cellStyle name="40% - Accent6 4 2 2 2 2 4 2" xfId="46358" xr:uid="{00000000-0005-0000-0000-000012650000}"/>
    <cellStyle name="40% - Accent6 4 2 2 2 2 5" xfId="31859" xr:uid="{00000000-0005-0000-0000-000013650000}"/>
    <cellStyle name="40% - Accent6 4 2 2 2 3" xfId="3826" xr:uid="{00000000-0005-0000-0000-000014650000}"/>
    <cellStyle name="40% - Accent6 4 2 2 2 3 2" xfId="6930" xr:uid="{00000000-0005-0000-0000-000015650000}"/>
    <cellStyle name="40% - Accent6 4 2 2 2 3 2 2" xfId="14202" xr:uid="{00000000-0005-0000-0000-000016650000}"/>
    <cellStyle name="40% - Accent6 4 2 2 2 3 2 2 2" xfId="28736" xr:uid="{00000000-0005-0000-0000-000017650000}"/>
    <cellStyle name="40% - Accent6 4 2 2 2 3 2 2 2 2" xfId="57742" xr:uid="{00000000-0005-0000-0000-000018650000}"/>
    <cellStyle name="40% - Accent6 4 2 2 2 3 2 2 3" xfId="43243" xr:uid="{00000000-0005-0000-0000-000019650000}"/>
    <cellStyle name="40% - Accent6 4 2 2 2 3 2 3" xfId="21488" xr:uid="{00000000-0005-0000-0000-00001A650000}"/>
    <cellStyle name="40% - Accent6 4 2 2 2 3 2 3 2" xfId="50494" xr:uid="{00000000-0005-0000-0000-00001B650000}"/>
    <cellStyle name="40% - Accent6 4 2 2 2 3 2 4" xfId="35995" xr:uid="{00000000-0005-0000-0000-00001C650000}"/>
    <cellStyle name="40% - Accent6 4 2 2 2 3 3" xfId="11098" xr:uid="{00000000-0005-0000-0000-00001D650000}"/>
    <cellStyle name="40% - Accent6 4 2 2 2 3 3 2" xfId="25632" xr:uid="{00000000-0005-0000-0000-00001E650000}"/>
    <cellStyle name="40% - Accent6 4 2 2 2 3 3 2 2" xfId="54638" xr:uid="{00000000-0005-0000-0000-00001F650000}"/>
    <cellStyle name="40% - Accent6 4 2 2 2 3 3 3" xfId="40139" xr:uid="{00000000-0005-0000-0000-000020650000}"/>
    <cellStyle name="40% - Accent6 4 2 2 2 3 4" xfId="18384" xr:uid="{00000000-0005-0000-0000-000021650000}"/>
    <cellStyle name="40% - Accent6 4 2 2 2 3 4 2" xfId="47390" xr:uid="{00000000-0005-0000-0000-000022650000}"/>
    <cellStyle name="40% - Accent6 4 2 2 2 3 5" xfId="32891" xr:uid="{00000000-0005-0000-0000-000023650000}"/>
    <cellStyle name="40% - Accent6 4 2 2 2 4" xfId="4858" xr:uid="{00000000-0005-0000-0000-000024650000}"/>
    <cellStyle name="40% - Accent6 4 2 2 2 4 2" xfId="12130" xr:uid="{00000000-0005-0000-0000-000025650000}"/>
    <cellStyle name="40% - Accent6 4 2 2 2 4 2 2" xfId="26664" xr:uid="{00000000-0005-0000-0000-000026650000}"/>
    <cellStyle name="40% - Accent6 4 2 2 2 4 2 2 2" xfId="55670" xr:uid="{00000000-0005-0000-0000-000027650000}"/>
    <cellStyle name="40% - Accent6 4 2 2 2 4 2 3" xfId="41171" xr:uid="{00000000-0005-0000-0000-000028650000}"/>
    <cellStyle name="40% - Accent6 4 2 2 2 4 3" xfId="19416" xr:uid="{00000000-0005-0000-0000-000029650000}"/>
    <cellStyle name="40% - Accent6 4 2 2 2 4 3 2" xfId="48422" xr:uid="{00000000-0005-0000-0000-00002A650000}"/>
    <cellStyle name="40% - Accent6 4 2 2 2 4 4" xfId="33923" xr:uid="{00000000-0005-0000-0000-00002B650000}"/>
    <cellStyle name="40% - Accent6 4 2 2 2 5" xfId="7962" xr:uid="{00000000-0005-0000-0000-00002C650000}"/>
    <cellStyle name="40% - Accent6 4 2 2 2 5 2" xfId="15234" xr:uid="{00000000-0005-0000-0000-00002D650000}"/>
    <cellStyle name="40% - Accent6 4 2 2 2 5 2 2" xfId="29768" xr:uid="{00000000-0005-0000-0000-00002E650000}"/>
    <cellStyle name="40% - Accent6 4 2 2 2 5 2 2 2" xfId="58774" xr:uid="{00000000-0005-0000-0000-00002F650000}"/>
    <cellStyle name="40% - Accent6 4 2 2 2 5 2 3" xfId="44275" xr:uid="{00000000-0005-0000-0000-000030650000}"/>
    <cellStyle name="40% - Accent6 4 2 2 2 5 3" xfId="22520" xr:uid="{00000000-0005-0000-0000-000031650000}"/>
    <cellStyle name="40% - Accent6 4 2 2 2 5 3 2" xfId="51526" xr:uid="{00000000-0005-0000-0000-000032650000}"/>
    <cellStyle name="40% - Accent6 4 2 2 2 5 4" xfId="37027" xr:uid="{00000000-0005-0000-0000-000033650000}"/>
    <cellStyle name="40% - Accent6 4 2 2 2 6" xfId="9026" xr:uid="{00000000-0005-0000-0000-000034650000}"/>
    <cellStyle name="40% - Accent6 4 2 2 2 6 2" xfId="23560" xr:uid="{00000000-0005-0000-0000-000035650000}"/>
    <cellStyle name="40% - Accent6 4 2 2 2 6 2 2" xfId="52566" xr:uid="{00000000-0005-0000-0000-000036650000}"/>
    <cellStyle name="40% - Accent6 4 2 2 2 6 3" xfId="38067" xr:uid="{00000000-0005-0000-0000-000037650000}"/>
    <cellStyle name="40% - Accent6 4 2 2 2 7" xfId="16312" xr:uid="{00000000-0005-0000-0000-000038650000}"/>
    <cellStyle name="40% - Accent6 4 2 2 2 7 2" xfId="45318" xr:uid="{00000000-0005-0000-0000-000039650000}"/>
    <cellStyle name="40% - Accent6 4 2 2 2 8" xfId="30819" xr:uid="{00000000-0005-0000-0000-00003A650000}"/>
    <cellStyle name="40% - Accent6 4 2 2 3" xfId="2282" xr:uid="{00000000-0005-0000-0000-00003B650000}"/>
    <cellStyle name="40% - Accent6 4 2 2 3 2" xfId="5386" xr:uid="{00000000-0005-0000-0000-00003C650000}"/>
    <cellStyle name="40% - Accent6 4 2 2 3 2 2" xfId="12658" xr:uid="{00000000-0005-0000-0000-00003D650000}"/>
    <cellStyle name="40% - Accent6 4 2 2 3 2 2 2" xfId="27192" xr:uid="{00000000-0005-0000-0000-00003E650000}"/>
    <cellStyle name="40% - Accent6 4 2 2 3 2 2 2 2" xfId="56198" xr:uid="{00000000-0005-0000-0000-00003F650000}"/>
    <cellStyle name="40% - Accent6 4 2 2 3 2 2 3" xfId="41699" xr:uid="{00000000-0005-0000-0000-000040650000}"/>
    <cellStyle name="40% - Accent6 4 2 2 3 2 3" xfId="19944" xr:uid="{00000000-0005-0000-0000-000041650000}"/>
    <cellStyle name="40% - Accent6 4 2 2 3 2 3 2" xfId="48950" xr:uid="{00000000-0005-0000-0000-000042650000}"/>
    <cellStyle name="40% - Accent6 4 2 2 3 2 4" xfId="34451" xr:uid="{00000000-0005-0000-0000-000043650000}"/>
    <cellStyle name="40% - Accent6 4 2 2 3 3" xfId="9554" xr:uid="{00000000-0005-0000-0000-000044650000}"/>
    <cellStyle name="40% - Accent6 4 2 2 3 3 2" xfId="24088" xr:uid="{00000000-0005-0000-0000-000045650000}"/>
    <cellStyle name="40% - Accent6 4 2 2 3 3 2 2" xfId="53094" xr:uid="{00000000-0005-0000-0000-000046650000}"/>
    <cellStyle name="40% - Accent6 4 2 2 3 3 3" xfId="38595" xr:uid="{00000000-0005-0000-0000-000047650000}"/>
    <cellStyle name="40% - Accent6 4 2 2 3 4" xfId="16840" xr:uid="{00000000-0005-0000-0000-000048650000}"/>
    <cellStyle name="40% - Accent6 4 2 2 3 4 2" xfId="45846" xr:uid="{00000000-0005-0000-0000-000049650000}"/>
    <cellStyle name="40% - Accent6 4 2 2 3 5" xfId="31347" xr:uid="{00000000-0005-0000-0000-00004A650000}"/>
    <cellStyle name="40% - Accent6 4 2 2 4" xfId="3314" xr:uid="{00000000-0005-0000-0000-00004B650000}"/>
    <cellStyle name="40% - Accent6 4 2 2 4 2" xfId="6418" xr:uid="{00000000-0005-0000-0000-00004C650000}"/>
    <cellStyle name="40% - Accent6 4 2 2 4 2 2" xfId="13690" xr:uid="{00000000-0005-0000-0000-00004D650000}"/>
    <cellStyle name="40% - Accent6 4 2 2 4 2 2 2" xfId="28224" xr:uid="{00000000-0005-0000-0000-00004E650000}"/>
    <cellStyle name="40% - Accent6 4 2 2 4 2 2 2 2" xfId="57230" xr:uid="{00000000-0005-0000-0000-00004F650000}"/>
    <cellStyle name="40% - Accent6 4 2 2 4 2 2 3" xfId="42731" xr:uid="{00000000-0005-0000-0000-000050650000}"/>
    <cellStyle name="40% - Accent6 4 2 2 4 2 3" xfId="20976" xr:uid="{00000000-0005-0000-0000-000051650000}"/>
    <cellStyle name="40% - Accent6 4 2 2 4 2 3 2" xfId="49982" xr:uid="{00000000-0005-0000-0000-000052650000}"/>
    <cellStyle name="40% - Accent6 4 2 2 4 2 4" xfId="35483" xr:uid="{00000000-0005-0000-0000-000053650000}"/>
    <cellStyle name="40% - Accent6 4 2 2 4 3" xfId="10586" xr:uid="{00000000-0005-0000-0000-000054650000}"/>
    <cellStyle name="40% - Accent6 4 2 2 4 3 2" xfId="25120" xr:uid="{00000000-0005-0000-0000-000055650000}"/>
    <cellStyle name="40% - Accent6 4 2 2 4 3 2 2" xfId="54126" xr:uid="{00000000-0005-0000-0000-000056650000}"/>
    <cellStyle name="40% - Accent6 4 2 2 4 3 3" xfId="39627" xr:uid="{00000000-0005-0000-0000-000057650000}"/>
    <cellStyle name="40% - Accent6 4 2 2 4 4" xfId="17872" xr:uid="{00000000-0005-0000-0000-000058650000}"/>
    <cellStyle name="40% - Accent6 4 2 2 4 4 2" xfId="46878" xr:uid="{00000000-0005-0000-0000-000059650000}"/>
    <cellStyle name="40% - Accent6 4 2 2 4 5" xfId="32379" xr:uid="{00000000-0005-0000-0000-00005A650000}"/>
    <cellStyle name="40% - Accent6 4 2 2 5" xfId="4346" xr:uid="{00000000-0005-0000-0000-00005B650000}"/>
    <cellStyle name="40% - Accent6 4 2 2 5 2" xfId="11618" xr:uid="{00000000-0005-0000-0000-00005C650000}"/>
    <cellStyle name="40% - Accent6 4 2 2 5 2 2" xfId="26152" xr:uid="{00000000-0005-0000-0000-00005D650000}"/>
    <cellStyle name="40% - Accent6 4 2 2 5 2 2 2" xfId="55158" xr:uid="{00000000-0005-0000-0000-00005E650000}"/>
    <cellStyle name="40% - Accent6 4 2 2 5 2 3" xfId="40659" xr:uid="{00000000-0005-0000-0000-00005F650000}"/>
    <cellStyle name="40% - Accent6 4 2 2 5 3" xfId="18904" xr:uid="{00000000-0005-0000-0000-000060650000}"/>
    <cellStyle name="40% - Accent6 4 2 2 5 3 2" xfId="47910" xr:uid="{00000000-0005-0000-0000-000061650000}"/>
    <cellStyle name="40% - Accent6 4 2 2 5 4" xfId="33411" xr:uid="{00000000-0005-0000-0000-000062650000}"/>
    <cellStyle name="40% - Accent6 4 2 2 6" xfId="7450" xr:uid="{00000000-0005-0000-0000-000063650000}"/>
    <cellStyle name="40% - Accent6 4 2 2 6 2" xfId="14722" xr:uid="{00000000-0005-0000-0000-000064650000}"/>
    <cellStyle name="40% - Accent6 4 2 2 6 2 2" xfId="29256" xr:uid="{00000000-0005-0000-0000-000065650000}"/>
    <cellStyle name="40% - Accent6 4 2 2 6 2 2 2" xfId="58262" xr:uid="{00000000-0005-0000-0000-000066650000}"/>
    <cellStyle name="40% - Accent6 4 2 2 6 2 3" xfId="43763" xr:uid="{00000000-0005-0000-0000-000067650000}"/>
    <cellStyle name="40% - Accent6 4 2 2 6 3" xfId="22008" xr:uid="{00000000-0005-0000-0000-000068650000}"/>
    <cellStyle name="40% - Accent6 4 2 2 6 3 2" xfId="51014" xr:uid="{00000000-0005-0000-0000-000069650000}"/>
    <cellStyle name="40% - Accent6 4 2 2 6 4" xfId="36515" xr:uid="{00000000-0005-0000-0000-00006A650000}"/>
    <cellStyle name="40% - Accent6 4 2 2 7" xfId="8514" xr:uid="{00000000-0005-0000-0000-00006B650000}"/>
    <cellStyle name="40% - Accent6 4 2 2 7 2" xfId="23048" xr:uid="{00000000-0005-0000-0000-00006C650000}"/>
    <cellStyle name="40% - Accent6 4 2 2 7 2 2" xfId="52054" xr:uid="{00000000-0005-0000-0000-00006D650000}"/>
    <cellStyle name="40% - Accent6 4 2 2 7 3" xfId="37555" xr:uid="{00000000-0005-0000-0000-00006E650000}"/>
    <cellStyle name="40% - Accent6 4 2 2 8" xfId="15800" xr:uid="{00000000-0005-0000-0000-00006F650000}"/>
    <cellStyle name="40% - Accent6 4 2 2 8 2" xfId="44806" xr:uid="{00000000-0005-0000-0000-000070650000}"/>
    <cellStyle name="40% - Accent6 4 2 2 9" xfId="30307" xr:uid="{00000000-0005-0000-0000-000071650000}"/>
    <cellStyle name="40% - Accent6 4 2 3" xfId="1430" xr:uid="{00000000-0005-0000-0000-000072650000}"/>
    <cellStyle name="40% - Accent6 4 2 3 2" xfId="2488" xr:uid="{00000000-0005-0000-0000-000073650000}"/>
    <cellStyle name="40% - Accent6 4 2 3 2 2" xfId="5592" xr:uid="{00000000-0005-0000-0000-000074650000}"/>
    <cellStyle name="40% - Accent6 4 2 3 2 2 2" xfId="12864" xr:uid="{00000000-0005-0000-0000-000075650000}"/>
    <cellStyle name="40% - Accent6 4 2 3 2 2 2 2" xfId="27398" xr:uid="{00000000-0005-0000-0000-000076650000}"/>
    <cellStyle name="40% - Accent6 4 2 3 2 2 2 2 2" xfId="56404" xr:uid="{00000000-0005-0000-0000-000077650000}"/>
    <cellStyle name="40% - Accent6 4 2 3 2 2 2 3" xfId="41905" xr:uid="{00000000-0005-0000-0000-000078650000}"/>
    <cellStyle name="40% - Accent6 4 2 3 2 2 3" xfId="20150" xr:uid="{00000000-0005-0000-0000-000079650000}"/>
    <cellStyle name="40% - Accent6 4 2 3 2 2 3 2" xfId="49156" xr:uid="{00000000-0005-0000-0000-00007A650000}"/>
    <cellStyle name="40% - Accent6 4 2 3 2 2 4" xfId="34657" xr:uid="{00000000-0005-0000-0000-00007B650000}"/>
    <cellStyle name="40% - Accent6 4 2 3 2 3" xfId="9760" xr:uid="{00000000-0005-0000-0000-00007C650000}"/>
    <cellStyle name="40% - Accent6 4 2 3 2 3 2" xfId="24294" xr:uid="{00000000-0005-0000-0000-00007D650000}"/>
    <cellStyle name="40% - Accent6 4 2 3 2 3 2 2" xfId="53300" xr:uid="{00000000-0005-0000-0000-00007E650000}"/>
    <cellStyle name="40% - Accent6 4 2 3 2 3 3" xfId="38801" xr:uid="{00000000-0005-0000-0000-00007F650000}"/>
    <cellStyle name="40% - Accent6 4 2 3 2 4" xfId="17046" xr:uid="{00000000-0005-0000-0000-000080650000}"/>
    <cellStyle name="40% - Accent6 4 2 3 2 4 2" xfId="46052" xr:uid="{00000000-0005-0000-0000-000081650000}"/>
    <cellStyle name="40% - Accent6 4 2 3 2 5" xfId="31553" xr:uid="{00000000-0005-0000-0000-000082650000}"/>
    <cellStyle name="40% - Accent6 4 2 3 3" xfId="3520" xr:uid="{00000000-0005-0000-0000-000083650000}"/>
    <cellStyle name="40% - Accent6 4 2 3 3 2" xfId="6624" xr:uid="{00000000-0005-0000-0000-000084650000}"/>
    <cellStyle name="40% - Accent6 4 2 3 3 2 2" xfId="13896" xr:uid="{00000000-0005-0000-0000-000085650000}"/>
    <cellStyle name="40% - Accent6 4 2 3 3 2 2 2" xfId="28430" xr:uid="{00000000-0005-0000-0000-000086650000}"/>
    <cellStyle name="40% - Accent6 4 2 3 3 2 2 2 2" xfId="57436" xr:uid="{00000000-0005-0000-0000-000087650000}"/>
    <cellStyle name="40% - Accent6 4 2 3 3 2 2 3" xfId="42937" xr:uid="{00000000-0005-0000-0000-000088650000}"/>
    <cellStyle name="40% - Accent6 4 2 3 3 2 3" xfId="21182" xr:uid="{00000000-0005-0000-0000-000089650000}"/>
    <cellStyle name="40% - Accent6 4 2 3 3 2 3 2" xfId="50188" xr:uid="{00000000-0005-0000-0000-00008A650000}"/>
    <cellStyle name="40% - Accent6 4 2 3 3 2 4" xfId="35689" xr:uid="{00000000-0005-0000-0000-00008B650000}"/>
    <cellStyle name="40% - Accent6 4 2 3 3 3" xfId="10792" xr:uid="{00000000-0005-0000-0000-00008C650000}"/>
    <cellStyle name="40% - Accent6 4 2 3 3 3 2" xfId="25326" xr:uid="{00000000-0005-0000-0000-00008D650000}"/>
    <cellStyle name="40% - Accent6 4 2 3 3 3 2 2" xfId="54332" xr:uid="{00000000-0005-0000-0000-00008E650000}"/>
    <cellStyle name="40% - Accent6 4 2 3 3 3 3" xfId="39833" xr:uid="{00000000-0005-0000-0000-00008F650000}"/>
    <cellStyle name="40% - Accent6 4 2 3 3 4" xfId="18078" xr:uid="{00000000-0005-0000-0000-000090650000}"/>
    <cellStyle name="40% - Accent6 4 2 3 3 4 2" xfId="47084" xr:uid="{00000000-0005-0000-0000-000091650000}"/>
    <cellStyle name="40% - Accent6 4 2 3 3 5" xfId="32585" xr:uid="{00000000-0005-0000-0000-000092650000}"/>
    <cellStyle name="40% - Accent6 4 2 3 4" xfId="4552" xr:uid="{00000000-0005-0000-0000-000093650000}"/>
    <cellStyle name="40% - Accent6 4 2 3 4 2" xfId="11824" xr:uid="{00000000-0005-0000-0000-000094650000}"/>
    <cellStyle name="40% - Accent6 4 2 3 4 2 2" xfId="26358" xr:uid="{00000000-0005-0000-0000-000095650000}"/>
    <cellStyle name="40% - Accent6 4 2 3 4 2 2 2" xfId="55364" xr:uid="{00000000-0005-0000-0000-000096650000}"/>
    <cellStyle name="40% - Accent6 4 2 3 4 2 3" xfId="40865" xr:uid="{00000000-0005-0000-0000-000097650000}"/>
    <cellStyle name="40% - Accent6 4 2 3 4 3" xfId="19110" xr:uid="{00000000-0005-0000-0000-000098650000}"/>
    <cellStyle name="40% - Accent6 4 2 3 4 3 2" xfId="48116" xr:uid="{00000000-0005-0000-0000-000099650000}"/>
    <cellStyle name="40% - Accent6 4 2 3 4 4" xfId="33617" xr:uid="{00000000-0005-0000-0000-00009A650000}"/>
    <cellStyle name="40% - Accent6 4 2 3 5" xfId="7656" xr:uid="{00000000-0005-0000-0000-00009B650000}"/>
    <cellStyle name="40% - Accent6 4 2 3 5 2" xfId="14928" xr:uid="{00000000-0005-0000-0000-00009C650000}"/>
    <cellStyle name="40% - Accent6 4 2 3 5 2 2" xfId="29462" xr:uid="{00000000-0005-0000-0000-00009D650000}"/>
    <cellStyle name="40% - Accent6 4 2 3 5 2 2 2" xfId="58468" xr:uid="{00000000-0005-0000-0000-00009E650000}"/>
    <cellStyle name="40% - Accent6 4 2 3 5 2 3" xfId="43969" xr:uid="{00000000-0005-0000-0000-00009F650000}"/>
    <cellStyle name="40% - Accent6 4 2 3 5 3" xfId="22214" xr:uid="{00000000-0005-0000-0000-0000A0650000}"/>
    <cellStyle name="40% - Accent6 4 2 3 5 3 2" xfId="51220" xr:uid="{00000000-0005-0000-0000-0000A1650000}"/>
    <cellStyle name="40% - Accent6 4 2 3 5 4" xfId="36721" xr:uid="{00000000-0005-0000-0000-0000A2650000}"/>
    <cellStyle name="40% - Accent6 4 2 3 6" xfId="8720" xr:uid="{00000000-0005-0000-0000-0000A3650000}"/>
    <cellStyle name="40% - Accent6 4 2 3 6 2" xfId="23254" xr:uid="{00000000-0005-0000-0000-0000A4650000}"/>
    <cellStyle name="40% - Accent6 4 2 3 6 2 2" xfId="52260" xr:uid="{00000000-0005-0000-0000-0000A5650000}"/>
    <cellStyle name="40% - Accent6 4 2 3 6 3" xfId="37761" xr:uid="{00000000-0005-0000-0000-0000A6650000}"/>
    <cellStyle name="40% - Accent6 4 2 3 7" xfId="16006" xr:uid="{00000000-0005-0000-0000-0000A7650000}"/>
    <cellStyle name="40% - Accent6 4 2 3 7 2" xfId="45012" xr:uid="{00000000-0005-0000-0000-0000A8650000}"/>
    <cellStyle name="40% - Accent6 4 2 3 8" xfId="30513" xr:uid="{00000000-0005-0000-0000-0000A9650000}"/>
    <cellStyle name="40% - Accent6 4 2 4" xfId="1976" xr:uid="{00000000-0005-0000-0000-0000AA650000}"/>
    <cellStyle name="40% - Accent6 4 2 4 2" xfId="5080" xr:uid="{00000000-0005-0000-0000-0000AB650000}"/>
    <cellStyle name="40% - Accent6 4 2 4 2 2" xfId="12352" xr:uid="{00000000-0005-0000-0000-0000AC650000}"/>
    <cellStyle name="40% - Accent6 4 2 4 2 2 2" xfId="26886" xr:uid="{00000000-0005-0000-0000-0000AD650000}"/>
    <cellStyle name="40% - Accent6 4 2 4 2 2 2 2" xfId="55892" xr:uid="{00000000-0005-0000-0000-0000AE650000}"/>
    <cellStyle name="40% - Accent6 4 2 4 2 2 3" xfId="41393" xr:uid="{00000000-0005-0000-0000-0000AF650000}"/>
    <cellStyle name="40% - Accent6 4 2 4 2 3" xfId="19638" xr:uid="{00000000-0005-0000-0000-0000B0650000}"/>
    <cellStyle name="40% - Accent6 4 2 4 2 3 2" xfId="48644" xr:uid="{00000000-0005-0000-0000-0000B1650000}"/>
    <cellStyle name="40% - Accent6 4 2 4 2 4" xfId="34145" xr:uid="{00000000-0005-0000-0000-0000B2650000}"/>
    <cellStyle name="40% - Accent6 4 2 4 3" xfId="9248" xr:uid="{00000000-0005-0000-0000-0000B3650000}"/>
    <cellStyle name="40% - Accent6 4 2 4 3 2" xfId="23782" xr:uid="{00000000-0005-0000-0000-0000B4650000}"/>
    <cellStyle name="40% - Accent6 4 2 4 3 2 2" xfId="52788" xr:uid="{00000000-0005-0000-0000-0000B5650000}"/>
    <cellStyle name="40% - Accent6 4 2 4 3 3" xfId="38289" xr:uid="{00000000-0005-0000-0000-0000B6650000}"/>
    <cellStyle name="40% - Accent6 4 2 4 4" xfId="16534" xr:uid="{00000000-0005-0000-0000-0000B7650000}"/>
    <cellStyle name="40% - Accent6 4 2 4 4 2" xfId="45540" xr:uid="{00000000-0005-0000-0000-0000B8650000}"/>
    <cellStyle name="40% - Accent6 4 2 4 5" xfId="31041" xr:uid="{00000000-0005-0000-0000-0000B9650000}"/>
    <cellStyle name="40% - Accent6 4 2 5" xfId="3008" xr:uid="{00000000-0005-0000-0000-0000BA650000}"/>
    <cellStyle name="40% - Accent6 4 2 5 2" xfId="6112" xr:uid="{00000000-0005-0000-0000-0000BB650000}"/>
    <cellStyle name="40% - Accent6 4 2 5 2 2" xfId="13384" xr:uid="{00000000-0005-0000-0000-0000BC650000}"/>
    <cellStyle name="40% - Accent6 4 2 5 2 2 2" xfId="27918" xr:uid="{00000000-0005-0000-0000-0000BD650000}"/>
    <cellStyle name="40% - Accent6 4 2 5 2 2 2 2" xfId="56924" xr:uid="{00000000-0005-0000-0000-0000BE650000}"/>
    <cellStyle name="40% - Accent6 4 2 5 2 2 3" xfId="42425" xr:uid="{00000000-0005-0000-0000-0000BF650000}"/>
    <cellStyle name="40% - Accent6 4 2 5 2 3" xfId="20670" xr:uid="{00000000-0005-0000-0000-0000C0650000}"/>
    <cellStyle name="40% - Accent6 4 2 5 2 3 2" xfId="49676" xr:uid="{00000000-0005-0000-0000-0000C1650000}"/>
    <cellStyle name="40% - Accent6 4 2 5 2 4" xfId="35177" xr:uid="{00000000-0005-0000-0000-0000C2650000}"/>
    <cellStyle name="40% - Accent6 4 2 5 3" xfId="10280" xr:uid="{00000000-0005-0000-0000-0000C3650000}"/>
    <cellStyle name="40% - Accent6 4 2 5 3 2" xfId="24814" xr:uid="{00000000-0005-0000-0000-0000C4650000}"/>
    <cellStyle name="40% - Accent6 4 2 5 3 2 2" xfId="53820" xr:uid="{00000000-0005-0000-0000-0000C5650000}"/>
    <cellStyle name="40% - Accent6 4 2 5 3 3" xfId="39321" xr:uid="{00000000-0005-0000-0000-0000C6650000}"/>
    <cellStyle name="40% - Accent6 4 2 5 4" xfId="17566" xr:uid="{00000000-0005-0000-0000-0000C7650000}"/>
    <cellStyle name="40% - Accent6 4 2 5 4 2" xfId="46572" xr:uid="{00000000-0005-0000-0000-0000C8650000}"/>
    <cellStyle name="40% - Accent6 4 2 5 5" xfId="32073" xr:uid="{00000000-0005-0000-0000-0000C9650000}"/>
    <cellStyle name="40% - Accent6 4 2 6" xfId="4040" xr:uid="{00000000-0005-0000-0000-0000CA650000}"/>
    <cellStyle name="40% - Accent6 4 2 6 2" xfId="11312" xr:uid="{00000000-0005-0000-0000-0000CB650000}"/>
    <cellStyle name="40% - Accent6 4 2 6 2 2" xfId="25846" xr:uid="{00000000-0005-0000-0000-0000CC650000}"/>
    <cellStyle name="40% - Accent6 4 2 6 2 2 2" xfId="54852" xr:uid="{00000000-0005-0000-0000-0000CD650000}"/>
    <cellStyle name="40% - Accent6 4 2 6 2 3" xfId="40353" xr:uid="{00000000-0005-0000-0000-0000CE650000}"/>
    <cellStyle name="40% - Accent6 4 2 6 3" xfId="18598" xr:uid="{00000000-0005-0000-0000-0000CF650000}"/>
    <cellStyle name="40% - Accent6 4 2 6 3 2" xfId="47604" xr:uid="{00000000-0005-0000-0000-0000D0650000}"/>
    <cellStyle name="40% - Accent6 4 2 6 4" xfId="33105" xr:uid="{00000000-0005-0000-0000-0000D1650000}"/>
    <cellStyle name="40% - Accent6 4 2 7" xfId="7144" xr:uid="{00000000-0005-0000-0000-0000D2650000}"/>
    <cellStyle name="40% - Accent6 4 2 7 2" xfId="14416" xr:uid="{00000000-0005-0000-0000-0000D3650000}"/>
    <cellStyle name="40% - Accent6 4 2 7 2 2" xfId="28950" xr:uid="{00000000-0005-0000-0000-0000D4650000}"/>
    <cellStyle name="40% - Accent6 4 2 7 2 2 2" xfId="57956" xr:uid="{00000000-0005-0000-0000-0000D5650000}"/>
    <cellStyle name="40% - Accent6 4 2 7 2 3" xfId="43457" xr:uid="{00000000-0005-0000-0000-0000D6650000}"/>
    <cellStyle name="40% - Accent6 4 2 7 3" xfId="21702" xr:uid="{00000000-0005-0000-0000-0000D7650000}"/>
    <cellStyle name="40% - Accent6 4 2 7 3 2" xfId="50708" xr:uid="{00000000-0005-0000-0000-0000D8650000}"/>
    <cellStyle name="40% - Accent6 4 2 7 4" xfId="36209" xr:uid="{00000000-0005-0000-0000-0000D9650000}"/>
    <cellStyle name="40% - Accent6 4 2 8" xfId="8208" xr:uid="{00000000-0005-0000-0000-0000DA650000}"/>
    <cellStyle name="40% - Accent6 4 2 8 2" xfId="22742" xr:uid="{00000000-0005-0000-0000-0000DB650000}"/>
    <cellStyle name="40% - Accent6 4 2 8 2 2" xfId="51748" xr:uid="{00000000-0005-0000-0000-0000DC650000}"/>
    <cellStyle name="40% - Accent6 4 2 8 3" xfId="37249" xr:uid="{00000000-0005-0000-0000-0000DD650000}"/>
    <cellStyle name="40% - Accent6 4 2 9" xfId="15494" xr:uid="{00000000-0005-0000-0000-0000DE650000}"/>
    <cellStyle name="40% - Accent6 4 2 9 2" xfId="44500" xr:uid="{00000000-0005-0000-0000-0000DF650000}"/>
    <cellStyle name="40% - Accent6 4 3" xfId="1134" xr:uid="{00000000-0005-0000-0000-0000E0650000}"/>
    <cellStyle name="40% - Accent6 4 3 2" xfId="1632" xr:uid="{00000000-0005-0000-0000-0000E1650000}"/>
    <cellStyle name="40% - Accent6 4 3 2 2" xfId="2691" xr:uid="{00000000-0005-0000-0000-0000E2650000}"/>
    <cellStyle name="40% - Accent6 4 3 2 2 2" xfId="5795" xr:uid="{00000000-0005-0000-0000-0000E3650000}"/>
    <cellStyle name="40% - Accent6 4 3 2 2 2 2" xfId="13067" xr:uid="{00000000-0005-0000-0000-0000E4650000}"/>
    <cellStyle name="40% - Accent6 4 3 2 2 2 2 2" xfId="27601" xr:uid="{00000000-0005-0000-0000-0000E5650000}"/>
    <cellStyle name="40% - Accent6 4 3 2 2 2 2 2 2" xfId="56607" xr:uid="{00000000-0005-0000-0000-0000E6650000}"/>
    <cellStyle name="40% - Accent6 4 3 2 2 2 2 3" xfId="42108" xr:uid="{00000000-0005-0000-0000-0000E7650000}"/>
    <cellStyle name="40% - Accent6 4 3 2 2 2 3" xfId="20353" xr:uid="{00000000-0005-0000-0000-0000E8650000}"/>
    <cellStyle name="40% - Accent6 4 3 2 2 2 3 2" xfId="49359" xr:uid="{00000000-0005-0000-0000-0000E9650000}"/>
    <cellStyle name="40% - Accent6 4 3 2 2 2 4" xfId="34860" xr:uid="{00000000-0005-0000-0000-0000EA650000}"/>
    <cellStyle name="40% - Accent6 4 3 2 2 3" xfId="9963" xr:uid="{00000000-0005-0000-0000-0000EB650000}"/>
    <cellStyle name="40% - Accent6 4 3 2 2 3 2" xfId="24497" xr:uid="{00000000-0005-0000-0000-0000EC650000}"/>
    <cellStyle name="40% - Accent6 4 3 2 2 3 2 2" xfId="53503" xr:uid="{00000000-0005-0000-0000-0000ED650000}"/>
    <cellStyle name="40% - Accent6 4 3 2 2 3 3" xfId="39004" xr:uid="{00000000-0005-0000-0000-0000EE650000}"/>
    <cellStyle name="40% - Accent6 4 3 2 2 4" xfId="17249" xr:uid="{00000000-0005-0000-0000-0000EF650000}"/>
    <cellStyle name="40% - Accent6 4 3 2 2 4 2" xfId="46255" xr:uid="{00000000-0005-0000-0000-0000F0650000}"/>
    <cellStyle name="40% - Accent6 4 3 2 2 5" xfId="31756" xr:uid="{00000000-0005-0000-0000-0000F1650000}"/>
    <cellStyle name="40% - Accent6 4 3 2 3" xfId="3723" xr:uid="{00000000-0005-0000-0000-0000F2650000}"/>
    <cellStyle name="40% - Accent6 4 3 2 3 2" xfId="6827" xr:uid="{00000000-0005-0000-0000-0000F3650000}"/>
    <cellStyle name="40% - Accent6 4 3 2 3 2 2" xfId="14099" xr:uid="{00000000-0005-0000-0000-0000F4650000}"/>
    <cellStyle name="40% - Accent6 4 3 2 3 2 2 2" xfId="28633" xr:uid="{00000000-0005-0000-0000-0000F5650000}"/>
    <cellStyle name="40% - Accent6 4 3 2 3 2 2 2 2" xfId="57639" xr:uid="{00000000-0005-0000-0000-0000F6650000}"/>
    <cellStyle name="40% - Accent6 4 3 2 3 2 2 3" xfId="43140" xr:uid="{00000000-0005-0000-0000-0000F7650000}"/>
    <cellStyle name="40% - Accent6 4 3 2 3 2 3" xfId="21385" xr:uid="{00000000-0005-0000-0000-0000F8650000}"/>
    <cellStyle name="40% - Accent6 4 3 2 3 2 3 2" xfId="50391" xr:uid="{00000000-0005-0000-0000-0000F9650000}"/>
    <cellStyle name="40% - Accent6 4 3 2 3 2 4" xfId="35892" xr:uid="{00000000-0005-0000-0000-0000FA650000}"/>
    <cellStyle name="40% - Accent6 4 3 2 3 3" xfId="10995" xr:uid="{00000000-0005-0000-0000-0000FB650000}"/>
    <cellStyle name="40% - Accent6 4 3 2 3 3 2" xfId="25529" xr:uid="{00000000-0005-0000-0000-0000FC650000}"/>
    <cellStyle name="40% - Accent6 4 3 2 3 3 2 2" xfId="54535" xr:uid="{00000000-0005-0000-0000-0000FD650000}"/>
    <cellStyle name="40% - Accent6 4 3 2 3 3 3" xfId="40036" xr:uid="{00000000-0005-0000-0000-0000FE650000}"/>
    <cellStyle name="40% - Accent6 4 3 2 3 4" xfId="18281" xr:uid="{00000000-0005-0000-0000-0000FF650000}"/>
    <cellStyle name="40% - Accent6 4 3 2 3 4 2" xfId="47287" xr:uid="{00000000-0005-0000-0000-000000660000}"/>
    <cellStyle name="40% - Accent6 4 3 2 3 5" xfId="32788" xr:uid="{00000000-0005-0000-0000-000001660000}"/>
    <cellStyle name="40% - Accent6 4 3 2 4" xfId="4755" xr:uid="{00000000-0005-0000-0000-000002660000}"/>
    <cellStyle name="40% - Accent6 4 3 2 4 2" xfId="12027" xr:uid="{00000000-0005-0000-0000-000003660000}"/>
    <cellStyle name="40% - Accent6 4 3 2 4 2 2" xfId="26561" xr:uid="{00000000-0005-0000-0000-000004660000}"/>
    <cellStyle name="40% - Accent6 4 3 2 4 2 2 2" xfId="55567" xr:uid="{00000000-0005-0000-0000-000005660000}"/>
    <cellStyle name="40% - Accent6 4 3 2 4 2 3" xfId="41068" xr:uid="{00000000-0005-0000-0000-000006660000}"/>
    <cellStyle name="40% - Accent6 4 3 2 4 3" xfId="19313" xr:uid="{00000000-0005-0000-0000-000007660000}"/>
    <cellStyle name="40% - Accent6 4 3 2 4 3 2" xfId="48319" xr:uid="{00000000-0005-0000-0000-000008660000}"/>
    <cellStyle name="40% - Accent6 4 3 2 4 4" xfId="33820" xr:uid="{00000000-0005-0000-0000-000009660000}"/>
    <cellStyle name="40% - Accent6 4 3 2 5" xfId="7859" xr:uid="{00000000-0005-0000-0000-00000A660000}"/>
    <cellStyle name="40% - Accent6 4 3 2 5 2" xfId="15131" xr:uid="{00000000-0005-0000-0000-00000B660000}"/>
    <cellStyle name="40% - Accent6 4 3 2 5 2 2" xfId="29665" xr:uid="{00000000-0005-0000-0000-00000C660000}"/>
    <cellStyle name="40% - Accent6 4 3 2 5 2 2 2" xfId="58671" xr:uid="{00000000-0005-0000-0000-00000D660000}"/>
    <cellStyle name="40% - Accent6 4 3 2 5 2 3" xfId="44172" xr:uid="{00000000-0005-0000-0000-00000E660000}"/>
    <cellStyle name="40% - Accent6 4 3 2 5 3" xfId="22417" xr:uid="{00000000-0005-0000-0000-00000F660000}"/>
    <cellStyle name="40% - Accent6 4 3 2 5 3 2" xfId="51423" xr:uid="{00000000-0005-0000-0000-000010660000}"/>
    <cellStyle name="40% - Accent6 4 3 2 5 4" xfId="36924" xr:uid="{00000000-0005-0000-0000-000011660000}"/>
    <cellStyle name="40% - Accent6 4 3 2 6" xfId="8923" xr:uid="{00000000-0005-0000-0000-000012660000}"/>
    <cellStyle name="40% - Accent6 4 3 2 6 2" xfId="23457" xr:uid="{00000000-0005-0000-0000-000013660000}"/>
    <cellStyle name="40% - Accent6 4 3 2 6 2 2" xfId="52463" xr:uid="{00000000-0005-0000-0000-000014660000}"/>
    <cellStyle name="40% - Accent6 4 3 2 6 3" xfId="37964" xr:uid="{00000000-0005-0000-0000-000015660000}"/>
    <cellStyle name="40% - Accent6 4 3 2 7" xfId="16209" xr:uid="{00000000-0005-0000-0000-000016660000}"/>
    <cellStyle name="40% - Accent6 4 3 2 7 2" xfId="45215" xr:uid="{00000000-0005-0000-0000-000017660000}"/>
    <cellStyle name="40% - Accent6 4 3 2 8" xfId="30716" xr:uid="{00000000-0005-0000-0000-000018660000}"/>
    <cellStyle name="40% - Accent6 4 3 3" xfId="2179" xr:uid="{00000000-0005-0000-0000-000019660000}"/>
    <cellStyle name="40% - Accent6 4 3 3 2" xfId="5283" xr:uid="{00000000-0005-0000-0000-00001A660000}"/>
    <cellStyle name="40% - Accent6 4 3 3 2 2" xfId="12555" xr:uid="{00000000-0005-0000-0000-00001B660000}"/>
    <cellStyle name="40% - Accent6 4 3 3 2 2 2" xfId="27089" xr:uid="{00000000-0005-0000-0000-00001C660000}"/>
    <cellStyle name="40% - Accent6 4 3 3 2 2 2 2" xfId="56095" xr:uid="{00000000-0005-0000-0000-00001D660000}"/>
    <cellStyle name="40% - Accent6 4 3 3 2 2 3" xfId="41596" xr:uid="{00000000-0005-0000-0000-00001E660000}"/>
    <cellStyle name="40% - Accent6 4 3 3 2 3" xfId="19841" xr:uid="{00000000-0005-0000-0000-00001F660000}"/>
    <cellStyle name="40% - Accent6 4 3 3 2 3 2" xfId="48847" xr:uid="{00000000-0005-0000-0000-000020660000}"/>
    <cellStyle name="40% - Accent6 4 3 3 2 4" xfId="34348" xr:uid="{00000000-0005-0000-0000-000021660000}"/>
    <cellStyle name="40% - Accent6 4 3 3 3" xfId="9451" xr:uid="{00000000-0005-0000-0000-000022660000}"/>
    <cellStyle name="40% - Accent6 4 3 3 3 2" xfId="23985" xr:uid="{00000000-0005-0000-0000-000023660000}"/>
    <cellStyle name="40% - Accent6 4 3 3 3 2 2" xfId="52991" xr:uid="{00000000-0005-0000-0000-000024660000}"/>
    <cellStyle name="40% - Accent6 4 3 3 3 3" xfId="38492" xr:uid="{00000000-0005-0000-0000-000025660000}"/>
    <cellStyle name="40% - Accent6 4 3 3 4" xfId="16737" xr:uid="{00000000-0005-0000-0000-000026660000}"/>
    <cellStyle name="40% - Accent6 4 3 3 4 2" xfId="45743" xr:uid="{00000000-0005-0000-0000-000027660000}"/>
    <cellStyle name="40% - Accent6 4 3 3 5" xfId="31244" xr:uid="{00000000-0005-0000-0000-000028660000}"/>
    <cellStyle name="40% - Accent6 4 3 4" xfId="3211" xr:uid="{00000000-0005-0000-0000-000029660000}"/>
    <cellStyle name="40% - Accent6 4 3 4 2" xfId="6315" xr:uid="{00000000-0005-0000-0000-00002A660000}"/>
    <cellStyle name="40% - Accent6 4 3 4 2 2" xfId="13587" xr:uid="{00000000-0005-0000-0000-00002B660000}"/>
    <cellStyle name="40% - Accent6 4 3 4 2 2 2" xfId="28121" xr:uid="{00000000-0005-0000-0000-00002C660000}"/>
    <cellStyle name="40% - Accent6 4 3 4 2 2 2 2" xfId="57127" xr:uid="{00000000-0005-0000-0000-00002D660000}"/>
    <cellStyle name="40% - Accent6 4 3 4 2 2 3" xfId="42628" xr:uid="{00000000-0005-0000-0000-00002E660000}"/>
    <cellStyle name="40% - Accent6 4 3 4 2 3" xfId="20873" xr:uid="{00000000-0005-0000-0000-00002F660000}"/>
    <cellStyle name="40% - Accent6 4 3 4 2 3 2" xfId="49879" xr:uid="{00000000-0005-0000-0000-000030660000}"/>
    <cellStyle name="40% - Accent6 4 3 4 2 4" xfId="35380" xr:uid="{00000000-0005-0000-0000-000031660000}"/>
    <cellStyle name="40% - Accent6 4 3 4 3" xfId="10483" xr:uid="{00000000-0005-0000-0000-000032660000}"/>
    <cellStyle name="40% - Accent6 4 3 4 3 2" xfId="25017" xr:uid="{00000000-0005-0000-0000-000033660000}"/>
    <cellStyle name="40% - Accent6 4 3 4 3 2 2" xfId="54023" xr:uid="{00000000-0005-0000-0000-000034660000}"/>
    <cellStyle name="40% - Accent6 4 3 4 3 3" xfId="39524" xr:uid="{00000000-0005-0000-0000-000035660000}"/>
    <cellStyle name="40% - Accent6 4 3 4 4" xfId="17769" xr:uid="{00000000-0005-0000-0000-000036660000}"/>
    <cellStyle name="40% - Accent6 4 3 4 4 2" xfId="46775" xr:uid="{00000000-0005-0000-0000-000037660000}"/>
    <cellStyle name="40% - Accent6 4 3 4 5" xfId="32276" xr:uid="{00000000-0005-0000-0000-000038660000}"/>
    <cellStyle name="40% - Accent6 4 3 5" xfId="4243" xr:uid="{00000000-0005-0000-0000-000039660000}"/>
    <cellStyle name="40% - Accent6 4 3 5 2" xfId="11515" xr:uid="{00000000-0005-0000-0000-00003A660000}"/>
    <cellStyle name="40% - Accent6 4 3 5 2 2" xfId="26049" xr:uid="{00000000-0005-0000-0000-00003B660000}"/>
    <cellStyle name="40% - Accent6 4 3 5 2 2 2" xfId="55055" xr:uid="{00000000-0005-0000-0000-00003C660000}"/>
    <cellStyle name="40% - Accent6 4 3 5 2 3" xfId="40556" xr:uid="{00000000-0005-0000-0000-00003D660000}"/>
    <cellStyle name="40% - Accent6 4 3 5 3" xfId="18801" xr:uid="{00000000-0005-0000-0000-00003E660000}"/>
    <cellStyle name="40% - Accent6 4 3 5 3 2" xfId="47807" xr:uid="{00000000-0005-0000-0000-00003F660000}"/>
    <cellStyle name="40% - Accent6 4 3 5 4" xfId="33308" xr:uid="{00000000-0005-0000-0000-000040660000}"/>
    <cellStyle name="40% - Accent6 4 3 6" xfId="7347" xr:uid="{00000000-0005-0000-0000-000041660000}"/>
    <cellStyle name="40% - Accent6 4 3 6 2" xfId="14619" xr:uid="{00000000-0005-0000-0000-000042660000}"/>
    <cellStyle name="40% - Accent6 4 3 6 2 2" xfId="29153" xr:uid="{00000000-0005-0000-0000-000043660000}"/>
    <cellStyle name="40% - Accent6 4 3 6 2 2 2" xfId="58159" xr:uid="{00000000-0005-0000-0000-000044660000}"/>
    <cellStyle name="40% - Accent6 4 3 6 2 3" xfId="43660" xr:uid="{00000000-0005-0000-0000-000045660000}"/>
    <cellStyle name="40% - Accent6 4 3 6 3" xfId="21905" xr:uid="{00000000-0005-0000-0000-000046660000}"/>
    <cellStyle name="40% - Accent6 4 3 6 3 2" xfId="50911" xr:uid="{00000000-0005-0000-0000-000047660000}"/>
    <cellStyle name="40% - Accent6 4 3 6 4" xfId="36412" xr:uid="{00000000-0005-0000-0000-000048660000}"/>
    <cellStyle name="40% - Accent6 4 3 7" xfId="8411" xr:uid="{00000000-0005-0000-0000-000049660000}"/>
    <cellStyle name="40% - Accent6 4 3 7 2" xfId="22945" xr:uid="{00000000-0005-0000-0000-00004A660000}"/>
    <cellStyle name="40% - Accent6 4 3 7 2 2" xfId="51951" xr:uid="{00000000-0005-0000-0000-00004B660000}"/>
    <cellStyle name="40% - Accent6 4 3 7 3" xfId="37452" xr:uid="{00000000-0005-0000-0000-00004C660000}"/>
    <cellStyle name="40% - Accent6 4 3 8" xfId="15697" xr:uid="{00000000-0005-0000-0000-00004D660000}"/>
    <cellStyle name="40% - Accent6 4 3 8 2" xfId="44703" xr:uid="{00000000-0005-0000-0000-00004E660000}"/>
    <cellStyle name="40% - Accent6 4 3 9" xfId="30204" xr:uid="{00000000-0005-0000-0000-00004F660000}"/>
    <cellStyle name="40% - Accent6 4 4" xfId="1043" xr:uid="{00000000-0005-0000-0000-000050660000}"/>
    <cellStyle name="40% - Accent6 4 4 2" xfId="1533" xr:uid="{00000000-0005-0000-0000-000051660000}"/>
    <cellStyle name="40% - Accent6 4 4 2 2" xfId="2591" xr:uid="{00000000-0005-0000-0000-000052660000}"/>
    <cellStyle name="40% - Accent6 4 4 2 2 2" xfId="5695" xr:uid="{00000000-0005-0000-0000-000053660000}"/>
    <cellStyle name="40% - Accent6 4 4 2 2 2 2" xfId="12967" xr:uid="{00000000-0005-0000-0000-000054660000}"/>
    <cellStyle name="40% - Accent6 4 4 2 2 2 2 2" xfId="27501" xr:uid="{00000000-0005-0000-0000-000055660000}"/>
    <cellStyle name="40% - Accent6 4 4 2 2 2 2 2 2" xfId="56507" xr:uid="{00000000-0005-0000-0000-000056660000}"/>
    <cellStyle name="40% - Accent6 4 4 2 2 2 2 3" xfId="42008" xr:uid="{00000000-0005-0000-0000-000057660000}"/>
    <cellStyle name="40% - Accent6 4 4 2 2 2 3" xfId="20253" xr:uid="{00000000-0005-0000-0000-000058660000}"/>
    <cellStyle name="40% - Accent6 4 4 2 2 2 3 2" xfId="49259" xr:uid="{00000000-0005-0000-0000-000059660000}"/>
    <cellStyle name="40% - Accent6 4 4 2 2 2 4" xfId="34760" xr:uid="{00000000-0005-0000-0000-00005A660000}"/>
    <cellStyle name="40% - Accent6 4 4 2 2 3" xfId="9863" xr:uid="{00000000-0005-0000-0000-00005B660000}"/>
    <cellStyle name="40% - Accent6 4 4 2 2 3 2" xfId="24397" xr:uid="{00000000-0005-0000-0000-00005C660000}"/>
    <cellStyle name="40% - Accent6 4 4 2 2 3 2 2" xfId="53403" xr:uid="{00000000-0005-0000-0000-00005D660000}"/>
    <cellStyle name="40% - Accent6 4 4 2 2 3 3" xfId="38904" xr:uid="{00000000-0005-0000-0000-00005E660000}"/>
    <cellStyle name="40% - Accent6 4 4 2 2 4" xfId="17149" xr:uid="{00000000-0005-0000-0000-00005F660000}"/>
    <cellStyle name="40% - Accent6 4 4 2 2 4 2" xfId="46155" xr:uid="{00000000-0005-0000-0000-000060660000}"/>
    <cellStyle name="40% - Accent6 4 4 2 2 5" xfId="31656" xr:uid="{00000000-0005-0000-0000-000061660000}"/>
    <cellStyle name="40% - Accent6 4 4 2 3" xfId="3623" xr:uid="{00000000-0005-0000-0000-000062660000}"/>
    <cellStyle name="40% - Accent6 4 4 2 3 2" xfId="6727" xr:uid="{00000000-0005-0000-0000-000063660000}"/>
    <cellStyle name="40% - Accent6 4 4 2 3 2 2" xfId="13999" xr:uid="{00000000-0005-0000-0000-000064660000}"/>
    <cellStyle name="40% - Accent6 4 4 2 3 2 2 2" xfId="28533" xr:uid="{00000000-0005-0000-0000-000065660000}"/>
    <cellStyle name="40% - Accent6 4 4 2 3 2 2 2 2" xfId="57539" xr:uid="{00000000-0005-0000-0000-000066660000}"/>
    <cellStyle name="40% - Accent6 4 4 2 3 2 2 3" xfId="43040" xr:uid="{00000000-0005-0000-0000-000067660000}"/>
    <cellStyle name="40% - Accent6 4 4 2 3 2 3" xfId="21285" xr:uid="{00000000-0005-0000-0000-000068660000}"/>
    <cellStyle name="40% - Accent6 4 4 2 3 2 3 2" xfId="50291" xr:uid="{00000000-0005-0000-0000-000069660000}"/>
    <cellStyle name="40% - Accent6 4 4 2 3 2 4" xfId="35792" xr:uid="{00000000-0005-0000-0000-00006A660000}"/>
    <cellStyle name="40% - Accent6 4 4 2 3 3" xfId="10895" xr:uid="{00000000-0005-0000-0000-00006B660000}"/>
    <cellStyle name="40% - Accent6 4 4 2 3 3 2" xfId="25429" xr:uid="{00000000-0005-0000-0000-00006C660000}"/>
    <cellStyle name="40% - Accent6 4 4 2 3 3 2 2" xfId="54435" xr:uid="{00000000-0005-0000-0000-00006D660000}"/>
    <cellStyle name="40% - Accent6 4 4 2 3 3 3" xfId="39936" xr:uid="{00000000-0005-0000-0000-00006E660000}"/>
    <cellStyle name="40% - Accent6 4 4 2 3 4" xfId="18181" xr:uid="{00000000-0005-0000-0000-00006F660000}"/>
    <cellStyle name="40% - Accent6 4 4 2 3 4 2" xfId="47187" xr:uid="{00000000-0005-0000-0000-000070660000}"/>
    <cellStyle name="40% - Accent6 4 4 2 3 5" xfId="32688" xr:uid="{00000000-0005-0000-0000-000071660000}"/>
    <cellStyle name="40% - Accent6 4 4 2 4" xfId="4655" xr:uid="{00000000-0005-0000-0000-000072660000}"/>
    <cellStyle name="40% - Accent6 4 4 2 4 2" xfId="11927" xr:uid="{00000000-0005-0000-0000-000073660000}"/>
    <cellStyle name="40% - Accent6 4 4 2 4 2 2" xfId="26461" xr:uid="{00000000-0005-0000-0000-000074660000}"/>
    <cellStyle name="40% - Accent6 4 4 2 4 2 2 2" xfId="55467" xr:uid="{00000000-0005-0000-0000-000075660000}"/>
    <cellStyle name="40% - Accent6 4 4 2 4 2 3" xfId="40968" xr:uid="{00000000-0005-0000-0000-000076660000}"/>
    <cellStyle name="40% - Accent6 4 4 2 4 3" xfId="19213" xr:uid="{00000000-0005-0000-0000-000077660000}"/>
    <cellStyle name="40% - Accent6 4 4 2 4 3 2" xfId="48219" xr:uid="{00000000-0005-0000-0000-000078660000}"/>
    <cellStyle name="40% - Accent6 4 4 2 4 4" xfId="33720" xr:uid="{00000000-0005-0000-0000-000079660000}"/>
    <cellStyle name="40% - Accent6 4 4 2 5" xfId="7759" xr:uid="{00000000-0005-0000-0000-00007A660000}"/>
    <cellStyle name="40% - Accent6 4 4 2 5 2" xfId="15031" xr:uid="{00000000-0005-0000-0000-00007B660000}"/>
    <cellStyle name="40% - Accent6 4 4 2 5 2 2" xfId="29565" xr:uid="{00000000-0005-0000-0000-00007C660000}"/>
    <cellStyle name="40% - Accent6 4 4 2 5 2 2 2" xfId="58571" xr:uid="{00000000-0005-0000-0000-00007D660000}"/>
    <cellStyle name="40% - Accent6 4 4 2 5 2 3" xfId="44072" xr:uid="{00000000-0005-0000-0000-00007E660000}"/>
    <cellStyle name="40% - Accent6 4 4 2 5 3" xfId="22317" xr:uid="{00000000-0005-0000-0000-00007F660000}"/>
    <cellStyle name="40% - Accent6 4 4 2 5 3 2" xfId="51323" xr:uid="{00000000-0005-0000-0000-000080660000}"/>
    <cellStyle name="40% - Accent6 4 4 2 5 4" xfId="36824" xr:uid="{00000000-0005-0000-0000-000081660000}"/>
    <cellStyle name="40% - Accent6 4 4 2 6" xfId="8823" xr:uid="{00000000-0005-0000-0000-000082660000}"/>
    <cellStyle name="40% - Accent6 4 4 2 6 2" xfId="23357" xr:uid="{00000000-0005-0000-0000-000083660000}"/>
    <cellStyle name="40% - Accent6 4 4 2 6 2 2" xfId="52363" xr:uid="{00000000-0005-0000-0000-000084660000}"/>
    <cellStyle name="40% - Accent6 4 4 2 6 3" xfId="37864" xr:uid="{00000000-0005-0000-0000-000085660000}"/>
    <cellStyle name="40% - Accent6 4 4 2 7" xfId="16109" xr:uid="{00000000-0005-0000-0000-000086660000}"/>
    <cellStyle name="40% - Accent6 4 4 2 7 2" xfId="45115" xr:uid="{00000000-0005-0000-0000-000087660000}"/>
    <cellStyle name="40% - Accent6 4 4 2 8" xfId="30616" xr:uid="{00000000-0005-0000-0000-000088660000}"/>
    <cellStyle name="40% - Accent6 4 4 3" xfId="2079" xr:uid="{00000000-0005-0000-0000-000089660000}"/>
    <cellStyle name="40% - Accent6 4 4 3 2" xfId="5183" xr:uid="{00000000-0005-0000-0000-00008A660000}"/>
    <cellStyle name="40% - Accent6 4 4 3 2 2" xfId="12455" xr:uid="{00000000-0005-0000-0000-00008B660000}"/>
    <cellStyle name="40% - Accent6 4 4 3 2 2 2" xfId="26989" xr:uid="{00000000-0005-0000-0000-00008C660000}"/>
    <cellStyle name="40% - Accent6 4 4 3 2 2 2 2" xfId="55995" xr:uid="{00000000-0005-0000-0000-00008D660000}"/>
    <cellStyle name="40% - Accent6 4 4 3 2 2 3" xfId="41496" xr:uid="{00000000-0005-0000-0000-00008E660000}"/>
    <cellStyle name="40% - Accent6 4 4 3 2 3" xfId="19741" xr:uid="{00000000-0005-0000-0000-00008F660000}"/>
    <cellStyle name="40% - Accent6 4 4 3 2 3 2" xfId="48747" xr:uid="{00000000-0005-0000-0000-000090660000}"/>
    <cellStyle name="40% - Accent6 4 4 3 2 4" xfId="34248" xr:uid="{00000000-0005-0000-0000-000091660000}"/>
    <cellStyle name="40% - Accent6 4 4 3 3" xfId="9351" xr:uid="{00000000-0005-0000-0000-000092660000}"/>
    <cellStyle name="40% - Accent6 4 4 3 3 2" xfId="23885" xr:uid="{00000000-0005-0000-0000-000093660000}"/>
    <cellStyle name="40% - Accent6 4 4 3 3 2 2" xfId="52891" xr:uid="{00000000-0005-0000-0000-000094660000}"/>
    <cellStyle name="40% - Accent6 4 4 3 3 3" xfId="38392" xr:uid="{00000000-0005-0000-0000-000095660000}"/>
    <cellStyle name="40% - Accent6 4 4 3 4" xfId="16637" xr:uid="{00000000-0005-0000-0000-000096660000}"/>
    <cellStyle name="40% - Accent6 4 4 3 4 2" xfId="45643" xr:uid="{00000000-0005-0000-0000-000097660000}"/>
    <cellStyle name="40% - Accent6 4 4 3 5" xfId="31144" xr:uid="{00000000-0005-0000-0000-000098660000}"/>
    <cellStyle name="40% - Accent6 4 4 4" xfId="3111" xr:uid="{00000000-0005-0000-0000-000099660000}"/>
    <cellStyle name="40% - Accent6 4 4 4 2" xfId="6215" xr:uid="{00000000-0005-0000-0000-00009A660000}"/>
    <cellStyle name="40% - Accent6 4 4 4 2 2" xfId="13487" xr:uid="{00000000-0005-0000-0000-00009B660000}"/>
    <cellStyle name="40% - Accent6 4 4 4 2 2 2" xfId="28021" xr:uid="{00000000-0005-0000-0000-00009C660000}"/>
    <cellStyle name="40% - Accent6 4 4 4 2 2 2 2" xfId="57027" xr:uid="{00000000-0005-0000-0000-00009D660000}"/>
    <cellStyle name="40% - Accent6 4 4 4 2 2 3" xfId="42528" xr:uid="{00000000-0005-0000-0000-00009E660000}"/>
    <cellStyle name="40% - Accent6 4 4 4 2 3" xfId="20773" xr:uid="{00000000-0005-0000-0000-00009F660000}"/>
    <cellStyle name="40% - Accent6 4 4 4 2 3 2" xfId="49779" xr:uid="{00000000-0005-0000-0000-0000A0660000}"/>
    <cellStyle name="40% - Accent6 4 4 4 2 4" xfId="35280" xr:uid="{00000000-0005-0000-0000-0000A1660000}"/>
    <cellStyle name="40% - Accent6 4 4 4 3" xfId="10383" xr:uid="{00000000-0005-0000-0000-0000A2660000}"/>
    <cellStyle name="40% - Accent6 4 4 4 3 2" xfId="24917" xr:uid="{00000000-0005-0000-0000-0000A3660000}"/>
    <cellStyle name="40% - Accent6 4 4 4 3 2 2" xfId="53923" xr:uid="{00000000-0005-0000-0000-0000A4660000}"/>
    <cellStyle name="40% - Accent6 4 4 4 3 3" xfId="39424" xr:uid="{00000000-0005-0000-0000-0000A5660000}"/>
    <cellStyle name="40% - Accent6 4 4 4 4" xfId="17669" xr:uid="{00000000-0005-0000-0000-0000A6660000}"/>
    <cellStyle name="40% - Accent6 4 4 4 4 2" xfId="46675" xr:uid="{00000000-0005-0000-0000-0000A7660000}"/>
    <cellStyle name="40% - Accent6 4 4 4 5" xfId="32176" xr:uid="{00000000-0005-0000-0000-0000A8660000}"/>
    <cellStyle name="40% - Accent6 4 4 5" xfId="4143" xr:uid="{00000000-0005-0000-0000-0000A9660000}"/>
    <cellStyle name="40% - Accent6 4 4 5 2" xfId="11415" xr:uid="{00000000-0005-0000-0000-0000AA660000}"/>
    <cellStyle name="40% - Accent6 4 4 5 2 2" xfId="25949" xr:uid="{00000000-0005-0000-0000-0000AB660000}"/>
    <cellStyle name="40% - Accent6 4 4 5 2 2 2" xfId="54955" xr:uid="{00000000-0005-0000-0000-0000AC660000}"/>
    <cellStyle name="40% - Accent6 4 4 5 2 3" xfId="40456" xr:uid="{00000000-0005-0000-0000-0000AD660000}"/>
    <cellStyle name="40% - Accent6 4 4 5 3" xfId="18701" xr:uid="{00000000-0005-0000-0000-0000AE660000}"/>
    <cellStyle name="40% - Accent6 4 4 5 3 2" xfId="47707" xr:uid="{00000000-0005-0000-0000-0000AF660000}"/>
    <cellStyle name="40% - Accent6 4 4 5 4" xfId="33208" xr:uid="{00000000-0005-0000-0000-0000B0660000}"/>
    <cellStyle name="40% - Accent6 4 4 6" xfId="7247" xr:uid="{00000000-0005-0000-0000-0000B1660000}"/>
    <cellStyle name="40% - Accent6 4 4 6 2" xfId="14519" xr:uid="{00000000-0005-0000-0000-0000B2660000}"/>
    <cellStyle name="40% - Accent6 4 4 6 2 2" xfId="29053" xr:uid="{00000000-0005-0000-0000-0000B3660000}"/>
    <cellStyle name="40% - Accent6 4 4 6 2 2 2" xfId="58059" xr:uid="{00000000-0005-0000-0000-0000B4660000}"/>
    <cellStyle name="40% - Accent6 4 4 6 2 3" xfId="43560" xr:uid="{00000000-0005-0000-0000-0000B5660000}"/>
    <cellStyle name="40% - Accent6 4 4 6 3" xfId="21805" xr:uid="{00000000-0005-0000-0000-0000B6660000}"/>
    <cellStyle name="40% - Accent6 4 4 6 3 2" xfId="50811" xr:uid="{00000000-0005-0000-0000-0000B7660000}"/>
    <cellStyle name="40% - Accent6 4 4 6 4" xfId="36312" xr:uid="{00000000-0005-0000-0000-0000B8660000}"/>
    <cellStyle name="40% - Accent6 4 4 7" xfId="8311" xr:uid="{00000000-0005-0000-0000-0000B9660000}"/>
    <cellStyle name="40% - Accent6 4 4 7 2" xfId="22845" xr:uid="{00000000-0005-0000-0000-0000BA660000}"/>
    <cellStyle name="40% - Accent6 4 4 7 2 2" xfId="51851" xr:uid="{00000000-0005-0000-0000-0000BB660000}"/>
    <cellStyle name="40% - Accent6 4 4 7 3" xfId="37352" xr:uid="{00000000-0005-0000-0000-0000BC660000}"/>
    <cellStyle name="40% - Accent6 4 4 8" xfId="15597" xr:uid="{00000000-0005-0000-0000-0000BD660000}"/>
    <cellStyle name="40% - Accent6 4 4 8 2" xfId="44603" xr:uid="{00000000-0005-0000-0000-0000BE660000}"/>
    <cellStyle name="40% - Accent6 4 4 9" xfId="30104" xr:uid="{00000000-0005-0000-0000-0000BF660000}"/>
    <cellStyle name="40% - Accent6 4 5" xfId="1328" xr:uid="{00000000-0005-0000-0000-0000C0660000}"/>
    <cellStyle name="40% - Accent6 4 5 2" xfId="2385" xr:uid="{00000000-0005-0000-0000-0000C1660000}"/>
    <cellStyle name="40% - Accent6 4 5 2 2" xfId="5489" xr:uid="{00000000-0005-0000-0000-0000C2660000}"/>
    <cellStyle name="40% - Accent6 4 5 2 2 2" xfId="12761" xr:uid="{00000000-0005-0000-0000-0000C3660000}"/>
    <cellStyle name="40% - Accent6 4 5 2 2 2 2" xfId="27295" xr:uid="{00000000-0005-0000-0000-0000C4660000}"/>
    <cellStyle name="40% - Accent6 4 5 2 2 2 2 2" xfId="56301" xr:uid="{00000000-0005-0000-0000-0000C5660000}"/>
    <cellStyle name="40% - Accent6 4 5 2 2 2 3" xfId="41802" xr:uid="{00000000-0005-0000-0000-0000C6660000}"/>
    <cellStyle name="40% - Accent6 4 5 2 2 3" xfId="20047" xr:uid="{00000000-0005-0000-0000-0000C7660000}"/>
    <cellStyle name="40% - Accent6 4 5 2 2 3 2" xfId="49053" xr:uid="{00000000-0005-0000-0000-0000C8660000}"/>
    <cellStyle name="40% - Accent6 4 5 2 2 4" xfId="34554" xr:uid="{00000000-0005-0000-0000-0000C9660000}"/>
    <cellStyle name="40% - Accent6 4 5 2 3" xfId="9657" xr:uid="{00000000-0005-0000-0000-0000CA660000}"/>
    <cellStyle name="40% - Accent6 4 5 2 3 2" xfId="24191" xr:uid="{00000000-0005-0000-0000-0000CB660000}"/>
    <cellStyle name="40% - Accent6 4 5 2 3 2 2" xfId="53197" xr:uid="{00000000-0005-0000-0000-0000CC660000}"/>
    <cellStyle name="40% - Accent6 4 5 2 3 3" xfId="38698" xr:uid="{00000000-0005-0000-0000-0000CD660000}"/>
    <cellStyle name="40% - Accent6 4 5 2 4" xfId="16943" xr:uid="{00000000-0005-0000-0000-0000CE660000}"/>
    <cellStyle name="40% - Accent6 4 5 2 4 2" xfId="45949" xr:uid="{00000000-0005-0000-0000-0000CF660000}"/>
    <cellStyle name="40% - Accent6 4 5 2 5" xfId="31450" xr:uid="{00000000-0005-0000-0000-0000D0660000}"/>
    <cellStyle name="40% - Accent6 4 5 3" xfId="3417" xr:uid="{00000000-0005-0000-0000-0000D1660000}"/>
    <cellStyle name="40% - Accent6 4 5 3 2" xfId="6521" xr:uid="{00000000-0005-0000-0000-0000D2660000}"/>
    <cellStyle name="40% - Accent6 4 5 3 2 2" xfId="13793" xr:uid="{00000000-0005-0000-0000-0000D3660000}"/>
    <cellStyle name="40% - Accent6 4 5 3 2 2 2" xfId="28327" xr:uid="{00000000-0005-0000-0000-0000D4660000}"/>
    <cellStyle name="40% - Accent6 4 5 3 2 2 2 2" xfId="57333" xr:uid="{00000000-0005-0000-0000-0000D5660000}"/>
    <cellStyle name="40% - Accent6 4 5 3 2 2 3" xfId="42834" xr:uid="{00000000-0005-0000-0000-0000D6660000}"/>
    <cellStyle name="40% - Accent6 4 5 3 2 3" xfId="21079" xr:uid="{00000000-0005-0000-0000-0000D7660000}"/>
    <cellStyle name="40% - Accent6 4 5 3 2 3 2" xfId="50085" xr:uid="{00000000-0005-0000-0000-0000D8660000}"/>
    <cellStyle name="40% - Accent6 4 5 3 2 4" xfId="35586" xr:uid="{00000000-0005-0000-0000-0000D9660000}"/>
    <cellStyle name="40% - Accent6 4 5 3 3" xfId="10689" xr:uid="{00000000-0005-0000-0000-0000DA660000}"/>
    <cellStyle name="40% - Accent6 4 5 3 3 2" xfId="25223" xr:uid="{00000000-0005-0000-0000-0000DB660000}"/>
    <cellStyle name="40% - Accent6 4 5 3 3 2 2" xfId="54229" xr:uid="{00000000-0005-0000-0000-0000DC660000}"/>
    <cellStyle name="40% - Accent6 4 5 3 3 3" xfId="39730" xr:uid="{00000000-0005-0000-0000-0000DD660000}"/>
    <cellStyle name="40% - Accent6 4 5 3 4" xfId="17975" xr:uid="{00000000-0005-0000-0000-0000DE660000}"/>
    <cellStyle name="40% - Accent6 4 5 3 4 2" xfId="46981" xr:uid="{00000000-0005-0000-0000-0000DF660000}"/>
    <cellStyle name="40% - Accent6 4 5 3 5" xfId="32482" xr:uid="{00000000-0005-0000-0000-0000E0660000}"/>
    <cellStyle name="40% - Accent6 4 5 4" xfId="4449" xr:uid="{00000000-0005-0000-0000-0000E1660000}"/>
    <cellStyle name="40% - Accent6 4 5 4 2" xfId="11721" xr:uid="{00000000-0005-0000-0000-0000E2660000}"/>
    <cellStyle name="40% - Accent6 4 5 4 2 2" xfId="26255" xr:uid="{00000000-0005-0000-0000-0000E3660000}"/>
    <cellStyle name="40% - Accent6 4 5 4 2 2 2" xfId="55261" xr:uid="{00000000-0005-0000-0000-0000E4660000}"/>
    <cellStyle name="40% - Accent6 4 5 4 2 3" xfId="40762" xr:uid="{00000000-0005-0000-0000-0000E5660000}"/>
    <cellStyle name="40% - Accent6 4 5 4 3" xfId="19007" xr:uid="{00000000-0005-0000-0000-0000E6660000}"/>
    <cellStyle name="40% - Accent6 4 5 4 3 2" xfId="48013" xr:uid="{00000000-0005-0000-0000-0000E7660000}"/>
    <cellStyle name="40% - Accent6 4 5 4 4" xfId="33514" xr:uid="{00000000-0005-0000-0000-0000E8660000}"/>
    <cellStyle name="40% - Accent6 4 5 5" xfId="7553" xr:uid="{00000000-0005-0000-0000-0000E9660000}"/>
    <cellStyle name="40% - Accent6 4 5 5 2" xfId="14825" xr:uid="{00000000-0005-0000-0000-0000EA660000}"/>
    <cellStyle name="40% - Accent6 4 5 5 2 2" xfId="29359" xr:uid="{00000000-0005-0000-0000-0000EB660000}"/>
    <cellStyle name="40% - Accent6 4 5 5 2 2 2" xfId="58365" xr:uid="{00000000-0005-0000-0000-0000EC660000}"/>
    <cellStyle name="40% - Accent6 4 5 5 2 3" xfId="43866" xr:uid="{00000000-0005-0000-0000-0000ED660000}"/>
    <cellStyle name="40% - Accent6 4 5 5 3" xfId="22111" xr:uid="{00000000-0005-0000-0000-0000EE660000}"/>
    <cellStyle name="40% - Accent6 4 5 5 3 2" xfId="51117" xr:uid="{00000000-0005-0000-0000-0000EF660000}"/>
    <cellStyle name="40% - Accent6 4 5 5 4" xfId="36618" xr:uid="{00000000-0005-0000-0000-0000F0660000}"/>
    <cellStyle name="40% - Accent6 4 5 6" xfId="8617" xr:uid="{00000000-0005-0000-0000-0000F1660000}"/>
    <cellStyle name="40% - Accent6 4 5 6 2" xfId="23151" xr:uid="{00000000-0005-0000-0000-0000F2660000}"/>
    <cellStyle name="40% - Accent6 4 5 6 2 2" xfId="52157" xr:uid="{00000000-0005-0000-0000-0000F3660000}"/>
    <cellStyle name="40% - Accent6 4 5 6 3" xfId="37658" xr:uid="{00000000-0005-0000-0000-0000F4660000}"/>
    <cellStyle name="40% - Accent6 4 5 7" xfId="15903" xr:uid="{00000000-0005-0000-0000-0000F5660000}"/>
    <cellStyle name="40% - Accent6 4 5 7 2" xfId="44909" xr:uid="{00000000-0005-0000-0000-0000F6660000}"/>
    <cellStyle name="40% - Accent6 4 5 8" xfId="30410" xr:uid="{00000000-0005-0000-0000-0000F7660000}"/>
    <cellStyle name="40% - Accent6 4 6" xfId="1873" xr:uid="{00000000-0005-0000-0000-0000F8660000}"/>
    <cellStyle name="40% - Accent6 4 6 2" xfId="4977" xr:uid="{00000000-0005-0000-0000-0000F9660000}"/>
    <cellStyle name="40% - Accent6 4 6 2 2" xfId="12249" xr:uid="{00000000-0005-0000-0000-0000FA660000}"/>
    <cellStyle name="40% - Accent6 4 6 2 2 2" xfId="26783" xr:uid="{00000000-0005-0000-0000-0000FB660000}"/>
    <cellStyle name="40% - Accent6 4 6 2 2 2 2" xfId="55789" xr:uid="{00000000-0005-0000-0000-0000FC660000}"/>
    <cellStyle name="40% - Accent6 4 6 2 2 3" xfId="41290" xr:uid="{00000000-0005-0000-0000-0000FD660000}"/>
    <cellStyle name="40% - Accent6 4 6 2 3" xfId="19535" xr:uid="{00000000-0005-0000-0000-0000FE660000}"/>
    <cellStyle name="40% - Accent6 4 6 2 3 2" xfId="48541" xr:uid="{00000000-0005-0000-0000-0000FF660000}"/>
    <cellStyle name="40% - Accent6 4 6 2 4" xfId="34042" xr:uid="{00000000-0005-0000-0000-000000670000}"/>
    <cellStyle name="40% - Accent6 4 6 3" xfId="9145" xr:uid="{00000000-0005-0000-0000-000001670000}"/>
    <cellStyle name="40% - Accent6 4 6 3 2" xfId="23679" xr:uid="{00000000-0005-0000-0000-000002670000}"/>
    <cellStyle name="40% - Accent6 4 6 3 2 2" xfId="52685" xr:uid="{00000000-0005-0000-0000-000003670000}"/>
    <cellStyle name="40% - Accent6 4 6 3 3" xfId="38186" xr:uid="{00000000-0005-0000-0000-000004670000}"/>
    <cellStyle name="40% - Accent6 4 6 4" xfId="16431" xr:uid="{00000000-0005-0000-0000-000005670000}"/>
    <cellStyle name="40% - Accent6 4 6 4 2" xfId="45437" xr:uid="{00000000-0005-0000-0000-000006670000}"/>
    <cellStyle name="40% - Accent6 4 6 5" xfId="30938" xr:uid="{00000000-0005-0000-0000-000007670000}"/>
    <cellStyle name="40% - Accent6 4 7" xfId="2905" xr:uid="{00000000-0005-0000-0000-000008670000}"/>
    <cellStyle name="40% - Accent6 4 7 2" xfId="6009" xr:uid="{00000000-0005-0000-0000-000009670000}"/>
    <cellStyle name="40% - Accent6 4 7 2 2" xfId="13281" xr:uid="{00000000-0005-0000-0000-00000A670000}"/>
    <cellStyle name="40% - Accent6 4 7 2 2 2" xfId="27815" xr:uid="{00000000-0005-0000-0000-00000B670000}"/>
    <cellStyle name="40% - Accent6 4 7 2 2 2 2" xfId="56821" xr:uid="{00000000-0005-0000-0000-00000C670000}"/>
    <cellStyle name="40% - Accent6 4 7 2 2 3" xfId="42322" xr:uid="{00000000-0005-0000-0000-00000D670000}"/>
    <cellStyle name="40% - Accent6 4 7 2 3" xfId="20567" xr:uid="{00000000-0005-0000-0000-00000E670000}"/>
    <cellStyle name="40% - Accent6 4 7 2 3 2" xfId="49573" xr:uid="{00000000-0005-0000-0000-00000F670000}"/>
    <cellStyle name="40% - Accent6 4 7 2 4" xfId="35074" xr:uid="{00000000-0005-0000-0000-000010670000}"/>
    <cellStyle name="40% - Accent6 4 7 3" xfId="10177" xr:uid="{00000000-0005-0000-0000-000011670000}"/>
    <cellStyle name="40% - Accent6 4 7 3 2" xfId="24711" xr:uid="{00000000-0005-0000-0000-000012670000}"/>
    <cellStyle name="40% - Accent6 4 7 3 2 2" xfId="53717" xr:uid="{00000000-0005-0000-0000-000013670000}"/>
    <cellStyle name="40% - Accent6 4 7 3 3" xfId="39218" xr:uid="{00000000-0005-0000-0000-000014670000}"/>
    <cellStyle name="40% - Accent6 4 7 4" xfId="17463" xr:uid="{00000000-0005-0000-0000-000015670000}"/>
    <cellStyle name="40% - Accent6 4 7 4 2" xfId="46469" xr:uid="{00000000-0005-0000-0000-000016670000}"/>
    <cellStyle name="40% - Accent6 4 7 5" xfId="31970" xr:uid="{00000000-0005-0000-0000-000017670000}"/>
    <cellStyle name="40% - Accent6 4 8" xfId="3937" xr:uid="{00000000-0005-0000-0000-000018670000}"/>
    <cellStyle name="40% - Accent6 4 8 2" xfId="11209" xr:uid="{00000000-0005-0000-0000-000019670000}"/>
    <cellStyle name="40% - Accent6 4 8 2 2" xfId="25743" xr:uid="{00000000-0005-0000-0000-00001A670000}"/>
    <cellStyle name="40% - Accent6 4 8 2 2 2" xfId="54749" xr:uid="{00000000-0005-0000-0000-00001B670000}"/>
    <cellStyle name="40% - Accent6 4 8 2 3" xfId="40250" xr:uid="{00000000-0005-0000-0000-00001C670000}"/>
    <cellStyle name="40% - Accent6 4 8 3" xfId="18495" xr:uid="{00000000-0005-0000-0000-00001D670000}"/>
    <cellStyle name="40% - Accent6 4 8 3 2" xfId="47501" xr:uid="{00000000-0005-0000-0000-00001E670000}"/>
    <cellStyle name="40% - Accent6 4 8 4" xfId="33002" xr:uid="{00000000-0005-0000-0000-00001F670000}"/>
    <cellStyle name="40% - Accent6 4 9" xfId="7041" xr:uid="{00000000-0005-0000-0000-000020670000}"/>
    <cellStyle name="40% - Accent6 4 9 2" xfId="14313" xr:uid="{00000000-0005-0000-0000-000021670000}"/>
    <cellStyle name="40% - Accent6 4 9 2 2" xfId="28847" xr:uid="{00000000-0005-0000-0000-000022670000}"/>
    <cellStyle name="40% - Accent6 4 9 2 2 2" xfId="57853" xr:uid="{00000000-0005-0000-0000-000023670000}"/>
    <cellStyle name="40% - Accent6 4 9 2 3" xfId="43354" xr:uid="{00000000-0005-0000-0000-000024670000}"/>
    <cellStyle name="40% - Accent6 4 9 3" xfId="21599" xr:uid="{00000000-0005-0000-0000-000025670000}"/>
    <cellStyle name="40% - Accent6 4 9 3 2" xfId="50605" xr:uid="{00000000-0005-0000-0000-000026670000}"/>
    <cellStyle name="40% - Accent6 4 9 4" xfId="36106" xr:uid="{00000000-0005-0000-0000-000027670000}"/>
    <cellStyle name="40% - Accent6 5" xfId="914" xr:uid="{00000000-0005-0000-0000-000028670000}"/>
    <cellStyle name="40% - Accent6 5 10" xfId="29949" xr:uid="{00000000-0005-0000-0000-000029670000}"/>
    <cellStyle name="40% - Accent6 5 2" xfId="1182" xr:uid="{00000000-0005-0000-0000-00002A670000}"/>
    <cellStyle name="40% - Accent6 5 2 2" xfId="1683" xr:uid="{00000000-0005-0000-0000-00002B670000}"/>
    <cellStyle name="40% - Accent6 5 2 2 2" xfId="2742" xr:uid="{00000000-0005-0000-0000-00002C670000}"/>
    <cellStyle name="40% - Accent6 5 2 2 2 2" xfId="5846" xr:uid="{00000000-0005-0000-0000-00002D670000}"/>
    <cellStyle name="40% - Accent6 5 2 2 2 2 2" xfId="13118" xr:uid="{00000000-0005-0000-0000-00002E670000}"/>
    <cellStyle name="40% - Accent6 5 2 2 2 2 2 2" xfId="27652" xr:uid="{00000000-0005-0000-0000-00002F670000}"/>
    <cellStyle name="40% - Accent6 5 2 2 2 2 2 2 2" xfId="56658" xr:uid="{00000000-0005-0000-0000-000030670000}"/>
    <cellStyle name="40% - Accent6 5 2 2 2 2 2 3" xfId="42159" xr:uid="{00000000-0005-0000-0000-000031670000}"/>
    <cellStyle name="40% - Accent6 5 2 2 2 2 3" xfId="20404" xr:uid="{00000000-0005-0000-0000-000032670000}"/>
    <cellStyle name="40% - Accent6 5 2 2 2 2 3 2" xfId="49410" xr:uid="{00000000-0005-0000-0000-000033670000}"/>
    <cellStyle name="40% - Accent6 5 2 2 2 2 4" xfId="34911" xr:uid="{00000000-0005-0000-0000-000034670000}"/>
    <cellStyle name="40% - Accent6 5 2 2 2 3" xfId="10014" xr:uid="{00000000-0005-0000-0000-000035670000}"/>
    <cellStyle name="40% - Accent6 5 2 2 2 3 2" xfId="24548" xr:uid="{00000000-0005-0000-0000-000036670000}"/>
    <cellStyle name="40% - Accent6 5 2 2 2 3 2 2" xfId="53554" xr:uid="{00000000-0005-0000-0000-000037670000}"/>
    <cellStyle name="40% - Accent6 5 2 2 2 3 3" xfId="39055" xr:uid="{00000000-0005-0000-0000-000038670000}"/>
    <cellStyle name="40% - Accent6 5 2 2 2 4" xfId="17300" xr:uid="{00000000-0005-0000-0000-000039670000}"/>
    <cellStyle name="40% - Accent6 5 2 2 2 4 2" xfId="46306" xr:uid="{00000000-0005-0000-0000-00003A670000}"/>
    <cellStyle name="40% - Accent6 5 2 2 2 5" xfId="31807" xr:uid="{00000000-0005-0000-0000-00003B670000}"/>
    <cellStyle name="40% - Accent6 5 2 2 3" xfId="3774" xr:uid="{00000000-0005-0000-0000-00003C670000}"/>
    <cellStyle name="40% - Accent6 5 2 2 3 2" xfId="6878" xr:uid="{00000000-0005-0000-0000-00003D670000}"/>
    <cellStyle name="40% - Accent6 5 2 2 3 2 2" xfId="14150" xr:uid="{00000000-0005-0000-0000-00003E670000}"/>
    <cellStyle name="40% - Accent6 5 2 2 3 2 2 2" xfId="28684" xr:uid="{00000000-0005-0000-0000-00003F670000}"/>
    <cellStyle name="40% - Accent6 5 2 2 3 2 2 2 2" xfId="57690" xr:uid="{00000000-0005-0000-0000-000040670000}"/>
    <cellStyle name="40% - Accent6 5 2 2 3 2 2 3" xfId="43191" xr:uid="{00000000-0005-0000-0000-000041670000}"/>
    <cellStyle name="40% - Accent6 5 2 2 3 2 3" xfId="21436" xr:uid="{00000000-0005-0000-0000-000042670000}"/>
    <cellStyle name="40% - Accent6 5 2 2 3 2 3 2" xfId="50442" xr:uid="{00000000-0005-0000-0000-000043670000}"/>
    <cellStyle name="40% - Accent6 5 2 2 3 2 4" xfId="35943" xr:uid="{00000000-0005-0000-0000-000044670000}"/>
    <cellStyle name="40% - Accent6 5 2 2 3 3" xfId="11046" xr:uid="{00000000-0005-0000-0000-000045670000}"/>
    <cellStyle name="40% - Accent6 5 2 2 3 3 2" xfId="25580" xr:uid="{00000000-0005-0000-0000-000046670000}"/>
    <cellStyle name="40% - Accent6 5 2 2 3 3 2 2" xfId="54586" xr:uid="{00000000-0005-0000-0000-000047670000}"/>
    <cellStyle name="40% - Accent6 5 2 2 3 3 3" xfId="40087" xr:uid="{00000000-0005-0000-0000-000048670000}"/>
    <cellStyle name="40% - Accent6 5 2 2 3 4" xfId="18332" xr:uid="{00000000-0005-0000-0000-000049670000}"/>
    <cellStyle name="40% - Accent6 5 2 2 3 4 2" xfId="47338" xr:uid="{00000000-0005-0000-0000-00004A670000}"/>
    <cellStyle name="40% - Accent6 5 2 2 3 5" xfId="32839" xr:uid="{00000000-0005-0000-0000-00004B670000}"/>
    <cellStyle name="40% - Accent6 5 2 2 4" xfId="4806" xr:uid="{00000000-0005-0000-0000-00004C670000}"/>
    <cellStyle name="40% - Accent6 5 2 2 4 2" xfId="12078" xr:uid="{00000000-0005-0000-0000-00004D670000}"/>
    <cellStyle name="40% - Accent6 5 2 2 4 2 2" xfId="26612" xr:uid="{00000000-0005-0000-0000-00004E670000}"/>
    <cellStyle name="40% - Accent6 5 2 2 4 2 2 2" xfId="55618" xr:uid="{00000000-0005-0000-0000-00004F670000}"/>
    <cellStyle name="40% - Accent6 5 2 2 4 2 3" xfId="41119" xr:uid="{00000000-0005-0000-0000-000050670000}"/>
    <cellStyle name="40% - Accent6 5 2 2 4 3" xfId="19364" xr:uid="{00000000-0005-0000-0000-000051670000}"/>
    <cellStyle name="40% - Accent6 5 2 2 4 3 2" xfId="48370" xr:uid="{00000000-0005-0000-0000-000052670000}"/>
    <cellStyle name="40% - Accent6 5 2 2 4 4" xfId="33871" xr:uid="{00000000-0005-0000-0000-000053670000}"/>
    <cellStyle name="40% - Accent6 5 2 2 5" xfId="7910" xr:uid="{00000000-0005-0000-0000-000054670000}"/>
    <cellStyle name="40% - Accent6 5 2 2 5 2" xfId="15182" xr:uid="{00000000-0005-0000-0000-000055670000}"/>
    <cellStyle name="40% - Accent6 5 2 2 5 2 2" xfId="29716" xr:uid="{00000000-0005-0000-0000-000056670000}"/>
    <cellStyle name="40% - Accent6 5 2 2 5 2 2 2" xfId="58722" xr:uid="{00000000-0005-0000-0000-000057670000}"/>
    <cellStyle name="40% - Accent6 5 2 2 5 2 3" xfId="44223" xr:uid="{00000000-0005-0000-0000-000058670000}"/>
    <cellStyle name="40% - Accent6 5 2 2 5 3" xfId="22468" xr:uid="{00000000-0005-0000-0000-000059670000}"/>
    <cellStyle name="40% - Accent6 5 2 2 5 3 2" xfId="51474" xr:uid="{00000000-0005-0000-0000-00005A670000}"/>
    <cellStyle name="40% - Accent6 5 2 2 5 4" xfId="36975" xr:uid="{00000000-0005-0000-0000-00005B670000}"/>
    <cellStyle name="40% - Accent6 5 2 2 6" xfId="8974" xr:uid="{00000000-0005-0000-0000-00005C670000}"/>
    <cellStyle name="40% - Accent6 5 2 2 6 2" xfId="23508" xr:uid="{00000000-0005-0000-0000-00005D670000}"/>
    <cellStyle name="40% - Accent6 5 2 2 6 2 2" xfId="52514" xr:uid="{00000000-0005-0000-0000-00005E670000}"/>
    <cellStyle name="40% - Accent6 5 2 2 6 3" xfId="38015" xr:uid="{00000000-0005-0000-0000-00005F670000}"/>
    <cellStyle name="40% - Accent6 5 2 2 7" xfId="16260" xr:uid="{00000000-0005-0000-0000-000060670000}"/>
    <cellStyle name="40% - Accent6 5 2 2 7 2" xfId="45266" xr:uid="{00000000-0005-0000-0000-000061670000}"/>
    <cellStyle name="40% - Accent6 5 2 2 8" xfId="30767" xr:uid="{00000000-0005-0000-0000-000062670000}"/>
    <cellStyle name="40% - Accent6 5 2 3" xfId="2230" xr:uid="{00000000-0005-0000-0000-000063670000}"/>
    <cellStyle name="40% - Accent6 5 2 3 2" xfId="5334" xr:uid="{00000000-0005-0000-0000-000064670000}"/>
    <cellStyle name="40% - Accent6 5 2 3 2 2" xfId="12606" xr:uid="{00000000-0005-0000-0000-000065670000}"/>
    <cellStyle name="40% - Accent6 5 2 3 2 2 2" xfId="27140" xr:uid="{00000000-0005-0000-0000-000066670000}"/>
    <cellStyle name="40% - Accent6 5 2 3 2 2 2 2" xfId="56146" xr:uid="{00000000-0005-0000-0000-000067670000}"/>
    <cellStyle name="40% - Accent6 5 2 3 2 2 3" xfId="41647" xr:uid="{00000000-0005-0000-0000-000068670000}"/>
    <cellStyle name="40% - Accent6 5 2 3 2 3" xfId="19892" xr:uid="{00000000-0005-0000-0000-000069670000}"/>
    <cellStyle name="40% - Accent6 5 2 3 2 3 2" xfId="48898" xr:uid="{00000000-0005-0000-0000-00006A670000}"/>
    <cellStyle name="40% - Accent6 5 2 3 2 4" xfId="34399" xr:uid="{00000000-0005-0000-0000-00006B670000}"/>
    <cellStyle name="40% - Accent6 5 2 3 3" xfId="9502" xr:uid="{00000000-0005-0000-0000-00006C670000}"/>
    <cellStyle name="40% - Accent6 5 2 3 3 2" xfId="24036" xr:uid="{00000000-0005-0000-0000-00006D670000}"/>
    <cellStyle name="40% - Accent6 5 2 3 3 2 2" xfId="53042" xr:uid="{00000000-0005-0000-0000-00006E670000}"/>
    <cellStyle name="40% - Accent6 5 2 3 3 3" xfId="38543" xr:uid="{00000000-0005-0000-0000-00006F670000}"/>
    <cellStyle name="40% - Accent6 5 2 3 4" xfId="16788" xr:uid="{00000000-0005-0000-0000-000070670000}"/>
    <cellStyle name="40% - Accent6 5 2 3 4 2" xfId="45794" xr:uid="{00000000-0005-0000-0000-000071670000}"/>
    <cellStyle name="40% - Accent6 5 2 3 5" xfId="31295" xr:uid="{00000000-0005-0000-0000-000072670000}"/>
    <cellStyle name="40% - Accent6 5 2 4" xfId="3262" xr:uid="{00000000-0005-0000-0000-000073670000}"/>
    <cellStyle name="40% - Accent6 5 2 4 2" xfId="6366" xr:uid="{00000000-0005-0000-0000-000074670000}"/>
    <cellStyle name="40% - Accent6 5 2 4 2 2" xfId="13638" xr:uid="{00000000-0005-0000-0000-000075670000}"/>
    <cellStyle name="40% - Accent6 5 2 4 2 2 2" xfId="28172" xr:uid="{00000000-0005-0000-0000-000076670000}"/>
    <cellStyle name="40% - Accent6 5 2 4 2 2 2 2" xfId="57178" xr:uid="{00000000-0005-0000-0000-000077670000}"/>
    <cellStyle name="40% - Accent6 5 2 4 2 2 3" xfId="42679" xr:uid="{00000000-0005-0000-0000-000078670000}"/>
    <cellStyle name="40% - Accent6 5 2 4 2 3" xfId="20924" xr:uid="{00000000-0005-0000-0000-000079670000}"/>
    <cellStyle name="40% - Accent6 5 2 4 2 3 2" xfId="49930" xr:uid="{00000000-0005-0000-0000-00007A670000}"/>
    <cellStyle name="40% - Accent6 5 2 4 2 4" xfId="35431" xr:uid="{00000000-0005-0000-0000-00007B670000}"/>
    <cellStyle name="40% - Accent6 5 2 4 3" xfId="10534" xr:uid="{00000000-0005-0000-0000-00007C670000}"/>
    <cellStyle name="40% - Accent6 5 2 4 3 2" xfId="25068" xr:uid="{00000000-0005-0000-0000-00007D670000}"/>
    <cellStyle name="40% - Accent6 5 2 4 3 2 2" xfId="54074" xr:uid="{00000000-0005-0000-0000-00007E670000}"/>
    <cellStyle name="40% - Accent6 5 2 4 3 3" xfId="39575" xr:uid="{00000000-0005-0000-0000-00007F670000}"/>
    <cellStyle name="40% - Accent6 5 2 4 4" xfId="17820" xr:uid="{00000000-0005-0000-0000-000080670000}"/>
    <cellStyle name="40% - Accent6 5 2 4 4 2" xfId="46826" xr:uid="{00000000-0005-0000-0000-000081670000}"/>
    <cellStyle name="40% - Accent6 5 2 4 5" xfId="32327" xr:uid="{00000000-0005-0000-0000-000082670000}"/>
    <cellStyle name="40% - Accent6 5 2 5" xfId="4294" xr:uid="{00000000-0005-0000-0000-000083670000}"/>
    <cellStyle name="40% - Accent6 5 2 5 2" xfId="11566" xr:uid="{00000000-0005-0000-0000-000084670000}"/>
    <cellStyle name="40% - Accent6 5 2 5 2 2" xfId="26100" xr:uid="{00000000-0005-0000-0000-000085670000}"/>
    <cellStyle name="40% - Accent6 5 2 5 2 2 2" xfId="55106" xr:uid="{00000000-0005-0000-0000-000086670000}"/>
    <cellStyle name="40% - Accent6 5 2 5 2 3" xfId="40607" xr:uid="{00000000-0005-0000-0000-000087670000}"/>
    <cellStyle name="40% - Accent6 5 2 5 3" xfId="18852" xr:uid="{00000000-0005-0000-0000-000088670000}"/>
    <cellStyle name="40% - Accent6 5 2 5 3 2" xfId="47858" xr:uid="{00000000-0005-0000-0000-000089670000}"/>
    <cellStyle name="40% - Accent6 5 2 5 4" xfId="33359" xr:uid="{00000000-0005-0000-0000-00008A670000}"/>
    <cellStyle name="40% - Accent6 5 2 6" xfId="7398" xr:uid="{00000000-0005-0000-0000-00008B670000}"/>
    <cellStyle name="40% - Accent6 5 2 6 2" xfId="14670" xr:uid="{00000000-0005-0000-0000-00008C670000}"/>
    <cellStyle name="40% - Accent6 5 2 6 2 2" xfId="29204" xr:uid="{00000000-0005-0000-0000-00008D670000}"/>
    <cellStyle name="40% - Accent6 5 2 6 2 2 2" xfId="58210" xr:uid="{00000000-0005-0000-0000-00008E670000}"/>
    <cellStyle name="40% - Accent6 5 2 6 2 3" xfId="43711" xr:uid="{00000000-0005-0000-0000-00008F670000}"/>
    <cellStyle name="40% - Accent6 5 2 6 3" xfId="21956" xr:uid="{00000000-0005-0000-0000-000090670000}"/>
    <cellStyle name="40% - Accent6 5 2 6 3 2" xfId="50962" xr:uid="{00000000-0005-0000-0000-000091670000}"/>
    <cellStyle name="40% - Accent6 5 2 6 4" xfId="36463" xr:uid="{00000000-0005-0000-0000-000092670000}"/>
    <cellStyle name="40% - Accent6 5 2 7" xfId="8462" xr:uid="{00000000-0005-0000-0000-000093670000}"/>
    <cellStyle name="40% - Accent6 5 2 7 2" xfId="22996" xr:uid="{00000000-0005-0000-0000-000094670000}"/>
    <cellStyle name="40% - Accent6 5 2 7 2 2" xfId="52002" xr:uid="{00000000-0005-0000-0000-000095670000}"/>
    <cellStyle name="40% - Accent6 5 2 7 3" xfId="37503" xr:uid="{00000000-0005-0000-0000-000096670000}"/>
    <cellStyle name="40% - Accent6 5 2 8" xfId="15748" xr:uid="{00000000-0005-0000-0000-000097670000}"/>
    <cellStyle name="40% - Accent6 5 2 8 2" xfId="44754" xr:uid="{00000000-0005-0000-0000-000098670000}"/>
    <cellStyle name="40% - Accent6 5 2 9" xfId="30255" xr:uid="{00000000-0005-0000-0000-000099670000}"/>
    <cellStyle name="40% - Accent6 5 3" xfId="1379" xr:uid="{00000000-0005-0000-0000-00009A670000}"/>
    <cellStyle name="40% - Accent6 5 3 2" xfId="2436" xr:uid="{00000000-0005-0000-0000-00009B670000}"/>
    <cellStyle name="40% - Accent6 5 3 2 2" xfId="5540" xr:uid="{00000000-0005-0000-0000-00009C670000}"/>
    <cellStyle name="40% - Accent6 5 3 2 2 2" xfId="12812" xr:uid="{00000000-0005-0000-0000-00009D670000}"/>
    <cellStyle name="40% - Accent6 5 3 2 2 2 2" xfId="27346" xr:uid="{00000000-0005-0000-0000-00009E670000}"/>
    <cellStyle name="40% - Accent6 5 3 2 2 2 2 2" xfId="56352" xr:uid="{00000000-0005-0000-0000-00009F670000}"/>
    <cellStyle name="40% - Accent6 5 3 2 2 2 3" xfId="41853" xr:uid="{00000000-0005-0000-0000-0000A0670000}"/>
    <cellStyle name="40% - Accent6 5 3 2 2 3" xfId="20098" xr:uid="{00000000-0005-0000-0000-0000A1670000}"/>
    <cellStyle name="40% - Accent6 5 3 2 2 3 2" xfId="49104" xr:uid="{00000000-0005-0000-0000-0000A2670000}"/>
    <cellStyle name="40% - Accent6 5 3 2 2 4" xfId="34605" xr:uid="{00000000-0005-0000-0000-0000A3670000}"/>
    <cellStyle name="40% - Accent6 5 3 2 3" xfId="9708" xr:uid="{00000000-0005-0000-0000-0000A4670000}"/>
    <cellStyle name="40% - Accent6 5 3 2 3 2" xfId="24242" xr:uid="{00000000-0005-0000-0000-0000A5670000}"/>
    <cellStyle name="40% - Accent6 5 3 2 3 2 2" xfId="53248" xr:uid="{00000000-0005-0000-0000-0000A6670000}"/>
    <cellStyle name="40% - Accent6 5 3 2 3 3" xfId="38749" xr:uid="{00000000-0005-0000-0000-0000A7670000}"/>
    <cellStyle name="40% - Accent6 5 3 2 4" xfId="16994" xr:uid="{00000000-0005-0000-0000-0000A8670000}"/>
    <cellStyle name="40% - Accent6 5 3 2 4 2" xfId="46000" xr:uid="{00000000-0005-0000-0000-0000A9670000}"/>
    <cellStyle name="40% - Accent6 5 3 2 5" xfId="31501" xr:uid="{00000000-0005-0000-0000-0000AA670000}"/>
    <cellStyle name="40% - Accent6 5 3 3" xfId="3468" xr:uid="{00000000-0005-0000-0000-0000AB670000}"/>
    <cellStyle name="40% - Accent6 5 3 3 2" xfId="6572" xr:uid="{00000000-0005-0000-0000-0000AC670000}"/>
    <cellStyle name="40% - Accent6 5 3 3 2 2" xfId="13844" xr:uid="{00000000-0005-0000-0000-0000AD670000}"/>
    <cellStyle name="40% - Accent6 5 3 3 2 2 2" xfId="28378" xr:uid="{00000000-0005-0000-0000-0000AE670000}"/>
    <cellStyle name="40% - Accent6 5 3 3 2 2 2 2" xfId="57384" xr:uid="{00000000-0005-0000-0000-0000AF670000}"/>
    <cellStyle name="40% - Accent6 5 3 3 2 2 3" xfId="42885" xr:uid="{00000000-0005-0000-0000-0000B0670000}"/>
    <cellStyle name="40% - Accent6 5 3 3 2 3" xfId="21130" xr:uid="{00000000-0005-0000-0000-0000B1670000}"/>
    <cellStyle name="40% - Accent6 5 3 3 2 3 2" xfId="50136" xr:uid="{00000000-0005-0000-0000-0000B2670000}"/>
    <cellStyle name="40% - Accent6 5 3 3 2 4" xfId="35637" xr:uid="{00000000-0005-0000-0000-0000B3670000}"/>
    <cellStyle name="40% - Accent6 5 3 3 3" xfId="10740" xr:uid="{00000000-0005-0000-0000-0000B4670000}"/>
    <cellStyle name="40% - Accent6 5 3 3 3 2" xfId="25274" xr:uid="{00000000-0005-0000-0000-0000B5670000}"/>
    <cellStyle name="40% - Accent6 5 3 3 3 2 2" xfId="54280" xr:uid="{00000000-0005-0000-0000-0000B6670000}"/>
    <cellStyle name="40% - Accent6 5 3 3 3 3" xfId="39781" xr:uid="{00000000-0005-0000-0000-0000B7670000}"/>
    <cellStyle name="40% - Accent6 5 3 3 4" xfId="18026" xr:uid="{00000000-0005-0000-0000-0000B8670000}"/>
    <cellStyle name="40% - Accent6 5 3 3 4 2" xfId="47032" xr:uid="{00000000-0005-0000-0000-0000B9670000}"/>
    <cellStyle name="40% - Accent6 5 3 3 5" xfId="32533" xr:uid="{00000000-0005-0000-0000-0000BA670000}"/>
    <cellStyle name="40% - Accent6 5 3 4" xfId="4500" xr:uid="{00000000-0005-0000-0000-0000BB670000}"/>
    <cellStyle name="40% - Accent6 5 3 4 2" xfId="11772" xr:uid="{00000000-0005-0000-0000-0000BC670000}"/>
    <cellStyle name="40% - Accent6 5 3 4 2 2" xfId="26306" xr:uid="{00000000-0005-0000-0000-0000BD670000}"/>
    <cellStyle name="40% - Accent6 5 3 4 2 2 2" xfId="55312" xr:uid="{00000000-0005-0000-0000-0000BE670000}"/>
    <cellStyle name="40% - Accent6 5 3 4 2 3" xfId="40813" xr:uid="{00000000-0005-0000-0000-0000BF670000}"/>
    <cellStyle name="40% - Accent6 5 3 4 3" xfId="19058" xr:uid="{00000000-0005-0000-0000-0000C0670000}"/>
    <cellStyle name="40% - Accent6 5 3 4 3 2" xfId="48064" xr:uid="{00000000-0005-0000-0000-0000C1670000}"/>
    <cellStyle name="40% - Accent6 5 3 4 4" xfId="33565" xr:uid="{00000000-0005-0000-0000-0000C2670000}"/>
    <cellStyle name="40% - Accent6 5 3 5" xfId="7604" xr:uid="{00000000-0005-0000-0000-0000C3670000}"/>
    <cellStyle name="40% - Accent6 5 3 5 2" xfId="14876" xr:uid="{00000000-0005-0000-0000-0000C4670000}"/>
    <cellStyle name="40% - Accent6 5 3 5 2 2" xfId="29410" xr:uid="{00000000-0005-0000-0000-0000C5670000}"/>
    <cellStyle name="40% - Accent6 5 3 5 2 2 2" xfId="58416" xr:uid="{00000000-0005-0000-0000-0000C6670000}"/>
    <cellStyle name="40% - Accent6 5 3 5 2 3" xfId="43917" xr:uid="{00000000-0005-0000-0000-0000C7670000}"/>
    <cellStyle name="40% - Accent6 5 3 5 3" xfId="22162" xr:uid="{00000000-0005-0000-0000-0000C8670000}"/>
    <cellStyle name="40% - Accent6 5 3 5 3 2" xfId="51168" xr:uid="{00000000-0005-0000-0000-0000C9670000}"/>
    <cellStyle name="40% - Accent6 5 3 5 4" xfId="36669" xr:uid="{00000000-0005-0000-0000-0000CA670000}"/>
    <cellStyle name="40% - Accent6 5 3 6" xfId="8668" xr:uid="{00000000-0005-0000-0000-0000CB670000}"/>
    <cellStyle name="40% - Accent6 5 3 6 2" xfId="23202" xr:uid="{00000000-0005-0000-0000-0000CC670000}"/>
    <cellStyle name="40% - Accent6 5 3 6 2 2" xfId="52208" xr:uid="{00000000-0005-0000-0000-0000CD670000}"/>
    <cellStyle name="40% - Accent6 5 3 6 3" xfId="37709" xr:uid="{00000000-0005-0000-0000-0000CE670000}"/>
    <cellStyle name="40% - Accent6 5 3 7" xfId="15954" xr:uid="{00000000-0005-0000-0000-0000CF670000}"/>
    <cellStyle name="40% - Accent6 5 3 7 2" xfId="44960" xr:uid="{00000000-0005-0000-0000-0000D0670000}"/>
    <cellStyle name="40% - Accent6 5 3 8" xfId="30461" xr:uid="{00000000-0005-0000-0000-0000D1670000}"/>
    <cellStyle name="40% - Accent6 5 4" xfId="1924" xr:uid="{00000000-0005-0000-0000-0000D2670000}"/>
    <cellStyle name="40% - Accent6 5 4 2" xfId="5028" xr:uid="{00000000-0005-0000-0000-0000D3670000}"/>
    <cellStyle name="40% - Accent6 5 4 2 2" xfId="12300" xr:uid="{00000000-0005-0000-0000-0000D4670000}"/>
    <cellStyle name="40% - Accent6 5 4 2 2 2" xfId="26834" xr:uid="{00000000-0005-0000-0000-0000D5670000}"/>
    <cellStyle name="40% - Accent6 5 4 2 2 2 2" xfId="55840" xr:uid="{00000000-0005-0000-0000-0000D6670000}"/>
    <cellStyle name="40% - Accent6 5 4 2 2 3" xfId="41341" xr:uid="{00000000-0005-0000-0000-0000D7670000}"/>
    <cellStyle name="40% - Accent6 5 4 2 3" xfId="19586" xr:uid="{00000000-0005-0000-0000-0000D8670000}"/>
    <cellStyle name="40% - Accent6 5 4 2 3 2" xfId="48592" xr:uid="{00000000-0005-0000-0000-0000D9670000}"/>
    <cellStyle name="40% - Accent6 5 4 2 4" xfId="34093" xr:uid="{00000000-0005-0000-0000-0000DA670000}"/>
    <cellStyle name="40% - Accent6 5 4 3" xfId="9196" xr:uid="{00000000-0005-0000-0000-0000DB670000}"/>
    <cellStyle name="40% - Accent6 5 4 3 2" xfId="23730" xr:uid="{00000000-0005-0000-0000-0000DC670000}"/>
    <cellStyle name="40% - Accent6 5 4 3 2 2" xfId="52736" xr:uid="{00000000-0005-0000-0000-0000DD670000}"/>
    <cellStyle name="40% - Accent6 5 4 3 3" xfId="38237" xr:uid="{00000000-0005-0000-0000-0000DE670000}"/>
    <cellStyle name="40% - Accent6 5 4 4" xfId="16482" xr:uid="{00000000-0005-0000-0000-0000DF670000}"/>
    <cellStyle name="40% - Accent6 5 4 4 2" xfId="45488" xr:uid="{00000000-0005-0000-0000-0000E0670000}"/>
    <cellStyle name="40% - Accent6 5 4 5" xfId="30989" xr:uid="{00000000-0005-0000-0000-0000E1670000}"/>
    <cellStyle name="40% - Accent6 5 5" xfId="2956" xr:uid="{00000000-0005-0000-0000-0000E2670000}"/>
    <cellStyle name="40% - Accent6 5 5 2" xfId="6060" xr:uid="{00000000-0005-0000-0000-0000E3670000}"/>
    <cellStyle name="40% - Accent6 5 5 2 2" xfId="13332" xr:uid="{00000000-0005-0000-0000-0000E4670000}"/>
    <cellStyle name="40% - Accent6 5 5 2 2 2" xfId="27866" xr:uid="{00000000-0005-0000-0000-0000E5670000}"/>
    <cellStyle name="40% - Accent6 5 5 2 2 2 2" xfId="56872" xr:uid="{00000000-0005-0000-0000-0000E6670000}"/>
    <cellStyle name="40% - Accent6 5 5 2 2 3" xfId="42373" xr:uid="{00000000-0005-0000-0000-0000E7670000}"/>
    <cellStyle name="40% - Accent6 5 5 2 3" xfId="20618" xr:uid="{00000000-0005-0000-0000-0000E8670000}"/>
    <cellStyle name="40% - Accent6 5 5 2 3 2" xfId="49624" xr:uid="{00000000-0005-0000-0000-0000E9670000}"/>
    <cellStyle name="40% - Accent6 5 5 2 4" xfId="35125" xr:uid="{00000000-0005-0000-0000-0000EA670000}"/>
    <cellStyle name="40% - Accent6 5 5 3" xfId="10228" xr:uid="{00000000-0005-0000-0000-0000EB670000}"/>
    <cellStyle name="40% - Accent6 5 5 3 2" xfId="24762" xr:uid="{00000000-0005-0000-0000-0000EC670000}"/>
    <cellStyle name="40% - Accent6 5 5 3 2 2" xfId="53768" xr:uid="{00000000-0005-0000-0000-0000ED670000}"/>
    <cellStyle name="40% - Accent6 5 5 3 3" xfId="39269" xr:uid="{00000000-0005-0000-0000-0000EE670000}"/>
    <cellStyle name="40% - Accent6 5 5 4" xfId="17514" xr:uid="{00000000-0005-0000-0000-0000EF670000}"/>
    <cellStyle name="40% - Accent6 5 5 4 2" xfId="46520" xr:uid="{00000000-0005-0000-0000-0000F0670000}"/>
    <cellStyle name="40% - Accent6 5 5 5" xfId="32021" xr:uid="{00000000-0005-0000-0000-0000F1670000}"/>
    <cellStyle name="40% - Accent6 5 6" xfId="3988" xr:uid="{00000000-0005-0000-0000-0000F2670000}"/>
    <cellStyle name="40% - Accent6 5 6 2" xfId="11260" xr:uid="{00000000-0005-0000-0000-0000F3670000}"/>
    <cellStyle name="40% - Accent6 5 6 2 2" xfId="25794" xr:uid="{00000000-0005-0000-0000-0000F4670000}"/>
    <cellStyle name="40% - Accent6 5 6 2 2 2" xfId="54800" xr:uid="{00000000-0005-0000-0000-0000F5670000}"/>
    <cellStyle name="40% - Accent6 5 6 2 3" xfId="40301" xr:uid="{00000000-0005-0000-0000-0000F6670000}"/>
    <cellStyle name="40% - Accent6 5 6 3" xfId="18546" xr:uid="{00000000-0005-0000-0000-0000F7670000}"/>
    <cellStyle name="40% - Accent6 5 6 3 2" xfId="47552" xr:uid="{00000000-0005-0000-0000-0000F8670000}"/>
    <cellStyle name="40% - Accent6 5 6 4" xfId="33053" xr:uid="{00000000-0005-0000-0000-0000F9670000}"/>
    <cellStyle name="40% - Accent6 5 7" xfId="7092" xr:uid="{00000000-0005-0000-0000-0000FA670000}"/>
    <cellStyle name="40% - Accent6 5 7 2" xfId="14364" xr:uid="{00000000-0005-0000-0000-0000FB670000}"/>
    <cellStyle name="40% - Accent6 5 7 2 2" xfId="28898" xr:uid="{00000000-0005-0000-0000-0000FC670000}"/>
    <cellStyle name="40% - Accent6 5 7 2 2 2" xfId="57904" xr:uid="{00000000-0005-0000-0000-0000FD670000}"/>
    <cellStyle name="40% - Accent6 5 7 2 3" xfId="43405" xr:uid="{00000000-0005-0000-0000-0000FE670000}"/>
    <cellStyle name="40% - Accent6 5 7 3" xfId="21650" xr:uid="{00000000-0005-0000-0000-0000FF670000}"/>
    <cellStyle name="40% - Accent6 5 7 3 2" xfId="50656" xr:uid="{00000000-0005-0000-0000-000000680000}"/>
    <cellStyle name="40% - Accent6 5 7 4" xfId="36157" xr:uid="{00000000-0005-0000-0000-000001680000}"/>
    <cellStyle name="40% - Accent6 5 8" xfId="8156" xr:uid="{00000000-0005-0000-0000-000002680000}"/>
    <cellStyle name="40% - Accent6 5 8 2" xfId="22690" xr:uid="{00000000-0005-0000-0000-000003680000}"/>
    <cellStyle name="40% - Accent6 5 8 2 2" xfId="51696" xr:uid="{00000000-0005-0000-0000-000004680000}"/>
    <cellStyle name="40% - Accent6 5 8 3" xfId="37197" xr:uid="{00000000-0005-0000-0000-000005680000}"/>
    <cellStyle name="40% - Accent6 5 9" xfId="15442" xr:uid="{00000000-0005-0000-0000-000006680000}"/>
    <cellStyle name="40% - Accent6 5 9 2" xfId="44448" xr:uid="{00000000-0005-0000-0000-000007680000}"/>
    <cellStyle name="40% - Accent6 6" xfId="1088" xr:uid="{00000000-0005-0000-0000-000008680000}"/>
    <cellStyle name="40% - Accent6 6 2" xfId="1580" xr:uid="{00000000-0005-0000-0000-000009680000}"/>
    <cellStyle name="40% - Accent6 6 2 2" xfId="2639" xr:uid="{00000000-0005-0000-0000-00000A680000}"/>
    <cellStyle name="40% - Accent6 6 2 2 2" xfId="5743" xr:uid="{00000000-0005-0000-0000-00000B680000}"/>
    <cellStyle name="40% - Accent6 6 2 2 2 2" xfId="13015" xr:uid="{00000000-0005-0000-0000-00000C680000}"/>
    <cellStyle name="40% - Accent6 6 2 2 2 2 2" xfId="27549" xr:uid="{00000000-0005-0000-0000-00000D680000}"/>
    <cellStyle name="40% - Accent6 6 2 2 2 2 2 2" xfId="56555" xr:uid="{00000000-0005-0000-0000-00000E680000}"/>
    <cellStyle name="40% - Accent6 6 2 2 2 2 3" xfId="42056" xr:uid="{00000000-0005-0000-0000-00000F680000}"/>
    <cellStyle name="40% - Accent6 6 2 2 2 3" xfId="20301" xr:uid="{00000000-0005-0000-0000-000010680000}"/>
    <cellStyle name="40% - Accent6 6 2 2 2 3 2" xfId="49307" xr:uid="{00000000-0005-0000-0000-000011680000}"/>
    <cellStyle name="40% - Accent6 6 2 2 2 4" xfId="34808" xr:uid="{00000000-0005-0000-0000-000012680000}"/>
    <cellStyle name="40% - Accent6 6 2 2 3" xfId="9911" xr:uid="{00000000-0005-0000-0000-000013680000}"/>
    <cellStyle name="40% - Accent6 6 2 2 3 2" xfId="24445" xr:uid="{00000000-0005-0000-0000-000014680000}"/>
    <cellStyle name="40% - Accent6 6 2 2 3 2 2" xfId="53451" xr:uid="{00000000-0005-0000-0000-000015680000}"/>
    <cellStyle name="40% - Accent6 6 2 2 3 3" xfId="38952" xr:uid="{00000000-0005-0000-0000-000016680000}"/>
    <cellStyle name="40% - Accent6 6 2 2 4" xfId="17197" xr:uid="{00000000-0005-0000-0000-000017680000}"/>
    <cellStyle name="40% - Accent6 6 2 2 4 2" xfId="46203" xr:uid="{00000000-0005-0000-0000-000018680000}"/>
    <cellStyle name="40% - Accent6 6 2 2 5" xfId="31704" xr:uid="{00000000-0005-0000-0000-000019680000}"/>
    <cellStyle name="40% - Accent6 6 2 3" xfId="3671" xr:uid="{00000000-0005-0000-0000-00001A680000}"/>
    <cellStyle name="40% - Accent6 6 2 3 2" xfId="6775" xr:uid="{00000000-0005-0000-0000-00001B680000}"/>
    <cellStyle name="40% - Accent6 6 2 3 2 2" xfId="14047" xr:uid="{00000000-0005-0000-0000-00001C680000}"/>
    <cellStyle name="40% - Accent6 6 2 3 2 2 2" xfId="28581" xr:uid="{00000000-0005-0000-0000-00001D680000}"/>
    <cellStyle name="40% - Accent6 6 2 3 2 2 2 2" xfId="57587" xr:uid="{00000000-0005-0000-0000-00001E680000}"/>
    <cellStyle name="40% - Accent6 6 2 3 2 2 3" xfId="43088" xr:uid="{00000000-0005-0000-0000-00001F680000}"/>
    <cellStyle name="40% - Accent6 6 2 3 2 3" xfId="21333" xr:uid="{00000000-0005-0000-0000-000020680000}"/>
    <cellStyle name="40% - Accent6 6 2 3 2 3 2" xfId="50339" xr:uid="{00000000-0005-0000-0000-000021680000}"/>
    <cellStyle name="40% - Accent6 6 2 3 2 4" xfId="35840" xr:uid="{00000000-0005-0000-0000-000022680000}"/>
    <cellStyle name="40% - Accent6 6 2 3 3" xfId="10943" xr:uid="{00000000-0005-0000-0000-000023680000}"/>
    <cellStyle name="40% - Accent6 6 2 3 3 2" xfId="25477" xr:uid="{00000000-0005-0000-0000-000024680000}"/>
    <cellStyle name="40% - Accent6 6 2 3 3 2 2" xfId="54483" xr:uid="{00000000-0005-0000-0000-000025680000}"/>
    <cellStyle name="40% - Accent6 6 2 3 3 3" xfId="39984" xr:uid="{00000000-0005-0000-0000-000026680000}"/>
    <cellStyle name="40% - Accent6 6 2 3 4" xfId="18229" xr:uid="{00000000-0005-0000-0000-000027680000}"/>
    <cellStyle name="40% - Accent6 6 2 3 4 2" xfId="47235" xr:uid="{00000000-0005-0000-0000-000028680000}"/>
    <cellStyle name="40% - Accent6 6 2 3 5" xfId="32736" xr:uid="{00000000-0005-0000-0000-000029680000}"/>
    <cellStyle name="40% - Accent6 6 2 4" xfId="4703" xr:uid="{00000000-0005-0000-0000-00002A680000}"/>
    <cellStyle name="40% - Accent6 6 2 4 2" xfId="11975" xr:uid="{00000000-0005-0000-0000-00002B680000}"/>
    <cellStyle name="40% - Accent6 6 2 4 2 2" xfId="26509" xr:uid="{00000000-0005-0000-0000-00002C680000}"/>
    <cellStyle name="40% - Accent6 6 2 4 2 2 2" xfId="55515" xr:uid="{00000000-0005-0000-0000-00002D680000}"/>
    <cellStyle name="40% - Accent6 6 2 4 2 3" xfId="41016" xr:uid="{00000000-0005-0000-0000-00002E680000}"/>
    <cellStyle name="40% - Accent6 6 2 4 3" xfId="19261" xr:uid="{00000000-0005-0000-0000-00002F680000}"/>
    <cellStyle name="40% - Accent6 6 2 4 3 2" xfId="48267" xr:uid="{00000000-0005-0000-0000-000030680000}"/>
    <cellStyle name="40% - Accent6 6 2 4 4" xfId="33768" xr:uid="{00000000-0005-0000-0000-000031680000}"/>
    <cellStyle name="40% - Accent6 6 2 5" xfId="7807" xr:uid="{00000000-0005-0000-0000-000032680000}"/>
    <cellStyle name="40% - Accent6 6 2 5 2" xfId="15079" xr:uid="{00000000-0005-0000-0000-000033680000}"/>
    <cellStyle name="40% - Accent6 6 2 5 2 2" xfId="29613" xr:uid="{00000000-0005-0000-0000-000034680000}"/>
    <cellStyle name="40% - Accent6 6 2 5 2 2 2" xfId="58619" xr:uid="{00000000-0005-0000-0000-000035680000}"/>
    <cellStyle name="40% - Accent6 6 2 5 2 3" xfId="44120" xr:uid="{00000000-0005-0000-0000-000036680000}"/>
    <cellStyle name="40% - Accent6 6 2 5 3" xfId="22365" xr:uid="{00000000-0005-0000-0000-000037680000}"/>
    <cellStyle name="40% - Accent6 6 2 5 3 2" xfId="51371" xr:uid="{00000000-0005-0000-0000-000038680000}"/>
    <cellStyle name="40% - Accent6 6 2 5 4" xfId="36872" xr:uid="{00000000-0005-0000-0000-000039680000}"/>
    <cellStyle name="40% - Accent6 6 2 6" xfId="8871" xr:uid="{00000000-0005-0000-0000-00003A680000}"/>
    <cellStyle name="40% - Accent6 6 2 6 2" xfId="23405" xr:uid="{00000000-0005-0000-0000-00003B680000}"/>
    <cellStyle name="40% - Accent6 6 2 6 2 2" xfId="52411" xr:uid="{00000000-0005-0000-0000-00003C680000}"/>
    <cellStyle name="40% - Accent6 6 2 6 3" xfId="37912" xr:uid="{00000000-0005-0000-0000-00003D680000}"/>
    <cellStyle name="40% - Accent6 6 2 7" xfId="16157" xr:uid="{00000000-0005-0000-0000-00003E680000}"/>
    <cellStyle name="40% - Accent6 6 2 7 2" xfId="45163" xr:uid="{00000000-0005-0000-0000-00003F680000}"/>
    <cellStyle name="40% - Accent6 6 2 8" xfId="30664" xr:uid="{00000000-0005-0000-0000-000040680000}"/>
    <cellStyle name="40% - Accent6 6 3" xfId="2127" xr:uid="{00000000-0005-0000-0000-000041680000}"/>
    <cellStyle name="40% - Accent6 6 3 2" xfId="5231" xr:uid="{00000000-0005-0000-0000-000042680000}"/>
    <cellStyle name="40% - Accent6 6 3 2 2" xfId="12503" xr:uid="{00000000-0005-0000-0000-000043680000}"/>
    <cellStyle name="40% - Accent6 6 3 2 2 2" xfId="27037" xr:uid="{00000000-0005-0000-0000-000044680000}"/>
    <cellStyle name="40% - Accent6 6 3 2 2 2 2" xfId="56043" xr:uid="{00000000-0005-0000-0000-000045680000}"/>
    <cellStyle name="40% - Accent6 6 3 2 2 3" xfId="41544" xr:uid="{00000000-0005-0000-0000-000046680000}"/>
    <cellStyle name="40% - Accent6 6 3 2 3" xfId="19789" xr:uid="{00000000-0005-0000-0000-000047680000}"/>
    <cellStyle name="40% - Accent6 6 3 2 3 2" xfId="48795" xr:uid="{00000000-0005-0000-0000-000048680000}"/>
    <cellStyle name="40% - Accent6 6 3 2 4" xfId="34296" xr:uid="{00000000-0005-0000-0000-000049680000}"/>
    <cellStyle name="40% - Accent6 6 3 3" xfId="9399" xr:uid="{00000000-0005-0000-0000-00004A680000}"/>
    <cellStyle name="40% - Accent6 6 3 3 2" xfId="23933" xr:uid="{00000000-0005-0000-0000-00004B680000}"/>
    <cellStyle name="40% - Accent6 6 3 3 2 2" xfId="52939" xr:uid="{00000000-0005-0000-0000-00004C680000}"/>
    <cellStyle name="40% - Accent6 6 3 3 3" xfId="38440" xr:uid="{00000000-0005-0000-0000-00004D680000}"/>
    <cellStyle name="40% - Accent6 6 3 4" xfId="16685" xr:uid="{00000000-0005-0000-0000-00004E680000}"/>
    <cellStyle name="40% - Accent6 6 3 4 2" xfId="45691" xr:uid="{00000000-0005-0000-0000-00004F680000}"/>
    <cellStyle name="40% - Accent6 6 3 5" xfId="31192" xr:uid="{00000000-0005-0000-0000-000050680000}"/>
    <cellStyle name="40% - Accent6 6 4" xfId="3159" xr:uid="{00000000-0005-0000-0000-000051680000}"/>
    <cellStyle name="40% - Accent6 6 4 2" xfId="6263" xr:uid="{00000000-0005-0000-0000-000052680000}"/>
    <cellStyle name="40% - Accent6 6 4 2 2" xfId="13535" xr:uid="{00000000-0005-0000-0000-000053680000}"/>
    <cellStyle name="40% - Accent6 6 4 2 2 2" xfId="28069" xr:uid="{00000000-0005-0000-0000-000054680000}"/>
    <cellStyle name="40% - Accent6 6 4 2 2 2 2" xfId="57075" xr:uid="{00000000-0005-0000-0000-000055680000}"/>
    <cellStyle name="40% - Accent6 6 4 2 2 3" xfId="42576" xr:uid="{00000000-0005-0000-0000-000056680000}"/>
    <cellStyle name="40% - Accent6 6 4 2 3" xfId="20821" xr:uid="{00000000-0005-0000-0000-000057680000}"/>
    <cellStyle name="40% - Accent6 6 4 2 3 2" xfId="49827" xr:uid="{00000000-0005-0000-0000-000058680000}"/>
    <cellStyle name="40% - Accent6 6 4 2 4" xfId="35328" xr:uid="{00000000-0005-0000-0000-000059680000}"/>
    <cellStyle name="40% - Accent6 6 4 3" xfId="10431" xr:uid="{00000000-0005-0000-0000-00005A680000}"/>
    <cellStyle name="40% - Accent6 6 4 3 2" xfId="24965" xr:uid="{00000000-0005-0000-0000-00005B680000}"/>
    <cellStyle name="40% - Accent6 6 4 3 2 2" xfId="53971" xr:uid="{00000000-0005-0000-0000-00005C680000}"/>
    <cellStyle name="40% - Accent6 6 4 3 3" xfId="39472" xr:uid="{00000000-0005-0000-0000-00005D680000}"/>
    <cellStyle name="40% - Accent6 6 4 4" xfId="17717" xr:uid="{00000000-0005-0000-0000-00005E680000}"/>
    <cellStyle name="40% - Accent6 6 4 4 2" xfId="46723" xr:uid="{00000000-0005-0000-0000-00005F680000}"/>
    <cellStyle name="40% - Accent6 6 4 5" xfId="32224" xr:uid="{00000000-0005-0000-0000-000060680000}"/>
    <cellStyle name="40% - Accent6 6 5" xfId="4191" xr:uid="{00000000-0005-0000-0000-000061680000}"/>
    <cellStyle name="40% - Accent6 6 5 2" xfId="11463" xr:uid="{00000000-0005-0000-0000-000062680000}"/>
    <cellStyle name="40% - Accent6 6 5 2 2" xfId="25997" xr:uid="{00000000-0005-0000-0000-000063680000}"/>
    <cellStyle name="40% - Accent6 6 5 2 2 2" xfId="55003" xr:uid="{00000000-0005-0000-0000-000064680000}"/>
    <cellStyle name="40% - Accent6 6 5 2 3" xfId="40504" xr:uid="{00000000-0005-0000-0000-000065680000}"/>
    <cellStyle name="40% - Accent6 6 5 3" xfId="18749" xr:uid="{00000000-0005-0000-0000-000066680000}"/>
    <cellStyle name="40% - Accent6 6 5 3 2" xfId="47755" xr:uid="{00000000-0005-0000-0000-000067680000}"/>
    <cellStyle name="40% - Accent6 6 5 4" xfId="33256" xr:uid="{00000000-0005-0000-0000-000068680000}"/>
    <cellStyle name="40% - Accent6 6 6" xfId="7295" xr:uid="{00000000-0005-0000-0000-000069680000}"/>
    <cellStyle name="40% - Accent6 6 6 2" xfId="14567" xr:uid="{00000000-0005-0000-0000-00006A680000}"/>
    <cellStyle name="40% - Accent6 6 6 2 2" xfId="29101" xr:uid="{00000000-0005-0000-0000-00006B680000}"/>
    <cellStyle name="40% - Accent6 6 6 2 2 2" xfId="58107" xr:uid="{00000000-0005-0000-0000-00006C680000}"/>
    <cellStyle name="40% - Accent6 6 6 2 3" xfId="43608" xr:uid="{00000000-0005-0000-0000-00006D680000}"/>
    <cellStyle name="40% - Accent6 6 6 3" xfId="21853" xr:uid="{00000000-0005-0000-0000-00006E680000}"/>
    <cellStyle name="40% - Accent6 6 6 3 2" xfId="50859" xr:uid="{00000000-0005-0000-0000-00006F680000}"/>
    <cellStyle name="40% - Accent6 6 6 4" xfId="36360" xr:uid="{00000000-0005-0000-0000-000070680000}"/>
    <cellStyle name="40% - Accent6 6 7" xfId="8359" xr:uid="{00000000-0005-0000-0000-000071680000}"/>
    <cellStyle name="40% - Accent6 6 7 2" xfId="22893" xr:uid="{00000000-0005-0000-0000-000072680000}"/>
    <cellStyle name="40% - Accent6 6 7 2 2" xfId="51899" xr:uid="{00000000-0005-0000-0000-000073680000}"/>
    <cellStyle name="40% - Accent6 6 7 3" xfId="37400" xr:uid="{00000000-0005-0000-0000-000074680000}"/>
    <cellStyle name="40% - Accent6 6 8" xfId="15645" xr:uid="{00000000-0005-0000-0000-000075680000}"/>
    <cellStyle name="40% - Accent6 6 8 2" xfId="44651" xr:uid="{00000000-0005-0000-0000-000076680000}"/>
    <cellStyle name="40% - Accent6 6 9" xfId="30152" xr:uid="{00000000-0005-0000-0000-000077680000}"/>
    <cellStyle name="40% - Accent6 7" xfId="996" xr:uid="{00000000-0005-0000-0000-000078680000}"/>
    <cellStyle name="40% - Accent6 7 2" xfId="1481" xr:uid="{00000000-0005-0000-0000-000079680000}"/>
    <cellStyle name="40% - Accent6 7 2 2" xfId="2539" xr:uid="{00000000-0005-0000-0000-00007A680000}"/>
    <cellStyle name="40% - Accent6 7 2 2 2" xfId="5643" xr:uid="{00000000-0005-0000-0000-00007B680000}"/>
    <cellStyle name="40% - Accent6 7 2 2 2 2" xfId="12915" xr:uid="{00000000-0005-0000-0000-00007C680000}"/>
    <cellStyle name="40% - Accent6 7 2 2 2 2 2" xfId="27449" xr:uid="{00000000-0005-0000-0000-00007D680000}"/>
    <cellStyle name="40% - Accent6 7 2 2 2 2 2 2" xfId="56455" xr:uid="{00000000-0005-0000-0000-00007E680000}"/>
    <cellStyle name="40% - Accent6 7 2 2 2 2 3" xfId="41956" xr:uid="{00000000-0005-0000-0000-00007F680000}"/>
    <cellStyle name="40% - Accent6 7 2 2 2 3" xfId="20201" xr:uid="{00000000-0005-0000-0000-000080680000}"/>
    <cellStyle name="40% - Accent6 7 2 2 2 3 2" xfId="49207" xr:uid="{00000000-0005-0000-0000-000081680000}"/>
    <cellStyle name="40% - Accent6 7 2 2 2 4" xfId="34708" xr:uid="{00000000-0005-0000-0000-000082680000}"/>
    <cellStyle name="40% - Accent6 7 2 2 3" xfId="9811" xr:uid="{00000000-0005-0000-0000-000083680000}"/>
    <cellStyle name="40% - Accent6 7 2 2 3 2" xfId="24345" xr:uid="{00000000-0005-0000-0000-000084680000}"/>
    <cellStyle name="40% - Accent6 7 2 2 3 2 2" xfId="53351" xr:uid="{00000000-0005-0000-0000-000085680000}"/>
    <cellStyle name="40% - Accent6 7 2 2 3 3" xfId="38852" xr:uid="{00000000-0005-0000-0000-000086680000}"/>
    <cellStyle name="40% - Accent6 7 2 2 4" xfId="17097" xr:uid="{00000000-0005-0000-0000-000087680000}"/>
    <cellStyle name="40% - Accent6 7 2 2 4 2" xfId="46103" xr:uid="{00000000-0005-0000-0000-000088680000}"/>
    <cellStyle name="40% - Accent6 7 2 2 5" xfId="31604" xr:uid="{00000000-0005-0000-0000-000089680000}"/>
    <cellStyle name="40% - Accent6 7 2 3" xfId="3571" xr:uid="{00000000-0005-0000-0000-00008A680000}"/>
    <cellStyle name="40% - Accent6 7 2 3 2" xfId="6675" xr:uid="{00000000-0005-0000-0000-00008B680000}"/>
    <cellStyle name="40% - Accent6 7 2 3 2 2" xfId="13947" xr:uid="{00000000-0005-0000-0000-00008C680000}"/>
    <cellStyle name="40% - Accent6 7 2 3 2 2 2" xfId="28481" xr:uid="{00000000-0005-0000-0000-00008D680000}"/>
    <cellStyle name="40% - Accent6 7 2 3 2 2 2 2" xfId="57487" xr:uid="{00000000-0005-0000-0000-00008E680000}"/>
    <cellStyle name="40% - Accent6 7 2 3 2 2 3" xfId="42988" xr:uid="{00000000-0005-0000-0000-00008F680000}"/>
    <cellStyle name="40% - Accent6 7 2 3 2 3" xfId="21233" xr:uid="{00000000-0005-0000-0000-000090680000}"/>
    <cellStyle name="40% - Accent6 7 2 3 2 3 2" xfId="50239" xr:uid="{00000000-0005-0000-0000-000091680000}"/>
    <cellStyle name="40% - Accent6 7 2 3 2 4" xfId="35740" xr:uid="{00000000-0005-0000-0000-000092680000}"/>
    <cellStyle name="40% - Accent6 7 2 3 3" xfId="10843" xr:uid="{00000000-0005-0000-0000-000093680000}"/>
    <cellStyle name="40% - Accent6 7 2 3 3 2" xfId="25377" xr:uid="{00000000-0005-0000-0000-000094680000}"/>
    <cellStyle name="40% - Accent6 7 2 3 3 2 2" xfId="54383" xr:uid="{00000000-0005-0000-0000-000095680000}"/>
    <cellStyle name="40% - Accent6 7 2 3 3 3" xfId="39884" xr:uid="{00000000-0005-0000-0000-000096680000}"/>
    <cellStyle name="40% - Accent6 7 2 3 4" xfId="18129" xr:uid="{00000000-0005-0000-0000-000097680000}"/>
    <cellStyle name="40% - Accent6 7 2 3 4 2" xfId="47135" xr:uid="{00000000-0005-0000-0000-000098680000}"/>
    <cellStyle name="40% - Accent6 7 2 3 5" xfId="32636" xr:uid="{00000000-0005-0000-0000-000099680000}"/>
    <cellStyle name="40% - Accent6 7 2 4" xfId="4603" xr:uid="{00000000-0005-0000-0000-00009A680000}"/>
    <cellStyle name="40% - Accent6 7 2 4 2" xfId="11875" xr:uid="{00000000-0005-0000-0000-00009B680000}"/>
    <cellStyle name="40% - Accent6 7 2 4 2 2" xfId="26409" xr:uid="{00000000-0005-0000-0000-00009C680000}"/>
    <cellStyle name="40% - Accent6 7 2 4 2 2 2" xfId="55415" xr:uid="{00000000-0005-0000-0000-00009D680000}"/>
    <cellStyle name="40% - Accent6 7 2 4 2 3" xfId="40916" xr:uid="{00000000-0005-0000-0000-00009E680000}"/>
    <cellStyle name="40% - Accent6 7 2 4 3" xfId="19161" xr:uid="{00000000-0005-0000-0000-00009F680000}"/>
    <cellStyle name="40% - Accent6 7 2 4 3 2" xfId="48167" xr:uid="{00000000-0005-0000-0000-0000A0680000}"/>
    <cellStyle name="40% - Accent6 7 2 4 4" xfId="33668" xr:uid="{00000000-0005-0000-0000-0000A1680000}"/>
    <cellStyle name="40% - Accent6 7 2 5" xfId="7707" xr:uid="{00000000-0005-0000-0000-0000A2680000}"/>
    <cellStyle name="40% - Accent6 7 2 5 2" xfId="14979" xr:uid="{00000000-0005-0000-0000-0000A3680000}"/>
    <cellStyle name="40% - Accent6 7 2 5 2 2" xfId="29513" xr:uid="{00000000-0005-0000-0000-0000A4680000}"/>
    <cellStyle name="40% - Accent6 7 2 5 2 2 2" xfId="58519" xr:uid="{00000000-0005-0000-0000-0000A5680000}"/>
    <cellStyle name="40% - Accent6 7 2 5 2 3" xfId="44020" xr:uid="{00000000-0005-0000-0000-0000A6680000}"/>
    <cellStyle name="40% - Accent6 7 2 5 3" xfId="22265" xr:uid="{00000000-0005-0000-0000-0000A7680000}"/>
    <cellStyle name="40% - Accent6 7 2 5 3 2" xfId="51271" xr:uid="{00000000-0005-0000-0000-0000A8680000}"/>
    <cellStyle name="40% - Accent6 7 2 5 4" xfId="36772" xr:uid="{00000000-0005-0000-0000-0000A9680000}"/>
    <cellStyle name="40% - Accent6 7 2 6" xfId="8771" xr:uid="{00000000-0005-0000-0000-0000AA680000}"/>
    <cellStyle name="40% - Accent6 7 2 6 2" xfId="23305" xr:uid="{00000000-0005-0000-0000-0000AB680000}"/>
    <cellStyle name="40% - Accent6 7 2 6 2 2" xfId="52311" xr:uid="{00000000-0005-0000-0000-0000AC680000}"/>
    <cellStyle name="40% - Accent6 7 2 6 3" xfId="37812" xr:uid="{00000000-0005-0000-0000-0000AD680000}"/>
    <cellStyle name="40% - Accent6 7 2 7" xfId="16057" xr:uid="{00000000-0005-0000-0000-0000AE680000}"/>
    <cellStyle name="40% - Accent6 7 2 7 2" xfId="45063" xr:uid="{00000000-0005-0000-0000-0000AF680000}"/>
    <cellStyle name="40% - Accent6 7 2 8" xfId="30564" xr:uid="{00000000-0005-0000-0000-0000B0680000}"/>
    <cellStyle name="40% - Accent6 7 3" xfId="2027" xr:uid="{00000000-0005-0000-0000-0000B1680000}"/>
    <cellStyle name="40% - Accent6 7 3 2" xfId="5131" xr:uid="{00000000-0005-0000-0000-0000B2680000}"/>
    <cellStyle name="40% - Accent6 7 3 2 2" xfId="12403" xr:uid="{00000000-0005-0000-0000-0000B3680000}"/>
    <cellStyle name="40% - Accent6 7 3 2 2 2" xfId="26937" xr:uid="{00000000-0005-0000-0000-0000B4680000}"/>
    <cellStyle name="40% - Accent6 7 3 2 2 2 2" xfId="55943" xr:uid="{00000000-0005-0000-0000-0000B5680000}"/>
    <cellStyle name="40% - Accent6 7 3 2 2 3" xfId="41444" xr:uid="{00000000-0005-0000-0000-0000B6680000}"/>
    <cellStyle name="40% - Accent6 7 3 2 3" xfId="19689" xr:uid="{00000000-0005-0000-0000-0000B7680000}"/>
    <cellStyle name="40% - Accent6 7 3 2 3 2" xfId="48695" xr:uid="{00000000-0005-0000-0000-0000B8680000}"/>
    <cellStyle name="40% - Accent6 7 3 2 4" xfId="34196" xr:uid="{00000000-0005-0000-0000-0000B9680000}"/>
    <cellStyle name="40% - Accent6 7 3 3" xfId="9299" xr:uid="{00000000-0005-0000-0000-0000BA680000}"/>
    <cellStyle name="40% - Accent6 7 3 3 2" xfId="23833" xr:uid="{00000000-0005-0000-0000-0000BB680000}"/>
    <cellStyle name="40% - Accent6 7 3 3 2 2" xfId="52839" xr:uid="{00000000-0005-0000-0000-0000BC680000}"/>
    <cellStyle name="40% - Accent6 7 3 3 3" xfId="38340" xr:uid="{00000000-0005-0000-0000-0000BD680000}"/>
    <cellStyle name="40% - Accent6 7 3 4" xfId="16585" xr:uid="{00000000-0005-0000-0000-0000BE680000}"/>
    <cellStyle name="40% - Accent6 7 3 4 2" xfId="45591" xr:uid="{00000000-0005-0000-0000-0000BF680000}"/>
    <cellStyle name="40% - Accent6 7 3 5" xfId="31092" xr:uid="{00000000-0005-0000-0000-0000C0680000}"/>
    <cellStyle name="40% - Accent6 7 4" xfId="3059" xr:uid="{00000000-0005-0000-0000-0000C1680000}"/>
    <cellStyle name="40% - Accent6 7 4 2" xfId="6163" xr:uid="{00000000-0005-0000-0000-0000C2680000}"/>
    <cellStyle name="40% - Accent6 7 4 2 2" xfId="13435" xr:uid="{00000000-0005-0000-0000-0000C3680000}"/>
    <cellStyle name="40% - Accent6 7 4 2 2 2" xfId="27969" xr:uid="{00000000-0005-0000-0000-0000C4680000}"/>
    <cellStyle name="40% - Accent6 7 4 2 2 2 2" xfId="56975" xr:uid="{00000000-0005-0000-0000-0000C5680000}"/>
    <cellStyle name="40% - Accent6 7 4 2 2 3" xfId="42476" xr:uid="{00000000-0005-0000-0000-0000C6680000}"/>
    <cellStyle name="40% - Accent6 7 4 2 3" xfId="20721" xr:uid="{00000000-0005-0000-0000-0000C7680000}"/>
    <cellStyle name="40% - Accent6 7 4 2 3 2" xfId="49727" xr:uid="{00000000-0005-0000-0000-0000C8680000}"/>
    <cellStyle name="40% - Accent6 7 4 2 4" xfId="35228" xr:uid="{00000000-0005-0000-0000-0000C9680000}"/>
    <cellStyle name="40% - Accent6 7 4 3" xfId="10331" xr:uid="{00000000-0005-0000-0000-0000CA680000}"/>
    <cellStyle name="40% - Accent6 7 4 3 2" xfId="24865" xr:uid="{00000000-0005-0000-0000-0000CB680000}"/>
    <cellStyle name="40% - Accent6 7 4 3 2 2" xfId="53871" xr:uid="{00000000-0005-0000-0000-0000CC680000}"/>
    <cellStyle name="40% - Accent6 7 4 3 3" xfId="39372" xr:uid="{00000000-0005-0000-0000-0000CD680000}"/>
    <cellStyle name="40% - Accent6 7 4 4" xfId="17617" xr:uid="{00000000-0005-0000-0000-0000CE680000}"/>
    <cellStyle name="40% - Accent6 7 4 4 2" xfId="46623" xr:uid="{00000000-0005-0000-0000-0000CF680000}"/>
    <cellStyle name="40% - Accent6 7 4 5" xfId="32124" xr:uid="{00000000-0005-0000-0000-0000D0680000}"/>
    <cellStyle name="40% - Accent6 7 5" xfId="4091" xr:uid="{00000000-0005-0000-0000-0000D1680000}"/>
    <cellStyle name="40% - Accent6 7 5 2" xfId="11363" xr:uid="{00000000-0005-0000-0000-0000D2680000}"/>
    <cellStyle name="40% - Accent6 7 5 2 2" xfId="25897" xr:uid="{00000000-0005-0000-0000-0000D3680000}"/>
    <cellStyle name="40% - Accent6 7 5 2 2 2" xfId="54903" xr:uid="{00000000-0005-0000-0000-0000D4680000}"/>
    <cellStyle name="40% - Accent6 7 5 2 3" xfId="40404" xr:uid="{00000000-0005-0000-0000-0000D5680000}"/>
    <cellStyle name="40% - Accent6 7 5 3" xfId="18649" xr:uid="{00000000-0005-0000-0000-0000D6680000}"/>
    <cellStyle name="40% - Accent6 7 5 3 2" xfId="47655" xr:uid="{00000000-0005-0000-0000-0000D7680000}"/>
    <cellStyle name="40% - Accent6 7 5 4" xfId="33156" xr:uid="{00000000-0005-0000-0000-0000D8680000}"/>
    <cellStyle name="40% - Accent6 7 6" xfId="7195" xr:uid="{00000000-0005-0000-0000-0000D9680000}"/>
    <cellStyle name="40% - Accent6 7 6 2" xfId="14467" xr:uid="{00000000-0005-0000-0000-0000DA680000}"/>
    <cellStyle name="40% - Accent6 7 6 2 2" xfId="29001" xr:uid="{00000000-0005-0000-0000-0000DB680000}"/>
    <cellStyle name="40% - Accent6 7 6 2 2 2" xfId="58007" xr:uid="{00000000-0005-0000-0000-0000DC680000}"/>
    <cellStyle name="40% - Accent6 7 6 2 3" xfId="43508" xr:uid="{00000000-0005-0000-0000-0000DD680000}"/>
    <cellStyle name="40% - Accent6 7 6 3" xfId="21753" xr:uid="{00000000-0005-0000-0000-0000DE680000}"/>
    <cellStyle name="40% - Accent6 7 6 3 2" xfId="50759" xr:uid="{00000000-0005-0000-0000-0000DF680000}"/>
    <cellStyle name="40% - Accent6 7 6 4" xfId="36260" xr:uid="{00000000-0005-0000-0000-0000E0680000}"/>
    <cellStyle name="40% - Accent6 7 7" xfId="8259" xr:uid="{00000000-0005-0000-0000-0000E1680000}"/>
    <cellStyle name="40% - Accent6 7 7 2" xfId="22793" xr:uid="{00000000-0005-0000-0000-0000E2680000}"/>
    <cellStyle name="40% - Accent6 7 7 2 2" xfId="51799" xr:uid="{00000000-0005-0000-0000-0000E3680000}"/>
    <cellStyle name="40% - Accent6 7 7 3" xfId="37300" xr:uid="{00000000-0005-0000-0000-0000E4680000}"/>
    <cellStyle name="40% - Accent6 7 8" xfId="15545" xr:uid="{00000000-0005-0000-0000-0000E5680000}"/>
    <cellStyle name="40% - Accent6 7 8 2" xfId="44551" xr:uid="{00000000-0005-0000-0000-0000E6680000}"/>
    <cellStyle name="40% - Accent6 7 9" xfId="30052" xr:uid="{00000000-0005-0000-0000-0000E7680000}"/>
    <cellStyle name="40% - Accent6 8" xfId="1278" xr:uid="{00000000-0005-0000-0000-0000E8680000}"/>
    <cellStyle name="40% - Accent6 8 2" xfId="2333" xr:uid="{00000000-0005-0000-0000-0000E9680000}"/>
    <cellStyle name="40% - Accent6 8 2 2" xfId="5437" xr:uid="{00000000-0005-0000-0000-0000EA680000}"/>
    <cellStyle name="40% - Accent6 8 2 2 2" xfId="12709" xr:uid="{00000000-0005-0000-0000-0000EB680000}"/>
    <cellStyle name="40% - Accent6 8 2 2 2 2" xfId="27243" xr:uid="{00000000-0005-0000-0000-0000EC680000}"/>
    <cellStyle name="40% - Accent6 8 2 2 2 2 2" xfId="56249" xr:uid="{00000000-0005-0000-0000-0000ED680000}"/>
    <cellStyle name="40% - Accent6 8 2 2 2 3" xfId="41750" xr:uid="{00000000-0005-0000-0000-0000EE680000}"/>
    <cellStyle name="40% - Accent6 8 2 2 3" xfId="19995" xr:uid="{00000000-0005-0000-0000-0000EF680000}"/>
    <cellStyle name="40% - Accent6 8 2 2 3 2" xfId="49001" xr:uid="{00000000-0005-0000-0000-0000F0680000}"/>
    <cellStyle name="40% - Accent6 8 2 2 4" xfId="34502" xr:uid="{00000000-0005-0000-0000-0000F1680000}"/>
    <cellStyle name="40% - Accent6 8 2 3" xfId="9605" xr:uid="{00000000-0005-0000-0000-0000F2680000}"/>
    <cellStyle name="40% - Accent6 8 2 3 2" xfId="24139" xr:uid="{00000000-0005-0000-0000-0000F3680000}"/>
    <cellStyle name="40% - Accent6 8 2 3 2 2" xfId="53145" xr:uid="{00000000-0005-0000-0000-0000F4680000}"/>
    <cellStyle name="40% - Accent6 8 2 3 3" xfId="38646" xr:uid="{00000000-0005-0000-0000-0000F5680000}"/>
    <cellStyle name="40% - Accent6 8 2 4" xfId="16891" xr:uid="{00000000-0005-0000-0000-0000F6680000}"/>
    <cellStyle name="40% - Accent6 8 2 4 2" xfId="45897" xr:uid="{00000000-0005-0000-0000-0000F7680000}"/>
    <cellStyle name="40% - Accent6 8 2 5" xfId="31398" xr:uid="{00000000-0005-0000-0000-0000F8680000}"/>
    <cellStyle name="40% - Accent6 8 3" xfId="3365" xr:uid="{00000000-0005-0000-0000-0000F9680000}"/>
    <cellStyle name="40% - Accent6 8 3 2" xfId="6469" xr:uid="{00000000-0005-0000-0000-0000FA680000}"/>
    <cellStyle name="40% - Accent6 8 3 2 2" xfId="13741" xr:uid="{00000000-0005-0000-0000-0000FB680000}"/>
    <cellStyle name="40% - Accent6 8 3 2 2 2" xfId="28275" xr:uid="{00000000-0005-0000-0000-0000FC680000}"/>
    <cellStyle name="40% - Accent6 8 3 2 2 2 2" xfId="57281" xr:uid="{00000000-0005-0000-0000-0000FD680000}"/>
    <cellStyle name="40% - Accent6 8 3 2 2 3" xfId="42782" xr:uid="{00000000-0005-0000-0000-0000FE680000}"/>
    <cellStyle name="40% - Accent6 8 3 2 3" xfId="21027" xr:uid="{00000000-0005-0000-0000-0000FF680000}"/>
    <cellStyle name="40% - Accent6 8 3 2 3 2" xfId="50033" xr:uid="{00000000-0005-0000-0000-000000690000}"/>
    <cellStyle name="40% - Accent6 8 3 2 4" xfId="35534" xr:uid="{00000000-0005-0000-0000-000001690000}"/>
    <cellStyle name="40% - Accent6 8 3 3" xfId="10637" xr:uid="{00000000-0005-0000-0000-000002690000}"/>
    <cellStyle name="40% - Accent6 8 3 3 2" xfId="25171" xr:uid="{00000000-0005-0000-0000-000003690000}"/>
    <cellStyle name="40% - Accent6 8 3 3 2 2" xfId="54177" xr:uid="{00000000-0005-0000-0000-000004690000}"/>
    <cellStyle name="40% - Accent6 8 3 3 3" xfId="39678" xr:uid="{00000000-0005-0000-0000-000005690000}"/>
    <cellStyle name="40% - Accent6 8 3 4" xfId="17923" xr:uid="{00000000-0005-0000-0000-000006690000}"/>
    <cellStyle name="40% - Accent6 8 3 4 2" xfId="46929" xr:uid="{00000000-0005-0000-0000-000007690000}"/>
    <cellStyle name="40% - Accent6 8 3 5" xfId="32430" xr:uid="{00000000-0005-0000-0000-000008690000}"/>
    <cellStyle name="40% - Accent6 8 4" xfId="4397" xr:uid="{00000000-0005-0000-0000-000009690000}"/>
    <cellStyle name="40% - Accent6 8 4 2" xfId="11669" xr:uid="{00000000-0005-0000-0000-00000A690000}"/>
    <cellStyle name="40% - Accent6 8 4 2 2" xfId="26203" xr:uid="{00000000-0005-0000-0000-00000B690000}"/>
    <cellStyle name="40% - Accent6 8 4 2 2 2" xfId="55209" xr:uid="{00000000-0005-0000-0000-00000C690000}"/>
    <cellStyle name="40% - Accent6 8 4 2 3" xfId="40710" xr:uid="{00000000-0005-0000-0000-00000D690000}"/>
    <cellStyle name="40% - Accent6 8 4 3" xfId="18955" xr:uid="{00000000-0005-0000-0000-00000E690000}"/>
    <cellStyle name="40% - Accent6 8 4 3 2" xfId="47961" xr:uid="{00000000-0005-0000-0000-00000F690000}"/>
    <cellStyle name="40% - Accent6 8 4 4" xfId="33462" xr:uid="{00000000-0005-0000-0000-000010690000}"/>
    <cellStyle name="40% - Accent6 8 5" xfId="7501" xr:uid="{00000000-0005-0000-0000-000011690000}"/>
    <cellStyle name="40% - Accent6 8 5 2" xfId="14773" xr:uid="{00000000-0005-0000-0000-000012690000}"/>
    <cellStyle name="40% - Accent6 8 5 2 2" xfId="29307" xr:uid="{00000000-0005-0000-0000-000013690000}"/>
    <cellStyle name="40% - Accent6 8 5 2 2 2" xfId="58313" xr:uid="{00000000-0005-0000-0000-000014690000}"/>
    <cellStyle name="40% - Accent6 8 5 2 3" xfId="43814" xr:uid="{00000000-0005-0000-0000-000015690000}"/>
    <cellStyle name="40% - Accent6 8 5 3" xfId="22059" xr:uid="{00000000-0005-0000-0000-000016690000}"/>
    <cellStyle name="40% - Accent6 8 5 3 2" xfId="51065" xr:uid="{00000000-0005-0000-0000-000017690000}"/>
    <cellStyle name="40% - Accent6 8 5 4" xfId="36566" xr:uid="{00000000-0005-0000-0000-000018690000}"/>
    <cellStyle name="40% - Accent6 8 6" xfId="8565" xr:uid="{00000000-0005-0000-0000-000019690000}"/>
    <cellStyle name="40% - Accent6 8 6 2" xfId="23099" xr:uid="{00000000-0005-0000-0000-00001A690000}"/>
    <cellStyle name="40% - Accent6 8 6 2 2" xfId="52105" xr:uid="{00000000-0005-0000-0000-00001B690000}"/>
    <cellStyle name="40% - Accent6 8 6 3" xfId="37606" xr:uid="{00000000-0005-0000-0000-00001C690000}"/>
    <cellStyle name="40% - Accent6 8 7" xfId="15851" xr:uid="{00000000-0005-0000-0000-00001D690000}"/>
    <cellStyle name="40% - Accent6 8 7 2" xfId="44857" xr:uid="{00000000-0005-0000-0000-00001E690000}"/>
    <cellStyle name="40% - Accent6 8 8" xfId="30358" xr:uid="{00000000-0005-0000-0000-00001F690000}"/>
    <cellStyle name="40% - Accent6 9" xfId="1821" xr:uid="{00000000-0005-0000-0000-000020690000}"/>
    <cellStyle name="40% - Accent6 9 2" xfId="4925" xr:uid="{00000000-0005-0000-0000-000021690000}"/>
    <cellStyle name="40% - Accent6 9 2 2" xfId="12197" xr:uid="{00000000-0005-0000-0000-000022690000}"/>
    <cellStyle name="40% - Accent6 9 2 2 2" xfId="26731" xr:uid="{00000000-0005-0000-0000-000023690000}"/>
    <cellStyle name="40% - Accent6 9 2 2 2 2" xfId="55737" xr:uid="{00000000-0005-0000-0000-000024690000}"/>
    <cellStyle name="40% - Accent6 9 2 2 3" xfId="41238" xr:uid="{00000000-0005-0000-0000-000025690000}"/>
    <cellStyle name="40% - Accent6 9 2 3" xfId="19483" xr:uid="{00000000-0005-0000-0000-000026690000}"/>
    <cellStyle name="40% - Accent6 9 2 3 2" xfId="48489" xr:uid="{00000000-0005-0000-0000-000027690000}"/>
    <cellStyle name="40% - Accent6 9 2 4" xfId="33990" xr:uid="{00000000-0005-0000-0000-000028690000}"/>
    <cellStyle name="40% - Accent6 9 3" xfId="9093" xr:uid="{00000000-0005-0000-0000-000029690000}"/>
    <cellStyle name="40% - Accent6 9 3 2" xfId="23627" xr:uid="{00000000-0005-0000-0000-00002A690000}"/>
    <cellStyle name="40% - Accent6 9 3 2 2" xfId="52633" xr:uid="{00000000-0005-0000-0000-00002B690000}"/>
    <cellStyle name="40% - Accent6 9 3 3" xfId="38134" xr:uid="{00000000-0005-0000-0000-00002C690000}"/>
    <cellStyle name="40% - Accent6 9 4" xfId="16379" xr:uid="{00000000-0005-0000-0000-00002D690000}"/>
    <cellStyle name="40% - Accent6 9 4 2" xfId="45385" xr:uid="{00000000-0005-0000-0000-00002E690000}"/>
    <cellStyle name="40% - Accent6 9 5" xfId="30886" xr:uid="{00000000-0005-0000-0000-00002F690000}"/>
    <cellStyle name="60% - Accent1" xfId="64" builtinId="32" customBuiltin="1"/>
    <cellStyle name="60% - Accent1 2" xfId="367" xr:uid="{00000000-0005-0000-0000-000031690000}"/>
    <cellStyle name="60% - Accent2" xfId="68" builtinId="36" customBuiltin="1"/>
    <cellStyle name="60% - Accent2 2" xfId="322" xr:uid="{00000000-0005-0000-0000-000033690000}"/>
    <cellStyle name="60% - Accent3" xfId="72" builtinId="40" customBuiltin="1"/>
    <cellStyle name="60% - Accent3 2" xfId="307" xr:uid="{00000000-0005-0000-0000-000035690000}"/>
    <cellStyle name="60% - Accent4" xfId="76" builtinId="44" customBuiltin="1"/>
    <cellStyle name="60% - Accent4 2" xfId="309" xr:uid="{00000000-0005-0000-0000-000037690000}"/>
    <cellStyle name="60% - Accent5" xfId="80" builtinId="48" customBuiltin="1"/>
    <cellStyle name="60% - Accent5 2" xfId="395" xr:uid="{00000000-0005-0000-0000-000039690000}"/>
    <cellStyle name="60% - Accent6" xfId="84" builtinId="52" customBuiltin="1"/>
    <cellStyle name="60% - Accent6 2" xfId="297" xr:uid="{00000000-0005-0000-0000-00003B690000}"/>
    <cellStyle name="Accent1" xfId="61" builtinId="29" customBuiltin="1"/>
    <cellStyle name="Accent1 2" xfId="360" xr:uid="{00000000-0005-0000-0000-00003D690000}"/>
    <cellStyle name="Accent2" xfId="65" builtinId="33" customBuiltin="1"/>
    <cellStyle name="Accent2 2" xfId="312" xr:uid="{00000000-0005-0000-0000-00003F690000}"/>
    <cellStyle name="Accent3" xfId="69" builtinId="37" customBuiltin="1"/>
    <cellStyle name="Accent3 2" xfId="361" xr:uid="{00000000-0005-0000-0000-000041690000}"/>
    <cellStyle name="Accent4" xfId="73" builtinId="41" customBuiltin="1"/>
    <cellStyle name="Accent4 2" xfId="289" xr:uid="{00000000-0005-0000-0000-000043690000}"/>
    <cellStyle name="Accent5" xfId="77" builtinId="45" customBuiltin="1"/>
    <cellStyle name="Accent5 2" xfId="286" xr:uid="{00000000-0005-0000-0000-000045690000}"/>
    <cellStyle name="Accent6" xfId="81" builtinId="49" customBuiltin="1"/>
    <cellStyle name="Accent6 2" xfId="415" xr:uid="{00000000-0005-0000-0000-000047690000}"/>
    <cellStyle name="Amount" xfId="364" xr:uid="{00000000-0005-0000-0000-000048690000}"/>
    <cellStyle name="Amount - $" xfId="366" xr:uid="{00000000-0005-0000-0000-000049690000}"/>
    <cellStyle name="Amount - $ Double Underline" xfId="299" xr:uid="{00000000-0005-0000-0000-00004A690000}"/>
    <cellStyle name="Amount - $ Single Underline" xfId="316" xr:uid="{00000000-0005-0000-0000-00004B690000}"/>
    <cellStyle name="Amount - %" xfId="538" xr:uid="{00000000-0005-0000-0000-00004C690000}"/>
    <cellStyle name="Amount - % Double Underline" xfId="402" xr:uid="{00000000-0005-0000-0000-00004D690000}"/>
    <cellStyle name="Amount - % Single Underline" xfId="281" xr:uid="{00000000-0005-0000-0000-00004E690000}"/>
    <cellStyle name="Amount - Single Underline" xfId="324" xr:uid="{00000000-0005-0000-0000-00004F690000}"/>
    <cellStyle name="Bad" xfId="51" builtinId="27" customBuiltin="1"/>
    <cellStyle name="Bad 2" xfId="305" xr:uid="{00000000-0005-0000-0000-000051690000}"/>
    <cellStyle name="Bad 3" xfId="788" xr:uid="{00000000-0005-0000-0000-000052690000}"/>
    <cellStyle name="Bad 3 2" xfId="1773" xr:uid="{00000000-0005-0000-0000-000053690000}"/>
    <cellStyle name="Bad 4" xfId="713" xr:uid="{00000000-0005-0000-0000-000054690000}"/>
    <cellStyle name="Calculation" xfId="55" builtinId="22" customBuiltin="1"/>
    <cellStyle name="Calculation 2" xfId="614" xr:uid="{00000000-0005-0000-0000-000056690000}"/>
    <cellStyle name="Check Cell" xfId="57" builtinId="23" customBuiltin="1"/>
    <cellStyle name="Check Cell 2" xfId="615" xr:uid="{00000000-0005-0000-0000-000058690000}"/>
    <cellStyle name="Comma" xfId="1" builtinId="3"/>
    <cellStyle name="Comma 10" xfId="806" xr:uid="{00000000-0005-0000-0000-00005A690000}"/>
    <cellStyle name="Comma 10 2" xfId="814" xr:uid="{00000000-0005-0000-0000-00005B690000}"/>
    <cellStyle name="Comma 11" xfId="815" xr:uid="{00000000-0005-0000-0000-00005C690000}"/>
    <cellStyle name="Comma 12" xfId="816" xr:uid="{00000000-0005-0000-0000-00005D690000}"/>
    <cellStyle name="Comma 13" xfId="817" xr:uid="{00000000-0005-0000-0000-00005E690000}"/>
    <cellStyle name="Comma 13 2" xfId="818" xr:uid="{00000000-0005-0000-0000-00005F690000}"/>
    <cellStyle name="Comma 14" xfId="819" xr:uid="{00000000-0005-0000-0000-000060690000}"/>
    <cellStyle name="Comma 15" xfId="820" xr:uid="{00000000-0005-0000-0000-000061690000}"/>
    <cellStyle name="Comma 15 10" xfId="1829" xr:uid="{00000000-0005-0000-0000-000062690000}"/>
    <cellStyle name="Comma 15 10 2" xfId="4933" xr:uid="{00000000-0005-0000-0000-000063690000}"/>
    <cellStyle name="Comma 15 10 2 2" xfId="12205" xr:uid="{00000000-0005-0000-0000-000064690000}"/>
    <cellStyle name="Comma 15 10 2 2 2" xfId="26739" xr:uid="{00000000-0005-0000-0000-000065690000}"/>
    <cellStyle name="Comma 15 10 2 2 2 2" xfId="55745" xr:uid="{00000000-0005-0000-0000-000066690000}"/>
    <cellStyle name="Comma 15 10 2 2 3" xfId="41246" xr:uid="{00000000-0005-0000-0000-000067690000}"/>
    <cellStyle name="Comma 15 10 2 3" xfId="19491" xr:uid="{00000000-0005-0000-0000-000068690000}"/>
    <cellStyle name="Comma 15 10 2 3 2" xfId="48497" xr:uid="{00000000-0005-0000-0000-000069690000}"/>
    <cellStyle name="Comma 15 10 2 4" xfId="33998" xr:uid="{00000000-0005-0000-0000-00006A690000}"/>
    <cellStyle name="Comma 15 10 3" xfId="9101" xr:uid="{00000000-0005-0000-0000-00006B690000}"/>
    <cellStyle name="Comma 15 10 3 2" xfId="23635" xr:uid="{00000000-0005-0000-0000-00006C690000}"/>
    <cellStyle name="Comma 15 10 3 2 2" xfId="52641" xr:uid="{00000000-0005-0000-0000-00006D690000}"/>
    <cellStyle name="Comma 15 10 3 3" xfId="38142" xr:uid="{00000000-0005-0000-0000-00006E690000}"/>
    <cellStyle name="Comma 15 10 4" xfId="16387" xr:uid="{00000000-0005-0000-0000-00006F690000}"/>
    <cellStyle name="Comma 15 10 4 2" xfId="45393" xr:uid="{00000000-0005-0000-0000-000070690000}"/>
    <cellStyle name="Comma 15 10 5" xfId="30894" xr:uid="{00000000-0005-0000-0000-000071690000}"/>
    <cellStyle name="Comma 15 11" xfId="2861" xr:uid="{00000000-0005-0000-0000-000072690000}"/>
    <cellStyle name="Comma 15 11 2" xfId="5965" xr:uid="{00000000-0005-0000-0000-000073690000}"/>
    <cellStyle name="Comma 15 11 2 2" xfId="13237" xr:uid="{00000000-0005-0000-0000-000074690000}"/>
    <cellStyle name="Comma 15 11 2 2 2" xfId="27771" xr:uid="{00000000-0005-0000-0000-000075690000}"/>
    <cellStyle name="Comma 15 11 2 2 2 2" xfId="56777" xr:uid="{00000000-0005-0000-0000-000076690000}"/>
    <cellStyle name="Comma 15 11 2 2 3" xfId="42278" xr:uid="{00000000-0005-0000-0000-000077690000}"/>
    <cellStyle name="Comma 15 11 2 3" xfId="20523" xr:uid="{00000000-0005-0000-0000-000078690000}"/>
    <cellStyle name="Comma 15 11 2 3 2" xfId="49529" xr:uid="{00000000-0005-0000-0000-000079690000}"/>
    <cellStyle name="Comma 15 11 2 4" xfId="35030" xr:uid="{00000000-0005-0000-0000-00007A690000}"/>
    <cellStyle name="Comma 15 11 3" xfId="10133" xr:uid="{00000000-0005-0000-0000-00007B690000}"/>
    <cellStyle name="Comma 15 11 3 2" xfId="24667" xr:uid="{00000000-0005-0000-0000-00007C690000}"/>
    <cellStyle name="Comma 15 11 3 2 2" xfId="53673" xr:uid="{00000000-0005-0000-0000-00007D690000}"/>
    <cellStyle name="Comma 15 11 3 3" xfId="39174" xr:uid="{00000000-0005-0000-0000-00007E690000}"/>
    <cellStyle name="Comma 15 11 4" xfId="17419" xr:uid="{00000000-0005-0000-0000-00007F690000}"/>
    <cellStyle name="Comma 15 11 4 2" xfId="46425" xr:uid="{00000000-0005-0000-0000-000080690000}"/>
    <cellStyle name="Comma 15 11 5" xfId="31926" xr:uid="{00000000-0005-0000-0000-000081690000}"/>
    <cellStyle name="Comma 15 12" xfId="3893" xr:uid="{00000000-0005-0000-0000-000082690000}"/>
    <cellStyle name="Comma 15 12 2" xfId="11165" xr:uid="{00000000-0005-0000-0000-000083690000}"/>
    <cellStyle name="Comma 15 12 2 2" xfId="25699" xr:uid="{00000000-0005-0000-0000-000084690000}"/>
    <cellStyle name="Comma 15 12 2 2 2" xfId="54705" xr:uid="{00000000-0005-0000-0000-000085690000}"/>
    <cellStyle name="Comma 15 12 2 3" xfId="40206" xr:uid="{00000000-0005-0000-0000-000086690000}"/>
    <cellStyle name="Comma 15 12 3" xfId="18451" xr:uid="{00000000-0005-0000-0000-000087690000}"/>
    <cellStyle name="Comma 15 12 3 2" xfId="47457" xr:uid="{00000000-0005-0000-0000-000088690000}"/>
    <cellStyle name="Comma 15 12 4" xfId="32958" xr:uid="{00000000-0005-0000-0000-000089690000}"/>
    <cellStyle name="Comma 15 13" xfId="6997" xr:uid="{00000000-0005-0000-0000-00008A690000}"/>
    <cellStyle name="Comma 15 13 2" xfId="14269" xr:uid="{00000000-0005-0000-0000-00008B690000}"/>
    <cellStyle name="Comma 15 13 2 2" xfId="28803" xr:uid="{00000000-0005-0000-0000-00008C690000}"/>
    <cellStyle name="Comma 15 13 2 2 2" xfId="57809" xr:uid="{00000000-0005-0000-0000-00008D690000}"/>
    <cellStyle name="Comma 15 13 2 3" xfId="43310" xr:uid="{00000000-0005-0000-0000-00008E690000}"/>
    <cellStyle name="Comma 15 13 3" xfId="21555" xr:uid="{00000000-0005-0000-0000-00008F690000}"/>
    <cellStyle name="Comma 15 13 3 2" xfId="50561" xr:uid="{00000000-0005-0000-0000-000090690000}"/>
    <cellStyle name="Comma 15 13 4" xfId="36062" xr:uid="{00000000-0005-0000-0000-000091690000}"/>
    <cellStyle name="Comma 15 14" xfId="8036" xr:uid="{00000000-0005-0000-0000-000092690000}"/>
    <cellStyle name="Comma 15 14 2" xfId="15284" xr:uid="{00000000-0005-0000-0000-000093690000}"/>
    <cellStyle name="Comma 15 14 2 2" xfId="29818" xr:uid="{00000000-0005-0000-0000-000094690000}"/>
    <cellStyle name="Comma 15 14 2 2 2" xfId="58824" xr:uid="{00000000-0005-0000-0000-000095690000}"/>
    <cellStyle name="Comma 15 14 2 3" xfId="44325" xr:uid="{00000000-0005-0000-0000-000096690000}"/>
    <cellStyle name="Comma 15 14 3" xfId="22570" xr:uid="{00000000-0005-0000-0000-000097690000}"/>
    <cellStyle name="Comma 15 14 3 2" xfId="51576" xr:uid="{00000000-0005-0000-0000-000098690000}"/>
    <cellStyle name="Comma 15 14 4" xfId="37077" xr:uid="{00000000-0005-0000-0000-000099690000}"/>
    <cellStyle name="Comma 15 15" xfId="8061" xr:uid="{00000000-0005-0000-0000-00009A690000}"/>
    <cellStyle name="Comma 15 15 2" xfId="22595" xr:uid="{00000000-0005-0000-0000-00009B690000}"/>
    <cellStyle name="Comma 15 15 2 2" xfId="51601" xr:uid="{00000000-0005-0000-0000-00009C690000}"/>
    <cellStyle name="Comma 15 15 3" xfId="37102" xr:uid="{00000000-0005-0000-0000-00009D690000}"/>
    <cellStyle name="Comma 15 16" xfId="15347" xr:uid="{00000000-0005-0000-0000-00009E690000}"/>
    <cellStyle name="Comma 15 16 2" xfId="44353" xr:uid="{00000000-0005-0000-0000-00009F690000}"/>
    <cellStyle name="Comma 15 17" xfId="29854" xr:uid="{00000000-0005-0000-0000-0000A0690000}"/>
    <cellStyle name="Comma 15 2" xfId="856" xr:uid="{00000000-0005-0000-0000-0000A1690000}"/>
    <cellStyle name="Comma 15 2 10" xfId="7021" xr:uid="{00000000-0005-0000-0000-0000A2690000}"/>
    <cellStyle name="Comma 15 2 10 2" xfId="14293" xr:uid="{00000000-0005-0000-0000-0000A3690000}"/>
    <cellStyle name="Comma 15 2 10 2 2" xfId="28827" xr:uid="{00000000-0005-0000-0000-0000A4690000}"/>
    <cellStyle name="Comma 15 2 10 2 2 2" xfId="57833" xr:uid="{00000000-0005-0000-0000-0000A5690000}"/>
    <cellStyle name="Comma 15 2 10 2 3" xfId="43334" xr:uid="{00000000-0005-0000-0000-0000A6690000}"/>
    <cellStyle name="Comma 15 2 10 3" xfId="21579" xr:uid="{00000000-0005-0000-0000-0000A7690000}"/>
    <cellStyle name="Comma 15 2 10 3 2" xfId="50585" xr:uid="{00000000-0005-0000-0000-0000A8690000}"/>
    <cellStyle name="Comma 15 2 10 4" xfId="36086" xr:uid="{00000000-0005-0000-0000-0000A9690000}"/>
    <cellStyle name="Comma 15 2 11" xfId="8085" xr:uid="{00000000-0005-0000-0000-0000AA690000}"/>
    <cellStyle name="Comma 15 2 11 2" xfId="22619" xr:uid="{00000000-0005-0000-0000-0000AB690000}"/>
    <cellStyle name="Comma 15 2 11 2 2" xfId="51625" xr:uid="{00000000-0005-0000-0000-0000AC690000}"/>
    <cellStyle name="Comma 15 2 11 3" xfId="37126" xr:uid="{00000000-0005-0000-0000-0000AD690000}"/>
    <cellStyle name="Comma 15 2 12" xfId="15371" xr:uid="{00000000-0005-0000-0000-0000AE690000}"/>
    <cellStyle name="Comma 15 2 12 2" xfId="44377" xr:uid="{00000000-0005-0000-0000-0000AF690000}"/>
    <cellStyle name="Comma 15 2 13" xfId="29878" xr:uid="{00000000-0005-0000-0000-0000B0690000}"/>
    <cellStyle name="Comma 15 2 2" xfId="898" xr:uid="{00000000-0005-0000-0000-0000B1690000}"/>
    <cellStyle name="Comma 15 2 2 10" xfId="8137" xr:uid="{00000000-0005-0000-0000-0000B2690000}"/>
    <cellStyle name="Comma 15 2 2 10 2" xfId="22671" xr:uid="{00000000-0005-0000-0000-0000B3690000}"/>
    <cellStyle name="Comma 15 2 2 10 2 2" xfId="51677" xr:uid="{00000000-0005-0000-0000-0000B4690000}"/>
    <cellStyle name="Comma 15 2 2 10 3" xfId="37178" xr:uid="{00000000-0005-0000-0000-0000B5690000}"/>
    <cellStyle name="Comma 15 2 2 11" xfId="15423" xr:uid="{00000000-0005-0000-0000-0000B6690000}"/>
    <cellStyle name="Comma 15 2 2 11 2" xfId="44429" xr:uid="{00000000-0005-0000-0000-0000B7690000}"/>
    <cellStyle name="Comma 15 2 2 12" xfId="29930" xr:uid="{00000000-0005-0000-0000-0000B8690000}"/>
    <cellStyle name="Comma 15 2 2 2" xfId="979" xr:uid="{00000000-0005-0000-0000-0000B9690000}"/>
    <cellStyle name="Comma 15 2 2 2 10" xfId="30033" xr:uid="{00000000-0005-0000-0000-0000BA690000}"/>
    <cellStyle name="Comma 15 2 2 2 2" xfId="1260" xr:uid="{00000000-0005-0000-0000-0000BB690000}"/>
    <cellStyle name="Comma 15 2 2 2 2 2" xfId="1767" xr:uid="{00000000-0005-0000-0000-0000BC690000}"/>
    <cellStyle name="Comma 15 2 2 2 2 2 2" xfId="2826" xr:uid="{00000000-0005-0000-0000-0000BD690000}"/>
    <cellStyle name="Comma 15 2 2 2 2 2 2 2" xfId="5930" xr:uid="{00000000-0005-0000-0000-0000BE690000}"/>
    <cellStyle name="Comma 15 2 2 2 2 2 2 2 2" xfId="13202" xr:uid="{00000000-0005-0000-0000-0000BF690000}"/>
    <cellStyle name="Comma 15 2 2 2 2 2 2 2 2 2" xfId="27736" xr:uid="{00000000-0005-0000-0000-0000C0690000}"/>
    <cellStyle name="Comma 15 2 2 2 2 2 2 2 2 2 2" xfId="56742" xr:uid="{00000000-0005-0000-0000-0000C1690000}"/>
    <cellStyle name="Comma 15 2 2 2 2 2 2 2 2 3" xfId="42243" xr:uid="{00000000-0005-0000-0000-0000C2690000}"/>
    <cellStyle name="Comma 15 2 2 2 2 2 2 2 3" xfId="20488" xr:uid="{00000000-0005-0000-0000-0000C3690000}"/>
    <cellStyle name="Comma 15 2 2 2 2 2 2 2 3 2" xfId="49494" xr:uid="{00000000-0005-0000-0000-0000C4690000}"/>
    <cellStyle name="Comma 15 2 2 2 2 2 2 2 4" xfId="34995" xr:uid="{00000000-0005-0000-0000-0000C5690000}"/>
    <cellStyle name="Comma 15 2 2 2 2 2 2 3" xfId="10098" xr:uid="{00000000-0005-0000-0000-0000C6690000}"/>
    <cellStyle name="Comma 15 2 2 2 2 2 2 3 2" xfId="24632" xr:uid="{00000000-0005-0000-0000-0000C7690000}"/>
    <cellStyle name="Comma 15 2 2 2 2 2 2 3 2 2" xfId="53638" xr:uid="{00000000-0005-0000-0000-0000C8690000}"/>
    <cellStyle name="Comma 15 2 2 2 2 2 2 3 3" xfId="39139" xr:uid="{00000000-0005-0000-0000-0000C9690000}"/>
    <cellStyle name="Comma 15 2 2 2 2 2 2 4" xfId="17384" xr:uid="{00000000-0005-0000-0000-0000CA690000}"/>
    <cellStyle name="Comma 15 2 2 2 2 2 2 4 2" xfId="46390" xr:uid="{00000000-0005-0000-0000-0000CB690000}"/>
    <cellStyle name="Comma 15 2 2 2 2 2 2 5" xfId="31891" xr:uid="{00000000-0005-0000-0000-0000CC690000}"/>
    <cellStyle name="Comma 15 2 2 2 2 2 3" xfId="3858" xr:uid="{00000000-0005-0000-0000-0000CD690000}"/>
    <cellStyle name="Comma 15 2 2 2 2 2 3 2" xfId="6962" xr:uid="{00000000-0005-0000-0000-0000CE690000}"/>
    <cellStyle name="Comma 15 2 2 2 2 2 3 2 2" xfId="14234" xr:uid="{00000000-0005-0000-0000-0000CF690000}"/>
    <cellStyle name="Comma 15 2 2 2 2 2 3 2 2 2" xfId="28768" xr:uid="{00000000-0005-0000-0000-0000D0690000}"/>
    <cellStyle name="Comma 15 2 2 2 2 2 3 2 2 2 2" xfId="57774" xr:uid="{00000000-0005-0000-0000-0000D1690000}"/>
    <cellStyle name="Comma 15 2 2 2 2 2 3 2 2 3" xfId="43275" xr:uid="{00000000-0005-0000-0000-0000D2690000}"/>
    <cellStyle name="Comma 15 2 2 2 2 2 3 2 3" xfId="21520" xr:uid="{00000000-0005-0000-0000-0000D3690000}"/>
    <cellStyle name="Comma 15 2 2 2 2 2 3 2 3 2" xfId="50526" xr:uid="{00000000-0005-0000-0000-0000D4690000}"/>
    <cellStyle name="Comma 15 2 2 2 2 2 3 2 4" xfId="36027" xr:uid="{00000000-0005-0000-0000-0000D5690000}"/>
    <cellStyle name="Comma 15 2 2 2 2 2 3 3" xfId="11130" xr:uid="{00000000-0005-0000-0000-0000D6690000}"/>
    <cellStyle name="Comma 15 2 2 2 2 2 3 3 2" xfId="25664" xr:uid="{00000000-0005-0000-0000-0000D7690000}"/>
    <cellStyle name="Comma 15 2 2 2 2 2 3 3 2 2" xfId="54670" xr:uid="{00000000-0005-0000-0000-0000D8690000}"/>
    <cellStyle name="Comma 15 2 2 2 2 2 3 3 3" xfId="40171" xr:uid="{00000000-0005-0000-0000-0000D9690000}"/>
    <cellStyle name="Comma 15 2 2 2 2 2 3 4" xfId="18416" xr:uid="{00000000-0005-0000-0000-0000DA690000}"/>
    <cellStyle name="Comma 15 2 2 2 2 2 3 4 2" xfId="47422" xr:uid="{00000000-0005-0000-0000-0000DB690000}"/>
    <cellStyle name="Comma 15 2 2 2 2 2 3 5" xfId="32923" xr:uid="{00000000-0005-0000-0000-0000DC690000}"/>
    <cellStyle name="Comma 15 2 2 2 2 2 4" xfId="4890" xr:uid="{00000000-0005-0000-0000-0000DD690000}"/>
    <cellStyle name="Comma 15 2 2 2 2 2 4 2" xfId="12162" xr:uid="{00000000-0005-0000-0000-0000DE690000}"/>
    <cellStyle name="Comma 15 2 2 2 2 2 4 2 2" xfId="26696" xr:uid="{00000000-0005-0000-0000-0000DF690000}"/>
    <cellStyle name="Comma 15 2 2 2 2 2 4 2 2 2" xfId="55702" xr:uid="{00000000-0005-0000-0000-0000E0690000}"/>
    <cellStyle name="Comma 15 2 2 2 2 2 4 2 3" xfId="41203" xr:uid="{00000000-0005-0000-0000-0000E1690000}"/>
    <cellStyle name="Comma 15 2 2 2 2 2 4 3" xfId="19448" xr:uid="{00000000-0005-0000-0000-0000E2690000}"/>
    <cellStyle name="Comma 15 2 2 2 2 2 4 3 2" xfId="48454" xr:uid="{00000000-0005-0000-0000-0000E3690000}"/>
    <cellStyle name="Comma 15 2 2 2 2 2 4 4" xfId="33955" xr:uid="{00000000-0005-0000-0000-0000E4690000}"/>
    <cellStyle name="Comma 15 2 2 2 2 2 5" xfId="7994" xr:uid="{00000000-0005-0000-0000-0000E5690000}"/>
    <cellStyle name="Comma 15 2 2 2 2 2 5 2" xfId="15266" xr:uid="{00000000-0005-0000-0000-0000E6690000}"/>
    <cellStyle name="Comma 15 2 2 2 2 2 5 2 2" xfId="29800" xr:uid="{00000000-0005-0000-0000-0000E7690000}"/>
    <cellStyle name="Comma 15 2 2 2 2 2 5 2 2 2" xfId="58806" xr:uid="{00000000-0005-0000-0000-0000E8690000}"/>
    <cellStyle name="Comma 15 2 2 2 2 2 5 2 3" xfId="44307" xr:uid="{00000000-0005-0000-0000-0000E9690000}"/>
    <cellStyle name="Comma 15 2 2 2 2 2 5 3" xfId="22552" xr:uid="{00000000-0005-0000-0000-0000EA690000}"/>
    <cellStyle name="Comma 15 2 2 2 2 2 5 3 2" xfId="51558" xr:uid="{00000000-0005-0000-0000-0000EB690000}"/>
    <cellStyle name="Comma 15 2 2 2 2 2 5 4" xfId="37059" xr:uid="{00000000-0005-0000-0000-0000EC690000}"/>
    <cellStyle name="Comma 15 2 2 2 2 2 6" xfId="9058" xr:uid="{00000000-0005-0000-0000-0000ED690000}"/>
    <cellStyle name="Comma 15 2 2 2 2 2 6 2" xfId="23592" xr:uid="{00000000-0005-0000-0000-0000EE690000}"/>
    <cellStyle name="Comma 15 2 2 2 2 2 6 2 2" xfId="52598" xr:uid="{00000000-0005-0000-0000-0000EF690000}"/>
    <cellStyle name="Comma 15 2 2 2 2 2 6 3" xfId="38099" xr:uid="{00000000-0005-0000-0000-0000F0690000}"/>
    <cellStyle name="Comma 15 2 2 2 2 2 7" xfId="16344" xr:uid="{00000000-0005-0000-0000-0000F1690000}"/>
    <cellStyle name="Comma 15 2 2 2 2 2 7 2" xfId="45350" xr:uid="{00000000-0005-0000-0000-0000F2690000}"/>
    <cellStyle name="Comma 15 2 2 2 2 2 8" xfId="30851" xr:uid="{00000000-0005-0000-0000-0000F3690000}"/>
    <cellStyle name="Comma 15 2 2 2 2 3" xfId="2314" xr:uid="{00000000-0005-0000-0000-0000F4690000}"/>
    <cellStyle name="Comma 15 2 2 2 2 3 2" xfId="5418" xr:uid="{00000000-0005-0000-0000-0000F5690000}"/>
    <cellStyle name="Comma 15 2 2 2 2 3 2 2" xfId="12690" xr:uid="{00000000-0005-0000-0000-0000F6690000}"/>
    <cellStyle name="Comma 15 2 2 2 2 3 2 2 2" xfId="27224" xr:uid="{00000000-0005-0000-0000-0000F7690000}"/>
    <cellStyle name="Comma 15 2 2 2 2 3 2 2 2 2" xfId="56230" xr:uid="{00000000-0005-0000-0000-0000F8690000}"/>
    <cellStyle name="Comma 15 2 2 2 2 3 2 2 3" xfId="41731" xr:uid="{00000000-0005-0000-0000-0000F9690000}"/>
    <cellStyle name="Comma 15 2 2 2 2 3 2 3" xfId="19976" xr:uid="{00000000-0005-0000-0000-0000FA690000}"/>
    <cellStyle name="Comma 15 2 2 2 2 3 2 3 2" xfId="48982" xr:uid="{00000000-0005-0000-0000-0000FB690000}"/>
    <cellStyle name="Comma 15 2 2 2 2 3 2 4" xfId="34483" xr:uid="{00000000-0005-0000-0000-0000FC690000}"/>
    <cellStyle name="Comma 15 2 2 2 2 3 3" xfId="9586" xr:uid="{00000000-0005-0000-0000-0000FD690000}"/>
    <cellStyle name="Comma 15 2 2 2 2 3 3 2" xfId="24120" xr:uid="{00000000-0005-0000-0000-0000FE690000}"/>
    <cellStyle name="Comma 15 2 2 2 2 3 3 2 2" xfId="53126" xr:uid="{00000000-0005-0000-0000-0000FF690000}"/>
    <cellStyle name="Comma 15 2 2 2 2 3 3 3" xfId="38627" xr:uid="{00000000-0005-0000-0000-0000006A0000}"/>
    <cellStyle name="Comma 15 2 2 2 2 3 4" xfId="16872" xr:uid="{00000000-0005-0000-0000-0000016A0000}"/>
    <cellStyle name="Comma 15 2 2 2 2 3 4 2" xfId="45878" xr:uid="{00000000-0005-0000-0000-0000026A0000}"/>
    <cellStyle name="Comma 15 2 2 2 2 3 5" xfId="31379" xr:uid="{00000000-0005-0000-0000-0000036A0000}"/>
    <cellStyle name="Comma 15 2 2 2 2 4" xfId="3346" xr:uid="{00000000-0005-0000-0000-0000046A0000}"/>
    <cellStyle name="Comma 15 2 2 2 2 4 2" xfId="6450" xr:uid="{00000000-0005-0000-0000-0000056A0000}"/>
    <cellStyle name="Comma 15 2 2 2 2 4 2 2" xfId="13722" xr:uid="{00000000-0005-0000-0000-0000066A0000}"/>
    <cellStyle name="Comma 15 2 2 2 2 4 2 2 2" xfId="28256" xr:uid="{00000000-0005-0000-0000-0000076A0000}"/>
    <cellStyle name="Comma 15 2 2 2 2 4 2 2 2 2" xfId="57262" xr:uid="{00000000-0005-0000-0000-0000086A0000}"/>
    <cellStyle name="Comma 15 2 2 2 2 4 2 2 3" xfId="42763" xr:uid="{00000000-0005-0000-0000-0000096A0000}"/>
    <cellStyle name="Comma 15 2 2 2 2 4 2 3" xfId="21008" xr:uid="{00000000-0005-0000-0000-00000A6A0000}"/>
    <cellStyle name="Comma 15 2 2 2 2 4 2 3 2" xfId="50014" xr:uid="{00000000-0005-0000-0000-00000B6A0000}"/>
    <cellStyle name="Comma 15 2 2 2 2 4 2 4" xfId="35515" xr:uid="{00000000-0005-0000-0000-00000C6A0000}"/>
    <cellStyle name="Comma 15 2 2 2 2 4 3" xfId="10618" xr:uid="{00000000-0005-0000-0000-00000D6A0000}"/>
    <cellStyle name="Comma 15 2 2 2 2 4 3 2" xfId="25152" xr:uid="{00000000-0005-0000-0000-00000E6A0000}"/>
    <cellStyle name="Comma 15 2 2 2 2 4 3 2 2" xfId="54158" xr:uid="{00000000-0005-0000-0000-00000F6A0000}"/>
    <cellStyle name="Comma 15 2 2 2 2 4 3 3" xfId="39659" xr:uid="{00000000-0005-0000-0000-0000106A0000}"/>
    <cellStyle name="Comma 15 2 2 2 2 4 4" xfId="17904" xr:uid="{00000000-0005-0000-0000-0000116A0000}"/>
    <cellStyle name="Comma 15 2 2 2 2 4 4 2" xfId="46910" xr:uid="{00000000-0005-0000-0000-0000126A0000}"/>
    <cellStyle name="Comma 15 2 2 2 2 4 5" xfId="32411" xr:uid="{00000000-0005-0000-0000-0000136A0000}"/>
    <cellStyle name="Comma 15 2 2 2 2 5" xfId="4378" xr:uid="{00000000-0005-0000-0000-0000146A0000}"/>
    <cellStyle name="Comma 15 2 2 2 2 5 2" xfId="11650" xr:uid="{00000000-0005-0000-0000-0000156A0000}"/>
    <cellStyle name="Comma 15 2 2 2 2 5 2 2" xfId="26184" xr:uid="{00000000-0005-0000-0000-0000166A0000}"/>
    <cellStyle name="Comma 15 2 2 2 2 5 2 2 2" xfId="55190" xr:uid="{00000000-0005-0000-0000-0000176A0000}"/>
    <cellStyle name="Comma 15 2 2 2 2 5 2 3" xfId="40691" xr:uid="{00000000-0005-0000-0000-0000186A0000}"/>
    <cellStyle name="Comma 15 2 2 2 2 5 3" xfId="18936" xr:uid="{00000000-0005-0000-0000-0000196A0000}"/>
    <cellStyle name="Comma 15 2 2 2 2 5 3 2" xfId="47942" xr:uid="{00000000-0005-0000-0000-00001A6A0000}"/>
    <cellStyle name="Comma 15 2 2 2 2 5 4" xfId="33443" xr:uid="{00000000-0005-0000-0000-00001B6A0000}"/>
    <cellStyle name="Comma 15 2 2 2 2 6" xfId="7482" xr:uid="{00000000-0005-0000-0000-00001C6A0000}"/>
    <cellStyle name="Comma 15 2 2 2 2 6 2" xfId="14754" xr:uid="{00000000-0005-0000-0000-00001D6A0000}"/>
    <cellStyle name="Comma 15 2 2 2 2 6 2 2" xfId="29288" xr:uid="{00000000-0005-0000-0000-00001E6A0000}"/>
    <cellStyle name="Comma 15 2 2 2 2 6 2 2 2" xfId="58294" xr:uid="{00000000-0005-0000-0000-00001F6A0000}"/>
    <cellStyle name="Comma 15 2 2 2 2 6 2 3" xfId="43795" xr:uid="{00000000-0005-0000-0000-0000206A0000}"/>
    <cellStyle name="Comma 15 2 2 2 2 6 3" xfId="22040" xr:uid="{00000000-0005-0000-0000-0000216A0000}"/>
    <cellStyle name="Comma 15 2 2 2 2 6 3 2" xfId="51046" xr:uid="{00000000-0005-0000-0000-0000226A0000}"/>
    <cellStyle name="Comma 15 2 2 2 2 6 4" xfId="36547" xr:uid="{00000000-0005-0000-0000-0000236A0000}"/>
    <cellStyle name="Comma 15 2 2 2 2 7" xfId="8546" xr:uid="{00000000-0005-0000-0000-0000246A0000}"/>
    <cellStyle name="Comma 15 2 2 2 2 7 2" xfId="23080" xr:uid="{00000000-0005-0000-0000-0000256A0000}"/>
    <cellStyle name="Comma 15 2 2 2 2 7 2 2" xfId="52086" xr:uid="{00000000-0005-0000-0000-0000266A0000}"/>
    <cellStyle name="Comma 15 2 2 2 2 7 3" xfId="37587" xr:uid="{00000000-0005-0000-0000-0000276A0000}"/>
    <cellStyle name="Comma 15 2 2 2 2 8" xfId="15832" xr:uid="{00000000-0005-0000-0000-0000286A0000}"/>
    <cellStyle name="Comma 15 2 2 2 2 8 2" xfId="44838" xr:uid="{00000000-0005-0000-0000-0000296A0000}"/>
    <cellStyle name="Comma 15 2 2 2 2 9" xfId="30339" xr:uid="{00000000-0005-0000-0000-00002A6A0000}"/>
    <cellStyle name="Comma 15 2 2 2 3" xfId="1462" xr:uid="{00000000-0005-0000-0000-00002B6A0000}"/>
    <cellStyle name="Comma 15 2 2 2 3 2" xfId="2520" xr:uid="{00000000-0005-0000-0000-00002C6A0000}"/>
    <cellStyle name="Comma 15 2 2 2 3 2 2" xfId="5624" xr:uid="{00000000-0005-0000-0000-00002D6A0000}"/>
    <cellStyle name="Comma 15 2 2 2 3 2 2 2" xfId="12896" xr:uid="{00000000-0005-0000-0000-00002E6A0000}"/>
    <cellStyle name="Comma 15 2 2 2 3 2 2 2 2" xfId="27430" xr:uid="{00000000-0005-0000-0000-00002F6A0000}"/>
    <cellStyle name="Comma 15 2 2 2 3 2 2 2 2 2" xfId="56436" xr:uid="{00000000-0005-0000-0000-0000306A0000}"/>
    <cellStyle name="Comma 15 2 2 2 3 2 2 2 3" xfId="41937" xr:uid="{00000000-0005-0000-0000-0000316A0000}"/>
    <cellStyle name="Comma 15 2 2 2 3 2 2 3" xfId="20182" xr:uid="{00000000-0005-0000-0000-0000326A0000}"/>
    <cellStyle name="Comma 15 2 2 2 3 2 2 3 2" xfId="49188" xr:uid="{00000000-0005-0000-0000-0000336A0000}"/>
    <cellStyle name="Comma 15 2 2 2 3 2 2 4" xfId="34689" xr:uid="{00000000-0005-0000-0000-0000346A0000}"/>
    <cellStyle name="Comma 15 2 2 2 3 2 3" xfId="9792" xr:uid="{00000000-0005-0000-0000-0000356A0000}"/>
    <cellStyle name="Comma 15 2 2 2 3 2 3 2" xfId="24326" xr:uid="{00000000-0005-0000-0000-0000366A0000}"/>
    <cellStyle name="Comma 15 2 2 2 3 2 3 2 2" xfId="53332" xr:uid="{00000000-0005-0000-0000-0000376A0000}"/>
    <cellStyle name="Comma 15 2 2 2 3 2 3 3" xfId="38833" xr:uid="{00000000-0005-0000-0000-0000386A0000}"/>
    <cellStyle name="Comma 15 2 2 2 3 2 4" xfId="17078" xr:uid="{00000000-0005-0000-0000-0000396A0000}"/>
    <cellStyle name="Comma 15 2 2 2 3 2 4 2" xfId="46084" xr:uid="{00000000-0005-0000-0000-00003A6A0000}"/>
    <cellStyle name="Comma 15 2 2 2 3 2 5" xfId="31585" xr:uid="{00000000-0005-0000-0000-00003B6A0000}"/>
    <cellStyle name="Comma 15 2 2 2 3 3" xfId="3552" xr:uid="{00000000-0005-0000-0000-00003C6A0000}"/>
    <cellStyle name="Comma 15 2 2 2 3 3 2" xfId="6656" xr:uid="{00000000-0005-0000-0000-00003D6A0000}"/>
    <cellStyle name="Comma 15 2 2 2 3 3 2 2" xfId="13928" xr:uid="{00000000-0005-0000-0000-00003E6A0000}"/>
    <cellStyle name="Comma 15 2 2 2 3 3 2 2 2" xfId="28462" xr:uid="{00000000-0005-0000-0000-00003F6A0000}"/>
    <cellStyle name="Comma 15 2 2 2 3 3 2 2 2 2" xfId="57468" xr:uid="{00000000-0005-0000-0000-0000406A0000}"/>
    <cellStyle name="Comma 15 2 2 2 3 3 2 2 3" xfId="42969" xr:uid="{00000000-0005-0000-0000-0000416A0000}"/>
    <cellStyle name="Comma 15 2 2 2 3 3 2 3" xfId="21214" xr:uid="{00000000-0005-0000-0000-0000426A0000}"/>
    <cellStyle name="Comma 15 2 2 2 3 3 2 3 2" xfId="50220" xr:uid="{00000000-0005-0000-0000-0000436A0000}"/>
    <cellStyle name="Comma 15 2 2 2 3 3 2 4" xfId="35721" xr:uid="{00000000-0005-0000-0000-0000446A0000}"/>
    <cellStyle name="Comma 15 2 2 2 3 3 3" xfId="10824" xr:uid="{00000000-0005-0000-0000-0000456A0000}"/>
    <cellStyle name="Comma 15 2 2 2 3 3 3 2" xfId="25358" xr:uid="{00000000-0005-0000-0000-0000466A0000}"/>
    <cellStyle name="Comma 15 2 2 2 3 3 3 2 2" xfId="54364" xr:uid="{00000000-0005-0000-0000-0000476A0000}"/>
    <cellStyle name="Comma 15 2 2 2 3 3 3 3" xfId="39865" xr:uid="{00000000-0005-0000-0000-0000486A0000}"/>
    <cellStyle name="Comma 15 2 2 2 3 3 4" xfId="18110" xr:uid="{00000000-0005-0000-0000-0000496A0000}"/>
    <cellStyle name="Comma 15 2 2 2 3 3 4 2" xfId="47116" xr:uid="{00000000-0005-0000-0000-00004A6A0000}"/>
    <cellStyle name="Comma 15 2 2 2 3 3 5" xfId="32617" xr:uid="{00000000-0005-0000-0000-00004B6A0000}"/>
    <cellStyle name="Comma 15 2 2 2 3 4" xfId="4584" xr:uid="{00000000-0005-0000-0000-00004C6A0000}"/>
    <cellStyle name="Comma 15 2 2 2 3 4 2" xfId="11856" xr:uid="{00000000-0005-0000-0000-00004D6A0000}"/>
    <cellStyle name="Comma 15 2 2 2 3 4 2 2" xfId="26390" xr:uid="{00000000-0005-0000-0000-00004E6A0000}"/>
    <cellStyle name="Comma 15 2 2 2 3 4 2 2 2" xfId="55396" xr:uid="{00000000-0005-0000-0000-00004F6A0000}"/>
    <cellStyle name="Comma 15 2 2 2 3 4 2 3" xfId="40897" xr:uid="{00000000-0005-0000-0000-0000506A0000}"/>
    <cellStyle name="Comma 15 2 2 2 3 4 3" xfId="19142" xr:uid="{00000000-0005-0000-0000-0000516A0000}"/>
    <cellStyle name="Comma 15 2 2 2 3 4 3 2" xfId="48148" xr:uid="{00000000-0005-0000-0000-0000526A0000}"/>
    <cellStyle name="Comma 15 2 2 2 3 4 4" xfId="33649" xr:uid="{00000000-0005-0000-0000-0000536A0000}"/>
    <cellStyle name="Comma 15 2 2 2 3 5" xfId="7688" xr:uid="{00000000-0005-0000-0000-0000546A0000}"/>
    <cellStyle name="Comma 15 2 2 2 3 5 2" xfId="14960" xr:uid="{00000000-0005-0000-0000-0000556A0000}"/>
    <cellStyle name="Comma 15 2 2 2 3 5 2 2" xfId="29494" xr:uid="{00000000-0005-0000-0000-0000566A0000}"/>
    <cellStyle name="Comma 15 2 2 2 3 5 2 2 2" xfId="58500" xr:uid="{00000000-0005-0000-0000-0000576A0000}"/>
    <cellStyle name="Comma 15 2 2 2 3 5 2 3" xfId="44001" xr:uid="{00000000-0005-0000-0000-0000586A0000}"/>
    <cellStyle name="Comma 15 2 2 2 3 5 3" xfId="22246" xr:uid="{00000000-0005-0000-0000-0000596A0000}"/>
    <cellStyle name="Comma 15 2 2 2 3 5 3 2" xfId="51252" xr:uid="{00000000-0005-0000-0000-00005A6A0000}"/>
    <cellStyle name="Comma 15 2 2 2 3 5 4" xfId="36753" xr:uid="{00000000-0005-0000-0000-00005B6A0000}"/>
    <cellStyle name="Comma 15 2 2 2 3 6" xfId="8752" xr:uid="{00000000-0005-0000-0000-00005C6A0000}"/>
    <cellStyle name="Comma 15 2 2 2 3 6 2" xfId="23286" xr:uid="{00000000-0005-0000-0000-00005D6A0000}"/>
    <cellStyle name="Comma 15 2 2 2 3 6 2 2" xfId="52292" xr:uid="{00000000-0005-0000-0000-00005E6A0000}"/>
    <cellStyle name="Comma 15 2 2 2 3 6 3" xfId="37793" xr:uid="{00000000-0005-0000-0000-00005F6A0000}"/>
    <cellStyle name="Comma 15 2 2 2 3 7" xfId="16038" xr:uid="{00000000-0005-0000-0000-0000606A0000}"/>
    <cellStyle name="Comma 15 2 2 2 3 7 2" xfId="45044" xr:uid="{00000000-0005-0000-0000-0000616A0000}"/>
    <cellStyle name="Comma 15 2 2 2 3 8" xfId="30545" xr:uid="{00000000-0005-0000-0000-0000626A0000}"/>
    <cellStyle name="Comma 15 2 2 2 4" xfId="2008" xr:uid="{00000000-0005-0000-0000-0000636A0000}"/>
    <cellStyle name="Comma 15 2 2 2 4 2" xfId="5112" xr:uid="{00000000-0005-0000-0000-0000646A0000}"/>
    <cellStyle name="Comma 15 2 2 2 4 2 2" xfId="12384" xr:uid="{00000000-0005-0000-0000-0000656A0000}"/>
    <cellStyle name="Comma 15 2 2 2 4 2 2 2" xfId="26918" xr:uid="{00000000-0005-0000-0000-0000666A0000}"/>
    <cellStyle name="Comma 15 2 2 2 4 2 2 2 2" xfId="55924" xr:uid="{00000000-0005-0000-0000-0000676A0000}"/>
    <cellStyle name="Comma 15 2 2 2 4 2 2 3" xfId="41425" xr:uid="{00000000-0005-0000-0000-0000686A0000}"/>
    <cellStyle name="Comma 15 2 2 2 4 2 3" xfId="19670" xr:uid="{00000000-0005-0000-0000-0000696A0000}"/>
    <cellStyle name="Comma 15 2 2 2 4 2 3 2" xfId="48676" xr:uid="{00000000-0005-0000-0000-00006A6A0000}"/>
    <cellStyle name="Comma 15 2 2 2 4 2 4" xfId="34177" xr:uid="{00000000-0005-0000-0000-00006B6A0000}"/>
    <cellStyle name="Comma 15 2 2 2 4 3" xfId="9280" xr:uid="{00000000-0005-0000-0000-00006C6A0000}"/>
    <cellStyle name="Comma 15 2 2 2 4 3 2" xfId="23814" xr:uid="{00000000-0005-0000-0000-00006D6A0000}"/>
    <cellStyle name="Comma 15 2 2 2 4 3 2 2" xfId="52820" xr:uid="{00000000-0005-0000-0000-00006E6A0000}"/>
    <cellStyle name="Comma 15 2 2 2 4 3 3" xfId="38321" xr:uid="{00000000-0005-0000-0000-00006F6A0000}"/>
    <cellStyle name="Comma 15 2 2 2 4 4" xfId="16566" xr:uid="{00000000-0005-0000-0000-0000706A0000}"/>
    <cellStyle name="Comma 15 2 2 2 4 4 2" xfId="45572" xr:uid="{00000000-0005-0000-0000-0000716A0000}"/>
    <cellStyle name="Comma 15 2 2 2 4 5" xfId="31073" xr:uid="{00000000-0005-0000-0000-0000726A0000}"/>
    <cellStyle name="Comma 15 2 2 2 5" xfId="3040" xr:uid="{00000000-0005-0000-0000-0000736A0000}"/>
    <cellStyle name="Comma 15 2 2 2 5 2" xfId="6144" xr:uid="{00000000-0005-0000-0000-0000746A0000}"/>
    <cellStyle name="Comma 15 2 2 2 5 2 2" xfId="13416" xr:uid="{00000000-0005-0000-0000-0000756A0000}"/>
    <cellStyle name="Comma 15 2 2 2 5 2 2 2" xfId="27950" xr:uid="{00000000-0005-0000-0000-0000766A0000}"/>
    <cellStyle name="Comma 15 2 2 2 5 2 2 2 2" xfId="56956" xr:uid="{00000000-0005-0000-0000-0000776A0000}"/>
    <cellStyle name="Comma 15 2 2 2 5 2 2 3" xfId="42457" xr:uid="{00000000-0005-0000-0000-0000786A0000}"/>
    <cellStyle name="Comma 15 2 2 2 5 2 3" xfId="20702" xr:uid="{00000000-0005-0000-0000-0000796A0000}"/>
    <cellStyle name="Comma 15 2 2 2 5 2 3 2" xfId="49708" xr:uid="{00000000-0005-0000-0000-00007A6A0000}"/>
    <cellStyle name="Comma 15 2 2 2 5 2 4" xfId="35209" xr:uid="{00000000-0005-0000-0000-00007B6A0000}"/>
    <cellStyle name="Comma 15 2 2 2 5 3" xfId="10312" xr:uid="{00000000-0005-0000-0000-00007C6A0000}"/>
    <cellStyle name="Comma 15 2 2 2 5 3 2" xfId="24846" xr:uid="{00000000-0005-0000-0000-00007D6A0000}"/>
    <cellStyle name="Comma 15 2 2 2 5 3 2 2" xfId="53852" xr:uid="{00000000-0005-0000-0000-00007E6A0000}"/>
    <cellStyle name="Comma 15 2 2 2 5 3 3" xfId="39353" xr:uid="{00000000-0005-0000-0000-00007F6A0000}"/>
    <cellStyle name="Comma 15 2 2 2 5 4" xfId="17598" xr:uid="{00000000-0005-0000-0000-0000806A0000}"/>
    <cellStyle name="Comma 15 2 2 2 5 4 2" xfId="46604" xr:uid="{00000000-0005-0000-0000-0000816A0000}"/>
    <cellStyle name="Comma 15 2 2 2 5 5" xfId="32105" xr:uid="{00000000-0005-0000-0000-0000826A0000}"/>
    <cellStyle name="Comma 15 2 2 2 6" xfId="4072" xr:uid="{00000000-0005-0000-0000-0000836A0000}"/>
    <cellStyle name="Comma 15 2 2 2 6 2" xfId="11344" xr:uid="{00000000-0005-0000-0000-0000846A0000}"/>
    <cellStyle name="Comma 15 2 2 2 6 2 2" xfId="25878" xr:uid="{00000000-0005-0000-0000-0000856A0000}"/>
    <cellStyle name="Comma 15 2 2 2 6 2 2 2" xfId="54884" xr:uid="{00000000-0005-0000-0000-0000866A0000}"/>
    <cellStyle name="Comma 15 2 2 2 6 2 3" xfId="40385" xr:uid="{00000000-0005-0000-0000-0000876A0000}"/>
    <cellStyle name="Comma 15 2 2 2 6 3" xfId="18630" xr:uid="{00000000-0005-0000-0000-0000886A0000}"/>
    <cellStyle name="Comma 15 2 2 2 6 3 2" xfId="47636" xr:uid="{00000000-0005-0000-0000-0000896A0000}"/>
    <cellStyle name="Comma 15 2 2 2 6 4" xfId="33137" xr:uid="{00000000-0005-0000-0000-00008A6A0000}"/>
    <cellStyle name="Comma 15 2 2 2 7" xfId="7176" xr:uid="{00000000-0005-0000-0000-00008B6A0000}"/>
    <cellStyle name="Comma 15 2 2 2 7 2" xfId="14448" xr:uid="{00000000-0005-0000-0000-00008C6A0000}"/>
    <cellStyle name="Comma 15 2 2 2 7 2 2" xfId="28982" xr:uid="{00000000-0005-0000-0000-00008D6A0000}"/>
    <cellStyle name="Comma 15 2 2 2 7 2 2 2" xfId="57988" xr:uid="{00000000-0005-0000-0000-00008E6A0000}"/>
    <cellStyle name="Comma 15 2 2 2 7 2 3" xfId="43489" xr:uid="{00000000-0005-0000-0000-00008F6A0000}"/>
    <cellStyle name="Comma 15 2 2 2 7 3" xfId="21734" xr:uid="{00000000-0005-0000-0000-0000906A0000}"/>
    <cellStyle name="Comma 15 2 2 2 7 3 2" xfId="50740" xr:uid="{00000000-0005-0000-0000-0000916A0000}"/>
    <cellStyle name="Comma 15 2 2 2 7 4" xfId="36241" xr:uid="{00000000-0005-0000-0000-0000926A0000}"/>
    <cellStyle name="Comma 15 2 2 2 8" xfId="8240" xr:uid="{00000000-0005-0000-0000-0000936A0000}"/>
    <cellStyle name="Comma 15 2 2 2 8 2" xfId="22774" xr:uid="{00000000-0005-0000-0000-0000946A0000}"/>
    <cellStyle name="Comma 15 2 2 2 8 2 2" xfId="51780" xr:uid="{00000000-0005-0000-0000-0000956A0000}"/>
    <cellStyle name="Comma 15 2 2 2 8 3" xfId="37281" xr:uid="{00000000-0005-0000-0000-0000966A0000}"/>
    <cellStyle name="Comma 15 2 2 2 9" xfId="15526" xr:uid="{00000000-0005-0000-0000-0000976A0000}"/>
    <cellStyle name="Comma 15 2 2 2 9 2" xfId="44532" xr:uid="{00000000-0005-0000-0000-0000986A0000}"/>
    <cellStyle name="Comma 15 2 2 3" xfId="1164" xr:uid="{00000000-0005-0000-0000-0000996A0000}"/>
    <cellStyle name="Comma 15 2 2 3 2" xfId="1664" xr:uid="{00000000-0005-0000-0000-00009A6A0000}"/>
    <cellStyle name="Comma 15 2 2 3 2 2" xfId="2723" xr:uid="{00000000-0005-0000-0000-00009B6A0000}"/>
    <cellStyle name="Comma 15 2 2 3 2 2 2" xfId="5827" xr:uid="{00000000-0005-0000-0000-00009C6A0000}"/>
    <cellStyle name="Comma 15 2 2 3 2 2 2 2" xfId="13099" xr:uid="{00000000-0005-0000-0000-00009D6A0000}"/>
    <cellStyle name="Comma 15 2 2 3 2 2 2 2 2" xfId="27633" xr:uid="{00000000-0005-0000-0000-00009E6A0000}"/>
    <cellStyle name="Comma 15 2 2 3 2 2 2 2 2 2" xfId="56639" xr:uid="{00000000-0005-0000-0000-00009F6A0000}"/>
    <cellStyle name="Comma 15 2 2 3 2 2 2 2 3" xfId="42140" xr:uid="{00000000-0005-0000-0000-0000A06A0000}"/>
    <cellStyle name="Comma 15 2 2 3 2 2 2 3" xfId="20385" xr:uid="{00000000-0005-0000-0000-0000A16A0000}"/>
    <cellStyle name="Comma 15 2 2 3 2 2 2 3 2" xfId="49391" xr:uid="{00000000-0005-0000-0000-0000A26A0000}"/>
    <cellStyle name="Comma 15 2 2 3 2 2 2 4" xfId="34892" xr:uid="{00000000-0005-0000-0000-0000A36A0000}"/>
    <cellStyle name="Comma 15 2 2 3 2 2 3" xfId="9995" xr:uid="{00000000-0005-0000-0000-0000A46A0000}"/>
    <cellStyle name="Comma 15 2 2 3 2 2 3 2" xfId="24529" xr:uid="{00000000-0005-0000-0000-0000A56A0000}"/>
    <cellStyle name="Comma 15 2 2 3 2 2 3 2 2" xfId="53535" xr:uid="{00000000-0005-0000-0000-0000A66A0000}"/>
    <cellStyle name="Comma 15 2 2 3 2 2 3 3" xfId="39036" xr:uid="{00000000-0005-0000-0000-0000A76A0000}"/>
    <cellStyle name="Comma 15 2 2 3 2 2 4" xfId="17281" xr:uid="{00000000-0005-0000-0000-0000A86A0000}"/>
    <cellStyle name="Comma 15 2 2 3 2 2 4 2" xfId="46287" xr:uid="{00000000-0005-0000-0000-0000A96A0000}"/>
    <cellStyle name="Comma 15 2 2 3 2 2 5" xfId="31788" xr:uid="{00000000-0005-0000-0000-0000AA6A0000}"/>
    <cellStyle name="Comma 15 2 2 3 2 3" xfId="3755" xr:uid="{00000000-0005-0000-0000-0000AB6A0000}"/>
    <cellStyle name="Comma 15 2 2 3 2 3 2" xfId="6859" xr:uid="{00000000-0005-0000-0000-0000AC6A0000}"/>
    <cellStyle name="Comma 15 2 2 3 2 3 2 2" xfId="14131" xr:uid="{00000000-0005-0000-0000-0000AD6A0000}"/>
    <cellStyle name="Comma 15 2 2 3 2 3 2 2 2" xfId="28665" xr:uid="{00000000-0005-0000-0000-0000AE6A0000}"/>
    <cellStyle name="Comma 15 2 2 3 2 3 2 2 2 2" xfId="57671" xr:uid="{00000000-0005-0000-0000-0000AF6A0000}"/>
    <cellStyle name="Comma 15 2 2 3 2 3 2 2 3" xfId="43172" xr:uid="{00000000-0005-0000-0000-0000B06A0000}"/>
    <cellStyle name="Comma 15 2 2 3 2 3 2 3" xfId="21417" xr:uid="{00000000-0005-0000-0000-0000B16A0000}"/>
    <cellStyle name="Comma 15 2 2 3 2 3 2 3 2" xfId="50423" xr:uid="{00000000-0005-0000-0000-0000B26A0000}"/>
    <cellStyle name="Comma 15 2 2 3 2 3 2 4" xfId="35924" xr:uid="{00000000-0005-0000-0000-0000B36A0000}"/>
    <cellStyle name="Comma 15 2 2 3 2 3 3" xfId="11027" xr:uid="{00000000-0005-0000-0000-0000B46A0000}"/>
    <cellStyle name="Comma 15 2 2 3 2 3 3 2" xfId="25561" xr:uid="{00000000-0005-0000-0000-0000B56A0000}"/>
    <cellStyle name="Comma 15 2 2 3 2 3 3 2 2" xfId="54567" xr:uid="{00000000-0005-0000-0000-0000B66A0000}"/>
    <cellStyle name="Comma 15 2 2 3 2 3 3 3" xfId="40068" xr:uid="{00000000-0005-0000-0000-0000B76A0000}"/>
    <cellStyle name="Comma 15 2 2 3 2 3 4" xfId="18313" xr:uid="{00000000-0005-0000-0000-0000B86A0000}"/>
    <cellStyle name="Comma 15 2 2 3 2 3 4 2" xfId="47319" xr:uid="{00000000-0005-0000-0000-0000B96A0000}"/>
    <cellStyle name="Comma 15 2 2 3 2 3 5" xfId="32820" xr:uid="{00000000-0005-0000-0000-0000BA6A0000}"/>
    <cellStyle name="Comma 15 2 2 3 2 4" xfId="4787" xr:uid="{00000000-0005-0000-0000-0000BB6A0000}"/>
    <cellStyle name="Comma 15 2 2 3 2 4 2" xfId="12059" xr:uid="{00000000-0005-0000-0000-0000BC6A0000}"/>
    <cellStyle name="Comma 15 2 2 3 2 4 2 2" xfId="26593" xr:uid="{00000000-0005-0000-0000-0000BD6A0000}"/>
    <cellStyle name="Comma 15 2 2 3 2 4 2 2 2" xfId="55599" xr:uid="{00000000-0005-0000-0000-0000BE6A0000}"/>
    <cellStyle name="Comma 15 2 2 3 2 4 2 3" xfId="41100" xr:uid="{00000000-0005-0000-0000-0000BF6A0000}"/>
    <cellStyle name="Comma 15 2 2 3 2 4 3" xfId="19345" xr:uid="{00000000-0005-0000-0000-0000C06A0000}"/>
    <cellStyle name="Comma 15 2 2 3 2 4 3 2" xfId="48351" xr:uid="{00000000-0005-0000-0000-0000C16A0000}"/>
    <cellStyle name="Comma 15 2 2 3 2 4 4" xfId="33852" xr:uid="{00000000-0005-0000-0000-0000C26A0000}"/>
    <cellStyle name="Comma 15 2 2 3 2 5" xfId="7891" xr:uid="{00000000-0005-0000-0000-0000C36A0000}"/>
    <cellStyle name="Comma 15 2 2 3 2 5 2" xfId="15163" xr:uid="{00000000-0005-0000-0000-0000C46A0000}"/>
    <cellStyle name="Comma 15 2 2 3 2 5 2 2" xfId="29697" xr:uid="{00000000-0005-0000-0000-0000C56A0000}"/>
    <cellStyle name="Comma 15 2 2 3 2 5 2 2 2" xfId="58703" xr:uid="{00000000-0005-0000-0000-0000C66A0000}"/>
    <cellStyle name="Comma 15 2 2 3 2 5 2 3" xfId="44204" xr:uid="{00000000-0005-0000-0000-0000C76A0000}"/>
    <cellStyle name="Comma 15 2 2 3 2 5 3" xfId="22449" xr:uid="{00000000-0005-0000-0000-0000C86A0000}"/>
    <cellStyle name="Comma 15 2 2 3 2 5 3 2" xfId="51455" xr:uid="{00000000-0005-0000-0000-0000C96A0000}"/>
    <cellStyle name="Comma 15 2 2 3 2 5 4" xfId="36956" xr:uid="{00000000-0005-0000-0000-0000CA6A0000}"/>
    <cellStyle name="Comma 15 2 2 3 2 6" xfId="8955" xr:uid="{00000000-0005-0000-0000-0000CB6A0000}"/>
    <cellStyle name="Comma 15 2 2 3 2 6 2" xfId="23489" xr:uid="{00000000-0005-0000-0000-0000CC6A0000}"/>
    <cellStyle name="Comma 15 2 2 3 2 6 2 2" xfId="52495" xr:uid="{00000000-0005-0000-0000-0000CD6A0000}"/>
    <cellStyle name="Comma 15 2 2 3 2 6 3" xfId="37996" xr:uid="{00000000-0005-0000-0000-0000CE6A0000}"/>
    <cellStyle name="Comma 15 2 2 3 2 7" xfId="16241" xr:uid="{00000000-0005-0000-0000-0000CF6A0000}"/>
    <cellStyle name="Comma 15 2 2 3 2 7 2" xfId="45247" xr:uid="{00000000-0005-0000-0000-0000D06A0000}"/>
    <cellStyle name="Comma 15 2 2 3 2 8" xfId="30748" xr:uid="{00000000-0005-0000-0000-0000D16A0000}"/>
    <cellStyle name="Comma 15 2 2 3 3" xfId="2211" xr:uid="{00000000-0005-0000-0000-0000D26A0000}"/>
    <cellStyle name="Comma 15 2 2 3 3 2" xfId="5315" xr:uid="{00000000-0005-0000-0000-0000D36A0000}"/>
    <cellStyle name="Comma 15 2 2 3 3 2 2" xfId="12587" xr:uid="{00000000-0005-0000-0000-0000D46A0000}"/>
    <cellStyle name="Comma 15 2 2 3 3 2 2 2" xfId="27121" xr:uid="{00000000-0005-0000-0000-0000D56A0000}"/>
    <cellStyle name="Comma 15 2 2 3 3 2 2 2 2" xfId="56127" xr:uid="{00000000-0005-0000-0000-0000D66A0000}"/>
    <cellStyle name="Comma 15 2 2 3 3 2 2 3" xfId="41628" xr:uid="{00000000-0005-0000-0000-0000D76A0000}"/>
    <cellStyle name="Comma 15 2 2 3 3 2 3" xfId="19873" xr:uid="{00000000-0005-0000-0000-0000D86A0000}"/>
    <cellStyle name="Comma 15 2 2 3 3 2 3 2" xfId="48879" xr:uid="{00000000-0005-0000-0000-0000D96A0000}"/>
    <cellStyle name="Comma 15 2 2 3 3 2 4" xfId="34380" xr:uid="{00000000-0005-0000-0000-0000DA6A0000}"/>
    <cellStyle name="Comma 15 2 2 3 3 3" xfId="9483" xr:uid="{00000000-0005-0000-0000-0000DB6A0000}"/>
    <cellStyle name="Comma 15 2 2 3 3 3 2" xfId="24017" xr:uid="{00000000-0005-0000-0000-0000DC6A0000}"/>
    <cellStyle name="Comma 15 2 2 3 3 3 2 2" xfId="53023" xr:uid="{00000000-0005-0000-0000-0000DD6A0000}"/>
    <cellStyle name="Comma 15 2 2 3 3 3 3" xfId="38524" xr:uid="{00000000-0005-0000-0000-0000DE6A0000}"/>
    <cellStyle name="Comma 15 2 2 3 3 4" xfId="16769" xr:uid="{00000000-0005-0000-0000-0000DF6A0000}"/>
    <cellStyle name="Comma 15 2 2 3 3 4 2" xfId="45775" xr:uid="{00000000-0005-0000-0000-0000E06A0000}"/>
    <cellStyle name="Comma 15 2 2 3 3 5" xfId="31276" xr:uid="{00000000-0005-0000-0000-0000E16A0000}"/>
    <cellStyle name="Comma 15 2 2 3 4" xfId="3243" xr:uid="{00000000-0005-0000-0000-0000E26A0000}"/>
    <cellStyle name="Comma 15 2 2 3 4 2" xfId="6347" xr:uid="{00000000-0005-0000-0000-0000E36A0000}"/>
    <cellStyle name="Comma 15 2 2 3 4 2 2" xfId="13619" xr:uid="{00000000-0005-0000-0000-0000E46A0000}"/>
    <cellStyle name="Comma 15 2 2 3 4 2 2 2" xfId="28153" xr:uid="{00000000-0005-0000-0000-0000E56A0000}"/>
    <cellStyle name="Comma 15 2 2 3 4 2 2 2 2" xfId="57159" xr:uid="{00000000-0005-0000-0000-0000E66A0000}"/>
    <cellStyle name="Comma 15 2 2 3 4 2 2 3" xfId="42660" xr:uid="{00000000-0005-0000-0000-0000E76A0000}"/>
    <cellStyle name="Comma 15 2 2 3 4 2 3" xfId="20905" xr:uid="{00000000-0005-0000-0000-0000E86A0000}"/>
    <cellStyle name="Comma 15 2 2 3 4 2 3 2" xfId="49911" xr:uid="{00000000-0005-0000-0000-0000E96A0000}"/>
    <cellStyle name="Comma 15 2 2 3 4 2 4" xfId="35412" xr:uid="{00000000-0005-0000-0000-0000EA6A0000}"/>
    <cellStyle name="Comma 15 2 2 3 4 3" xfId="10515" xr:uid="{00000000-0005-0000-0000-0000EB6A0000}"/>
    <cellStyle name="Comma 15 2 2 3 4 3 2" xfId="25049" xr:uid="{00000000-0005-0000-0000-0000EC6A0000}"/>
    <cellStyle name="Comma 15 2 2 3 4 3 2 2" xfId="54055" xr:uid="{00000000-0005-0000-0000-0000ED6A0000}"/>
    <cellStyle name="Comma 15 2 2 3 4 3 3" xfId="39556" xr:uid="{00000000-0005-0000-0000-0000EE6A0000}"/>
    <cellStyle name="Comma 15 2 2 3 4 4" xfId="17801" xr:uid="{00000000-0005-0000-0000-0000EF6A0000}"/>
    <cellStyle name="Comma 15 2 2 3 4 4 2" xfId="46807" xr:uid="{00000000-0005-0000-0000-0000F06A0000}"/>
    <cellStyle name="Comma 15 2 2 3 4 5" xfId="32308" xr:uid="{00000000-0005-0000-0000-0000F16A0000}"/>
    <cellStyle name="Comma 15 2 2 3 5" xfId="4275" xr:uid="{00000000-0005-0000-0000-0000F26A0000}"/>
    <cellStyle name="Comma 15 2 2 3 5 2" xfId="11547" xr:uid="{00000000-0005-0000-0000-0000F36A0000}"/>
    <cellStyle name="Comma 15 2 2 3 5 2 2" xfId="26081" xr:uid="{00000000-0005-0000-0000-0000F46A0000}"/>
    <cellStyle name="Comma 15 2 2 3 5 2 2 2" xfId="55087" xr:uid="{00000000-0005-0000-0000-0000F56A0000}"/>
    <cellStyle name="Comma 15 2 2 3 5 2 3" xfId="40588" xr:uid="{00000000-0005-0000-0000-0000F66A0000}"/>
    <cellStyle name="Comma 15 2 2 3 5 3" xfId="18833" xr:uid="{00000000-0005-0000-0000-0000F76A0000}"/>
    <cellStyle name="Comma 15 2 2 3 5 3 2" xfId="47839" xr:uid="{00000000-0005-0000-0000-0000F86A0000}"/>
    <cellStyle name="Comma 15 2 2 3 5 4" xfId="33340" xr:uid="{00000000-0005-0000-0000-0000F96A0000}"/>
    <cellStyle name="Comma 15 2 2 3 6" xfId="7379" xr:uid="{00000000-0005-0000-0000-0000FA6A0000}"/>
    <cellStyle name="Comma 15 2 2 3 6 2" xfId="14651" xr:uid="{00000000-0005-0000-0000-0000FB6A0000}"/>
    <cellStyle name="Comma 15 2 2 3 6 2 2" xfId="29185" xr:uid="{00000000-0005-0000-0000-0000FC6A0000}"/>
    <cellStyle name="Comma 15 2 2 3 6 2 2 2" xfId="58191" xr:uid="{00000000-0005-0000-0000-0000FD6A0000}"/>
    <cellStyle name="Comma 15 2 2 3 6 2 3" xfId="43692" xr:uid="{00000000-0005-0000-0000-0000FE6A0000}"/>
    <cellStyle name="Comma 15 2 2 3 6 3" xfId="21937" xr:uid="{00000000-0005-0000-0000-0000FF6A0000}"/>
    <cellStyle name="Comma 15 2 2 3 6 3 2" xfId="50943" xr:uid="{00000000-0005-0000-0000-0000006B0000}"/>
    <cellStyle name="Comma 15 2 2 3 6 4" xfId="36444" xr:uid="{00000000-0005-0000-0000-0000016B0000}"/>
    <cellStyle name="Comma 15 2 2 3 7" xfId="8443" xr:uid="{00000000-0005-0000-0000-0000026B0000}"/>
    <cellStyle name="Comma 15 2 2 3 7 2" xfId="22977" xr:uid="{00000000-0005-0000-0000-0000036B0000}"/>
    <cellStyle name="Comma 15 2 2 3 7 2 2" xfId="51983" xr:uid="{00000000-0005-0000-0000-0000046B0000}"/>
    <cellStyle name="Comma 15 2 2 3 7 3" xfId="37484" xr:uid="{00000000-0005-0000-0000-0000056B0000}"/>
    <cellStyle name="Comma 15 2 2 3 8" xfId="15729" xr:uid="{00000000-0005-0000-0000-0000066B0000}"/>
    <cellStyle name="Comma 15 2 2 3 8 2" xfId="44735" xr:uid="{00000000-0005-0000-0000-0000076B0000}"/>
    <cellStyle name="Comma 15 2 2 3 9" xfId="30236" xr:uid="{00000000-0005-0000-0000-0000086B0000}"/>
    <cellStyle name="Comma 15 2 2 4" xfId="1074" xr:uid="{00000000-0005-0000-0000-0000096B0000}"/>
    <cellStyle name="Comma 15 2 2 4 2" xfId="1565" xr:uid="{00000000-0005-0000-0000-00000A6B0000}"/>
    <cellStyle name="Comma 15 2 2 4 2 2" xfId="2623" xr:uid="{00000000-0005-0000-0000-00000B6B0000}"/>
    <cellStyle name="Comma 15 2 2 4 2 2 2" xfId="5727" xr:uid="{00000000-0005-0000-0000-00000C6B0000}"/>
    <cellStyle name="Comma 15 2 2 4 2 2 2 2" xfId="12999" xr:uid="{00000000-0005-0000-0000-00000D6B0000}"/>
    <cellStyle name="Comma 15 2 2 4 2 2 2 2 2" xfId="27533" xr:uid="{00000000-0005-0000-0000-00000E6B0000}"/>
    <cellStyle name="Comma 15 2 2 4 2 2 2 2 2 2" xfId="56539" xr:uid="{00000000-0005-0000-0000-00000F6B0000}"/>
    <cellStyle name="Comma 15 2 2 4 2 2 2 2 3" xfId="42040" xr:uid="{00000000-0005-0000-0000-0000106B0000}"/>
    <cellStyle name="Comma 15 2 2 4 2 2 2 3" xfId="20285" xr:uid="{00000000-0005-0000-0000-0000116B0000}"/>
    <cellStyle name="Comma 15 2 2 4 2 2 2 3 2" xfId="49291" xr:uid="{00000000-0005-0000-0000-0000126B0000}"/>
    <cellStyle name="Comma 15 2 2 4 2 2 2 4" xfId="34792" xr:uid="{00000000-0005-0000-0000-0000136B0000}"/>
    <cellStyle name="Comma 15 2 2 4 2 2 3" xfId="9895" xr:uid="{00000000-0005-0000-0000-0000146B0000}"/>
    <cellStyle name="Comma 15 2 2 4 2 2 3 2" xfId="24429" xr:uid="{00000000-0005-0000-0000-0000156B0000}"/>
    <cellStyle name="Comma 15 2 2 4 2 2 3 2 2" xfId="53435" xr:uid="{00000000-0005-0000-0000-0000166B0000}"/>
    <cellStyle name="Comma 15 2 2 4 2 2 3 3" xfId="38936" xr:uid="{00000000-0005-0000-0000-0000176B0000}"/>
    <cellStyle name="Comma 15 2 2 4 2 2 4" xfId="17181" xr:uid="{00000000-0005-0000-0000-0000186B0000}"/>
    <cellStyle name="Comma 15 2 2 4 2 2 4 2" xfId="46187" xr:uid="{00000000-0005-0000-0000-0000196B0000}"/>
    <cellStyle name="Comma 15 2 2 4 2 2 5" xfId="31688" xr:uid="{00000000-0005-0000-0000-00001A6B0000}"/>
    <cellStyle name="Comma 15 2 2 4 2 3" xfId="3655" xr:uid="{00000000-0005-0000-0000-00001B6B0000}"/>
    <cellStyle name="Comma 15 2 2 4 2 3 2" xfId="6759" xr:uid="{00000000-0005-0000-0000-00001C6B0000}"/>
    <cellStyle name="Comma 15 2 2 4 2 3 2 2" xfId="14031" xr:uid="{00000000-0005-0000-0000-00001D6B0000}"/>
    <cellStyle name="Comma 15 2 2 4 2 3 2 2 2" xfId="28565" xr:uid="{00000000-0005-0000-0000-00001E6B0000}"/>
    <cellStyle name="Comma 15 2 2 4 2 3 2 2 2 2" xfId="57571" xr:uid="{00000000-0005-0000-0000-00001F6B0000}"/>
    <cellStyle name="Comma 15 2 2 4 2 3 2 2 3" xfId="43072" xr:uid="{00000000-0005-0000-0000-0000206B0000}"/>
    <cellStyle name="Comma 15 2 2 4 2 3 2 3" xfId="21317" xr:uid="{00000000-0005-0000-0000-0000216B0000}"/>
    <cellStyle name="Comma 15 2 2 4 2 3 2 3 2" xfId="50323" xr:uid="{00000000-0005-0000-0000-0000226B0000}"/>
    <cellStyle name="Comma 15 2 2 4 2 3 2 4" xfId="35824" xr:uid="{00000000-0005-0000-0000-0000236B0000}"/>
    <cellStyle name="Comma 15 2 2 4 2 3 3" xfId="10927" xr:uid="{00000000-0005-0000-0000-0000246B0000}"/>
    <cellStyle name="Comma 15 2 2 4 2 3 3 2" xfId="25461" xr:uid="{00000000-0005-0000-0000-0000256B0000}"/>
    <cellStyle name="Comma 15 2 2 4 2 3 3 2 2" xfId="54467" xr:uid="{00000000-0005-0000-0000-0000266B0000}"/>
    <cellStyle name="Comma 15 2 2 4 2 3 3 3" xfId="39968" xr:uid="{00000000-0005-0000-0000-0000276B0000}"/>
    <cellStyle name="Comma 15 2 2 4 2 3 4" xfId="18213" xr:uid="{00000000-0005-0000-0000-0000286B0000}"/>
    <cellStyle name="Comma 15 2 2 4 2 3 4 2" xfId="47219" xr:uid="{00000000-0005-0000-0000-0000296B0000}"/>
    <cellStyle name="Comma 15 2 2 4 2 3 5" xfId="32720" xr:uid="{00000000-0005-0000-0000-00002A6B0000}"/>
    <cellStyle name="Comma 15 2 2 4 2 4" xfId="4687" xr:uid="{00000000-0005-0000-0000-00002B6B0000}"/>
    <cellStyle name="Comma 15 2 2 4 2 4 2" xfId="11959" xr:uid="{00000000-0005-0000-0000-00002C6B0000}"/>
    <cellStyle name="Comma 15 2 2 4 2 4 2 2" xfId="26493" xr:uid="{00000000-0005-0000-0000-00002D6B0000}"/>
    <cellStyle name="Comma 15 2 2 4 2 4 2 2 2" xfId="55499" xr:uid="{00000000-0005-0000-0000-00002E6B0000}"/>
    <cellStyle name="Comma 15 2 2 4 2 4 2 3" xfId="41000" xr:uid="{00000000-0005-0000-0000-00002F6B0000}"/>
    <cellStyle name="Comma 15 2 2 4 2 4 3" xfId="19245" xr:uid="{00000000-0005-0000-0000-0000306B0000}"/>
    <cellStyle name="Comma 15 2 2 4 2 4 3 2" xfId="48251" xr:uid="{00000000-0005-0000-0000-0000316B0000}"/>
    <cellStyle name="Comma 15 2 2 4 2 4 4" xfId="33752" xr:uid="{00000000-0005-0000-0000-0000326B0000}"/>
    <cellStyle name="Comma 15 2 2 4 2 5" xfId="7791" xr:uid="{00000000-0005-0000-0000-0000336B0000}"/>
    <cellStyle name="Comma 15 2 2 4 2 5 2" xfId="15063" xr:uid="{00000000-0005-0000-0000-0000346B0000}"/>
    <cellStyle name="Comma 15 2 2 4 2 5 2 2" xfId="29597" xr:uid="{00000000-0005-0000-0000-0000356B0000}"/>
    <cellStyle name="Comma 15 2 2 4 2 5 2 2 2" xfId="58603" xr:uid="{00000000-0005-0000-0000-0000366B0000}"/>
    <cellStyle name="Comma 15 2 2 4 2 5 2 3" xfId="44104" xr:uid="{00000000-0005-0000-0000-0000376B0000}"/>
    <cellStyle name="Comma 15 2 2 4 2 5 3" xfId="22349" xr:uid="{00000000-0005-0000-0000-0000386B0000}"/>
    <cellStyle name="Comma 15 2 2 4 2 5 3 2" xfId="51355" xr:uid="{00000000-0005-0000-0000-0000396B0000}"/>
    <cellStyle name="Comma 15 2 2 4 2 5 4" xfId="36856" xr:uid="{00000000-0005-0000-0000-00003A6B0000}"/>
    <cellStyle name="Comma 15 2 2 4 2 6" xfId="8855" xr:uid="{00000000-0005-0000-0000-00003B6B0000}"/>
    <cellStyle name="Comma 15 2 2 4 2 6 2" xfId="23389" xr:uid="{00000000-0005-0000-0000-00003C6B0000}"/>
    <cellStyle name="Comma 15 2 2 4 2 6 2 2" xfId="52395" xr:uid="{00000000-0005-0000-0000-00003D6B0000}"/>
    <cellStyle name="Comma 15 2 2 4 2 6 3" xfId="37896" xr:uid="{00000000-0005-0000-0000-00003E6B0000}"/>
    <cellStyle name="Comma 15 2 2 4 2 7" xfId="16141" xr:uid="{00000000-0005-0000-0000-00003F6B0000}"/>
    <cellStyle name="Comma 15 2 2 4 2 7 2" xfId="45147" xr:uid="{00000000-0005-0000-0000-0000406B0000}"/>
    <cellStyle name="Comma 15 2 2 4 2 8" xfId="30648" xr:uid="{00000000-0005-0000-0000-0000416B0000}"/>
    <cellStyle name="Comma 15 2 2 4 3" xfId="2111" xr:uid="{00000000-0005-0000-0000-0000426B0000}"/>
    <cellStyle name="Comma 15 2 2 4 3 2" xfId="5215" xr:uid="{00000000-0005-0000-0000-0000436B0000}"/>
    <cellStyle name="Comma 15 2 2 4 3 2 2" xfId="12487" xr:uid="{00000000-0005-0000-0000-0000446B0000}"/>
    <cellStyle name="Comma 15 2 2 4 3 2 2 2" xfId="27021" xr:uid="{00000000-0005-0000-0000-0000456B0000}"/>
    <cellStyle name="Comma 15 2 2 4 3 2 2 2 2" xfId="56027" xr:uid="{00000000-0005-0000-0000-0000466B0000}"/>
    <cellStyle name="Comma 15 2 2 4 3 2 2 3" xfId="41528" xr:uid="{00000000-0005-0000-0000-0000476B0000}"/>
    <cellStyle name="Comma 15 2 2 4 3 2 3" xfId="19773" xr:uid="{00000000-0005-0000-0000-0000486B0000}"/>
    <cellStyle name="Comma 15 2 2 4 3 2 3 2" xfId="48779" xr:uid="{00000000-0005-0000-0000-0000496B0000}"/>
    <cellStyle name="Comma 15 2 2 4 3 2 4" xfId="34280" xr:uid="{00000000-0005-0000-0000-00004A6B0000}"/>
    <cellStyle name="Comma 15 2 2 4 3 3" xfId="9383" xr:uid="{00000000-0005-0000-0000-00004B6B0000}"/>
    <cellStyle name="Comma 15 2 2 4 3 3 2" xfId="23917" xr:uid="{00000000-0005-0000-0000-00004C6B0000}"/>
    <cellStyle name="Comma 15 2 2 4 3 3 2 2" xfId="52923" xr:uid="{00000000-0005-0000-0000-00004D6B0000}"/>
    <cellStyle name="Comma 15 2 2 4 3 3 3" xfId="38424" xr:uid="{00000000-0005-0000-0000-00004E6B0000}"/>
    <cellStyle name="Comma 15 2 2 4 3 4" xfId="16669" xr:uid="{00000000-0005-0000-0000-00004F6B0000}"/>
    <cellStyle name="Comma 15 2 2 4 3 4 2" xfId="45675" xr:uid="{00000000-0005-0000-0000-0000506B0000}"/>
    <cellStyle name="Comma 15 2 2 4 3 5" xfId="31176" xr:uid="{00000000-0005-0000-0000-0000516B0000}"/>
    <cellStyle name="Comma 15 2 2 4 4" xfId="3143" xr:uid="{00000000-0005-0000-0000-0000526B0000}"/>
    <cellStyle name="Comma 15 2 2 4 4 2" xfId="6247" xr:uid="{00000000-0005-0000-0000-0000536B0000}"/>
    <cellStyle name="Comma 15 2 2 4 4 2 2" xfId="13519" xr:uid="{00000000-0005-0000-0000-0000546B0000}"/>
    <cellStyle name="Comma 15 2 2 4 4 2 2 2" xfId="28053" xr:uid="{00000000-0005-0000-0000-0000556B0000}"/>
    <cellStyle name="Comma 15 2 2 4 4 2 2 2 2" xfId="57059" xr:uid="{00000000-0005-0000-0000-0000566B0000}"/>
    <cellStyle name="Comma 15 2 2 4 4 2 2 3" xfId="42560" xr:uid="{00000000-0005-0000-0000-0000576B0000}"/>
    <cellStyle name="Comma 15 2 2 4 4 2 3" xfId="20805" xr:uid="{00000000-0005-0000-0000-0000586B0000}"/>
    <cellStyle name="Comma 15 2 2 4 4 2 3 2" xfId="49811" xr:uid="{00000000-0005-0000-0000-0000596B0000}"/>
    <cellStyle name="Comma 15 2 2 4 4 2 4" xfId="35312" xr:uid="{00000000-0005-0000-0000-00005A6B0000}"/>
    <cellStyle name="Comma 15 2 2 4 4 3" xfId="10415" xr:uid="{00000000-0005-0000-0000-00005B6B0000}"/>
    <cellStyle name="Comma 15 2 2 4 4 3 2" xfId="24949" xr:uid="{00000000-0005-0000-0000-00005C6B0000}"/>
    <cellStyle name="Comma 15 2 2 4 4 3 2 2" xfId="53955" xr:uid="{00000000-0005-0000-0000-00005D6B0000}"/>
    <cellStyle name="Comma 15 2 2 4 4 3 3" xfId="39456" xr:uid="{00000000-0005-0000-0000-00005E6B0000}"/>
    <cellStyle name="Comma 15 2 2 4 4 4" xfId="17701" xr:uid="{00000000-0005-0000-0000-00005F6B0000}"/>
    <cellStyle name="Comma 15 2 2 4 4 4 2" xfId="46707" xr:uid="{00000000-0005-0000-0000-0000606B0000}"/>
    <cellStyle name="Comma 15 2 2 4 4 5" xfId="32208" xr:uid="{00000000-0005-0000-0000-0000616B0000}"/>
    <cellStyle name="Comma 15 2 2 4 5" xfId="4175" xr:uid="{00000000-0005-0000-0000-0000626B0000}"/>
    <cellStyle name="Comma 15 2 2 4 5 2" xfId="11447" xr:uid="{00000000-0005-0000-0000-0000636B0000}"/>
    <cellStyle name="Comma 15 2 2 4 5 2 2" xfId="25981" xr:uid="{00000000-0005-0000-0000-0000646B0000}"/>
    <cellStyle name="Comma 15 2 2 4 5 2 2 2" xfId="54987" xr:uid="{00000000-0005-0000-0000-0000656B0000}"/>
    <cellStyle name="Comma 15 2 2 4 5 2 3" xfId="40488" xr:uid="{00000000-0005-0000-0000-0000666B0000}"/>
    <cellStyle name="Comma 15 2 2 4 5 3" xfId="18733" xr:uid="{00000000-0005-0000-0000-0000676B0000}"/>
    <cellStyle name="Comma 15 2 2 4 5 3 2" xfId="47739" xr:uid="{00000000-0005-0000-0000-0000686B0000}"/>
    <cellStyle name="Comma 15 2 2 4 5 4" xfId="33240" xr:uid="{00000000-0005-0000-0000-0000696B0000}"/>
    <cellStyle name="Comma 15 2 2 4 6" xfId="7279" xr:uid="{00000000-0005-0000-0000-00006A6B0000}"/>
    <cellStyle name="Comma 15 2 2 4 6 2" xfId="14551" xr:uid="{00000000-0005-0000-0000-00006B6B0000}"/>
    <cellStyle name="Comma 15 2 2 4 6 2 2" xfId="29085" xr:uid="{00000000-0005-0000-0000-00006C6B0000}"/>
    <cellStyle name="Comma 15 2 2 4 6 2 2 2" xfId="58091" xr:uid="{00000000-0005-0000-0000-00006D6B0000}"/>
    <cellStyle name="Comma 15 2 2 4 6 2 3" xfId="43592" xr:uid="{00000000-0005-0000-0000-00006E6B0000}"/>
    <cellStyle name="Comma 15 2 2 4 6 3" xfId="21837" xr:uid="{00000000-0005-0000-0000-00006F6B0000}"/>
    <cellStyle name="Comma 15 2 2 4 6 3 2" xfId="50843" xr:uid="{00000000-0005-0000-0000-0000706B0000}"/>
    <cellStyle name="Comma 15 2 2 4 6 4" xfId="36344" xr:uid="{00000000-0005-0000-0000-0000716B0000}"/>
    <cellStyle name="Comma 15 2 2 4 7" xfId="8343" xr:uid="{00000000-0005-0000-0000-0000726B0000}"/>
    <cellStyle name="Comma 15 2 2 4 7 2" xfId="22877" xr:uid="{00000000-0005-0000-0000-0000736B0000}"/>
    <cellStyle name="Comma 15 2 2 4 7 2 2" xfId="51883" xr:uid="{00000000-0005-0000-0000-0000746B0000}"/>
    <cellStyle name="Comma 15 2 2 4 7 3" xfId="37384" xr:uid="{00000000-0005-0000-0000-0000756B0000}"/>
    <cellStyle name="Comma 15 2 2 4 8" xfId="15629" xr:uid="{00000000-0005-0000-0000-0000766B0000}"/>
    <cellStyle name="Comma 15 2 2 4 8 2" xfId="44635" xr:uid="{00000000-0005-0000-0000-0000776B0000}"/>
    <cellStyle name="Comma 15 2 2 4 9" xfId="30136" xr:uid="{00000000-0005-0000-0000-0000786B0000}"/>
    <cellStyle name="Comma 15 2 2 5" xfId="1360" xr:uid="{00000000-0005-0000-0000-0000796B0000}"/>
    <cellStyle name="Comma 15 2 2 5 2" xfId="2417" xr:uid="{00000000-0005-0000-0000-00007A6B0000}"/>
    <cellStyle name="Comma 15 2 2 5 2 2" xfId="5521" xr:uid="{00000000-0005-0000-0000-00007B6B0000}"/>
    <cellStyle name="Comma 15 2 2 5 2 2 2" xfId="12793" xr:uid="{00000000-0005-0000-0000-00007C6B0000}"/>
    <cellStyle name="Comma 15 2 2 5 2 2 2 2" xfId="27327" xr:uid="{00000000-0005-0000-0000-00007D6B0000}"/>
    <cellStyle name="Comma 15 2 2 5 2 2 2 2 2" xfId="56333" xr:uid="{00000000-0005-0000-0000-00007E6B0000}"/>
    <cellStyle name="Comma 15 2 2 5 2 2 2 3" xfId="41834" xr:uid="{00000000-0005-0000-0000-00007F6B0000}"/>
    <cellStyle name="Comma 15 2 2 5 2 2 3" xfId="20079" xr:uid="{00000000-0005-0000-0000-0000806B0000}"/>
    <cellStyle name="Comma 15 2 2 5 2 2 3 2" xfId="49085" xr:uid="{00000000-0005-0000-0000-0000816B0000}"/>
    <cellStyle name="Comma 15 2 2 5 2 2 4" xfId="34586" xr:uid="{00000000-0005-0000-0000-0000826B0000}"/>
    <cellStyle name="Comma 15 2 2 5 2 3" xfId="9689" xr:uid="{00000000-0005-0000-0000-0000836B0000}"/>
    <cellStyle name="Comma 15 2 2 5 2 3 2" xfId="24223" xr:uid="{00000000-0005-0000-0000-0000846B0000}"/>
    <cellStyle name="Comma 15 2 2 5 2 3 2 2" xfId="53229" xr:uid="{00000000-0005-0000-0000-0000856B0000}"/>
    <cellStyle name="Comma 15 2 2 5 2 3 3" xfId="38730" xr:uid="{00000000-0005-0000-0000-0000866B0000}"/>
    <cellStyle name="Comma 15 2 2 5 2 4" xfId="16975" xr:uid="{00000000-0005-0000-0000-0000876B0000}"/>
    <cellStyle name="Comma 15 2 2 5 2 4 2" xfId="45981" xr:uid="{00000000-0005-0000-0000-0000886B0000}"/>
    <cellStyle name="Comma 15 2 2 5 2 5" xfId="31482" xr:uid="{00000000-0005-0000-0000-0000896B0000}"/>
    <cellStyle name="Comma 15 2 2 5 3" xfId="3449" xr:uid="{00000000-0005-0000-0000-00008A6B0000}"/>
    <cellStyle name="Comma 15 2 2 5 3 2" xfId="6553" xr:uid="{00000000-0005-0000-0000-00008B6B0000}"/>
    <cellStyle name="Comma 15 2 2 5 3 2 2" xfId="13825" xr:uid="{00000000-0005-0000-0000-00008C6B0000}"/>
    <cellStyle name="Comma 15 2 2 5 3 2 2 2" xfId="28359" xr:uid="{00000000-0005-0000-0000-00008D6B0000}"/>
    <cellStyle name="Comma 15 2 2 5 3 2 2 2 2" xfId="57365" xr:uid="{00000000-0005-0000-0000-00008E6B0000}"/>
    <cellStyle name="Comma 15 2 2 5 3 2 2 3" xfId="42866" xr:uid="{00000000-0005-0000-0000-00008F6B0000}"/>
    <cellStyle name="Comma 15 2 2 5 3 2 3" xfId="21111" xr:uid="{00000000-0005-0000-0000-0000906B0000}"/>
    <cellStyle name="Comma 15 2 2 5 3 2 3 2" xfId="50117" xr:uid="{00000000-0005-0000-0000-0000916B0000}"/>
    <cellStyle name="Comma 15 2 2 5 3 2 4" xfId="35618" xr:uid="{00000000-0005-0000-0000-0000926B0000}"/>
    <cellStyle name="Comma 15 2 2 5 3 3" xfId="10721" xr:uid="{00000000-0005-0000-0000-0000936B0000}"/>
    <cellStyle name="Comma 15 2 2 5 3 3 2" xfId="25255" xr:uid="{00000000-0005-0000-0000-0000946B0000}"/>
    <cellStyle name="Comma 15 2 2 5 3 3 2 2" xfId="54261" xr:uid="{00000000-0005-0000-0000-0000956B0000}"/>
    <cellStyle name="Comma 15 2 2 5 3 3 3" xfId="39762" xr:uid="{00000000-0005-0000-0000-0000966B0000}"/>
    <cellStyle name="Comma 15 2 2 5 3 4" xfId="18007" xr:uid="{00000000-0005-0000-0000-0000976B0000}"/>
    <cellStyle name="Comma 15 2 2 5 3 4 2" xfId="47013" xr:uid="{00000000-0005-0000-0000-0000986B0000}"/>
    <cellStyle name="Comma 15 2 2 5 3 5" xfId="32514" xr:uid="{00000000-0005-0000-0000-0000996B0000}"/>
    <cellStyle name="Comma 15 2 2 5 4" xfId="4481" xr:uid="{00000000-0005-0000-0000-00009A6B0000}"/>
    <cellStyle name="Comma 15 2 2 5 4 2" xfId="11753" xr:uid="{00000000-0005-0000-0000-00009B6B0000}"/>
    <cellStyle name="Comma 15 2 2 5 4 2 2" xfId="26287" xr:uid="{00000000-0005-0000-0000-00009C6B0000}"/>
    <cellStyle name="Comma 15 2 2 5 4 2 2 2" xfId="55293" xr:uid="{00000000-0005-0000-0000-00009D6B0000}"/>
    <cellStyle name="Comma 15 2 2 5 4 2 3" xfId="40794" xr:uid="{00000000-0005-0000-0000-00009E6B0000}"/>
    <cellStyle name="Comma 15 2 2 5 4 3" xfId="19039" xr:uid="{00000000-0005-0000-0000-00009F6B0000}"/>
    <cellStyle name="Comma 15 2 2 5 4 3 2" xfId="48045" xr:uid="{00000000-0005-0000-0000-0000A06B0000}"/>
    <cellStyle name="Comma 15 2 2 5 4 4" xfId="33546" xr:uid="{00000000-0005-0000-0000-0000A16B0000}"/>
    <cellStyle name="Comma 15 2 2 5 5" xfId="7585" xr:uid="{00000000-0005-0000-0000-0000A26B0000}"/>
    <cellStyle name="Comma 15 2 2 5 5 2" xfId="14857" xr:uid="{00000000-0005-0000-0000-0000A36B0000}"/>
    <cellStyle name="Comma 15 2 2 5 5 2 2" xfId="29391" xr:uid="{00000000-0005-0000-0000-0000A46B0000}"/>
    <cellStyle name="Comma 15 2 2 5 5 2 2 2" xfId="58397" xr:uid="{00000000-0005-0000-0000-0000A56B0000}"/>
    <cellStyle name="Comma 15 2 2 5 5 2 3" xfId="43898" xr:uid="{00000000-0005-0000-0000-0000A66B0000}"/>
    <cellStyle name="Comma 15 2 2 5 5 3" xfId="22143" xr:uid="{00000000-0005-0000-0000-0000A76B0000}"/>
    <cellStyle name="Comma 15 2 2 5 5 3 2" xfId="51149" xr:uid="{00000000-0005-0000-0000-0000A86B0000}"/>
    <cellStyle name="Comma 15 2 2 5 5 4" xfId="36650" xr:uid="{00000000-0005-0000-0000-0000A96B0000}"/>
    <cellStyle name="Comma 15 2 2 5 6" xfId="8649" xr:uid="{00000000-0005-0000-0000-0000AA6B0000}"/>
    <cellStyle name="Comma 15 2 2 5 6 2" xfId="23183" xr:uid="{00000000-0005-0000-0000-0000AB6B0000}"/>
    <cellStyle name="Comma 15 2 2 5 6 2 2" xfId="52189" xr:uid="{00000000-0005-0000-0000-0000AC6B0000}"/>
    <cellStyle name="Comma 15 2 2 5 6 3" xfId="37690" xr:uid="{00000000-0005-0000-0000-0000AD6B0000}"/>
    <cellStyle name="Comma 15 2 2 5 7" xfId="15935" xr:uid="{00000000-0005-0000-0000-0000AE6B0000}"/>
    <cellStyle name="Comma 15 2 2 5 7 2" xfId="44941" xr:uid="{00000000-0005-0000-0000-0000AF6B0000}"/>
    <cellStyle name="Comma 15 2 2 5 8" xfId="30442" xr:uid="{00000000-0005-0000-0000-0000B06B0000}"/>
    <cellStyle name="Comma 15 2 2 6" xfId="1905" xr:uid="{00000000-0005-0000-0000-0000B16B0000}"/>
    <cellStyle name="Comma 15 2 2 6 2" xfId="5009" xr:uid="{00000000-0005-0000-0000-0000B26B0000}"/>
    <cellStyle name="Comma 15 2 2 6 2 2" xfId="12281" xr:uid="{00000000-0005-0000-0000-0000B36B0000}"/>
    <cellStyle name="Comma 15 2 2 6 2 2 2" xfId="26815" xr:uid="{00000000-0005-0000-0000-0000B46B0000}"/>
    <cellStyle name="Comma 15 2 2 6 2 2 2 2" xfId="55821" xr:uid="{00000000-0005-0000-0000-0000B56B0000}"/>
    <cellStyle name="Comma 15 2 2 6 2 2 3" xfId="41322" xr:uid="{00000000-0005-0000-0000-0000B66B0000}"/>
    <cellStyle name="Comma 15 2 2 6 2 3" xfId="19567" xr:uid="{00000000-0005-0000-0000-0000B76B0000}"/>
    <cellStyle name="Comma 15 2 2 6 2 3 2" xfId="48573" xr:uid="{00000000-0005-0000-0000-0000B86B0000}"/>
    <cellStyle name="Comma 15 2 2 6 2 4" xfId="34074" xr:uid="{00000000-0005-0000-0000-0000B96B0000}"/>
    <cellStyle name="Comma 15 2 2 6 3" xfId="9177" xr:uid="{00000000-0005-0000-0000-0000BA6B0000}"/>
    <cellStyle name="Comma 15 2 2 6 3 2" xfId="23711" xr:uid="{00000000-0005-0000-0000-0000BB6B0000}"/>
    <cellStyle name="Comma 15 2 2 6 3 2 2" xfId="52717" xr:uid="{00000000-0005-0000-0000-0000BC6B0000}"/>
    <cellStyle name="Comma 15 2 2 6 3 3" xfId="38218" xr:uid="{00000000-0005-0000-0000-0000BD6B0000}"/>
    <cellStyle name="Comma 15 2 2 6 4" xfId="16463" xr:uid="{00000000-0005-0000-0000-0000BE6B0000}"/>
    <cellStyle name="Comma 15 2 2 6 4 2" xfId="45469" xr:uid="{00000000-0005-0000-0000-0000BF6B0000}"/>
    <cellStyle name="Comma 15 2 2 6 5" xfId="30970" xr:uid="{00000000-0005-0000-0000-0000C06B0000}"/>
    <cellStyle name="Comma 15 2 2 7" xfId="2937" xr:uid="{00000000-0005-0000-0000-0000C16B0000}"/>
    <cellStyle name="Comma 15 2 2 7 2" xfId="6041" xr:uid="{00000000-0005-0000-0000-0000C26B0000}"/>
    <cellStyle name="Comma 15 2 2 7 2 2" xfId="13313" xr:uid="{00000000-0005-0000-0000-0000C36B0000}"/>
    <cellStyle name="Comma 15 2 2 7 2 2 2" xfId="27847" xr:uid="{00000000-0005-0000-0000-0000C46B0000}"/>
    <cellStyle name="Comma 15 2 2 7 2 2 2 2" xfId="56853" xr:uid="{00000000-0005-0000-0000-0000C56B0000}"/>
    <cellStyle name="Comma 15 2 2 7 2 2 3" xfId="42354" xr:uid="{00000000-0005-0000-0000-0000C66B0000}"/>
    <cellStyle name="Comma 15 2 2 7 2 3" xfId="20599" xr:uid="{00000000-0005-0000-0000-0000C76B0000}"/>
    <cellStyle name="Comma 15 2 2 7 2 3 2" xfId="49605" xr:uid="{00000000-0005-0000-0000-0000C86B0000}"/>
    <cellStyle name="Comma 15 2 2 7 2 4" xfId="35106" xr:uid="{00000000-0005-0000-0000-0000C96B0000}"/>
    <cellStyle name="Comma 15 2 2 7 3" xfId="10209" xr:uid="{00000000-0005-0000-0000-0000CA6B0000}"/>
    <cellStyle name="Comma 15 2 2 7 3 2" xfId="24743" xr:uid="{00000000-0005-0000-0000-0000CB6B0000}"/>
    <cellStyle name="Comma 15 2 2 7 3 2 2" xfId="53749" xr:uid="{00000000-0005-0000-0000-0000CC6B0000}"/>
    <cellStyle name="Comma 15 2 2 7 3 3" xfId="39250" xr:uid="{00000000-0005-0000-0000-0000CD6B0000}"/>
    <cellStyle name="Comma 15 2 2 7 4" xfId="17495" xr:uid="{00000000-0005-0000-0000-0000CE6B0000}"/>
    <cellStyle name="Comma 15 2 2 7 4 2" xfId="46501" xr:uid="{00000000-0005-0000-0000-0000CF6B0000}"/>
    <cellStyle name="Comma 15 2 2 7 5" xfId="32002" xr:uid="{00000000-0005-0000-0000-0000D06B0000}"/>
    <cellStyle name="Comma 15 2 2 8" xfId="3969" xr:uid="{00000000-0005-0000-0000-0000D16B0000}"/>
    <cellStyle name="Comma 15 2 2 8 2" xfId="11241" xr:uid="{00000000-0005-0000-0000-0000D26B0000}"/>
    <cellStyle name="Comma 15 2 2 8 2 2" xfId="25775" xr:uid="{00000000-0005-0000-0000-0000D36B0000}"/>
    <cellStyle name="Comma 15 2 2 8 2 2 2" xfId="54781" xr:uid="{00000000-0005-0000-0000-0000D46B0000}"/>
    <cellStyle name="Comma 15 2 2 8 2 3" xfId="40282" xr:uid="{00000000-0005-0000-0000-0000D56B0000}"/>
    <cellStyle name="Comma 15 2 2 8 3" xfId="18527" xr:uid="{00000000-0005-0000-0000-0000D66B0000}"/>
    <cellStyle name="Comma 15 2 2 8 3 2" xfId="47533" xr:uid="{00000000-0005-0000-0000-0000D76B0000}"/>
    <cellStyle name="Comma 15 2 2 8 4" xfId="33034" xr:uid="{00000000-0005-0000-0000-0000D86B0000}"/>
    <cellStyle name="Comma 15 2 2 9" xfId="7073" xr:uid="{00000000-0005-0000-0000-0000D96B0000}"/>
    <cellStyle name="Comma 15 2 2 9 2" xfId="14345" xr:uid="{00000000-0005-0000-0000-0000DA6B0000}"/>
    <cellStyle name="Comma 15 2 2 9 2 2" xfId="28879" xr:uid="{00000000-0005-0000-0000-0000DB6B0000}"/>
    <cellStyle name="Comma 15 2 2 9 2 2 2" xfId="57885" xr:uid="{00000000-0005-0000-0000-0000DC6B0000}"/>
    <cellStyle name="Comma 15 2 2 9 2 3" xfId="43386" xr:uid="{00000000-0005-0000-0000-0000DD6B0000}"/>
    <cellStyle name="Comma 15 2 2 9 3" xfId="21631" xr:uid="{00000000-0005-0000-0000-0000DE6B0000}"/>
    <cellStyle name="Comma 15 2 2 9 3 2" xfId="50637" xr:uid="{00000000-0005-0000-0000-0000DF6B0000}"/>
    <cellStyle name="Comma 15 2 2 9 4" xfId="36138" xr:uid="{00000000-0005-0000-0000-0000E06B0000}"/>
    <cellStyle name="Comma 15 2 3" xfId="937" xr:uid="{00000000-0005-0000-0000-0000E16B0000}"/>
    <cellStyle name="Comma 15 2 3 10" xfId="29981" xr:uid="{00000000-0005-0000-0000-0000E26B0000}"/>
    <cellStyle name="Comma 15 2 3 2" xfId="1211" xr:uid="{00000000-0005-0000-0000-0000E36B0000}"/>
    <cellStyle name="Comma 15 2 3 2 2" xfId="1715" xr:uid="{00000000-0005-0000-0000-0000E46B0000}"/>
    <cellStyle name="Comma 15 2 3 2 2 2" xfId="2774" xr:uid="{00000000-0005-0000-0000-0000E56B0000}"/>
    <cellStyle name="Comma 15 2 3 2 2 2 2" xfId="5878" xr:uid="{00000000-0005-0000-0000-0000E66B0000}"/>
    <cellStyle name="Comma 15 2 3 2 2 2 2 2" xfId="13150" xr:uid="{00000000-0005-0000-0000-0000E76B0000}"/>
    <cellStyle name="Comma 15 2 3 2 2 2 2 2 2" xfId="27684" xr:uid="{00000000-0005-0000-0000-0000E86B0000}"/>
    <cellStyle name="Comma 15 2 3 2 2 2 2 2 2 2" xfId="56690" xr:uid="{00000000-0005-0000-0000-0000E96B0000}"/>
    <cellStyle name="Comma 15 2 3 2 2 2 2 2 3" xfId="42191" xr:uid="{00000000-0005-0000-0000-0000EA6B0000}"/>
    <cellStyle name="Comma 15 2 3 2 2 2 2 3" xfId="20436" xr:uid="{00000000-0005-0000-0000-0000EB6B0000}"/>
    <cellStyle name="Comma 15 2 3 2 2 2 2 3 2" xfId="49442" xr:uid="{00000000-0005-0000-0000-0000EC6B0000}"/>
    <cellStyle name="Comma 15 2 3 2 2 2 2 4" xfId="34943" xr:uid="{00000000-0005-0000-0000-0000ED6B0000}"/>
    <cellStyle name="Comma 15 2 3 2 2 2 3" xfId="10046" xr:uid="{00000000-0005-0000-0000-0000EE6B0000}"/>
    <cellStyle name="Comma 15 2 3 2 2 2 3 2" xfId="24580" xr:uid="{00000000-0005-0000-0000-0000EF6B0000}"/>
    <cellStyle name="Comma 15 2 3 2 2 2 3 2 2" xfId="53586" xr:uid="{00000000-0005-0000-0000-0000F06B0000}"/>
    <cellStyle name="Comma 15 2 3 2 2 2 3 3" xfId="39087" xr:uid="{00000000-0005-0000-0000-0000F16B0000}"/>
    <cellStyle name="Comma 15 2 3 2 2 2 4" xfId="17332" xr:uid="{00000000-0005-0000-0000-0000F26B0000}"/>
    <cellStyle name="Comma 15 2 3 2 2 2 4 2" xfId="46338" xr:uid="{00000000-0005-0000-0000-0000F36B0000}"/>
    <cellStyle name="Comma 15 2 3 2 2 2 5" xfId="31839" xr:uid="{00000000-0005-0000-0000-0000F46B0000}"/>
    <cellStyle name="Comma 15 2 3 2 2 3" xfId="3806" xr:uid="{00000000-0005-0000-0000-0000F56B0000}"/>
    <cellStyle name="Comma 15 2 3 2 2 3 2" xfId="6910" xr:uid="{00000000-0005-0000-0000-0000F66B0000}"/>
    <cellStyle name="Comma 15 2 3 2 2 3 2 2" xfId="14182" xr:uid="{00000000-0005-0000-0000-0000F76B0000}"/>
    <cellStyle name="Comma 15 2 3 2 2 3 2 2 2" xfId="28716" xr:uid="{00000000-0005-0000-0000-0000F86B0000}"/>
    <cellStyle name="Comma 15 2 3 2 2 3 2 2 2 2" xfId="57722" xr:uid="{00000000-0005-0000-0000-0000F96B0000}"/>
    <cellStyle name="Comma 15 2 3 2 2 3 2 2 3" xfId="43223" xr:uid="{00000000-0005-0000-0000-0000FA6B0000}"/>
    <cellStyle name="Comma 15 2 3 2 2 3 2 3" xfId="21468" xr:uid="{00000000-0005-0000-0000-0000FB6B0000}"/>
    <cellStyle name="Comma 15 2 3 2 2 3 2 3 2" xfId="50474" xr:uid="{00000000-0005-0000-0000-0000FC6B0000}"/>
    <cellStyle name="Comma 15 2 3 2 2 3 2 4" xfId="35975" xr:uid="{00000000-0005-0000-0000-0000FD6B0000}"/>
    <cellStyle name="Comma 15 2 3 2 2 3 3" xfId="11078" xr:uid="{00000000-0005-0000-0000-0000FE6B0000}"/>
    <cellStyle name="Comma 15 2 3 2 2 3 3 2" xfId="25612" xr:uid="{00000000-0005-0000-0000-0000FF6B0000}"/>
    <cellStyle name="Comma 15 2 3 2 2 3 3 2 2" xfId="54618" xr:uid="{00000000-0005-0000-0000-0000006C0000}"/>
    <cellStyle name="Comma 15 2 3 2 2 3 3 3" xfId="40119" xr:uid="{00000000-0005-0000-0000-0000016C0000}"/>
    <cellStyle name="Comma 15 2 3 2 2 3 4" xfId="18364" xr:uid="{00000000-0005-0000-0000-0000026C0000}"/>
    <cellStyle name="Comma 15 2 3 2 2 3 4 2" xfId="47370" xr:uid="{00000000-0005-0000-0000-0000036C0000}"/>
    <cellStyle name="Comma 15 2 3 2 2 3 5" xfId="32871" xr:uid="{00000000-0005-0000-0000-0000046C0000}"/>
    <cellStyle name="Comma 15 2 3 2 2 4" xfId="4838" xr:uid="{00000000-0005-0000-0000-0000056C0000}"/>
    <cellStyle name="Comma 15 2 3 2 2 4 2" xfId="12110" xr:uid="{00000000-0005-0000-0000-0000066C0000}"/>
    <cellStyle name="Comma 15 2 3 2 2 4 2 2" xfId="26644" xr:uid="{00000000-0005-0000-0000-0000076C0000}"/>
    <cellStyle name="Comma 15 2 3 2 2 4 2 2 2" xfId="55650" xr:uid="{00000000-0005-0000-0000-0000086C0000}"/>
    <cellStyle name="Comma 15 2 3 2 2 4 2 3" xfId="41151" xr:uid="{00000000-0005-0000-0000-0000096C0000}"/>
    <cellStyle name="Comma 15 2 3 2 2 4 3" xfId="19396" xr:uid="{00000000-0005-0000-0000-00000A6C0000}"/>
    <cellStyle name="Comma 15 2 3 2 2 4 3 2" xfId="48402" xr:uid="{00000000-0005-0000-0000-00000B6C0000}"/>
    <cellStyle name="Comma 15 2 3 2 2 4 4" xfId="33903" xr:uid="{00000000-0005-0000-0000-00000C6C0000}"/>
    <cellStyle name="Comma 15 2 3 2 2 5" xfId="7942" xr:uid="{00000000-0005-0000-0000-00000D6C0000}"/>
    <cellStyle name="Comma 15 2 3 2 2 5 2" xfId="15214" xr:uid="{00000000-0005-0000-0000-00000E6C0000}"/>
    <cellStyle name="Comma 15 2 3 2 2 5 2 2" xfId="29748" xr:uid="{00000000-0005-0000-0000-00000F6C0000}"/>
    <cellStyle name="Comma 15 2 3 2 2 5 2 2 2" xfId="58754" xr:uid="{00000000-0005-0000-0000-0000106C0000}"/>
    <cellStyle name="Comma 15 2 3 2 2 5 2 3" xfId="44255" xr:uid="{00000000-0005-0000-0000-0000116C0000}"/>
    <cellStyle name="Comma 15 2 3 2 2 5 3" xfId="22500" xr:uid="{00000000-0005-0000-0000-0000126C0000}"/>
    <cellStyle name="Comma 15 2 3 2 2 5 3 2" xfId="51506" xr:uid="{00000000-0005-0000-0000-0000136C0000}"/>
    <cellStyle name="Comma 15 2 3 2 2 5 4" xfId="37007" xr:uid="{00000000-0005-0000-0000-0000146C0000}"/>
    <cellStyle name="Comma 15 2 3 2 2 6" xfId="9006" xr:uid="{00000000-0005-0000-0000-0000156C0000}"/>
    <cellStyle name="Comma 15 2 3 2 2 6 2" xfId="23540" xr:uid="{00000000-0005-0000-0000-0000166C0000}"/>
    <cellStyle name="Comma 15 2 3 2 2 6 2 2" xfId="52546" xr:uid="{00000000-0005-0000-0000-0000176C0000}"/>
    <cellStyle name="Comma 15 2 3 2 2 6 3" xfId="38047" xr:uid="{00000000-0005-0000-0000-0000186C0000}"/>
    <cellStyle name="Comma 15 2 3 2 2 7" xfId="16292" xr:uid="{00000000-0005-0000-0000-0000196C0000}"/>
    <cellStyle name="Comma 15 2 3 2 2 7 2" xfId="45298" xr:uid="{00000000-0005-0000-0000-00001A6C0000}"/>
    <cellStyle name="Comma 15 2 3 2 2 8" xfId="30799" xr:uid="{00000000-0005-0000-0000-00001B6C0000}"/>
    <cellStyle name="Comma 15 2 3 2 3" xfId="2262" xr:uid="{00000000-0005-0000-0000-00001C6C0000}"/>
    <cellStyle name="Comma 15 2 3 2 3 2" xfId="5366" xr:uid="{00000000-0005-0000-0000-00001D6C0000}"/>
    <cellStyle name="Comma 15 2 3 2 3 2 2" xfId="12638" xr:uid="{00000000-0005-0000-0000-00001E6C0000}"/>
    <cellStyle name="Comma 15 2 3 2 3 2 2 2" xfId="27172" xr:uid="{00000000-0005-0000-0000-00001F6C0000}"/>
    <cellStyle name="Comma 15 2 3 2 3 2 2 2 2" xfId="56178" xr:uid="{00000000-0005-0000-0000-0000206C0000}"/>
    <cellStyle name="Comma 15 2 3 2 3 2 2 3" xfId="41679" xr:uid="{00000000-0005-0000-0000-0000216C0000}"/>
    <cellStyle name="Comma 15 2 3 2 3 2 3" xfId="19924" xr:uid="{00000000-0005-0000-0000-0000226C0000}"/>
    <cellStyle name="Comma 15 2 3 2 3 2 3 2" xfId="48930" xr:uid="{00000000-0005-0000-0000-0000236C0000}"/>
    <cellStyle name="Comma 15 2 3 2 3 2 4" xfId="34431" xr:uid="{00000000-0005-0000-0000-0000246C0000}"/>
    <cellStyle name="Comma 15 2 3 2 3 3" xfId="9534" xr:uid="{00000000-0005-0000-0000-0000256C0000}"/>
    <cellStyle name="Comma 15 2 3 2 3 3 2" xfId="24068" xr:uid="{00000000-0005-0000-0000-0000266C0000}"/>
    <cellStyle name="Comma 15 2 3 2 3 3 2 2" xfId="53074" xr:uid="{00000000-0005-0000-0000-0000276C0000}"/>
    <cellStyle name="Comma 15 2 3 2 3 3 3" xfId="38575" xr:uid="{00000000-0005-0000-0000-0000286C0000}"/>
    <cellStyle name="Comma 15 2 3 2 3 4" xfId="16820" xr:uid="{00000000-0005-0000-0000-0000296C0000}"/>
    <cellStyle name="Comma 15 2 3 2 3 4 2" xfId="45826" xr:uid="{00000000-0005-0000-0000-00002A6C0000}"/>
    <cellStyle name="Comma 15 2 3 2 3 5" xfId="31327" xr:uid="{00000000-0005-0000-0000-00002B6C0000}"/>
    <cellStyle name="Comma 15 2 3 2 4" xfId="3294" xr:uid="{00000000-0005-0000-0000-00002C6C0000}"/>
    <cellStyle name="Comma 15 2 3 2 4 2" xfId="6398" xr:uid="{00000000-0005-0000-0000-00002D6C0000}"/>
    <cellStyle name="Comma 15 2 3 2 4 2 2" xfId="13670" xr:uid="{00000000-0005-0000-0000-00002E6C0000}"/>
    <cellStyle name="Comma 15 2 3 2 4 2 2 2" xfId="28204" xr:uid="{00000000-0005-0000-0000-00002F6C0000}"/>
    <cellStyle name="Comma 15 2 3 2 4 2 2 2 2" xfId="57210" xr:uid="{00000000-0005-0000-0000-0000306C0000}"/>
    <cellStyle name="Comma 15 2 3 2 4 2 2 3" xfId="42711" xr:uid="{00000000-0005-0000-0000-0000316C0000}"/>
    <cellStyle name="Comma 15 2 3 2 4 2 3" xfId="20956" xr:uid="{00000000-0005-0000-0000-0000326C0000}"/>
    <cellStyle name="Comma 15 2 3 2 4 2 3 2" xfId="49962" xr:uid="{00000000-0005-0000-0000-0000336C0000}"/>
    <cellStyle name="Comma 15 2 3 2 4 2 4" xfId="35463" xr:uid="{00000000-0005-0000-0000-0000346C0000}"/>
    <cellStyle name="Comma 15 2 3 2 4 3" xfId="10566" xr:uid="{00000000-0005-0000-0000-0000356C0000}"/>
    <cellStyle name="Comma 15 2 3 2 4 3 2" xfId="25100" xr:uid="{00000000-0005-0000-0000-0000366C0000}"/>
    <cellStyle name="Comma 15 2 3 2 4 3 2 2" xfId="54106" xr:uid="{00000000-0005-0000-0000-0000376C0000}"/>
    <cellStyle name="Comma 15 2 3 2 4 3 3" xfId="39607" xr:uid="{00000000-0005-0000-0000-0000386C0000}"/>
    <cellStyle name="Comma 15 2 3 2 4 4" xfId="17852" xr:uid="{00000000-0005-0000-0000-0000396C0000}"/>
    <cellStyle name="Comma 15 2 3 2 4 4 2" xfId="46858" xr:uid="{00000000-0005-0000-0000-00003A6C0000}"/>
    <cellStyle name="Comma 15 2 3 2 4 5" xfId="32359" xr:uid="{00000000-0005-0000-0000-00003B6C0000}"/>
    <cellStyle name="Comma 15 2 3 2 5" xfId="4326" xr:uid="{00000000-0005-0000-0000-00003C6C0000}"/>
    <cellStyle name="Comma 15 2 3 2 5 2" xfId="11598" xr:uid="{00000000-0005-0000-0000-00003D6C0000}"/>
    <cellStyle name="Comma 15 2 3 2 5 2 2" xfId="26132" xr:uid="{00000000-0005-0000-0000-00003E6C0000}"/>
    <cellStyle name="Comma 15 2 3 2 5 2 2 2" xfId="55138" xr:uid="{00000000-0005-0000-0000-00003F6C0000}"/>
    <cellStyle name="Comma 15 2 3 2 5 2 3" xfId="40639" xr:uid="{00000000-0005-0000-0000-0000406C0000}"/>
    <cellStyle name="Comma 15 2 3 2 5 3" xfId="18884" xr:uid="{00000000-0005-0000-0000-0000416C0000}"/>
    <cellStyle name="Comma 15 2 3 2 5 3 2" xfId="47890" xr:uid="{00000000-0005-0000-0000-0000426C0000}"/>
    <cellStyle name="Comma 15 2 3 2 5 4" xfId="33391" xr:uid="{00000000-0005-0000-0000-0000436C0000}"/>
    <cellStyle name="Comma 15 2 3 2 6" xfId="7430" xr:uid="{00000000-0005-0000-0000-0000446C0000}"/>
    <cellStyle name="Comma 15 2 3 2 6 2" xfId="14702" xr:uid="{00000000-0005-0000-0000-0000456C0000}"/>
    <cellStyle name="Comma 15 2 3 2 6 2 2" xfId="29236" xr:uid="{00000000-0005-0000-0000-0000466C0000}"/>
    <cellStyle name="Comma 15 2 3 2 6 2 2 2" xfId="58242" xr:uid="{00000000-0005-0000-0000-0000476C0000}"/>
    <cellStyle name="Comma 15 2 3 2 6 2 3" xfId="43743" xr:uid="{00000000-0005-0000-0000-0000486C0000}"/>
    <cellStyle name="Comma 15 2 3 2 6 3" xfId="21988" xr:uid="{00000000-0005-0000-0000-0000496C0000}"/>
    <cellStyle name="Comma 15 2 3 2 6 3 2" xfId="50994" xr:uid="{00000000-0005-0000-0000-00004A6C0000}"/>
    <cellStyle name="Comma 15 2 3 2 6 4" xfId="36495" xr:uid="{00000000-0005-0000-0000-00004B6C0000}"/>
    <cellStyle name="Comma 15 2 3 2 7" xfId="8494" xr:uid="{00000000-0005-0000-0000-00004C6C0000}"/>
    <cellStyle name="Comma 15 2 3 2 7 2" xfId="23028" xr:uid="{00000000-0005-0000-0000-00004D6C0000}"/>
    <cellStyle name="Comma 15 2 3 2 7 2 2" xfId="52034" xr:uid="{00000000-0005-0000-0000-00004E6C0000}"/>
    <cellStyle name="Comma 15 2 3 2 7 3" xfId="37535" xr:uid="{00000000-0005-0000-0000-00004F6C0000}"/>
    <cellStyle name="Comma 15 2 3 2 8" xfId="15780" xr:uid="{00000000-0005-0000-0000-0000506C0000}"/>
    <cellStyle name="Comma 15 2 3 2 8 2" xfId="44786" xr:uid="{00000000-0005-0000-0000-0000516C0000}"/>
    <cellStyle name="Comma 15 2 3 2 9" xfId="30287" xr:uid="{00000000-0005-0000-0000-0000526C0000}"/>
    <cellStyle name="Comma 15 2 3 3" xfId="1410" xr:uid="{00000000-0005-0000-0000-0000536C0000}"/>
    <cellStyle name="Comma 15 2 3 3 2" xfId="2468" xr:uid="{00000000-0005-0000-0000-0000546C0000}"/>
    <cellStyle name="Comma 15 2 3 3 2 2" xfId="5572" xr:uid="{00000000-0005-0000-0000-0000556C0000}"/>
    <cellStyle name="Comma 15 2 3 3 2 2 2" xfId="12844" xr:uid="{00000000-0005-0000-0000-0000566C0000}"/>
    <cellStyle name="Comma 15 2 3 3 2 2 2 2" xfId="27378" xr:uid="{00000000-0005-0000-0000-0000576C0000}"/>
    <cellStyle name="Comma 15 2 3 3 2 2 2 2 2" xfId="56384" xr:uid="{00000000-0005-0000-0000-0000586C0000}"/>
    <cellStyle name="Comma 15 2 3 3 2 2 2 3" xfId="41885" xr:uid="{00000000-0005-0000-0000-0000596C0000}"/>
    <cellStyle name="Comma 15 2 3 3 2 2 3" xfId="20130" xr:uid="{00000000-0005-0000-0000-00005A6C0000}"/>
    <cellStyle name="Comma 15 2 3 3 2 2 3 2" xfId="49136" xr:uid="{00000000-0005-0000-0000-00005B6C0000}"/>
    <cellStyle name="Comma 15 2 3 3 2 2 4" xfId="34637" xr:uid="{00000000-0005-0000-0000-00005C6C0000}"/>
    <cellStyle name="Comma 15 2 3 3 2 3" xfId="9740" xr:uid="{00000000-0005-0000-0000-00005D6C0000}"/>
    <cellStyle name="Comma 15 2 3 3 2 3 2" xfId="24274" xr:uid="{00000000-0005-0000-0000-00005E6C0000}"/>
    <cellStyle name="Comma 15 2 3 3 2 3 2 2" xfId="53280" xr:uid="{00000000-0005-0000-0000-00005F6C0000}"/>
    <cellStyle name="Comma 15 2 3 3 2 3 3" xfId="38781" xr:uid="{00000000-0005-0000-0000-0000606C0000}"/>
    <cellStyle name="Comma 15 2 3 3 2 4" xfId="17026" xr:uid="{00000000-0005-0000-0000-0000616C0000}"/>
    <cellStyle name="Comma 15 2 3 3 2 4 2" xfId="46032" xr:uid="{00000000-0005-0000-0000-0000626C0000}"/>
    <cellStyle name="Comma 15 2 3 3 2 5" xfId="31533" xr:uid="{00000000-0005-0000-0000-0000636C0000}"/>
    <cellStyle name="Comma 15 2 3 3 3" xfId="3500" xr:uid="{00000000-0005-0000-0000-0000646C0000}"/>
    <cellStyle name="Comma 15 2 3 3 3 2" xfId="6604" xr:uid="{00000000-0005-0000-0000-0000656C0000}"/>
    <cellStyle name="Comma 15 2 3 3 3 2 2" xfId="13876" xr:uid="{00000000-0005-0000-0000-0000666C0000}"/>
    <cellStyle name="Comma 15 2 3 3 3 2 2 2" xfId="28410" xr:uid="{00000000-0005-0000-0000-0000676C0000}"/>
    <cellStyle name="Comma 15 2 3 3 3 2 2 2 2" xfId="57416" xr:uid="{00000000-0005-0000-0000-0000686C0000}"/>
    <cellStyle name="Comma 15 2 3 3 3 2 2 3" xfId="42917" xr:uid="{00000000-0005-0000-0000-0000696C0000}"/>
    <cellStyle name="Comma 15 2 3 3 3 2 3" xfId="21162" xr:uid="{00000000-0005-0000-0000-00006A6C0000}"/>
    <cellStyle name="Comma 15 2 3 3 3 2 3 2" xfId="50168" xr:uid="{00000000-0005-0000-0000-00006B6C0000}"/>
    <cellStyle name="Comma 15 2 3 3 3 2 4" xfId="35669" xr:uid="{00000000-0005-0000-0000-00006C6C0000}"/>
    <cellStyle name="Comma 15 2 3 3 3 3" xfId="10772" xr:uid="{00000000-0005-0000-0000-00006D6C0000}"/>
    <cellStyle name="Comma 15 2 3 3 3 3 2" xfId="25306" xr:uid="{00000000-0005-0000-0000-00006E6C0000}"/>
    <cellStyle name="Comma 15 2 3 3 3 3 2 2" xfId="54312" xr:uid="{00000000-0005-0000-0000-00006F6C0000}"/>
    <cellStyle name="Comma 15 2 3 3 3 3 3" xfId="39813" xr:uid="{00000000-0005-0000-0000-0000706C0000}"/>
    <cellStyle name="Comma 15 2 3 3 3 4" xfId="18058" xr:uid="{00000000-0005-0000-0000-0000716C0000}"/>
    <cellStyle name="Comma 15 2 3 3 3 4 2" xfId="47064" xr:uid="{00000000-0005-0000-0000-0000726C0000}"/>
    <cellStyle name="Comma 15 2 3 3 3 5" xfId="32565" xr:uid="{00000000-0005-0000-0000-0000736C0000}"/>
    <cellStyle name="Comma 15 2 3 3 4" xfId="4532" xr:uid="{00000000-0005-0000-0000-0000746C0000}"/>
    <cellStyle name="Comma 15 2 3 3 4 2" xfId="11804" xr:uid="{00000000-0005-0000-0000-0000756C0000}"/>
    <cellStyle name="Comma 15 2 3 3 4 2 2" xfId="26338" xr:uid="{00000000-0005-0000-0000-0000766C0000}"/>
    <cellStyle name="Comma 15 2 3 3 4 2 2 2" xfId="55344" xr:uid="{00000000-0005-0000-0000-0000776C0000}"/>
    <cellStyle name="Comma 15 2 3 3 4 2 3" xfId="40845" xr:uid="{00000000-0005-0000-0000-0000786C0000}"/>
    <cellStyle name="Comma 15 2 3 3 4 3" xfId="19090" xr:uid="{00000000-0005-0000-0000-0000796C0000}"/>
    <cellStyle name="Comma 15 2 3 3 4 3 2" xfId="48096" xr:uid="{00000000-0005-0000-0000-00007A6C0000}"/>
    <cellStyle name="Comma 15 2 3 3 4 4" xfId="33597" xr:uid="{00000000-0005-0000-0000-00007B6C0000}"/>
    <cellStyle name="Comma 15 2 3 3 5" xfId="7636" xr:uid="{00000000-0005-0000-0000-00007C6C0000}"/>
    <cellStyle name="Comma 15 2 3 3 5 2" xfId="14908" xr:uid="{00000000-0005-0000-0000-00007D6C0000}"/>
    <cellStyle name="Comma 15 2 3 3 5 2 2" xfId="29442" xr:uid="{00000000-0005-0000-0000-00007E6C0000}"/>
    <cellStyle name="Comma 15 2 3 3 5 2 2 2" xfId="58448" xr:uid="{00000000-0005-0000-0000-00007F6C0000}"/>
    <cellStyle name="Comma 15 2 3 3 5 2 3" xfId="43949" xr:uid="{00000000-0005-0000-0000-0000806C0000}"/>
    <cellStyle name="Comma 15 2 3 3 5 3" xfId="22194" xr:uid="{00000000-0005-0000-0000-0000816C0000}"/>
    <cellStyle name="Comma 15 2 3 3 5 3 2" xfId="51200" xr:uid="{00000000-0005-0000-0000-0000826C0000}"/>
    <cellStyle name="Comma 15 2 3 3 5 4" xfId="36701" xr:uid="{00000000-0005-0000-0000-0000836C0000}"/>
    <cellStyle name="Comma 15 2 3 3 6" xfId="8700" xr:uid="{00000000-0005-0000-0000-0000846C0000}"/>
    <cellStyle name="Comma 15 2 3 3 6 2" xfId="23234" xr:uid="{00000000-0005-0000-0000-0000856C0000}"/>
    <cellStyle name="Comma 15 2 3 3 6 2 2" xfId="52240" xr:uid="{00000000-0005-0000-0000-0000866C0000}"/>
    <cellStyle name="Comma 15 2 3 3 6 3" xfId="37741" xr:uid="{00000000-0005-0000-0000-0000876C0000}"/>
    <cellStyle name="Comma 15 2 3 3 7" xfId="15986" xr:uid="{00000000-0005-0000-0000-0000886C0000}"/>
    <cellStyle name="Comma 15 2 3 3 7 2" xfId="44992" xr:uid="{00000000-0005-0000-0000-0000896C0000}"/>
    <cellStyle name="Comma 15 2 3 3 8" xfId="30493" xr:uid="{00000000-0005-0000-0000-00008A6C0000}"/>
    <cellStyle name="Comma 15 2 3 4" xfId="1956" xr:uid="{00000000-0005-0000-0000-00008B6C0000}"/>
    <cellStyle name="Comma 15 2 3 4 2" xfId="5060" xr:uid="{00000000-0005-0000-0000-00008C6C0000}"/>
    <cellStyle name="Comma 15 2 3 4 2 2" xfId="12332" xr:uid="{00000000-0005-0000-0000-00008D6C0000}"/>
    <cellStyle name="Comma 15 2 3 4 2 2 2" xfId="26866" xr:uid="{00000000-0005-0000-0000-00008E6C0000}"/>
    <cellStyle name="Comma 15 2 3 4 2 2 2 2" xfId="55872" xr:uid="{00000000-0005-0000-0000-00008F6C0000}"/>
    <cellStyle name="Comma 15 2 3 4 2 2 3" xfId="41373" xr:uid="{00000000-0005-0000-0000-0000906C0000}"/>
    <cellStyle name="Comma 15 2 3 4 2 3" xfId="19618" xr:uid="{00000000-0005-0000-0000-0000916C0000}"/>
    <cellStyle name="Comma 15 2 3 4 2 3 2" xfId="48624" xr:uid="{00000000-0005-0000-0000-0000926C0000}"/>
    <cellStyle name="Comma 15 2 3 4 2 4" xfId="34125" xr:uid="{00000000-0005-0000-0000-0000936C0000}"/>
    <cellStyle name="Comma 15 2 3 4 3" xfId="9228" xr:uid="{00000000-0005-0000-0000-0000946C0000}"/>
    <cellStyle name="Comma 15 2 3 4 3 2" xfId="23762" xr:uid="{00000000-0005-0000-0000-0000956C0000}"/>
    <cellStyle name="Comma 15 2 3 4 3 2 2" xfId="52768" xr:uid="{00000000-0005-0000-0000-0000966C0000}"/>
    <cellStyle name="Comma 15 2 3 4 3 3" xfId="38269" xr:uid="{00000000-0005-0000-0000-0000976C0000}"/>
    <cellStyle name="Comma 15 2 3 4 4" xfId="16514" xr:uid="{00000000-0005-0000-0000-0000986C0000}"/>
    <cellStyle name="Comma 15 2 3 4 4 2" xfId="45520" xr:uid="{00000000-0005-0000-0000-0000996C0000}"/>
    <cellStyle name="Comma 15 2 3 4 5" xfId="31021" xr:uid="{00000000-0005-0000-0000-00009A6C0000}"/>
    <cellStyle name="Comma 15 2 3 5" xfId="2988" xr:uid="{00000000-0005-0000-0000-00009B6C0000}"/>
    <cellStyle name="Comma 15 2 3 5 2" xfId="6092" xr:uid="{00000000-0005-0000-0000-00009C6C0000}"/>
    <cellStyle name="Comma 15 2 3 5 2 2" xfId="13364" xr:uid="{00000000-0005-0000-0000-00009D6C0000}"/>
    <cellStyle name="Comma 15 2 3 5 2 2 2" xfId="27898" xr:uid="{00000000-0005-0000-0000-00009E6C0000}"/>
    <cellStyle name="Comma 15 2 3 5 2 2 2 2" xfId="56904" xr:uid="{00000000-0005-0000-0000-00009F6C0000}"/>
    <cellStyle name="Comma 15 2 3 5 2 2 3" xfId="42405" xr:uid="{00000000-0005-0000-0000-0000A06C0000}"/>
    <cellStyle name="Comma 15 2 3 5 2 3" xfId="20650" xr:uid="{00000000-0005-0000-0000-0000A16C0000}"/>
    <cellStyle name="Comma 15 2 3 5 2 3 2" xfId="49656" xr:uid="{00000000-0005-0000-0000-0000A26C0000}"/>
    <cellStyle name="Comma 15 2 3 5 2 4" xfId="35157" xr:uid="{00000000-0005-0000-0000-0000A36C0000}"/>
    <cellStyle name="Comma 15 2 3 5 3" xfId="10260" xr:uid="{00000000-0005-0000-0000-0000A46C0000}"/>
    <cellStyle name="Comma 15 2 3 5 3 2" xfId="24794" xr:uid="{00000000-0005-0000-0000-0000A56C0000}"/>
    <cellStyle name="Comma 15 2 3 5 3 2 2" xfId="53800" xr:uid="{00000000-0005-0000-0000-0000A66C0000}"/>
    <cellStyle name="Comma 15 2 3 5 3 3" xfId="39301" xr:uid="{00000000-0005-0000-0000-0000A76C0000}"/>
    <cellStyle name="Comma 15 2 3 5 4" xfId="17546" xr:uid="{00000000-0005-0000-0000-0000A86C0000}"/>
    <cellStyle name="Comma 15 2 3 5 4 2" xfId="46552" xr:uid="{00000000-0005-0000-0000-0000A96C0000}"/>
    <cellStyle name="Comma 15 2 3 5 5" xfId="32053" xr:uid="{00000000-0005-0000-0000-0000AA6C0000}"/>
    <cellStyle name="Comma 15 2 3 6" xfId="4020" xr:uid="{00000000-0005-0000-0000-0000AB6C0000}"/>
    <cellStyle name="Comma 15 2 3 6 2" xfId="11292" xr:uid="{00000000-0005-0000-0000-0000AC6C0000}"/>
    <cellStyle name="Comma 15 2 3 6 2 2" xfId="25826" xr:uid="{00000000-0005-0000-0000-0000AD6C0000}"/>
    <cellStyle name="Comma 15 2 3 6 2 2 2" xfId="54832" xr:uid="{00000000-0005-0000-0000-0000AE6C0000}"/>
    <cellStyle name="Comma 15 2 3 6 2 3" xfId="40333" xr:uid="{00000000-0005-0000-0000-0000AF6C0000}"/>
    <cellStyle name="Comma 15 2 3 6 3" xfId="18578" xr:uid="{00000000-0005-0000-0000-0000B06C0000}"/>
    <cellStyle name="Comma 15 2 3 6 3 2" xfId="47584" xr:uid="{00000000-0005-0000-0000-0000B16C0000}"/>
    <cellStyle name="Comma 15 2 3 6 4" xfId="33085" xr:uid="{00000000-0005-0000-0000-0000B26C0000}"/>
    <cellStyle name="Comma 15 2 3 7" xfId="7124" xr:uid="{00000000-0005-0000-0000-0000B36C0000}"/>
    <cellStyle name="Comma 15 2 3 7 2" xfId="14396" xr:uid="{00000000-0005-0000-0000-0000B46C0000}"/>
    <cellStyle name="Comma 15 2 3 7 2 2" xfId="28930" xr:uid="{00000000-0005-0000-0000-0000B56C0000}"/>
    <cellStyle name="Comma 15 2 3 7 2 2 2" xfId="57936" xr:uid="{00000000-0005-0000-0000-0000B66C0000}"/>
    <cellStyle name="Comma 15 2 3 7 2 3" xfId="43437" xr:uid="{00000000-0005-0000-0000-0000B76C0000}"/>
    <cellStyle name="Comma 15 2 3 7 3" xfId="21682" xr:uid="{00000000-0005-0000-0000-0000B86C0000}"/>
    <cellStyle name="Comma 15 2 3 7 3 2" xfId="50688" xr:uid="{00000000-0005-0000-0000-0000B96C0000}"/>
    <cellStyle name="Comma 15 2 3 7 4" xfId="36189" xr:uid="{00000000-0005-0000-0000-0000BA6C0000}"/>
    <cellStyle name="Comma 15 2 3 8" xfId="8188" xr:uid="{00000000-0005-0000-0000-0000BB6C0000}"/>
    <cellStyle name="Comma 15 2 3 8 2" xfId="22722" xr:uid="{00000000-0005-0000-0000-0000BC6C0000}"/>
    <cellStyle name="Comma 15 2 3 8 2 2" xfId="51728" xr:uid="{00000000-0005-0000-0000-0000BD6C0000}"/>
    <cellStyle name="Comma 15 2 3 8 3" xfId="37229" xr:uid="{00000000-0005-0000-0000-0000BE6C0000}"/>
    <cellStyle name="Comma 15 2 3 9" xfId="15474" xr:uid="{00000000-0005-0000-0000-0000BF6C0000}"/>
    <cellStyle name="Comma 15 2 3 9 2" xfId="44480" xr:uid="{00000000-0005-0000-0000-0000C06C0000}"/>
    <cellStyle name="Comma 15 2 4" xfId="1114" xr:uid="{00000000-0005-0000-0000-0000C16C0000}"/>
    <cellStyle name="Comma 15 2 4 2" xfId="1612" xr:uid="{00000000-0005-0000-0000-0000C26C0000}"/>
    <cellStyle name="Comma 15 2 4 2 2" xfId="2671" xr:uid="{00000000-0005-0000-0000-0000C36C0000}"/>
    <cellStyle name="Comma 15 2 4 2 2 2" xfId="5775" xr:uid="{00000000-0005-0000-0000-0000C46C0000}"/>
    <cellStyle name="Comma 15 2 4 2 2 2 2" xfId="13047" xr:uid="{00000000-0005-0000-0000-0000C56C0000}"/>
    <cellStyle name="Comma 15 2 4 2 2 2 2 2" xfId="27581" xr:uid="{00000000-0005-0000-0000-0000C66C0000}"/>
    <cellStyle name="Comma 15 2 4 2 2 2 2 2 2" xfId="56587" xr:uid="{00000000-0005-0000-0000-0000C76C0000}"/>
    <cellStyle name="Comma 15 2 4 2 2 2 2 3" xfId="42088" xr:uid="{00000000-0005-0000-0000-0000C86C0000}"/>
    <cellStyle name="Comma 15 2 4 2 2 2 3" xfId="20333" xr:uid="{00000000-0005-0000-0000-0000C96C0000}"/>
    <cellStyle name="Comma 15 2 4 2 2 2 3 2" xfId="49339" xr:uid="{00000000-0005-0000-0000-0000CA6C0000}"/>
    <cellStyle name="Comma 15 2 4 2 2 2 4" xfId="34840" xr:uid="{00000000-0005-0000-0000-0000CB6C0000}"/>
    <cellStyle name="Comma 15 2 4 2 2 3" xfId="9943" xr:uid="{00000000-0005-0000-0000-0000CC6C0000}"/>
    <cellStyle name="Comma 15 2 4 2 2 3 2" xfId="24477" xr:uid="{00000000-0005-0000-0000-0000CD6C0000}"/>
    <cellStyle name="Comma 15 2 4 2 2 3 2 2" xfId="53483" xr:uid="{00000000-0005-0000-0000-0000CE6C0000}"/>
    <cellStyle name="Comma 15 2 4 2 2 3 3" xfId="38984" xr:uid="{00000000-0005-0000-0000-0000CF6C0000}"/>
    <cellStyle name="Comma 15 2 4 2 2 4" xfId="17229" xr:uid="{00000000-0005-0000-0000-0000D06C0000}"/>
    <cellStyle name="Comma 15 2 4 2 2 4 2" xfId="46235" xr:uid="{00000000-0005-0000-0000-0000D16C0000}"/>
    <cellStyle name="Comma 15 2 4 2 2 5" xfId="31736" xr:uid="{00000000-0005-0000-0000-0000D26C0000}"/>
    <cellStyle name="Comma 15 2 4 2 3" xfId="3703" xr:uid="{00000000-0005-0000-0000-0000D36C0000}"/>
    <cellStyle name="Comma 15 2 4 2 3 2" xfId="6807" xr:uid="{00000000-0005-0000-0000-0000D46C0000}"/>
    <cellStyle name="Comma 15 2 4 2 3 2 2" xfId="14079" xr:uid="{00000000-0005-0000-0000-0000D56C0000}"/>
    <cellStyle name="Comma 15 2 4 2 3 2 2 2" xfId="28613" xr:uid="{00000000-0005-0000-0000-0000D66C0000}"/>
    <cellStyle name="Comma 15 2 4 2 3 2 2 2 2" xfId="57619" xr:uid="{00000000-0005-0000-0000-0000D76C0000}"/>
    <cellStyle name="Comma 15 2 4 2 3 2 2 3" xfId="43120" xr:uid="{00000000-0005-0000-0000-0000D86C0000}"/>
    <cellStyle name="Comma 15 2 4 2 3 2 3" xfId="21365" xr:uid="{00000000-0005-0000-0000-0000D96C0000}"/>
    <cellStyle name="Comma 15 2 4 2 3 2 3 2" xfId="50371" xr:uid="{00000000-0005-0000-0000-0000DA6C0000}"/>
    <cellStyle name="Comma 15 2 4 2 3 2 4" xfId="35872" xr:uid="{00000000-0005-0000-0000-0000DB6C0000}"/>
    <cellStyle name="Comma 15 2 4 2 3 3" xfId="10975" xr:uid="{00000000-0005-0000-0000-0000DC6C0000}"/>
    <cellStyle name="Comma 15 2 4 2 3 3 2" xfId="25509" xr:uid="{00000000-0005-0000-0000-0000DD6C0000}"/>
    <cellStyle name="Comma 15 2 4 2 3 3 2 2" xfId="54515" xr:uid="{00000000-0005-0000-0000-0000DE6C0000}"/>
    <cellStyle name="Comma 15 2 4 2 3 3 3" xfId="40016" xr:uid="{00000000-0005-0000-0000-0000DF6C0000}"/>
    <cellStyle name="Comma 15 2 4 2 3 4" xfId="18261" xr:uid="{00000000-0005-0000-0000-0000E06C0000}"/>
    <cellStyle name="Comma 15 2 4 2 3 4 2" xfId="47267" xr:uid="{00000000-0005-0000-0000-0000E16C0000}"/>
    <cellStyle name="Comma 15 2 4 2 3 5" xfId="32768" xr:uid="{00000000-0005-0000-0000-0000E26C0000}"/>
    <cellStyle name="Comma 15 2 4 2 4" xfId="4735" xr:uid="{00000000-0005-0000-0000-0000E36C0000}"/>
    <cellStyle name="Comma 15 2 4 2 4 2" xfId="12007" xr:uid="{00000000-0005-0000-0000-0000E46C0000}"/>
    <cellStyle name="Comma 15 2 4 2 4 2 2" xfId="26541" xr:uid="{00000000-0005-0000-0000-0000E56C0000}"/>
    <cellStyle name="Comma 15 2 4 2 4 2 2 2" xfId="55547" xr:uid="{00000000-0005-0000-0000-0000E66C0000}"/>
    <cellStyle name="Comma 15 2 4 2 4 2 3" xfId="41048" xr:uid="{00000000-0005-0000-0000-0000E76C0000}"/>
    <cellStyle name="Comma 15 2 4 2 4 3" xfId="19293" xr:uid="{00000000-0005-0000-0000-0000E86C0000}"/>
    <cellStyle name="Comma 15 2 4 2 4 3 2" xfId="48299" xr:uid="{00000000-0005-0000-0000-0000E96C0000}"/>
    <cellStyle name="Comma 15 2 4 2 4 4" xfId="33800" xr:uid="{00000000-0005-0000-0000-0000EA6C0000}"/>
    <cellStyle name="Comma 15 2 4 2 5" xfId="7839" xr:uid="{00000000-0005-0000-0000-0000EB6C0000}"/>
    <cellStyle name="Comma 15 2 4 2 5 2" xfId="15111" xr:uid="{00000000-0005-0000-0000-0000EC6C0000}"/>
    <cellStyle name="Comma 15 2 4 2 5 2 2" xfId="29645" xr:uid="{00000000-0005-0000-0000-0000ED6C0000}"/>
    <cellStyle name="Comma 15 2 4 2 5 2 2 2" xfId="58651" xr:uid="{00000000-0005-0000-0000-0000EE6C0000}"/>
    <cellStyle name="Comma 15 2 4 2 5 2 3" xfId="44152" xr:uid="{00000000-0005-0000-0000-0000EF6C0000}"/>
    <cellStyle name="Comma 15 2 4 2 5 3" xfId="22397" xr:uid="{00000000-0005-0000-0000-0000F06C0000}"/>
    <cellStyle name="Comma 15 2 4 2 5 3 2" xfId="51403" xr:uid="{00000000-0005-0000-0000-0000F16C0000}"/>
    <cellStyle name="Comma 15 2 4 2 5 4" xfId="36904" xr:uid="{00000000-0005-0000-0000-0000F26C0000}"/>
    <cellStyle name="Comma 15 2 4 2 6" xfId="8903" xr:uid="{00000000-0005-0000-0000-0000F36C0000}"/>
    <cellStyle name="Comma 15 2 4 2 6 2" xfId="23437" xr:uid="{00000000-0005-0000-0000-0000F46C0000}"/>
    <cellStyle name="Comma 15 2 4 2 6 2 2" xfId="52443" xr:uid="{00000000-0005-0000-0000-0000F56C0000}"/>
    <cellStyle name="Comma 15 2 4 2 6 3" xfId="37944" xr:uid="{00000000-0005-0000-0000-0000F66C0000}"/>
    <cellStyle name="Comma 15 2 4 2 7" xfId="16189" xr:uid="{00000000-0005-0000-0000-0000F76C0000}"/>
    <cellStyle name="Comma 15 2 4 2 7 2" xfId="45195" xr:uid="{00000000-0005-0000-0000-0000F86C0000}"/>
    <cellStyle name="Comma 15 2 4 2 8" xfId="30696" xr:uid="{00000000-0005-0000-0000-0000F96C0000}"/>
    <cellStyle name="Comma 15 2 4 3" xfId="2159" xr:uid="{00000000-0005-0000-0000-0000FA6C0000}"/>
    <cellStyle name="Comma 15 2 4 3 2" xfId="5263" xr:uid="{00000000-0005-0000-0000-0000FB6C0000}"/>
    <cellStyle name="Comma 15 2 4 3 2 2" xfId="12535" xr:uid="{00000000-0005-0000-0000-0000FC6C0000}"/>
    <cellStyle name="Comma 15 2 4 3 2 2 2" xfId="27069" xr:uid="{00000000-0005-0000-0000-0000FD6C0000}"/>
    <cellStyle name="Comma 15 2 4 3 2 2 2 2" xfId="56075" xr:uid="{00000000-0005-0000-0000-0000FE6C0000}"/>
    <cellStyle name="Comma 15 2 4 3 2 2 3" xfId="41576" xr:uid="{00000000-0005-0000-0000-0000FF6C0000}"/>
    <cellStyle name="Comma 15 2 4 3 2 3" xfId="19821" xr:uid="{00000000-0005-0000-0000-0000006D0000}"/>
    <cellStyle name="Comma 15 2 4 3 2 3 2" xfId="48827" xr:uid="{00000000-0005-0000-0000-0000016D0000}"/>
    <cellStyle name="Comma 15 2 4 3 2 4" xfId="34328" xr:uid="{00000000-0005-0000-0000-0000026D0000}"/>
    <cellStyle name="Comma 15 2 4 3 3" xfId="9431" xr:uid="{00000000-0005-0000-0000-0000036D0000}"/>
    <cellStyle name="Comma 15 2 4 3 3 2" xfId="23965" xr:uid="{00000000-0005-0000-0000-0000046D0000}"/>
    <cellStyle name="Comma 15 2 4 3 3 2 2" xfId="52971" xr:uid="{00000000-0005-0000-0000-0000056D0000}"/>
    <cellStyle name="Comma 15 2 4 3 3 3" xfId="38472" xr:uid="{00000000-0005-0000-0000-0000066D0000}"/>
    <cellStyle name="Comma 15 2 4 3 4" xfId="16717" xr:uid="{00000000-0005-0000-0000-0000076D0000}"/>
    <cellStyle name="Comma 15 2 4 3 4 2" xfId="45723" xr:uid="{00000000-0005-0000-0000-0000086D0000}"/>
    <cellStyle name="Comma 15 2 4 3 5" xfId="31224" xr:uid="{00000000-0005-0000-0000-0000096D0000}"/>
    <cellStyle name="Comma 15 2 4 4" xfId="3191" xr:uid="{00000000-0005-0000-0000-00000A6D0000}"/>
    <cellStyle name="Comma 15 2 4 4 2" xfId="6295" xr:uid="{00000000-0005-0000-0000-00000B6D0000}"/>
    <cellStyle name="Comma 15 2 4 4 2 2" xfId="13567" xr:uid="{00000000-0005-0000-0000-00000C6D0000}"/>
    <cellStyle name="Comma 15 2 4 4 2 2 2" xfId="28101" xr:uid="{00000000-0005-0000-0000-00000D6D0000}"/>
    <cellStyle name="Comma 15 2 4 4 2 2 2 2" xfId="57107" xr:uid="{00000000-0005-0000-0000-00000E6D0000}"/>
    <cellStyle name="Comma 15 2 4 4 2 2 3" xfId="42608" xr:uid="{00000000-0005-0000-0000-00000F6D0000}"/>
    <cellStyle name="Comma 15 2 4 4 2 3" xfId="20853" xr:uid="{00000000-0005-0000-0000-0000106D0000}"/>
    <cellStyle name="Comma 15 2 4 4 2 3 2" xfId="49859" xr:uid="{00000000-0005-0000-0000-0000116D0000}"/>
    <cellStyle name="Comma 15 2 4 4 2 4" xfId="35360" xr:uid="{00000000-0005-0000-0000-0000126D0000}"/>
    <cellStyle name="Comma 15 2 4 4 3" xfId="10463" xr:uid="{00000000-0005-0000-0000-0000136D0000}"/>
    <cellStyle name="Comma 15 2 4 4 3 2" xfId="24997" xr:uid="{00000000-0005-0000-0000-0000146D0000}"/>
    <cellStyle name="Comma 15 2 4 4 3 2 2" xfId="54003" xr:uid="{00000000-0005-0000-0000-0000156D0000}"/>
    <cellStyle name="Comma 15 2 4 4 3 3" xfId="39504" xr:uid="{00000000-0005-0000-0000-0000166D0000}"/>
    <cellStyle name="Comma 15 2 4 4 4" xfId="17749" xr:uid="{00000000-0005-0000-0000-0000176D0000}"/>
    <cellStyle name="Comma 15 2 4 4 4 2" xfId="46755" xr:uid="{00000000-0005-0000-0000-0000186D0000}"/>
    <cellStyle name="Comma 15 2 4 4 5" xfId="32256" xr:uid="{00000000-0005-0000-0000-0000196D0000}"/>
    <cellStyle name="Comma 15 2 4 5" xfId="4223" xr:uid="{00000000-0005-0000-0000-00001A6D0000}"/>
    <cellStyle name="Comma 15 2 4 5 2" xfId="11495" xr:uid="{00000000-0005-0000-0000-00001B6D0000}"/>
    <cellStyle name="Comma 15 2 4 5 2 2" xfId="26029" xr:uid="{00000000-0005-0000-0000-00001C6D0000}"/>
    <cellStyle name="Comma 15 2 4 5 2 2 2" xfId="55035" xr:uid="{00000000-0005-0000-0000-00001D6D0000}"/>
    <cellStyle name="Comma 15 2 4 5 2 3" xfId="40536" xr:uid="{00000000-0005-0000-0000-00001E6D0000}"/>
    <cellStyle name="Comma 15 2 4 5 3" xfId="18781" xr:uid="{00000000-0005-0000-0000-00001F6D0000}"/>
    <cellStyle name="Comma 15 2 4 5 3 2" xfId="47787" xr:uid="{00000000-0005-0000-0000-0000206D0000}"/>
    <cellStyle name="Comma 15 2 4 5 4" xfId="33288" xr:uid="{00000000-0005-0000-0000-0000216D0000}"/>
    <cellStyle name="Comma 15 2 4 6" xfId="7327" xr:uid="{00000000-0005-0000-0000-0000226D0000}"/>
    <cellStyle name="Comma 15 2 4 6 2" xfId="14599" xr:uid="{00000000-0005-0000-0000-0000236D0000}"/>
    <cellStyle name="Comma 15 2 4 6 2 2" xfId="29133" xr:uid="{00000000-0005-0000-0000-0000246D0000}"/>
    <cellStyle name="Comma 15 2 4 6 2 2 2" xfId="58139" xr:uid="{00000000-0005-0000-0000-0000256D0000}"/>
    <cellStyle name="Comma 15 2 4 6 2 3" xfId="43640" xr:uid="{00000000-0005-0000-0000-0000266D0000}"/>
    <cellStyle name="Comma 15 2 4 6 3" xfId="21885" xr:uid="{00000000-0005-0000-0000-0000276D0000}"/>
    <cellStyle name="Comma 15 2 4 6 3 2" xfId="50891" xr:uid="{00000000-0005-0000-0000-0000286D0000}"/>
    <cellStyle name="Comma 15 2 4 6 4" xfId="36392" xr:uid="{00000000-0005-0000-0000-0000296D0000}"/>
    <cellStyle name="Comma 15 2 4 7" xfId="8391" xr:uid="{00000000-0005-0000-0000-00002A6D0000}"/>
    <cellStyle name="Comma 15 2 4 7 2" xfId="22925" xr:uid="{00000000-0005-0000-0000-00002B6D0000}"/>
    <cellStyle name="Comma 15 2 4 7 2 2" xfId="51931" xr:uid="{00000000-0005-0000-0000-00002C6D0000}"/>
    <cellStyle name="Comma 15 2 4 7 3" xfId="37432" xr:uid="{00000000-0005-0000-0000-00002D6D0000}"/>
    <cellStyle name="Comma 15 2 4 8" xfId="15677" xr:uid="{00000000-0005-0000-0000-00002E6D0000}"/>
    <cellStyle name="Comma 15 2 4 8 2" xfId="44683" xr:uid="{00000000-0005-0000-0000-00002F6D0000}"/>
    <cellStyle name="Comma 15 2 4 9" xfId="30184" xr:uid="{00000000-0005-0000-0000-0000306D0000}"/>
    <cellStyle name="Comma 15 2 5" xfId="1024" xr:uid="{00000000-0005-0000-0000-0000316D0000}"/>
    <cellStyle name="Comma 15 2 5 2" xfId="1513" xr:uid="{00000000-0005-0000-0000-0000326D0000}"/>
    <cellStyle name="Comma 15 2 5 2 2" xfId="2571" xr:uid="{00000000-0005-0000-0000-0000336D0000}"/>
    <cellStyle name="Comma 15 2 5 2 2 2" xfId="5675" xr:uid="{00000000-0005-0000-0000-0000346D0000}"/>
    <cellStyle name="Comma 15 2 5 2 2 2 2" xfId="12947" xr:uid="{00000000-0005-0000-0000-0000356D0000}"/>
    <cellStyle name="Comma 15 2 5 2 2 2 2 2" xfId="27481" xr:uid="{00000000-0005-0000-0000-0000366D0000}"/>
    <cellStyle name="Comma 15 2 5 2 2 2 2 2 2" xfId="56487" xr:uid="{00000000-0005-0000-0000-0000376D0000}"/>
    <cellStyle name="Comma 15 2 5 2 2 2 2 3" xfId="41988" xr:uid="{00000000-0005-0000-0000-0000386D0000}"/>
    <cellStyle name="Comma 15 2 5 2 2 2 3" xfId="20233" xr:uid="{00000000-0005-0000-0000-0000396D0000}"/>
    <cellStyle name="Comma 15 2 5 2 2 2 3 2" xfId="49239" xr:uid="{00000000-0005-0000-0000-00003A6D0000}"/>
    <cellStyle name="Comma 15 2 5 2 2 2 4" xfId="34740" xr:uid="{00000000-0005-0000-0000-00003B6D0000}"/>
    <cellStyle name="Comma 15 2 5 2 2 3" xfId="9843" xr:uid="{00000000-0005-0000-0000-00003C6D0000}"/>
    <cellStyle name="Comma 15 2 5 2 2 3 2" xfId="24377" xr:uid="{00000000-0005-0000-0000-00003D6D0000}"/>
    <cellStyle name="Comma 15 2 5 2 2 3 2 2" xfId="53383" xr:uid="{00000000-0005-0000-0000-00003E6D0000}"/>
    <cellStyle name="Comma 15 2 5 2 2 3 3" xfId="38884" xr:uid="{00000000-0005-0000-0000-00003F6D0000}"/>
    <cellStyle name="Comma 15 2 5 2 2 4" xfId="17129" xr:uid="{00000000-0005-0000-0000-0000406D0000}"/>
    <cellStyle name="Comma 15 2 5 2 2 4 2" xfId="46135" xr:uid="{00000000-0005-0000-0000-0000416D0000}"/>
    <cellStyle name="Comma 15 2 5 2 2 5" xfId="31636" xr:uid="{00000000-0005-0000-0000-0000426D0000}"/>
    <cellStyle name="Comma 15 2 5 2 3" xfId="3603" xr:uid="{00000000-0005-0000-0000-0000436D0000}"/>
    <cellStyle name="Comma 15 2 5 2 3 2" xfId="6707" xr:uid="{00000000-0005-0000-0000-0000446D0000}"/>
    <cellStyle name="Comma 15 2 5 2 3 2 2" xfId="13979" xr:uid="{00000000-0005-0000-0000-0000456D0000}"/>
    <cellStyle name="Comma 15 2 5 2 3 2 2 2" xfId="28513" xr:uid="{00000000-0005-0000-0000-0000466D0000}"/>
    <cellStyle name="Comma 15 2 5 2 3 2 2 2 2" xfId="57519" xr:uid="{00000000-0005-0000-0000-0000476D0000}"/>
    <cellStyle name="Comma 15 2 5 2 3 2 2 3" xfId="43020" xr:uid="{00000000-0005-0000-0000-0000486D0000}"/>
    <cellStyle name="Comma 15 2 5 2 3 2 3" xfId="21265" xr:uid="{00000000-0005-0000-0000-0000496D0000}"/>
    <cellStyle name="Comma 15 2 5 2 3 2 3 2" xfId="50271" xr:uid="{00000000-0005-0000-0000-00004A6D0000}"/>
    <cellStyle name="Comma 15 2 5 2 3 2 4" xfId="35772" xr:uid="{00000000-0005-0000-0000-00004B6D0000}"/>
    <cellStyle name="Comma 15 2 5 2 3 3" xfId="10875" xr:uid="{00000000-0005-0000-0000-00004C6D0000}"/>
    <cellStyle name="Comma 15 2 5 2 3 3 2" xfId="25409" xr:uid="{00000000-0005-0000-0000-00004D6D0000}"/>
    <cellStyle name="Comma 15 2 5 2 3 3 2 2" xfId="54415" xr:uid="{00000000-0005-0000-0000-00004E6D0000}"/>
    <cellStyle name="Comma 15 2 5 2 3 3 3" xfId="39916" xr:uid="{00000000-0005-0000-0000-00004F6D0000}"/>
    <cellStyle name="Comma 15 2 5 2 3 4" xfId="18161" xr:uid="{00000000-0005-0000-0000-0000506D0000}"/>
    <cellStyle name="Comma 15 2 5 2 3 4 2" xfId="47167" xr:uid="{00000000-0005-0000-0000-0000516D0000}"/>
    <cellStyle name="Comma 15 2 5 2 3 5" xfId="32668" xr:uid="{00000000-0005-0000-0000-0000526D0000}"/>
    <cellStyle name="Comma 15 2 5 2 4" xfId="4635" xr:uid="{00000000-0005-0000-0000-0000536D0000}"/>
    <cellStyle name="Comma 15 2 5 2 4 2" xfId="11907" xr:uid="{00000000-0005-0000-0000-0000546D0000}"/>
    <cellStyle name="Comma 15 2 5 2 4 2 2" xfId="26441" xr:uid="{00000000-0005-0000-0000-0000556D0000}"/>
    <cellStyle name="Comma 15 2 5 2 4 2 2 2" xfId="55447" xr:uid="{00000000-0005-0000-0000-0000566D0000}"/>
    <cellStyle name="Comma 15 2 5 2 4 2 3" xfId="40948" xr:uid="{00000000-0005-0000-0000-0000576D0000}"/>
    <cellStyle name="Comma 15 2 5 2 4 3" xfId="19193" xr:uid="{00000000-0005-0000-0000-0000586D0000}"/>
    <cellStyle name="Comma 15 2 5 2 4 3 2" xfId="48199" xr:uid="{00000000-0005-0000-0000-0000596D0000}"/>
    <cellStyle name="Comma 15 2 5 2 4 4" xfId="33700" xr:uid="{00000000-0005-0000-0000-00005A6D0000}"/>
    <cellStyle name="Comma 15 2 5 2 5" xfId="7739" xr:uid="{00000000-0005-0000-0000-00005B6D0000}"/>
    <cellStyle name="Comma 15 2 5 2 5 2" xfId="15011" xr:uid="{00000000-0005-0000-0000-00005C6D0000}"/>
    <cellStyle name="Comma 15 2 5 2 5 2 2" xfId="29545" xr:uid="{00000000-0005-0000-0000-00005D6D0000}"/>
    <cellStyle name="Comma 15 2 5 2 5 2 2 2" xfId="58551" xr:uid="{00000000-0005-0000-0000-00005E6D0000}"/>
    <cellStyle name="Comma 15 2 5 2 5 2 3" xfId="44052" xr:uid="{00000000-0005-0000-0000-00005F6D0000}"/>
    <cellStyle name="Comma 15 2 5 2 5 3" xfId="22297" xr:uid="{00000000-0005-0000-0000-0000606D0000}"/>
    <cellStyle name="Comma 15 2 5 2 5 3 2" xfId="51303" xr:uid="{00000000-0005-0000-0000-0000616D0000}"/>
    <cellStyle name="Comma 15 2 5 2 5 4" xfId="36804" xr:uid="{00000000-0005-0000-0000-0000626D0000}"/>
    <cellStyle name="Comma 15 2 5 2 6" xfId="8803" xr:uid="{00000000-0005-0000-0000-0000636D0000}"/>
    <cellStyle name="Comma 15 2 5 2 6 2" xfId="23337" xr:uid="{00000000-0005-0000-0000-0000646D0000}"/>
    <cellStyle name="Comma 15 2 5 2 6 2 2" xfId="52343" xr:uid="{00000000-0005-0000-0000-0000656D0000}"/>
    <cellStyle name="Comma 15 2 5 2 6 3" xfId="37844" xr:uid="{00000000-0005-0000-0000-0000666D0000}"/>
    <cellStyle name="Comma 15 2 5 2 7" xfId="16089" xr:uid="{00000000-0005-0000-0000-0000676D0000}"/>
    <cellStyle name="Comma 15 2 5 2 7 2" xfId="45095" xr:uid="{00000000-0005-0000-0000-0000686D0000}"/>
    <cellStyle name="Comma 15 2 5 2 8" xfId="30596" xr:uid="{00000000-0005-0000-0000-0000696D0000}"/>
    <cellStyle name="Comma 15 2 5 3" xfId="2059" xr:uid="{00000000-0005-0000-0000-00006A6D0000}"/>
    <cellStyle name="Comma 15 2 5 3 2" xfId="5163" xr:uid="{00000000-0005-0000-0000-00006B6D0000}"/>
    <cellStyle name="Comma 15 2 5 3 2 2" xfId="12435" xr:uid="{00000000-0005-0000-0000-00006C6D0000}"/>
    <cellStyle name="Comma 15 2 5 3 2 2 2" xfId="26969" xr:uid="{00000000-0005-0000-0000-00006D6D0000}"/>
    <cellStyle name="Comma 15 2 5 3 2 2 2 2" xfId="55975" xr:uid="{00000000-0005-0000-0000-00006E6D0000}"/>
    <cellStyle name="Comma 15 2 5 3 2 2 3" xfId="41476" xr:uid="{00000000-0005-0000-0000-00006F6D0000}"/>
    <cellStyle name="Comma 15 2 5 3 2 3" xfId="19721" xr:uid="{00000000-0005-0000-0000-0000706D0000}"/>
    <cellStyle name="Comma 15 2 5 3 2 3 2" xfId="48727" xr:uid="{00000000-0005-0000-0000-0000716D0000}"/>
    <cellStyle name="Comma 15 2 5 3 2 4" xfId="34228" xr:uid="{00000000-0005-0000-0000-0000726D0000}"/>
    <cellStyle name="Comma 15 2 5 3 3" xfId="9331" xr:uid="{00000000-0005-0000-0000-0000736D0000}"/>
    <cellStyle name="Comma 15 2 5 3 3 2" xfId="23865" xr:uid="{00000000-0005-0000-0000-0000746D0000}"/>
    <cellStyle name="Comma 15 2 5 3 3 2 2" xfId="52871" xr:uid="{00000000-0005-0000-0000-0000756D0000}"/>
    <cellStyle name="Comma 15 2 5 3 3 3" xfId="38372" xr:uid="{00000000-0005-0000-0000-0000766D0000}"/>
    <cellStyle name="Comma 15 2 5 3 4" xfId="16617" xr:uid="{00000000-0005-0000-0000-0000776D0000}"/>
    <cellStyle name="Comma 15 2 5 3 4 2" xfId="45623" xr:uid="{00000000-0005-0000-0000-0000786D0000}"/>
    <cellStyle name="Comma 15 2 5 3 5" xfId="31124" xr:uid="{00000000-0005-0000-0000-0000796D0000}"/>
    <cellStyle name="Comma 15 2 5 4" xfId="3091" xr:uid="{00000000-0005-0000-0000-00007A6D0000}"/>
    <cellStyle name="Comma 15 2 5 4 2" xfId="6195" xr:uid="{00000000-0005-0000-0000-00007B6D0000}"/>
    <cellStyle name="Comma 15 2 5 4 2 2" xfId="13467" xr:uid="{00000000-0005-0000-0000-00007C6D0000}"/>
    <cellStyle name="Comma 15 2 5 4 2 2 2" xfId="28001" xr:uid="{00000000-0005-0000-0000-00007D6D0000}"/>
    <cellStyle name="Comma 15 2 5 4 2 2 2 2" xfId="57007" xr:uid="{00000000-0005-0000-0000-00007E6D0000}"/>
    <cellStyle name="Comma 15 2 5 4 2 2 3" xfId="42508" xr:uid="{00000000-0005-0000-0000-00007F6D0000}"/>
    <cellStyle name="Comma 15 2 5 4 2 3" xfId="20753" xr:uid="{00000000-0005-0000-0000-0000806D0000}"/>
    <cellStyle name="Comma 15 2 5 4 2 3 2" xfId="49759" xr:uid="{00000000-0005-0000-0000-0000816D0000}"/>
    <cellStyle name="Comma 15 2 5 4 2 4" xfId="35260" xr:uid="{00000000-0005-0000-0000-0000826D0000}"/>
    <cellStyle name="Comma 15 2 5 4 3" xfId="10363" xr:uid="{00000000-0005-0000-0000-0000836D0000}"/>
    <cellStyle name="Comma 15 2 5 4 3 2" xfId="24897" xr:uid="{00000000-0005-0000-0000-0000846D0000}"/>
    <cellStyle name="Comma 15 2 5 4 3 2 2" xfId="53903" xr:uid="{00000000-0005-0000-0000-0000856D0000}"/>
    <cellStyle name="Comma 15 2 5 4 3 3" xfId="39404" xr:uid="{00000000-0005-0000-0000-0000866D0000}"/>
    <cellStyle name="Comma 15 2 5 4 4" xfId="17649" xr:uid="{00000000-0005-0000-0000-0000876D0000}"/>
    <cellStyle name="Comma 15 2 5 4 4 2" xfId="46655" xr:uid="{00000000-0005-0000-0000-0000886D0000}"/>
    <cellStyle name="Comma 15 2 5 4 5" xfId="32156" xr:uid="{00000000-0005-0000-0000-0000896D0000}"/>
    <cellStyle name="Comma 15 2 5 5" xfId="4123" xr:uid="{00000000-0005-0000-0000-00008A6D0000}"/>
    <cellStyle name="Comma 15 2 5 5 2" xfId="11395" xr:uid="{00000000-0005-0000-0000-00008B6D0000}"/>
    <cellStyle name="Comma 15 2 5 5 2 2" xfId="25929" xr:uid="{00000000-0005-0000-0000-00008C6D0000}"/>
    <cellStyle name="Comma 15 2 5 5 2 2 2" xfId="54935" xr:uid="{00000000-0005-0000-0000-00008D6D0000}"/>
    <cellStyle name="Comma 15 2 5 5 2 3" xfId="40436" xr:uid="{00000000-0005-0000-0000-00008E6D0000}"/>
    <cellStyle name="Comma 15 2 5 5 3" xfId="18681" xr:uid="{00000000-0005-0000-0000-00008F6D0000}"/>
    <cellStyle name="Comma 15 2 5 5 3 2" xfId="47687" xr:uid="{00000000-0005-0000-0000-0000906D0000}"/>
    <cellStyle name="Comma 15 2 5 5 4" xfId="33188" xr:uid="{00000000-0005-0000-0000-0000916D0000}"/>
    <cellStyle name="Comma 15 2 5 6" xfId="7227" xr:uid="{00000000-0005-0000-0000-0000926D0000}"/>
    <cellStyle name="Comma 15 2 5 6 2" xfId="14499" xr:uid="{00000000-0005-0000-0000-0000936D0000}"/>
    <cellStyle name="Comma 15 2 5 6 2 2" xfId="29033" xr:uid="{00000000-0005-0000-0000-0000946D0000}"/>
    <cellStyle name="Comma 15 2 5 6 2 2 2" xfId="58039" xr:uid="{00000000-0005-0000-0000-0000956D0000}"/>
    <cellStyle name="Comma 15 2 5 6 2 3" xfId="43540" xr:uid="{00000000-0005-0000-0000-0000966D0000}"/>
    <cellStyle name="Comma 15 2 5 6 3" xfId="21785" xr:uid="{00000000-0005-0000-0000-0000976D0000}"/>
    <cellStyle name="Comma 15 2 5 6 3 2" xfId="50791" xr:uid="{00000000-0005-0000-0000-0000986D0000}"/>
    <cellStyle name="Comma 15 2 5 6 4" xfId="36292" xr:uid="{00000000-0005-0000-0000-0000996D0000}"/>
    <cellStyle name="Comma 15 2 5 7" xfId="8291" xr:uid="{00000000-0005-0000-0000-00009A6D0000}"/>
    <cellStyle name="Comma 15 2 5 7 2" xfId="22825" xr:uid="{00000000-0005-0000-0000-00009B6D0000}"/>
    <cellStyle name="Comma 15 2 5 7 2 2" xfId="51831" xr:uid="{00000000-0005-0000-0000-00009C6D0000}"/>
    <cellStyle name="Comma 15 2 5 7 3" xfId="37332" xr:uid="{00000000-0005-0000-0000-00009D6D0000}"/>
    <cellStyle name="Comma 15 2 5 8" xfId="15577" xr:uid="{00000000-0005-0000-0000-00009E6D0000}"/>
    <cellStyle name="Comma 15 2 5 8 2" xfId="44583" xr:uid="{00000000-0005-0000-0000-00009F6D0000}"/>
    <cellStyle name="Comma 15 2 5 9" xfId="30084" xr:uid="{00000000-0005-0000-0000-0000A06D0000}"/>
    <cellStyle name="Comma 15 2 6" xfId="1308" xr:uid="{00000000-0005-0000-0000-0000A16D0000}"/>
    <cellStyle name="Comma 15 2 6 2" xfId="2365" xr:uid="{00000000-0005-0000-0000-0000A26D0000}"/>
    <cellStyle name="Comma 15 2 6 2 2" xfId="5469" xr:uid="{00000000-0005-0000-0000-0000A36D0000}"/>
    <cellStyle name="Comma 15 2 6 2 2 2" xfId="12741" xr:uid="{00000000-0005-0000-0000-0000A46D0000}"/>
    <cellStyle name="Comma 15 2 6 2 2 2 2" xfId="27275" xr:uid="{00000000-0005-0000-0000-0000A56D0000}"/>
    <cellStyle name="Comma 15 2 6 2 2 2 2 2" xfId="56281" xr:uid="{00000000-0005-0000-0000-0000A66D0000}"/>
    <cellStyle name="Comma 15 2 6 2 2 2 3" xfId="41782" xr:uid="{00000000-0005-0000-0000-0000A76D0000}"/>
    <cellStyle name="Comma 15 2 6 2 2 3" xfId="20027" xr:uid="{00000000-0005-0000-0000-0000A86D0000}"/>
    <cellStyle name="Comma 15 2 6 2 2 3 2" xfId="49033" xr:uid="{00000000-0005-0000-0000-0000A96D0000}"/>
    <cellStyle name="Comma 15 2 6 2 2 4" xfId="34534" xr:uid="{00000000-0005-0000-0000-0000AA6D0000}"/>
    <cellStyle name="Comma 15 2 6 2 3" xfId="9637" xr:uid="{00000000-0005-0000-0000-0000AB6D0000}"/>
    <cellStyle name="Comma 15 2 6 2 3 2" xfId="24171" xr:uid="{00000000-0005-0000-0000-0000AC6D0000}"/>
    <cellStyle name="Comma 15 2 6 2 3 2 2" xfId="53177" xr:uid="{00000000-0005-0000-0000-0000AD6D0000}"/>
    <cellStyle name="Comma 15 2 6 2 3 3" xfId="38678" xr:uid="{00000000-0005-0000-0000-0000AE6D0000}"/>
    <cellStyle name="Comma 15 2 6 2 4" xfId="16923" xr:uid="{00000000-0005-0000-0000-0000AF6D0000}"/>
    <cellStyle name="Comma 15 2 6 2 4 2" xfId="45929" xr:uid="{00000000-0005-0000-0000-0000B06D0000}"/>
    <cellStyle name="Comma 15 2 6 2 5" xfId="31430" xr:uid="{00000000-0005-0000-0000-0000B16D0000}"/>
    <cellStyle name="Comma 15 2 6 3" xfId="3397" xr:uid="{00000000-0005-0000-0000-0000B26D0000}"/>
    <cellStyle name="Comma 15 2 6 3 2" xfId="6501" xr:uid="{00000000-0005-0000-0000-0000B36D0000}"/>
    <cellStyle name="Comma 15 2 6 3 2 2" xfId="13773" xr:uid="{00000000-0005-0000-0000-0000B46D0000}"/>
    <cellStyle name="Comma 15 2 6 3 2 2 2" xfId="28307" xr:uid="{00000000-0005-0000-0000-0000B56D0000}"/>
    <cellStyle name="Comma 15 2 6 3 2 2 2 2" xfId="57313" xr:uid="{00000000-0005-0000-0000-0000B66D0000}"/>
    <cellStyle name="Comma 15 2 6 3 2 2 3" xfId="42814" xr:uid="{00000000-0005-0000-0000-0000B76D0000}"/>
    <cellStyle name="Comma 15 2 6 3 2 3" xfId="21059" xr:uid="{00000000-0005-0000-0000-0000B86D0000}"/>
    <cellStyle name="Comma 15 2 6 3 2 3 2" xfId="50065" xr:uid="{00000000-0005-0000-0000-0000B96D0000}"/>
    <cellStyle name="Comma 15 2 6 3 2 4" xfId="35566" xr:uid="{00000000-0005-0000-0000-0000BA6D0000}"/>
    <cellStyle name="Comma 15 2 6 3 3" xfId="10669" xr:uid="{00000000-0005-0000-0000-0000BB6D0000}"/>
    <cellStyle name="Comma 15 2 6 3 3 2" xfId="25203" xr:uid="{00000000-0005-0000-0000-0000BC6D0000}"/>
    <cellStyle name="Comma 15 2 6 3 3 2 2" xfId="54209" xr:uid="{00000000-0005-0000-0000-0000BD6D0000}"/>
    <cellStyle name="Comma 15 2 6 3 3 3" xfId="39710" xr:uid="{00000000-0005-0000-0000-0000BE6D0000}"/>
    <cellStyle name="Comma 15 2 6 3 4" xfId="17955" xr:uid="{00000000-0005-0000-0000-0000BF6D0000}"/>
    <cellStyle name="Comma 15 2 6 3 4 2" xfId="46961" xr:uid="{00000000-0005-0000-0000-0000C06D0000}"/>
    <cellStyle name="Comma 15 2 6 3 5" xfId="32462" xr:uid="{00000000-0005-0000-0000-0000C16D0000}"/>
    <cellStyle name="Comma 15 2 6 4" xfId="4429" xr:uid="{00000000-0005-0000-0000-0000C26D0000}"/>
    <cellStyle name="Comma 15 2 6 4 2" xfId="11701" xr:uid="{00000000-0005-0000-0000-0000C36D0000}"/>
    <cellStyle name="Comma 15 2 6 4 2 2" xfId="26235" xr:uid="{00000000-0005-0000-0000-0000C46D0000}"/>
    <cellStyle name="Comma 15 2 6 4 2 2 2" xfId="55241" xr:uid="{00000000-0005-0000-0000-0000C56D0000}"/>
    <cellStyle name="Comma 15 2 6 4 2 3" xfId="40742" xr:uid="{00000000-0005-0000-0000-0000C66D0000}"/>
    <cellStyle name="Comma 15 2 6 4 3" xfId="18987" xr:uid="{00000000-0005-0000-0000-0000C76D0000}"/>
    <cellStyle name="Comma 15 2 6 4 3 2" xfId="47993" xr:uid="{00000000-0005-0000-0000-0000C86D0000}"/>
    <cellStyle name="Comma 15 2 6 4 4" xfId="33494" xr:uid="{00000000-0005-0000-0000-0000C96D0000}"/>
    <cellStyle name="Comma 15 2 6 5" xfId="7533" xr:uid="{00000000-0005-0000-0000-0000CA6D0000}"/>
    <cellStyle name="Comma 15 2 6 5 2" xfId="14805" xr:uid="{00000000-0005-0000-0000-0000CB6D0000}"/>
    <cellStyle name="Comma 15 2 6 5 2 2" xfId="29339" xr:uid="{00000000-0005-0000-0000-0000CC6D0000}"/>
    <cellStyle name="Comma 15 2 6 5 2 2 2" xfId="58345" xr:uid="{00000000-0005-0000-0000-0000CD6D0000}"/>
    <cellStyle name="Comma 15 2 6 5 2 3" xfId="43846" xr:uid="{00000000-0005-0000-0000-0000CE6D0000}"/>
    <cellStyle name="Comma 15 2 6 5 3" xfId="22091" xr:uid="{00000000-0005-0000-0000-0000CF6D0000}"/>
    <cellStyle name="Comma 15 2 6 5 3 2" xfId="51097" xr:uid="{00000000-0005-0000-0000-0000D06D0000}"/>
    <cellStyle name="Comma 15 2 6 5 4" xfId="36598" xr:uid="{00000000-0005-0000-0000-0000D16D0000}"/>
    <cellStyle name="Comma 15 2 6 6" xfId="8597" xr:uid="{00000000-0005-0000-0000-0000D26D0000}"/>
    <cellStyle name="Comma 15 2 6 6 2" xfId="23131" xr:uid="{00000000-0005-0000-0000-0000D36D0000}"/>
    <cellStyle name="Comma 15 2 6 6 2 2" xfId="52137" xr:uid="{00000000-0005-0000-0000-0000D46D0000}"/>
    <cellStyle name="Comma 15 2 6 6 3" xfId="37638" xr:uid="{00000000-0005-0000-0000-0000D56D0000}"/>
    <cellStyle name="Comma 15 2 6 7" xfId="15883" xr:uid="{00000000-0005-0000-0000-0000D66D0000}"/>
    <cellStyle name="Comma 15 2 6 7 2" xfId="44889" xr:uid="{00000000-0005-0000-0000-0000D76D0000}"/>
    <cellStyle name="Comma 15 2 6 8" xfId="30390" xr:uid="{00000000-0005-0000-0000-0000D86D0000}"/>
    <cellStyle name="Comma 15 2 7" xfId="1853" xr:uid="{00000000-0005-0000-0000-0000D96D0000}"/>
    <cellStyle name="Comma 15 2 7 2" xfId="4957" xr:uid="{00000000-0005-0000-0000-0000DA6D0000}"/>
    <cellStyle name="Comma 15 2 7 2 2" xfId="12229" xr:uid="{00000000-0005-0000-0000-0000DB6D0000}"/>
    <cellStyle name="Comma 15 2 7 2 2 2" xfId="26763" xr:uid="{00000000-0005-0000-0000-0000DC6D0000}"/>
    <cellStyle name="Comma 15 2 7 2 2 2 2" xfId="55769" xr:uid="{00000000-0005-0000-0000-0000DD6D0000}"/>
    <cellStyle name="Comma 15 2 7 2 2 3" xfId="41270" xr:uid="{00000000-0005-0000-0000-0000DE6D0000}"/>
    <cellStyle name="Comma 15 2 7 2 3" xfId="19515" xr:uid="{00000000-0005-0000-0000-0000DF6D0000}"/>
    <cellStyle name="Comma 15 2 7 2 3 2" xfId="48521" xr:uid="{00000000-0005-0000-0000-0000E06D0000}"/>
    <cellStyle name="Comma 15 2 7 2 4" xfId="34022" xr:uid="{00000000-0005-0000-0000-0000E16D0000}"/>
    <cellStyle name="Comma 15 2 7 3" xfId="9125" xr:uid="{00000000-0005-0000-0000-0000E26D0000}"/>
    <cellStyle name="Comma 15 2 7 3 2" xfId="23659" xr:uid="{00000000-0005-0000-0000-0000E36D0000}"/>
    <cellStyle name="Comma 15 2 7 3 2 2" xfId="52665" xr:uid="{00000000-0005-0000-0000-0000E46D0000}"/>
    <cellStyle name="Comma 15 2 7 3 3" xfId="38166" xr:uid="{00000000-0005-0000-0000-0000E56D0000}"/>
    <cellStyle name="Comma 15 2 7 4" xfId="16411" xr:uid="{00000000-0005-0000-0000-0000E66D0000}"/>
    <cellStyle name="Comma 15 2 7 4 2" xfId="45417" xr:uid="{00000000-0005-0000-0000-0000E76D0000}"/>
    <cellStyle name="Comma 15 2 7 5" xfId="30918" xr:uid="{00000000-0005-0000-0000-0000E86D0000}"/>
    <cellStyle name="Comma 15 2 8" xfId="2885" xr:uid="{00000000-0005-0000-0000-0000E96D0000}"/>
    <cellStyle name="Comma 15 2 8 2" xfId="5989" xr:uid="{00000000-0005-0000-0000-0000EA6D0000}"/>
    <cellStyle name="Comma 15 2 8 2 2" xfId="13261" xr:uid="{00000000-0005-0000-0000-0000EB6D0000}"/>
    <cellStyle name="Comma 15 2 8 2 2 2" xfId="27795" xr:uid="{00000000-0005-0000-0000-0000EC6D0000}"/>
    <cellStyle name="Comma 15 2 8 2 2 2 2" xfId="56801" xr:uid="{00000000-0005-0000-0000-0000ED6D0000}"/>
    <cellStyle name="Comma 15 2 8 2 2 3" xfId="42302" xr:uid="{00000000-0005-0000-0000-0000EE6D0000}"/>
    <cellStyle name="Comma 15 2 8 2 3" xfId="20547" xr:uid="{00000000-0005-0000-0000-0000EF6D0000}"/>
    <cellStyle name="Comma 15 2 8 2 3 2" xfId="49553" xr:uid="{00000000-0005-0000-0000-0000F06D0000}"/>
    <cellStyle name="Comma 15 2 8 2 4" xfId="35054" xr:uid="{00000000-0005-0000-0000-0000F16D0000}"/>
    <cellStyle name="Comma 15 2 8 3" xfId="10157" xr:uid="{00000000-0005-0000-0000-0000F26D0000}"/>
    <cellStyle name="Comma 15 2 8 3 2" xfId="24691" xr:uid="{00000000-0005-0000-0000-0000F36D0000}"/>
    <cellStyle name="Comma 15 2 8 3 2 2" xfId="53697" xr:uid="{00000000-0005-0000-0000-0000F46D0000}"/>
    <cellStyle name="Comma 15 2 8 3 3" xfId="39198" xr:uid="{00000000-0005-0000-0000-0000F56D0000}"/>
    <cellStyle name="Comma 15 2 8 4" xfId="17443" xr:uid="{00000000-0005-0000-0000-0000F66D0000}"/>
    <cellStyle name="Comma 15 2 8 4 2" xfId="46449" xr:uid="{00000000-0005-0000-0000-0000F76D0000}"/>
    <cellStyle name="Comma 15 2 8 5" xfId="31950" xr:uid="{00000000-0005-0000-0000-0000F86D0000}"/>
    <cellStyle name="Comma 15 2 9" xfId="3917" xr:uid="{00000000-0005-0000-0000-0000F96D0000}"/>
    <cellStyle name="Comma 15 2 9 2" xfId="11189" xr:uid="{00000000-0005-0000-0000-0000FA6D0000}"/>
    <cellStyle name="Comma 15 2 9 2 2" xfId="25723" xr:uid="{00000000-0005-0000-0000-0000FB6D0000}"/>
    <cellStyle name="Comma 15 2 9 2 2 2" xfId="54729" xr:uid="{00000000-0005-0000-0000-0000FC6D0000}"/>
    <cellStyle name="Comma 15 2 9 2 3" xfId="40230" xr:uid="{00000000-0005-0000-0000-0000FD6D0000}"/>
    <cellStyle name="Comma 15 2 9 3" xfId="18475" xr:uid="{00000000-0005-0000-0000-0000FE6D0000}"/>
    <cellStyle name="Comma 15 2 9 3 2" xfId="47481" xr:uid="{00000000-0005-0000-0000-0000FF6D0000}"/>
    <cellStyle name="Comma 15 2 9 4" xfId="32982" xr:uid="{00000000-0005-0000-0000-0000006E0000}"/>
    <cellStyle name="Comma 15 3" xfId="880" xr:uid="{00000000-0005-0000-0000-0000016E0000}"/>
    <cellStyle name="Comma 15 3 10" xfId="8113" xr:uid="{00000000-0005-0000-0000-0000026E0000}"/>
    <cellStyle name="Comma 15 3 10 2" xfId="22647" xr:uid="{00000000-0005-0000-0000-0000036E0000}"/>
    <cellStyle name="Comma 15 3 10 2 2" xfId="51653" xr:uid="{00000000-0005-0000-0000-0000046E0000}"/>
    <cellStyle name="Comma 15 3 10 3" xfId="37154" xr:uid="{00000000-0005-0000-0000-0000056E0000}"/>
    <cellStyle name="Comma 15 3 11" xfId="15399" xr:uid="{00000000-0005-0000-0000-0000066E0000}"/>
    <cellStyle name="Comma 15 3 11 2" xfId="44405" xr:uid="{00000000-0005-0000-0000-0000076E0000}"/>
    <cellStyle name="Comma 15 3 12" xfId="29906" xr:uid="{00000000-0005-0000-0000-0000086E0000}"/>
    <cellStyle name="Comma 15 3 2" xfId="960" xr:uid="{00000000-0005-0000-0000-0000096E0000}"/>
    <cellStyle name="Comma 15 3 2 10" xfId="30009" xr:uid="{00000000-0005-0000-0000-00000A6E0000}"/>
    <cellStyle name="Comma 15 3 2 2" xfId="1237" xr:uid="{00000000-0005-0000-0000-00000B6E0000}"/>
    <cellStyle name="Comma 15 3 2 2 2" xfId="1743" xr:uid="{00000000-0005-0000-0000-00000C6E0000}"/>
    <cellStyle name="Comma 15 3 2 2 2 2" xfId="2802" xr:uid="{00000000-0005-0000-0000-00000D6E0000}"/>
    <cellStyle name="Comma 15 3 2 2 2 2 2" xfId="5906" xr:uid="{00000000-0005-0000-0000-00000E6E0000}"/>
    <cellStyle name="Comma 15 3 2 2 2 2 2 2" xfId="13178" xr:uid="{00000000-0005-0000-0000-00000F6E0000}"/>
    <cellStyle name="Comma 15 3 2 2 2 2 2 2 2" xfId="27712" xr:uid="{00000000-0005-0000-0000-0000106E0000}"/>
    <cellStyle name="Comma 15 3 2 2 2 2 2 2 2 2" xfId="56718" xr:uid="{00000000-0005-0000-0000-0000116E0000}"/>
    <cellStyle name="Comma 15 3 2 2 2 2 2 2 3" xfId="42219" xr:uid="{00000000-0005-0000-0000-0000126E0000}"/>
    <cellStyle name="Comma 15 3 2 2 2 2 2 3" xfId="20464" xr:uid="{00000000-0005-0000-0000-0000136E0000}"/>
    <cellStyle name="Comma 15 3 2 2 2 2 2 3 2" xfId="49470" xr:uid="{00000000-0005-0000-0000-0000146E0000}"/>
    <cellStyle name="Comma 15 3 2 2 2 2 2 4" xfId="34971" xr:uid="{00000000-0005-0000-0000-0000156E0000}"/>
    <cellStyle name="Comma 15 3 2 2 2 2 3" xfId="10074" xr:uid="{00000000-0005-0000-0000-0000166E0000}"/>
    <cellStyle name="Comma 15 3 2 2 2 2 3 2" xfId="24608" xr:uid="{00000000-0005-0000-0000-0000176E0000}"/>
    <cellStyle name="Comma 15 3 2 2 2 2 3 2 2" xfId="53614" xr:uid="{00000000-0005-0000-0000-0000186E0000}"/>
    <cellStyle name="Comma 15 3 2 2 2 2 3 3" xfId="39115" xr:uid="{00000000-0005-0000-0000-0000196E0000}"/>
    <cellStyle name="Comma 15 3 2 2 2 2 4" xfId="17360" xr:uid="{00000000-0005-0000-0000-00001A6E0000}"/>
    <cellStyle name="Comma 15 3 2 2 2 2 4 2" xfId="46366" xr:uid="{00000000-0005-0000-0000-00001B6E0000}"/>
    <cellStyle name="Comma 15 3 2 2 2 2 5" xfId="31867" xr:uid="{00000000-0005-0000-0000-00001C6E0000}"/>
    <cellStyle name="Comma 15 3 2 2 2 3" xfId="3834" xr:uid="{00000000-0005-0000-0000-00001D6E0000}"/>
    <cellStyle name="Comma 15 3 2 2 2 3 2" xfId="6938" xr:uid="{00000000-0005-0000-0000-00001E6E0000}"/>
    <cellStyle name="Comma 15 3 2 2 2 3 2 2" xfId="14210" xr:uid="{00000000-0005-0000-0000-00001F6E0000}"/>
    <cellStyle name="Comma 15 3 2 2 2 3 2 2 2" xfId="28744" xr:uid="{00000000-0005-0000-0000-0000206E0000}"/>
    <cellStyle name="Comma 15 3 2 2 2 3 2 2 2 2" xfId="57750" xr:uid="{00000000-0005-0000-0000-0000216E0000}"/>
    <cellStyle name="Comma 15 3 2 2 2 3 2 2 3" xfId="43251" xr:uid="{00000000-0005-0000-0000-0000226E0000}"/>
    <cellStyle name="Comma 15 3 2 2 2 3 2 3" xfId="21496" xr:uid="{00000000-0005-0000-0000-0000236E0000}"/>
    <cellStyle name="Comma 15 3 2 2 2 3 2 3 2" xfId="50502" xr:uid="{00000000-0005-0000-0000-0000246E0000}"/>
    <cellStyle name="Comma 15 3 2 2 2 3 2 4" xfId="36003" xr:uid="{00000000-0005-0000-0000-0000256E0000}"/>
    <cellStyle name="Comma 15 3 2 2 2 3 3" xfId="11106" xr:uid="{00000000-0005-0000-0000-0000266E0000}"/>
    <cellStyle name="Comma 15 3 2 2 2 3 3 2" xfId="25640" xr:uid="{00000000-0005-0000-0000-0000276E0000}"/>
    <cellStyle name="Comma 15 3 2 2 2 3 3 2 2" xfId="54646" xr:uid="{00000000-0005-0000-0000-0000286E0000}"/>
    <cellStyle name="Comma 15 3 2 2 2 3 3 3" xfId="40147" xr:uid="{00000000-0005-0000-0000-0000296E0000}"/>
    <cellStyle name="Comma 15 3 2 2 2 3 4" xfId="18392" xr:uid="{00000000-0005-0000-0000-00002A6E0000}"/>
    <cellStyle name="Comma 15 3 2 2 2 3 4 2" xfId="47398" xr:uid="{00000000-0005-0000-0000-00002B6E0000}"/>
    <cellStyle name="Comma 15 3 2 2 2 3 5" xfId="32899" xr:uid="{00000000-0005-0000-0000-00002C6E0000}"/>
    <cellStyle name="Comma 15 3 2 2 2 4" xfId="4866" xr:uid="{00000000-0005-0000-0000-00002D6E0000}"/>
    <cellStyle name="Comma 15 3 2 2 2 4 2" xfId="12138" xr:uid="{00000000-0005-0000-0000-00002E6E0000}"/>
    <cellStyle name="Comma 15 3 2 2 2 4 2 2" xfId="26672" xr:uid="{00000000-0005-0000-0000-00002F6E0000}"/>
    <cellStyle name="Comma 15 3 2 2 2 4 2 2 2" xfId="55678" xr:uid="{00000000-0005-0000-0000-0000306E0000}"/>
    <cellStyle name="Comma 15 3 2 2 2 4 2 3" xfId="41179" xr:uid="{00000000-0005-0000-0000-0000316E0000}"/>
    <cellStyle name="Comma 15 3 2 2 2 4 3" xfId="19424" xr:uid="{00000000-0005-0000-0000-0000326E0000}"/>
    <cellStyle name="Comma 15 3 2 2 2 4 3 2" xfId="48430" xr:uid="{00000000-0005-0000-0000-0000336E0000}"/>
    <cellStyle name="Comma 15 3 2 2 2 4 4" xfId="33931" xr:uid="{00000000-0005-0000-0000-0000346E0000}"/>
    <cellStyle name="Comma 15 3 2 2 2 5" xfId="7970" xr:uid="{00000000-0005-0000-0000-0000356E0000}"/>
    <cellStyle name="Comma 15 3 2 2 2 5 2" xfId="15242" xr:uid="{00000000-0005-0000-0000-0000366E0000}"/>
    <cellStyle name="Comma 15 3 2 2 2 5 2 2" xfId="29776" xr:uid="{00000000-0005-0000-0000-0000376E0000}"/>
    <cellStyle name="Comma 15 3 2 2 2 5 2 2 2" xfId="58782" xr:uid="{00000000-0005-0000-0000-0000386E0000}"/>
    <cellStyle name="Comma 15 3 2 2 2 5 2 3" xfId="44283" xr:uid="{00000000-0005-0000-0000-0000396E0000}"/>
    <cellStyle name="Comma 15 3 2 2 2 5 3" xfId="22528" xr:uid="{00000000-0005-0000-0000-00003A6E0000}"/>
    <cellStyle name="Comma 15 3 2 2 2 5 3 2" xfId="51534" xr:uid="{00000000-0005-0000-0000-00003B6E0000}"/>
    <cellStyle name="Comma 15 3 2 2 2 5 4" xfId="37035" xr:uid="{00000000-0005-0000-0000-00003C6E0000}"/>
    <cellStyle name="Comma 15 3 2 2 2 6" xfId="9034" xr:uid="{00000000-0005-0000-0000-00003D6E0000}"/>
    <cellStyle name="Comma 15 3 2 2 2 6 2" xfId="23568" xr:uid="{00000000-0005-0000-0000-00003E6E0000}"/>
    <cellStyle name="Comma 15 3 2 2 2 6 2 2" xfId="52574" xr:uid="{00000000-0005-0000-0000-00003F6E0000}"/>
    <cellStyle name="Comma 15 3 2 2 2 6 3" xfId="38075" xr:uid="{00000000-0005-0000-0000-0000406E0000}"/>
    <cellStyle name="Comma 15 3 2 2 2 7" xfId="16320" xr:uid="{00000000-0005-0000-0000-0000416E0000}"/>
    <cellStyle name="Comma 15 3 2 2 2 7 2" xfId="45326" xr:uid="{00000000-0005-0000-0000-0000426E0000}"/>
    <cellStyle name="Comma 15 3 2 2 2 8" xfId="30827" xr:uid="{00000000-0005-0000-0000-0000436E0000}"/>
    <cellStyle name="Comma 15 3 2 2 3" xfId="2290" xr:uid="{00000000-0005-0000-0000-0000446E0000}"/>
    <cellStyle name="Comma 15 3 2 2 3 2" xfId="5394" xr:uid="{00000000-0005-0000-0000-0000456E0000}"/>
    <cellStyle name="Comma 15 3 2 2 3 2 2" xfId="12666" xr:uid="{00000000-0005-0000-0000-0000466E0000}"/>
    <cellStyle name="Comma 15 3 2 2 3 2 2 2" xfId="27200" xr:uid="{00000000-0005-0000-0000-0000476E0000}"/>
    <cellStyle name="Comma 15 3 2 2 3 2 2 2 2" xfId="56206" xr:uid="{00000000-0005-0000-0000-0000486E0000}"/>
    <cellStyle name="Comma 15 3 2 2 3 2 2 3" xfId="41707" xr:uid="{00000000-0005-0000-0000-0000496E0000}"/>
    <cellStyle name="Comma 15 3 2 2 3 2 3" xfId="19952" xr:uid="{00000000-0005-0000-0000-00004A6E0000}"/>
    <cellStyle name="Comma 15 3 2 2 3 2 3 2" xfId="48958" xr:uid="{00000000-0005-0000-0000-00004B6E0000}"/>
    <cellStyle name="Comma 15 3 2 2 3 2 4" xfId="34459" xr:uid="{00000000-0005-0000-0000-00004C6E0000}"/>
    <cellStyle name="Comma 15 3 2 2 3 3" xfId="9562" xr:uid="{00000000-0005-0000-0000-00004D6E0000}"/>
    <cellStyle name="Comma 15 3 2 2 3 3 2" xfId="24096" xr:uid="{00000000-0005-0000-0000-00004E6E0000}"/>
    <cellStyle name="Comma 15 3 2 2 3 3 2 2" xfId="53102" xr:uid="{00000000-0005-0000-0000-00004F6E0000}"/>
    <cellStyle name="Comma 15 3 2 2 3 3 3" xfId="38603" xr:uid="{00000000-0005-0000-0000-0000506E0000}"/>
    <cellStyle name="Comma 15 3 2 2 3 4" xfId="16848" xr:uid="{00000000-0005-0000-0000-0000516E0000}"/>
    <cellStyle name="Comma 15 3 2 2 3 4 2" xfId="45854" xr:uid="{00000000-0005-0000-0000-0000526E0000}"/>
    <cellStyle name="Comma 15 3 2 2 3 5" xfId="31355" xr:uid="{00000000-0005-0000-0000-0000536E0000}"/>
    <cellStyle name="Comma 15 3 2 2 4" xfId="3322" xr:uid="{00000000-0005-0000-0000-0000546E0000}"/>
    <cellStyle name="Comma 15 3 2 2 4 2" xfId="6426" xr:uid="{00000000-0005-0000-0000-0000556E0000}"/>
    <cellStyle name="Comma 15 3 2 2 4 2 2" xfId="13698" xr:uid="{00000000-0005-0000-0000-0000566E0000}"/>
    <cellStyle name="Comma 15 3 2 2 4 2 2 2" xfId="28232" xr:uid="{00000000-0005-0000-0000-0000576E0000}"/>
    <cellStyle name="Comma 15 3 2 2 4 2 2 2 2" xfId="57238" xr:uid="{00000000-0005-0000-0000-0000586E0000}"/>
    <cellStyle name="Comma 15 3 2 2 4 2 2 3" xfId="42739" xr:uid="{00000000-0005-0000-0000-0000596E0000}"/>
    <cellStyle name="Comma 15 3 2 2 4 2 3" xfId="20984" xr:uid="{00000000-0005-0000-0000-00005A6E0000}"/>
    <cellStyle name="Comma 15 3 2 2 4 2 3 2" xfId="49990" xr:uid="{00000000-0005-0000-0000-00005B6E0000}"/>
    <cellStyle name="Comma 15 3 2 2 4 2 4" xfId="35491" xr:uid="{00000000-0005-0000-0000-00005C6E0000}"/>
    <cellStyle name="Comma 15 3 2 2 4 3" xfId="10594" xr:uid="{00000000-0005-0000-0000-00005D6E0000}"/>
    <cellStyle name="Comma 15 3 2 2 4 3 2" xfId="25128" xr:uid="{00000000-0005-0000-0000-00005E6E0000}"/>
    <cellStyle name="Comma 15 3 2 2 4 3 2 2" xfId="54134" xr:uid="{00000000-0005-0000-0000-00005F6E0000}"/>
    <cellStyle name="Comma 15 3 2 2 4 3 3" xfId="39635" xr:uid="{00000000-0005-0000-0000-0000606E0000}"/>
    <cellStyle name="Comma 15 3 2 2 4 4" xfId="17880" xr:uid="{00000000-0005-0000-0000-0000616E0000}"/>
    <cellStyle name="Comma 15 3 2 2 4 4 2" xfId="46886" xr:uid="{00000000-0005-0000-0000-0000626E0000}"/>
    <cellStyle name="Comma 15 3 2 2 4 5" xfId="32387" xr:uid="{00000000-0005-0000-0000-0000636E0000}"/>
    <cellStyle name="Comma 15 3 2 2 5" xfId="4354" xr:uid="{00000000-0005-0000-0000-0000646E0000}"/>
    <cellStyle name="Comma 15 3 2 2 5 2" xfId="11626" xr:uid="{00000000-0005-0000-0000-0000656E0000}"/>
    <cellStyle name="Comma 15 3 2 2 5 2 2" xfId="26160" xr:uid="{00000000-0005-0000-0000-0000666E0000}"/>
    <cellStyle name="Comma 15 3 2 2 5 2 2 2" xfId="55166" xr:uid="{00000000-0005-0000-0000-0000676E0000}"/>
    <cellStyle name="Comma 15 3 2 2 5 2 3" xfId="40667" xr:uid="{00000000-0005-0000-0000-0000686E0000}"/>
    <cellStyle name="Comma 15 3 2 2 5 3" xfId="18912" xr:uid="{00000000-0005-0000-0000-0000696E0000}"/>
    <cellStyle name="Comma 15 3 2 2 5 3 2" xfId="47918" xr:uid="{00000000-0005-0000-0000-00006A6E0000}"/>
    <cellStyle name="Comma 15 3 2 2 5 4" xfId="33419" xr:uid="{00000000-0005-0000-0000-00006B6E0000}"/>
    <cellStyle name="Comma 15 3 2 2 6" xfId="7458" xr:uid="{00000000-0005-0000-0000-00006C6E0000}"/>
    <cellStyle name="Comma 15 3 2 2 6 2" xfId="14730" xr:uid="{00000000-0005-0000-0000-00006D6E0000}"/>
    <cellStyle name="Comma 15 3 2 2 6 2 2" xfId="29264" xr:uid="{00000000-0005-0000-0000-00006E6E0000}"/>
    <cellStyle name="Comma 15 3 2 2 6 2 2 2" xfId="58270" xr:uid="{00000000-0005-0000-0000-00006F6E0000}"/>
    <cellStyle name="Comma 15 3 2 2 6 2 3" xfId="43771" xr:uid="{00000000-0005-0000-0000-0000706E0000}"/>
    <cellStyle name="Comma 15 3 2 2 6 3" xfId="22016" xr:uid="{00000000-0005-0000-0000-0000716E0000}"/>
    <cellStyle name="Comma 15 3 2 2 6 3 2" xfId="51022" xr:uid="{00000000-0005-0000-0000-0000726E0000}"/>
    <cellStyle name="Comma 15 3 2 2 6 4" xfId="36523" xr:uid="{00000000-0005-0000-0000-0000736E0000}"/>
    <cellStyle name="Comma 15 3 2 2 7" xfId="8522" xr:uid="{00000000-0005-0000-0000-0000746E0000}"/>
    <cellStyle name="Comma 15 3 2 2 7 2" xfId="23056" xr:uid="{00000000-0005-0000-0000-0000756E0000}"/>
    <cellStyle name="Comma 15 3 2 2 7 2 2" xfId="52062" xr:uid="{00000000-0005-0000-0000-0000766E0000}"/>
    <cellStyle name="Comma 15 3 2 2 7 3" xfId="37563" xr:uid="{00000000-0005-0000-0000-0000776E0000}"/>
    <cellStyle name="Comma 15 3 2 2 8" xfId="15808" xr:uid="{00000000-0005-0000-0000-0000786E0000}"/>
    <cellStyle name="Comma 15 3 2 2 8 2" xfId="44814" xr:uid="{00000000-0005-0000-0000-0000796E0000}"/>
    <cellStyle name="Comma 15 3 2 2 9" xfId="30315" xr:uid="{00000000-0005-0000-0000-00007A6E0000}"/>
    <cellStyle name="Comma 15 3 2 3" xfId="1438" xr:uid="{00000000-0005-0000-0000-00007B6E0000}"/>
    <cellStyle name="Comma 15 3 2 3 2" xfId="2496" xr:uid="{00000000-0005-0000-0000-00007C6E0000}"/>
    <cellStyle name="Comma 15 3 2 3 2 2" xfId="5600" xr:uid="{00000000-0005-0000-0000-00007D6E0000}"/>
    <cellStyle name="Comma 15 3 2 3 2 2 2" xfId="12872" xr:uid="{00000000-0005-0000-0000-00007E6E0000}"/>
    <cellStyle name="Comma 15 3 2 3 2 2 2 2" xfId="27406" xr:uid="{00000000-0005-0000-0000-00007F6E0000}"/>
    <cellStyle name="Comma 15 3 2 3 2 2 2 2 2" xfId="56412" xr:uid="{00000000-0005-0000-0000-0000806E0000}"/>
    <cellStyle name="Comma 15 3 2 3 2 2 2 3" xfId="41913" xr:uid="{00000000-0005-0000-0000-0000816E0000}"/>
    <cellStyle name="Comma 15 3 2 3 2 2 3" xfId="20158" xr:uid="{00000000-0005-0000-0000-0000826E0000}"/>
    <cellStyle name="Comma 15 3 2 3 2 2 3 2" xfId="49164" xr:uid="{00000000-0005-0000-0000-0000836E0000}"/>
    <cellStyle name="Comma 15 3 2 3 2 2 4" xfId="34665" xr:uid="{00000000-0005-0000-0000-0000846E0000}"/>
    <cellStyle name="Comma 15 3 2 3 2 3" xfId="9768" xr:uid="{00000000-0005-0000-0000-0000856E0000}"/>
    <cellStyle name="Comma 15 3 2 3 2 3 2" xfId="24302" xr:uid="{00000000-0005-0000-0000-0000866E0000}"/>
    <cellStyle name="Comma 15 3 2 3 2 3 2 2" xfId="53308" xr:uid="{00000000-0005-0000-0000-0000876E0000}"/>
    <cellStyle name="Comma 15 3 2 3 2 3 3" xfId="38809" xr:uid="{00000000-0005-0000-0000-0000886E0000}"/>
    <cellStyle name="Comma 15 3 2 3 2 4" xfId="17054" xr:uid="{00000000-0005-0000-0000-0000896E0000}"/>
    <cellStyle name="Comma 15 3 2 3 2 4 2" xfId="46060" xr:uid="{00000000-0005-0000-0000-00008A6E0000}"/>
    <cellStyle name="Comma 15 3 2 3 2 5" xfId="31561" xr:uid="{00000000-0005-0000-0000-00008B6E0000}"/>
    <cellStyle name="Comma 15 3 2 3 3" xfId="3528" xr:uid="{00000000-0005-0000-0000-00008C6E0000}"/>
    <cellStyle name="Comma 15 3 2 3 3 2" xfId="6632" xr:uid="{00000000-0005-0000-0000-00008D6E0000}"/>
    <cellStyle name="Comma 15 3 2 3 3 2 2" xfId="13904" xr:uid="{00000000-0005-0000-0000-00008E6E0000}"/>
    <cellStyle name="Comma 15 3 2 3 3 2 2 2" xfId="28438" xr:uid="{00000000-0005-0000-0000-00008F6E0000}"/>
    <cellStyle name="Comma 15 3 2 3 3 2 2 2 2" xfId="57444" xr:uid="{00000000-0005-0000-0000-0000906E0000}"/>
    <cellStyle name="Comma 15 3 2 3 3 2 2 3" xfId="42945" xr:uid="{00000000-0005-0000-0000-0000916E0000}"/>
    <cellStyle name="Comma 15 3 2 3 3 2 3" xfId="21190" xr:uid="{00000000-0005-0000-0000-0000926E0000}"/>
    <cellStyle name="Comma 15 3 2 3 3 2 3 2" xfId="50196" xr:uid="{00000000-0005-0000-0000-0000936E0000}"/>
    <cellStyle name="Comma 15 3 2 3 3 2 4" xfId="35697" xr:uid="{00000000-0005-0000-0000-0000946E0000}"/>
    <cellStyle name="Comma 15 3 2 3 3 3" xfId="10800" xr:uid="{00000000-0005-0000-0000-0000956E0000}"/>
    <cellStyle name="Comma 15 3 2 3 3 3 2" xfId="25334" xr:uid="{00000000-0005-0000-0000-0000966E0000}"/>
    <cellStyle name="Comma 15 3 2 3 3 3 2 2" xfId="54340" xr:uid="{00000000-0005-0000-0000-0000976E0000}"/>
    <cellStyle name="Comma 15 3 2 3 3 3 3" xfId="39841" xr:uid="{00000000-0005-0000-0000-0000986E0000}"/>
    <cellStyle name="Comma 15 3 2 3 3 4" xfId="18086" xr:uid="{00000000-0005-0000-0000-0000996E0000}"/>
    <cellStyle name="Comma 15 3 2 3 3 4 2" xfId="47092" xr:uid="{00000000-0005-0000-0000-00009A6E0000}"/>
    <cellStyle name="Comma 15 3 2 3 3 5" xfId="32593" xr:uid="{00000000-0005-0000-0000-00009B6E0000}"/>
    <cellStyle name="Comma 15 3 2 3 4" xfId="4560" xr:uid="{00000000-0005-0000-0000-00009C6E0000}"/>
    <cellStyle name="Comma 15 3 2 3 4 2" xfId="11832" xr:uid="{00000000-0005-0000-0000-00009D6E0000}"/>
    <cellStyle name="Comma 15 3 2 3 4 2 2" xfId="26366" xr:uid="{00000000-0005-0000-0000-00009E6E0000}"/>
    <cellStyle name="Comma 15 3 2 3 4 2 2 2" xfId="55372" xr:uid="{00000000-0005-0000-0000-00009F6E0000}"/>
    <cellStyle name="Comma 15 3 2 3 4 2 3" xfId="40873" xr:uid="{00000000-0005-0000-0000-0000A06E0000}"/>
    <cellStyle name="Comma 15 3 2 3 4 3" xfId="19118" xr:uid="{00000000-0005-0000-0000-0000A16E0000}"/>
    <cellStyle name="Comma 15 3 2 3 4 3 2" xfId="48124" xr:uid="{00000000-0005-0000-0000-0000A26E0000}"/>
    <cellStyle name="Comma 15 3 2 3 4 4" xfId="33625" xr:uid="{00000000-0005-0000-0000-0000A36E0000}"/>
    <cellStyle name="Comma 15 3 2 3 5" xfId="7664" xr:uid="{00000000-0005-0000-0000-0000A46E0000}"/>
    <cellStyle name="Comma 15 3 2 3 5 2" xfId="14936" xr:uid="{00000000-0005-0000-0000-0000A56E0000}"/>
    <cellStyle name="Comma 15 3 2 3 5 2 2" xfId="29470" xr:uid="{00000000-0005-0000-0000-0000A66E0000}"/>
    <cellStyle name="Comma 15 3 2 3 5 2 2 2" xfId="58476" xr:uid="{00000000-0005-0000-0000-0000A76E0000}"/>
    <cellStyle name="Comma 15 3 2 3 5 2 3" xfId="43977" xr:uid="{00000000-0005-0000-0000-0000A86E0000}"/>
    <cellStyle name="Comma 15 3 2 3 5 3" xfId="22222" xr:uid="{00000000-0005-0000-0000-0000A96E0000}"/>
    <cellStyle name="Comma 15 3 2 3 5 3 2" xfId="51228" xr:uid="{00000000-0005-0000-0000-0000AA6E0000}"/>
    <cellStyle name="Comma 15 3 2 3 5 4" xfId="36729" xr:uid="{00000000-0005-0000-0000-0000AB6E0000}"/>
    <cellStyle name="Comma 15 3 2 3 6" xfId="8728" xr:uid="{00000000-0005-0000-0000-0000AC6E0000}"/>
    <cellStyle name="Comma 15 3 2 3 6 2" xfId="23262" xr:uid="{00000000-0005-0000-0000-0000AD6E0000}"/>
    <cellStyle name="Comma 15 3 2 3 6 2 2" xfId="52268" xr:uid="{00000000-0005-0000-0000-0000AE6E0000}"/>
    <cellStyle name="Comma 15 3 2 3 6 3" xfId="37769" xr:uid="{00000000-0005-0000-0000-0000AF6E0000}"/>
    <cellStyle name="Comma 15 3 2 3 7" xfId="16014" xr:uid="{00000000-0005-0000-0000-0000B06E0000}"/>
    <cellStyle name="Comma 15 3 2 3 7 2" xfId="45020" xr:uid="{00000000-0005-0000-0000-0000B16E0000}"/>
    <cellStyle name="Comma 15 3 2 3 8" xfId="30521" xr:uid="{00000000-0005-0000-0000-0000B26E0000}"/>
    <cellStyle name="Comma 15 3 2 4" xfId="1984" xr:uid="{00000000-0005-0000-0000-0000B36E0000}"/>
    <cellStyle name="Comma 15 3 2 4 2" xfId="5088" xr:uid="{00000000-0005-0000-0000-0000B46E0000}"/>
    <cellStyle name="Comma 15 3 2 4 2 2" xfId="12360" xr:uid="{00000000-0005-0000-0000-0000B56E0000}"/>
    <cellStyle name="Comma 15 3 2 4 2 2 2" xfId="26894" xr:uid="{00000000-0005-0000-0000-0000B66E0000}"/>
    <cellStyle name="Comma 15 3 2 4 2 2 2 2" xfId="55900" xr:uid="{00000000-0005-0000-0000-0000B76E0000}"/>
    <cellStyle name="Comma 15 3 2 4 2 2 3" xfId="41401" xr:uid="{00000000-0005-0000-0000-0000B86E0000}"/>
    <cellStyle name="Comma 15 3 2 4 2 3" xfId="19646" xr:uid="{00000000-0005-0000-0000-0000B96E0000}"/>
    <cellStyle name="Comma 15 3 2 4 2 3 2" xfId="48652" xr:uid="{00000000-0005-0000-0000-0000BA6E0000}"/>
    <cellStyle name="Comma 15 3 2 4 2 4" xfId="34153" xr:uid="{00000000-0005-0000-0000-0000BB6E0000}"/>
    <cellStyle name="Comma 15 3 2 4 3" xfId="9256" xr:uid="{00000000-0005-0000-0000-0000BC6E0000}"/>
    <cellStyle name="Comma 15 3 2 4 3 2" xfId="23790" xr:uid="{00000000-0005-0000-0000-0000BD6E0000}"/>
    <cellStyle name="Comma 15 3 2 4 3 2 2" xfId="52796" xr:uid="{00000000-0005-0000-0000-0000BE6E0000}"/>
    <cellStyle name="Comma 15 3 2 4 3 3" xfId="38297" xr:uid="{00000000-0005-0000-0000-0000BF6E0000}"/>
    <cellStyle name="Comma 15 3 2 4 4" xfId="16542" xr:uid="{00000000-0005-0000-0000-0000C06E0000}"/>
    <cellStyle name="Comma 15 3 2 4 4 2" xfId="45548" xr:uid="{00000000-0005-0000-0000-0000C16E0000}"/>
    <cellStyle name="Comma 15 3 2 4 5" xfId="31049" xr:uid="{00000000-0005-0000-0000-0000C26E0000}"/>
    <cellStyle name="Comma 15 3 2 5" xfId="3016" xr:uid="{00000000-0005-0000-0000-0000C36E0000}"/>
    <cellStyle name="Comma 15 3 2 5 2" xfId="6120" xr:uid="{00000000-0005-0000-0000-0000C46E0000}"/>
    <cellStyle name="Comma 15 3 2 5 2 2" xfId="13392" xr:uid="{00000000-0005-0000-0000-0000C56E0000}"/>
    <cellStyle name="Comma 15 3 2 5 2 2 2" xfId="27926" xr:uid="{00000000-0005-0000-0000-0000C66E0000}"/>
    <cellStyle name="Comma 15 3 2 5 2 2 2 2" xfId="56932" xr:uid="{00000000-0005-0000-0000-0000C76E0000}"/>
    <cellStyle name="Comma 15 3 2 5 2 2 3" xfId="42433" xr:uid="{00000000-0005-0000-0000-0000C86E0000}"/>
    <cellStyle name="Comma 15 3 2 5 2 3" xfId="20678" xr:uid="{00000000-0005-0000-0000-0000C96E0000}"/>
    <cellStyle name="Comma 15 3 2 5 2 3 2" xfId="49684" xr:uid="{00000000-0005-0000-0000-0000CA6E0000}"/>
    <cellStyle name="Comma 15 3 2 5 2 4" xfId="35185" xr:uid="{00000000-0005-0000-0000-0000CB6E0000}"/>
    <cellStyle name="Comma 15 3 2 5 3" xfId="10288" xr:uid="{00000000-0005-0000-0000-0000CC6E0000}"/>
    <cellStyle name="Comma 15 3 2 5 3 2" xfId="24822" xr:uid="{00000000-0005-0000-0000-0000CD6E0000}"/>
    <cellStyle name="Comma 15 3 2 5 3 2 2" xfId="53828" xr:uid="{00000000-0005-0000-0000-0000CE6E0000}"/>
    <cellStyle name="Comma 15 3 2 5 3 3" xfId="39329" xr:uid="{00000000-0005-0000-0000-0000CF6E0000}"/>
    <cellStyle name="Comma 15 3 2 5 4" xfId="17574" xr:uid="{00000000-0005-0000-0000-0000D06E0000}"/>
    <cellStyle name="Comma 15 3 2 5 4 2" xfId="46580" xr:uid="{00000000-0005-0000-0000-0000D16E0000}"/>
    <cellStyle name="Comma 15 3 2 5 5" xfId="32081" xr:uid="{00000000-0005-0000-0000-0000D26E0000}"/>
    <cellStyle name="Comma 15 3 2 6" xfId="4048" xr:uid="{00000000-0005-0000-0000-0000D36E0000}"/>
    <cellStyle name="Comma 15 3 2 6 2" xfId="11320" xr:uid="{00000000-0005-0000-0000-0000D46E0000}"/>
    <cellStyle name="Comma 15 3 2 6 2 2" xfId="25854" xr:uid="{00000000-0005-0000-0000-0000D56E0000}"/>
    <cellStyle name="Comma 15 3 2 6 2 2 2" xfId="54860" xr:uid="{00000000-0005-0000-0000-0000D66E0000}"/>
    <cellStyle name="Comma 15 3 2 6 2 3" xfId="40361" xr:uid="{00000000-0005-0000-0000-0000D76E0000}"/>
    <cellStyle name="Comma 15 3 2 6 3" xfId="18606" xr:uid="{00000000-0005-0000-0000-0000D86E0000}"/>
    <cellStyle name="Comma 15 3 2 6 3 2" xfId="47612" xr:uid="{00000000-0005-0000-0000-0000D96E0000}"/>
    <cellStyle name="Comma 15 3 2 6 4" xfId="33113" xr:uid="{00000000-0005-0000-0000-0000DA6E0000}"/>
    <cellStyle name="Comma 15 3 2 7" xfId="7152" xr:uid="{00000000-0005-0000-0000-0000DB6E0000}"/>
    <cellStyle name="Comma 15 3 2 7 2" xfId="14424" xr:uid="{00000000-0005-0000-0000-0000DC6E0000}"/>
    <cellStyle name="Comma 15 3 2 7 2 2" xfId="28958" xr:uid="{00000000-0005-0000-0000-0000DD6E0000}"/>
    <cellStyle name="Comma 15 3 2 7 2 2 2" xfId="57964" xr:uid="{00000000-0005-0000-0000-0000DE6E0000}"/>
    <cellStyle name="Comma 15 3 2 7 2 3" xfId="43465" xr:uid="{00000000-0005-0000-0000-0000DF6E0000}"/>
    <cellStyle name="Comma 15 3 2 7 3" xfId="21710" xr:uid="{00000000-0005-0000-0000-0000E06E0000}"/>
    <cellStyle name="Comma 15 3 2 7 3 2" xfId="50716" xr:uid="{00000000-0005-0000-0000-0000E16E0000}"/>
    <cellStyle name="Comma 15 3 2 7 4" xfId="36217" xr:uid="{00000000-0005-0000-0000-0000E26E0000}"/>
    <cellStyle name="Comma 15 3 2 8" xfId="8216" xr:uid="{00000000-0005-0000-0000-0000E36E0000}"/>
    <cellStyle name="Comma 15 3 2 8 2" xfId="22750" xr:uid="{00000000-0005-0000-0000-0000E46E0000}"/>
    <cellStyle name="Comma 15 3 2 8 2 2" xfId="51756" xr:uid="{00000000-0005-0000-0000-0000E56E0000}"/>
    <cellStyle name="Comma 15 3 2 8 3" xfId="37257" xr:uid="{00000000-0005-0000-0000-0000E66E0000}"/>
    <cellStyle name="Comma 15 3 2 9" xfId="15502" xr:uid="{00000000-0005-0000-0000-0000E76E0000}"/>
    <cellStyle name="Comma 15 3 2 9 2" xfId="44508" xr:uid="{00000000-0005-0000-0000-0000E86E0000}"/>
    <cellStyle name="Comma 15 3 3" xfId="1141" xr:uid="{00000000-0005-0000-0000-0000E96E0000}"/>
    <cellStyle name="Comma 15 3 3 2" xfId="1640" xr:uid="{00000000-0005-0000-0000-0000EA6E0000}"/>
    <cellStyle name="Comma 15 3 3 2 2" xfId="2699" xr:uid="{00000000-0005-0000-0000-0000EB6E0000}"/>
    <cellStyle name="Comma 15 3 3 2 2 2" xfId="5803" xr:uid="{00000000-0005-0000-0000-0000EC6E0000}"/>
    <cellStyle name="Comma 15 3 3 2 2 2 2" xfId="13075" xr:uid="{00000000-0005-0000-0000-0000ED6E0000}"/>
    <cellStyle name="Comma 15 3 3 2 2 2 2 2" xfId="27609" xr:uid="{00000000-0005-0000-0000-0000EE6E0000}"/>
    <cellStyle name="Comma 15 3 3 2 2 2 2 2 2" xfId="56615" xr:uid="{00000000-0005-0000-0000-0000EF6E0000}"/>
    <cellStyle name="Comma 15 3 3 2 2 2 2 3" xfId="42116" xr:uid="{00000000-0005-0000-0000-0000F06E0000}"/>
    <cellStyle name="Comma 15 3 3 2 2 2 3" xfId="20361" xr:uid="{00000000-0005-0000-0000-0000F16E0000}"/>
    <cellStyle name="Comma 15 3 3 2 2 2 3 2" xfId="49367" xr:uid="{00000000-0005-0000-0000-0000F26E0000}"/>
    <cellStyle name="Comma 15 3 3 2 2 2 4" xfId="34868" xr:uid="{00000000-0005-0000-0000-0000F36E0000}"/>
    <cellStyle name="Comma 15 3 3 2 2 3" xfId="9971" xr:uid="{00000000-0005-0000-0000-0000F46E0000}"/>
    <cellStyle name="Comma 15 3 3 2 2 3 2" xfId="24505" xr:uid="{00000000-0005-0000-0000-0000F56E0000}"/>
    <cellStyle name="Comma 15 3 3 2 2 3 2 2" xfId="53511" xr:uid="{00000000-0005-0000-0000-0000F66E0000}"/>
    <cellStyle name="Comma 15 3 3 2 2 3 3" xfId="39012" xr:uid="{00000000-0005-0000-0000-0000F76E0000}"/>
    <cellStyle name="Comma 15 3 3 2 2 4" xfId="17257" xr:uid="{00000000-0005-0000-0000-0000F86E0000}"/>
    <cellStyle name="Comma 15 3 3 2 2 4 2" xfId="46263" xr:uid="{00000000-0005-0000-0000-0000F96E0000}"/>
    <cellStyle name="Comma 15 3 3 2 2 5" xfId="31764" xr:uid="{00000000-0005-0000-0000-0000FA6E0000}"/>
    <cellStyle name="Comma 15 3 3 2 3" xfId="3731" xr:uid="{00000000-0005-0000-0000-0000FB6E0000}"/>
    <cellStyle name="Comma 15 3 3 2 3 2" xfId="6835" xr:uid="{00000000-0005-0000-0000-0000FC6E0000}"/>
    <cellStyle name="Comma 15 3 3 2 3 2 2" xfId="14107" xr:uid="{00000000-0005-0000-0000-0000FD6E0000}"/>
    <cellStyle name="Comma 15 3 3 2 3 2 2 2" xfId="28641" xr:uid="{00000000-0005-0000-0000-0000FE6E0000}"/>
    <cellStyle name="Comma 15 3 3 2 3 2 2 2 2" xfId="57647" xr:uid="{00000000-0005-0000-0000-0000FF6E0000}"/>
    <cellStyle name="Comma 15 3 3 2 3 2 2 3" xfId="43148" xr:uid="{00000000-0005-0000-0000-0000006F0000}"/>
    <cellStyle name="Comma 15 3 3 2 3 2 3" xfId="21393" xr:uid="{00000000-0005-0000-0000-0000016F0000}"/>
    <cellStyle name="Comma 15 3 3 2 3 2 3 2" xfId="50399" xr:uid="{00000000-0005-0000-0000-0000026F0000}"/>
    <cellStyle name="Comma 15 3 3 2 3 2 4" xfId="35900" xr:uid="{00000000-0005-0000-0000-0000036F0000}"/>
    <cellStyle name="Comma 15 3 3 2 3 3" xfId="11003" xr:uid="{00000000-0005-0000-0000-0000046F0000}"/>
    <cellStyle name="Comma 15 3 3 2 3 3 2" xfId="25537" xr:uid="{00000000-0005-0000-0000-0000056F0000}"/>
    <cellStyle name="Comma 15 3 3 2 3 3 2 2" xfId="54543" xr:uid="{00000000-0005-0000-0000-0000066F0000}"/>
    <cellStyle name="Comma 15 3 3 2 3 3 3" xfId="40044" xr:uid="{00000000-0005-0000-0000-0000076F0000}"/>
    <cellStyle name="Comma 15 3 3 2 3 4" xfId="18289" xr:uid="{00000000-0005-0000-0000-0000086F0000}"/>
    <cellStyle name="Comma 15 3 3 2 3 4 2" xfId="47295" xr:uid="{00000000-0005-0000-0000-0000096F0000}"/>
    <cellStyle name="Comma 15 3 3 2 3 5" xfId="32796" xr:uid="{00000000-0005-0000-0000-00000A6F0000}"/>
    <cellStyle name="Comma 15 3 3 2 4" xfId="4763" xr:uid="{00000000-0005-0000-0000-00000B6F0000}"/>
    <cellStyle name="Comma 15 3 3 2 4 2" xfId="12035" xr:uid="{00000000-0005-0000-0000-00000C6F0000}"/>
    <cellStyle name="Comma 15 3 3 2 4 2 2" xfId="26569" xr:uid="{00000000-0005-0000-0000-00000D6F0000}"/>
    <cellStyle name="Comma 15 3 3 2 4 2 2 2" xfId="55575" xr:uid="{00000000-0005-0000-0000-00000E6F0000}"/>
    <cellStyle name="Comma 15 3 3 2 4 2 3" xfId="41076" xr:uid="{00000000-0005-0000-0000-00000F6F0000}"/>
    <cellStyle name="Comma 15 3 3 2 4 3" xfId="19321" xr:uid="{00000000-0005-0000-0000-0000106F0000}"/>
    <cellStyle name="Comma 15 3 3 2 4 3 2" xfId="48327" xr:uid="{00000000-0005-0000-0000-0000116F0000}"/>
    <cellStyle name="Comma 15 3 3 2 4 4" xfId="33828" xr:uid="{00000000-0005-0000-0000-0000126F0000}"/>
    <cellStyle name="Comma 15 3 3 2 5" xfId="7867" xr:uid="{00000000-0005-0000-0000-0000136F0000}"/>
    <cellStyle name="Comma 15 3 3 2 5 2" xfId="15139" xr:uid="{00000000-0005-0000-0000-0000146F0000}"/>
    <cellStyle name="Comma 15 3 3 2 5 2 2" xfId="29673" xr:uid="{00000000-0005-0000-0000-0000156F0000}"/>
    <cellStyle name="Comma 15 3 3 2 5 2 2 2" xfId="58679" xr:uid="{00000000-0005-0000-0000-0000166F0000}"/>
    <cellStyle name="Comma 15 3 3 2 5 2 3" xfId="44180" xr:uid="{00000000-0005-0000-0000-0000176F0000}"/>
    <cellStyle name="Comma 15 3 3 2 5 3" xfId="22425" xr:uid="{00000000-0005-0000-0000-0000186F0000}"/>
    <cellStyle name="Comma 15 3 3 2 5 3 2" xfId="51431" xr:uid="{00000000-0005-0000-0000-0000196F0000}"/>
    <cellStyle name="Comma 15 3 3 2 5 4" xfId="36932" xr:uid="{00000000-0005-0000-0000-00001A6F0000}"/>
    <cellStyle name="Comma 15 3 3 2 6" xfId="8931" xr:uid="{00000000-0005-0000-0000-00001B6F0000}"/>
    <cellStyle name="Comma 15 3 3 2 6 2" xfId="23465" xr:uid="{00000000-0005-0000-0000-00001C6F0000}"/>
    <cellStyle name="Comma 15 3 3 2 6 2 2" xfId="52471" xr:uid="{00000000-0005-0000-0000-00001D6F0000}"/>
    <cellStyle name="Comma 15 3 3 2 6 3" xfId="37972" xr:uid="{00000000-0005-0000-0000-00001E6F0000}"/>
    <cellStyle name="Comma 15 3 3 2 7" xfId="16217" xr:uid="{00000000-0005-0000-0000-00001F6F0000}"/>
    <cellStyle name="Comma 15 3 3 2 7 2" xfId="45223" xr:uid="{00000000-0005-0000-0000-0000206F0000}"/>
    <cellStyle name="Comma 15 3 3 2 8" xfId="30724" xr:uid="{00000000-0005-0000-0000-0000216F0000}"/>
    <cellStyle name="Comma 15 3 3 3" xfId="2187" xr:uid="{00000000-0005-0000-0000-0000226F0000}"/>
    <cellStyle name="Comma 15 3 3 3 2" xfId="5291" xr:uid="{00000000-0005-0000-0000-0000236F0000}"/>
    <cellStyle name="Comma 15 3 3 3 2 2" xfId="12563" xr:uid="{00000000-0005-0000-0000-0000246F0000}"/>
    <cellStyle name="Comma 15 3 3 3 2 2 2" xfId="27097" xr:uid="{00000000-0005-0000-0000-0000256F0000}"/>
    <cellStyle name="Comma 15 3 3 3 2 2 2 2" xfId="56103" xr:uid="{00000000-0005-0000-0000-0000266F0000}"/>
    <cellStyle name="Comma 15 3 3 3 2 2 3" xfId="41604" xr:uid="{00000000-0005-0000-0000-0000276F0000}"/>
    <cellStyle name="Comma 15 3 3 3 2 3" xfId="19849" xr:uid="{00000000-0005-0000-0000-0000286F0000}"/>
    <cellStyle name="Comma 15 3 3 3 2 3 2" xfId="48855" xr:uid="{00000000-0005-0000-0000-0000296F0000}"/>
    <cellStyle name="Comma 15 3 3 3 2 4" xfId="34356" xr:uid="{00000000-0005-0000-0000-00002A6F0000}"/>
    <cellStyle name="Comma 15 3 3 3 3" xfId="9459" xr:uid="{00000000-0005-0000-0000-00002B6F0000}"/>
    <cellStyle name="Comma 15 3 3 3 3 2" xfId="23993" xr:uid="{00000000-0005-0000-0000-00002C6F0000}"/>
    <cellStyle name="Comma 15 3 3 3 3 2 2" xfId="52999" xr:uid="{00000000-0005-0000-0000-00002D6F0000}"/>
    <cellStyle name="Comma 15 3 3 3 3 3" xfId="38500" xr:uid="{00000000-0005-0000-0000-00002E6F0000}"/>
    <cellStyle name="Comma 15 3 3 3 4" xfId="16745" xr:uid="{00000000-0005-0000-0000-00002F6F0000}"/>
    <cellStyle name="Comma 15 3 3 3 4 2" xfId="45751" xr:uid="{00000000-0005-0000-0000-0000306F0000}"/>
    <cellStyle name="Comma 15 3 3 3 5" xfId="31252" xr:uid="{00000000-0005-0000-0000-0000316F0000}"/>
    <cellStyle name="Comma 15 3 3 4" xfId="3219" xr:uid="{00000000-0005-0000-0000-0000326F0000}"/>
    <cellStyle name="Comma 15 3 3 4 2" xfId="6323" xr:uid="{00000000-0005-0000-0000-0000336F0000}"/>
    <cellStyle name="Comma 15 3 3 4 2 2" xfId="13595" xr:uid="{00000000-0005-0000-0000-0000346F0000}"/>
    <cellStyle name="Comma 15 3 3 4 2 2 2" xfId="28129" xr:uid="{00000000-0005-0000-0000-0000356F0000}"/>
    <cellStyle name="Comma 15 3 3 4 2 2 2 2" xfId="57135" xr:uid="{00000000-0005-0000-0000-0000366F0000}"/>
    <cellStyle name="Comma 15 3 3 4 2 2 3" xfId="42636" xr:uid="{00000000-0005-0000-0000-0000376F0000}"/>
    <cellStyle name="Comma 15 3 3 4 2 3" xfId="20881" xr:uid="{00000000-0005-0000-0000-0000386F0000}"/>
    <cellStyle name="Comma 15 3 3 4 2 3 2" xfId="49887" xr:uid="{00000000-0005-0000-0000-0000396F0000}"/>
    <cellStyle name="Comma 15 3 3 4 2 4" xfId="35388" xr:uid="{00000000-0005-0000-0000-00003A6F0000}"/>
    <cellStyle name="Comma 15 3 3 4 3" xfId="10491" xr:uid="{00000000-0005-0000-0000-00003B6F0000}"/>
    <cellStyle name="Comma 15 3 3 4 3 2" xfId="25025" xr:uid="{00000000-0005-0000-0000-00003C6F0000}"/>
    <cellStyle name="Comma 15 3 3 4 3 2 2" xfId="54031" xr:uid="{00000000-0005-0000-0000-00003D6F0000}"/>
    <cellStyle name="Comma 15 3 3 4 3 3" xfId="39532" xr:uid="{00000000-0005-0000-0000-00003E6F0000}"/>
    <cellStyle name="Comma 15 3 3 4 4" xfId="17777" xr:uid="{00000000-0005-0000-0000-00003F6F0000}"/>
    <cellStyle name="Comma 15 3 3 4 4 2" xfId="46783" xr:uid="{00000000-0005-0000-0000-0000406F0000}"/>
    <cellStyle name="Comma 15 3 3 4 5" xfId="32284" xr:uid="{00000000-0005-0000-0000-0000416F0000}"/>
    <cellStyle name="Comma 15 3 3 5" xfId="4251" xr:uid="{00000000-0005-0000-0000-0000426F0000}"/>
    <cellStyle name="Comma 15 3 3 5 2" xfId="11523" xr:uid="{00000000-0005-0000-0000-0000436F0000}"/>
    <cellStyle name="Comma 15 3 3 5 2 2" xfId="26057" xr:uid="{00000000-0005-0000-0000-0000446F0000}"/>
    <cellStyle name="Comma 15 3 3 5 2 2 2" xfId="55063" xr:uid="{00000000-0005-0000-0000-0000456F0000}"/>
    <cellStyle name="Comma 15 3 3 5 2 3" xfId="40564" xr:uid="{00000000-0005-0000-0000-0000466F0000}"/>
    <cellStyle name="Comma 15 3 3 5 3" xfId="18809" xr:uid="{00000000-0005-0000-0000-0000476F0000}"/>
    <cellStyle name="Comma 15 3 3 5 3 2" xfId="47815" xr:uid="{00000000-0005-0000-0000-0000486F0000}"/>
    <cellStyle name="Comma 15 3 3 5 4" xfId="33316" xr:uid="{00000000-0005-0000-0000-0000496F0000}"/>
    <cellStyle name="Comma 15 3 3 6" xfId="7355" xr:uid="{00000000-0005-0000-0000-00004A6F0000}"/>
    <cellStyle name="Comma 15 3 3 6 2" xfId="14627" xr:uid="{00000000-0005-0000-0000-00004B6F0000}"/>
    <cellStyle name="Comma 15 3 3 6 2 2" xfId="29161" xr:uid="{00000000-0005-0000-0000-00004C6F0000}"/>
    <cellStyle name="Comma 15 3 3 6 2 2 2" xfId="58167" xr:uid="{00000000-0005-0000-0000-00004D6F0000}"/>
    <cellStyle name="Comma 15 3 3 6 2 3" xfId="43668" xr:uid="{00000000-0005-0000-0000-00004E6F0000}"/>
    <cellStyle name="Comma 15 3 3 6 3" xfId="21913" xr:uid="{00000000-0005-0000-0000-00004F6F0000}"/>
    <cellStyle name="Comma 15 3 3 6 3 2" xfId="50919" xr:uid="{00000000-0005-0000-0000-0000506F0000}"/>
    <cellStyle name="Comma 15 3 3 6 4" xfId="36420" xr:uid="{00000000-0005-0000-0000-0000516F0000}"/>
    <cellStyle name="Comma 15 3 3 7" xfId="8419" xr:uid="{00000000-0005-0000-0000-0000526F0000}"/>
    <cellStyle name="Comma 15 3 3 7 2" xfId="22953" xr:uid="{00000000-0005-0000-0000-0000536F0000}"/>
    <cellStyle name="Comma 15 3 3 7 2 2" xfId="51959" xr:uid="{00000000-0005-0000-0000-0000546F0000}"/>
    <cellStyle name="Comma 15 3 3 7 3" xfId="37460" xr:uid="{00000000-0005-0000-0000-0000556F0000}"/>
    <cellStyle name="Comma 15 3 3 8" xfId="15705" xr:uid="{00000000-0005-0000-0000-0000566F0000}"/>
    <cellStyle name="Comma 15 3 3 8 2" xfId="44711" xr:uid="{00000000-0005-0000-0000-0000576F0000}"/>
    <cellStyle name="Comma 15 3 3 9" xfId="30212" xr:uid="{00000000-0005-0000-0000-0000586F0000}"/>
    <cellStyle name="Comma 15 3 4" xfId="1050" xr:uid="{00000000-0005-0000-0000-0000596F0000}"/>
    <cellStyle name="Comma 15 3 4 2" xfId="1541" xr:uid="{00000000-0005-0000-0000-00005A6F0000}"/>
    <cellStyle name="Comma 15 3 4 2 2" xfId="2599" xr:uid="{00000000-0005-0000-0000-00005B6F0000}"/>
    <cellStyle name="Comma 15 3 4 2 2 2" xfId="5703" xr:uid="{00000000-0005-0000-0000-00005C6F0000}"/>
    <cellStyle name="Comma 15 3 4 2 2 2 2" xfId="12975" xr:uid="{00000000-0005-0000-0000-00005D6F0000}"/>
    <cellStyle name="Comma 15 3 4 2 2 2 2 2" xfId="27509" xr:uid="{00000000-0005-0000-0000-00005E6F0000}"/>
    <cellStyle name="Comma 15 3 4 2 2 2 2 2 2" xfId="56515" xr:uid="{00000000-0005-0000-0000-00005F6F0000}"/>
    <cellStyle name="Comma 15 3 4 2 2 2 2 3" xfId="42016" xr:uid="{00000000-0005-0000-0000-0000606F0000}"/>
    <cellStyle name="Comma 15 3 4 2 2 2 3" xfId="20261" xr:uid="{00000000-0005-0000-0000-0000616F0000}"/>
    <cellStyle name="Comma 15 3 4 2 2 2 3 2" xfId="49267" xr:uid="{00000000-0005-0000-0000-0000626F0000}"/>
    <cellStyle name="Comma 15 3 4 2 2 2 4" xfId="34768" xr:uid="{00000000-0005-0000-0000-0000636F0000}"/>
    <cellStyle name="Comma 15 3 4 2 2 3" xfId="9871" xr:uid="{00000000-0005-0000-0000-0000646F0000}"/>
    <cellStyle name="Comma 15 3 4 2 2 3 2" xfId="24405" xr:uid="{00000000-0005-0000-0000-0000656F0000}"/>
    <cellStyle name="Comma 15 3 4 2 2 3 2 2" xfId="53411" xr:uid="{00000000-0005-0000-0000-0000666F0000}"/>
    <cellStyle name="Comma 15 3 4 2 2 3 3" xfId="38912" xr:uid="{00000000-0005-0000-0000-0000676F0000}"/>
    <cellStyle name="Comma 15 3 4 2 2 4" xfId="17157" xr:uid="{00000000-0005-0000-0000-0000686F0000}"/>
    <cellStyle name="Comma 15 3 4 2 2 4 2" xfId="46163" xr:uid="{00000000-0005-0000-0000-0000696F0000}"/>
    <cellStyle name="Comma 15 3 4 2 2 5" xfId="31664" xr:uid="{00000000-0005-0000-0000-00006A6F0000}"/>
    <cellStyle name="Comma 15 3 4 2 3" xfId="3631" xr:uid="{00000000-0005-0000-0000-00006B6F0000}"/>
    <cellStyle name="Comma 15 3 4 2 3 2" xfId="6735" xr:uid="{00000000-0005-0000-0000-00006C6F0000}"/>
    <cellStyle name="Comma 15 3 4 2 3 2 2" xfId="14007" xr:uid="{00000000-0005-0000-0000-00006D6F0000}"/>
    <cellStyle name="Comma 15 3 4 2 3 2 2 2" xfId="28541" xr:uid="{00000000-0005-0000-0000-00006E6F0000}"/>
    <cellStyle name="Comma 15 3 4 2 3 2 2 2 2" xfId="57547" xr:uid="{00000000-0005-0000-0000-00006F6F0000}"/>
    <cellStyle name="Comma 15 3 4 2 3 2 2 3" xfId="43048" xr:uid="{00000000-0005-0000-0000-0000706F0000}"/>
    <cellStyle name="Comma 15 3 4 2 3 2 3" xfId="21293" xr:uid="{00000000-0005-0000-0000-0000716F0000}"/>
    <cellStyle name="Comma 15 3 4 2 3 2 3 2" xfId="50299" xr:uid="{00000000-0005-0000-0000-0000726F0000}"/>
    <cellStyle name="Comma 15 3 4 2 3 2 4" xfId="35800" xr:uid="{00000000-0005-0000-0000-0000736F0000}"/>
    <cellStyle name="Comma 15 3 4 2 3 3" xfId="10903" xr:uid="{00000000-0005-0000-0000-0000746F0000}"/>
    <cellStyle name="Comma 15 3 4 2 3 3 2" xfId="25437" xr:uid="{00000000-0005-0000-0000-0000756F0000}"/>
    <cellStyle name="Comma 15 3 4 2 3 3 2 2" xfId="54443" xr:uid="{00000000-0005-0000-0000-0000766F0000}"/>
    <cellStyle name="Comma 15 3 4 2 3 3 3" xfId="39944" xr:uid="{00000000-0005-0000-0000-0000776F0000}"/>
    <cellStyle name="Comma 15 3 4 2 3 4" xfId="18189" xr:uid="{00000000-0005-0000-0000-0000786F0000}"/>
    <cellStyle name="Comma 15 3 4 2 3 4 2" xfId="47195" xr:uid="{00000000-0005-0000-0000-0000796F0000}"/>
    <cellStyle name="Comma 15 3 4 2 3 5" xfId="32696" xr:uid="{00000000-0005-0000-0000-00007A6F0000}"/>
    <cellStyle name="Comma 15 3 4 2 4" xfId="4663" xr:uid="{00000000-0005-0000-0000-00007B6F0000}"/>
    <cellStyle name="Comma 15 3 4 2 4 2" xfId="11935" xr:uid="{00000000-0005-0000-0000-00007C6F0000}"/>
    <cellStyle name="Comma 15 3 4 2 4 2 2" xfId="26469" xr:uid="{00000000-0005-0000-0000-00007D6F0000}"/>
    <cellStyle name="Comma 15 3 4 2 4 2 2 2" xfId="55475" xr:uid="{00000000-0005-0000-0000-00007E6F0000}"/>
    <cellStyle name="Comma 15 3 4 2 4 2 3" xfId="40976" xr:uid="{00000000-0005-0000-0000-00007F6F0000}"/>
    <cellStyle name="Comma 15 3 4 2 4 3" xfId="19221" xr:uid="{00000000-0005-0000-0000-0000806F0000}"/>
    <cellStyle name="Comma 15 3 4 2 4 3 2" xfId="48227" xr:uid="{00000000-0005-0000-0000-0000816F0000}"/>
    <cellStyle name="Comma 15 3 4 2 4 4" xfId="33728" xr:uid="{00000000-0005-0000-0000-0000826F0000}"/>
    <cellStyle name="Comma 15 3 4 2 5" xfId="7767" xr:uid="{00000000-0005-0000-0000-0000836F0000}"/>
    <cellStyle name="Comma 15 3 4 2 5 2" xfId="15039" xr:uid="{00000000-0005-0000-0000-0000846F0000}"/>
    <cellStyle name="Comma 15 3 4 2 5 2 2" xfId="29573" xr:uid="{00000000-0005-0000-0000-0000856F0000}"/>
    <cellStyle name="Comma 15 3 4 2 5 2 2 2" xfId="58579" xr:uid="{00000000-0005-0000-0000-0000866F0000}"/>
    <cellStyle name="Comma 15 3 4 2 5 2 3" xfId="44080" xr:uid="{00000000-0005-0000-0000-0000876F0000}"/>
    <cellStyle name="Comma 15 3 4 2 5 3" xfId="22325" xr:uid="{00000000-0005-0000-0000-0000886F0000}"/>
    <cellStyle name="Comma 15 3 4 2 5 3 2" xfId="51331" xr:uid="{00000000-0005-0000-0000-0000896F0000}"/>
    <cellStyle name="Comma 15 3 4 2 5 4" xfId="36832" xr:uid="{00000000-0005-0000-0000-00008A6F0000}"/>
    <cellStyle name="Comma 15 3 4 2 6" xfId="8831" xr:uid="{00000000-0005-0000-0000-00008B6F0000}"/>
    <cellStyle name="Comma 15 3 4 2 6 2" xfId="23365" xr:uid="{00000000-0005-0000-0000-00008C6F0000}"/>
    <cellStyle name="Comma 15 3 4 2 6 2 2" xfId="52371" xr:uid="{00000000-0005-0000-0000-00008D6F0000}"/>
    <cellStyle name="Comma 15 3 4 2 6 3" xfId="37872" xr:uid="{00000000-0005-0000-0000-00008E6F0000}"/>
    <cellStyle name="Comma 15 3 4 2 7" xfId="16117" xr:uid="{00000000-0005-0000-0000-00008F6F0000}"/>
    <cellStyle name="Comma 15 3 4 2 7 2" xfId="45123" xr:uid="{00000000-0005-0000-0000-0000906F0000}"/>
    <cellStyle name="Comma 15 3 4 2 8" xfId="30624" xr:uid="{00000000-0005-0000-0000-0000916F0000}"/>
    <cellStyle name="Comma 15 3 4 3" xfId="2087" xr:uid="{00000000-0005-0000-0000-0000926F0000}"/>
    <cellStyle name="Comma 15 3 4 3 2" xfId="5191" xr:uid="{00000000-0005-0000-0000-0000936F0000}"/>
    <cellStyle name="Comma 15 3 4 3 2 2" xfId="12463" xr:uid="{00000000-0005-0000-0000-0000946F0000}"/>
    <cellStyle name="Comma 15 3 4 3 2 2 2" xfId="26997" xr:uid="{00000000-0005-0000-0000-0000956F0000}"/>
    <cellStyle name="Comma 15 3 4 3 2 2 2 2" xfId="56003" xr:uid="{00000000-0005-0000-0000-0000966F0000}"/>
    <cellStyle name="Comma 15 3 4 3 2 2 3" xfId="41504" xr:uid="{00000000-0005-0000-0000-0000976F0000}"/>
    <cellStyle name="Comma 15 3 4 3 2 3" xfId="19749" xr:uid="{00000000-0005-0000-0000-0000986F0000}"/>
    <cellStyle name="Comma 15 3 4 3 2 3 2" xfId="48755" xr:uid="{00000000-0005-0000-0000-0000996F0000}"/>
    <cellStyle name="Comma 15 3 4 3 2 4" xfId="34256" xr:uid="{00000000-0005-0000-0000-00009A6F0000}"/>
    <cellStyle name="Comma 15 3 4 3 3" xfId="9359" xr:uid="{00000000-0005-0000-0000-00009B6F0000}"/>
    <cellStyle name="Comma 15 3 4 3 3 2" xfId="23893" xr:uid="{00000000-0005-0000-0000-00009C6F0000}"/>
    <cellStyle name="Comma 15 3 4 3 3 2 2" xfId="52899" xr:uid="{00000000-0005-0000-0000-00009D6F0000}"/>
    <cellStyle name="Comma 15 3 4 3 3 3" xfId="38400" xr:uid="{00000000-0005-0000-0000-00009E6F0000}"/>
    <cellStyle name="Comma 15 3 4 3 4" xfId="16645" xr:uid="{00000000-0005-0000-0000-00009F6F0000}"/>
    <cellStyle name="Comma 15 3 4 3 4 2" xfId="45651" xr:uid="{00000000-0005-0000-0000-0000A06F0000}"/>
    <cellStyle name="Comma 15 3 4 3 5" xfId="31152" xr:uid="{00000000-0005-0000-0000-0000A16F0000}"/>
    <cellStyle name="Comma 15 3 4 4" xfId="3119" xr:uid="{00000000-0005-0000-0000-0000A26F0000}"/>
    <cellStyle name="Comma 15 3 4 4 2" xfId="6223" xr:uid="{00000000-0005-0000-0000-0000A36F0000}"/>
    <cellStyle name="Comma 15 3 4 4 2 2" xfId="13495" xr:uid="{00000000-0005-0000-0000-0000A46F0000}"/>
    <cellStyle name="Comma 15 3 4 4 2 2 2" xfId="28029" xr:uid="{00000000-0005-0000-0000-0000A56F0000}"/>
    <cellStyle name="Comma 15 3 4 4 2 2 2 2" xfId="57035" xr:uid="{00000000-0005-0000-0000-0000A66F0000}"/>
    <cellStyle name="Comma 15 3 4 4 2 2 3" xfId="42536" xr:uid="{00000000-0005-0000-0000-0000A76F0000}"/>
    <cellStyle name="Comma 15 3 4 4 2 3" xfId="20781" xr:uid="{00000000-0005-0000-0000-0000A86F0000}"/>
    <cellStyle name="Comma 15 3 4 4 2 3 2" xfId="49787" xr:uid="{00000000-0005-0000-0000-0000A96F0000}"/>
    <cellStyle name="Comma 15 3 4 4 2 4" xfId="35288" xr:uid="{00000000-0005-0000-0000-0000AA6F0000}"/>
    <cellStyle name="Comma 15 3 4 4 3" xfId="10391" xr:uid="{00000000-0005-0000-0000-0000AB6F0000}"/>
    <cellStyle name="Comma 15 3 4 4 3 2" xfId="24925" xr:uid="{00000000-0005-0000-0000-0000AC6F0000}"/>
    <cellStyle name="Comma 15 3 4 4 3 2 2" xfId="53931" xr:uid="{00000000-0005-0000-0000-0000AD6F0000}"/>
    <cellStyle name="Comma 15 3 4 4 3 3" xfId="39432" xr:uid="{00000000-0005-0000-0000-0000AE6F0000}"/>
    <cellStyle name="Comma 15 3 4 4 4" xfId="17677" xr:uid="{00000000-0005-0000-0000-0000AF6F0000}"/>
    <cellStyle name="Comma 15 3 4 4 4 2" xfId="46683" xr:uid="{00000000-0005-0000-0000-0000B06F0000}"/>
    <cellStyle name="Comma 15 3 4 4 5" xfId="32184" xr:uid="{00000000-0005-0000-0000-0000B16F0000}"/>
    <cellStyle name="Comma 15 3 4 5" xfId="4151" xr:uid="{00000000-0005-0000-0000-0000B26F0000}"/>
    <cellStyle name="Comma 15 3 4 5 2" xfId="11423" xr:uid="{00000000-0005-0000-0000-0000B36F0000}"/>
    <cellStyle name="Comma 15 3 4 5 2 2" xfId="25957" xr:uid="{00000000-0005-0000-0000-0000B46F0000}"/>
    <cellStyle name="Comma 15 3 4 5 2 2 2" xfId="54963" xr:uid="{00000000-0005-0000-0000-0000B56F0000}"/>
    <cellStyle name="Comma 15 3 4 5 2 3" xfId="40464" xr:uid="{00000000-0005-0000-0000-0000B66F0000}"/>
    <cellStyle name="Comma 15 3 4 5 3" xfId="18709" xr:uid="{00000000-0005-0000-0000-0000B76F0000}"/>
    <cellStyle name="Comma 15 3 4 5 3 2" xfId="47715" xr:uid="{00000000-0005-0000-0000-0000B86F0000}"/>
    <cellStyle name="Comma 15 3 4 5 4" xfId="33216" xr:uid="{00000000-0005-0000-0000-0000B96F0000}"/>
    <cellStyle name="Comma 15 3 4 6" xfId="7255" xr:uid="{00000000-0005-0000-0000-0000BA6F0000}"/>
    <cellStyle name="Comma 15 3 4 6 2" xfId="14527" xr:uid="{00000000-0005-0000-0000-0000BB6F0000}"/>
    <cellStyle name="Comma 15 3 4 6 2 2" xfId="29061" xr:uid="{00000000-0005-0000-0000-0000BC6F0000}"/>
    <cellStyle name="Comma 15 3 4 6 2 2 2" xfId="58067" xr:uid="{00000000-0005-0000-0000-0000BD6F0000}"/>
    <cellStyle name="Comma 15 3 4 6 2 3" xfId="43568" xr:uid="{00000000-0005-0000-0000-0000BE6F0000}"/>
    <cellStyle name="Comma 15 3 4 6 3" xfId="21813" xr:uid="{00000000-0005-0000-0000-0000BF6F0000}"/>
    <cellStyle name="Comma 15 3 4 6 3 2" xfId="50819" xr:uid="{00000000-0005-0000-0000-0000C06F0000}"/>
    <cellStyle name="Comma 15 3 4 6 4" xfId="36320" xr:uid="{00000000-0005-0000-0000-0000C16F0000}"/>
    <cellStyle name="Comma 15 3 4 7" xfId="8319" xr:uid="{00000000-0005-0000-0000-0000C26F0000}"/>
    <cellStyle name="Comma 15 3 4 7 2" xfId="22853" xr:uid="{00000000-0005-0000-0000-0000C36F0000}"/>
    <cellStyle name="Comma 15 3 4 7 2 2" xfId="51859" xr:uid="{00000000-0005-0000-0000-0000C46F0000}"/>
    <cellStyle name="Comma 15 3 4 7 3" xfId="37360" xr:uid="{00000000-0005-0000-0000-0000C56F0000}"/>
    <cellStyle name="Comma 15 3 4 8" xfId="15605" xr:uid="{00000000-0005-0000-0000-0000C66F0000}"/>
    <cellStyle name="Comma 15 3 4 8 2" xfId="44611" xr:uid="{00000000-0005-0000-0000-0000C76F0000}"/>
    <cellStyle name="Comma 15 3 4 9" xfId="30112" xr:uid="{00000000-0005-0000-0000-0000C86F0000}"/>
    <cellStyle name="Comma 15 3 5" xfId="1336" xr:uid="{00000000-0005-0000-0000-0000C96F0000}"/>
    <cellStyle name="Comma 15 3 5 2" xfId="2393" xr:uid="{00000000-0005-0000-0000-0000CA6F0000}"/>
    <cellStyle name="Comma 15 3 5 2 2" xfId="5497" xr:uid="{00000000-0005-0000-0000-0000CB6F0000}"/>
    <cellStyle name="Comma 15 3 5 2 2 2" xfId="12769" xr:uid="{00000000-0005-0000-0000-0000CC6F0000}"/>
    <cellStyle name="Comma 15 3 5 2 2 2 2" xfId="27303" xr:uid="{00000000-0005-0000-0000-0000CD6F0000}"/>
    <cellStyle name="Comma 15 3 5 2 2 2 2 2" xfId="56309" xr:uid="{00000000-0005-0000-0000-0000CE6F0000}"/>
    <cellStyle name="Comma 15 3 5 2 2 2 3" xfId="41810" xr:uid="{00000000-0005-0000-0000-0000CF6F0000}"/>
    <cellStyle name="Comma 15 3 5 2 2 3" xfId="20055" xr:uid="{00000000-0005-0000-0000-0000D06F0000}"/>
    <cellStyle name="Comma 15 3 5 2 2 3 2" xfId="49061" xr:uid="{00000000-0005-0000-0000-0000D16F0000}"/>
    <cellStyle name="Comma 15 3 5 2 2 4" xfId="34562" xr:uid="{00000000-0005-0000-0000-0000D26F0000}"/>
    <cellStyle name="Comma 15 3 5 2 3" xfId="9665" xr:uid="{00000000-0005-0000-0000-0000D36F0000}"/>
    <cellStyle name="Comma 15 3 5 2 3 2" xfId="24199" xr:uid="{00000000-0005-0000-0000-0000D46F0000}"/>
    <cellStyle name="Comma 15 3 5 2 3 2 2" xfId="53205" xr:uid="{00000000-0005-0000-0000-0000D56F0000}"/>
    <cellStyle name="Comma 15 3 5 2 3 3" xfId="38706" xr:uid="{00000000-0005-0000-0000-0000D66F0000}"/>
    <cellStyle name="Comma 15 3 5 2 4" xfId="16951" xr:uid="{00000000-0005-0000-0000-0000D76F0000}"/>
    <cellStyle name="Comma 15 3 5 2 4 2" xfId="45957" xr:uid="{00000000-0005-0000-0000-0000D86F0000}"/>
    <cellStyle name="Comma 15 3 5 2 5" xfId="31458" xr:uid="{00000000-0005-0000-0000-0000D96F0000}"/>
    <cellStyle name="Comma 15 3 5 3" xfId="3425" xr:uid="{00000000-0005-0000-0000-0000DA6F0000}"/>
    <cellStyle name="Comma 15 3 5 3 2" xfId="6529" xr:uid="{00000000-0005-0000-0000-0000DB6F0000}"/>
    <cellStyle name="Comma 15 3 5 3 2 2" xfId="13801" xr:uid="{00000000-0005-0000-0000-0000DC6F0000}"/>
    <cellStyle name="Comma 15 3 5 3 2 2 2" xfId="28335" xr:uid="{00000000-0005-0000-0000-0000DD6F0000}"/>
    <cellStyle name="Comma 15 3 5 3 2 2 2 2" xfId="57341" xr:uid="{00000000-0005-0000-0000-0000DE6F0000}"/>
    <cellStyle name="Comma 15 3 5 3 2 2 3" xfId="42842" xr:uid="{00000000-0005-0000-0000-0000DF6F0000}"/>
    <cellStyle name="Comma 15 3 5 3 2 3" xfId="21087" xr:uid="{00000000-0005-0000-0000-0000E06F0000}"/>
    <cellStyle name="Comma 15 3 5 3 2 3 2" xfId="50093" xr:uid="{00000000-0005-0000-0000-0000E16F0000}"/>
    <cellStyle name="Comma 15 3 5 3 2 4" xfId="35594" xr:uid="{00000000-0005-0000-0000-0000E26F0000}"/>
    <cellStyle name="Comma 15 3 5 3 3" xfId="10697" xr:uid="{00000000-0005-0000-0000-0000E36F0000}"/>
    <cellStyle name="Comma 15 3 5 3 3 2" xfId="25231" xr:uid="{00000000-0005-0000-0000-0000E46F0000}"/>
    <cellStyle name="Comma 15 3 5 3 3 2 2" xfId="54237" xr:uid="{00000000-0005-0000-0000-0000E56F0000}"/>
    <cellStyle name="Comma 15 3 5 3 3 3" xfId="39738" xr:uid="{00000000-0005-0000-0000-0000E66F0000}"/>
    <cellStyle name="Comma 15 3 5 3 4" xfId="17983" xr:uid="{00000000-0005-0000-0000-0000E76F0000}"/>
    <cellStyle name="Comma 15 3 5 3 4 2" xfId="46989" xr:uid="{00000000-0005-0000-0000-0000E86F0000}"/>
    <cellStyle name="Comma 15 3 5 3 5" xfId="32490" xr:uid="{00000000-0005-0000-0000-0000E96F0000}"/>
    <cellStyle name="Comma 15 3 5 4" xfId="4457" xr:uid="{00000000-0005-0000-0000-0000EA6F0000}"/>
    <cellStyle name="Comma 15 3 5 4 2" xfId="11729" xr:uid="{00000000-0005-0000-0000-0000EB6F0000}"/>
    <cellStyle name="Comma 15 3 5 4 2 2" xfId="26263" xr:uid="{00000000-0005-0000-0000-0000EC6F0000}"/>
    <cellStyle name="Comma 15 3 5 4 2 2 2" xfId="55269" xr:uid="{00000000-0005-0000-0000-0000ED6F0000}"/>
    <cellStyle name="Comma 15 3 5 4 2 3" xfId="40770" xr:uid="{00000000-0005-0000-0000-0000EE6F0000}"/>
    <cellStyle name="Comma 15 3 5 4 3" xfId="19015" xr:uid="{00000000-0005-0000-0000-0000EF6F0000}"/>
    <cellStyle name="Comma 15 3 5 4 3 2" xfId="48021" xr:uid="{00000000-0005-0000-0000-0000F06F0000}"/>
    <cellStyle name="Comma 15 3 5 4 4" xfId="33522" xr:uid="{00000000-0005-0000-0000-0000F16F0000}"/>
    <cellStyle name="Comma 15 3 5 5" xfId="7561" xr:uid="{00000000-0005-0000-0000-0000F26F0000}"/>
    <cellStyle name="Comma 15 3 5 5 2" xfId="14833" xr:uid="{00000000-0005-0000-0000-0000F36F0000}"/>
    <cellStyle name="Comma 15 3 5 5 2 2" xfId="29367" xr:uid="{00000000-0005-0000-0000-0000F46F0000}"/>
    <cellStyle name="Comma 15 3 5 5 2 2 2" xfId="58373" xr:uid="{00000000-0005-0000-0000-0000F56F0000}"/>
    <cellStyle name="Comma 15 3 5 5 2 3" xfId="43874" xr:uid="{00000000-0005-0000-0000-0000F66F0000}"/>
    <cellStyle name="Comma 15 3 5 5 3" xfId="22119" xr:uid="{00000000-0005-0000-0000-0000F76F0000}"/>
    <cellStyle name="Comma 15 3 5 5 3 2" xfId="51125" xr:uid="{00000000-0005-0000-0000-0000F86F0000}"/>
    <cellStyle name="Comma 15 3 5 5 4" xfId="36626" xr:uid="{00000000-0005-0000-0000-0000F96F0000}"/>
    <cellStyle name="Comma 15 3 5 6" xfId="8625" xr:uid="{00000000-0005-0000-0000-0000FA6F0000}"/>
    <cellStyle name="Comma 15 3 5 6 2" xfId="23159" xr:uid="{00000000-0005-0000-0000-0000FB6F0000}"/>
    <cellStyle name="Comma 15 3 5 6 2 2" xfId="52165" xr:uid="{00000000-0005-0000-0000-0000FC6F0000}"/>
    <cellStyle name="Comma 15 3 5 6 3" xfId="37666" xr:uid="{00000000-0005-0000-0000-0000FD6F0000}"/>
    <cellStyle name="Comma 15 3 5 7" xfId="15911" xr:uid="{00000000-0005-0000-0000-0000FE6F0000}"/>
    <cellStyle name="Comma 15 3 5 7 2" xfId="44917" xr:uid="{00000000-0005-0000-0000-0000FF6F0000}"/>
    <cellStyle name="Comma 15 3 5 8" xfId="30418" xr:uid="{00000000-0005-0000-0000-000000700000}"/>
    <cellStyle name="Comma 15 3 6" xfId="1881" xr:uid="{00000000-0005-0000-0000-000001700000}"/>
    <cellStyle name="Comma 15 3 6 2" xfId="4985" xr:uid="{00000000-0005-0000-0000-000002700000}"/>
    <cellStyle name="Comma 15 3 6 2 2" xfId="12257" xr:uid="{00000000-0005-0000-0000-000003700000}"/>
    <cellStyle name="Comma 15 3 6 2 2 2" xfId="26791" xr:uid="{00000000-0005-0000-0000-000004700000}"/>
    <cellStyle name="Comma 15 3 6 2 2 2 2" xfId="55797" xr:uid="{00000000-0005-0000-0000-000005700000}"/>
    <cellStyle name="Comma 15 3 6 2 2 3" xfId="41298" xr:uid="{00000000-0005-0000-0000-000006700000}"/>
    <cellStyle name="Comma 15 3 6 2 3" xfId="19543" xr:uid="{00000000-0005-0000-0000-000007700000}"/>
    <cellStyle name="Comma 15 3 6 2 3 2" xfId="48549" xr:uid="{00000000-0005-0000-0000-000008700000}"/>
    <cellStyle name="Comma 15 3 6 2 4" xfId="34050" xr:uid="{00000000-0005-0000-0000-000009700000}"/>
    <cellStyle name="Comma 15 3 6 3" xfId="9153" xr:uid="{00000000-0005-0000-0000-00000A700000}"/>
    <cellStyle name="Comma 15 3 6 3 2" xfId="23687" xr:uid="{00000000-0005-0000-0000-00000B700000}"/>
    <cellStyle name="Comma 15 3 6 3 2 2" xfId="52693" xr:uid="{00000000-0005-0000-0000-00000C700000}"/>
    <cellStyle name="Comma 15 3 6 3 3" xfId="38194" xr:uid="{00000000-0005-0000-0000-00000D700000}"/>
    <cellStyle name="Comma 15 3 6 4" xfId="16439" xr:uid="{00000000-0005-0000-0000-00000E700000}"/>
    <cellStyle name="Comma 15 3 6 4 2" xfId="45445" xr:uid="{00000000-0005-0000-0000-00000F700000}"/>
    <cellStyle name="Comma 15 3 6 5" xfId="30946" xr:uid="{00000000-0005-0000-0000-000010700000}"/>
    <cellStyle name="Comma 15 3 7" xfId="2913" xr:uid="{00000000-0005-0000-0000-000011700000}"/>
    <cellStyle name="Comma 15 3 7 2" xfId="6017" xr:uid="{00000000-0005-0000-0000-000012700000}"/>
    <cellStyle name="Comma 15 3 7 2 2" xfId="13289" xr:uid="{00000000-0005-0000-0000-000013700000}"/>
    <cellStyle name="Comma 15 3 7 2 2 2" xfId="27823" xr:uid="{00000000-0005-0000-0000-000014700000}"/>
    <cellStyle name="Comma 15 3 7 2 2 2 2" xfId="56829" xr:uid="{00000000-0005-0000-0000-000015700000}"/>
    <cellStyle name="Comma 15 3 7 2 2 3" xfId="42330" xr:uid="{00000000-0005-0000-0000-000016700000}"/>
    <cellStyle name="Comma 15 3 7 2 3" xfId="20575" xr:uid="{00000000-0005-0000-0000-000017700000}"/>
    <cellStyle name="Comma 15 3 7 2 3 2" xfId="49581" xr:uid="{00000000-0005-0000-0000-000018700000}"/>
    <cellStyle name="Comma 15 3 7 2 4" xfId="35082" xr:uid="{00000000-0005-0000-0000-000019700000}"/>
    <cellStyle name="Comma 15 3 7 3" xfId="10185" xr:uid="{00000000-0005-0000-0000-00001A700000}"/>
    <cellStyle name="Comma 15 3 7 3 2" xfId="24719" xr:uid="{00000000-0005-0000-0000-00001B700000}"/>
    <cellStyle name="Comma 15 3 7 3 2 2" xfId="53725" xr:uid="{00000000-0005-0000-0000-00001C700000}"/>
    <cellStyle name="Comma 15 3 7 3 3" xfId="39226" xr:uid="{00000000-0005-0000-0000-00001D700000}"/>
    <cellStyle name="Comma 15 3 7 4" xfId="17471" xr:uid="{00000000-0005-0000-0000-00001E700000}"/>
    <cellStyle name="Comma 15 3 7 4 2" xfId="46477" xr:uid="{00000000-0005-0000-0000-00001F700000}"/>
    <cellStyle name="Comma 15 3 7 5" xfId="31978" xr:uid="{00000000-0005-0000-0000-000020700000}"/>
    <cellStyle name="Comma 15 3 8" xfId="3945" xr:uid="{00000000-0005-0000-0000-000021700000}"/>
    <cellStyle name="Comma 15 3 8 2" xfId="11217" xr:uid="{00000000-0005-0000-0000-000022700000}"/>
    <cellStyle name="Comma 15 3 8 2 2" xfId="25751" xr:uid="{00000000-0005-0000-0000-000023700000}"/>
    <cellStyle name="Comma 15 3 8 2 2 2" xfId="54757" xr:uid="{00000000-0005-0000-0000-000024700000}"/>
    <cellStyle name="Comma 15 3 8 2 3" xfId="40258" xr:uid="{00000000-0005-0000-0000-000025700000}"/>
    <cellStyle name="Comma 15 3 8 3" xfId="18503" xr:uid="{00000000-0005-0000-0000-000026700000}"/>
    <cellStyle name="Comma 15 3 8 3 2" xfId="47509" xr:uid="{00000000-0005-0000-0000-000027700000}"/>
    <cellStyle name="Comma 15 3 8 4" xfId="33010" xr:uid="{00000000-0005-0000-0000-000028700000}"/>
    <cellStyle name="Comma 15 3 9" xfId="7049" xr:uid="{00000000-0005-0000-0000-000029700000}"/>
    <cellStyle name="Comma 15 3 9 2" xfId="14321" xr:uid="{00000000-0005-0000-0000-00002A700000}"/>
    <cellStyle name="Comma 15 3 9 2 2" xfId="28855" xr:uid="{00000000-0005-0000-0000-00002B700000}"/>
    <cellStyle name="Comma 15 3 9 2 2 2" xfId="57861" xr:uid="{00000000-0005-0000-0000-00002C700000}"/>
    <cellStyle name="Comma 15 3 9 2 3" xfId="43362" xr:uid="{00000000-0005-0000-0000-00002D700000}"/>
    <cellStyle name="Comma 15 3 9 3" xfId="21607" xr:uid="{00000000-0005-0000-0000-00002E700000}"/>
    <cellStyle name="Comma 15 3 9 3 2" xfId="50613" xr:uid="{00000000-0005-0000-0000-00002F700000}"/>
    <cellStyle name="Comma 15 3 9 4" xfId="36114" xr:uid="{00000000-0005-0000-0000-000030700000}"/>
    <cellStyle name="Comma 15 4" xfId="918" xr:uid="{00000000-0005-0000-0000-000031700000}"/>
    <cellStyle name="Comma 15 4 10" xfId="29957" xr:uid="{00000000-0005-0000-0000-000032700000}"/>
    <cellStyle name="Comma 15 4 2" xfId="1188" xr:uid="{00000000-0005-0000-0000-000033700000}"/>
    <cellStyle name="Comma 15 4 2 2" xfId="1691" xr:uid="{00000000-0005-0000-0000-000034700000}"/>
    <cellStyle name="Comma 15 4 2 2 2" xfId="2750" xr:uid="{00000000-0005-0000-0000-000035700000}"/>
    <cellStyle name="Comma 15 4 2 2 2 2" xfId="5854" xr:uid="{00000000-0005-0000-0000-000036700000}"/>
    <cellStyle name="Comma 15 4 2 2 2 2 2" xfId="13126" xr:uid="{00000000-0005-0000-0000-000037700000}"/>
    <cellStyle name="Comma 15 4 2 2 2 2 2 2" xfId="27660" xr:uid="{00000000-0005-0000-0000-000038700000}"/>
    <cellStyle name="Comma 15 4 2 2 2 2 2 2 2" xfId="56666" xr:uid="{00000000-0005-0000-0000-000039700000}"/>
    <cellStyle name="Comma 15 4 2 2 2 2 2 3" xfId="42167" xr:uid="{00000000-0005-0000-0000-00003A700000}"/>
    <cellStyle name="Comma 15 4 2 2 2 2 3" xfId="20412" xr:uid="{00000000-0005-0000-0000-00003B700000}"/>
    <cellStyle name="Comma 15 4 2 2 2 2 3 2" xfId="49418" xr:uid="{00000000-0005-0000-0000-00003C700000}"/>
    <cellStyle name="Comma 15 4 2 2 2 2 4" xfId="34919" xr:uid="{00000000-0005-0000-0000-00003D700000}"/>
    <cellStyle name="Comma 15 4 2 2 2 3" xfId="10022" xr:uid="{00000000-0005-0000-0000-00003E700000}"/>
    <cellStyle name="Comma 15 4 2 2 2 3 2" xfId="24556" xr:uid="{00000000-0005-0000-0000-00003F700000}"/>
    <cellStyle name="Comma 15 4 2 2 2 3 2 2" xfId="53562" xr:uid="{00000000-0005-0000-0000-000040700000}"/>
    <cellStyle name="Comma 15 4 2 2 2 3 3" xfId="39063" xr:uid="{00000000-0005-0000-0000-000041700000}"/>
    <cellStyle name="Comma 15 4 2 2 2 4" xfId="17308" xr:uid="{00000000-0005-0000-0000-000042700000}"/>
    <cellStyle name="Comma 15 4 2 2 2 4 2" xfId="46314" xr:uid="{00000000-0005-0000-0000-000043700000}"/>
    <cellStyle name="Comma 15 4 2 2 2 5" xfId="31815" xr:uid="{00000000-0005-0000-0000-000044700000}"/>
    <cellStyle name="Comma 15 4 2 2 3" xfId="3782" xr:uid="{00000000-0005-0000-0000-000045700000}"/>
    <cellStyle name="Comma 15 4 2 2 3 2" xfId="6886" xr:uid="{00000000-0005-0000-0000-000046700000}"/>
    <cellStyle name="Comma 15 4 2 2 3 2 2" xfId="14158" xr:uid="{00000000-0005-0000-0000-000047700000}"/>
    <cellStyle name="Comma 15 4 2 2 3 2 2 2" xfId="28692" xr:uid="{00000000-0005-0000-0000-000048700000}"/>
    <cellStyle name="Comma 15 4 2 2 3 2 2 2 2" xfId="57698" xr:uid="{00000000-0005-0000-0000-000049700000}"/>
    <cellStyle name="Comma 15 4 2 2 3 2 2 3" xfId="43199" xr:uid="{00000000-0005-0000-0000-00004A700000}"/>
    <cellStyle name="Comma 15 4 2 2 3 2 3" xfId="21444" xr:uid="{00000000-0005-0000-0000-00004B700000}"/>
    <cellStyle name="Comma 15 4 2 2 3 2 3 2" xfId="50450" xr:uid="{00000000-0005-0000-0000-00004C700000}"/>
    <cellStyle name="Comma 15 4 2 2 3 2 4" xfId="35951" xr:uid="{00000000-0005-0000-0000-00004D700000}"/>
    <cellStyle name="Comma 15 4 2 2 3 3" xfId="11054" xr:uid="{00000000-0005-0000-0000-00004E700000}"/>
    <cellStyle name="Comma 15 4 2 2 3 3 2" xfId="25588" xr:uid="{00000000-0005-0000-0000-00004F700000}"/>
    <cellStyle name="Comma 15 4 2 2 3 3 2 2" xfId="54594" xr:uid="{00000000-0005-0000-0000-000050700000}"/>
    <cellStyle name="Comma 15 4 2 2 3 3 3" xfId="40095" xr:uid="{00000000-0005-0000-0000-000051700000}"/>
    <cellStyle name="Comma 15 4 2 2 3 4" xfId="18340" xr:uid="{00000000-0005-0000-0000-000052700000}"/>
    <cellStyle name="Comma 15 4 2 2 3 4 2" xfId="47346" xr:uid="{00000000-0005-0000-0000-000053700000}"/>
    <cellStyle name="Comma 15 4 2 2 3 5" xfId="32847" xr:uid="{00000000-0005-0000-0000-000054700000}"/>
    <cellStyle name="Comma 15 4 2 2 4" xfId="4814" xr:uid="{00000000-0005-0000-0000-000055700000}"/>
    <cellStyle name="Comma 15 4 2 2 4 2" xfId="12086" xr:uid="{00000000-0005-0000-0000-000056700000}"/>
    <cellStyle name="Comma 15 4 2 2 4 2 2" xfId="26620" xr:uid="{00000000-0005-0000-0000-000057700000}"/>
    <cellStyle name="Comma 15 4 2 2 4 2 2 2" xfId="55626" xr:uid="{00000000-0005-0000-0000-000058700000}"/>
    <cellStyle name="Comma 15 4 2 2 4 2 3" xfId="41127" xr:uid="{00000000-0005-0000-0000-000059700000}"/>
    <cellStyle name="Comma 15 4 2 2 4 3" xfId="19372" xr:uid="{00000000-0005-0000-0000-00005A700000}"/>
    <cellStyle name="Comma 15 4 2 2 4 3 2" xfId="48378" xr:uid="{00000000-0005-0000-0000-00005B700000}"/>
    <cellStyle name="Comma 15 4 2 2 4 4" xfId="33879" xr:uid="{00000000-0005-0000-0000-00005C700000}"/>
    <cellStyle name="Comma 15 4 2 2 5" xfId="7918" xr:uid="{00000000-0005-0000-0000-00005D700000}"/>
    <cellStyle name="Comma 15 4 2 2 5 2" xfId="15190" xr:uid="{00000000-0005-0000-0000-00005E700000}"/>
    <cellStyle name="Comma 15 4 2 2 5 2 2" xfId="29724" xr:uid="{00000000-0005-0000-0000-00005F700000}"/>
    <cellStyle name="Comma 15 4 2 2 5 2 2 2" xfId="58730" xr:uid="{00000000-0005-0000-0000-000060700000}"/>
    <cellStyle name="Comma 15 4 2 2 5 2 3" xfId="44231" xr:uid="{00000000-0005-0000-0000-000061700000}"/>
    <cellStyle name="Comma 15 4 2 2 5 3" xfId="22476" xr:uid="{00000000-0005-0000-0000-000062700000}"/>
    <cellStyle name="Comma 15 4 2 2 5 3 2" xfId="51482" xr:uid="{00000000-0005-0000-0000-000063700000}"/>
    <cellStyle name="Comma 15 4 2 2 5 4" xfId="36983" xr:uid="{00000000-0005-0000-0000-000064700000}"/>
    <cellStyle name="Comma 15 4 2 2 6" xfId="8982" xr:uid="{00000000-0005-0000-0000-000065700000}"/>
    <cellStyle name="Comma 15 4 2 2 6 2" xfId="23516" xr:uid="{00000000-0005-0000-0000-000066700000}"/>
    <cellStyle name="Comma 15 4 2 2 6 2 2" xfId="52522" xr:uid="{00000000-0005-0000-0000-000067700000}"/>
    <cellStyle name="Comma 15 4 2 2 6 3" xfId="38023" xr:uid="{00000000-0005-0000-0000-000068700000}"/>
    <cellStyle name="Comma 15 4 2 2 7" xfId="16268" xr:uid="{00000000-0005-0000-0000-000069700000}"/>
    <cellStyle name="Comma 15 4 2 2 7 2" xfId="45274" xr:uid="{00000000-0005-0000-0000-00006A700000}"/>
    <cellStyle name="Comma 15 4 2 2 8" xfId="30775" xr:uid="{00000000-0005-0000-0000-00006B700000}"/>
    <cellStyle name="Comma 15 4 2 3" xfId="2238" xr:uid="{00000000-0005-0000-0000-00006C700000}"/>
    <cellStyle name="Comma 15 4 2 3 2" xfId="5342" xr:uid="{00000000-0005-0000-0000-00006D700000}"/>
    <cellStyle name="Comma 15 4 2 3 2 2" xfId="12614" xr:uid="{00000000-0005-0000-0000-00006E700000}"/>
    <cellStyle name="Comma 15 4 2 3 2 2 2" xfId="27148" xr:uid="{00000000-0005-0000-0000-00006F700000}"/>
    <cellStyle name="Comma 15 4 2 3 2 2 2 2" xfId="56154" xr:uid="{00000000-0005-0000-0000-000070700000}"/>
    <cellStyle name="Comma 15 4 2 3 2 2 3" xfId="41655" xr:uid="{00000000-0005-0000-0000-000071700000}"/>
    <cellStyle name="Comma 15 4 2 3 2 3" xfId="19900" xr:uid="{00000000-0005-0000-0000-000072700000}"/>
    <cellStyle name="Comma 15 4 2 3 2 3 2" xfId="48906" xr:uid="{00000000-0005-0000-0000-000073700000}"/>
    <cellStyle name="Comma 15 4 2 3 2 4" xfId="34407" xr:uid="{00000000-0005-0000-0000-000074700000}"/>
    <cellStyle name="Comma 15 4 2 3 3" xfId="9510" xr:uid="{00000000-0005-0000-0000-000075700000}"/>
    <cellStyle name="Comma 15 4 2 3 3 2" xfId="24044" xr:uid="{00000000-0005-0000-0000-000076700000}"/>
    <cellStyle name="Comma 15 4 2 3 3 2 2" xfId="53050" xr:uid="{00000000-0005-0000-0000-000077700000}"/>
    <cellStyle name="Comma 15 4 2 3 3 3" xfId="38551" xr:uid="{00000000-0005-0000-0000-000078700000}"/>
    <cellStyle name="Comma 15 4 2 3 4" xfId="16796" xr:uid="{00000000-0005-0000-0000-000079700000}"/>
    <cellStyle name="Comma 15 4 2 3 4 2" xfId="45802" xr:uid="{00000000-0005-0000-0000-00007A700000}"/>
    <cellStyle name="Comma 15 4 2 3 5" xfId="31303" xr:uid="{00000000-0005-0000-0000-00007B700000}"/>
    <cellStyle name="Comma 15 4 2 4" xfId="3270" xr:uid="{00000000-0005-0000-0000-00007C700000}"/>
    <cellStyle name="Comma 15 4 2 4 2" xfId="6374" xr:uid="{00000000-0005-0000-0000-00007D700000}"/>
    <cellStyle name="Comma 15 4 2 4 2 2" xfId="13646" xr:uid="{00000000-0005-0000-0000-00007E700000}"/>
    <cellStyle name="Comma 15 4 2 4 2 2 2" xfId="28180" xr:uid="{00000000-0005-0000-0000-00007F700000}"/>
    <cellStyle name="Comma 15 4 2 4 2 2 2 2" xfId="57186" xr:uid="{00000000-0005-0000-0000-000080700000}"/>
    <cellStyle name="Comma 15 4 2 4 2 2 3" xfId="42687" xr:uid="{00000000-0005-0000-0000-000081700000}"/>
    <cellStyle name="Comma 15 4 2 4 2 3" xfId="20932" xr:uid="{00000000-0005-0000-0000-000082700000}"/>
    <cellStyle name="Comma 15 4 2 4 2 3 2" xfId="49938" xr:uid="{00000000-0005-0000-0000-000083700000}"/>
    <cellStyle name="Comma 15 4 2 4 2 4" xfId="35439" xr:uid="{00000000-0005-0000-0000-000084700000}"/>
    <cellStyle name="Comma 15 4 2 4 3" xfId="10542" xr:uid="{00000000-0005-0000-0000-000085700000}"/>
    <cellStyle name="Comma 15 4 2 4 3 2" xfId="25076" xr:uid="{00000000-0005-0000-0000-000086700000}"/>
    <cellStyle name="Comma 15 4 2 4 3 2 2" xfId="54082" xr:uid="{00000000-0005-0000-0000-000087700000}"/>
    <cellStyle name="Comma 15 4 2 4 3 3" xfId="39583" xr:uid="{00000000-0005-0000-0000-000088700000}"/>
    <cellStyle name="Comma 15 4 2 4 4" xfId="17828" xr:uid="{00000000-0005-0000-0000-000089700000}"/>
    <cellStyle name="Comma 15 4 2 4 4 2" xfId="46834" xr:uid="{00000000-0005-0000-0000-00008A700000}"/>
    <cellStyle name="Comma 15 4 2 4 5" xfId="32335" xr:uid="{00000000-0005-0000-0000-00008B700000}"/>
    <cellStyle name="Comma 15 4 2 5" xfId="4302" xr:uid="{00000000-0005-0000-0000-00008C700000}"/>
    <cellStyle name="Comma 15 4 2 5 2" xfId="11574" xr:uid="{00000000-0005-0000-0000-00008D700000}"/>
    <cellStyle name="Comma 15 4 2 5 2 2" xfId="26108" xr:uid="{00000000-0005-0000-0000-00008E700000}"/>
    <cellStyle name="Comma 15 4 2 5 2 2 2" xfId="55114" xr:uid="{00000000-0005-0000-0000-00008F700000}"/>
    <cellStyle name="Comma 15 4 2 5 2 3" xfId="40615" xr:uid="{00000000-0005-0000-0000-000090700000}"/>
    <cellStyle name="Comma 15 4 2 5 3" xfId="18860" xr:uid="{00000000-0005-0000-0000-000091700000}"/>
    <cellStyle name="Comma 15 4 2 5 3 2" xfId="47866" xr:uid="{00000000-0005-0000-0000-000092700000}"/>
    <cellStyle name="Comma 15 4 2 5 4" xfId="33367" xr:uid="{00000000-0005-0000-0000-000093700000}"/>
    <cellStyle name="Comma 15 4 2 6" xfId="7406" xr:uid="{00000000-0005-0000-0000-000094700000}"/>
    <cellStyle name="Comma 15 4 2 6 2" xfId="14678" xr:uid="{00000000-0005-0000-0000-000095700000}"/>
    <cellStyle name="Comma 15 4 2 6 2 2" xfId="29212" xr:uid="{00000000-0005-0000-0000-000096700000}"/>
    <cellStyle name="Comma 15 4 2 6 2 2 2" xfId="58218" xr:uid="{00000000-0005-0000-0000-000097700000}"/>
    <cellStyle name="Comma 15 4 2 6 2 3" xfId="43719" xr:uid="{00000000-0005-0000-0000-000098700000}"/>
    <cellStyle name="Comma 15 4 2 6 3" xfId="21964" xr:uid="{00000000-0005-0000-0000-000099700000}"/>
    <cellStyle name="Comma 15 4 2 6 3 2" xfId="50970" xr:uid="{00000000-0005-0000-0000-00009A700000}"/>
    <cellStyle name="Comma 15 4 2 6 4" xfId="36471" xr:uid="{00000000-0005-0000-0000-00009B700000}"/>
    <cellStyle name="Comma 15 4 2 7" xfId="8470" xr:uid="{00000000-0005-0000-0000-00009C700000}"/>
    <cellStyle name="Comma 15 4 2 7 2" xfId="23004" xr:uid="{00000000-0005-0000-0000-00009D700000}"/>
    <cellStyle name="Comma 15 4 2 7 2 2" xfId="52010" xr:uid="{00000000-0005-0000-0000-00009E700000}"/>
    <cellStyle name="Comma 15 4 2 7 3" xfId="37511" xr:uid="{00000000-0005-0000-0000-00009F700000}"/>
    <cellStyle name="Comma 15 4 2 8" xfId="15756" xr:uid="{00000000-0005-0000-0000-0000A0700000}"/>
    <cellStyle name="Comma 15 4 2 8 2" xfId="44762" xr:uid="{00000000-0005-0000-0000-0000A1700000}"/>
    <cellStyle name="Comma 15 4 2 9" xfId="30263" xr:uid="{00000000-0005-0000-0000-0000A2700000}"/>
    <cellStyle name="Comma 15 4 3" xfId="1386" xr:uid="{00000000-0005-0000-0000-0000A3700000}"/>
    <cellStyle name="Comma 15 4 3 2" xfId="2444" xr:uid="{00000000-0005-0000-0000-0000A4700000}"/>
    <cellStyle name="Comma 15 4 3 2 2" xfId="5548" xr:uid="{00000000-0005-0000-0000-0000A5700000}"/>
    <cellStyle name="Comma 15 4 3 2 2 2" xfId="12820" xr:uid="{00000000-0005-0000-0000-0000A6700000}"/>
    <cellStyle name="Comma 15 4 3 2 2 2 2" xfId="27354" xr:uid="{00000000-0005-0000-0000-0000A7700000}"/>
    <cellStyle name="Comma 15 4 3 2 2 2 2 2" xfId="56360" xr:uid="{00000000-0005-0000-0000-0000A8700000}"/>
    <cellStyle name="Comma 15 4 3 2 2 2 3" xfId="41861" xr:uid="{00000000-0005-0000-0000-0000A9700000}"/>
    <cellStyle name="Comma 15 4 3 2 2 3" xfId="20106" xr:uid="{00000000-0005-0000-0000-0000AA700000}"/>
    <cellStyle name="Comma 15 4 3 2 2 3 2" xfId="49112" xr:uid="{00000000-0005-0000-0000-0000AB700000}"/>
    <cellStyle name="Comma 15 4 3 2 2 4" xfId="34613" xr:uid="{00000000-0005-0000-0000-0000AC700000}"/>
    <cellStyle name="Comma 15 4 3 2 3" xfId="9716" xr:uid="{00000000-0005-0000-0000-0000AD700000}"/>
    <cellStyle name="Comma 15 4 3 2 3 2" xfId="24250" xr:uid="{00000000-0005-0000-0000-0000AE700000}"/>
    <cellStyle name="Comma 15 4 3 2 3 2 2" xfId="53256" xr:uid="{00000000-0005-0000-0000-0000AF700000}"/>
    <cellStyle name="Comma 15 4 3 2 3 3" xfId="38757" xr:uid="{00000000-0005-0000-0000-0000B0700000}"/>
    <cellStyle name="Comma 15 4 3 2 4" xfId="17002" xr:uid="{00000000-0005-0000-0000-0000B1700000}"/>
    <cellStyle name="Comma 15 4 3 2 4 2" xfId="46008" xr:uid="{00000000-0005-0000-0000-0000B2700000}"/>
    <cellStyle name="Comma 15 4 3 2 5" xfId="31509" xr:uid="{00000000-0005-0000-0000-0000B3700000}"/>
    <cellStyle name="Comma 15 4 3 3" xfId="3476" xr:uid="{00000000-0005-0000-0000-0000B4700000}"/>
    <cellStyle name="Comma 15 4 3 3 2" xfId="6580" xr:uid="{00000000-0005-0000-0000-0000B5700000}"/>
    <cellStyle name="Comma 15 4 3 3 2 2" xfId="13852" xr:uid="{00000000-0005-0000-0000-0000B6700000}"/>
    <cellStyle name="Comma 15 4 3 3 2 2 2" xfId="28386" xr:uid="{00000000-0005-0000-0000-0000B7700000}"/>
    <cellStyle name="Comma 15 4 3 3 2 2 2 2" xfId="57392" xr:uid="{00000000-0005-0000-0000-0000B8700000}"/>
    <cellStyle name="Comma 15 4 3 3 2 2 3" xfId="42893" xr:uid="{00000000-0005-0000-0000-0000B9700000}"/>
    <cellStyle name="Comma 15 4 3 3 2 3" xfId="21138" xr:uid="{00000000-0005-0000-0000-0000BA700000}"/>
    <cellStyle name="Comma 15 4 3 3 2 3 2" xfId="50144" xr:uid="{00000000-0005-0000-0000-0000BB700000}"/>
    <cellStyle name="Comma 15 4 3 3 2 4" xfId="35645" xr:uid="{00000000-0005-0000-0000-0000BC700000}"/>
    <cellStyle name="Comma 15 4 3 3 3" xfId="10748" xr:uid="{00000000-0005-0000-0000-0000BD700000}"/>
    <cellStyle name="Comma 15 4 3 3 3 2" xfId="25282" xr:uid="{00000000-0005-0000-0000-0000BE700000}"/>
    <cellStyle name="Comma 15 4 3 3 3 2 2" xfId="54288" xr:uid="{00000000-0005-0000-0000-0000BF700000}"/>
    <cellStyle name="Comma 15 4 3 3 3 3" xfId="39789" xr:uid="{00000000-0005-0000-0000-0000C0700000}"/>
    <cellStyle name="Comma 15 4 3 3 4" xfId="18034" xr:uid="{00000000-0005-0000-0000-0000C1700000}"/>
    <cellStyle name="Comma 15 4 3 3 4 2" xfId="47040" xr:uid="{00000000-0005-0000-0000-0000C2700000}"/>
    <cellStyle name="Comma 15 4 3 3 5" xfId="32541" xr:uid="{00000000-0005-0000-0000-0000C3700000}"/>
    <cellStyle name="Comma 15 4 3 4" xfId="4508" xr:uid="{00000000-0005-0000-0000-0000C4700000}"/>
    <cellStyle name="Comma 15 4 3 4 2" xfId="11780" xr:uid="{00000000-0005-0000-0000-0000C5700000}"/>
    <cellStyle name="Comma 15 4 3 4 2 2" xfId="26314" xr:uid="{00000000-0005-0000-0000-0000C6700000}"/>
    <cellStyle name="Comma 15 4 3 4 2 2 2" xfId="55320" xr:uid="{00000000-0005-0000-0000-0000C7700000}"/>
    <cellStyle name="Comma 15 4 3 4 2 3" xfId="40821" xr:uid="{00000000-0005-0000-0000-0000C8700000}"/>
    <cellStyle name="Comma 15 4 3 4 3" xfId="19066" xr:uid="{00000000-0005-0000-0000-0000C9700000}"/>
    <cellStyle name="Comma 15 4 3 4 3 2" xfId="48072" xr:uid="{00000000-0005-0000-0000-0000CA700000}"/>
    <cellStyle name="Comma 15 4 3 4 4" xfId="33573" xr:uid="{00000000-0005-0000-0000-0000CB700000}"/>
    <cellStyle name="Comma 15 4 3 5" xfId="7612" xr:uid="{00000000-0005-0000-0000-0000CC700000}"/>
    <cellStyle name="Comma 15 4 3 5 2" xfId="14884" xr:uid="{00000000-0005-0000-0000-0000CD700000}"/>
    <cellStyle name="Comma 15 4 3 5 2 2" xfId="29418" xr:uid="{00000000-0005-0000-0000-0000CE700000}"/>
    <cellStyle name="Comma 15 4 3 5 2 2 2" xfId="58424" xr:uid="{00000000-0005-0000-0000-0000CF700000}"/>
    <cellStyle name="Comma 15 4 3 5 2 3" xfId="43925" xr:uid="{00000000-0005-0000-0000-0000D0700000}"/>
    <cellStyle name="Comma 15 4 3 5 3" xfId="22170" xr:uid="{00000000-0005-0000-0000-0000D1700000}"/>
    <cellStyle name="Comma 15 4 3 5 3 2" xfId="51176" xr:uid="{00000000-0005-0000-0000-0000D2700000}"/>
    <cellStyle name="Comma 15 4 3 5 4" xfId="36677" xr:uid="{00000000-0005-0000-0000-0000D3700000}"/>
    <cellStyle name="Comma 15 4 3 6" xfId="8676" xr:uid="{00000000-0005-0000-0000-0000D4700000}"/>
    <cellStyle name="Comma 15 4 3 6 2" xfId="23210" xr:uid="{00000000-0005-0000-0000-0000D5700000}"/>
    <cellStyle name="Comma 15 4 3 6 2 2" xfId="52216" xr:uid="{00000000-0005-0000-0000-0000D6700000}"/>
    <cellStyle name="Comma 15 4 3 6 3" xfId="37717" xr:uid="{00000000-0005-0000-0000-0000D7700000}"/>
    <cellStyle name="Comma 15 4 3 7" xfId="15962" xr:uid="{00000000-0005-0000-0000-0000D8700000}"/>
    <cellStyle name="Comma 15 4 3 7 2" xfId="44968" xr:uid="{00000000-0005-0000-0000-0000D9700000}"/>
    <cellStyle name="Comma 15 4 3 8" xfId="30469" xr:uid="{00000000-0005-0000-0000-0000DA700000}"/>
    <cellStyle name="Comma 15 4 4" xfId="1932" xr:uid="{00000000-0005-0000-0000-0000DB700000}"/>
    <cellStyle name="Comma 15 4 4 2" xfId="5036" xr:uid="{00000000-0005-0000-0000-0000DC700000}"/>
    <cellStyle name="Comma 15 4 4 2 2" xfId="12308" xr:uid="{00000000-0005-0000-0000-0000DD700000}"/>
    <cellStyle name="Comma 15 4 4 2 2 2" xfId="26842" xr:uid="{00000000-0005-0000-0000-0000DE700000}"/>
    <cellStyle name="Comma 15 4 4 2 2 2 2" xfId="55848" xr:uid="{00000000-0005-0000-0000-0000DF700000}"/>
    <cellStyle name="Comma 15 4 4 2 2 3" xfId="41349" xr:uid="{00000000-0005-0000-0000-0000E0700000}"/>
    <cellStyle name="Comma 15 4 4 2 3" xfId="19594" xr:uid="{00000000-0005-0000-0000-0000E1700000}"/>
    <cellStyle name="Comma 15 4 4 2 3 2" xfId="48600" xr:uid="{00000000-0005-0000-0000-0000E2700000}"/>
    <cellStyle name="Comma 15 4 4 2 4" xfId="34101" xr:uid="{00000000-0005-0000-0000-0000E3700000}"/>
    <cellStyle name="Comma 15 4 4 3" xfId="9204" xr:uid="{00000000-0005-0000-0000-0000E4700000}"/>
    <cellStyle name="Comma 15 4 4 3 2" xfId="23738" xr:uid="{00000000-0005-0000-0000-0000E5700000}"/>
    <cellStyle name="Comma 15 4 4 3 2 2" xfId="52744" xr:uid="{00000000-0005-0000-0000-0000E6700000}"/>
    <cellStyle name="Comma 15 4 4 3 3" xfId="38245" xr:uid="{00000000-0005-0000-0000-0000E7700000}"/>
    <cellStyle name="Comma 15 4 4 4" xfId="16490" xr:uid="{00000000-0005-0000-0000-0000E8700000}"/>
    <cellStyle name="Comma 15 4 4 4 2" xfId="45496" xr:uid="{00000000-0005-0000-0000-0000E9700000}"/>
    <cellStyle name="Comma 15 4 4 5" xfId="30997" xr:uid="{00000000-0005-0000-0000-0000EA700000}"/>
    <cellStyle name="Comma 15 4 5" xfId="2964" xr:uid="{00000000-0005-0000-0000-0000EB700000}"/>
    <cellStyle name="Comma 15 4 5 2" xfId="6068" xr:uid="{00000000-0005-0000-0000-0000EC700000}"/>
    <cellStyle name="Comma 15 4 5 2 2" xfId="13340" xr:uid="{00000000-0005-0000-0000-0000ED700000}"/>
    <cellStyle name="Comma 15 4 5 2 2 2" xfId="27874" xr:uid="{00000000-0005-0000-0000-0000EE700000}"/>
    <cellStyle name="Comma 15 4 5 2 2 2 2" xfId="56880" xr:uid="{00000000-0005-0000-0000-0000EF700000}"/>
    <cellStyle name="Comma 15 4 5 2 2 3" xfId="42381" xr:uid="{00000000-0005-0000-0000-0000F0700000}"/>
    <cellStyle name="Comma 15 4 5 2 3" xfId="20626" xr:uid="{00000000-0005-0000-0000-0000F1700000}"/>
    <cellStyle name="Comma 15 4 5 2 3 2" xfId="49632" xr:uid="{00000000-0005-0000-0000-0000F2700000}"/>
    <cellStyle name="Comma 15 4 5 2 4" xfId="35133" xr:uid="{00000000-0005-0000-0000-0000F3700000}"/>
    <cellStyle name="Comma 15 4 5 3" xfId="10236" xr:uid="{00000000-0005-0000-0000-0000F4700000}"/>
    <cellStyle name="Comma 15 4 5 3 2" xfId="24770" xr:uid="{00000000-0005-0000-0000-0000F5700000}"/>
    <cellStyle name="Comma 15 4 5 3 2 2" xfId="53776" xr:uid="{00000000-0005-0000-0000-0000F6700000}"/>
    <cellStyle name="Comma 15 4 5 3 3" xfId="39277" xr:uid="{00000000-0005-0000-0000-0000F7700000}"/>
    <cellStyle name="Comma 15 4 5 4" xfId="17522" xr:uid="{00000000-0005-0000-0000-0000F8700000}"/>
    <cellStyle name="Comma 15 4 5 4 2" xfId="46528" xr:uid="{00000000-0005-0000-0000-0000F9700000}"/>
    <cellStyle name="Comma 15 4 5 5" xfId="32029" xr:uid="{00000000-0005-0000-0000-0000FA700000}"/>
    <cellStyle name="Comma 15 4 6" xfId="3996" xr:uid="{00000000-0005-0000-0000-0000FB700000}"/>
    <cellStyle name="Comma 15 4 6 2" xfId="11268" xr:uid="{00000000-0005-0000-0000-0000FC700000}"/>
    <cellStyle name="Comma 15 4 6 2 2" xfId="25802" xr:uid="{00000000-0005-0000-0000-0000FD700000}"/>
    <cellStyle name="Comma 15 4 6 2 2 2" xfId="54808" xr:uid="{00000000-0005-0000-0000-0000FE700000}"/>
    <cellStyle name="Comma 15 4 6 2 3" xfId="40309" xr:uid="{00000000-0005-0000-0000-0000FF700000}"/>
    <cellStyle name="Comma 15 4 6 3" xfId="18554" xr:uid="{00000000-0005-0000-0000-000000710000}"/>
    <cellStyle name="Comma 15 4 6 3 2" xfId="47560" xr:uid="{00000000-0005-0000-0000-000001710000}"/>
    <cellStyle name="Comma 15 4 6 4" xfId="33061" xr:uid="{00000000-0005-0000-0000-000002710000}"/>
    <cellStyle name="Comma 15 4 7" xfId="7100" xr:uid="{00000000-0005-0000-0000-000003710000}"/>
    <cellStyle name="Comma 15 4 7 2" xfId="14372" xr:uid="{00000000-0005-0000-0000-000004710000}"/>
    <cellStyle name="Comma 15 4 7 2 2" xfId="28906" xr:uid="{00000000-0005-0000-0000-000005710000}"/>
    <cellStyle name="Comma 15 4 7 2 2 2" xfId="57912" xr:uid="{00000000-0005-0000-0000-000006710000}"/>
    <cellStyle name="Comma 15 4 7 2 3" xfId="43413" xr:uid="{00000000-0005-0000-0000-000007710000}"/>
    <cellStyle name="Comma 15 4 7 3" xfId="21658" xr:uid="{00000000-0005-0000-0000-000008710000}"/>
    <cellStyle name="Comma 15 4 7 3 2" xfId="50664" xr:uid="{00000000-0005-0000-0000-000009710000}"/>
    <cellStyle name="Comma 15 4 7 4" xfId="36165" xr:uid="{00000000-0005-0000-0000-00000A710000}"/>
    <cellStyle name="Comma 15 4 8" xfId="8164" xr:uid="{00000000-0005-0000-0000-00000B710000}"/>
    <cellStyle name="Comma 15 4 8 2" xfId="22698" xr:uid="{00000000-0005-0000-0000-00000C710000}"/>
    <cellStyle name="Comma 15 4 8 2 2" xfId="51704" xr:uid="{00000000-0005-0000-0000-00000D710000}"/>
    <cellStyle name="Comma 15 4 8 3" xfId="37205" xr:uid="{00000000-0005-0000-0000-00000E710000}"/>
    <cellStyle name="Comma 15 4 9" xfId="15450" xr:uid="{00000000-0005-0000-0000-00000F710000}"/>
    <cellStyle name="Comma 15 4 9 2" xfId="44456" xr:uid="{00000000-0005-0000-0000-000010710000}"/>
    <cellStyle name="Comma 15 5" xfId="1092" xr:uid="{00000000-0005-0000-0000-000011710000}"/>
    <cellStyle name="Comma 15 5 2" xfId="1588" xr:uid="{00000000-0005-0000-0000-000012710000}"/>
    <cellStyle name="Comma 15 5 2 2" xfId="2647" xr:uid="{00000000-0005-0000-0000-000013710000}"/>
    <cellStyle name="Comma 15 5 2 2 2" xfId="5751" xr:uid="{00000000-0005-0000-0000-000014710000}"/>
    <cellStyle name="Comma 15 5 2 2 2 2" xfId="13023" xr:uid="{00000000-0005-0000-0000-000015710000}"/>
    <cellStyle name="Comma 15 5 2 2 2 2 2" xfId="27557" xr:uid="{00000000-0005-0000-0000-000016710000}"/>
    <cellStyle name="Comma 15 5 2 2 2 2 2 2" xfId="56563" xr:uid="{00000000-0005-0000-0000-000017710000}"/>
    <cellStyle name="Comma 15 5 2 2 2 2 3" xfId="42064" xr:uid="{00000000-0005-0000-0000-000018710000}"/>
    <cellStyle name="Comma 15 5 2 2 2 3" xfId="20309" xr:uid="{00000000-0005-0000-0000-000019710000}"/>
    <cellStyle name="Comma 15 5 2 2 2 3 2" xfId="49315" xr:uid="{00000000-0005-0000-0000-00001A710000}"/>
    <cellStyle name="Comma 15 5 2 2 2 4" xfId="34816" xr:uid="{00000000-0005-0000-0000-00001B710000}"/>
    <cellStyle name="Comma 15 5 2 2 3" xfId="9919" xr:uid="{00000000-0005-0000-0000-00001C710000}"/>
    <cellStyle name="Comma 15 5 2 2 3 2" xfId="24453" xr:uid="{00000000-0005-0000-0000-00001D710000}"/>
    <cellStyle name="Comma 15 5 2 2 3 2 2" xfId="53459" xr:uid="{00000000-0005-0000-0000-00001E710000}"/>
    <cellStyle name="Comma 15 5 2 2 3 3" xfId="38960" xr:uid="{00000000-0005-0000-0000-00001F710000}"/>
    <cellStyle name="Comma 15 5 2 2 4" xfId="17205" xr:uid="{00000000-0005-0000-0000-000020710000}"/>
    <cellStyle name="Comma 15 5 2 2 4 2" xfId="46211" xr:uid="{00000000-0005-0000-0000-000021710000}"/>
    <cellStyle name="Comma 15 5 2 2 5" xfId="31712" xr:uid="{00000000-0005-0000-0000-000022710000}"/>
    <cellStyle name="Comma 15 5 2 3" xfId="3679" xr:uid="{00000000-0005-0000-0000-000023710000}"/>
    <cellStyle name="Comma 15 5 2 3 2" xfId="6783" xr:uid="{00000000-0005-0000-0000-000024710000}"/>
    <cellStyle name="Comma 15 5 2 3 2 2" xfId="14055" xr:uid="{00000000-0005-0000-0000-000025710000}"/>
    <cellStyle name="Comma 15 5 2 3 2 2 2" xfId="28589" xr:uid="{00000000-0005-0000-0000-000026710000}"/>
    <cellStyle name="Comma 15 5 2 3 2 2 2 2" xfId="57595" xr:uid="{00000000-0005-0000-0000-000027710000}"/>
    <cellStyle name="Comma 15 5 2 3 2 2 3" xfId="43096" xr:uid="{00000000-0005-0000-0000-000028710000}"/>
    <cellStyle name="Comma 15 5 2 3 2 3" xfId="21341" xr:uid="{00000000-0005-0000-0000-000029710000}"/>
    <cellStyle name="Comma 15 5 2 3 2 3 2" xfId="50347" xr:uid="{00000000-0005-0000-0000-00002A710000}"/>
    <cellStyle name="Comma 15 5 2 3 2 4" xfId="35848" xr:uid="{00000000-0005-0000-0000-00002B710000}"/>
    <cellStyle name="Comma 15 5 2 3 3" xfId="10951" xr:uid="{00000000-0005-0000-0000-00002C710000}"/>
    <cellStyle name="Comma 15 5 2 3 3 2" xfId="25485" xr:uid="{00000000-0005-0000-0000-00002D710000}"/>
    <cellStyle name="Comma 15 5 2 3 3 2 2" xfId="54491" xr:uid="{00000000-0005-0000-0000-00002E710000}"/>
    <cellStyle name="Comma 15 5 2 3 3 3" xfId="39992" xr:uid="{00000000-0005-0000-0000-00002F710000}"/>
    <cellStyle name="Comma 15 5 2 3 4" xfId="18237" xr:uid="{00000000-0005-0000-0000-000030710000}"/>
    <cellStyle name="Comma 15 5 2 3 4 2" xfId="47243" xr:uid="{00000000-0005-0000-0000-000031710000}"/>
    <cellStyle name="Comma 15 5 2 3 5" xfId="32744" xr:uid="{00000000-0005-0000-0000-000032710000}"/>
    <cellStyle name="Comma 15 5 2 4" xfId="4711" xr:uid="{00000000-0005-0000-0000-000033710000}"/>
    <cellStyle name="Comma 15 5 2 4 2" xfId="11983" xr:uid="{00000000-0005-0000-0000-000034710000}"/>
    <cellStyle name="Comma 15 5 2 4 2 2" xfId="26517" xr:uid="{00000000-0005-0000-0000-000035710000}"/>
    <cellStyle name="Comma 15 5 2 4 2 2 2" xfId="55523" xr:uid="{00000000-0005-0000-0000-000036710000}"/>
    <cellStyle name="Comma 15 5 2 4 2 3" xfId="41024" xr:uid="{00000000-0005-0000-0000-000037710000}"/>
    <cellStyle name="Comma 15 5 2 4 3" xfId="19269" xr:uid="{00000000-0005-0000-0000-000038710000}"/>
    <cellStyle name="Comma 15 5 2 4 3 2" xfId="48275" xr:uid="{00000000-0005-0000-0000-000039710000}"/>
    <cellStyle name="Comma 15 5 2 4 4" xfId="33776" xr:uid="{00000000-0005-0000-0000-00003A710000}"/>
    <cellStyle name="Comma 15 5 2 5" xfId="7815" xr:uid="{00000000-0005-0000-0000-00003B710000}"/>
    <cellStyle name="Comma 15 5 2 5 2" xfId="15087" xr:uid="{00000000-0005-0000-0000-00003C710000}"/>
    <cellStyle name="Comma 15 5 2 5 2 2" xfId="29621" xr:uid="{00000000-0005-0000-0000-00003D710000}"/>
    <cellStyle name="Comma 15 5 2 5 2 2 2" xfId="58627" xr:uid="{00000000-0005-0000-0000-00003E710000}"/>
    <cellStyle name="Comma 15 5 2 5 2 3" xfId="44128" xr:uid="{00000000-0005-0000-0000-00003F710000}"/>
    <cellStyle name="Comma 15 5 2 5 3" xfId="22373" xr:uid="{00000000-0005-0000-0000-000040710000}"/>
    <cellStyle name="Comma 15 5 2 5 3 2" xfId="51379" xr:uid="{00000000-0005-0000-0000-000041710000}"/>
    <cellStyle name="Comma 15 5 2 5 4" xfId="36880" xr:uid="{00000000-0005-0000-0000-000042710000}"/>
    <cellStyle name="Comma 15 5 2 6" xfId="8879" xr:uid="{00000000-0005-0000-0000-000043710000}"/>
    <cellStyle name="Comma 15 5 2 6 2" xfId="23413" xr:uid="{00000000-0005-0000-0000-000044710000}"/>
    <cellStyle name="Comma 15 5 2 6 2 2" xfId="52419" xr:uid="{00000000-0005-0000-0000-000045710000}"/>
    <cellStyle name="Comma 15 5 2 6 3" xfId="37920" xr:uid="{00000000-0005-0000-0000-000046710000}"/>
    <cellStyle name="Comma 15 5 2 7" xfId="16165" xr:uid="{00000000-0005-0000-0000-000047710000}"/>
    <cellStyle name="Comma 15 5 2 7 2" xfId="45171" xr:uid="{00000000-0005-0000-0000-000048710000}"/>
    <cellStyle name="Comma 15 5 2 8" xfId="30672" xr:uid="{00000000-0005-0000-0000-000049710000}"/>
    <cellStyle name="Comma 15 5 3" xfId="2135" xr:uid="{00000000-0005-0000-0000-00004A710000}"/>
    <cellStyle name="Comma 15 5 3 2" xfId="5239" xr:uid="{00000000-0005-0000-0000-00004B710000}"/>
    <cellStyle name="Comma 15 5 3 2 2" xfId="12511" xr:uid="{00000000-0005-0000-0000-00004C710000}"/>
    <cellStyle name="Comma 15 5 3 2 2 2" xfId="27045" xr:uid="{00000000-0005-0000-0000-00004D710000}"/>
    <cellStyle name="Comma 15 5 3 2 2 2 2" xfId="56051" xr:uid="{00000000-0005-0000-0000-00004E710000}"/>
    <cellStyle name="Comma 15 5 3 2 2 3" xfId="41552" xr:uid="{00000000-0005-0000-0000-00004F710000}"/>
    <cellStyle name="Comma 15 5 3 2 3" xfId="19797" xr:uid="{00000000-0005-0000-0000-000050710000}"/>
    <cellStyle name="Comma 15 5 3 2 3 2" xfId="48803" xr:uid="{00000000-0005-0000-0000-000051710000}"/>
    <cellStyle name="Comma 15 5 3 2 4" xfId="34304" xr:uid="{00000000-0005-0000-0000-000052710000}"/>
    <cellStyle name="Comma 15 5 3 3" xfId="9407" xr:uid="{00000000-0005-0000-0000-000053710000}"/>
    <cellStyle name="Comma 15 5 3 3 2" xfId="23941" xr:uid="{00000000-0005-0000-0000-000054710000}"/>
    <cellStyle name="Comma 15 5 3 3 2 2" xfId="52947" xr:uid="{00000000-0005-0000-0000-000055710000}"/>
    <cellStyle name="Comma 15 5 3 3 3" xfId="38448" xr:uid="{00000000-0005-0000-0000-000056710000}"/>
    <cellStyle name="Comma 15 5 3 4" xfId="16693" xr:uid="{00000000-0005-0000-0000-000057710000}"/>
    <cellStyle name="Comma 15 5 3 4 2" xfId="45699" xr:uid="{00000000-0005-0000-0000-000058710000}"/>
    <cellStyle name="Comma 15 5 3 5" xfId="31200" xr:uid="{00000000-0005-0000-0000-000059710000}"/>
    <cellStyle name="Comma 15 5 4" xfId="3167" xr:uid="{00000000-0005-0000-0000-00005A710000}"/>
    <cellStyle name="Comma 15 5 4 2" xfId="6271" xr:uid="{00000000-0005-0000-0000-00005B710000}"/>
    <cellStyle name="Comma 15 5 4 2 2" xfId="13543" xr:uid="{00000000-0005-0000-0000-00005C710000}"/>
    <cellStyle name="Comma 15 5 4 2 2 2" xfId="28077" xr:uid="{00000000-0005-0000-0000-00005D710000}"/>
    <cellStyle name="Comma 15 5 4 2 2 2 2" xfId="57083" xr:uid="{00000000-0005-0000-0000-00005E710000}"/>
    <cellStyle name="Comma 15 5 4 2 2 3" xfId="42584" xr:uid="{00000000-0005-0000-0000-00005F710000}"/>
    <cellStyle name="Comma 15 5 4 2 3" xfId="20829" xr:uid="{00000000-0005-0000-0000-000060710000}"/>
    <cellStyle name="Comma 15 5 4 2 3 2" xfId="49835" xr:uid="{00000000-0005-0000-0000-000061710000}"/>
    <cellStyle name="Comma 15 5 4 2 4" xfId="35336" xr:uid="{00000000-0005-0000-0000-000062710000}"/>
    <cellStyle name="Comma 15 5 4 3" xfId="10439" xr:uid="{00000000-0005-0000-0000-000063710000}"/>
    <cellStyle name="Comma 15 5 4 3 2" xfId="24973" xr:uid="{00000000-0005-0000-0000-000064710000}"/>
    <cellStyle name="Comma 15 5 4 3 2 2" xfId="53979" xr:uid="{00000000-0005-0000-0000-000065710000}"/>
    <cellStyle name="Comma 15 5 4 3 3" xfId="39480" xr:uid="{00000000-0005-0000-0000-000066710000}"/>
    <cellStyle name="Comma 15 5 4 4" xfId="17725" xr:uid="{00000000-0005-0000-0000-000067710000}"/>
    <cellStyle name="Comma 15 5 4 4 2" xfId="46731" xr:uid="{00000000-0005-0000-0000-000068710000}"/>
    <cellStyle name="Comma 15 5 4 5" xfId="32232" xr:uid="{00000000-0005-0000-0000-000069710000}"/>
    <cellStyle name="Comma 15 5 5" xfId="4199" xr:uid="{00000000-0005-0000-0000-00006A710000}"/>
    <cellStyle name="Comma 15 5 5 2" xfId="11471" xr:uid="{00000000-0005-0000-0000-00006B710000}"/>
    <cellStyle name="Comma 15 5 5 2 2" xfId="26005" xr:uid="{00000000-0005-0000-0000-00006C710000}"/>
    <cellStyle name="Comma 15 5 5 2 2 2" xfId="55011" xr:uid="{00000000-0005-0000-0000-00006D710000}"/>
    <cellStyle name="Comma 15 5 5 2 3" xfId="40512" xr:uid="{00000000-0005-0000-0000-00006E710000}"/>
    <cellStyle name="Comma 15 5 5 3" xfId="18757" xr:uid="{00000000-0005-0000-0000-00006F710000}"/>
    <cellStyle name="Comma 15 5 5 3 2" xfId="47763" xr:uid="{00000000-0005-0000-0000-000070710000}"/>
    <cellStyle name="Comma 15 5 5 4" xfId="33264" xr:uid="{00000000-0005-0000-0000-000071710000}"/>
    <cellStyle name="Comma 15 5 6" xfId="7303" xr:uid="{00000000-0005-0000-0000-000072710000}"/>
    <cellStyle name="Comma 15 5 6 2" xfId="14575" xr:uid="{00000000-0005-0000-0000-000073710000}"/>
    <cellStyle name="Comma 15 5 6 2 2" xfId="29109" xr:uid="{00000000-0005-0000-0000-000074710000}"/>
    <cellStyle name="Comma 15 5 6 2 2 2" xfId="58115" xr:uid="{00000000-0005-0000-0000-000075710000}"/>
    <cellStyle name="Comma 15 5 6 2 3" xfId="43616" xr:uid="{00000000-0005-0000-0000-000076710000}"/>
    <cellStyle name="Comma 15 5 6 3" xfId="21861" xr:uid="{00000000-0005-0000-0000-000077710000}"/>
    <cellStyle name="Comma 15 5 6 3 2" xfId="50867" xr:uid="{00000000-0005-0000-0000-000078710000}"/>
    <cellStyle name="Comma 15 5 6 4" xfId="36368" xr:uid="{00000000-0005-0000-0000-000079710000}"/>
    <cellStyle name="Comma 15 5 7" xfId="8367" xr:uid="{00000000-0005-0000-0000-00007A710000}"/>
    <cellStyle name="Comma 15 5 7 2" xfId="22901" xr:uid="{00000000-0005-0000-0000-00007B710000}"/>
    <cellStyle name="Comma 15 5 7 2 2" xfId="51907" xr:uid="{00000000-0005-0000-0000-00007C710000}"/>
    <cellStyle name="Comma 15 5 7 3" xfId="37408" xr:uid="{00000000-0005-0000-0000-00007D710000}"/>
    <cellStyle name="Comma 15 5 8" xfId="15653" xr:uid="{00000000-0005-0000-0000-00007E710000}"/>
    <cellStyle name="Comma 15 5 8 2" xfId="44659" xr:uid="{00000000-0005-0000-0000-00007F710000}"/>
    <cellStyle name="Comma 15 5 9" xfId="30160" xr:uid="{00000000-0005-0000-0000-000080710000}"/>
    <cellStyle name="Comma 15 6" xfId="1001" xr:uid="{00000000-0005-0000-0000-000081710000}"/>
    <cellStyle name="Comma 15 6 2" xfId="1489" xr:uid="{00000000-0005-0000-0000-000082710000}"/>
    <cellStyle name="Comma 15 6 2 2" xfId="2547" xr:uid="{00000000-0005-0000-0000-000083710000}"/>
    <cellStyle name="Comma 15 6 2 2 2" xfId="5651" xr:uid="{00000000-0005-0000-0000-000084710000}"/>
    <cellStyle name="Comma 15 6 2 2 2 2" xfId="12923" xr:uid="{00000000-0005-0000-0000-000085710000}"/>
    <cellStyle name="Comma 15 6 2 2 2 2 2" xfId="27457" xr:uid="{00000000-0005-0000-0000-000086710000}"/>
    <cellStyle name="Comma 15 6 2 2 2 2 2 2" xfId="56463" xr:uid="{00000000-0005-0000-0000-000087710000}"/>
    <cellStyle name="Comma 15 6 2 2 2 2 3" xfId="41964" xr:uid="{00000000-0005-0000-0000-000088710000}"/>
    <cellStyle name="Comma 15 6 2 2 2 3" xfId="20209" xr:uid="{00000000-0005-0000-0000-000089710000}"/>
    <cellStyle name="Comma 15 6 2 2 2 3 2" xfId="49215" xr:uid="{00000000-0005-0000-0000-00008A710000}"/>
    <cellStyle name="Comma 15 6 2 2 2 4" xfId="34716" xr:uid="{00000000-0005-0000-0000-00008B710000}"/>
    <cellStyle name="Comma 15 6 2 2 3" xfId="9819" xr:uid="{00000000-0005-0000-0000-00008C710000}"/>
    <cellStyle name="Comma 15 6 2 2 3 2" xfId="24353" xr:uid="{00000000-0005-0000-0000-00008D710000}"/>
    <cellStyle name="Comma 15 6 2 2 3 2 2" xfId="53359" xr:uid="{00000000-0005-0000-0000-00008E710000}"/>
    <cellStyle name="Comma 15 6 2 2 3 3" xfId="38860" xr:uid="{00000000-0005-0000-0000-00008F710000}"/>
    <cellStyle name="Comma 15 6 2 2 4" xfId="17105" xr:uid="{00000000-0005-0000-0000-000090710000}"/>
    <cellStyle name="Comma 15 6 2 2 4 2" xfId="46111" xr:uid="{00000000-0005-0000-0000-000091710000}"/>
    <cellStyle name="Comma 15 6 2 2 5" xfId="31612" xr:uid="{00000000-0005-0000-0000-000092710000}"/>
    <cellStyle name="Comma 15 6 2 3" xfId="3579" xr:uid="{00000000-0005-0000-0000-000093710000}"/>
    <cellStyle name="Comma 15 6 2 3 2" xfId="6683" xr:uid="{00000000-0005-0000-0000-000094710000}"/>
    <cellStyle name="Comma 15 6 2 3 2 2" xfId="13955" xr:uid="{00000000-0005-0000-0000-000095710000}"/>
    <cellStyle name="Comma 15 6 2 3 2 2 2" xfId="28489" xr:uid="{00000000-0005-0000-0000-000096710000}"/>
    <cellStyle name="Comma 15 6 2 3 2 2 2 2" xfId="57495" xr:uid="{00000000-0005-0000-0000-000097710000}"/>
    <cellStyle name="Comma 15 6 2 3 2 2 3" xfId="42996" xr:uid="{00000000-0005-0000-0000-000098710000}"/>
    <cellStyle name="Comma 15 6 2 3 2 3" xfId="21241" xr:uid="{00000000-0005-0000-0000-000099710000}"/>
    <cellStyle name="Comma 15 6 2 3 2 3 2" xfId="50247" xr:uid="{00000000-0005-0000-0000-00009A710000}"/>
    <cellStyle name="Comma 15 6 2 3 2 4" xfId="35748" xr:uid="{00000000-0005-0000-0000-00009B710000}"/>
    <cellStyle name="Comma 15 6 2 3 3" xfId="10851" xr:uid="{00000000-0005-0000-0000-00009C710000}"/>
    <cellStyle name="Comma 15 6 2 3 3 2" xfId="25385" xr:uid="{00000000-0005-0000-0000-00009D710000}"/>
    <cellStyle name="Comma 15 6 2 3 3 2 2" xfId="54391" xr:uid="{00000000-0005-0000-0000-00009E710000}"/>
    <cellStyle name="Comma 15 6 2 3 3 3" xfId="39892" xr:uid="{00000000-0005-0000-0000-00009F710000}"/>
    <cellStyle name="Comma 15 6 2 3 4" xfId="18137" xr:uid="{00000000-0005-0000-0000-0000A0710000}"/>
    <cellStyle name="Comma 15 6 2 3 4 2" xfId="47143" xr:uid="{00000000-0005-0000-0000-0000A1710000}"/>
    <cellStyle name="Comma 15 6 2 3 5" xfId="32644" xr:uid="{00000000-0005-0000-0000-0000A2710000}"/>
    <cellStyle name="Comma 15 6 2 4" xfId="4611" xr:uid="{00000000-0005-0000-0000-0000A3710000}"/>
    <cellStyle name="Comma 15 6 2 4 2" xfId="11883" xr:uid="{00000000-0005-0000-0000-0000A4710000}"/>
    <cellStyle name="Comma 15 6 2 4 2 2" xfId="26417" xr:uid="{00000000-0005-0000-0000-0000A5710000}"/>
    <cellStyle name="Comma 15 6 2 4 2 2 2" xfId="55423" xr:uid="{00000000-0005-0000-0000-0000A6710000}"/>
    <cellStyle name="Comma 15 6 2 4 2 3" xfId="40924" xr:uid="{00000000-0005-0000-0000-0000A7710000}"/>
    <cellStyle name="Comma 15 6 2 4 3" xfId="19169" xr:uid="{00000000-0005-0000-0000-0000A8710000}"/>
    <cellStyle name="Comma 15 6 2 4 3 2" xfId="48175" xr:uid="{00000000-0005-0000-0000-0000A9710000}"/>
    <cellStyle name="Comma 15 6 2 4 4" xfId="33676" xr:uid="{00000000-0005-0000-0000-0000AA710000}"/>
    <cellStyle name="Comma 15 6 2 5" xfId="7715" xr:uid="{00000000-0005-0000-0000-0000AB710000}"/>
    <cellStyle name="Comma 15 6 2 5 2" xfId="14987" xr:uid="{00000000-0005-0000-0000-0000AC710000}"/>
    <cellStyle name="Comma 15 6 2 5 2 2" xfId="29521" xr:uid="{00000000-0005-0000-0000-0000AD710000}"/>
    <cellStyle name="Comma 15 6 2 5 2 2 2" xfId="58527" xr:uid="{00000000-0005-0000-0000-0000AE710000}"/>
    <cellStyle name="Comma 15 6 2 5 2 3" xfId="44028" xr:uid="{00000000-0005-0000-0000-0000AF710000}"/>
    <cellStyle name="Comma 15 6 2 5 3" xfId="22273" xr:uid="{00000000-0005-0000-0000-0000B0710000}"/>
    <cellStyle name="Comma 15 6 2 5 3 2" xfId="51279" xr:uid="{00000000-0005-0000-0000-0000B1710000}"/>
    <cellStyle name="Comma 15 6 2 5 4" xfId="36780" xr:uid="{00000000-0005-0000-0000-0000B2710000}"/>
    <cellStyle name="Comma 15 6 2 6" xfId="8779" xr:uid="{00000000-0005-0000-0000-0000B3710000}"/>
    <cellStyle name="Comma 15 6 2 6 2" xfId="23313" xr:uid="{00000000-0005-0000-0000-0000B4710000}"/>
    <cellStyle name="Comma 15 6 2 6 2 2" xfId="52319" xr:uid="{00000000-0005-0000-0000-0000B5710000}"/>
    <cellStyle name="Comma 15 6 2 6 3" xfId="37820" xr:uid="{00000000-0005-0000-0000-0000B6710000}"/>
    <cellStyle name="Comma 15 6 2 7" xfId="16065" xr:uid="{00000000-0005-0000-0000-0000B7710000}"/>
    <cellStyle name="Comma 15 6 2 7 2" xfId="45071" xr:uid="{00000000-0005-0000-0000-0000B8710000}"/>
    <cellStyle name="Comma 15 6 2 8" xfId="30572" xr:uid="{00000000-0005-0000-0000-0000B9710000}"/>
    <cellStyle name="Comma 15 6 3" xfId="2035" xr:uid="{00000000-0005-0000-0000-0000BA710000}"/>
    <cellStyle name="Comma 15 6 3 2" xfId="5139" xr:uid="{00000000-0005-0000-0000-0000BB710000}"/>
    <cellStyle name="Comma 15 6 3 2 2" xfId="12411" xr:uid="{00000000-0005-0000-0000-0000BC710000}"/>
    <cellStyle name="Comma 15 6 3 2 2 2" xfId="26945" xr:uid="{00000000-0005-0000-0000-0000BD710000}"/>
    <cellStyle name="Comma 15 6 3 2 2 2 2" xfId="55951" xr:uid="{00000000-0005-0000-0000-0000BE710000}"/>
    <cellStyle name="Comma 15 6 3 2 2 3" xfId="41452" xr:uid="{00000000-0005-0000-0000-0000BF710000}"/>
    <cellStyle name="Comma 15 6 3 2 3" xfId="19697" xr:uid="{00000000-0005-0000-0000-0000C0710000}"/>
    <cellStyle name="Comma 15 6 3 2 3 2" xfId="48703" xr:uid="{00000000-0005-0000-0000-0000C1710000}"/>
    <cellStyle name="Comma 15 6 3 2 4" xfId="34204" xr:uid="{00000000-0005-0000-0000-0000C2710000}"/>
    <cellStyle name="Comma 15 6 3 3" xfId="9307" xr:uid="{00000000-0005-0000-0000-0000C3710000}"/>
    <cellStyle name="Comma 15 6 3 3 2" xfId="23841" xr:uid="{00000000-0005-0000-0000-0000C4710000}"/>
    <cellStyle name="Comma 15 6 3 3 2 2" xfId="52847" xr:uid="{00000000-0005-0000-0000-0000C5710000}"/>
    <cellStyle name="Comma 15 6 3 3 3" xfId="38348" xr:uid="{00000000-0005-0000-0000-0000C6710000}"/>
    <cellStyle name="Comma 15 6 3 4" xfId="16593" xr:uid="{00000000-0005-0000-0000-0000C7710000}"/>
    <cellStyle name="Comma 15 6 3 4 2" xfId="45599" xr:uid="{00000000-0005-0000-0000-0000C8710000}"/>
    <cellStyle name="Comma 15 6 3 5" xfId="31100" xr:uid="{00000000-0005-0000-0000-0000C9710000}"/>
    <cellStyle name="Comma 15 6 4" xfId="3067" xr:uid="{00000000-0005-0000-0000-0000CA710000}"/>
    <cellStyle name="Comma 15 6 4 2" xfId="6171" xr:uid="{00000000-0005-0000-0000-0000CB710000}"/>
    <cellStyle name="Comma 15 6 4 2 2" xfId="13443" xr:uid="{00000000-0005-0000-0000-0000CC710000}"/>
    <cellStyle name="Comma 15 6 4 2 2 2" xfId="27977" xr:uid="{00000000-0005-0000-0000-0000CD710000}"/>
    <cellStyle name="Comma 15 6 4 2 2 2 2" xfId="56983" xr:uid="{00000000-0005-0000-0000-0000CE710000}"/>
    <cellStyle name="Comma 15 6 4 2 2 3" xfId="42484" xr:uid="{00000000-0005-0000-0000-0000CF710000}"/>
    <cellStyle name="Comma 15 6 4 2 3" xfId="20729" xr:uid="{00000000-0005-0000-0000-0000D0710000}"/>
    <cellStyle name="Comma 15 6 4 2 3 2" xfId="49735" xr:uid="{00000000-0005-0000-0000-0000D1710000}"/>
    <cellStyle name="Comma 15 6 4 2 4" xfId="35236" xr:uid="{00000000-0005-0000-0000-0000D2710000}"/>
    <cellStyle name="Comma 15 6 4 3" xfId="10339" xr:uid="{00000000-0005-0000-0000-0000D3710000}"/>
    <cellStyle name="Comma 15 6 4 3 2" xfId="24873" xr:uid="{00000000-0005-0000-0000-0000D4710000}"/>
    <cellStyle name="Comma 15 6 4 3 2 2" xfId="53879" xr:uid="{00000000-0005-0000-0000-0000D5710000}"/>
    <cellStyle name="Comma 15 6 4 3 3" xfId="39380" xr:uid="{00000000-0005-0000-0000-0000D6710000}"/>
    <cellStyle name="Comma 15 6 4 4" xfId="17625" xr:uid="{00000000-0005-0000-0000-0000D7710000}"/>
    <cellStyle name="Comma 15 6 4 4 2" xfId="46631" xr:uid="{00000000-0005-0000-0000-0000D8710000}"/>
    <cellStyle name="Comma 15 6 4 5" xfId="32132" xr:uid="{00000000-0005-0000-0000-0000D9710000}"/>
    <cellStyle name="Comma 15 6 5" xfId="4099" xr:uid="{00000000-0005-0000-0000-0000DA710000}"/>
    <cellStyle name="Comma 15 6 5 2" xfId="11371" xr:uid="{00000000-0005-0000-0000-0000DB710000}"/>
    <cellStyle name="Comma 15 6 5 2 2" xfId="25905" xr:uid="{00000000-0005-0000-0000-0000DC710000}"/>
    <cellStyle name="Comma 15 6 5 2 2 2" xfId="54911" xr:uid="{00000000-0005-0000-0000-0000DD710000}"/>
    <cellStyle name="Comma 15 6 5 2 3" xfId="40412" xr:uid="{00000000-0005-0000-0000-0000DE710000}"/>
    <cellStyle name="Comma 15 6 5 3" xfId="18657" xr:uid="{00000000-0005-0000-0000-0000DF710000}"/>
    <cellStyle name="Comma 15 6 5 3 2" xfId="47663" xr:uid="{00000000-0005-0000-0000-0000E0710000}"/>
    <cellStyle name="Comma 15 6 5 4" xfId="33164" xr:uid="{00000000-0005-0000-0000-0000E1710000}"/>
    <cellStyle name="Comma 15 6 6" xfId="7203" xr:uid="{00000000-0005-0000-0000-0000E2710000}"/>
    <cellStyle name="Comma 15 6 6 2" xfId="14475" xr:uid="{00000000-0005-0000-0000-0000E3710000}"/>
    <cellStyle name="Comma 15 6 6 2 2" xfId="29009" xr:uid="{00000000-0005-0000-0000-0000E4710000}"/>
    <cellStyle name="Comma 15 6 6 2 2 2" xfId="58015" xr:uid="{00000000-0005-0000-0000-0000E5710000}"/>
    <cellStyle name="Comma 15 6 6 2 3" xfId="43516" xr:uid="{00000000-0005-0000-0000-0000E6710000}"/>
    <cellStyle name="Comma 15 6 6 3" xfId="21761" xr:uid="{00000000-0005-0000-0000-0000E7710000}"/>
    <cellStyle name="Comma 15 6 6 3 2" xfId="50767" xr:uid="{00000000-0005-0000-0000-0000E8710000}"/>
    <cellStyle name="Comma 15 6 6 4" xfId="36268" xr:uid="{00000000-0005-0000-0000-0000E9710000}"/>
    <cellStyle name="Comma 15 6 7" xfId="8267" xr:uid="{00000000-0005-0000-0000-0000EA710000}"/>
    <cellStyle name="Comma 15 6 7 2" xfId="22801" xr:uid="{00000000-0005-0000-0000-0000EB710000}"/>
    <cellStyle name="Comma 15 6 7 2 2" xfId="51807" xr:uid="{00000000-0005-0000-0000-0000EC710000}"/>
    <cellStyle name="Comma 15 6 7 3" xfId="37308" xr:uid="{00000000-0005-0000-0000-0000ED710000}"/>
    <cellStyle name="Comma 15 6 8" xfId="15553" xr:uid="{00000000-0005-0000-0000-0000EE710000}"/>
    <cellStyle name="Comma 15 6 8 2" xfId="44559" xr:uid="{00000000-0005-0000-0000-0000EF710000}"/>
    <cellStyle name="Comma 15 6 9" xfId="30060" xr:uid="{00000000-0005-0000-0000-0000F0710000}"/>
    <cellStyle name="Comma 15 7" xfId="1285" xr:uid="{00000000-0005-0000-0000-0000F1710000}"/>
    <cellStyle name="Comma 15 7 2" xfId="2341" xr:uid="{00000000-0005-0000-0000-0000F2710000}"/>
    <cellStyle name="Comma 15 7 2 2" xfId="5445" xr:uid="{00000000-0005-0000-0000-0000F3710000}"/>
    <cellStyle name="Comma 15 7 2 2 2" xfId="12717" xr:uid="{00000000-0005-0000-0000-0000F4710000}"/>
    <cellStyle name="Comma 15 7 2 2 2 2" xfId="27251" xr:uid="{00000000-0005-0000-0000-0000F5710000}"/>
    <cellStyle name="Comma 15 7 2 2 2 2 2" xfId="56257" xr:uid="{00000000-0005-0000-0000-0000F6710000}"/>
    <cellStyle name="Comma 15 7 2 2 2 3" xfId="41758" xr:uid="{00000000-0005-0000-0000-0000F7710000}"/>
    <cellStyle name="Comma 15 7 2 2 3" xfId="20003" xr:uid="{00000000-0005-0000-0000-0000F8710000}"/>
    <cellStyle name="Comma 15 7 2 2 3 2" xfId="49009" xr:uid="{00000000-0005-0000-0000-0000F9710000}"/>
    <cellStyle name="Comma 15 7 2 2 4" xfId="34510" xr:uid="{00000000-0005-0000-0000-0000FA710000}"/>
    <cellStyle name="Comma 15 7 2 3" xfId="9613" xr:uid="{00000000-0005-0000-0000-0000FB710000}"/>
    <cellStyle name="Comma 15 7 2 3 2" xfId="24147" xr:uid="{00000000-0005-0000-0000-0000FC710000}"/>
    <cellStyle name="Comma 15 7 2 3 2 2" xfId="53153" xr:uid="{00000000-0005-0000-0000-0000FD710000}"/>
    <cellStyle name="Comma 15 7 2 3 3" xfId="38654" xr:uid="{00000000-0005-0000-0000-0000FE710000}"/>
    <cellStyle name="Comma 15 7 2 4" xfId="16899" xr:uid="{00000000-0005-0000-0000-0000FF710000}"/>
    <cellStyle name="Comma 15 7 2 4 2" xfId="45905" xr:uid="{00000000-0005-0000-0000-000000720000}"/>
    <cellStyle name="Comma 15 7 2 5" xfId="31406" xr:uid="{00000000-0005-0000-0000-000001720000}"/>
    <cellStyle name="Comma 15 7 3" xfId="3373" xr:uid="{00000000-0005-0000-0000-000002720000}"/>
    <cellStyle name="Comma 15 7 3 2" xfId="6477" xr:uid="{00000000-0005-0000-0000-000003720000}"/>
    <cellStyle name="Comma 15 7 3 2 2" xfId="13749" xr:uid="{00000000-0005-0000-0000-000004720000}"/>
    <cellStyle name="Comma 15 7 3 2 2 2" xfId="28283" xr:uid="{00000000-0005-0000-0000-000005720000}"/>
    <cellStyle name="Comma 15 7 3 2 2 2 2" xfId="57289" xr:uid="{00000000-0005-0000-0000-000006720000}"/>
    <cellStyle name="Comma 15 7 3 2 2 3" xfId="42790" xr:uid="{00000000-0005-0000-0000-000007720000}"/>
    <cellStyle name="Comma 15 7 3 2 3" xfId="21035" xr:uid="{00000000-0005-0000-0000-000008720000}"/>
    <cellStyle name="Comma 15 7 3 2 3 2" xfId="50041" xr:uid="{00000000-0005-0000-0000-000009720000}"/>
    <cellStyle name="Comma 15 7 3 2 4" xfId="35542" xr:uid="{00000000-0005-0000-0000-00000A720000}"/>
    <cellStyle name="Comma 15 7 3 3" xfId="10645" xr:uid="{00000000-0005-0000-0000-00000B720000}"/>
    <cellStyle name="Comma 15 7 3 3 2" xfId="25179" xr:uid="{00000000-0005-0000-0000-00000C720000}"/>
    <cellStyle name="Comma 15 7 3 3 2 2" xfId="54185" xr:uid="{00000000-0005-0000-0000-00000D720000}"/>
    <cellStyle name="Comma 15 7 3 3 3" xfId="39686" xr:uid="{00000000-0005-0000-0000-00000E720000}"/>
    <cellStyle name="Comma 15 7 3 4" xfId="17931" xr:uid="{00000000-0005-0000-0000-00000F720000}"/>
    <cellStyle name="Comma 15 7 3 4 2" xfId="46937" xr:uid="{00000000-0005-0000-0000-000010720000}"/>
    <cellStyle name="Comma 15 7 3 5" xfId="32438" xr:uid="{00000000-0005-0000-0000-000011720000}"/>
    <cellStyle name="Comma 15 7 4" xfId="4405" xr:uid="{00000000-0005-0000-0000-000012720000}"/>
    <cellStyle name="Comma 15 7 4 2" xfId="11677" xr:uid="{00000000-0005-0000-0000-000013720000}"/>
    <cellStyle name="Comma 15 7 4 2 2" xfId="26211" xr:uid="{00000000-0005-0000-0000-000014720000}"/>
    <cellStyle name="Comma 15 7 4 2 2 2" xfId="55217" xr:uid="{00000000-0005-0000-0000-000015720000}"/>
    <cellStyle name="Comma 15 7 4 2 3" xfId="40718" xr:uid="{00000000-0005-0000-0000-000016720000}"/>
    <cellStyle name="Comma 15 7 4 3" xfId="18963" xr:uid="{00000000-0005-0000-0000-000017720000}"/>
    <cellStyle name="Comma 15 7 4 3 2" xfId="47969" xr:uid="{00000000-0005-0000-0000-000018720000}"/>
    <cellStyle name="Comma 15 7 4 4" xfId="33470" xr:uid="{00000000-0005-0000-0000-000019720000}"/>
    <cellStyle name="Comma 15 7 5" xfId="7509" xr:uid="{00000000-0005-0000-0000-00001A720000}"/>
    <cellStyle name="Comma 15 7 5 2" xfId="14781" xr:uid="{00000000-0005-0000-0000-00001B720000}"/>
    <cellStyle name="Comma 15 7 5 2 2" xfId="29315" xr:uid="{00000000-0005-0000-0000-00001C720000}"/>
    <cellStyle name="Comma 15 7 5 2 2 2" xfId="58321" xr:uid="{00000000-0005-0000-0000-00001D720000}"/>
    <cellStyle name="Comma 15 7 5 2 3" xfId="43822" xr:uid="{00000000-0005-0000-0000-00001E720000}"/>
    <cellStyle name="Comma 15 7 5 3" xfId="22067" xr:uid="{00000000-0005-0000-0000-00001F720000}"/>
    <cellStyle name="Comma 15 7 5 3 2" xfId="51073" xr:uid="{00000000-0005-0000-0000-000020720000}"/>
    <cellStyle name="Comma 15 7 5 4" xfId="36574" xr:uid="{00000000-0005-0000-0000-000021720000}"/>
    <cellStyle name="Comma 15 7 6" xfId="8573" xr:uid="{00000000-0005-0000-0000-000022720000}"/>
    <cellStyle name="Comma 15 7 6 2" xfId="23107" xr:uid="{00000000-0005-0000-0000-000023720000}"/>
    <cellStyle name="Comma 15 7 6 2 2" xfId="52113" xr:uid="{00000000-0005-0000-0000-000024720000}"/>
    <cellStyle name="Comma 15 7 6 3" xfId="37614" xr:uid="{00000000-0005-0000-0000-000025720000}"/>
    <cellStyle name="Comma 15 7 7" xfId="15859" xr:uid="{00000000-0005-0000-0000-000026720000}"/>
    <cellStyle name="Comma 15 7 7 2" xfId="44865" xr:uid="{00000000-0005-0000-0000-000027720000}"/>
    <cellStyle name="Comma 15 7 8" xfId="30366" xr:uid="{00000000-0005-0000-0000-000028720000}"/>
    <cellStyle name="Comma 15 8" xfId="1794" xr:uid="{00000000-0005-0000-0000-000029720000}"/>
    <cellStyle name="Comma 15 8 2" xfId="2836" xr:uid="{00000000-0005-0000-0000-00002A720000}"/>
    <cellStyle name="Comma 15 8 2 2" xfId="5940" xr:uid="{00000000-0005-0000-0000-00002B720000}"/>
    <cellStyle name="Comma 15 8 2 2 2" xfId="13212" xr:uid="{00000000-0005-0000-0000-00002C720000}"/>
    <cellStyle name="Comma 15 8 2 2 2 2" xfId="27746" xr:uid="{00000000-0005-0000-0000-00002D720000}"/>
    <cellStyle name="Comma 15 8 2 2 2 2 2" xfId="56752" xr:uid="{00000000-0005-0000-0000-00002E720000}"/>
    <cellStyle name="Comma 15 8 2 2 2 3" xfId="42253" xr:uid="{00000000-0005-0000-0000-00002F720000}"/>
    <cellStyle name="Comma 15 8 2 2 3" xfId="20498" xr:uid="{00000000-0005-0000-0000-000030720000}"/>
    <cellStyle name="Comma 15 8 2 2 3 2" xfId="49504" xr:uid="{00000000-0005-0000-0000-000031720000}"/>
    <cellStyle name="Comma 15 8 2 2 4" xfId="35005" xr:uid="{00000000-0005-0000-0000-000032720000}"/>
    <cellStyle name="Comma 15 8 2 3" xfId="10108" xr:uid="{00000000-0005-0000-0000-000033720000}"/>
    <cellStyle name="Comma 15 8 2 3 2" xfId="24642" xr:uid="{00000000-0005-0000-0000-000034720000}"/>
    <cellStyle name="Comma 15 8 2 3 2 2" xfId="53648" xr:uid="{00000000-0005-0000-0000-000035720000}"/>
    <cellStyle name="Comma 15 8 2 3 3" xfId="39149" xr:uid="{00000000-0005-0000-0000-000036720000}"/>
    <cellStyle name="Comma 15 8 2 4" xfId="17394" xr:uid="{00000000-0005-0000-0000-000037720000}"/>
    <cellStyle name="Comma 15 8 2 4 2" xfId="46400" xr:uid="{00000000-0005-0000-0000-000038720000}"/>
    <cellStyle name="Comma 15 8 2 5" xfId="31901" xr:uid="{00000000-0005-0000-0000-000039720000}"/>
    <cellStyle name="Comma 15 8 3" xfId="3868" xr:uid="{00000000-0005-0000-0000-00003A720000}"/>
    <cellStyle name="Comma 15 8 3 2" xfId="6972" xr:uid="{00000000-0005-0000-0000-00003B720000}"/>
    <cellStyle name="Comma 15 8 3 2 2" xfId="14244" xr:uid="{00000000-0005-0000-0000-00003C720000}"/>
    <cellStyle name="Comma 15 8 3 2 2 2" xfId="28778" xr:uid="{00000000-0005-0000-0000-00003D720000}"/>
    <cellStyle name="Comma 15 8 3 2 2 2 2" xfId="57784" xr:uid="{00000000-0005-0000-0000-00003E720000}"/>
    <cellStyle name="Comma 15 8 3 2 2 3" xfId="43285" xr:uid="{00000000-0005-0000-0000-00003F720000}"/>
    <cellStyle name="Comma 15 8 3 2 3" xfId="21530" xr:uid="{00000000-0005-0000-0000-000040720000}"/>
    <cellStyle name="Comma 15 8 3 2 3 2" xfId="50536" xr:uid="{00000000-0005-0000-0000-000041720000}"/>
    <cellStyle name="Comma 15 8 3 2 4" xfId="36037" xr:uid="{00000000-0005-0000-0000-000042720000}"/>
    <cellStyle name="Comma 15 8 3 3" xfId="11140" xr:uid="{00000000-0005-0000-0000-000043720000}"/>
    <cellStyle name="Comma 15 8 3 3 2" xfId="25674" xr:uid="{00000000-0005-0000-0000-000044720000}"/>
    <cellStyle name="Comma 15 8 3 3 2 2" xfId="54680" xr:uid="{00000000-0005-0000-0000-000045720000}"/>
    <cellStyle name="Comma 15 8 3 3 3" xfId="40181" xr:uid="{00000000-0005-0000-0000-000046720000}"/>
    <cellStyle name="Comma 15 8 3 4" xfId="18426" xr:uid="{00000000-0005-0000-0000-000047720000}"/>
    <cellStyle name="Comma 15 8 3 4 2" xfId="47432" xr:uid="{00000000-0005-0000-0000-000048720000}"/>
    <cellStyle name="Comma 15 8 3 5" xfId="32933" xr:uid="{00000000-0005-0000-0000-000049720000}"/>
    <cellStyle name="Comma 15 8 4" xfId="4900" xr:uid="{00000000-0005-0000-0000-00004A720000}"/>
    <cellStyle name="Comma 15 8 4 2" xfId="12172" xr:uid="{00000000-0005-0000-0000-00004B720000}"/>
    <cellStyle name="Comma 15 8 4 2 2" xfId="26706" xr:uid="{00000000-0005-0000-0000-00004C720000}"/>
    <cellStyle name="Comma 15 8 4 2 2 2" xfId="55712" xr:uid="{00000000-0005-0000-0000-00004D720000}"/>
    <cellStyle name="Comma 15 8 4 2 3" xfId="41213" xr:uid="{00000000-0005-0000-0000-00004E720000}"/>
    <cellStyle name="Comma 15 8 4 3" xfId="19458" xr:uid="{00000000-0005-0000-0000-00004F720000}"/>
    <cellStyle name="Comma 15 8 4 3 2" xfId="48464" xr:uid="{00000000-0005-0000-0000-000050720000}"/>
    <cellStyle name="Comma 15 8 4 4" xfId="33965" xr:uid="{00000000-0005-0000-0000-000051720000}"/>
    <cellStyle name="Comma 15 8 5" xfId="8004" xr:uid="{00000000-0005-0000-0000-000052720000}"/>
    <cellStyle name="Comma 15 8 5 2" xfId="15276" xr:uid="{00000000-0005-0000-0000-000053720000}"/>
    <cellStyle name="Comma 15 8 5 2 2" xfId="29810" xr:uid="{00000000-0005-0000-0000-000054720000}"/>
    <cellStyle name="Comma 15 8 5 2 2 2" xfId="58816" xr:uid="{00000000-0005-0000-0000-000055720000}"/>
    <cellStyle name="Comma 15 8 5 2 3" xfId="44317" xr:uid="{00000000-0005-0000-0000-000056720000}"/>
    <cellStyle name="Comma 15 8 5 3" xfId="22562" xr:uid="{00000000-0005-0000-0000-000057720000}"/>
    <cellStyle name="Comma 15 8 5 3 2" xfId="51568" xr:uid="{00000000-0005-0000-0000-000058720000}"/>
    <cellStyle name="Comma 15 8 5 4" xfId="37069" xr:uid="{00000000-0005-0000-0000-000059720000}"/>
    <cellStyle name="Comma 15 8 6" xfId="9068" xr:uid="{00000000-0005-0000-0000-00005A720000}"/>
    <cellStyle name="Comma 15 8 6 2" xfId="23602" xr:uid="{00000000-0005-0000-0000-00005B720000}"/>
    <cellStyle name="Comma 15 8 6 2 2" xfId="52608" xr:uid="{00000000-0005-0000-0000-00005C720000}"/>
    <cellStyle name="Comma 15 8 6 3" xfId="38109" xr:uid="{00000000-0005-0000-0000-00005D720000}"/>
    <cellStyle name="Comma 15 8 7" xfId="16354" xr:uid="{00000000-0005-0000-0000-00005E720000}"/>
    <cellStyle name="Comma 15 8 7 2" xfId="45360" xr:uid="{00000000-0005-0000-0000-00005F720000}"/>
    <cellStyle name="Comma 15 8 8" xfId="30861" xr:uid="{00000000-0005-0000-0000-000060720000}"/>
    <cellStyle name="Comma 15 9" xfId="1804" xr:uid="{00000000-0005-0000-0000-000061720000}"/>
    <cellStyle name="Comma 15 9 2" xfId="4908" xr:uid="{00000000-0005-0000-0000-000062720000}"/>
    <cellStyle name="Comma 15 9 2 2" xfId="12180" xr:uid="{00000000-0005-0000-0000-000063720000}"/>
    <cellStyle name="Comma 15 9 2 2 2" xfId="26714" xr:uid="{00000000-0005-0000-0000-000064720000}"/>
    <cellStyle name="Comma 15 9 2 2 2 2" xfId="55720" xr:uid="{00000000-0005-0000-0000-000065720000}"/>
    <cellStyle name="Comma 15 9 2 2 3" xfId="41221" xr:uid="{00000000-0005-0000-0000-000066720000}"/>
    <cellStyle name="Comma 15 9 2 3" xfId="19466" xr:uid="{00000000-0005-0000-0000-000067720000}"/>
    <cellStyle name="Comma 15 9 2 3 2" xfId="48472" xr:uid="{00000000-0005-0000-0000-000068720000}"/>
    <cellStyle name="Comma 15 9 2 4" xfId="33973" xr:uid="{00000000-0005-0000-0000-000069720000}"/>
    <cellStyle name="Comma 15 9 3" xfId="9076" xr:uid="{00000000-0005-0000-0000-00006A720000}"/>
    <cellStyle name="Comma 15 9 3 2" xfId="23610" xr:uid="{00000000-0005-0000-0000-00006B720000}"/>
    <cellStyle name="Comma 15 9 3 2 2" xfId="52616" xr:uid="{00000000-0005-0000-0000-00006C720000}"/>
    <cellStyle name="Comma 15 9 3 3" xfId="38117" xr:uid="{00000000-0005-0000-0000-00006D720000}"/>
    <cellStyle name="Comma 15 9 4" xfId="16362" xr:uid="{00000000-0005-0000-0000-00006E720000}"/>
    <cellStyle name="Comma 15 9 4 2" xfId="45368" xr:uid="{00000000-0005-0000-0000-00006F720000}"/>
    <cellStyle name="Comma 15 9 5" xfId="30869" xr:uid="{00000000-0005-0000-0000-000070720000}"/>
    <cellStyle name="Comma 16" xfId="860" xr:uid="{00000000-0005-0000-0000-000071720000}"/>
    <cellStyle name="Comma 16 10" xfId="8090" xr:uid="{00000000-0005-0000-0000-000072720000}"/>
    <cellStyle name="Comma 16 10 2" xfId="22624" xr:uid="{00000000-0005-0000-0000-000073720000}"/>
    <cellStyle name="Comma 16 10 2 2" xfId="51630" xr:uid="{00000000-0005-0000-0000-000074720000}"/>
    <cellStyle name="Comma 16 10 3" xfId="37131" xr:uid="{00000000-0005-0000-0000-000075720000}"/>
    <cellStyle name="Comma 16 11" xfId="15376" xr:uid="{00000000-0005-0000-0000-000076720000}"/>
    <cellStyle name="Comma 16 11 2" xfId="44382" xr:uid="{00000000-0005-0000-0000-000077720000}"/>
    <cellStyle name="Comma 16 12" xfId="29883" xr:uid="{00000000-0005-0000-0000-000078720000}"/>
    <cellStyle name="Comma 16 2" xfId="941" xr:uid="{00000000-0005-0000-0000-000079720000}"/>
    <cellStyle name="Comma 16 2 10" xfId="29986" xr:uid="{00000000-0005-0000-0000-00007A720000}"/>
    <cellStyle name="Comma 16 2 2" xfId="1215" xr:uid="{00000000-0005-0000-0000-00007B720000}"/>
    <cellStyle name="Comma 16 2 2 2" xfId="1720" xr:uid="{00000000-0005-0000-0000-00007C720000}"/>
    <cellStyle name="Comma 16 2 2 2 2" xfId="2779" xr:uid="{00000000-0005-0000-0000-00007D720000}"/>
    <cellStyle name="Comma 16 2 2 2 2 2" xfId="5883" xr:uid="{00000000-0005-0000-0000-00007E720000}"/>
    <cellStyle name="Comma 16 2 2 2 2 2 2" xfId="13155" xr:uid="{00000000-0005-0000-0000-00007F720000}"/>
    <cellStyle name="Comma 16 2 2 2 2 2 2 2" xfId="27689" xr:uid="{00000000-0005-0000-0000-000080720000}"/>
    <cellStyle name="Comma 16 2 2 2 2 2 2 2 2" xfId="56695" xr:uid="{00000000-0005-0000-0000-000081720000}"/>
    <cellStyle name="Comma 16 2 2 2 2 2 2 3" xfId="42196" xr:uid="{00000000-0005-0000-0000-000082720000}"/>
    <cellStyle name="Comma 16 2 2 2 2 2 3" xfId="20441" xr:uid="{00000000-0005-0000-0000-000083720000}"/>
    <cellStyle name="Comma 16 2 2 2 2 2 3 2" xfId="49447" xr:uid="{00000000-0005-0000-0000-000084720000}"/>
    <cellStyle name="Comma 16 2 2 2 2 2 4" xfId="34948" xr:uid="{00000000-0005-0000-0000-000085720000}"/>
    <cellStyle name="Comma 16 2 2 2 2 3" xfId="10051" xr:uid="{00000000-0005-0000-0000-000086720000}"/>
    <cellStyle name="Comma 16 2 2 2 2 3 2" xfId="24585" xr:uid="{00000000-0005-0000-0000-000087720000}"/>
    <cellStyle name="Comma 16 2 2 2 2 3 2 2" xfId="53591" xr:uid="{00000000-0005-0000-0000-000088720000}"/>
    <cellStyle name="Comma 16 2 2 2 2 3 3" xfId="39092" xr:uid="{00000000-0005-0000-0000-000089720000}"/>
    <cellStyle name="Comma 16 2 2 2 2 4" xfId="17337" xr:uid="{00000000-0005-0000-0000-00008A720000}"/>
    <cellStyle name="Comma 16 2 2 2 2 4 2" xfId="46343" xr:uid="{00000000-0005-0000-0000-00008B720000}"/>
    <cellStyle name="Comma 16 2 2 2 2 5" xfId="31844" xr:uid="{00000000-0005-0000-0000-00008C720000}"/>
    <cellStyle name="Comma 16 2 2 2 3" xfId="3811" xr:uid="{00000000-0005-0000-0000-00008D720000}"/>
    <cellStyle name="Comma 16 2 2 2 3 2" xfId="6915" xr:uid="{00000000-0005-0000-0000-00008E720000}"/>
    <cellStyle name="Comma 16 2 2 2 3 2 2" xfId="14187" xr:uid="{00000000-0005-0000-0000-00008F720000}"/>
    <cellStyle name="Comma 16 2 2 2 3 2 2 2" xfId="28721" xr:uid="{00000000-0005-0000-0000-000090720000}"/>
    <cellStyle name="Comma 16 2 2 2 3 2 2 2 2" xfId="57727" xr:uid="{00000000-0005-0000-0000-000091720000}"/>
    <cellStyle name="Comma 16 2 2 2 3 2 2 3" xfId="43228" xr:uid="{00000000-0005-0000-0000-000092720000}"/>
    <cellStyle name="Comma 16 2 2 2 3 2 3" xfId="21473" xr:uid="{00000000-0005-0000-0000-000093720000}"/>
    <cellStyle name="Comma 16 2 2 2 3 2 3 2" xfId="50479" xr:uid="{00000000-0005-0000-0000-000094720000}"/>
    <cellStyle name="Comma 16 2 2 2 3 2 4" xfId="35980" xr:uid="{00000000-0005-0000-0000-000095720000}"/>
    <cellStyle name="Comma 16 2 2 2 3 3" xfId="11083" xr:uid="{00000000-0005-0000-0000-000096720000}"/>
    <cellStyle name="Comma 16 2 2 2 3 3 2" xfId="25617" xr:uid="{00000000-0005-0000-0000-000097720000}"/>
    <cellStyle name="Comma 16 2 2 2 3 3 2 2" xfId="54623" xr:uid="{00000000-0005-0000-0000-000098720000}"/>
    <cellStyle name="Comma 16 2 2 2 3 3 3" xfId="40124" xr:uid="{00000000-0005-0000-0000-000099720000}"/>
    <cellStyle name="Comma 16 2 2 2 3 4" xfId="18369" xr:uid="{00000000-0005-0000-0000-00009A720000}"/>
    <cellStyle name="Comma 16 2 2 2 3 4 2" xfId="47375" xr:uid="{00000000-0005-0000-0000-00009B720000}"/>
    <cellStyle name="Comma 16 2 2 2 3 5" xfId="32876" xr:uid="{00000000-0005-0000-0000-00009C720000}"/>
    <cellStyle name="Comma 16 2 2 2 4" xfId="4843" xr:uid="{00000000-0005-0000-0000-00009D720000}"/>
    <cellStyle name="Comma 16 2 2 2 4 2" xfId="12115" xr:uid="{00000000-0005-0000-0000-00009E720000}"/>
    <cellStyle name="Comma 16 2 2 2 4 2 2" xfId="26649" xr:uid="{00000000-0005-0000-0000-00009F720000}"/>
    <cellStyle name="Comma 16 2 2 2 4 2 2 2" xfId="55655" xr:uid="{00000000-0005-0000-0000-0000A0720000}"/>
    <cellStyle name="Comma 16 2 2 2 4 2 3" xfId="41156" xr:uid="{00000000-0005-0000-0000-0000A1720000}"/>
    <cellStyle name="Comma 16 2 2 2 4 3" xfId="19401" xr:uid="{00000000-0005-0000-0000-0000A2720000}"/>
    <cellStyle name="Comma 16 2 2 2 4 3 2" xfId="48407" xr:uid="{00000000-0005-0000-0000-0000A3720000}"/>
    <cellStyle name="Comma 16 2 2 2 4 4" xfId="33908" xr:uid="{00000000-0005-0000-0000-0000A4720000}"/>
    <cellStyle name="Comma 16 2 2 2 5" xfId="7947" xr:uid="{00000000-0005-0000-0000-0000A5720000}"/>
    <cellStyle name="Comma 16 2 2 2 5 2" xfId="15219" xr:uid="{00000000-0005-0000-0000-0000A6720000}"/>
    <cellStyle name="Comma 16 2 2 2 5 2 2" xfId="29753" xr:uid="{00000000-0005-0000-0000-0000A7720000}"/>
    <cellStyle name="Comma 16 2 2 2 5 2 2 2" xfId="58759" xr:uid="{00000000-0005-0000-0000-0000A8720000}"/>
    <cellStyle name="Comma 16 2 2 2 5 2 3" xfId="44260" xr:uid="{00000000-0005-0000-0000-0000A9720000}"/>
    <cellStyle name="Comma 16 2 2 2 5 3" xfId="22505" xr:uid="{00000000-0005-0000-0000-0000AA720000}"/>
    <cellStyle name="Comma 16 2 2 2 5 3 2" xfId="51511" xr:uid="{00000000-0005-0000-0000-0000AB720000}"/>
    <cellStyle name="Comma 16 2 2 2 5 4" xfId="37012" xr:uid="{00000000-0005-0000-0000-0000AC720000}"/>
    <cellStyle name="Comma 16 2 2 2 6" xfId="9011" xr:uid="{00000000-0005-0000-0000-0000AD720000}"/>
    <cellStyle name="Comma 16 2 2 2 6 2" xfId="23545" xr:uid="{00000000-0005-0000-0000-0000AE720000}"/>
    <cellStyle name="Comma 16 2 2 2 6 2 2" xfId="52551" xr:uid="{00000000-0005-0000-0000-0000AF720000}"/>
    <cellStyle name="Comma 16 2 2 2 6 3" xfId="38052" xr:uid="{00000000-0005-0000-0000-0000B0720000}"/>
    <cellStyle name="Comma 16 2 2 2 7" xfId="16297" xr:uid="{00000000-0005-0000-0000-0000B1720000}"/>
    <cellStyle name="Comma 16 2 2 2 7 2" xfId="45303" xr:uid="{00000000-0005-0000-0000-0000B2720000}"/>
    <cellStyle name="Comma 16 2 2 2 8" xfId="30804" xr:uid="{00000000-0005-0000-0000-0000B3720000}"/>
    <cellStyle name="Comma 16 2 2 3" xfId="2267" xr:uid="{00000000-0005-0000-0000-0000B4720000}"/>
    <cellStyle name="Comma 16 2 2 3 2" xfId="5371" xr:uid="{00000000-0005-0000-0000-0000B5720000}"/>
    <cellStyle name="Comma 16 2 2 3 2 2" xfId="12643" xr:uid="{00000000-0005-0000-0000-0000B6720000}"/>
    <cellStyle name="Comma 16 2 2 3 2 2 2" xfId="27177" xr:uid="{00000000-0005-0000-0000-0000B7720000}"/>
    <cellStyle name="Comma 16 2 2 3 2 2 2 2" xfId="56183" xr:uid="{00000000-0005-0000-0000-0000B8720000}"/>
    <cellStyle name="Comma 16 2 2 3 2 2 3" xfId="41684" xr:uid="{00000000-0005-0000-0000-0000B9720000}"/>
    <cellStyle name="Comma 16 2 2 3 2 3" xfId="19929" xr:uid="{00000000-0005-0000-0000-0000BA720000}"/>
    <cellStyle name="Comma 16 2 2 3 2 3 2" xfId="48935" xr:uid="{00000000-0005-0000-0000-0000BB720000}"/>
    <cellStyle name="Comma 16 2 2 3 2 4" xfId="34436" xr:uid="{00000000-0005-0000-0000-0000BC720000}"/>
    <cellStyle name="Comma 16 2 2 3 3" xfId="9539" xr:uid="{00000000-0005-0000-0000-0000BD720000}"/>
    <cellStyle name="Comma 16 2 2 3 3 2" xfId="24073" xr:uid="{00000000-0005-0000-0000-0000BE720000}"/>
    <cellStyle name="Comma 16 2 2 3 3 2 2" xfId="53079" xr:uid="{00000000-0005-0000-0000-0000BF720000}"/>
    <cellStyle name="Comma 16 2 2 3 3 3" xfId="38580" xr:uid="{00000000-0005-0000-0000-0000C0720000}"/>
    <cellStyle name="Comma 16 2 2 3 4" xfId="16825" xr:uid="{00000000-0005-0000-0000-0000C1720000}"/>
    <cellStyle name="Comma 16 2 2 3 4 2" xfId="45831" xr:uid="{00000000-0005-0000-0000-0000C2720000}"/>
    <cellStyle name="Comma 16 2 2 3 5" xfId="31332" xr:uid="{00000000-0005-0000-0000-0000C3720000}"/>
    <cellStyle name="Comma 16 2 2 4" xfId="3299" xr:uid="{00000000-0005-0000-0000-0000C4720000}"/>
    <cellStyle name="Comma 16 2 2 4 2" xfId="6403" xr:uid="{00000000-0005-0000-0000-0000C5720000}"/>
    <cellStyle name="Comma 16 2 2 4 2 2" xfId="13675" xr:uid="{00000000-0005-0000-0000-0000C6720000}"/>
    <cellStyle name="Comma 16 2 2 4 2 2 2" xfId="28209" xr:uid="{00000000-0005-0000-0000-0000C7720000}"/>
    <cellStyle name="Comma 16 2 2 4 2 2 2 2" xfId="57215" xr:uid="{00000000-0005-0000-0000-0000C8720000}"/>
    <cellStyle name="Comma 16 2 2 4 2 2 3" xfId="42716" xr:uid="{00000000-0005-0000-0000-0000C9720000}"/>
    <cellStyle name="Comma 16 2 2 4 2 3" xfId="20961" xr:uid="{00000000-0005-0000-0000-0000CA720000}"/>
    <cellStyle name="Comma 16 2 2 4 2 3 2" xfId="49967" xr:uid="{00000000-0005-0000-0000-0000CB720000}"/>
    <cellStyle name="Comma 16 2 2 4 2 4" xfId="35468" xr:uid="{00000000-0005-0000-0000-0000CC720000}"/>
    <cellStyle name="Comma 16 2 2 4 3" xfId="10571" xr:uid="{00000000-0005-0000-0000-0000CD720000}"/>
    <cellStyle name="Comma 16 2 2 4 3 2" xfId="25105" xr:uid="{00000000-0005-0000-0000-0000CE720000}"/>
    <cellStyle name="Comma 16 2 2 4 3 2 2" xfId="54111" xr:uid="{00000000-0005-0000-0000-0000CF720000}"/>
    <cellStyle name="Comma 16 2 2 4 3 3" xfId="39612" xr:uid="{00000000-0005-0000-0000-0000D0720000}"/>
    <cellStyle name="Comma 16 2 2 4 4" xfId="17857" xr:uid="{00000000-0005-0000-0000-0000D1720000}"/>
    <cellStyle name="Comma 16 2 2 4 4 2" xfId="46863" xr:uid="{00000000-0005-0000-0000-0000D2720000}"/>
    <cellStyle name="Comma 16 2 2 4 5" xfId="32364" xr:uid="{00000000-0005-0000-0000-0000D3720000}"/>
    <cellStyle name="Comma 16 2 2 5" xfId="4331" xr:uid="{00000000-0005-0000-0000-0000D4720000}"/>
    <cellStyle name="Comma 16 2 2 5 2" xfId="11603" xr:uid="{00000000-0005-0000-0000-0000D5720000}"/>
    <cellStyle name="Comma 16 2 2 5 2 2" xfId="26137" xr:uid="{00000000-0005-0000-0000-0000D6720000}"/>
    <cellStyle name="Comma 16 2 2 5 2 2 2" xfId="55143" xr:uid="{00000000-0005-0000-0000-0000D7720000}"/>
    <cellStyle name="Comma 16 2 2 5 2 3" xfId="40644" xr:uid="{00000000-0005-0000-0000-0000D8720000}"/>
    <cellStyle name="Comma 16 2 2 5 3" xfId="18889" xr:uid="{00000000-0005-0000-0000-0000D9720000}"/>
    <cellStyle name="Comma 16 2 2 5 3 2" xfId="47895" xr:uid="{00000000-0005-0000-0000-0000DA720000}"/>
    <cellStyle name="Comma 16 2 2 5 4" xfId="33396" xr:uid="{00000000-0005-0000-0000-0000DB720000}"/>
    <cellStyle name="Comma 16 2 2 6" xfId="7435" xr:uid="{00000000-0005-0000-0000-0000DC720000}"/>
    <cellStyle name="Comma 16 2 2 6 2" xfId="14707" xr:uid="{00000000-0005-0000-0000-0000DD720000}"/>
    <cellStyle name="Comma 16 2 2 6 2 2" xfId="29241" xr:uid="{00000000-0005-0000-0000-0000DE720000}"/>
    <cellStyle name="Comma 16 2 2 6 2 2 2" xfId="58247" xr:uid="{00000000-0005-0000-0000-0000DF720000}"/>
    <cellStyle name="Comma 16 2 2 6 2 3" xfId="43748" xr:uid="{00000000-0005-0000-0000-0000E0720000}"/>
    <cellStyle name="Comma 16 2 2 6 3" xfId="21993" xr:uid="{00000000-0005-0000-0000-0000E1720000}"/>
    <cellStyle name="Comma 16 2 2 6 3 2" xfId="50999" xr:uid="{00000000-0005-0000-0000-0000E2720000}"/>
    <cellStyle name="Comma 16 2 2 6 4" xfId="36500" xr:uid="{00000000-0005-0000-0000-0000E3720000}"/>
    <cellStyle name="Comma 16 2 2 7" xfId="8499" xr:uid="{00000000-0005-0000-0000-0000E4720000}"/>
    <cellStyle name="Comma 16 2 2 7 2" xfId="23033" xr:uid="{00000000-0005-0000-0000-0000E5720000}"/>
    <cellStyle name="Comma 16 2 2 7 2 2" xfId="52039" xr:uid="{00000000-0005-0000-0000-0000E6720000}"/>
    <cellStyle name="Comma 16 2 2 7 3" xfId="37540" xr:uid="{00000000-0005-0000-0000-0000E7720000}"/>
    <cellStyle name="Comma 16 2 2 8" xfId="15785" xr:uid="{00000000-0005-0000-0000-0000E8720000}"/>
    <cellStyle name="Comma 16 2 2 8 2" xfId="44791" xr:uid="{00000000-0005-0000-0000-0000E9720000}"/>
    <cellStyle name="Comma 16 2 2 9" xfId="30292" xr:uid="{00000000-0005-0000-0000-0000EA720000}"/>
    <cellStyle name="Comma 16 2 3" xfId="1415" xr:uid="{00000000-0005-0000-0000-0000EB720000}"/>
    <cellStyle name="Comma 16 2 3 2" xfId="2473" xr:uid="{00000000-0005-0000-0000-0000EC720000}"/>
    <cellStyle name="Comma 16 2 3 2 2" xfId="5577" xr:uid="{00000000-0005-0000-0000-0000ED720000}"/>
    <cellStyle name="Comma 16 2 3 2 2 2" xfId="12849" xr:uid="{00000000-0005-0000-0000-0000EE720000}"/>
    <cellStyle name="Comma 16 2 3 2 2 2 2" xfId="27383" xr:uid="{00000000-0005-0000-0000-0000EF720000}"/>
    <cellStyle name="Comma 16 2 3 2 2 2 2 2" xfId="56389" xr:uid="{00000000-0005-0000-0000-0000F0720000}"/>
    <cellStyle name="Comma 16 2 3 2 2 2 3" xfId="41890" xr:uid="{00000000-0005-0000-0000-0000F1720000}"/>
    <cellStyle name="Comma 16 2 3 2 2 3" xfId="20135" xr:uid="{00000000-0005-0000-0000-0000F2720000}"/>
    <cellStyle name="Comma 16 2 3 2 2 3 2" xfId="49141" xr:uid="{00000000-0005-0000-0000-0000F3720000}"/>
    <cellStyle name="Comma 16 2 3 2 2 4" xfId="34642" xr:uid="{00000000-0005-0000-0000-0000F4720000}"/>
    <cellStyle name="Comma 16 2 3 2 3" xfId="9745" xr:uid="{00000000-0005-0000-0000-0000F5720000}"/>
    <cellStyle name="Comma 16 2 3 2 3 2" xfId="24279" xr:uid="{00000000-0005-0000-0000-0000F6720000}"/>
    <cellStyle name="Comma 16 2 3 2 3 2 2" xfId="53285" xr:uid="{00000000-0005-0000-0000-0000F7720000}"/>
    <cellStyle name="Comma 16 2 3 2 3 3" xfId="38786" xr:uid="{00000000-0005-0000-0000-0000F8720000}"/>
    <cellStyle name="Comma 16 2 3 2 4" xfId="17031" xr:uid="{00000000-0005-0000-0000-0000F9720000}"/>
    <cellStyle name="Comma 16 2 3 2 4 2" xfId="46037" xr:uid="{00000000-0005-0000-0000-0000FA720000}"/>
    <cellStyle name="Comma 16 2 3 2 5" xfId="31538" xr:uid="{00000000-0005-0000-0000-0000FB720000}"/>
    <cellStyle name="Comma 16 2 3 3" xfId="3505" xr:uid="{00000000-0005-0000-0000-0000FC720000}"/>
    <cellStyle name="Comma 16 2 3 3 2" xfId="6609" xr:uid="{00000000-0005-0000-0000-0000FD720000}"/>
    <cellStyle name="Comma 16 2 3 3 2 2" xfId="13881" xr:uid="{00000000-0005-0000-0000-0000FE720000}"/>
    <cellStyle name="Comma 16 2 3 3 2 2 2" xfId="28415" xr:uid="{00000000-0005-0000-0000-0000FF720000}"/>
    <cellStyle name="Comma 16 2 3 3 2 2 2 2" xfId="57421" xr:uid="{00000000-0005-0000-0000-000000730000}"/>
    <cellStyle name="Comma 16 2 3 3 2 2 3" xfId="42922" xr:uid="{00000000-0005-0000-0000-000001730000}"/>
    <cellStyle name="Comma 16 2 3 3 2 3" xfId="21167" xr:uid="{00000000-0005-0000-0000-000002730000}"/>
    <cellStyle name="Comma 16 2 3 3 2 3 2" xfId="50173" xr:uid="{00000000-0005-0000-0000-000003730000}"/>
    <cellStyle name="Comma 16 2 3 3 2 4" xfId="35674" xr:uid="{00000000-0005-0000-0000-000004730000}"/>
    <cellStyle name="Comma 16 2 3 3 3" xfId="10777" xr:uid="{00000000-0005-0000-0000-000005730000}"/>
    <cellStyle name="Comma 16 2 3 3 3 2" xfId="25311" xr:uid="{00000000-0005-0000-0000-000006730000}"/>
    <cellStyle name="Comma 16 2 3 3 3 2 2" xfId="54317" xr:uid="{00000000-0005-0000-0000-000007730000}"/>
    <cellStyle name="Comma 16 2 3 3 3 3" xfId="39818" xr:uid="{00000000-0005-0000-0000-000008730000}"/>
    <cellStyle name="Comma 16 2 3 3 4" xfId="18063" xr:uid="{00000000-0005-0000-0000-000009730000}"/>
    <cellStyle name="Comma 16 2 3 3 4 2" xfId="47069" xr:uid="{00000000-0005-0000-0000-00000A730000}"/>
    <cellStyle name="Comma 16 2 3 3 5" xfId="32570" xr:uid="{00000000-0005-0000-0000-00000B730000}"/>
    <cellStyle name="Comma 16 2 3 4" xfId="4537" xr:uid="{00000000-0005-0000-0000-00000C730000}"/>
    <cellStyle name="Comma 16 2 3 4 2" xfId="11809" xr:uid="{00000000-0005-0000-0000-00000D730000}"/>
    <cellStyle name="Comma 16 2 3 4 2 2" xfId="26343" xr:uid="{00000000-0005-0000-0000-00000E730000}"/>
    <cellStyle name="Comma 16 2 3 4 2 2 2" xfId="55349" xr:uid="{00000000-0005-0000-0000-00000F730000}"/>
    <cellStyle name="Comma 16 2 3 4 2 3" xfId="40850" xr:uid="{00000000-0005-0000-0000-000010730000}"/>
    <cellStyle name="Comma 16 2 3 4 3" xfId="19095" xr:uid="{00000000-0005-0000-0000-000011730000}"/>
    <cellStyle name="Comma 16 2 3 4 3 2" xfId="48101" xr:uid="{00000000-0005-0000-0000-000012730000}"/>
    <cellStyle name="Comma 16 2 3 4 4" xfId="33602" xr:uid="{00000000-0005-0000-0000-000013730000}"/>
    <cellStyle name="Comma 16 2 3 5" xfId="7641" xr:uid="{00000000-0005-0000-0000-000014730000}"/>
    <cellStyle name="Comma 16 2 3 5 2" xfId="14913" xr:uid="{00000000-0005-0000-0000-000015730000}"/>
    <cellStyle name="Comma 16 2 3 5 2 2" xfId="29447" xr:uid="{00000000-0005-0000-0000-000016730000}"/>
    <cellStyle name="Comma 16 2 3 5 2 2 2" xfId="58453" xr:uid="{00000000-0005-0000-0000-000017730000}"/>
    <cellStyle name="Comma 16 2 3 5 2 3" xfId="43954" xr:uid="{00000000-0005-0000-0000-000018730000}"/>
    <cellStyle name="Comma 16 2 3 5 3" xfId="22199" xr:uid="{00000000-0005-0000-0000-000019730000}"/>
    <cellStyle name="Comma 16 2 3 5 3 2" xfId="51205" xr:uid="{00000000-0005-0000-0000-00001A730000}"/>
    <cellStyle name="Comma 16 2 3 5 4" xfId="36706" xr:uid="{00000000-0005-0000-0000-00001B730000}"/>
    <cellStyle name="Comma 16 2 3 6" xfId="8705" xr:uid="{00000000-0005-0000-0000-00001C730000}"/>
    <cellStyle name="Comma 16 2 3 6 2" xfId="23239" xr:uid="{00000000-0005-0000-0000-00001D730000}"/>
    <cellStyle name="Comma 16 2 3 6 2 2" xfId="52245" xr:uid="{00000000-0005-0000-0000-00001E730000}"/>
    <cellStyle name="Comma 16 2 3 6 3" xfId="37746" xr:uid="{00000000-0005-0000-0000-00001F730000}"/>
    <cellStyle name="Comma 16 2 3 7" xfId="15991" xr:uid="{00000000-0005-0000-0000-000020730000}"/>
    <cellStyle name="Comma 16 2 3 7 2" xfId="44997" xr:uid="{00000000-0005-0000-0000-000021730000}"/>
    <cellStyle name="Comma 16 2 3 8" xfId="30498" xr:uid="{00000000-0005-0000-0000-000022730000}"/>
    <cellStyle name="Comma 16 2 4" xfId="1961" xr:uid="{00000000-0005-0000-0000-000023730000}"/>
    <cellStyle name="Comma 16 2 4 2" xfId="5065" xr:uid="{00000000-0005-0000-0000-000024730000}"/>
    <cellStyle name="Comma 16 2 4 2 2" xfId="12337" xr:uid="{00000000-0005-0000-0000-000025730000}"/>
    <cellStyle name="Comma 16 2 4 2 2 2" xfId="26871" xr:uid="{00000000-0005-0000-0000-000026730000}"/>
    <cellStyle name="Comma 16 2 4 2 2 2 2" xfId="55877" xr:uid="{00000000-0005-0000-0000-000027730000}"/>
    <cellStyle name="Comma 16 2 4 2 2 3" xfId="41378" xr:uid="{00000000-0005-0000-0000-000028730000}"/>
    <cellStyle name="Comma 16 2 4 2 3" xfId="19623" xr:uid="{00000000-0005-0000-0000-000029730000}"/>
    <cellStyle name="Comma 16 2 4 2 3 2" xfId="48629" xr:uid="{00000000-0005-0000-0000-00002A730000}"/>
    <cellStyle name="Comma 16 2 4 2 4" xfId="34130" xr:uid="{00000000-0005-0000-0000-00002B730000}"/>
    <cellStyle name="Comma 16 2 4 3" xfId="9233" xr:uid="{00000000-0005-0000-0000-00002C730000}"/>
    <cellStyle name="Comma 16 2 4 3 2" xfId="23767" xr:uid="{00000000-0005-0000-0000-00002D730000}"/>
    <cellStyle name="Comma 16 2 4 3 2 2" xfId="52773" xr:uid="{00000000-0005-0000-0000-00002E730000}"/>
    <cellStyle name="Comma 16 2 4 3 3" xfId="38274" xr:uid="{00000000-0005-0000-0000-00002F730000}"/>
    <cellStyle name="Comma 16 2 4 4" xfId="16519" xr:uid="{00000000-0005-0000-0000-000030730000}"/>
    <cellStyle name="Comma 16 2 4 4 2" xfId="45525" xr:uid="{00000000-0005-0000-0000-000031730000}"/>
    <cellStyle name="Comma 16 2 4 5" xfId="31026" xr:uid="{00000000-0005-0000-0000-000032730000}"/>
    <cellStyle name="Comma 16 2 5" xfId="2993" xr:uid="{00000000-0005-0000-0000-000033730000}"/>
    <cellStyle name="Comma 16 2 5 2" xfId="6097" xr:uid="{00000000-0005-0000-0000-000034730000}"/>
    <cellStyle name="Comma 16 2 5 2 2" xfId="13369" xr:uid="{00000000-0005-0000-0000-000035730000}"/>
    <cellStyle name="Comma 16 2 5 2 2 2" xfId="27903" xr:uid="{00000000-0005-0000-0000-000036730000}"/>
    <cellStyle name="Comma 16 2 5 2 2 2 2" xfId="56909" xr:uid="{00000000-0005-0000-0000-000037730000}"/>
    <cellStyle name="Comma 16 2 5 2 2 3" xfId="42410" xr:uid="{00000000-0005-0000-0000-000038730000}"/>
    <cellStyle name="Comma 16 2 5 2 3" xfId="20655" xr:uid="{00000000-0005-0000-0000-000039730000}"/>
    <cellStyle name="Comma 16 2 5 2 3 2" xfId="49661" xr:uid="{00000000-0005-0000-0000-00003A730000}"/>
    <cellStyle name="Comma 16 2 5 2 4" xfId="35162" xr:uid="{00000000-0005-0000-0000-00003B730000}"/>
    <cellStyle name="Comma 16 2 5 3" xfId="10265" xr:uid="{00000000-0005-0000-0000-00003C730000}"/>
    <cellStyle name="Comma 16 2 5 3 2" xfId="24799" xr:uid="{00000000-0005-0000-0000-00003D730000}"/>
    <cellStyle name="Comma 16 2 5 3 2 2" xfId="53805" xr:uid="{00000000-0005-0000-0000-00003E730000}"/>
    <cellStyle name="Comma 16 2 5 3 3" xfId="39306" xr:uid="{00000000-0005-0000-0000-00003F730000}"/>
    <cellStyle name="Comma 16 2 5 4" xfId="17551" xr:uid="{00000000-0005-0000-0000-000040730000}"/>
    <cellStyle name="Comma 16 2 5 4 2" xfId="46557" xr:uid="{00000000-0005-0000-0000-000041730000}"/>
    <cellStyle name="Comma 16 2 5 5" xfId="32058" xr:uid="{00000000-0005-0000-0000-000042730000}"/>
    <cellStyle name="Comma 16 2 6" xfId="4025" xr:uid="{00000000-0005-0000-0000-000043730000}"/>
    <cellStyle name="Comma 16 2 6 2" xfId="11297" xr:uid="{00000000-0005-0000-0000-000044730000}"/>
    <cellStyle name="Comma 16 2 6 2 2" xfId="25831" xr:uid="{00000000-0005-0000-0000-000045730000}"/>
    <cellStyle name="Comma 16 2 6 2 2 2" xfId="54837" xr:uid="{00000000-0005-0000-0000-000046730000}"/>
    <cellStyle name="Comma 16 2 6 2 3" xfId="40338" xr:uid="{00000000-0005-0000-0000-000047730000}"/>
    <cellStyle name="Comma 16 2 6 3" xfId="18583" xr:uid="{00000000-0005-0000-0000-000048730000}"/>
    <cellStyle name="Comma 16 2 6 3 2" xfId="47589" xr:uid="{00000000-0005-0000-0000-000049730000}"/>
    <cellStyle name="Comma 16 2 6 4" xfId="33090" xr:uid="{00000000-0005-0000-0000-00004A730000}"/>
    <cellStyle name="Comma 16 2 7" xfId="7129" xr:uid="{00000000-0005-0000-0000-00004B730000}"/>
    <cellStyle name="Comma 16 2 7 2" xfId="14401" xr:uid="{00000000-0005-0000-0000-00004C730000}"/>
    <cellStyle name="Comma 16 2 7 2 2" xfId="28935" xr:uid="{00000000-0005-0000-0000-00004D730000}"/>
    <cellStyle name="Comma 16 2 7 2 2 2" xfId="57941" xr:uid="{00000000-0005-0000-0000-00004E730000}"/>
    <cellStyle name="Comma 16 2 7 2 3" xfId="43442" xr:uid="{00000000-0005-0000-0000-00004F730000}"/>
    <cellStyle name="Comma 16 2 7 3" xfId="21687" xr:uid="{00000000-0005-0000-0000-000050730000}"/>
    <cellStyle name="Comma 16 2 7 3 2" xfId="50693" xr:uid="{00000000-0005-0000-0000-000051730000}"/>
    <cellStyle name="Comma 16 2 7 4" xfId="36194" xr:uid="{00000000-0005-0000-0000-000052730000}"/>
    <cellStyle name="Comma 16 2 8" xfId="8193" xr:uid="{00000000-0005-0000-0000-000053730000}"/>
    <cellStyle name="Comma 16 2 8 2" xfId="22727" xr:uid="{00000000-0005-0000-0000-000054730000}"/>
    <cellStyle name="Comma 16 2 8 2 2" xfId="51733" xr:uid="{00000000-0005-0000-0000-000055730000}"/>
    <cellStyle name="Comma 16 2 8 3" xfId="37234" xr:uid="{00000000-0005-0000-0000-000056730000}"/>
    <cellStyle name="Comma 16 2 9" xfId="15479" xr:uid="{00000000-0005-0000-0000-000057730000}"/>
    <cellStyle name="Comma 16 2 9 2" xfId="44485" xr:uid="{00000000-0005-0000-0000-000058730000}"/>
    <cellStyle name="Comma 16 3" xfId="1118" xr:uid="{00000000-0005-0000-0000-000059730000}"/>
    <cellStyle name="Comma 16 3 2" xfId="1617" xr:uid="{00000000-0005-0000-0000-00005A730000}"/>
    <cellStyle name="Comma 16 3 2 2" xfId="2676" xr:uid="{00000000-0005-0000-0000-00005B730000}"/>
    <cellStyle name="Comma 16 3 2 2 2" xfId="5780" xr:uid="{00000000-0005-0000-0000-00005C730000}"/>
    <cellStyle name="Comma 16 3 2 2 2 2" xfId="13052" xr:uid="{00000000-0005-0000-0000-00005D730000}"/>
    <cellStyle name="Comma 16 3 2 2 2 2 2" xfId="27586" xr:uid="{00000000-0005-0000-0000-00005E730000}"/>
    <cellStyle name="Comma 16 3 2 2 2 2 2 2" xfId="56592" xr:uid="{00000000-0005-0000-0000-00005F730000}"/>
    <cellStyle name="Comma 16 3 2 2 2 2 3" xfId="42093" xr:uid="{00000000-0005-0000-0000-000060730000}"/>
    <cellStyle name="Comma 16 3 2 2 2 3" xfId="20338" xr:uid="{00000000-0005-0000-0000-000061730000}"/>
    <cellStyle name="Comma 16 3 2 2 2 3 2" xfId="49344" xr:uid="{00000000-0005-0000-0000-000062730000}"/>
    <cellStyle name="Comma 16 3 2 2 2 4" xfId="34845" xr:uid="{00000000-0005-0000-0000-000063730000}"/>
    <cellStyle name="Comma 16 3 2 2 3" xfId="9948" xr:uid="{00000000-0005-0000-0000-000064730000}"/>
    <cellStyle name="Comma 16 3 2 2 3 2" xfId="24482" xr:uid="{00000000-0005-0000-0000-000065730000}"/>
    <cellStyle name="Comma 16 3 2 2 3 2 2" xfId="53488" xr:uid="{00000000-0005-0000-0000-000066730000}"/>
    <cellStyle name="Comma 16 3 2 2 3 3" xfId="38989" xr:uid="{00000000-0005-0000-0000-000067730000}"/>
    <cellStyle name="Comma 16 3 2 2 4" xfId="17234" xr:uid="{00000000-0005-0000-0000-000068730000}"/>
    <cellStyle name="Comma 16 3 2 2 4 2" xfId="46240" xr:uid="{00000000-0005-0000-0000-000069730000}"/>
    <cellStyle name="Comma 16 3 2 2 5" xfId="31741" xr:uid="{00000000-0005-0000-0000-00006A730000}"/>
    <cellStyle name="Comma 16 3 2 3" xfId="3708" xr:uid="{00000000-0005-0000-0000-00006B730000}"/>
    <cellStyle name="Comma 16 3 2 3 2" xfId="6812" xr:uid="{00000000-0005-0000-0000-00006C730000}"/>
    <cellStyle name="Comma 16 3 2 3 2 2" xfId="14084" xr:uid="{00000000-0005-0000-0000-00006D730000}"/>
    <cellStyle name="Comma 16 3 2 3 2 2 2" xfId="28618" xr:uid="{00000000-0005-0000-0000-00006E730000}"/>
    <cellStyle name="Comma 16 3 2 3 2 2 2 2" xfId="57624" xr:uid="{00000000-0005-0000-0000-00006F730000}"/>
    <cellStyle name="Comma 16 3 2 3 2 2 3" xfId="43125" xr:uid="{00000000-0005-0000-0000-000070730000}"/>
    <cellStyle name="Comma 16 3 2 3 2 3" xfId="21370" xr:uid="{00000000-0005-0000-0000-000071730000}"/>
    <cellStyle name="Comma 16 3 2 3 2 3 2" xfId="50376" xr:uid="{00000000-0005-0000-0000-000072730000}"/>
    <cellStyle name="Comma 16 3 2 3 2 4" xfId="35877" xr:uid="{00000000-0005-0000-0000-000073730000}"/>
    <cellStyle name="Comma 16 3 2 3 3" xfId="10980" xr:uid="{00000000-0005-0000-0000-000074730000}"/>
    <cellStyle name="Comma 16 3 2 3 3 2" xfId="25514" xr:uid="{00000000-0005-0000-0000-000075730000}"/>
    <cellStyle name="Comma 16 3 2 3 3 2 2" xfId="54520" xr:uid="{00000000-0005-0000-0000-000076730000}"/>
    <cellStyle name="Comma 16 3 2 3 3 3" xfId="40021" xr:uid="{00000000-0005-0000-0000-000077730000}"/>
    <cellStyle name="Comma 16 3 2 3 4" xfId="18266" xr:uid="{00000000-0005-0000-0000-000078730000}"/>
    <cellStyle name="Comma 16 3 2 3 4 2" xfId="47272" xr:uid="{00000000-0005-0000-0000-000079730000}"/>
    <cellStyle name="Comma 16 3 2 3 5" xfId="32773" xr:uid="{00000000-0005-0000-0000-00007A730000}"/>
    <cellStyle name="Comma 16 3 2 4" xfId="4740" xr:uid="{00000000-0005-0000-0000-00007B730000}"/>
    <cellStyle name="Comma 16 3 2 4 2" xfId="12012" xr:uid="{00000000-0005-0000-0000-00007C730000}"/>
    <cellStyle name="Comma 16 3 2 4 2 2" xfId="26546" xr:uid="{00000000-0005-0000-0000-00007D730000}"/>
    <cellStyle name="Comma 16 3 2 4 2 2 2" xfId="55552" xr:uid="{00000000-0005-0000-0000-00007E730000}"/>
    <cellStyle name="Comma 16 3 2 4 2 3" xfId="41053" xr:uid="{00000000-0005-0000-0000-00007F730000}"/>
    <cellStyle name="Comma 16 3 2 4 3" xfId="19298" xr:uid="{00000000-0005-0000-0000-000080730000}"/>
    <cellStyle name="Comma 16 3 2 4 3 2" xfId="48304" xr:uid="{00000000-0005-0000-0000-000081730000}"/>
    <cellStyle name="Comma 16 3 2 4 4" xfId="33805" xr:uid="{00000000-0005-0000-0000-000082730000}"/>
    <cellStyle name="Comma 16 3 2 5" xfId="7844" xr:uid="{00000000-0005-0000-0000-000083730000}"/>
    <cellStyle name="Comma 16 3 2 5 2" xfId="15116" xr:uid="{00000000-0005-0000-0000-000084730000}"/>
    <cellStyle name="Comma 16 3 2 5 2 2" xfId="29650" xr:uid="{00000000-0005-0000-0000-000085730000}"/>
    <cellStyle name="Comma 16 3 2 5 2 2 2" xfId="58656" xr:uid="{00000000-0005-0000-0000-000086730000}"/>
    <cellStyle name="Comma 16 3 2 5 2 3" xfId="44157" xr:uid="{00000000-0005-0000-0000-000087730000}"/>
    <cellStyle name="Comma 16 3 2 5 3" xfId="22402" xr:uid="{00000000-0005-0000-0000-000088730000}"/>
    <cellStyle name="Comma 16 3 2 5 3 2" xfId="51408" xr:uid="{00000000-0005-0000-0000-000089730000}"/>
    <cellStyle name="Comma 16 3 2 5 4" xfId="36909" xr:uid="{00000000-0005-0000-0000-00008A730000}"/>
    <cellStyle name="Comma 16 3 2 6" xfId="8908" xr:uid="{00000000-0005-0000-0000-00008B730000}"/>
    <cellStyle name="Comma 16 3 2 6 2" xfId="23442" xr:uid="{00000000-0005-0000-0000-00008C730000}"/>
    <cellStyle name="Comma 16 3 2 6 2 2" xfId="52448" xr:uid="{00000000-0005-0000-0000-00008D730000}"/>
    <cellStyle name="Comma 16 3 2 6 3" xfId="37949" xr:uid="{00000000-0005-0000-0000-00008E730000}"/>
    <cellStyle name="Comma 16 3 2 7" xfId="16194" xr:uid="{00000000-0005-0000-0000-00008F730000}"/>
    <cellStyle name="Comma 16 3 2 7 2" xfId="45200" xr:uid="{00000000-0005-0000-0000-000090730000}"/>
    <cellStyle name="Comma 16 3 2 8" xfId="30701" xr:uid="{00000000-0005-0000-0000-000091730000}"/>
    <cellStyle name="Comma 16 3 3" xfId="2164" xr:uid="{00000000-0005-0000-0000-000092730000}"/>
    <cellStyle name="Comma 16 3 3 2" xfId="5268" xr:uid="{00000000-0005-0000-0000-000093730000}"/>
    <cellStyle name="Comma 16 3 3 2 2" xfId="12540" xr:uid="{00000000-0005-0000-0000-000094730000}"/>
    <cellStyle name="Comma 16 3 3 2 2 2" xfId="27074" xr:uid="{00000000-0005-0000-0000-000095730000}"/>
    <cellStyle name="Comma 16 3 3 2 2 2 2" xfId="56080" xr:uid="{00000000-0005-0000-0000-000096730000}"/>
    <cellStyle name="Comma 16 3 3 2 2 3" xfId="41581" xr:uid="{00000000-0005-0000-0000-000097730000}"/>
    <cellStyle name="Comma 16 3 3 2 3" xfId="19826" xr:uid="{00000000-0005-0000-0000-000098730000}"/>
    <cellStyle name="Comma 16 3 3 2 3 2" xfId="48832" xr:uid="{00000000-0005-0000-0000-000099730000}"/>
    <cellStyle name="Comma 16 3 3 2 4" xfId="34333" xr:uid="{00000000-0005-0000-0000-00009A730000}"/>
    <cellStyle name="Comma 16 3 3 3" xfId="9436" xr:uid="{00000000-0005-0000-0000-00009B730000}"/>
    <cellStyle name="Comma 16 3 3 3 2" xfId="23970" xr:uid="{00000000-0005-0000-0000-00009C730000}"/>
    <cellStyle name="Comma 16 3 3 3 2 2" xfId="52976" xr:uid="{00000000-0005-0000-0000-00009D730000}"/>
    <cellStyle name="Comma 16 3 3 3 3" xfId="38477" xr:uid="{00000000-0005-0000-0000-00009E730000}"/>
    <cellStyle name="Comma 16 3 3 4" xfId="16722" xr:uid="{00000000-0005-0000-0000-00009F730000}"/>
    <cellStyle name="Comma 16 3 3 4 2" xfId="45728" xr:uid="{00000000-0005-0000-0000-0000A0730000}"/>
    <cellStyle name="Comma 16 3 3 5" xfId="31229" xr:uid="{00000000-0005-0000-0000-0000A1730000}"/>
    <cellStyle name="Comma 16 3 4" xfId="3196" xr:uid="{00000000-0005-0000-0000-0000A2730000}"/>
    <cellStyle name="Comma 16 3 4 2" xfId="6300" xr:uid="{00000000-0005-0000-0000-0000A3730000}"/>
    <cellStyle name="Comma 16 3 4 2 2" xfId="13572" xr:uid="{00000000-0005-0000-0000-0000A4730000}"/>
    <cellStyle name="Comma 16 3 4 2 2 2" xfId="28106" xr:uid="{00000000-0005-0000-0000-0000A5730000}"/>
    <cellStyle name="Comma 16 3 4 2 2 2 2" xfId="57112" xr:uid="{00000000-0005-0000-0000-0000A6730000}"/>
    <cellStyle name="Comma 16 3 4 2 2 3" xfId="42613" xr:uid="{00000000-0005-0000-0000-0000A7730000}"/>
    <cellStyle name="Comma 16 3 4 2 3" xfId="20858" xr:uid="{00000000-0005-0000-0000-0000A8730000}"/>
    <cellStyle name="Comma 16 3 4 2 3 2" xfId="49864" xr:uid="{00000000-0005-0000-0000-0000A9730000}"/>
    <cellStyle name="Comma 16 3 4 2 4" xfId="35365" xr:uid="{00000000-0005-0000-0000-0000AA730000}"/>
    <cellStyle name="Comma 16 3 4 3" xfId="10468" xr:uid="{00000000-0005-0000-0000-0000AB730000}"/>
    <cellStyle name="Comma 16 3 4 3 2" xfId="25002" xr:uid="{00000000-0005-0000-0000-0000AC730000}"/>
    <cellStyle name="Comma 16 3 4 3 2 2" xfId="54008" xr:uid="{00000000-0005-0000-0000-0000AD730000}"/>
    <cellStyle name="Comma 16 3 4 3 3" xfId="39509" xr:uid="{00000000-0005-0000-0000-0000AE730000}"/>
    <cellStyle name="Comma 16 3 4 4" xfId="17754" xr:uid="{00000000-0005-0000-0000-0000AF730000}"/>
    <cellStyle name="Comma 16 3 4 4 2" xfId="46760" xr:uid="{00000000-0005-0000-0000-0000B0730000}"/>
    <cellStyle name="Comma 16 3 4 5" xfId="32261" xr:uid="{00000000-0005-0000-0000-0000B1730000}"/>
    <cellStyle name="Comma 16 3 5" xfId="4228" xr:uid="{00000000-0005-0000-0000-0000B2730000}"/>
    <cellStyle name="Comma 16 3 5 2" xfId="11500" xr:uid="{00000000-0005-0000-0000-0000B3730000}"/>
    <cellStyle name="Comma 16 3 5 2 2" xfId="26034" xr:uid="{00000000-0005-0000-0000-0000B4730000}"/>
    <cellStyle name="Comma 16 3 5 2 2 2" xfId="55040" xr:uid="{00000000-0005-0000-0000-0000B5730000}"/>
    <cellStyle name="Comma 16 3 5 2 3" xfId="40541" xr:uid="{00000000-0005-0000-0000-0000B6730000}"/>
    <cellStyle name="Comma 16 3 5 3" xfId="18786" xr:uid="{00000000-0005-0000-0000-0000B7730000}"/>
    <cellStyle name="Comma 16 3 5 3 2" xfId="47792" xr:uid="{00000000-0005-0000-0000-0000B8730000}"/>
    <cellStyle name="Comma 16 3 5 4" xfId="33293" xr:uid="{00000000-0005-0000-0000-0000B9730000}"/>
    <cellStyle name="Comma 16 3 6" xfId="7332" xr:uid="{00000000-0005-0000-0000-0000BA730000}"/>
    <cellStyle name="Comma 16 3 6 2" xfId="14604" xr:uid="{00000000-0005-0000-0000-0000BB730000}"/>
    <cellStyle name="Comma 16 3 6 2 2" xfId="29138" xr:uid="{00000000-0005-0000-0000-0000BC730000}"/>
    <cellStyle name="Comma 16 3 6 2 2 2" xfId="58144" xr:uid="{00000000-0005-0000-0000-0000BD730000}"/>
    <cellStyle name="Comma 16 3 6 2 3" xfId="43645" xr:uid="{00000000-0005-0000-0000-0000BE730000}"/>
    <cellStyle name="Comma 16 3 6 3" xfId="21890" xr:uid="{00000000-0005-0000-0000-0000BF730000}"/>
    <cellStyle name="Comma 16 3 6 3 2" xfId="50896" xr:uid="{00000000-0005-0000-0000-0000C0730000}"/>
    <cellStyle name="Comma 16 3 6 4" xfId="36397" xr:uid="{00000000-0005-0000-0000-0000C1730000}"/>
    <cellStyle name="Comma 16 3 7" xfId="8396" xr:uid="{00000000-0005-0000-0000-0000C2730000}"/>
    <cellStyle name="Comma 16 3 7 2" xfId="22930" xr:uid="{00000000-0005-0000-0000-0000C3730000}"/>
    <cellStyle name="Comma 16 3 7 2 2" xfId="51936" xr:uid="{00000000-0005-0000-0000-0000C4730000}"/>
    <cellStyle name="Comma 16 3 7 3" xfId="37437" xr:uid="{00000000-0005-0000-0000-0000C5730000}"/>
    <cellStyle name="Comma 16 3 8" xfId="15682" xr:uid="{00000000-0005-0000-0000-0000C6730000}"/>
    <cellStyle name="Comma 16 3 8 2" xfId="44688" xr:uid="{00000000-0005-0000-0000-0000C7730000}"/>
    <cellStyle name="Comma 16 3 9" xfId="30189" xr:uid="{00000000-0005-0000-0000-0000C8730000}"/>
    <cellStyle name="Comma 16 4" xfId="1028" xr:uid="{00000000-0005-0000-0000-0000C9730000}"/>
    <cellStyle name="Comma 16 4 2" xfId="1518" xr:uid="{00000000-0005-0000-0000-0000CA730000}"/>
    <cellStyle name="Comma 16 4 2 2" xfId="2576" xr:uid="{00000000-0005-0000-0000-0000CB730000}"/>
    <cellStyle name="Comma 16 4 2 2 2" xfId="5680" xr:uid="{00000000-0005-0000-0000-0000CC730000}"/>
    <cellStyle name="Comma 16 4 2 2 2 2" xfId="12952" xr:uid="{00000000-0005-0000-0000-0000CD730000}"/>
    <cellStyle name="Comma 16 4 2 2 2 2 2" xfId="27486" xr:uid="{00000000-0005-0000-0000-0000CE730000}"/>
    <cellStyle name="Comma 16 4 2 2 2 2 2 2" xfId="56492" xr:uid="{00000000-0005-0000-0000-0000CF730000}"/>
    <cellStyle name="Comma 16 4 2 2 2 2 3" xfId="41993" xr:uid="{00000000-0005-0000-0000-0000D0730000}"/>
    <cellStyle name="Comma 16 4 2 2 2 3" xfId="20238" xr:uid="{00000000-0005-0000-0000-0000D1730000}"/>
    <cellStyle name="Comma 16 4 2 2 2 3 2" xfId="49244" xr:uid="{00000000-0005-0000-0000-0000D2730000}"/>
    <cellStyle name="Comma 16 4 2 2 2 4" xfId="34745" xr:uid="{00000000-0005-0000-0000-0000D3730000}"/>
    <cellStyle name="Comma 16 4 2 2 3" xfId="9848" xr:uid="{00000000-0005-0000-0000-0000D4730000}"/>
    <cellStyle name="Comma 16 4 2 2 3 2" xfId="24382" xr:uid="{00000000-0005-0000-0000-0000D5730000}"/>
    <cellStyle name="Comma 16 4 2 2 3 2 2" xfId="53388" xr:uid="{00000000-0005-0000-0000-0000D6730000}"/>
    <cellStyle name="Comma 16 4 2 2 3 3" xfId="38889" xr:uid="{00000000-0005-0000-0000-0000D7730000}"/>
    <cellStyle name="Comma 16 4 2 2 4" xfId="17134" xr:uid="{00000000-0005-0000-0000-0000D8730000}"/>
    <cellStyle name="Comma 16 4 2 2 4 2" xfId="46140" xr:uid="{00000000-0005-0000-0000-0000D9730000}"/>
    <cellStyle name="Comma 16 4 2 2 5" xfId="31641" xr:uid="{00000000-0005-0000-0000-0000DA730000}"/>
    <cellStyle name="Comma 16 4 2 3" xfId="3608" xr:uid="{00000000-0005-0000-0000-0000DB730000}"/>
    <cellStyle name="Comma 16 4 2 3 2" xfId="6712" xr:uid="{00000000-0005-0000-0000-0000DC730000}"/>
    <cellStyle name="Comma 16 4 2 3 2 2" xfId="13984" xr:uid="{00000000-0005-0000-0000-0000DD730000}"/>
    <cellStyle name="Comma 16 4 2 3 2 2 2" xfId="28518" xr:uid="{00000000-0005-0000-0000-0000DE730000}"/>
    <cellStyle name="Comma 16 4 2 3 2 2 2 2" xfId="57524" xr:uid="{00000000-0005-0000-0000-0000DF730000}"/>
    <cellStyle name="Comma 16 4 2 3 2 2 3" xfId="43025" xr:uid="{00000000-0005-0000-0000-0000E0730000}"/>
    <cellStyle name="Comma 16 4 2 3 2 3" xfId="21270" xr:uid="{00000000-0005-0000-0000-0000E1730000}"/>
    <cellStyle name="Comma 16 4 2 3 2 3 2" xfId="50276" xr:uid="{00000000-0005-0000-0000-0000E2730000}"/>
    <cellStyle name="Comma 16 4 2 3 2 4" xfId="35777" xr:uid="{00000000-0005-0000-0000-0000E3730000}"/>
    <cellStyle name="Comma 16 4 2 3 3" xfId="10880" xr:uid="{00000000-0005-0000-0000-0000E4730000}"/>
    <cellStyle name="Comma 16 4 2 3 3 2" xfId="25414" xr:uid="{00000000-0005-0000-0000-0000E5730000}"/>
    <cellStyle name="Comma 16 4 2 3 3 2 2" xfId="54420" xr:uid="{00000000-0005-0000-0000-0000E6730000}"/>
    <cellStyle name="Comma 16 4 2 3 3 3" xfId="39921" xr:uid="{00000000-0005-0000-0000-0000E7730000}"/>
    <cellStyle name="Comma 16 4 2 3 4" xfId="18166" xr:uid="{00000000-0005-0000-0000-0000E8730000}"/>
    <cellStyle name="Comma 16 4 2 3 4 2" xfId="47172" xr:uid="{00000000-0005-0000-0000-0000E9730000}"/>
    <cellStyle name="Comma 16 4 2 3 5" xfId="32673" xr:uid="{00000000-0005-0000-0000-0000EA730000}"/>
    <cellStyle name="Comma 16 4 2 4" xfId="4640" xr:uid="{00000000-0005-0000-0000-0000EB730000}"/>
    <cellStyle name="Comma 16 4 2 4 2" xfId="11912" xr:uid="{00000000-0005-0000-0000-0000EC730000}"/>
    <cellStyle name="Comma 16 4 2 4 2 2" xfId="26446" xr:uid="{00000000-0005-0000-0000-0000ED730000}"/>
    <cellStyle name="Comma 16 4 2 4 2 2 2" xfId="55452" xr:uid="{00000000-0005-0000-0000-0000EE730000}"/>
    <cellStyle name="Comma 16 4 2 4 2 3" xfId="40953" xr:uid="{00000000-0005-0000-0000-0000EF730000}"/>
    <cellStyle name="Comma 16 4 2 4 3" xfId="19198" xr:uid="{00000000-0005-0000-0000-0000F0730000}"/>
    <cellStyle name="Comma 16 4 2 4 3 2" xfId="48204" xr:uid="{00000000-0005-0000-0000-0000F1730000}"/>
    <cellStyle name="Comma 16 4 2 4 4" xfId="33705" xr:uid="{00000000-0005-0000-0000-0000F2730000}"/>
    <cellStyle name="Comma 16 4 2 5" xfId="7744" xr:uid="{00000000-0005-0000-0000-0000F3730000}"/>
    <cellStyle name="Comma 16 4 2 5 2" xfId="15016" xr:uid="{00000000-0005-0000-0000-0000F4730000}"/>
    <cellStyle name="Comma 16 4 2 5 2 2" xfId="29550" xr:uid="{00000000-0005-0000-0000-0000F5730000}"/>
    <cellStyle name="Comma 16 4 2 5 2 2 2" xfId="58556" xr:uid="{00000000-0005-0000-0000-0000F6730000}"/>
    <cellStyle name="Comma 16 4 2 5 2 3" xfId="44057" xr:uid="{00000000-0005-0000-0000-0000F7730000}"/>
    <cellStyle name="Comma 16 4 2 5 3" xfId="22302" xr:uid="{00000000-0005-0000-0000-0000F8730000}"/>
    <cellStyle name="Comma 16 4 2 5 3 2" xfId="51308" xr:uid="{00000000-0005-0000-0000-0000F9730000}"/>
    <cellStyle name="Comma 16 4 2 5 4" xfId="36809" xr:uid="{00000000-0005-0000-0000-0000FA730000}"/>
    <cellStyle name="Comma 16 4 2 6" xfId="8808" xr:uid="{00000000-0005-0000-0000-0000FB730000}"/>
    <cellStyle name="Comma 16 4 2 6 2" xfId="23342" xr:uid="{00000000-0005-0000-0000-0000FC730000}"/>
    <cellStyle name="Comma 16 4 2 6 2 2" xfId="52348" xr:uid="{00000000-0005-0000-0000-0000FD730000}"/>
    <cellStyle name="Comma 16 4 2 6 3" xfId="37849" xr:uid="{00000000-0005-0000-0000-0000FE730000}"/>
    <cellStyle name="Comma 16 4 2 7" xfId="16094" xr:uid="{00000000-0005-0000-0000-0000FF730000}"/>
    <cellStyle name="Comma 16 4 2 7 2" xfId="45100" xr:uid="{00000000-0005-0000-0000-000000740000}"/>
    <cellStyle name="Comma 16 4 2 8" xfId="30601" xr:uid="{00000000-0005-0000-0000-000001740000}"/>
    <cellStyle name="Comma 16 4 3" xfId="2064" xr:uid="{00000000-0005-0000-0000-000002740000}"/>
    <cellStyle name="Comma 16 4 3 2" xfId="5168" xr:uid="{00000000-0005-0000-0000-000003740000}"/>
    <cellStyle name="Comma 16 4 3 2 2" xfId="12440" xr:uid="{00000000-0005-0000-0000-000004740000}"/>
    <cellStyle name="Comma 16 4 3 2 2 2" xfId="26974" xr:uid="{00000000-0005-0000-0000-000005740000}"/>
    <cellStyle name="Comma 16 4 3 2 2 2 2" xfId="55980" xr:uid="{00000000-0005-0000-0000-000006740000}"/>
    <cellStyle name="Comma 16 4 3 2 2 3" xfId="41481" xr:uid="{00000000-0005-0000-0000-000007740000}"/>
    <cellStyle name="Comma 16 4 3 2 3" xfId="19726" xr:uid="{00000000-0005-0000-0000-000008740000}"/>
    <cellStyle name="Comma 16 4 3 2 3 2" xfId="48732" xr:uid="{00000000-0005-0000-0000-000009740000}"/>
    <cellStyle name="Comma 16 4 3 2 4" xfId="34233" xr:uid="{00000000-0005-0000-0000-00000A740000}"/>
    <cellStyle name="Comma 16 4 3 3" xfId="9336" xr:uid="{00000000-0005-0000-0000-00000B740000}"/>
    <cellStyle name="Comma 16 4 3 3 2" xfId="23870" xr:uid="{00000000-0005-0000-0000-00000C740000}"/>
    <cellStyle name="Comma 16 4 3 3 2 2" xfId="52876" xr:uid="{00000000-0005-0000-0000-00000D740000}"/>
    <cellStyle name="Comma 16 4 3 3 3" xfId="38377" xr:uid="{00000000-0005-0000-0000-00000E740000}"/>
    <cellStyle name="Comma 16 4 3 4" xfId="16622" xr:uid="{00000000-0005-0000-0000-00000F740000}"/>
    <cellStyle name="Comma 16 4 3 4 2" xfId="45628" xr:uid="{00000000-0005-0000-0000-000010740000}"/>
    <cellStyle name="Comma 16 4 3 5" xfId="31129" xr:uid="{00000000-0005-0000-0000-000011740000}"/>
    <cellStyle name="Comma 16 4 4" xfId="3096" xr:uid="{00000000-0005-0000-0000-000012740000}"/>
    <cellStyle name="Comma 16 4 4 2" xfId="6200" xr:uid="{00000000-0005-0000-0000-000013740000}"/>
    <cellStyle name="Comma 16 4 4 2 2" xfId="13472" xr:uid="{00000000-0005-0000-0000-000014740000}"/>
    <cellStyle name="Comma 16 4 4 2 2 2" xfId="28006" xr:uid="{00000000-0005-0000-0000-000015740000}"/>
    <cellStyle name="Comma 16 4 4 2 2 2 2" xfId="57012" xr:uid="{00000000-0005-0000-0000-000016740000}"/>
    <cellStyle name="Comma 16 4 4 2 2 3" xfId="42513" xr:uid="{00000000-0005-0000-0000-000017740000}"/>
    <cellStyle name="Comma 16 4 4 2 3" xfId="20758" xr:uid="{00000000-0005-0000-0000-000018740000}"/>
    <cellStyle name="Comma 16 4 4 2 3 2" xfId="49764" xr:uid="{00000000-0005-0000-0000-000019740000}"/>
    <cellStyle name="Comma 16 4 4 2 4" xfId="35265" xr:uid="{00000000-0005-0000-0000-00001A740000}"/>
    <cellStyle name="Comma 16 4 4 3" xfId="10368" xr:uid="{00000000-0005-0000-0000-00001B740000}"/>
    <cellStyle name="Comma 16 4 4 3 2" xfId="24902" xr:uid="{00000000-0005-0000-0000-00001C740000}"/>
    <cellStyle name="Comma 16 4 4 3 2 2" xfId="53908" xr:uid="{00000000-0005-0000-0000-00001D740000}"/>
    <cellStyle name="Comma 16 4 4 3 3" xfId="39409" xr:uid="{00000000-0005-0000-0000-00001E740000}"/>
    <cellStyle name="Comma 16 4 4 4" xfId="17654" xr:uid="{00000000-0005-0000-0000-00001F740000}"/>
    <cellStyle name="Comma 16 4 4 4 2" xfId="46660" xr:uid="{00000000-0005-0000-0000-000020740000}"/>
    <cellStyle name="Comma 16 4 4 5" xfId="32161" xr:uid="{00000000-0005-0000-0000-000021740000}"/>
    <cellStyle name="Comma 16 4 5" xfId="4128" xr:uid="{00000000-0005-0000-0000-000022740000}"/>
    <cellStyle name="Comma 16 4 5 2" xfId="11400" xr:uid="{00000000-0005-0000-0000-000023740000}"/>
    <cellStyle name="Comma 16 4 5 2 2" xfId="25934" xr:uid="{00000000-0005-0000-0000-000024740000}"/>
    <cellStyle name="Comma 16 4 5 2 2 2" xfId="54940" xr:uid="{00000000-0005-0000-0000-000025740000}"/>
    <cellStyle name="Comma 16 4 5 2 3" xfId="40441" xr:uid="{00000000-0005-0000-0000-000026740000}"/>
    <cellStyle name="Comma 16 4 5 3" xfId="18686" xr:uid="{00000000-0005-0000-0000-000027740000}"/>
    <cellStyle name="Comma 16 4 5 3 2" xfId="47692" xr:uid="{00000000-0005-0000-0000-000028740000}"/>
    <cellStyle name="Comma 16 4 5 4" xfId="33193" xr:uid="{00000000-0005-0000-0000-000029740000}"/>
    <cellStyle name="Comma 16 4 6" xfId="7232" xr:uid="{00000000-0005-0000-0000-00002A740000}"/>
    <cellStyle name="Comma 16 4 6 2" xfId="14504" xr:uid="{00000000-0005-0000-0000-00002B740000}"/>
    <cellStyle name="Comma 16 4 6 2 2" xfId="29038" xr:uid="{00000000-0005-0000-0000-00002C740000}"/>
    <cellStyle name="Comma 16 4 6 2 2 2" xfId="58044" xr:uid="{00000000-0005-0000-0000-00002D740000}"/>
    <cellStyle name="Comma 16 4 6 2 3" xfId="43545" xr:uid="{00000000-0005-0000-0000-00002E740000}"/>
    <cellStyle name="Comma 16 4 6 3" xfId="21790" xr:uid="{00000000-0005-0000-0000-00002F740000}"/>
    <cellStyle name="Comma 16 4 6 3 2" xfId="50796" xr:uid="{00000000-0005-0000-0000-000030740000}"/>
    <cellStyle name="Comma 16 4 6 4" xfId="36297" xr:uid="{00000000-0005-0000-0000-000031740000}"/>
    <cellStyle name="Comma 16 4 7" xfId="8296" xr:uid="{00000000-0005-0000-0000-000032740000}"/>
    <cellStyle name="Comma 16 4 7 2" xfId="22830" xr:uid="{00000000-0005-0000-0000-000033740000}"/>
    <cellStyle name="Comma 16 4 7 2 2" xfId="51836" xr:uid="{00000000-0005-0000-0000-000034740000}"/>
    <cellStyle name="Comma 16 4 7 3" xfId="37337" xr:uid="{00000000-0005-0000-0000-000035740000}"/>
    <cellStyle name="Comma 16 4 8" xfId="15582" xr:uid="{00000000-0005-0000-0000-000036740000}"/>
    <cellStyle name="Comma 16 4 8 2" xfId="44588" xr:uid="{00000000-0005-0000-0000-000037740000}"/>
    <cellStyle name="Comma 16 4 9" xfId="30089" xr:uid="{00000000-0005-0000-0000-000038740000}"/>
    <cellStyle name="Comma 16 5" xfId="1313" xr:uid="{00000000-0005-0000-0000-000039740000}"/>
    <cellStyle name="Comma 16 5 2" xfId="2370" xr:uid="{00000000-0005-0000-0000-00003A740000}"/>
    <cellStyle name="Comma 16 5 2 2" xfId="5474" xr:uid="{00000000-0005-0000-0000-00003B740000}"/>
    <cellStyle name="Comma 16 5 2 2 2" xfId="12746" xr:uid="{00000000-0005-0000-0000-00003C740000}"/>
    <cellStyle name="Comma 16 5 2 2 2 2" xfId="27280" xr:uid="{00000000-0005-0000-0000-00003D740000}"/>
    <cellStyle name="Comma 16 5 2 2 2 2 2" xfId="56286" xr:uid="{00000000-0005-0000-0000-00003E740000}"/>
    <cellStyle name="Comma 16 5 2 2 2 3" xfId="41787" xr:uid="{00000000-0005-0000-0000-00003F740000}"/>
    <cellStyle name="Comma 16 5 2 2 3" xfId="20032" xr:uid="{00000000-0005-0000-0000-000040740000}"/>
    <cellStyle name="Comma 16 5 2 2 3 2" xfId="49038" xr:uid="{00000000-0005-0000-0000-000041740000}"/>
    <cellStyle name="Comma 16 5 2 2 4" xfId="34539" xr:uid="{00000000-0005-0000-0000-000042740000}"/>
    <cellStyle name="Comma 16 5 2 3" xfId="9642" xr:uid="{00000000-0005-0000-0000-000043740000}"/>
    <cellStyle name="Comma 16 5 2 3 2" xfId="24176" xr:uid="{00000000-0005-0000-0000-000044740000}"/>
    <cellStyle name="Comma 16 5 2 3 2 2" xfId="53182" xr:uid="{00000000-0005-0000-0000-000045740000}"/>
    <cellStyle name="Comma 16 5 2 3 3" xfId="38683" xr:uid="{00000000-0005-0000-0000-000046740000}"/>
    <cellStyle name="Comma 16 5 2 4" xfId="16928" xr:uid="{00000000-0005-0000-0000-000047740000}"/>
    <cellStyle name="Comma 16 5 2 4 2" xfId="45934" xr:uid="{00000000-0005-0000-0000-000048740000}"/>
    <cellStyle name="Comma 16 5 2 5" xfId="31435" xr:uid="{00000000-0005-0000-0000-000049740000}"/>
    <cellStyle name="Comma 16 5 3" xfId="3402" xr:uid="{00000000-0005-0000-0000-00004A740000}"/>
    <cellStyle name="Comma 16 5 3 2" xfId="6506" xr:uid="{00000000-0005-0000-0000-00004B740000}"/>
    <cellStyle name="Comma 16 5 3 2 2" xfId="13778" xr:uid="{00000000-0005-0000-0000-00004C740000}"/>
    <cellStyle name="Comma 16 5 3 2 2 2" xfId="28312" xr:uid="{00000000-0005-0000-0000-00004D740000}"/>
    <cellStyle name="Comma 16 5 3 2 2 2 2" xfId="57318" xr:uid="{00000000-0005-0000-0000-00004E740000}"/>
    <cellStyle name="Comma 16 5 3 2 2 3" xfId="42819" xr:uid="{00000000-0005-0000-0000-00004F740000}"/>
    <cellStyle name="Comma 16 5 3 2 3" xfId="21064" xr:uid="{00000000-0005-0000-0000-000050740000}"/>
    <cellStyle name="Comma 16 5 3 2 3 2" xfId="50070" xr:uid="{00000000-0005-0000-0000-000051740000}"/>
    <cellStyle name="Comma 16 5 3 2 4" xfId="35571" xr:uid="{00000000-0005-0000-0000-000052740000}"/>
    <cellStyle name="Comma 16 5 3 3" xfId="10674" xr:uid="{00000000-0005-0000-0000-000053740000}"/>
    <cellStyle name="Comma 16 5 3 3 2" xfId="25208" xr:uid="{00000000-0005-0000-0000-000054740000}"/>
    <cellStyle name="Comma 16 5 3 3 2 2" xfId="54214" xr:uid="{00000000-0005-0000-0000-000055740000}"/>
    <cellStyle name="Comma 16 5 3 3 3" xfId="39715" xr:uid="{00000000-0005-0000-0000-000056740000}"/>
    <cellStyle name="Comma 16 5 3 4" xfId="17960" xr:uid="{00000000-0005-0000-0000-000057740000}"/>
    <cellStyle name="Comma 16 5 3 4 2" xfId="46966" xr:uid="{00000000-0005-0000-0000-000058740000}"/>
    <cellStyle name="Comma 16 5 3 5" xfId="32467" xr:uid="{00000000-0005-0000-0000-000059740000}"/>
    <cellStyle name="Comma 16 5 4" xfId="4434" xr:uid="{00000000-0005-0000-0000-00005A740000}"/>
    <cellStyle name="Comma 16 5 4 2" xfId="11706" xr:uid="{00000000-0005-0000-0000-00005B740000}"/>
    <cellStyle name="Comma 16 5 4 2 2" xfId="26240" xr:uid="{00000000-0005-0000-0000-00005C740000}"/>
    <cellStyle name="Comma 16 5 4 2 2 2" xfId="55246" xr:uid="{00000000-0005-0000-0000-00005D740000}"/>
    <cellStyle name="Comma 16 5 4 2 3" xfId="40747" xr:uid="{00000000-0005-0000-0000-00005E740000}"/>
    <cellStyle name="Comma 16 5 4 3" xfId="18992" xr:uid="{00000000-0005-0000-0000-00005F740000}"/>
    <cellStyle name="Comma 16 5 4 3 2" xfId="47998" xr:uid="{00000000-0005-0000-0000-000060740000}"/>
    <cellStyle name="Comma 16 5 4 4" xfId="33499" xr:uid="{00000000-0005-0000-0000-000061740000}"/>
    <cellStyle name="Comma 16 5 5" xfId="7538" xr:uid="{00000000-0005-0000-0000-000062740000}"/>
    <cellStyle name="Comma 16 5 5 2" xfId="14810" xr:uid="{00000000-0005-0000-0000-000063740000}"/>
    <cellStyle name="Comma 16 5 5 2 2" xfId="29344" xr:uid="{00000000-0005-0000-0000-000064740000}"/>
    <cellStyle name="Comma 16 5 5 2 2 2" xfId="58350" xr:uid="{00000000-0005-0000-0000-000065740000}"/>
    <cellStyle name="Comma 16 5 5 2 3" xfId="43851" xr:uid="{00000000-0005-0000-0000-000066740000}"/>
    <cellStyle name="Comma 16 5 5 3" xfId="22096" xr:uid="{00000000-0005-0000-0000-000067740000}"/>
    <cellStyle name="Comma 16 5 5 3 2" xfId="51102" xr:uid="{00000000-0005-0000-0000-000068740000}"/>
    <cellStyle name="Comma 16 5 5 4" xfId="36603" xr:uid="{00000000-0005-0000-0000-000069740000}"/>
    <cellStyle name="Comma 16 5 6" xfId="8602" xr:uid="{00000000-0005-0000-0000-00006A740000}"/>
    <cellStyle name="Comma 16 5 6 2" xfId="23136" xr:uid="{00000000-0005-0000-0000-00006B740000}"/>
    <cellStyle name="Comma 16 5 6 2 2" xfId="52142" xr:uid="{00000000-0005-0000-0000-00006C740000}"/>
    <cellStyle name="Comma 16 5 6 3" xfId="37643" xr:uid="{00000000-0005-0000-0000-00006D740000}"/>
    <cellStyle name="Comma 16 5 7" xfId="15888" xr:uid="{00000000-0005-0000-0000-00006E740000}"/>
    <cellStyle name="Comma 16 5 7 2" xfId="44894" xr:uid="{00000000-0005-0000-0000-00006F740000}"/>
    <cellStyle name="Comma 16 5 8" xfId="30395" xr:uid="{00000000-0005-0000-0000-000070740000}"/>
    <cellStyle name="Comma 16 6" xfId="1858" xr:uid="{00000000-0005-0000-0000-000071740000}"/>
    <cellStyle name="Comma 16 6 2" xfId="4962" xr:uid="{00000000-0005-0000-0000-000072740000}"/>
    <cellStyle name="Comma 16 6 2 2" xfId="12234" xr:uid="{00000000-0005-0000-0000-000073740000}"/>
    <cellStyle name="Comma 16 6 2 2 2" xfId="26768" xr:uid="{00000000-0005-0000-0000-000074740000}"/>
    <cellStyle name="Comma 16 6 2 2 2 2" xfId="55774" xr:uid="{00000000-0005-0000-0000-000075740000}"/>
    <cellStyle name="Comma 16 6 2 2 3" xfId="41275" xr:uid="{00000000-0005-0000-0000-000076740000}"/>
    <cellStyle name="Comma 16 6 2 3" xfId="19520" xr:uid="{00000000-0005-0000-0000-000077740000}"/>
    <cellStyle name="Comma 16 6 2 3 2" xfId="48526" xr:uid="{00000000-0005-0000-0000-000078740000}"/>
    <cellStyle name="Comma 16 6 2 4" xfId="34027" xr:uid="{00000000-0005-0000-0000-000079740000}"/>
    <cellStyle name="Comma 16 6 3" xfId="9130" xr:uid="{00000000-0005-0000-0000-00007A740000}"/>
    <cellStyle name="Comma 16 6 3 2" xfId="23664" xr:uid="{00000000-0005-0000-0000-00007B740000}"/>
    <cellStyle name="Comma 16 6 3 2 2" xfId="52670" xr:uid="{00000000-0005-0000-0000-00007C740000}"/>
    <cellStyle name="Comma 16 6 3 3" xfId="38171" xr:uid="{00000000-0005-0000-0000-00007D740000}"/>
    <cellStyle name="Comma 16 6 4" xfId="16416" xr:uid="{00000000-0005-0000-0000-00007E740000}"/>
    <cellStyle name="Comma 16 6 4 2" xfId="45422" xr:uid="{00000000-0005-0000-0000-00007F740000}"/>
    <cellStyle name="Comma 16 6 5" xfId="30923" xr:uid="{00000000-0005-0000-0000-000080740000}"/>
    <cellStyle name="Comma 16 7" xfId="2890" xr:uid="{00000000-0005-0000-0000-000081740000}"/>
    <cellStyle name="Comma 16 7 2" xfId="5994" xr:uid="{00000000-0005-0000-0000-000082740000}"/>
    <cellStyle name="Comma 16 7 2 2" xfId="13266" xr:uid="{00000000-0005-0000-0000-000083740000}"/>
    <cellStyle name="Comma 16 7 2 2 2" xfId="27800" xr:uid="{00000000-0005-0000-0000-000084740000}"/>
    <cellStyle name="Comma 16 7 2 2 2 2" xfId="56806" xr:uid="{00000000-0005-0000-0000-000085740000}"/>
    <cellStyle name="Comma 16 7 2 2 3" xfId="42307" xr:uid="{00000000-0005-0000-0000-000086740000}"/>
    <cellStyle name="Comma 16 7 2 3" xfId="20552" xr:uid="{00000000-0005-0000-0000-000087740000}"/>
    <cellStyle name="Comma 16 7 2 3 2" xfId="49558" xr:uid="{00000000-0005-0000-0000-000088740000}"/>
    <cellStyle name="Comma 16 7 2 4" xfId="35059" xr:uid="{00000000-0005-0000-0000-000089740000}"/>
    <cellStyle name="Comma 16 7 3" xfId="10162" xr:uid="{00000000-0005-0000-0000-00008A740000}"/>
    <cellStyle name="Comma 16 7 3 2" xfId="24696" xr:uid="{00000000-0005-0000-0000-00008B740000}"/>
    <cellStyle name="Comma 16 7 3 2 2" xfId="53702" xr:uid="{00000000-0005-0000-0000-00008C740000}"/>
    <cellStyle name="Comma 16 7 3 3" xfId="39203" xr:uid="{00000000-0005-0000-0000-00008D740000}"/>
    <cellStyle name="Comma 16 7 4" xfId="17448" xr:uid="{00000000-0005-0000-0000-00008E740000}"/>
    <cellStyle name="Comma 16 7 4 2" xfId="46454" xr:uid="{00000000-0005-0000-0000-00008F740000}"/>
    <cellStyle name="Comma 16 7 5" xfId="31955" xr:uid="{00000000-0005-0000-0000-000090740000}"/>
    <cellStyle name="Comma 16 8" xfId="3922" xr:uid="{00000000-0005-0000-0000-000091740000}"/>
    <cellStyle name="Comma 16 8 2" xfId="11194" xr:uid="{00000000-0005-0000-0000-000092740000}"/>
    <cellStyle name="Comma 16 8 2 2" xfId="25728" xr:uid="{00000000-0005-0000-0000-000093740000}"/>
    <cellStyle name="Comma 16 8 2 2 2" xfId="54734" xr:uid="{00000000-0005-0000-0000-000094740000}"/>
    <cellStyle name="Comma 16 8 2 3" xfId="40235" xr:uid="{00000000-0005-0000-0000-000095740000}"/>
    <cellStyle name="Comma 16 8 3" xfId="18480" xr:uid="{00000000-0005-0000-0000-000096740000}"/>
    <cellStyle name="Comma 16 8 3 2" xfId="47486" xr:uid="{00000000-0005-0000-0000-000097740000}"/>
    <cellStyle name="Comma 16 8 4" xfId="32987" xr:uid="{00000000-0005-0000-0000-000098740000}"/>
    <cellStyle name="Comma 16 9" xfId="7026" xr:uid="{00000000-0005-0000-0000-000099740000}"/>
    <cellStyle name="Comma 16 9 2" xfId="14298" xr:uid="{00000000-0005-0000-0000-00009A740000}"/>
    <cellStyle name="Comma 16 9 2 2" xfId="28832" xr:uid="{00000000-0005-0000-0000-00009B740000}"/>
    <cellStyle name="Comma 16 9 2 2 2" xfId="57838" xr:uid="{00000000-0005-0000-0000-00009C740000}"/>
    <cellStyle name="Comma 16 9 2 3" xfId="43339" xr:uid="{00000000-0005-0000-0000-00009D740000}"/>
    <cellStyle name="Comma 16 9 3" xfId="21584" xr:uid="{00000000-0005-0000-0000-00009E740000}"/>
    <cellStyle name="Comma 16 9 3 2" xfId="50590" xr:uid="{00000000-0005-0000-0000-00009F740000}"/>
    <cellStyle name="Comma 16 9 4" xfId="36091" xr:uid="{00000000-0005-0000-0000-0000A0740000}"/>
    <cellStyle name="Comma 17" xfId="901" xr:uid="{00000000-0005-0000-0000-0000A1740000}"/>
    <cellStyle name="Comma 17 10" xfId="15427" xr:uid="{00000000-0005-0000-0000-0000A2740000}"/>
    <cellStyle name="Comma 17 10 2" xfId="44433" xr:uid="{00000000-0005-0000-0000-0000A3740000}"/>
    <cellStyle name="Comma 17 11" xfId="29934" xr:uid="{00000000-0005-0000-0000-0000A4740000}"/>
    <cellStyle name="Comma 17 2" xfId="983" xr:uid="{00000000-0005-0000-0000-0000A5740000}"/>
    <cellStyle name="Comma 17 2 10" xfId="30037" xr:uid="{00000000-0005-0000-0000-0000A6740000}"/>
    <cellStyle name="Comma 17 2 2" xfId="1264" xr:uid="{00000000-0005-0000-0000-0000A7740000}"/>
    <cellStyle name="Comma 17 2 2 2" xfId="1771" xr:uid="{00000000-0005-0000-0000-0000A8740000}"/>
    <cellStyle name="Comma 17 2 2 2 2" xfId="2830" xr:uid="{00000000-0005-0000-0000-0000A9740000}"/>
    <cellStyle name="Comma 17 2 2 2 2 2" xfId="5934" xr:uid="{00000000-0005-0000-0000-0000AA740000}"/>
    <cellStyle name="Comma 17 2 2 2 2 2 2" xfId="13206" xr:uid="{00000000-0005-0000-0000-0000AB740000}"/>
    <cellStyle name="Comma 17 2 2 2 2 2 2 2" xfId="27740" xr:uid="{00000000-0005-0000-0000-0000AC740000}"/>
    <cellStyle name="Comma 17 2 2 2 2 2 2 2 2" xfId="56746" xr:uid="{00000000-0005-0000-0000-0000AD740000}"/>
    <cellStyle name="Comma 17 2 2 2 2 2 2 3" xfId="42247" xr:uid="{00000000-0005-0000-0000-0000AE740000}"/>
    <cellStyle name="Comma 17 2 2 2 2 2 3" xfId="20492" xr:uid="{00000000-0005-0000-0000-0000AF740000}"/>
    <cellStyle name="Comma 17 2 2 2 2 2 3 2" xfId="49498" xr:uid="{00000000-0005-0000-0000-0000B0740000}"/>
    <cellStyle name="Comma 17 2 2 2 2 2 4" xfId="34999" xr:uid="{00000000-0005-0000-0000-0000B1740000}"/>
    <cellStyle name="Comma 17 2 2 2 2 3" xfId="10102" xr:uid="{00000000-0005-0000-0000-0000B2740000}"/>
    <cellStyle name="Comma 17 2 2 2 2 3 2" xfId="24636" xr:uid="{00000000-0005-0000-0000-0000B3740000}"/>
    <cellStyle name="Comma 17 2 2 2 2 3 2 2" xfId="53642" xr:uid="{00000000-0005-0000-0000-0000B4740000}"/>
    <cellStyle name="Comma 17 2 2 2 2 3 3" xfId="39143" xr:uid="{00000000-0005-0000-0000-0000B5740000}"/>
    <cellStyle name="Comma 17 2 2 2 2 4" xfId="17388" xr:uid="{00000000-0005-0000-0000-0000B6740000}"/>
    <cellStyle name="Comma 17 2 2 2 2 4 2" xfId="46394" xr:uid="{00000000-0005-0000-0000-0000B7740000}"/>
    <cellStyle name="Comma 17 2 2 2 2 5" xfId="31895" xr:uid="{00000000-0005-0000-0000-0000B8740000}"/>
    <cellStyle name="Comma 17 2 2 2 3" xfId="3862" xr:uid="{00000000-0005-0000-0000-0000B9740000}"/>
    <cellStyle name="Comma 17 2 2 2 3 2" xfId="6966" xr:uid="{00000000-0005-0000-0000-0000BA740000}"/>
    <cellStyle name="Comma 17 2 2 2 3 2 2" xfId="14238" xr:uid="{00000000-0005-0000-0000-0000BB740000}"/>
    <cellStyle name="Comma 17 2 2 2 3 2 2 2" xfId="28772" xr:uid="{00000000-0005-0000-0000-0000BC740000}"/>
    <cellStyle name="Comma 17 2 2 2 3 2 2 2 2" xfId="57778" xr:uid="{00000000-0005-0000-0000-0000BD740000}"/>
    <cellStyle name="Comma 17 2 2 2 3 2 2 3" xfId="43279" xr:uid="{00000000-0005-0000-0000-0000BE740000}"/>
    <cellStyle name="Comma 17 2 2 2 3 2 3" xfId="21524" xr:uid="{00000000-0005-0000-0000-0000BF740000}"/>
    <cellStyle name="Comma 17 2 2 2 3 2 3 2" xfId="50530" xr:uid="{00000000-0005-0000-0000-0000C0740000}"/>
    <cellStyle name="Comma 17 2 2 2 3 2 4" xfId="36031" xr:uid="{00000000-0005-0000-0000-0000C1740000}"/>
    <cellStyle name="Comma 17 2 2 2 3 3" xfId="11134" xr:uid="{00000000-0005-0000-0000-0000C2740000}"/>
    <cellStyle name="Comma 17 2 2 2 3 3 2" xfId="25668" xr:uid="{00000000-0005-0000-0000-0000C3740000}"/>
    <cellStyle name="Comma 17 2 2 2 3 3 2 2" xfId="54674" xr:uid="{00000000-0005-0000-0000-0000C4740000}"/>
    <cellStyle name="Comma 17 2 2 2 3 3 3" xfId="40175" xr:uid="{00000000-0005-0000-0000-0000C5740000}"/>
    <cellStyle name="Comma 17 2 2 2 3 4" xfId="18420" xr:uid="{00000000-0005-0000-0000-0000C6740000}"/>
    <cellStyle name="Comma 17 2 2 2 3 4 2" xfId="47426" xr:uid="{00000000-0005-0000-0000-0000C7740000}"/>
    <cellStyle name="Comma 17 2 2 2 3 5" xfId="32927" xr:uid="{00000000-0005-0000-0000-0000C8740000}"/>
    <cellStyle name="Comma 17 2 2 2 4" xfId="4894" xr:uid="{00000000-0005-0000-0000-0000C9740000}"/>
    <cellStyle name="Comma 17 2 2 2 4 2" xfId="12166" xr:uid="{00000000-0005-0000-0000-0000CA740000}"/>
    <cellStyle name="Comma 17 2 2 2 4 2 2" xfId="26700" xr:uid="{00000000-0005-0000-0000-0000CB740000}"/>
    <cellStyle name="Comma 17 2 2 2 4 2 2 2" xfId="55706" xr:uid="{00000000-0005-0000-0000-0000CC740000}"/>
    <cellStyle name="Comma 17 2 2 2 4 2 3" xfId="41207" xr:uid="{00000000-0005-0000-0000-0000CD740000}"/>
    <cellStyle name="Comma 17 2 2 2 4 3" xfId="19452" xr:uid="{00000000-0005-0000-0000-0000CE740000}"/>
    <cellStyle name="Comma 17 2 2 2 4 3 2" xfId="48458" xr:uid="{00000000-0005-0000-0000-0000CF740000}"/>
    <cellStyle name="Comma 17 2 2 2 4 4" xfId="33959" xr:uid="{00000000-0005-0000-0000-0000D0740000}"/>
    <cellStyle name="Comma 17 2 2 2 5" xfId="7998" xr:uid="{00000000-0005-0000-0000-0000D1740000}"/>
    <cellStyle name="Comma 17 2 2 2 5 2" xfId="15270" xr:uid="{00000000-0005-0000-0000-0000D2740000}"/>
    <cellStyle name="Comma 17 2 2 2 5 2 2" xfId="29804" xr:uid="{00000000-0005-0000-0000-0000D3740000}"/>
    <cellStyle name="Comma 17 2 2 2 5 2 2 2" xfId="58810" xr:uid="{00000000-0005-0000-0000-0000D4740000}"/>
    <cellStyle name="Comma 17 2 2 2 5 2 3" xfId="44311" xr:uid="{00000000-0005-0000-0000-0000D5740000}"/>
    <cellStyle name="Comma 17 2 2 2 5 3" xfId="22556" xr:uid="{00000000-0005-0000-0000-0000D6740000}"/>
    <cellStyle name="Comma 17 2 2 2 5 3 2" xfId="51562" xr:uid="{00000000-0005-0000-0000-0000D7740000}"/>
    <cellStyle name="Comma 17 2 2 2 5 4" xfId="37063" xr:uid="{00000000-0005-0000-0000-0000D8740000}"/>
    <cellStyle name="Comma 17 2 2 2 6" xfId="9062" xr:uid="{00000000-0005-0000-0000-0000D9740000}"/>
    <cellStyle name="Comma 17 2 2 2 6 2" xfId="23596" xr:uid="{00000000-0005-0000-0000-0000DA740000}"/>
    <cellStyle name="Comma 17 2 2 2 6 2 2" xfId="52602" xr:uid="{00000000-0005-0000-0000-0000DB740000}"/>
    <cellStyle name="Comma 17 2 2 2 6 3" xfId="38103" xr:uid="{00000000-0005-0000-0000-0000DC740000}"/>
    <cellStyle name="Comma 17 2 2 2 7" xfId="16348" xr:uid="{00000000-0005-0000-0000-0000DD740000}"/>
    <cellStyle name="Comma 17 2 2 2 7 2" xfId="45354" xr:uid="{00000000-0005-0000-0000-0000DE740000}"/>
    <cellStyle name="Comma 17 2 2 2 8" xfId="30855" xr:uid="{00000000-0005-0000-0000-0000DF740000}"/>
    <cellStyle name="Comma 17 2 2 3" xfId="2318" xr:uid="{00000000-0005-0000-0000-0000E0740000}"/>
    <cellStyle name="Comma 17 2 2 3 2" xfId="5422" xr:uid="{00000000-0005-0000-0000-0000E1740000}"/>
    <cellStyle name="Comma 17 2 2 3 2 2" xfId="12694" xr:uid="{00000000-0005-0000-0000-0000E2740000}"/>
    <cellStyle name="Comma 17 2 2 3 2 2 2" xfId="27228" xr:uid="{00000000-0005-0000-0000-0000E3740000}"/>
    <cellStyle name="Comma 17 2 2 3 2 2 2 2" xfId="56234" xr:uid="{00000000-0005-0000-0000-0000E4740000}"/>
    <cellStyle name="Comma 17 2 2 3 2 2 3" xfId="41735" xr:uid="{00000000-0005-0000-0000-0000E5740000}"/>
    <cellStyle name="Comma 17 2 2 3 2 3" xfId="19980" xr:uid="{00000000-0005-0000-0000-0000E6740000}"/>
    <cellStyle name="Comma 17 2 2 3 2 3 2" xfId="48986" xr:uid="{00000000-0005-0000-0000-0000E7740000}"/>
    <cellStyle name="Comma 17 2 2 3 2 4" xfId="34487" xr:uid="{00000000-0005-0000-0000-0000E8740000}"/>
    <cellStyle name="Comma 17 2 2 3 3" xfId="9590" xr:uid="{00000000-0005-0000-0000-0000E9740000}"/>
    <cellStyle name="Comma 17 2 2 3 3 2" xfId="24124" xr:uid="{00000000-0005-0000-0000-0000EA740000}"/>
    <cellStyle name="Comma 17 2 2 3 3 2 2" xfId="53130" xr:uid="{00000000-0005-0000-0000-0000EB740000}"/>
    <cellStyle name="Comma 17 2 2 3 3 3" xfId="38631" xr:uid="{00000000-0005-0000-0000-0000EC740000}"/>
    <cellStyle name="Comma 17 2 2 3 4" xfId="16876" xr:uid="{00000000-0005-0000-0000-0000ED740000}"/>
    <cellStyle name="Comma 17 2 2 3 4 2" xfId="45882" xr:uid="{00000000-0005-0000-0000-0000EE740000}"/>
    <cellStyle name="Comma 17 2 2 3 5" xfId="31383" xr:uid="{00000000-0005-0000-0000-0000EF740000}"/>
    <cellStyle name="Comma 17 2 2 4" xfId="3350" xr:uid="{00000000-0005-0000-0000-0000F0740000}"/>
    <cellStyle name="Comma 17 2 2 4 2" xfId="6454" xr:uid="{00000000-0005-0000-0000-0000F1740000}"/>
    <cellStyle name="Comma 17 2 2 4 2 2" xfId="13726" xr:uid="{00000000-0005-0000-0000-0000F2740000}"/>
    <cellStyle name="Comma 17 2 2 4 2 2 2" xfId="28260" xr:uid="{00000000-0005-0000-0000-0000F3740000}"/>
    <cellStyle name="Comma 17 2 2 4 2 2 2 2" xfId="57266" xr:uid="{00000000-0005-0000-0000-0000F4740000}"/>
    <cellStyle name="Comma 17 2 2 4 2 2 3" xfId="42767" xr:uid="{00000000-0005-0000-0000-0000F5740000}"/>
    <cellStyle name="Comma 17 2 2 4 2 3" xfId="21012" xr:uid="{00000000-0005-0000-0000-0000F6740000}"/>
    <cellStyle name="Comma 17 2 2 4 2 3 2" xfId="50018" xr:uid="{00000000-0005-0000-0000-0000F7740000}"/>
    <cellStyle name="Comma 17 2 2 4 2 4" xfId="35519" xr:uid="{00000000-0005-0000-0000-0000F8740000}"/>
    <cellStyle name="Comma 17 2 2 4 3" xfId="10622" xr:uid="{00000000-0005-0000-0000-0000F9740000}"/>
    <cellStyle name="Comma 17 2 2 4 3 2" xfId="25156" xr:uid="{00000000-0005-0000-0000-0000FA740000}"/>
    <cellStyle name="Comma 17 2 2 4 3 2 2" xfId="54162" xr:uid="{00000000-0005-0000-0000-0000FB740000}"/>
    <cellStyle name="Comma 17 2 2 4 3 3" xfId="39663" xr:uid="{00000000-0005-0000-0000-0000FC740000}"/>
    <cellStyle name="Comma 17 2 2 4 4" xfId="17908" xr:uid="{00000000-0005-0000-0000-0000FD740000}"/>
    <cellStyle name="Comma 17 2 2 4 4 2" xfId="46914" xr:uid="{00000000-0005-0000-0000-0000FE740000}"/>
    <cellStyle name="Comma 17 2 2 4 5" xfId="32415" xr:uid="{00000000-0005-0000-0000-0000FF740000}"/>
    <cellStyle name="Comma 17 2 2 5" xfId="4382" xr:uid="{00000000-0005-0000-0000-000000750000}"/>
    <cellStyle name="Comma 17 2 2 5 2" xfId="11654" xr:uid="{00000000-0005-0000-0000-000001750000}"/>
    <cellStyle name="Comma 17 2 2 5 2 2" xfId="26188" xr:uid="{00000000-0005-0000-0000-000002750000}"/>
    <cellStyle name="Comma 17 2 2 5 2 2 2" xfId="55194" xr:uid="{00000000-0005-0000-0000-000003750000}"/>
    <cellStyle name="Comma 17 2 2 5 2 3" xfId="40695" xr:uid="{00000000-0005-0000-0000-000004750000}"/>
    <cellStyle name="Comma 17 2 2 5 3" xfId="18940" xr:uid="{00000000-0005-0000-0000-000005750000}"/>
    <cellStyle name="Comma 17 2 2 5 3 2" xfId="47946" xr:uid="{00000000-0005-0000-0000-000006750000}"/>
    <cellStyle name="Comma 17 2 2 5 4" xfId="33447" xr:uid="{00000000-0005-0000-0000-000007750000}"/>
    <cellStyle name="Comma 17 2 2 6" xfId="7486" xr:uid="{00000000-0005-0000-0000-000008750000}"/>
    <cellStyle name="Comma 17 2 2 6 2" xfId="14758" xr:uid="{00000000-0005-0000-0000-000009750000}"/>
    <cellStyle name="Comma 17 2 2 6 2 2" xfId="29292" xr:uid="{00000000-0005-0000-0000-00000A750000}"/>
    <cellStyle name="Comma 17 2 2 6 2 2 2" xfId="58298" xr:uid="{00000000-0005-0000-0000-00000B750000}"/>
    <cellStyle name="Comma 17 2 2 6 2 3" xfId="43799" xr:uid="{00000000-0005-0000-0000-00000C750000}"/>
    <cellStyle name="Comma 17 2 2 6 3" xfId="22044" xr:uid="{00000000-0005-0000-0000-00000D750000}"/>
    <cellStyle name="Comma 17 2 2 6 3 2" xfId="51050" xr:uid="{00000000-0005-0000-0000-00000E750000}"/>
    <cellStyle name="Comma 17 2 2 6 4" xfId="36551" xr:uid="{00000000-0005-0000-0000-00000F750000}"/>
    <cellStyle name="Comma 17 2 2 7" xfId="8550" xr:uid="{00000000-0005-0000-0000-000010750000}"/>
    <cellStyle name="Comma 17 2 2 7 2" xfId="23084" xr:uid="{00000000-0005-0000-0000-000011750000}"/>
    <cellStyle name="Comma 17 2 2 7 2 2" xfId="52090" xr:uid="{00000000-0005-0000-0000-000012750000}"/>
    <cellStyle name="Comma 17 2 2 7 3" xfId="37591" xr:uid="{00000000-0005-0000-0000-000013750000}"/>
    <cellStyle name="Comma 17 2 2 8" xfId="15836" xr:uid="{00000000-0005-0000-0000-000014750000}"/>
    <cellStyle name="Comma 17 2 2 8 2" xfId="44842" xr:uid="{00000000-0005-0000-0000-000015750000}"/>
    <cellStyle name="Comma 17 2 2 9" xfId="30343" xr:uid="{00000000-0005-0000-0000-000016750000}"/>
    <cellStyle name="Comma 17 2 3" xfId="1466" xr:uid="{00000000-0005-0000-0000-000017750000}"/>
    <cellStyle name="Comma 17 2 3 2" xfId="2524" xr:uid="{00000000-0005-0000-0000-000018750000}"/>
    <cellStyle name="Comma 17 2 3 2 2" xfId="5628" xr:uid="{00000000-0005-0000-0000-000019750000}"/>
    <cellStyle name="Comma 17 2 3 2 2 2" xfId="12900" xr:uid="{00000000-0005-0000-0000-00001A750000}"/>
    <cellStyle name="Comma 17 2 3 2 2 2 2" xfId="27434" xr:uid="{00000000-0005-0000-0000-00001B750000}"/>
    <cellStyle name="Comma 17 2 3 2 2 2 2 2" xfId="56440" xr:uid="{00000000-0005-0000-0000-00001C750000}"/>
    <cellStyle name="Comma 17 2 3 2 2 2 3" xfId="41941" xr:uid="{00000000-0005-0000-0000-00001D750000}"/>
    <cellStyle name="Comma 17 2 3 2 2 3" xfId="20186" xr:uid="{00000000-0005-0000-0000-00001E750000}"/>
    <cellStyle name="Comma 17 2 3 2 2 3 2" xfId="49192" xr:uid="{00000000-0005-0000-0000-00001F750000}"/>
    <cellStyle name="Comma 17 2 3 2 2 4" xfId="34693" xr:uid="{00000000-0005-0000-0000-000020750000}"/>
    <cellStyle name="Comma 17 2 3 2 3" xfId="9796" xr:uid="{00000000-0005-0000-0000-000021750000}"/>
    <cellStyle name="Comma 17 2 3 2 3 2" xfId="24330" xr:uid="{00000000-0005-0000-0000-000022750000}"/>
    <cellStyle name="Comma 17 2 3 2 3 2 2" xfId="53336" xr:uid="{00000000-0005-0000-0000-000023750000}"/>
    <cellStyle name="Comma 17 2 3 2 3 3" xfId="38837" xr:uid="{00000000-0005-0000-0000-000024750000}"/>
    <cellStyle name="Comma 17 2 3 2 4" xfId="17082" xr:uid="{00000000-0005-0000-0000-000025750000}"/>
    <cellStyle name="Comma 17 2 3 2 4 2" xfId="46088" xr:uid="{00000000-0005-0000-0000-000026750000}"/>
    <cellStyle name="Comma 17 2 3 2 5" xfId="31589" xr:uid="{00000000-0005-0000-0000-000027750000}"/>
    <cellStyle name="Comma 17 2 3 3" xfId="3556" xr:uid="{00000000-0005-0000-0000-000028750000}"/>
    <cellStyle name="Comma 17 2 3 3 2" xfId="6660" xr:uid="{00000000-0005-0000-0000-000029750000}"/>
    <cellStyle name="Comma 17 2 3 3 2 2" xfId="13932" xr:uid="{00000000-0005-0000-0000-00002A750000}"/>
    <cellStyle name="Comma 17 2 3 3 2 2 2" xfId="28466" xr:uid="{00000000-0005-0000-0000-00002B750000}"/>
    <cellStyle name="Comma 17 2 3 3 2 2 2 2" xfId="57472" xr:uid="{00000000-0005-0000-0000-00002C750000}"/>
    <cellStyle name="Comma 17 2 3 3 2 2 3" xfId="42973" xr:uid="{00000000-0005-0000-0000-00002D750000}"/>
    <cellStyle name="Comma 17 2 3 3 2 3" xfId="21218" xr:uid="{00000000-0005-0000-0000-00002E750000}"/>
    <cellStyle name="Comma 17 2 3 3 2 3 2" xfId="50224" xr:uid="{00000000-0005-0000-0000-00002F750000}"/>
    <cellStyle name="Comma 17 2 3 3 2 4" xfId="35725" xr:uid="{00000000-0005-0000-0000-000030750000}"/>
    <cellStyle name="Comma 17 2 3 3 3" xfId="10828" xr:uid="{00000000-0005-0000-0000-000031750000}"/>
    <cellStyle name="Comma 17 2 3 3 3 2" xfId="25362" xr:uid="{00000000-0005-0000-0000-000032750000}"/>
    <cellStyle name="Comma 17 2 3 3 3 2 2" xfId="54368" xr:uid="{00000000-0005-0000-0000-000033750000}"/>
    <cellStyle name="Comma 17 2 3 3 3 3" xfId="39869" xr:uid="{00000000-0005-0000-0000-000034750000}"/>
    <cellStyle name="Comma 17 2 3 3 4" xfId="18114" xr:uid="{00000000-0005-0000-0000-000035750000}"/>
    <cellStyle name="Comma 17 2 3 3 4 2" xfId="47120" xr:uid="{00000000-0005-0000-0000-000036750000}"/>
    <cellStyle name="Comma 17 2 3 3 5" xfId="32621" xr:uid="{00000000-0005-0000-0000-000037750000}"/>
    <cellStyle name="Comma 17 2 3 4" xfId="4588" xr:uid="{00000000-0005-0000-0000-000038750000}"/>
    <cellStyle name="Comma 17 2 3 4 2" xfId="11860" xr:uid="{00000000-0005-0000-0000-000039750000}"/>
    <cellStyle name="Comma 17 2 3 4 2 2" xfId="26394" xr:uid="{00000000-0005-0000-0000-00003A750000}"/>
    <cellStyle name="Comma 17 2 3 4 2 2 2" xfId="55400" xr:uid="{00000000-0005-0000-0000-00003B750000}"/>
    <cellStyle name="Comma 17 2 3 4 2 3" xfId="40901" xr:uid="{00000000-0005-0000-0000-00003C750000}"/>
    <cellStyle name="Comma 17 2 3 4 3" xfId="19146" xr:uid="{00000000-0005-0000-0000-00003D750000}"/>
    <cellStyle name="Comma 17 2 3 4 3 2" xfId="48152" xr:uid="{00000000-0005-0000-0000-00003E750000}"/>
    <cellStyle name="Comma 17 2 3 4 4" xfId="33653" xr:uid="{00000000-0005-0000-0000-00003F750000}"/>
    <cellStyle name="Comma 17 2 3 5" xfId="7692" xr:uid="{00000000-0005-0000-0000-000040750000}"/>
    <cellStyle name="Comma 17 2 3 5 2" xfId="14964" xr:uid="{00000000-0005-0000-0000-000041750000}"/>
    <cellStyle name="Comma 17 2 3 5 2 2" xfId="29498" xr:uid="{00000000-0005-0000-0000-000042750000}"/>
    <cellStyle name="Comma 17 2 3 5 2 2 2" xfId="58504" xr:uid="{00000000-0005-0000-0000-000043750000}"/>
    <cellStyle name="Comma 17 2 3 5 2 3" xfId="44005" xr:uid="{00000000-0005-0000-0000-000044750000}"/>
    <cellStyle name="Comma 17 2 3 5 3" xfId="22250" xr:uid="{00000000-0005-0000-0000-000045750000}"/>
    <cellStyle name="Comma 17 2 3 5 3 2" xfId="51256" xr:uid="{00000000-0005-0000-0000-000046750000}"/>
    <cellStyle name="Comma 17 2 3 5 4" xfId="36757" xr:uid="{00000000-0005-0000-0000-000047750000}"/>
    <cellStyle name="Comma 17 2 3 6" xfId="8756" xr:uid="{00000000-0005-0000-0000-000048750000}"/>
    <cellStyle name="Comma 17 2 3 6 2" xfId="23290" xr:uid="{00000000-0005-0000-0000-000049750000}"/>
    <cellStyle name="Comma 17 2 3 6 2 2" xfId="52296" xr:uid="{00000000-0005-0000-0000-00004A750000}"/>
    <cellStyle name="Comma 17 2 3 6 3" xfId="37797" xr:uid="{00000000-0005-0000-0000-00004B750000}"/>
    <cellStyle name="Comma 17 2 3 7" xfId="16042" xr:uid="{00000000-0005-0000-0000-00004C750000}"/>
    <cellStyle name="Comma 17 2 3 7 2" xfId="45048" xr:uid="{00000000-0005-0000-0000-00004D750000}"/>
    <cellStyle name="Comma 17 2 3 8" xfId="30549" xr:uid="{00000000-0005-0000-0000-00004E750000}"/>
    <cellStyle name="Comma 17 2 4" xfId="2012" xr:uid="{00000000-0005-0000-0000-00004F750000}"/>
    <cellStyle name="Comma 17 2 4 2" xfId="5116" xr:uid="{00000000-0005-0000-0000-000050750000}"/>
    <cellStyle name="Comma 17 2 4 2 2" xfId="12388" xr:uid="{00000000-0005-0000-0000-000051750000}"/>
    <cellStyle name="Comma 17 2 4 2 2 2" xfId="26922" xr:uid="{00000000-0005-0000-0000-000052750000}"/>
    <cellStyle name="Comma 17 2 4 2 2 2 2" xfId="55928" xr:uid="{00000000-0005-0000-0000-000053750000}"/>
    <cellStyle name="Comma 17 2 4 2 2 3" xfId="41429" xr:uid="{00000000-0005-0000-0000-000054750000}"/>
    <cellStyle name="Comma 17 2 4 2 3" xfId="19674" xr:uid="{00000000-0005-0000-0000-000055750000}"/>
    <cellStyle name="Comma 17 2 4 2 3 2" xfId="48680" xr:uid="{00000000-0005-0000-0000-000056750000}"/>
    <cellStyle name="Comma 17 2 4 2 4" xfId="34181" xr:uid="{00000000-0005-0000-0000-000057750000}"/>
    <cellStyle name="Comma 17 2 4 3" xfId="9284" xr:uid="{00000000-0005-0000-0000-000058750000}"/>
    <cellStyle name="Comma 17 2 4 3 2" xfId="23818" xr:uid="{00000000-0005-0000-0000-000059750000}"/>
    <cellStyle name="Comma 17 2 4 3 2 2" xfId="52824" xr:uid="{00000000-0005-0000-0000-00005A750000}"/>
    <cellStyle name="Comma 17 2 4 3 3" xfId="38325" xr:uid="{00000000-0005-0000-0000-00005B750000}"/>
    <cellStyle name="Comma 17 2 4 4" xfId="16570" xr:uid="{00000000-0005-0000-0000-00005C750000}"/>
    <cellStyle name="Comma 17 2 4 4 2" xfId="45576" xr:uid="{00000000-0005-0000-0000-00005D750000}"/>
    <cellStyle name="Comma 17 2 4 5" xfId="31077" xr:uid="{00000000-0005-0000-0000-00005E750000}"/>
    <cellStyle name="Comma 17 2 5" xfId="3044" xr:uid="{00000000-0005-0000-0000-00005F750000}"/>
    <cellStyle name="Comma 17 2 5 2" xfId="6148" xr:uid="{00000000-0005-0000-0000-000060750000}"/>
    <cellStyle name="Comma 17 2 5 2 2" xfId="13420" xr:uid="{00000000-0005-0000-0000-000061750000}"/>
    <cellStyle name="Comma 17 2 5 2 2 2" xfId="27954" xr:uid="{00000000-0005-0000-0000-000062750000}"/>
    <cellStyle name="Comma 17 2 5 2 2 2 2" xfId="56960" xr:uid="{00000000-0005-0000-0000-000063750000}"/>
    <cellStyle name="Comma 17 2 5 2 2 3" xfId="42461" xr:uid="{00000000-0005-0000-0000-000064750000}"/>
    <cellStyle name="Comma 17 2 5 2 3" xfId="20706" xr:uid="{00000000-0005-0000-0000-000065750000}"/>
    <cellStyle name="Comma 17 2 5 2 3 2" xfId="49712" xr:uid="{00000000-0005-0000-0000-000066750000}"/>
    <cellStyle name="Comma 17 2 5 2 4" xfId="35213" xr:uid="{00000000-0005-0000-0000-000067750000}"/>
    <cellStyle name="Comma 17 2 5 3" xfId="10316" xr:uid="{00000000-0005-0000-0000-000068750000}"/>
    <cellStyle name="Comma 17 2 5 3 2" xfId="24850" xr:uid="{00000000-0005-0000-0000-000069750000}"/>
    <cellStyle name="Comma 17 2 5 3 2 2" xfId="53856" xr:uid="{00000000-0005-0000-0000-00006A750000}"/>
    <cellStyle name="Comma 17 2 5 3 3" xfId="39357" xr:uid="{00000000-0005-0000-0000-00006B750000}"/>
    <cellStyle name="Comma 17 2 5 4" xfId="17602" xr:uid="{00000000-0005-0000-0000-00006C750000}"/>
    <cellStyle name="Comma 17 2 5 4 2" xfId="46608" xr:uid="{00000000-0005-0000-0000-00006D750000}"/>
    <cellStyle name="Comma 17 2 5 5" xfId="32109" xr:uid="{00000000-0005-0000-0000-00006E750000}"/>
    <cellStyle name="Comma 17 2 6" xfId="4076" xr:uid="{00000000-0005-0000-0000-00006F750000}"/>
    <cellStyle name="Comma 17 2 6 2" xfId="11348" xr:uid="{00000000-0005-0000-0000-000070750000}"/>
    <cellStyle name="Comma 17 2 6 2 2" xfId="25882" xr:uid="{00000000-0005-0000-0000-000071750000}"/>
    <cellStyle name="Comma 17 2 6 2 2 2" xfId="54888" xr:uid="{00000000-0005-0000-0000-000072750000}"/>
    <cellStyle name="Comma 17 2 6 2 3" xfId="40389" xr:uid="{00000000-0005-0000-0000-000073750000}"/>
    <cellStyle name="Comma 17 2 6 3" xfId="18634" xr:uid="{00000000-0005-0000-0000-000074750000}"/>
    <cellStyle name="Comma 17 2 6 3 2" xfId="47640" xr:uid="{00000000-0005-0000-0000-000075750000}"/>
    <cellStyle name="Comma 17 2 6 4" xfId="33141" xr:uid="{00000000-0005-0000-0000-000076750000}"/>
    <cellStyle name="Comma 17 2 7" xfId="7180" xr:uid="{00000000-0005-0000-0000-000077750000}"/>
    <cellStyle name="Comma 17 2 7 2" xfId="14452" xr:uid="{00000000-0005-0000-0000-000078750000}"/>
    <cellStyle name="Comma 17 2 7 2 2" xfId="28986" xr:uid="{00000000-0005-0000-0000-000079750000}"/>
    <cellStyle name="Comma 17 2 7 2 2 2" xfId="57992" xr:uid="{00000000-0005-0000-0000-00007A750000}"/>
    <cellStyle name="Comma 17 2 7 2 3" xfId="43493" xr:uid="{00000000-0005-0000-0000-00007B750000}"/>
    <cellStyle name="Comma 17 2 7 3" xfId="21738" xr:uid="{00000000-0005-0000-0000-00007C750000}"/>
    <cellStyle name="Comma 17 2 7 3 2" xfId="50744" xr:uid="{00000000-0005-0000-0000-00007D750000}"/>
    <cellStyle name="Comma 17 2 7 4" xfId="36245" xr:uid="{00000000-0005-0000-0000-00007E750000}"/>
    <cellStyle name="Comma 17 2 8" xfId="8244" xr:uid="{00000000-0005-0000-0000-00007F750000}"/>
    <cellStyle name="Comma 17 2 8 2" xfId="22778" xr:uid="{00000000-0005-0000-0000-000080750000}"/>
    <cellStyle name="Comma 17 2 8 2 2" xfId="51784" xr:uid="{00000000-0005-0000-0000-000081750000}"/>
    <cellStyle name="Comma 17 2 8 3" xfId="37285" xr:uid="{00000000-0005-0000-0000-000082750000}"/>
    <cellStyle name="Comma 17 2 9" xfId="15530" xr:uid="{00000000-0005-0000-0000-000083750000}"/>
    <cellStyle name="Comma 17 2 9 2" xfId="44536" xr:uid="{00000000-0005-0000-0000-000084750000}"/>
    <cellStyle name="Comma 17 3" xfId="1168" xr:uid="{00000000-0005-0000-0000-000085750000}"/>
    <cellStyle name="Comma 17 3 2" xfId="1668" xr:uid="{00000000-0005-0000-0000-000086750000}"/>
    <cellStyle name="Comma 17 3 2 2" xfId="2727" xr:uid="{00000000-0005-0000-0000-000087750000}"/>
    <cellStyle name="Comma 17 3 2 2 2" xfId="5831" xr:uid="{00000000-0005-0000-0000-000088750000}"/>
    <cellStyle name="Comma 17 3 2 2 2 2" xfId="13103" xr:uid="{00000000-0005-0000-0000-000089750000}"/>
    <cellStyle name="Comma 17 3 2 2 2 2 2" xfId="27637" xr:uid="{00000000-0005-0000-0000-00008A750000}"/>
    <cellStyle name="Comma 17 3 2 2 2 2 2 2" xfId="56643" xr:uid="{00000000-0005-0000-0000-00008B750000}"/>
    <cellStyle name="Comma 17 3 2 2 2 2 3" xfId="42144" xr:uid="{00000000-0005-0000-0000-00008C750000}"/>
    <cellStyle name="Comma 17 3 2 2 2 3" xfId="20389" xr:uid="{00000000-0005-0000-0000-00008D750000}"/>
    <cellStyle name="Comma 17 3 2 2 2 3 2" xfId="49395" xr:uid="{00000000-0005-0000-0000-00008E750000}"/>
    <cellStyle name="Comma 17 3 2 2 2 4" xfId="34896" xr:uid="{00000000-0005-0000-0000-00008F750000}"/>
    <cellStyle name="Comma 17 3 2 2 3" xfId="9999" xr:uid="{00000000-0005-0000-0000-000090750000}"/>
    <cellStyle name="Comma 17 3 2 2 3 2" xfId="24533" xr:uid="{00000000-0005-0000-0000-000091750000}"/>
    <cellStyle name="Comma 17 3 2 2 3 2 2" xfId="53539" xr:uid="{00000000-0005-0000-0000-000092750000}"/>
    <cellStyle name="Comma 17 3 2 2 3 3" xfId="39040" xr:uid="{00000000-0005-0000-0000-000093750000}"/>
    <cellStyle name="Comma 17 3 2 2 4" xfId="17285" xr:uid="{00000000-0005-0000-0000-000094750000}"/>
    <cellStyle name="Comma 17 3 2 2 4 2" xfId="46291" xr:uid="{00000000-0005-0000-0000-000095750000}"/>
    <cellStyle name="Comma 17 3 2 2 5" xfId="31792" xr:uid="{00000000-0005-0000-0000-000096750000}"/>
    <cellStyle name="Comma 17 3 2 3" xfId="3759" xr:uid="{00000000-0005-0000-0000-000097750000}"/>
    <cellStyle name="Comma 17 3 2 3 2" xfId="6863" xr:uid="{00000000-0005-0000-0000-000098750000}"/>
    <cellStyle name="Comma 17 3 2 3 2 2" xfId="14135" xr:uid="{00000000-0005-0000-0000-000099750000}"/>
    <cellStyle name="Comma 17 3 2 3 2 2 2" xfId="28669" xr:uid="{00000000-0005-0000-0000-00009A750000}"/>
    <cellStyle name="Comma 17 3 2 3 2 2 2 2" xfId="57675" xr:uid="{00000000-0005-0000-0000-00009B750000}"/>
    <cellStyle name="Comma 17 3 2 3 2 2 3" xfId="43176" xr:uid="{00000000-0005-0000-0000-00009C750000}"/>
    <cellStyle name="Comma 17 3 2 3 2 3" xfId="21421" xr:uid="{00000000-0005-0000-0000-00009D750000}"/>
    <cellStyle name="Comma 17 3 2 3 2 3 2" xfId="50427" xr:uid="{00000000-0005-0000-0000-00009E750000}"/>
    <cellStyle name="Comma 17 3 2 3 2 4" xfId="35928" xr:uid="{00000000-0005-0000-0000-00009F750000}"/>
    <cellStyle name="Comma 17 3 2 3 3" xfId="11031" xr:uid="{00000000-0005-0000-0000-0000A0750000}"/>
    <cellStyle name="Comma 17 3 2 3 3 2" xfId="25565" xr:uid="{00000000-0005-0000-0000-0000A1750000}"/>
    <cellStyle name="Comma 17 3 2 3 3 2 2" xfId="54571" xr:uid="{00000000-0005-0000-0000-0000A2750000}"/>
    <cellStyle name="Comma 17 3 2 3 3 3" xfId="40072" xr:uid="{00000000-0005-0000-0000-0000A3750000}"/>
    <cellStyle name="Comma 17 3 2 3 4" xfId="18317" xr:uid="{00000000-0005-0000-0000-0000A4750000}"/>
    <cellStyle name="Comma 17 3 2 3 4 2" xfId="47323" xr:uid="{00000000-0005-0000-0000-0000A5750000}"/>
    <cellStyle name="Comma 17 3 2 3 5" xfId="32824" xr:uid="{00000000-0005-0000-0000-0000A6750000}"/>
    <cellStyle name="Comma 17 3 2 4" xfId="4791" xr:uid="{00000000-0005-0000-0000-0000A7750000}"/>
    <cellStyle name="Comma 17 3 2 4 2" xfId="12063" xr:uid="{00000000-0005-0000-0000-0000A8750000}"/>
    <cellStyle name="Comma 17 3 2 4 2 2" xfId="26597" xr:uid="{00000000-0005-0000-0000-0000A9750000}"/>
    <cellStyle name="Comma 17 3 2 4 2 2 2" xfId="55603" xr:uid="{00000000-0005-0000-0000-0000AA750000}"/>
    <cellStyle name="Comma 17 3 2 4 2 3" xfId="41104" xr:uid="{00000000-0005-0000-0000-0000AB750000}"/>
    <cellStyle name="Comma 17 3 2 4 3" xfId="19349" xr:uid="{00000000-0005-0000-0000-0000AC750000}"/>
    <cellStyle name="Comma 17 3 2 4 3 2" xfId="48355" xr:uid="{00000000-0005-0000-0000-0000AD750000}"/>
    <cellStyle name="Comma 17 3 2 4 4" xfId="33856" xr:uid="{00000000-0005-0000-0000-0000AE750000}"/>
    <cellStyle name="Comma 17 3 2 5" xfId="7895" xr:uid="{00000000-0005-0000-0000-0000AF750000}"/>
    <cellStyle name="Comma 17 3 2 5 2" xfId="15167" xr:uid="{00000000-0005-0000-0000-0000B0750000}"/>
    <cellStyle name="Comma 17 3 2 5 2 2" xfId="29701" xr:uid="{00000000-0005-0000-0000-0000B1750000}"/>
    <cellStyle name="Comma 17 3 2 5 2 2 2" xfId="58707" xr:uid="{00000000-0005-0000-0000-0000B2750000}"/>
    <cellStyle name="Comma 17 3 2 5 2 3" xfId="44208" xr:uid="{00000000-0005-0000-0000-0000B3750000}"/>
    <cellStyle name="Comma 17 3 2 5 3" xfId="22453" xr:uid="{00000000-0005-0000-0000-0000B4750000}"/>
    <cellStyle name="Comma 17 3 2 5 3 2" xfId="51459" xr:uid="{00000000-0005-0000-0000-0000B5750000}"/>
    <cellStyle name="Comma 17 3 2 5 4" xfId="36960" xr:uid="{00000000-0005-0000-0000-0000B6750000}"/>
    <cellStyle name="Comma 17 3 2 6" xfId="8959" xr:uid="{00000000-0005-0000-0000-0000B7750000}"/>
    <cellStyle name="Comma 17 3 2 6 2" xfId="23493" xr:uid="{00000000-0005-0000-0000-0000B8750000}"/>
    <cellStyle name="Comma 17 3 2 6 2 2" xfId="52499" xr:uid="{00000000-0005-0000-0000-0000B9750000}"/>
    <cellStyle name="Comma 17 3 2 6 3" xfId="38000" xr:uid="{00000000-0005-0000-0000-0000BA750000}"/>
    <cellStyle name="Comma 17 3 2 7" xfId="16245" xr:uid="{00000000-0005-0000-0000-0000BB750000}"/>
    <cellStyle name="Comma 17 3 2 7 2" xfId="45251" xr:uid="{00000000-0005-0000-0000-0000BC750000}"/>
    <cellStyle name="Comma 17 3 2 8" xfId="30752" xr:uid="{00000000-0005-0000-0000-0000BD750000}"/>
    <cellStyle name="Comma 17 3 3" xfId="2215" xr:uid="{00000000-0005-0000-0000-0000BE750000}"/>
    <cellStyle name="Comma 17 3 3 2" xfId="5319" xr:uid="{00000000-0005-0000-0000-0000BF750000}"/>
    <cellStyle name="Comma 17 3 3 2 2" xfId="12591" xr:uid="{00000000-0005-0000-0000-0000C0750000}"/>
    <cellStyle name="Comma 17 3 3 2 2 2" xfId="27125" xr:uid="{00000000-0005-0000-0000-0000C1750000}"/>
    <cellStyle name="Comma 17 3 3 2 2 2 2" xfId="56131" xr:uid="{00000000-0005-0000-0000-0000C2750000}"/>
    <cellStyle name="Comma 17 3 3 2 2 3" xfId="41632" xr:uid="{00000000-0005-0000-0000-0000C3750000}"/>
    <cellStyle name="Comma 17 3 3 2 3" xfId="19877" xr:uid="{00000000-0005-0000-0000-0000C4750000}"/>
    <cellStyle name="Comma 17 3 3 2 3 2" xfId="48883" xr:uid="{00000000-0005-0000-0000-0000C5750000}"/>
    <cellStyle name="Comma 17 3 3 2 4" xfId="34384" xr:uid="{00000000-0005-0000-0000-0000C6750000}"/>
    <cellStyle name="Comma 17 3 3 3" xfId="9487" xr:uid="{00000000-0005-0000-0000-0000C7750000}"/>
    <cellStyle name="Comma 17 3 3 3 2" xfId="24021" xr:uid="{00000000-0005-0000-0000-0000C8750000}"/>
    <cellStyle name="Comma 17 3 3 3 2 2" xfId="53027" xr:uid="{00000000-0005-0000-0000-0000C9750000}"/>
    <cellStyle name="Comma 17 3 3 3 3" xfId="38528" xr:uid="{00000000-0005-0000-0000-0000CA750000}"/>
    <cellStyle name="Comma 17 3 3 4" xfId="16773" xr:uid="{00000000-0005-0000-0000-0000CB750000}"/>
    <cellStyle name="Comma 17 3 3 4 2" xfId="45779" xr:uid="{00000000-0005-0000-0000-0000CC750000}"/>
    <cellStyle name="Comma 17 3 3 5" xfId="31280" xr:uid="{00000000-0005-0000-0000-0000CD750000}"/>
    <cellStyle name="Comma 17 3 4" xfId="3247" xr:uid="{00000000-0005-0000-0000-0000CE750000}"/>
    <cellStyle name="Comma 17 3 4 2" xfId="6351" xr:uid="{00000000-0005-0000-0000-0000CF750000}"/>
    <cellStyle name="Comma 17 3 4 2 2" xfId="13623" xr:uid="{00000000-0005-0000-0000-0000D0750000}"/>
    <cellStyle name="Comma 17 3 4 2 2 2" xfId="28157" xr:uid="{00000000-0005-0000-0000-0000D1750000}"/>
    <cellStyle name="Comma 17 3 4 2 2 2 2" xfId="57163" xr:uid="{00000000-0005-0000-0000-0000D2750000}"/>
    <cellStyle name="Comma 17 3 4 2 2 3" xfId="42664" xr:uid="{00000000-0005-0000-0000-0000D3750000}"/>
    <cellStyle name="Comma 17 3 4 2 3" xfId="20909" xr:uid="{00000000-0005-0000-0000-0000D4750000}"/>
    <cellStyle name="Comma 17 3 4 2 3 2" xfId="49915" xr:uid="{00000000-0005-0000-0000-0000D5750000}"/>
    <cellStyle name="Comma 17 3 4 2 4" xfId="35416" xr:uid="{00000000-0005-0000-0000-0000D6750000}"/>
    <cellStyle name="Comma 17 3 4 3" xfId="10519" xr:uid="{00000000-0005-0000-0000-0000D7750000}"/>
    <cellStyle name="Comma 17 3 4 3 2" xfId="25053" xr:uid="{00000000-0005-0000-0000-0000D8750000}"/>
    <cellStyle name="Comma 17 3 4 3 2 2" xfId="54059" xr:uid="{00000000-0005-0000-0000-0000D9750000}"/>
    <cellStyle name="Comma 17 3 4 3 3" xfId="39560" xr:uid="{00000000-0005-0000-0000-0000DA750000}"/>
    <cellStyle name="Comma 17 3 4 4" xfId="17805" xr:uid="{00000000-0005-0000-0000-0000DB750000}"/>
    <cellStyle name="Comma 17 3 4 4 2" xfId="46811" xr:uid="{00000000-0005-0000-0000-0000DC750000}"/>
    <cellStyle name="Comma 17 3 4 5" xfId="32312" xr:uid="{00000000-0005-0000-0000-0000DD750000}"/>
    <cellStyle name="Comma 17 3 5" xfId="4279" xr:uid="{00000000-0005-0000-0000-0000DE750000}"/>
    <cellStyle name="Comma 17 3 5 2" xfId="11551" xr:uid="{00000000-0005-0000-0000-0000DF750000}"/>
    <cellStyle name="Comma 17 3 5 2 2" xfId="26085" xr:uid="{00000000-0005-0000-0000-0000E0750000}"/>
    <cellStyle name="Comma 17 3 5 2 2 2" xfId="55091" xr:uid="{00000000-0005-0000-0000-0000E1750000}"/>
    <cellStyle name="Comma 17 3 5 2 3" xfId="40592" xr:uid="{00000000-0005-0000-0000-0000E2750000}"/>
    <cellStyle name="Comma 17 3 5 3" xfId="18837" xr:uid="{00000000-0005-0000-0000-0000E3750000}"/>
    <cellStyle name="Comma 17 3 5 3 2" xfId="47843" xr:uid="{00000000-0005-0000-0000-0000E4750000}"/>
    <cellStyle name="Comma 17 3 5 4" xfId="33344" xr:uid="{00000000-0005-0000-0000-0000E5750000}"/>
    <cellStyle name="Comma 17 3 6" xfId="7383" xr:uid="{00000000-0005-0000-0000-0000E6750000}"/>
    <cellStyle name="Comma 17 3 6 2" xfId="14655" xr:uid="{00000000-0005-0000-0000-0000E7750000}"/>
    <cellStyle name="Comma 17 3 6 2 2" xfId="29189" xr:uid="{00000000-0005-0000-0000-0000E8750000}"/>
    <cellStyle name="Comma 17 3 6 2 2 2" xfId="58195" xr:uid="{00000000-0005-0000-0000-0000E9750000}"/>
    <cellStyle name="Comma 17 3 6 2 3" xfId="43696" xr:uid="{00000000-0005-0000-0000-0000EA750000}"/>
    <cellStyle name="Comma 17 3 6 3" xfId="21941" xr:uid="{00000000-0005-0000-0000-0000EB750000}"/>
    <cellStyle name="Comma 17 3 6 3 2" xfId="50947" xr:uid="{00000000-0005-0000-0000-0000EC750000}"/>
    <cellStyle name="Comma 17 3 6 4" xfId="36448" xr:uid="{00000000-0005-0000-0000-0000ED750000}"/>
    <cellStyle name="Comma 17 3 7" xfId="8447" xr:uid="{00000000-0005-0000-0000-0000EE750000}"/>
    <cellStyle name="Comma 17 3 7 2" xfId="22981" xr:uid="{00000000-0005-0000-0000-0000EF750000}"/>
    <cellStyle name="Comma 17 3 7 2 2" xfId="51987" xr:uid="{00000000-0005-0000-0000-0000F0750000}"/>
    <cellStyle name="Comma 17 3 7 3" xfId="37488" xr:uid="{00000000-0005-0000-0000-0000F1750000}"/>
    <cellStyle name="Comma 17 3 8" xfId="15733" xr:uid="{00000000-0005-0000-0000-0000F2750000}"/>
    <cellStyle name="Comma 17 3 8 2" xfId="44739" xr:uid="{00000000-0005-0000-0000-0000F3750000}"/>
    <cellStyle name="Comma 17 3 9" xfId="30240" xr:uid="{00000000-0005-0000-0000-0000F4750000}"/>
    <cellStyle name="Comma 17 4" xfId="1364" xr:uid="{00000000-0005-0000-0000-0000F5750000}"/>
    <cellStyle name="Comma 17 4 2" xfId="2421" xr:uid="{00000000-0005-0000-0000-0000F6750000}"/>
    <cellStyle name="Comma 17 4 2 2" xfId="5525" xr:uid="{00000000-0005-0000-0000-0000F7750000}"/>
    <cellStyle name="Comma 17 4 2 2 2" xfId="12797" xr:uid="{00000000-0005-0000-0000-0000F8750000}"/>
    <cellStyle name="Comma 17 4 2 2 2 2" xfId="27331" xr:uid="{00000000-0005-0000-0000-0000F9750000}"/>
    <cellStyle name="Comma 17 4 2 2 2 2 2" xfId="56337" xr:uid="{00000000-0005-0000-0000-0000FA750000}"/>
    <cellStyle name="Comma 17 4 2 2 2 3" xfId="41838" xr:uid="{00000000-0005-0000-0000-0000FB750000}"/>
    <cellStyle name="Comma 17 4 2 2 3" xfId="20083" xr:uid="{00000000-0005-0000-0000-0000FC750000}"/>
    <cellStyle name="Comma 17 4 2 2 3 2" xfId="49089" xr:uid="{00000000-0005-0000-0000-0000FD750000}"/>
    <cellStyle name="Comma 17 4 2 2 4" xfId="34590" xr:uid="{00000000-0005-0000-0000-0000FE750000}"/>
    <cellStyle name="Comma 17 4 2 3" xfId="9693" xr:uid="{00000000-0005-0000-0000-0000FF750000}"/>
    <cellStyle name="Comma 17 4 2 3 2" xfId="24227" xr:uid="{00000000-0005-0000-0000-000000760000}"/>
    <cellStyle name="Comma 17 4 2 3 2 2" xfId="53233" xr:uid="{00000000-0005-0000-0000-000001760000}"/>
    <cellStyle name="Comma 17 4 2 3 3" xfId="38734" xr:uid="{00000000-0005-0000-0000-000002760000}"/>
    <cellStyle name="Comma 17 4 2 4" xfId="16979" xr:uid="{00000000-0005-0000-0000-000003760000}"/>
    <cellStyle name="Comma 17 4 2 4 2" xfId="45985" xr:uid="{00000000-0005-0000-0000-000004760000}"/>
    <cellStyle name="Comma 17 4 2 5" xfId="31486" xr:uid="{00000000-0005-0000-0000-000005760000}"/>
    <cellStyle name="Comma 17 4 3" xfId="3453" xr:uid="{00000000-0005-0000-0000-000006760000}"/>
    <cellStyle name="Comma 17 4 3 2" xfId="6557" xr:uid="{00000000-0005-0000-0000-000007760000}"/>
    <cellStyle name="Comma 17 4 3 2 2" xfId="13829" xr:uid="{00000000-0005-0000-0000-000008760000}"/>
    <cellStyle name="Comma 17 4 3 2 2 2" xfId="28363" xr:uid="{00000000-0005-0000-0000-000009760000}"/>
    <cellStyle name="Comma 17 4 3 2 2 2 2" xfId="57369" xr:uid="{00000000-0005-0000-0000-00000A760000}"/>
    <cellStyle name="Comma 17 4 3 2 2 3" xfId="42870" xr:uid="{00000000-0005-0000-0000-00000B760000}"/>
    <cellStyle name="Comma 17 4 3 2 3" xfId="21115" xr:uid="{00000000-0005-0000-0000-00000C760000}"/>
    <cellStyle name="Comma 17 4 3 2 3 2" xfId="50121" xr:uid="{00000000-0005-0000-0000-00000D760000}"/>
    <cellStyle name="Comma 17 4 3 2 4" xfId="35622" xr:uid="{00000000-0005-0000-0000-00000E760000}"/>
    <cellStyle name="Comma 17 4 3 3" xfId="10725" xr:uid="{00000000-0005-0000-0000-00000F760000}"/>
    <cellStyle name="Comma 17 4 3 3 2" xfId="25259" xr:uid="{00000000-0005-0000-0000-000010760000}"/>
    <cellStyle name="Comma 17 4 3 3 2 2" xfId="54265" xr:uid="{00000000-0005-0000-0000-000011760000}"/>
    <cellStyle name="Comma 17 4 3 3 3" xfId="39766" xr:uid="{00000000-0005-0000-0000-000012760000}"/>
    <cellStyle name="Comma 17 4 3 4" xfId="18011" xr:uid="{00000000-0005-0000-0000-000013760000}"/>
    <cellStyle name="Comma 17 4 3 4 2" xfId="47017" xr:uid="{00000000-0005-0000-0000-000014760000}"/>
    <cellStyle name="Comma 17 4 3 5" xfId="32518" xr:uid="{00000000-0005-0000-0000-000015760000}"/>
    <cellStyle name="Comma 17 4 4" xfId="4485" xr:uid="{00000000-0005-0000-0000-000016760000}"/>
    <cellStyle name="Comma 17 4 4 2" xfId="11757" xr:uid="{00000000-0005-0000-0000-000017760000}"/>
    <cellStyle name="Comma 17 4 4 2 2" xfId="26291" xr:uid="{00000000-0005-0000-0000-000018760000}"/>
    <cellStyle name="Comma 17 4 4 2 2 2" xfId="55297" xr:uid="{00000000-0005-0000-0000-000019760000}"/>
    <cellStyle name="Comma 17 4 4 2 3" xfId="40798" xr:uid="{00000000-0005-0000-0000-00001A760000}"/>
    <cellStyle name="Comma 17 4 4 3" xfId="19043" xr:uid="{00000000-0005-0000-0000-00001B760000}"/>
    <cellStyle name="Comma 17 4 4 3 2" xfId="48049" xr:uid="{00000000-0005-0000-0000-00001C760000}"/>
    <cellStyle name="Comma 17 4 4 4" xfId="33550" xr:uid="{00000000-0005-0000-0000-00001D760000}"/>
    <cellStyle name="Comma 17 4 5" xfId="7589" xr:uid="{00000000-0005-0000-0000-00001E760000}"/>
    <cellStyle name="Comma 17 4 5 2" xfId="14861" xr:uid="{00000000-0005-0000-0000-00001F760000}"/>
    <cellStyle name="Comma 17 4 5 2 2" xfId="29395" xr:uid="{00000000-0005-0000-0000-000020760000}"/>
    <cellStyle name="Comma 17 4 5 2 2 2" xfId="58401" xr:uid="{00000000-0005-0000-0000-000021760000}"/>
    <cellStyle name="Comma 17 4 5 2 3" xfId="43902" xr:uid="{00000000-0005-0000-0000-000022760000}"/>
    <cellStyle name="Comma 17 4 5 3" xfId="22147" xr:uid="{00000000-0005-0000-0000-000023760000}"/>
    <cellStyle name="Comma 17 4 5 3 2" xfId="51153" xr:uid="{00000000-0005-0000-0000-000024760000}"/>
    <cellStyle name="Comma 17 4 5 4" xfId="36654" xr:uid="{00000000-0005-0000-0000-000025760000}"/>
    <cellStyle name="Comma 17 4 6" xfId="8653" xr:uid="{00000000-0005-0000-0000-000026760000}"/>
    <cellStyle name="Comma 17 4 6 2" xfId="23187" xr:uid="{00000000-0005-0000-0000-000027760000}"/>
    <cellStyle name="Comma 17 4 6 2 2" xfId="52193" xr:uid="{00000000-0005-0000-0000-000028760000}"/>
    <cellStyle name="Comma 17 4 6 3" xfId="37694" xr:uid="{00000000-0005-0000-0000-000029760000}"/>
    <cellStyle name="Comma 17 4 7" xfId="15939" xr:uid="{00000000-0005-0000-0000-00002A760000}"/>
    <cellStyle name="Comma 17 4 7 2" xfId="44945" xr:uid="{00000000-0005-0000-0000-00002B760000}"/>
    <cellStyle name="Comma 17 4 8" xfId="30446" xr:uid="{00000000-0005-0000-0000-00002C760000}"/>
    <cellStyle name="Comma 17 5" xfId="1909" xr:uid="{00000000-0005-0000-0000-00002D760000}"/>
    <cellStyle name="Comma 17 5 2" xfId="5013" xr:uid="{00000000-0005-0000-0000-00002E760000}"/>
    <cellStyle name="Comma 17 5 2 2" xfId="12285" xr:uid="{00000000-0005-0000-0000-00002F760000}"/>
    <cellStyle name="Comma 17 5 2 2 2" xfId="26819" xr:uid="{00000000-0005-0000-0000-000030760000}"/>
    <cellStyle name="Comma 17 5 2 2 2 2" xfId="55825" xr:uid="{00000000-0005-0000-0000-000031760000}"/>
    <cellStyle name="Comma 17 5 2 2 3" xfId="41326" xr:uid="{00000000-0005-0000-0000-000032760000}"/>
    <cellStyle name="Comma 17 5 2 3" xfId="19571" xr:uid="{00000000-0005-0000-0000-000033760000}"/>
    <cellStyle name="Comma 17 5 2 3 2" xfId="48577" xr:uid="{00000000-0005-0000-0000-000034760000}"/>
    <cellStyle name="Comma 17 5 2 4" xfId="34078" xr:uid="{00000000-0005-0000-0000-000035760000}"/>
    <cellStyle name="Comma 17 5 3" xfId="9181" xr:uid="{00000000-0005-0000-0000-000036760000}"/>
    <cellStyle name="Comma 17 5 3 2" xfId="23715" xr:uid="{00000000-0005-0000-0000-000037760000}"/>
    <cellStyle name="Comma 17 5 3 2 2" xfId="52721" xr:uid="{00000000-0005-0000-0000-000038760000}"/>
    <cellStyle name="Comma 17 5 3 3" xfId="38222" xr:uid="{00000000-0005-0000-0000-000039760000}"/>
    <cellStyle name="Comma 17 5 4" xfId="16467" xr:uid="{00000000-0005-0000-0000-00003A760000}"/>
    <cellStyle name="Comma 17 5 4 2" xfId="45473" xr:uid="{00000000-0005-0000-0000-00003B760000}"/>
    <cellStyle name="Comma 17 5 5" xfId="30974" xr:uid="{00000000-0005-0000-0000-00003C760000}"/>
    <cellStyle name="Comma 17 6" xfId="2941" xr:uid="{00000000-0005-0000-0000-00003D760000}"/>
    <cellStyle name="Comma 17 6 2" xfId="6045" xr:uid="{00000000-0005-0000-0000-00003E760000}"/>
    <cellStyle name="Comma 17 6 2 2" xfId="13317" xr:uid="{00000000-0005-0000-0000-00003F760000}"/>
    <cellStyle name="Comma 17 6 2 2 2" xfId="27851" xr:uid="{00000000-0005-0000-0000-000040760000}"/>
    <cellStyle name="Comma 17 6 2 2 2 2" xfId="56857" xr:uid="{00000000-0005-0000-0000-000041760000}"/>
    <cellStyle name="Comma 17 6 2 2 3" xfId="42358" xr:uid="{00000000-0005-0000-0000-000042760000}"/>
    <cellStyle name="Comma 17 6 2 3" xfId="20603" xr:uid="{00000000-0005-0000-0000-000043760000}"/>
    <cellStyle name="Comma 17 6 2 3 2" xfId="49609" xr:uid="{00000000-0005-0000-0000-000044760000}"/>
    <cellStyle name="Comma 17 6 2 4" xfId="35110" xr:uid="{00000000-0005-0000-0000-000045760000}"/>
    <cellStyle name="Comma 17 6 3" xfId="10213" xr:uid="{00000000-0005-0000-0000-000046760000}"/>
    <cellStyle name="Comma 17 6 3 2" xfId="24747" xr:uid="{00000000-0005-0000-0000-000047760000}"/>
    <cellStyle name="Comma 17 6 3 2 2" xfId="53753" xr:uid="{00000000-0005-0000-0000-000048760000}"/>
    <cellStyle name="Comma 17 6 3 3" xfId="39254" xr:uid="{00000000-0005-0000-0000-000049760000}"/>
    <cellStyle name="Comma 17 6 4" xfId="17499" xr:uid="{00000000-0005-0000-0000-00004A760000}"/>
    <cellStyle name="Comma 17 6 4 2" xfId="46505" xr:uid="{00000000-0005-0000-0000-00004B760000}"/>
    <cellStyle name="Comma 17 6 5" xfId="32006" xr:uid="{00000000-0005-0000-0000-00004C760000}"/>
    <cellStyle name="Comma 17 7" xfId="3973" xr:uid="{00000000-0005-0000-0000-00004D760000}"/>
    <cellStyle name="Comma 17 7 2" xfId="11245" xr:uid="{00000000-0005-0000-0000-00004E760000}"/>
    <cellStyle name="Comma 17 7 2 2" xfId="25779" xr:uid="{00000000-0005-0000-0000-00004F760000}"/>
    <cellStyle name="Comma 17 7 2 2 2" xfId="54785" xr:uid="{00000000-0005-0000-0000-000050760000}"/>
    <cellStyle name="Comma 17 7 2 3" xfId="40286" xr:uid="{00000000-0005-0000-0000-000051760000}"/>
    <cellStyle name="Comma 17 7 3" xfId="18531" xr:uid="{00000000-0005-0000-0000-000052760000}"/>
    <cellStyle name="Comma 17 7 3 2" xfId="47537" xr:uid="{00000000-0005-0000-0000-000053760000}"/>
    <cellStyle name="Comma 17 7 4" xfId="33038" xr:uid="{00000000-0005-0000-0000-000054760000}"/>
    <cellStyle name="Comma 17 8" xfId="7077" xr:uid="{00000000-0005-0000-0000-000055760000}"/>
    <cellStyle name="Comma 17 8 2" xfId="14349" xr:uid="{00000000-0005-0000-0000-000056760000}"/>
    <cellStyle name="Comma 17 8 2 2" xfId="28883" xr:uid="{00000000-0005-0000-0000-000057760000}"/>
    <cellStyle name="Comma 17 8 2 2 2" xfId="57889" xr:uid="{00000000-0005-0000-0000-000058760000}"/>
    <cellStyle name="Comma 17 8 2 3" xfId="43390" xr:uid="{00000000-0005-0000-0000-000059760000}"/>
    <cellStyle name="Comma 17 8 3" xfId="21635" xr:uid="{00000000-0005-0000-0000-00005A760000}"/>
    <cellStyle name="Comma 17 8 3 2" xfId="50641" xr:uid="{00000000-0005-0000-0000-00005B760000}"/>
    <cellStyle name="Comma 17 8 4" xfId="36142" xr:uid="{00000000-0005-0000-0000-00005C760000}"/>
    <cellStyle name="Comma 17 9" xfId="8141" xr:uid="{00000000-0005-0000-0000-00005D760000}"/>
    <cellStyle name="Comma 17 9 2" xfId="22675" xr:uid="{00000000-0005-0000-0000-00005E760000}"/>
    <cellStyle name="Comma 17 9 2 2" xfId="51681" xr:uid="{00000000-0005-0000-0000-00005F760000}"/>
    <cellStyle name="Comma 17 9 3" xfId="37182" xr:uid="{00000000-0005-0000-0000-000060760000}"/>
    <cellStyle name="Comma 18" xfId="1787" xr:uid="{00000000-0005-0000-0000-000061760000}"/>
    <cellStyle name="Comma 18 2" xfId="2832" xr:uid="{00000000-0005-0000-0000-000062760000}"/>
    <cellStyle name="Comma 18 2 2" xfId="5936" xr:uid="{00000000-0005-0000-0000-000063760000}"/>
    <cellStyle name="Comma 18 2 2 2" xfId="13208" xr:uid="{00000000-0005-0000-0000-000064760000}"/>
    <cellStyle name="Comma 18 2 2 2 2" xfId="27742" xr:uid="{00000000-0005-0000-0000-000065760000}"/>
    <cellStyle name="Comma 18 2 2 2 2 2" xfId="56748" xr:uid="{00000000-0005-0000-0000-000066760000}"/>
    <cellStyle name="Comma 18 2 2 2 3" xfId="42249" xr:uid="{00000000-0005-0000-0000-000067760000}"/>
    <cellStyle name="Comma 18 2 2 3" xfId="20494" xr:uid="{00000000-0005-0000-0000-000068760000}"/>
    <cellStyle name="Comma 18 2 2 3 2" xfId="49500" xr:uid="{00000000-0005-0000-0000-000069760000}"/>
    <cellStyle name="Comma 18 2 2 4" xfId="35001" xr:uid="{00000000-0005-0000-0000-00006A760000}"/>
    <cellStyle name="Comma 18 2 3" xfId="10104" xr:uid="{00000000-0005-0000-0000-00006B760000}"/>
    <cellStyle name="Comma 18 2 3 2" xfId="24638" xr:uid="{00000000-0005-0000-0000-00006C760000}"/>
    <cellStyle name="Comma 18 2 3 2 2" xfId="53644" xr:uid="{00000000-0005-0000-0000-00006D760000}"/>
    <cellStyle name="Comma 18 2 3 3" xfId="39145" xr:uid="{00000000-0005-0000-0000-00006E760000}"/>
    <cellStyle name="Comma 18 2 4" xfId="17390" xr:uid="{00000000-0005-0000-0000-00006F760000}"/>
    <cellStyle name="Comma 18 2 4 2" xfId="46396" xr:uid="{00000000-0005-0000-0000-000070760000}"/>
    <cellStyle name="Comma 18 2 5" xfId="31897" xr:uid="{00000000-0005-0000-0000-000071760000}"/>
    <cellStyle name="Comma 18 3" xfId="3864" xr:uid="{00000000-0005-0000-0000-000072760000}"/>
    <cellStyle name="Comma 18 3 2" xfId="6968" xr:uid="{00000000-0005-0000-0000-000073760000}"/>
    <cellStyle name="Comma 18 3 2 2" xfId="14240" xr:uid="{00000000-0005-0000-0000-000074760000}"/>
    <cellStyle name="Comma 18 3 2 2 2" xfId="28774" xr:uid="{00000000-0005-0000-0000-000075760000}"/>
    <cellStyle name="Comma 18 3 2 2 2 2" xfId="57780" xr:uid="{00000000-0005-0000-0000-000076760000}"/>
    <cellStyle name="Comma 18 3 2 2 3" xfId="43281" xr:uid="{00000000-0005-0000-0000-000077760000}"/>
    <cellStyle name="Comma 18 3 2 3" xfId="21526" xr:uid="{00000000-0005-0000-0000-000078760000}"/>
    <cellStyle name="Comma 18 3 2 3 2" xfId="50532" xr:uid="{00000000-0005-0000-0000-000079760000}"/>
    <cellStyle name="Comma 18 3 2 4" xfId="36033" xr:uid="{00000000-0005-0000-0000-00007A760000}"/>
    <cellStyle name="Comma 18 3 3" xfId="11136" xr:uid="{00000000-0005-0000-0000-00007B760000}"/>
    <cellStyle name="Comma 18 3 3 2" xfId="25670" xr:uid="{00000000-0005-0000-0000-00007C760000}"/>
    <cellStyle name="Comma 18 3 3 2 2" xfId="54676" xr:uid="{00000000-0005-0000-0000-00007D760000}"/>
    <cellStyle name="Comma 18 3 3 3" xfId="40177" xr:uid="{00000000-0005-0000-0000-00007E760000}"/>
    <cellStyle name="Comma 18 3 4" xfId="18422" xr:uid="{00000000-0005-0000-0000-00007F760000}"/>
    <cellStyle name="Comma 18 3 4 2" xfId="47428" xr:uid="{00000000-0005-0000-0000-000080760000}"/>
    <cellStyle name="Comma 18 3 5" xfId="32929" xr:uid="{00000000-0005-0000-0000-000081760000}"/>
    <cellStyle name="Comma 18 4" xfId="4896" xr:uid="{00000000-0005-0000-0000-000082760000}"/>
    <cellStyle name="Comma 18 4 2" xfId="12168" xr:uid="{00000000-0005-0000-0000-000083760000}"/>
    <cellStyle name="Comma 18 4 2 2" xfId="26702" xr:uid="{00000000-0005-0000-0000-000084760000}"/>
    <cellStyle name="Comma 18 4 2 2 2" xfId="55708" xr:uid="{00000000-0005-0000-0000-000085760000}"/>
    <cellStyle name="Comma 18 4 2 3" xfId="41209" xr:uid="{00000000-0005-0000-0000-000086760000}"/>
    <cellStyle name="Comma 18 4 3" xfId="19454" xr:uid="{00000000-0005-0000-0000-000087760000}"/>
    <cellStyle name="Comma 18 4 3 2" xfId="48460" xr:uid="{00000000-0005-0000-0000-000088760000}"/>
    <cellStyle name="Comma 18 4 4" xfId="33961" xr:uid="{00000000-0005-0000-0000-000089760000}"/>
    <cellStyle name="Comma 18 5" xfId="8000" xr:uid="{00000000-0005-0000-0000-00008A760000}"/>
    <cellStyle name="Comma 18 5 2" xfId="15272" xr:uid="{00000000-0005-0000-0000-00008B760000}"/>
    <cellStyle name="Comma 18 5 2 2" xfId="29806" xr:uid="{00000000-0005-0000-0000-00008C760000}"/>
    <cellStyle name="Comma 18 5 2 2 2" xfId="58812" xr:uid="{00000000-0005-0000-0000-00008D760000}"/>
    <cellStyle name="Comma 18 5 2 3" xfId="44313" xr:uid="{00000000-0005-0000-0000-00008E760000}"/>
    <cellStyle name="Comma 18 5 3" xfId="22558" xr:uid="{00000000-0005-0000-0000-00008F760000}"/>
    <cellStyle name="Comma 18 5 3 2" xfId="51564" xr:uid="{00000000-0005-0000-0000-000090760000}"/>
    <cellStyle name="Comma 18 5 4" xfId="37065" xr:uid="{00000000-0005-0000-0000-000091760000}"/>
    <cellStyle name="Comma 18 6" xfId="9064" xr:uid="{00000000-0005-0000-0000-000092760000}"/>
    <cellStyle name="Comma 18 6 2" xfId="23598" xr:uid="{00000000-0005-0000-0000-000093760000}"/>
    <cellStyle name="Comma 18 6 2 2" xfId="52604" xr:uid="{00000000-0005-0000-0000-000094760000}"/>
    <cellStyle name="Comma 18 6 3" xfId="38105" xr:uid="{00000000-0005-0000-0000-000095760000}"/>
    <cellStyle name="Comma 18 7" xfId="16350" xr:uid="{00000000-0005-0000-0000-000096760000}"/>
    <cellStyle name="Comma 18 7 2" xfId="45356" xr:uid="{00000000-0005-0000-0000-000097760000}"/>
    <cellStyle name="Comma 18 8" xfId="30857" xr:uid="{00000000-0005-0000-0000-000098760000}"/>
    <cellStyle name="Comma 19" xfId="1800" xr:uid="{00000000-0005-0000-0000-000099760000}"/>
    <cellStyle name="Comma 19 2" xfId="4904" xr:uid="{00000000-0005-0000-0000-00009A760000}"/>
    <cellStyle name="Comma 19 2 2" xfId="12176" xr:uid="{00000000-0005-0000-0000-00009B760000}"/>
    <cellStyle name="Comma 19 2 2 2" xfId="26710" xr:uid="{00000000-0005-0000-0000-00009C760000}"/>
    <cellStyle name="Comma 19 2 2 2 2" xfId="55716" xr:uid="{00000000-0005-0000-0000-00009D760000}"/>
    <cellStyle name="Comma 19 2 2 3" xfId="41217" xr:uid="{00000000-0005-0000-0000-00009E760000}"/>
    <cellStyle name="Comma 19 2 3" xfId="19462" xr:uid="{00000000-0005-0000-0000-00009F760000}"/>
    <cellStyle name="Comma 19 2 3 2" xfId="48468" xr:uid="{00000000-0005-0000-0000-0000A0760000}"/>
    <cellStyle name="Comma 19 2 4" xfId="33969" xr:uid="{00000000-0005-0000-0000-0000A1760000}"/>
    <cellStyle name="Comma 19 3" xfId="9072" xr:uid="{00000000-0005-0000-0000-0000A2760000}"/>
    <cellStyle name="Comma 19 3 2" xfId="23606" xr:uid="{00000000-0005-0000-0000-0000A3760000}"/>
    <cellStyle name="Comma 19 3 2 2" xfId="52612" xr:uid="{00000000-0005-0000-0000-0000A4760000}"/>
    <cellStyle name="Comma 19 3 3" xfId="38113" xr:uid="{00000000-0005-0000-0000-0000A5760000}"/>
    <cellStyle name="Comma 19 4" xfId="16358" xr:uid="{00000000-0005-0000-0000-0000A6760000}"/>
    <cellStyle name="Comma 19 4 2" xfId="45364" xr:uid="{00000000-0005-0000-0000-0000A7760000}"/>
    <cellStyle name="Comma 19 5" xfId="30865" xr:uid="{00000000-0005-0000-0000-0000A8760000}"/>
    <cellStyle name="Comma 2" xfId="10" xr:uid="{00000000-0005-0000-0000-0000A9760000}"/>
    <cellStyle name="Comma 2 2" xfId="23" xr:uid="{00000000-0005-0000-0000-0000AA760000}"/>
    <cellStyle name="Comma 2 2 2" xfId="36" xr:uid="{00000000-0005-0000-0000-0000AB760000}"/>
    <cellStyle name="Comma 2 2 2 2" xfId="252" xr:uid="{00000000-0005-0000-0000-0000AC760000}"/>
    <cellStyle name="Comma 2 2 2 3" xfId="119" xr:uid="{00000000-0005-0000-0000-0000AD760000}"/>
    <cellStyle name="Comma 2 2 3" xfId="32" xr:uid="{00000000-0005-0000-0000-0000AE760000}"/>
    <cellStyle name="Comma 2 2 3 2" xfId="793" xr:uid="{00000000-0005-0000-0000-0000AF760000}"/>
    <cellStyle name="Comma 2 2 3 3" xfId="279" xr:uid="{00000000-0005-0000-0000-0000B0760000}"/>
    <cellStyle name="Comma 2 2 4" xfId="262" xr:uid="{00000000-0005-0000-0000-0000B1760000}"/>
    <cellStyle name="Comma 2 2 4 2" xfId="616" xr:uid="{00000000-0005-0000-0000-0000B2760000}"/>
    <cellStyle name="Comma 2 2 5" xfId="87" xr:uid="{00000000-0005-0000-0000-0000B3760000}"/>
    <cellStyle name="Comma 2 3" xfId="21" xr:uid="{00000000-0005-0000-0000-0000B4760000}"/>
    <cellStyle name="Comma 2 3 2" xfId="190" xr:uid="{00000000-0005-0000-0000-0000B5760000}"/>
    <cellStyle name="Comma 2 3 2 2" xfId="301" xr:uid="{00000000-0005-0000-0000-0000B6760000}"/>
    <cellStyle name="Comma 2 3 2 2 2" xfId="619" xr:uid="{00000000-0005-0000-0000-0000B7760000}"/>
    <cellStyle name="Comma 2 3 2 2 3" xfId="58940" xr:uid="{00000000-0005-0000-0000-0000B8760000}"/>
    <cellStyle name="Comma 2 3 2 2 4" xfId="59118" xr:uid="{00000000-0005-0000-0000-0000B9760000}"/>
    <cellStyle name="Comma 2 3 2 3" xfId="58902" xr:uid="{00000000-0005-0000-0000-0000BA760000}"/>
    <cellStyle name="Comma 2 3 2 3 2" xfId="59568" xr:uid="{00000000-0005-0000-0000-0000BB760000}"/>
    <cellStyle name="Comma 2 3 2 4" xfId="618" xr:uid="{00000000-0005-0000-0000-0000BC760000}"/>
    <cellStyle name="Comma 2 3 2 5" xfId="59014" xr:uid="{00000000-0005-0000-0000-0000BD760000}"/>
    <cellStyle name="Comma 2 3 2 6" xfId="59089" xr:uid="{00000000-0005-0000-0000-0000BE760000}"/>
    <cellStyle name="Comma 2 3 3" xfId="267" xr:uid="{00000000-0005-0000-0000-0000BF760000}"/>
    <cellStyle name="Comma 2 3 3 2" xfId="467" xr:uid="{00000000-0005-0000-0000-0000C0760000}"/>
    <cellStyle name="Comma 2 3 3 3" xfId="1774" xr:uid="{00000000-0005-0000-0000-0000C1760000}"/>
    <cellStyle name="Comma 2 3 3 4" xfId="59326" xr:uid="{00000000-0005-0000-0000-0000C2760000}"/>
    <cellStyle name="Comma 2 3 4" xfId="586" xr:uid="{00000000-0005-0000-0000-0000C3760000}"/>
    <cellStyle name="Comma 2 3 4 2" xfId="617" xr:uid="{00000000-0005-0000-0000-0000C4760000}"/>
    <cellStyle name="Comma 2 3 4 3" xfId="59447" xr:uid="{00000000-0005-0000-0000-0000C5760000}"/>
    <cellStyle name="Comma 2 3 5" xfId="355" xr:uid="{00000000-0005-0000-0000-0000C6760000}"/>
    <cellStyle name="Comma 2 3 5 2" xfId="59202" xr:uid="{00000000-0005-0000-0000-0000C7760000}"/>
    <cellStyle name="Comma 2 3 6" xfId="58872" xr:uid="{00000000-0005-0000-0000-0000C8760000}"/>
    <cellStyle name="Comma 2 3 6 2" xfId="59496" xr:uid="{00000000-0005-0000-0000-0000C9760000}"/>
    <cellStyle name="Comma 2 3 7" xfId="317" xr:uid="{00000000-0005-0000-0000-0000CA760000}"/>
    <cellStyle name="Comma 2 3 8" xfId="58939" xr:uid="{00000000-0005-0000-0000-0000CB760000}"/>
    <cellStyle name="Comma 2 3 9" xfId="108" xr:uid="{00000000-0005-0000-0000-0000CC760000}"/>
    <cellStyle name="Comma 2 4" xfId="42" xr:uid="{00000000-0005-0000-0000-0000CD760000}"/>
    <cellStyle name="Comma 2 4 2" xfId="214" xr:uid="{00000000-0005-0000-0000-0000CE760000}"/>
    <cellStyle name="Comma 2 4 2 2" xfId="59038" xr:uid="{00000000-0005-0000-0000-0000CF760000}"/>
    <cellStyle name="Comma 2 4 2 3" xfId="59108" xr:uid="{00000000-0005-0000-0000-0000D0760000}"/>
    <cellStyle name="Comma 2 4 3" xfId="338" xr:uid="{00000000-0005-0000-0000-0000D1760000}"/>
    <cellStyle name="Comma 2 4 3 2" xfId="58882" xr:uid="{00000000-0005-0000-0000-0000D2760000}"/>
    <cellStyle name="Comma 2 4 3 3" xfId="59520" xr:uid="{00000000-0005-0000-0000-0000D3760000}"/>
    <cellStyle name="Comma 2 4 4" xfId="620" xr:uid="{00000000-0005-0000-0000-0000D4760000}"/>
    <cellStyle name="Comma 2 4 5" xfId="58964" xr:uid="{00000000-0005-0000-0000-0000D5760000}"/>
    <cellStyle name="Comma 2 4 6" xfId="59078" xr:uid="{00000000-0005-0000-0000-0000D6760000}"/>
    <cellStyle name="Comma 2 4 7" xfId="140" xr:uid="{00000000-0005-0000-0000-0000D7760000}"/>
    <cellStyle name="Comma 2 5" xfId="89" xr:uid="{00000000-0005-0000-0000-0000D8760000}"/>
    <cellStyle name="Comma 2 5 2" xfId="494" xr:uid="{00000000-0005-0000-0000-0000D9760000}"/>
    <cellStyle name="Comma 2 5 2 2" xfId="59353" xr:uid="{00000000-0005-0000-0000-0000DA760000}"/>
    <cellStyle name="Comma 2 5 3" xfId="369" xr:uid="{00000000-0005-0000-0000-0000DB760000}"/>
    <cellStyle name="Comma 2 5 4" xfId="59215" xr:uid="{00000000-0005-0000-0000-0000DC760000}"/>
    <cellStyle name="Comma 2 6" xfId="422" xr:uid="{00000000-0005-0000-0000-0000DD760000}"/>
    <cellStyle name="Comma 2 6 2" xfId="59278" xr:uid="{00000000-0005-0000-0000-0000DE760000}"/>
    <cellStyle name="Comma 2 7" xfId="328" xr:uid="{00000000-0005-0000-0000-0000DF760000}"/>
    <cellStyle name="Comma 2 7 2" xfId="59154" xr:uid="{00000000-0005-0000-0000-0000E0760000}"/>
    <cellStyle name="Comma 2 8" xfId="59069" xr:uid="{00000000-0005-0000-0000-0000E1760000}"/>
    <cellStyle name="Comma 20" xfId="714" xr:uid="{00000000-0005-0000-0000-0000E2760000}"/>
    <cellStyle name="Comma 20 2" xfId="15280" xr:uid="{00000000-0005-0000-0000-0000E3760000}"/>
    <cellStyle name="Comma 20 2 2" xfId="29814" xr:uid="{00000000-0005-0000-0000-0000E4760000}"/>
    <cellStyle name="Comma 20 2 2 2" xfId="58820" xr:uid="{00000000-0005-0000-0000-0000E5760000}"/>
    <cellStyle name="Comma 20 2 3" xfId="44321" xr:uid="{00000000-0005-0000-0000-0000E6760000}"/>
    <cellStyle name="Comma 20 3" xfId="8032" xr:uid="{00000000-0005-0000-0000-0000E7760000}"/>
    <cellStyle name="Comma 20 3 2" xfId="22566" xr:uid="{00000000-0005-0000-0000-0000E8760000}"/>
    <cellStyle name="Comma 20 3 2 2" xfId="51572" xr:uid="{00000000-0005-0000-0000-0000E9760000}"/>
    <cellStyle name="Comma 20 3 3" xfId="37073" xr:uid="{00000000-0005-0000-0000-0000EA760000}"/>
    <cellStyle name="Comma 21" xfId="709" xr:uid="{00000000-0005-0000-0000-0000EB760000}"/>
    <cellStyle name="Comma 22" xfId="15287" xr:uid="{00000000-0005-0000-0000-0000EC760000}"/>
    <cellStyle name="Comma 23" xfId="15314" xr:uid="{00000000-0005-0000-0000-0000ED760000}"/>
    <cellStyle name="Comma 23 2" xfId="29822" xr:uid="{00000000-0005-0000-0000-0000EE760000}"/>
    <cellStyle name="Comma 24" xfId="704" xr:uid="{00000000-0005-0000-0000-0000EF760000}"/>
    <cellStyle name="Comma 24 2" xfId="15335" xr:uid="{00000000-0005-0000-0000-0000F0760000}"/>
    <cellStyle name="Comma 24 2 2" xfId="44341" xr:uid="{00000000-0005-0000-0000-0000F1760000}"/>
    <cellStyle name="Comma 24 3" xfId="29842" xr:uid="{00000000-0005-0000-0000-0000F2760000}"/>
    <cellStyle name="Comma 25" xfId="58853" xr:uid="{00000000-0005-0000-0000-0000F3760000}"/>
    <cellStyle name="Comma 26" xfId="58857" xr:uid="{00000000-0005-0000-0000-0000F4760000}"/>
    <cellStyle name="Comma 3" xfId="18" xr:uid="{00000000-0005-0000-0000-0000F5760000}"/>
    <cellStyle name="Comma 3 2" xfId="24" xr:uid="{00000000-0005-0000-0000-0000F6760000}"/>
    <cellStyle name="Comma 3 2 2" xfId="118" xr:uid="{00000000-0005-0000-0000-0000F7760000}"/>
    <cellStyle name="Comma 3 2 2 2" xfId="58873" xr:uid="{00000000-0005-0000-0000-0000F8760000}"/>
    <cellStyle name="Comma 3 2 2 3" xfId="737" xr:uid="{00000000-0005-0000-0000-0000F9760000}"/>
    <cellStyle name="Comma 3 2 3" xfId="736" xr:uid="{00000000-0005-0000-0000-0000FA760000}"/>
    <cellStyle name="Comma 3 2 4" xfId="58845" xr:uid="{00000000-0005-0000-0000-0000FB760000}"/>
    <cellStyle name="Comma 3 2 5" xfId="100" xr:uid="{00000000-0005-0000-0000-0000FC760000}"/>
    <cellStyle name="Comma 3 3" xfId="35" xr:uid="{00000000-0005-0000-0000-0000FD760000}"/>
    <cellStyle name="Comma 3 3 2" xfId="194" xr:uid="{00000000-0005-0000-0000-0000FE760000}"/>
    <cellStyle name="Comma 3 3 2 2" xfId="304" xr:uid="{00000000-0005-0000-0000-0000FF760000}"/>
    <cellStyle name="Comma 3 3 2 2 2" xfId="557" xr:uid="{00000000-0005-0000-0000-000000770000}"/>
    <cellStyle name="Comma 3 3 2 2 2 2" xfId="59418" xr:uid="{00000000-0005-0000-0000-000001770000}"/>
    <cellStyle name="Comma 3 3 2 2 3" xfId="59066" xr:uid="{00000000-0005-0000-0000-000002770000}"/>
    <cellStyle name="Comma 3 3 2 2 4" xfId="59122" xr:uid="{00000000-0005-0000-0000-000003770000}"/>
    <cellStyle name="Comma 3 3 2 3" xfId="487" xr:uid="{00000000-0005-0000-0000-000004770000}"/>
    <cellStyle name="Comma 3 3 2 3 2" xfId="59346" xr:uid="{00000000-0005-0000-0000-000005770000}"/>
    <cellStyle name="Comma 3 3 2 4" xfId="59018" xr:uid="{00000000-0005-0000-0000-000006770000}"/>
    <cellStyle name="Comma 3 3 2 4 2" xfId="59572" xr:uid="{00000000-0005-0000-0000-000007770000}"/>
    <cellStyle name="Comma 3 3 2 5" xfId="59093" xr:uid="{00000000-0005-0000-0000-000008770000}"/>
    <cellStyle name="Comma 3 3 3" xfId="269" xr:uid="{00000000-0005-0000-0000-000009770000}"/>
    <cellStyle name="Comma 3 3 3 2" xfId="590" xr:uid="{00000000-0005-0000-0000-00000A770000}"/>
    <cellStyle name="Comma 3 3 3 3" xfId="59451" xr:uid="{00000000-0005-0000-0000-00000B770000}"/>
    <cellStyle name="Comma 3 3 4" xfId="342" xr:uid="{00000000-0005-0000-0000-00000C770000}"/>
    <cellStyle name="Comma 3 3 4 2" xfId="59500" xr:uid="{00000000-0005-0000-0000-00000D770000}"/>
    <cellStyle name="Comma 3 3 5" xfId="738" xr:uid="{00000000-0005-0000-0000-00000E770000}"/>
    <cellStyle name="Comma 3 3 6" xfId="58944" xr:uid="{00000000-0005-0000-0000-00000F770000}"/>
    <cellStyle name="Comma 3 3 7" xfId="115" xr:uid="{00000000-0005-0000-0000-000010770000}"/>
    <cellStyle name="Comma 3 4" xfId="33" xr:uid="{00000000-0005-0000-0000-000011770000}"/>
    <cellStyle name="Comma 3 4 2" xfId="218" xr:uid="{00000000-0005-0000-0000-000012770000}"/>
    <cellStyle name="Comma 3 4 2 2" xfId="59042" xr:uid="{00000000-0005-0000-0000-000013770000}"/>
    <cellStyle name="Comma 3 4 2 3" xfId="59594" xr:uid="{00000000-0005-0000-0000-000014770000}"/>
    <cellStyle name="Comma 3 4 3" xfId="339" xr:uid="{00000000-0005-0000-0000-000015770000}"/>
    <cellStyle name="Comma 3 4 3 2" xfId="58885" xr:uid="{00000000-0005-0000-0000-000016770000}"/>
    <cellStyle name="Comma 3 4 3 3" xfId="59523" xr:uid="{00000000-0005-0000-0000-000017770000}"/>
    <cellStyle name="Comma 3 4 4" xfId="803" xr:uid="{00000000-0005-0000-0000-000018770000}"/>
    <cellStyle name="Comma 3 4 5" xfId="58968" xr:uid="{00000000-0005-0000-0000-000019770000}"/>
    <cellStyle name="Comma 3 4 6" xfId="144" xr:uid="{00000000-0005-0000-0000-00001A770000}"/>
    <cellStyle name="Comma 3 5" xfId="44" xr:uid="{00000000-0005-0000-0000-00001B770000}"/>
    <cellStyle name="Comma 3 5 2" xfId="728" xr:uid="{00000000-0005-0000-0000-00001C770000}"/>
    <cellStyle name="Comma 3 5 3" xfId="241" xr:uid="{00000000-0005-0000-0000-00001D770000}"/>
    <cellStyle name="Comma 3 6" xfId="700" xr:uid="{00000000-0005-0000-0000-00001E770000}"/>
    <cellStyle name="Comma 3 7" xfId="621" xr:uid="{00000000-0005-0000-0000-00001F770000}"/>
    <cellStyle name="Comma 4" xfId="22" xr:uid="{00000000-0005-0000-0000-000020770000}"/>
    <cellStyle name="Comma 4 10" xfId="90" xr:uid="{00000000-0005-0000-0000-000021770000}"/>
    <cellStyle name="Comma 4 2" xfId="93" xr:uid="{00000000-0005-0000-0000-000022770000}"/>
    <cellStyle name="Comma 4 2 10" xfId="59096" xr:uid="{00000000-0005-0000-0000-000023770000}"/>
    <cellStyle name="Comma 4 2 2" xfId="173" xr:uid="{00000000-0005-0000-0000-000024770000}"/>
    <cellStyle name="Comma 4 2 2 2" xfId="412" xr:uid="{00000000-0005-0000-0000-000025770000}"/>
    <cellStyle name="Comma 4 2 2 2 2" xfId="552" xr:uid="{00000000-0005-0000-0000-000026770000}"/>
    <cellStyle name="Comma 4 2 2 2 2 2" xfId="59413" xr:uid="{00000000-0005-0000-0000-000027770000}"/>
    <cellStyle name="Comma 4 2 2 2 3" xfId="59269" xr:uid="{00000000-0005-0000-0000-000028770000}"/>
    <cellStyle name="Comma 4 2 2 3" xfId="481" xr:uid="{00000000-0005-0000-0000-000029770000}"/>
    <cellStyle name="Comma 4 2 2 3 2" xfId="59340" xr:uid="{00000000-0005-0000-0000-00002A770000}"/>
    <cellStyle name="Comma 4 2 2 4" xfId="741" xr:uid="{00000000-0005-0000-0000-00002B770000}"/>
    <cellStyle name="Comma 4 2 2 4 2" xfId="59551" xr:uid="{00000000-0005-0000-0000-00002C770000}"/>
    <cellStyle name="Comma 4 2 2 5" xfId="58997" xr:uid="{00000000-0005-0000-0000-00002D770000}"/>
    <cellStyle name="Comma 4 2 2 6" xfId="59125" xr:uid="{00000000-0005-0000-0000-00002E770000}"/>
    <cellStyle name="Comma 4 2 3" xfId="348" xr:uid="{00000000-0005-0000-0000-00002F770000}"/>
    <cellStyle name="Comma 4 2 3 2" xfId="397" xr:uid="{00000000-0005-0000-0000-000030770000}"/>
    <cellStyle name="Comma 4 2 3 2 2" xfId="530" xr:uid="{00000000-0005-0000-0000-000031770000}"/>
    <cellStyle name="Comma 4 2 3 2 2 2" xfId="59392" xr:uid="{00000000-0005-0000-0000-000032770000}"/>
    <cellStyle name="Comma 4 2 3 2 3" xfId="59251" xr:uid="{00000000-0005-0000-0000-000033770000}"/>
    <cellStyle name="Comma 4 2 3 3" xfId="458" xr:uid="{00000000-0005-0000-0000-000034770000}"/>
    <cellStyle name="Comma 4 2 3 3 2" xfId="59317" xr:uid="{00000000-0005-0000-0000-000035770000}"/>
    <cellStyle name="Comma 4 2 3 4" xfId="59193" xr:uid="{00000000-0005-0000-0000-000036770000}"/>
    <cellStyle name="Comma 4 2 4" xfId="375" xr:uid="{00000000-0005-0000-0000-000037770000}"/>
    <cellStyle name="Comma 4 2 4 2" xfId="500" xr:uid="{00000000-0005-0000-0000-000038770000}"/>
    <cellStyle name="Comma 4 2 4 2 2" xfId="59359" xr:uid="{00000000-0005-0000-0000-000039770000}"/>
    <cellStyle name="Comma 4 2 4 3" xfId="59221" xr:uid="{00000000-0005-0000-0000-00003A770000}"/>
    <cellStyle name="Comma 4 2 5" xfId="428" xr:uid="{00000000-0005-0000-0000-00003B770000}"/>
    <cellStyle name="Comma 4 2 5 2" xfId="59284" xr:uid="{00000000-0005-0000-0000-00003C770000}"/>
    <cellStyle name="Comma 4 2 6" xfId="569" xr:uid="{00000000-0005-0000-0000-00003D770000}"/>
    <cellStyle name="Comma 4 2 6 2" xfId="59430" xr:uid="{00000000-0005-0000-0000-00003E770000}"/>
    <cellStyle name="Comma 4 2 7" xfId="266" xr:uid="{00000000-0005-0000-0000-00003F770000}"/>
    <cellStyle name="Comma 4 2 7 2" xfId="59160" xr:uid="{00000000-0005-0000-0000-000040770000}"/>
    <cellStyle name="Comma 4 2 8" xfId="740" xr:uid="{00000000-0005-0000-0000-000041770000}"/>
    <cellStyle name="Comma 4 2 8 2" xfId="59479" xr:uid="{00000000-0005-0000-0000-000042770000}"/>
    <cellStyle name="Comma 4 2 9" xfId="58922" xr:uid="{00000000-0005-0000-0000-000043770000}"/>
    <cellStyle name="Comma 4 3" xfId="123" xr:uid="{00000000-0005-0000-0000-000044770000}"/>
    <cellStyle name="Comma 4 3 2" xfId="198" xr:uid="{00000000-0005-0000-0000-000045770000}"/>
    <cellStyle name="Comma 4 3 2 2" xfId="409" xr:uid="{00000000-0005-0000-0000-000046770000}"/>
    <cellStyle name="Comma 4 3 2 2 2" xfId="549" xr:uid="{00000000-0005-0000-0000-000047770000}"/>
    <cellStyle name="Comma 4 3 2 2 2 2" xfId="59410" xr:uid="{00000000-0005-0000-0000-000048770000}"/>
    <cellStyle name="Comma 4 3 2 2 3" xfId="59266" xr:uid="{00000000-0005-0000-0000-000049770000}"/>
    <cellStyle name="Comma 4 3 2 3" xfId="478" xr:uid="{00000000-0005-0000-0000-00004A770000}"/>
    <cellStyle name="Comma 4 3 2 3 2" xfId="59337" xr:uid="{00000000-0005-0000-0000-00004B770000}"/>
    <cellStyle name="Comma 4 3 2 4" xfId="59022" xr:uid="{00000000-0005-0000-0000-00004C770000}"/>
    <cellStyle name="Comma 4 3 2 4 2" xfId="59576" xr:uid="{00000000-0005-0000-0000-00004D770000}"/>
    <cellStyle name="Comma 4 3 2 5" xfId="59111" xr:uid="{00000000-0005-0000-0000-00004E770000}"/>
    <cellStyle name="Comma 4 3 3" xfId="386" xr:uid="{00000000-0005-0000-0000-00004F770000}"/>
    <cellStyle name="Comma 4 3 3 2" xfId="517" xr:uid="{00000000-0005-0000-0000-000050770000}"/>
    <cellStyle name="Comma 4 3 3 2 2" xfId="59376" xr:uid="{00000000-0005-0000-0000-000051770000}"/>
    <cellStyle name="Comma 4 3 3 3" xfId="59238" xr:uid="{00000000-0005-0000-0000-000052770000}"/>
    <cellStyle name="Comma 4 3 4" xfId="445" xr:uid="{00000000-0005-0000-0000-000053770000}"/>
    <cellStyle name="Comma 4 3 4 2" xfId="59301" xr:uid="{00000000-0005-0000-0000-000054770000}"/>
    <cellStyle name="Comma 4 3 5" xfId="594" xr:uid="{00000000-0005-0000-0000-000055770000}"/>
    <cellStyle name="Comma 4 3 5 2" xfId="59455" xr:uid="{00000000-0005-0000-0000-000056770000}"/>
    <cellStyle name="Comma 4 3 6" xfId="329" xr:uid="{00000000-0005-0000-0000-000057770000}"/>
    <cellStyle name="Comma 4 3 6 2" xfId="59177" xr:uid="{00000000-0005-0000-0000-000058770000}"/>
    <cellStyle name="Comma 4 3 7" xfId="742" xr:uid="{00000000-0005-0000-0000-000059770000}"/>
    <cellStyle name="Comma 4 3 7 2" xfId="59504" xr:uid="{00000000-0005-0000-0000-00005A770000}"/>
    <cellStyle name="Comma 4 3 8" xfId="58948" xr:uid="{00000000-0005-0000-0000-00005B770000}"/>
    <cellStyle name="Comma 4 3 9" xfId="59082" xr:uid="{00000000-0005-0000-0000-00005C770000}"/>
    <cellStyle name="Comma 4 4" xfId="148" xr:uid="{00000000-0005-0000-0000-00005D770000}"/>
    <cellStyle name="Comma 4 4 2" xfId="222" xr:uid="{00000000-0005-0000-0000-00005E770000}"/>
    <cellStyle name="Comma 4 4 2 2" xfId="527" xr:uid="{00000000-0005-0000-0000-00005F770000}"/>
    <cellStyle name="Comma 4 4 2 2 2" xfId="59389" xr:uid="{00000000-0005-0000-0000-000060770000}"/>
    <cellStyle name="Comma 4 4 2 3" xfId="59046" xr:uid="{00000000-0005-0000-0000-000061770000}"/>
    <cellStyle name="Comma 4 4 2 3 2" xfId="59598" xr:uid="{00000000-0005-0000-0000-000062770000}"/>
    <cellStyle name="Comma 4 4 2 4" xfId="59249" xr:uid="{00000000-0005-0000-0000-000063770000}"/>
    <cellStyle name="Comma 4 4 3" xfId="455" xr:uid="{00000000-0005-0000-0000-000064770000}"/>
    <cellStyle name="Comma 4 4 3 2" xfId="59314" xr:uid="{00000000-0005-0000-0000-000065770000}"/>
    <cellStyle name="Comma 4 4 4" xfId="345" xr:uid="{00000000-0005-0000-0000-000066770000}"/>
    <cellStyle name="Comma 4 4 4 2" xfId="59190" xr:uid="{00000000-0005-0000-0000-000067770000}"/>
    <cellStyle name="Comma 4 4 5" xfId="739" xr:uid="{00000000-0005-0000-0000-000068770000}"/>
    <cellStyle name="Comma 4 4 5 2" xfId="59527" xr:uid="{00000000-0005-0000-0000-000069770000}"/>
    <cellStyle name="Comma 4 4 6" xfId="58972" xr:uid="{00000000-0005-0000-0000-00006A770000}"/>
    <cellStyle name="Comma 4 4 7" xfId="59076" xr:uid="{00000000-0005-0000-0000-00006B770000}"/>
    <cellStyle name="Comma 4 5" xfId="170" xr:uid="{00000000-0005-0000-0000-00006C770000}"/>
    <cellStyle name="Comma 4 5 2" xfId="497" xr:uid="{00000000-0005-0000-0000-00006D770000}"/>
    <cellStyle name="Comma 4 5 2 2" xfId="59356" xr:uid="{00000000-0005-0000-0000-00006E770000}"/>
    <cellStyle name="Comma 4 5 3" xfId="372" xr:uid="{00000000-0005-0000-0000-00006F770000}"/>
    <cellStyle name="Comma 4 5 3 2" xfId="59218" xr:uid="{00000000-0005-0000-0000-000070770000}"/>
    <cellStyle name="Comma 4 5 4" xfId="58994" xr:uid="{00000000-0005-0000-0000-000071770000}"/>
    <cellStyle name="Comma 4 5 4 2" xfId="59548" xr:uid="{00000000-0005-0000-0000-000072770000}"/>
    <cellStyle name="Comma 4 5 5" xfId="59140" xr:uid="{00000000-0005-0000-0000-000073770000}"/>
    <cellStyle name="Comma 4 6" xfId="254" xr:uid="{00000000-0005-0000-0000-000074770000}"/>
    <cellStyle name="Comma 4 6 2" xfId="425" xr:uid="{00000000-0005-0000-0000-000075770000}"/>
    <cellStyle name="Comma 4 6 2 2" xfId="59281" xr:uid="{00000000-0005-0000-0000-000076770000}"/>
    <cellStyle name="Comma 4 6 3" xfId="290" xr:uid="{00000000-0005-0000-0000-000077770000}"/>
    <cellStyle name="Comma 4 6 4" xfId="59146" xr:uid="{00000000-0005-0000-0000-000078770000}"/>
    <cellStyle name="Comma 4 7" xfId="566" xr:uid="{00000000-0005-0000-0000-000079770000}"/>
    <cellStyle name="Comma 4 7 2" xfId="59427" xr:uid="{00000000-0005-0000-0000-00007A770000}"/>
    <cellStyle name="Comma 4 8" xfId="315" xr:uid="{00000000-0005-0000-0000-00007B770000}"/>
    <cellStyle name="Comma 4 8 2" xfId="59157" xr:uid="{00000000-0005-0000-0000-00007C770000}"/>
    <cellStyle name="Comma 4 9" xfId="58919" xr:uid="{00000000-0005-0000-0000-00007D770000}"/>
    <cellStyle name="Comma 4 9 2" xfId="59476" xr:uid="{00000000-0005-0000-0000-00007E770000}"/>
    <cellStyle name="Comma 5" xfId="27" xr:uid="{00000000-0005-0000-0000-00007F770000}"/>
    <cellStyle name="Comma 5 2" xfId="127" xr:uid="{00000000-0005-0000-0000-000080770000}"/>
    <cellStyle name="Comma 5 2 2" xfId="202" xr:uid="{00000000-0005-0000-0000-000081770000}"/>
    <cellStyle name="Comma 5 2 2 2" xfId="418" xr:uid="{00000000-0005-0000-0000-000082770000}"/>
    <cellStyle name="Comma 5 2 2 2 2" xfId="560" xr:uid="{00000000-0005-0000-0000-000083770000}"/>
    <cellStyle name="Comma 5 2 2 2 2 2" xfId="59421" xr:uid="{00000000-0005-0000-0000-000084770000}"/>
    <cellStyle name="Comma 5 2 2 2 3" xfId="59273" xr:uid="{00000000-0005-0000-0000-000085770000}"/>
    <cellStyle name="Comma 5 2 2 3" xfId="490" xr:uid="{00000000-0005-0000-0000-000086770000}"/>
    <cellStyle name="Comma 5 2 2 3 2" xfId="59349" xr:uid="{00000000-0005-0000-0000-000087770000}"/>
    <cellStyle name="Comma 5 2 2 4" xfId="59026" xr:uid="{00000000-0005-0000-0000-000088770000}"/>
    <cellStyle name="Comma 5 2 2 4 2" xfId="59580" xr:uid="{00000000-0005-0000-0000-000089770000}"/>
    <cellStyle name="Comma 5 2 2 5" xfId="59129" xr:uid="{00000000-0005-0000-0000-00008A770000}"/>
    <cellStyle name="Comma 5 2 3" xfId="390" xr:uid="{00000000-0005-0000-0000-00008B770000}"/>
    <cellStyle name="Comma 5 2 3 2" xfId="521" xr:uid="{00000000-0005-0000-0000-00008C770000}"/>
    <cellStyle name="Comma 5 2 3 2 2" xfId="59380" xr:uid="{00000000-0005-0000-0000-00008D770000}"/>
    <cellStyle name="Comma 5 2 3 3" xfId="59241" xr:uid="{00000000-0005-0000-0000-00008E770000}"/>
    <cellStyle name="Comma 5 2 4" xfId="449" xr:uid="{00000000-0005-0000-0000-00008F770000}"/>
    <cellStyle name="Comma 5 2 4 2" xfId="59305" xr:uid="{00000000-0005-0000-0000-000090770000}"/>
    <cellStyle name="Comma 5 2 5" xfId="598" xr:uid="{00000000-0005-0000-0000-000091770000}"/>
    <cellStyle name="Comma 5 2 5 2" xfId="59459" xr:uid="{00000000-0005-0000-0000-000092770000}"/>
    <cellStyle name="Comma 5 2 6" xfId="333" xr:uid="{00000000-0005-0000-0000-000093770000}"/>
    <cellStyle name="Comma 5 2 6 2" xfId="59181" xr:uid="{00000000-0005-0000-0000-000094770000}"/>
    <cellStyle name="Comma 5 2 7" xfId="743" xr:uid="{00000000-0005-0000-0000-000095770000}"/>
    <cellStyle name="Comma 5 2 7 2" xfId="59508" xr:uid="{00000000-0005-0000-0000-000096770000}"/>
    <cellStyle name="Comma 5 2 8" xfId="58952" xr:uid="{00000000-0005-0000-0000-000097770000}"/>
    <cellStyle name="Comma 5 2 9" xfId="59100" xr:uid="{00000000-0005-0000-0000-000098770000}"/>
    <cellStyle name="Comma 5 3" xfId="152" xr:uid="{00000000-0005-0000-0000-000099770000}"/>
    <cellStyle name="Comma 5 3 2" xfId="226" xr:uid="{00000000-0005-0000-0000-00009A770000}"/>
    <cellStyle name="Comma 5 3 2 2" xfId="534" xr:uid="{00000000-0005-0000-0000-00009B770000}"/>
    <cellStyle name="Comma 5 3 2 2 2" xfId="59396" xr:uid="{00000000-0005-0000-0000-00009C770000}"/>
    <cellStyle name="Comma 5 3 2 3" xfId="59050" xr:uid="{00000000-0005-0000-0000-00009D770000}"/>
    <cellStyle name="Comma 5 3 2 3 2" xfId="59602" xr:uid="{00000000-0005-0000-0000-00009E770000}"/>
    <cellStyle name="Comma 5 3 2 4" xfId="59115" xr:uid="{00000000-0005-0000-0000-00009F770000}"/>
    <cellStyle name="Comma 5 3 3" xfId="462" xr:uid="{00000000-0005-0000-0000-0000A0770000}"/>
    <cellStyle name="Comma 5 3 3 2" xfId="59321" xr:uid="{00000000-0005-0000-0000-0000A1770000}"/>
    <cellStyle name="Comma 5 3 4" xfId="351" xr:uid="{00000000-0005-0000-0000-0000A2770000}"/>
    <cellStyle name="Comma 5 3 4 2" xfId="59197" xr:uid="{00000000-0005-0000-0000-0000A3770000}"/>
    <cellStyle name="Comma 5 3 5" xfId="622" xr:uid="{00000000-0005-0000-0000-0000A4770000}"/>
    <cellStyle name="Comma 5 3 5 2" xfId="59531" xr:uid="{00000000-0005-0000-0000-0000A5770000}"/>
    <cellStyle name="Comma 5 3 6" xfId="58976" xr:uid="{00000000-0005-0000-0000-0000A6770000}"/>
    <cellStyle name="Comma 5 3 7" xfId="59086" xr:uid="{00000000-0005-0000-0000-0000A7770000}"/>
    <cellStyle name="Comma 5 4" xfId="177" xr:uid="{00000000-0005-0000-0000-0000A8770000}"/>
    <cellStyle name="Comma 5 4 2" xfId="504" xr:uid="{00000000-0005-0000-0000-0000A9770000}"/>
    <cellStyle name="Comma 5 4 2 2" xfId="59363" xr:uid="{00000000-0005-0000-0000-0000AA770000}"/>
    <cellStyle name="Comma 5 4 3" xfId="378" xr:uid="{00000000-0005-0000-0000-0000AB770000}"/>
    <cellStyle name="Comma 5 4 3 2" xfId="59225" xr:uid="{00000000-0005-0000-0000-0000AC770000}"/>
    <cellStyle name="Comma 5 4 4" xfId="59001" xr:uid="{00000000-0005-0000-0000-0000AD770000}"/>
    <cellStyle name="Comma 5 4 4 2" xfId="59555" xr:uid="{00000000-0005-0000-0000-0000AE770000}"/>
    <cellStyle name="Comma 5 4 5" xfId="59150" xr:uid="{00000000-0005-0000-0000-0000AF770000}"/>
    <cellStyle name="Comma 5 5" xfId="244" xr:uid="{00000000-0005-0000-0000-0000B0770000}"/>
    <cellStyle name="Comma 5 5 2" xfId="432" xr:uid="{00000000-0005-0000-0000-0000B1770000}"/>
    <cellStyle name="Comma 5 5 3" xfId="59288" xr:uid="{00000000-0005-0000-0000-0000B2770000}"/>
    <cellStyle name="Comma 5 6" xfId="573" xr:uid="{00000000-0005-0000-0000-0000B3770000}"/>
    <cellStyle name="Comma 5 6 2" xfId="59434" xr:uid="{00000000-0005-0000-0000-0000B4770000}"/>
    <cellStyle name="Comma 5 7" xfId="293" xr:uid="{00000000-0005-0000-0000-0000B5770000}"/>
    <cellStyle name="Comma 5 7 2" xfId="59164" xr:uid="{00000000-0005-0000-0000-0000B6770000}"/>
    <cellStyle name="Comma 5 8" xfId="58926" xr:uid="{00000000-0005-0000-0000-0000B7770000}"/>
    <cellStyle name="Comma 5 8 2" xfId="59483" xr:uid="{00000000-0005-0000-0000-0000B8770000}"/>
    <cellStyle name="Comma 5 9" xfId="98" xr:uid="{00000000-0005-0000-0000-0000B9770000}"/>
    <cellStyle name="Comma 6" xfId="29" xr:uid="{00000000-0005-0000-0000-0000BA770000}"/>
    <cellStyle name="Comma 6 10" xfId="2841" xr:uid="{00000000-0005-0000-0000-0000BB770000}"/>
    <cellStyle name="Comma 6 10 2" xfId="5945" xr:uid="{00000000-0005-0000-0000-0000BC770000}"/>
    <cellStyle name="Comma 6 10 2 2" xfId="13217" xr:uid="{00000000-0005-0000-0000-0000BD770000}"/>
    <cellStyle name="Comma 6 10 2 2 2" xfId="27751" xr:uid="{00000000-0005-0000-0000-0000BE770000}"/>
    <cellStyle name="Comma 6 10 2 2 2 2" xfId="56757" xr:uid="{00000000-0005-0000-0000-0000BF770000}"/>
    <cellStyle name="Comma 6 10 2 2 3" xfId="42258" xr:uid="{00000000-0005-0000-0000-0000C0770000}"/>
    <cellStyle name="Comma 6 10 2 3" xfId="20503" xr:uid="{00000000-0005-0000-0000-0000C1770000}"/>
    <cellStyle name="Comma 6 10 2 3 2" xfId="49509" xr:uid="{00000000-0005-0000-0000-0000C2770000}"/>
    <cellStyle name="Comma 6 10 2 4" xfId="35010" xr:uid="{00000000-0005-0000-0000-0000C3770000}"/>
    <cellStyle name="Comma 6 10 3" xfId="10113" xr:uid="{00000000-0005-0000-0000-0000C4770000}"/>
    <cellStyle name="Comma 6 10 3 2" xfId="24647" xr:uid="{00000000-0005-0000-0000-0000C5770000}"/>
    <cellStyle name="Comma 6 10 3 2 2" xfId="53653" xr:uid="{00000000-0005-0000-0000-0000C6770000}"/>
    <cellStyle name="Comma 6 10 3 3" xfId="39154" xr:uid="{00000000-0005-0000-0000-0000C7770000}"/>
    <cellStyle name="Comma 6 10 4" xfId="17399" xr:uid="{00000000-0005-0000-0000-0000C8770000}"/>
    <cellStyle name="Comma 6 10 4 2" xfId="46405" xr:uid="{00000000-0005-0000-0000-0000C9770000}"/>
    <cellStyle name="Comma 6 10 5" xfId="31906" xr:uid="{00000000-0005-0000-0000-0000CA770000}"/>
    <cellStyle name="Comma 6 11" xfId="3873" xr:uid="{00000000-0005-0000-0000-0000CB770000}"/>
    <cellStyle name="Comma 6 11 2" xfId="11145" xr:uid="{00000000-0005-0000-0000-0000CC770000}"/>
    <cellStyle name="Comma 6 11 2 2" xfId="25679" xr:uid="{00000000-0005-0000-0000-0000CD770000}"/>
    <cellStyle name="Comma 6 11 2 2 2" xfId="54685" xr:uid="{00000000-0005-0000-0000-0000CE770000}"/>
    <cellStyle name="Comma 6 11 2 3" xfId="40186" xr:uid="{00000000-0005-0000-0000-0000CF770000}"/>
    <cellStyle name="Comma 6 11 3" xfId="18431" xr:uid="{00000000-0005-0000-0000-0000D0770000}"/>
    <cellStyle name="Comma 6 11 3 2" xfId="47437" xr:uid="{00000000-0005-0000-0000-0000D1770000}"/>
    <cellStyle name="Comma 6 11 4" xfId="32938" xr:uid="{00000000-0005-0000-0000-0000D2770000}"/>
    <cellStyle name="Comma 6 12" xfId="6977" xr:uid="{00000000-0005-0000-0000-0000D3770000}"/>
    <cellStyle name="Comma 6 12 2" xfId="14249" xr:uid="{00000000-0005-0000-0000-0000D4770000}"/>
    <cellStyle name="Comma 6 12 2 2" xfId="28783" xr:uid="{00000000-0005-0000-0000-0000D5770000}"/>
    <cellStyle name="Comma 6 12 2 2 2" xfId="57789" xr:uid="{00000000-0005-0000-0000-0000D6770000}"/>
    <cellStyle name="Comma 6 12 2 3" xfId="43290" xr:uid="{00000000-0005-0000-0000-0000D7770000}"/>
    <cellStyle name="Comma 6 12 3" xfId="21535" xr:uid="{00000000-0005-0000-0000-0000D8770000}"/>
    <cellStyle name="Comma 6 12 3 2" xfId="50541" xr:uid="{00000000-0005-0000-0000-0000D9770000}"/>
    <cellStyle name="Comma 6 12 4" xfId="36042" xr:uid="{00000000-0005-0000-0000-0000DA770000}"/>
    <cellStyle name="Comma 6 13" xfId="8041" xr:uid="{00000000-0005-0000-0000-0000DB770000}"/>
    <cellStyle name="Comma 6 13 2" xfId="22575" xr:uid="{00000000-0005-0000-0000-0000DC770000}"/>
    <cellStyle name="Comma 6 13 2 2" xfId="51581" xr:uid="{00000000-0005-0000-0000-0000DD770000}"/>
    <cellStyle name="Comma 6 13 3" xfId="37082" xr:uid="{00000000-0005-0000-0000-0000DE770000}"/>
    <cellStyle name="Comma 6 14" xfId="15339" xr:uid="{00000000-0005-0000-0000-0000DF770000}"/>
    <cellStyle name="Comma 6 14 2" xfId="44345" xr:uid="{00000000-0005-0000-0000-0000E0770000}"/>
    <cellStyle name="Comma 6 15" xfId="784" xr:uid="{00000000-0005-0000-0000-0000E1770000}"/>
    <cellStyle name="Comma 6 15 2" xfId="29846" xr:uid="{00000000-0005-0000-0000-0000E2770000}"/>
    <cellStyle name="Comma 6 16" xfId="623" xr:uid="{00000000-0005-0000-0000-0000E3770000}"/>
    <cellStyle name="Comma 6 17" xfId="405" xr:uid="{00000000-0005-0000-0000-0000E4770000}"/>
    <cellStyle name="Comma 6 18" xfId="58848" xr:uid="{00000000-0005-0000-0000-0000E5770000}"/>
    <cellStyle name="Comma 6 19" xfId="58868" xr:uid="{00000000-0005-0000-0000-0000E6770000}"/>
    <cellStyle name="Comma 6 2" xfId="131" xr:uid="{00000000-0005-0000-0000-0000E7770000}"/>
    <cellStyle name="Comma 6 2 2" xfId="206" xr:uid="{00000000-0005-0000-0000-0000E8770000}"/>
    <cellStyle name="Comma 6 2 2 2" xfId="563" xr:uid="{00000000-0005-0000-0000-0000E9770000}"/>
    <cellStyle name="Comma 6 2 2 2 2" xfId="59424" xr:uid="{00000000-0005-0000-0000-0000EA770000}"/>
    <cellStyle name="Comma 6 2 2 3" xfId="59030" xr:uid="{00000000-0005-0000-0000-0000EB770000}"/>
    <cellStyle name="Comma 6 2 2 3 2" xfId="59584" xr:uid="{00000000-0005-0000-0000-0000EC770000}"/>
    <cellStyle name="Comma 6 2 2 4" xfId="59276" xr:uid="{00000000-0005-0000-0000-0000ED770000}"/>
    <cellStyle name="Comma 6 2 3" xfId="493" xr:uid="{00000000-0005-0000-0000-0000EE770000}"/>
    <cellStyle name="Comma 6 2 3 2" xfId="59352" xr:uid="{00000000-0005-0000-0000-0000EF770000}"/>
    <cellStyle name="Comma 6 2 4" xfId="602" xr:uid="{00000000-0005-0000-0000-0000F0770000}"/>
    <cellStyle name="Comma 6 2 4 2" xfId="59463" xr:uid="{00000000-0005-0000-0000-0000F1770000}"/>
    <cellStyle name="Comma 6 2 5" xfId="811" xr:uid="{00000000-0005-0000-0000-0000F2770000}"/>
    <cellStyle name="Comma 6 2 5 2" xfId="59512" xr:uid="{00000000-0005-0000-0000-0000F3770000}"/>
    <cellStyle name="Comma 6 2 6" xfId="58956" xr:uid="{00000000-0005-0000-0000-0000F4770000}"/>
    <cellStyle name="Comma 6 2 7" xfId="59104" xr:uid="{00000000-0005-0000-0000-0000F5770000}"/>
    <cellStyle name="Comma 6 20" xfId="58932" xr:uid="{00000000-0005-0000-0000-0000F6770000}"/>
    <cellStyle name="Comma 6 21" xfId="59072" xr:uid="{00000000-0005-0000-0000-0000F7770000}"/>
    <cellStyle name="Comma 6 3" xfId="156" xr:uid="{00000000-0005-0000-0000-0000F8770000}"/>
    <cellStyle name="Comma 6 3 10" xfId="7001" xr:uid="{00000000-0005-0000-0000-0000F9770000}"/>
    <cellStyle name="Comma 6 3 10 2" xfId="14273" xr:uid="{00000000-0005-0000-0000-0000FA770000}"/>
    <cellStyle name="Comma 6 3 10 2 2" xfId="28807" xr:uid="{00000000-0005-0000-0000-0000FB770000}"/>
    <cellStyle name="Comma 6 3 10 2 2 2" xfId="57813" xr:uid="{00000000-0005-0000-0000-0000FC770000}"/>
    <cellStyle name="Comma 6 3 10 2 3" xfId="43314" xr:uid="{00000000-0005-0000-0000-0000FD770000}"/>
    <cellStyle name="Comma 6 3 10 3" xfId="21559" xr:uid="{00000000-0005-0000-0000-0000FE770000}"/>
    <cellStyle name="Comma 6 3 10 3 2" xfId="50565" xr:uid="{00000000-0005-0000-0000-0000FF770000}"/>
    <cellStyle name="Comma 6 3 10 4" xfId="36066" xr:uid="{00000000-0005-0000-0000-000000780000}"/>
    <cellStyle name="Comma 6 3 11" xfId="8065" xr:uid="{00000000-0005-0000-0000-000001780000}"/>
    <cellStyle name="Comma 6 3 11 2" xfId="22599" xr:uid="{00000000-0005-0000-0000-000002780000}"/>
    <cellStyle name="Comma 6 3 11 2 2" xfId="51605" xr:uid="{00000000-0005-0000-0000-000003780000}"/>
    <cellStyle name="Comma 6 3 11 3" xfId="37106" xr:uid="{00000000-0005-0000-0000-000004780000}"/>
    <cellStyle name="Comma 6 3 12" xfId="15351" xr:uid="{00000000-0005-0000-0000-000005780000}"/>
    <cellStyle name="Comma 6 3 12 2" xfId="44357" xr:uid="{00000000-0005-0000-0000-000006780000}"/>
    <cellStyle name="Comma 6 3 13" xfId="29858" xr:uid="{00000000-0005-0000-0000-000007780000}"/>
    <cellStyle name="Comma 6 3 14" xfId="58887" xr:uid="{00000000-0005-0000-0000-000008780000}"/>
    <cellStyle name="Comma 6 3 15" xfId="58980" xr:uid="{00000000-0005-0000-0000-000009780000}"/>
    <cellStyle name="Comma 6 3 16" xfId="59205" xr:uid="{00000000-0005-0000-0000-00000A780000}"/>
    <cellStyle name="Comma 6 3 2" xfId="230" xr:uid="{00000000-0005-0000-0000-00000B780000}"/>
    <cellStyle name="Comma 6 3 2 10" xfId="8117" xr:uid="{00000000-0005-0000-0000-00000C780000}"/>
    <cellStyle name="Comma 6 3 2 10 2" xfId="22651" xr:uid="{00000000-0005-0000-0000-00000D780000}"/>
    <cellStyle name="Comma 6 3 2 10 2 2" xfId="51657" xr:uid="{00000000-0005-0000-0000-00000E780000}"/>
    <cellStyle name="Comma 6 3 2 10 3" xfId="37158" xr:uid="{00000000-0005-0000-0000-00000F780000}"/>
    <cellStyle name="Comma 6 3 2 11" xfId="15403" xr:uid="{00000000-0005-0000-0000-000010780000}"/>
    <cellStyle name="Comma 6 3 2 11 2" xfId="44409" xr:uid="{00000000-0005-0000-0000-000011780000}"/>
    <cellStyle name="Comma 6 3 2 12" xfId="29910" xr:uid="{00000000-0005-0000-0000-000012780000}"/>
    <cellStyle name="Comma 6 3 2 13" xfId="58909" xr:uid="{00000000-0005-0000-0000-000013780000}"/>
    <cellStyle name="Comma 6 3 2 14" xfId="59054" xr:uid="{00000000-0005-0000-0000-000014780000}"/>
    <cellStyle name="Comma 6 3 2 15" xfId="59259" xr:uid="{00000000-0005-0000-0000-000015780000}"/>
    <cellStyle name="Comma 6 3 2 2" xfId="541" xr:uid="{00000000-0005-0000-0000-000016780000}"/>
    <cellStyle name="Comma 6 3 2 2 10" xfId="30013" xr:uid="{00000000-0005-0000-0000-000017780000}"/>
    <cellStyle name="Comma 6 3 2 2 11" xfId="59402" xr:uid="{00000000-0005-0000-0000-000018780000}"/>
    <cellStyle name="Comma 6 3 2 2 2" xfId="1241" xr:uid="{00000000-0005-0000-0000-000019780000}"/>
    <cellStyle name="Comma 6 3 2 2 2 2" xfId="1747" xr:uid="{00000000-0005-0000-0000-00001A780000}"/>
    <cellStyle name="Comma 6 3 2 2 2 2 2" xfId="2806" xr:uid="{00000000-0005-0000-0000-00001B780000}"/>
    <cellStyle name="Comma 6 3 2 2 2 2 2 2" xfId="5910" xr:uid="{00000000-0005-0000-0000-00001C780000}"/>
    <cellStyle name="Comma 6 3 2 2 2 2 2 2 2" xfId="13182" xr:uid="{00000000-0005-0000-0000-00001D780000}"/>
    <cellStyle name="Comma 6 3 2 2 2 2 2 2 2 2" xfId="27716" xr:uid="{00000000-0005-0000-0000-00001E780000}"/>
    <cellStyle name="Comma 6 3 2 2 2 2 2 2 2 2 2" xfId="56722" xr:uid="{00000000-0005-0000-0000-00001F780000}"/>
    <cellStyle name="Comma 6 3 2 2 2 2 2 2 2 3" xfId="42223" xr:uid="{00000000-0005-0000-0000-000020780000}"/>
    <cellStyle name="Comma 6 3 2 2 2 2 2 2 3" xfId="20468" xr:uid="{00000000-0005-0000-0000-000021780000}"/>
    <cellStyle name="Comma 6 3 2 2 2 2 2 2 3 2" xfId="49474" xr:uid="{00000000-0005-0000-0000-000022780000}"/>
    <cellStyle name="Comma 6 3 2 2 2 2 2 2 4" xfId="34975" xr:uid="{00000000-0005-0000-0000-000023780000}"/>
    <cellStyle name="Comma 6 3 2 2 2 2 2 3" xfId="10078" xr:uid="{00000000-0005-0000-0000-000024780000}"/>
    <cellStyle name="Comma 6 3 2 2 2 2 2 3 2" xfId="24612" xr:uid="{00000000-0005-0000-0000-000025780000}"/>
    <cellStyle name="Comma 6 3 2 2 2 2 2 3 2 2" xfId="53618" xr:uid="{00000000-0005-0000-0000-000026780000}"/>
    <cellStyle name="Comma 6 3 2 2 2 2 2 3 3" xfId="39119" xr:uid="{00000000-0005-0000-0000-000027780000}"/>
    <cellStyle name="Comma 6 3 2 2 2 2 2 4" xfId="17364" xr:uid="{00000000-0005-0000-0000-000028780000}"/>
    <cellStyle name="Comma 6 3 2 2 2 2 2 4 2" xfId="46370" xr:uid="{00000000-0005-0000-0000-000029780000}"/>
    <cellStyle name="Comma 6 3 2 2 2 2 2 5" xfId="31871" xr:uid="{00000000-0005-0000-0000-00002A780000}"/>
    <cellStyle name="Comma 6 3 2 2 2 2 3" xfId="3838" xr:uid="{00000000-0005-0000-0000-00002B780000}"/>
    <cellStyle name="Comma 6 3 2 2 2 2 3 2" xfId="6942" xr:uid="{00000000-0005-0000-0000-00002C780000}"/>
    <cellStyle name="Comma 6 3 2 2 2 2 3 2 2" xfId="14214" xr:uid="{00000000-0005-0000-0000-00002D780000}"/>
    <cellStyle name="Comma 6 3 2 2 2 2 3 2 2 2" xfId="28748" xr:uid="{00000000-0005-0000-0000-00002E780000}"/>
    <cellStyle name="Comma 6 3 2 2 2 2 3 2 2 2 2" xfId="57754" xr:uid="{00000000-0005-0000-0000-00002F780000}"/>
    <cellStyle name="Comma 6 3 2 2 2 2 3 2 2 3" xfId="43255" xr:uid="{00000000-0005-0000-0000-000030780000}"/>
    <cellStyle name="Comma 6 3 2 2 2 2 3 2 3" xfId="21500" xr:uid="{00000000-0005-0000-0000-000031780000}"/>
    <cellStyle name="Comma 6 3 2 2 2 2 3 2 3 2" xfId="50506" xr:uid="{00000000-0005-0000-0000-000032780000}"/>
    <cellStyle name="Comma 6 3 2 2 2 2 3 2 4" xfId="36007" xr:uid="{00000000-0005-0000-0000-000033780000}"/>
    <cellStyle name="Comma 6 3 2 2 2 2 3 3" xfId="11110" xr:uid="{00000000-0005-0000-0000-000034780000}"/>
    <cellStyle name="Comma 6 3 2 2 2 2 3 3 2" xfId="25644" xr:uid="{00000000-0005-0000-0000-000035780000}"/>
    <cellStyle name="Comma 6 3 2 2 2 2 3 3 2 2" xfId="54650" xr:uid="{00000000-0005-0000-0000-000036780000}"/>
    <cellStyle name="Comma 6 3 2 2 2 2 3 3 3" xfId="40151" xr:uid="{00000000-0005-0000-0000-000037780000}"/>
    <cellStyle name="Comma 6 3 2 2 2 2 3 4" xfId="18396" xr:uid="{00000000-0005-0000-0000-000038780000}"/>
    <cellStyle name="Comma 6 3 2 2 2 2 3 4 2" xfId="47402" xr:uid="{00000000-0005-0000-0000-000039780000}"/>
    <cellStyle name="Comma 6 3 2 2 2 2 3 5" xfId="32903" xr:uid="{00000000-0005-0000-0000-00003A780000}"/>
    <cellStyle name="Comma 6 3 2 2 2 2 4" xfId="4870" xr:uid="{00000000-0005-0000-0000-00003B780000}"/>
    <cellStyle name="Comma 6 3 2 2 2 2 4 2" xfId="12142" xr:uid="{00000000-0005-0000-0000-00003C780000}"/>
    <cellStyle name="Comma 6 3 2 2 2 2 4 2 2" xfId="26676" xr:uid="{00000000-0005-0000-0000-00003D780000}"/>
    <cellStyle name="Comma 6 3 2 2 2 2 4 2 2 2" xfId="55682" xr:uid="{00000000-0005-0000-0000-00003E780000}"/>
    <cellStyle name="Comma 6 3 2 2 2 2 4 2 3" xfId="41183" xr:uid="{00000000-0005-0000-0000-00003F780000}"/>
    <cellStyle name="Comma 6 3 2 2 2 2 4 3" xfId="19428" xr:uid="{00000000-0005-0000-0000-000040780000}"/>
    <cellStyle name="Comma 6 3 2 2 2 2 4 3 2" xfId="48434" xr:uid="{00000000-0005-0000-0000-000041780000}"/>
    <cellStyle name="Comma 6 3 2 2 2 2 4 4" xfId="33935" xr:uid="{00000000-0005-0000-0000-000042780000}"/>
    <cellStyle name="Comma 6 3 2 2 2 2 5" xfId="7974" xr:uid="{00000000-0005-0000-0000-000043780000}"/>
    <cellStyle name="Comma 6 3 2 2 2 2 5 2" xfId="15246" xr:uid="{00000000-0005-0000-0000-000044780000}"/>
    <cellStyle name="Comma 6 3 2 2 2 2 5 2 2" xfId="29780" xr:uid="{00000000-0005-0000-0000-000045780000}"/>
    <cellStyle name="Comma 6 3 2 2 2 2 5 2 2 2" xfId="58786" xr:uid="{00000000-0005-0000-0000-000046780000}"/>
    <cellStyle name="Comma 6 3 2 2 2 2 5 2 3" xfId="44287" xr:uid="{00000000-0005-0000-0000-000047780000}"/>
    <cellStyle name="Comma 6 3 2 2 2 2 5 3" xfId="22532" xr:uid="{00000000-0005-0000-0000-000048780000}"/>
    <cellStyle name="Comma 6 3 2 2 2 2 5 3 2" xfId="51538" xr:uid="{00000000-0005-0000-0000-000049780000}"/>
    <cellStyle name="Comma 6 3 2 2 2 2 5 4" xfId="37039" xr:uid="{00000000-0005-0000-0000-00004A780000}"/>
    <cellStyle name="Comma 6 3 2 2 2 2 6" xfId="9038" xr:uid="{00000000-0005-0000-0000-00004B780000}"/>
    <cellStyle name="Comma 6 3 2 2 2 2 6 2" xfId="23572" xr:uid="{00000000-0005-0000-0000-00004C780000}"/>
    <cellStyle name="Comma 6 3 2 2 2 2 6 2 2" xfId="52578" xr:uid="{00000000-0005-0000-0000-00004D780000}"/>
    <cellStyle name="Comma 6 3 2 2 2 2 6 3" xfId="38079" xr:uid="{00000000-0005-0000-0000-00004E780000}"/>
    <cellStyle name="Comma 6 3 2 2 2 2 7" xfId="16324" xr:uid="{00000000-0005-0000-0000-00004F780000}"/>
    <cellStyle name="Comma 6 3 2 2 2 2 7 2" xfId="45330" xr:uid="{00000000-0005-0000-0000-000050780000}"/>
    <cellStyle name="Comma 6 3 2 2 2 2 8" xfId="30831" xr:uid="{00000000-0005-0000-0000-000051780000}"/>
    <cellStyle name="Comma 6 3 2 2 2 3" xfId="2294" xr:uid="{00000000-0005-0000-0000-000052780000}"/>
    <cellStyle name="Comma 6 3 2 2 2 3 2" xfId="5398" xr:uid="{00000000-0005-0000-0000-000053780000}"/>
    <cellStyle name="Comma 6 3 2 2 2 3 2 2" xfId="12670" xr:uid="{00000000-0005-0000-0000-000054780000}"/>
    <cellStyle name="Comma 6 3 2 2 2 3 2 2 2" xfId="27204" xr:uid="{00000000-0005-0000-0000-000055780000}"/>
    <cellStyle name="Comma 6 3 2 2 2 3 2 2 2 2" xfId="56210" xr:uid="{00000000-0005-0000-0000-000056780000}"/>
    <cellStyle name="Comma 6 3 2 2 2 3 2 2 3" xfId="41711" xr:uid="{00000000-0005-0000-0000-000057780000}"/>
    <cellStyle name="Comma 6 3 2 2 2 3 2 3" xfId="19956" xr:uid="{00000000-0005-0000-0000-000058780000}"/>
    <cellStyle name="Comma 6 3 2 2 2 3 2 3 2" xfId="48962" xr:uid="{00000000-0005-0000-0000-000059780000}"/>
    <cellStyle name="Comma 6 3 2 2 2 3 2 4" xfId="34463" xr:uid="{00000000-0005-0000-0000-00005A780000}"/>
    <cellStyle name="Comma 6 3 2 2 2 3 3" xfId="9566" xr:uid="{00000000-0005-0000-0000-00005B780000}"/>
    <cellStyle name="Comma 6 3 2 2 2 3 3 2" xfId="24100" xr:uid="{00000000-0005-0000-0000-00005C780000}"/>
    <cellStyle name="Comma 6 3 2 2 2 3 3 2 2" xfId="53106" xr:uid="{00000000-0005-0000-0000-00005D780000}"/>
    <cellStyle name="Comma 6 3 2 2 2 3 3 3" xfId="38607" xr:uid="{00000000-0005-0000-0000-00005E780000}"/>
    <cellStyle name="Comma 6 3 2 2 2 3 4" xfId="16852" xr:uid="{00000000-0005-0000-0000-00005F780000}"/>
    <cellStyle name="Comma 6 3 2 2 2 3 4 2" xfId="45858" xr:uid="{00000000-0005-0000-0000-000060780000}"/>
    <cellStyle name="Comma 6 3 2 2 2 3 5" xfId="31359" xr:uid="{00000000-0005-0000-0000-000061780000}"/>
    <cellStyle name="Comma 6 3 2 2 2 4" xfId="3326" xr:uid="{00000000-0005-0000-0000-000062780000}"/>
    <cellStyle name="Comma 6 3 2 2 2 4 2" xfId="6430" xr:uid="{00000000-0005-0000-0000-000063780000}"/>
    <cellStyle name="Comma 6 3 2 2 2 4 2 2" xfId="13702" xr:uid="{00000000-0005-0000-0000-000064780000}"/>
    <cellStyle name="Comma 6 3 2 2 2 4 2 2 2" xfId="28236" xr:uid="{00000000-0005-0000-0000-000065780000}"/>
    <cellStyle name="Comma 6 3 2 2 2 4 2 2 2 2" xfId="57242" xr:uid="{00000000-0005-0000-0000-000066780000}"/>
    <cellStyle name="Comma 6 3 2 2 2 4 2 2 3" xfId="42743" xr:uid="{00000000-0005-0000-0000-000067780000}"/>
    <cellStyle name="Comma 6 3 2 2 2 4 2 3" xfId="20988" xr:uid="{00000000-0005-0000-0000-000068780000}"/>
    <cellStyle name="Comma 6 3 2 2 2 4 2 3 2" xfId="49994" xr:uid="{00000000-0005-0000-0000-000069780000}"/>
    <cellStyle name="Comma 6 3 2 2 2 4 2 4" xfId="35495" xr:uid="{00000000-0005-0000-0000-00006A780000}"/>
    <cellStyle name="Comma 6 3 2 2 2 4 3" xfId="10598" xr:uid="{00000000-0005-0000-0000-00006B780000}"/>
    <cellStyle name="Comma 6 3 2 2 2 4 3 2" xfId="25132" xr:uid="{00000000-0005-0000-0000-00006C780000}"/>
    <cellStyle name="Comma 6 3 2 2 2 4 3 2 2" xfId="54138" xr:uid="{00000000-0005-0000-0000-00006D780000}"/>
    <cellStyle name="Comma 6 3 2 2 2 4 3 3" xfId="39639" xr:uid="{00000000-0005-0000-0000-00006E780000}"/>
    <cellStyle name="Comma 6 3 2 2 2 4 4" xfId="17884" xr:uid="{00000000-0005-0000-0000-00006F780000}"/>
    <cellStyle name="Comma 6 3 2 2 2 4 4 2" xfId="46890" xr:uid="{00000000-0005-0000-0000-000070780000}"/>
    <cellStyle name="Comma 6 3 2 2 2 4 5" xfId="32391" xr:uid="{00000000-0005-0000-0000-000071780000}"/>
    <cellStyle name="Comma 6 3 2 2 2 5" xfId="4358" xr:uid="{00000000-0005-0000-0000-000072780000}"/>
    <cellStyle name="Comma 6 3 2 2 2 5 2" xfId="11630" xr:uid="{00000000-0005-0000-0000-000073780000}"/>
    <cellStyle name="Comma 6 3 2 2 2 5 2 2" xfId="26164" xr:uid="{00000000-0005-0000-0000-000074780000}"/>
    <cellStyle name="Comma 6 3 2 2 2 5 2 2 2" xfId="55170" xr:uid="{00000000-0005-0000-0000-000075780000}"/>
    <cellStyle name="Comma 6 3 2 2 2 5 2 3" xfId="40671" xr:uid="{00000000-0005-0000-0000-000076780000}"/>
    <cellStyle name="Comma 6 3 2 2 2 5 3" xfId="18916" xr:uid="{00000000-0005-0000-0000-000077780000}"/>
    <cellStyle name="Comma 6 3 2 2 2 5 3 2" xfId="47922" xr:uid="{00000000-0005-0000-0000-000078780000}"/>
    <cellStyle name="Comma 6 3 2 2 2 5 4" xfId="33423" xr:uid="{00000000-0005-0000-0000-000079780000}"/>
    <cellStyle name="Comma 6 3 2 2 2 6" xfId="7462" xr:uid="{00000000-0005-0000-0000-00007A780000}"/>
    <cellStyle name="Comma 6 3 2 2 2 6 2" xfId="14734" xr:uid="{00000000-0005-0000-0000-00007B780000}"/>
    <cellStyle name="Comma 6 3 2 2 2 6 2 2" xfId="29268" xr:uid="{00000000-0005-0000-0000-00007C780000}"/>
    <cellStyle name="Comma 6 3 2 2 2 6 2 2 2" xfId="58274" xr:uid="{00000000-0005-0000-0000-00007D780000}"/>
    <cellStyle name="Comma 6 3 2 2 2 6 2 3" xfId="43775" xr:uid="{00000000-0005-0000-0000-00007E780000}"/>
    <cellStyle name="Comma 6 3 2 2 2 6 3" xfId="22020" xr:uid="{00000000-0005-0000-0000-00007F780000}"/>
    <cellStyle name="Comma 6 3 2 2 2 6 3 2" xfId="51026" xr:uid="{00000000-0005-0000-0000-000080780000}"/>
    <cellStyle name="Comma 6 3 2 2 2 6 4" xfId="36527" xr:uid="{00000000-0005-0000-0000-000081780000}"/>
    <cellStyle name="Comma 6 3 2 2 2 7" xfId="8526" xr:uid="{00000000-0005-0000-0000-000082780000}"/>
    <cellStyle name="Comma 6 3 2 2 2 7 2" xfId="23060" xr:uid="{00000000-0005-0000-0000-000083780000}"/>
    <cellStyle name="Comma 6 3 2 2 2 7 2 2" xfId="52066" xr:uid="{00000000-0005-0000-0000-000084780000}"/>
    <cellStyle name="Comma 6 3 2 2 2 7 3" xfId="37567" xr:uid="{00000000-0005-0000-0000-000085780000}"/>
    <cellStyle name="Comma 6 3 2 2 2 8" xfId="15812" xr:uid="{00000000-0005-0000-0000-000086780000}"/>
    <cellStyle name="Comma 6 3 2 2 2 8 2" xfId="44818" xr:uid="{00000000-0005-0000-0000-000087780000}"/>
    <cellStyle name="Comma 6 3 2 2 2 9" xfId="30319" xr:uid="{00000000-0005-0000-0000-000088780000}"/>
    <cellStyle name="Comma 6 3 2 2 3" xfId="1442" xr:uid="{00000000-0005-0000-0000-000089780000}"/>
    <cellStyle name="Comma 6 3 2 2 3 2" xfId="2500" xr:uid="{00000000-0005-0000-0000-00008A780000}"/>
    <cellStyle name="Comma 6 3 2 2 3 2 2" xfId="5604" xr:uid="{00000000-0005-0000-0000-00008B780000}"/>
    <cellStyle name="Comma 6 3 2 2 3 2 2 2" xfId="12876" xr:uid="{00000000-0005-0000-0000-00008C780000}"/>
    <cellStyle name="Comma 6 3 2 2 3 2 2 2 2" xfId="27410" xr:uid="{00000000-0005-0000-0000-00008D780000}"/>
    <cellStyle name="Comma 6 3 2 2 3 2 2 2 2 2" xfId="56416" xr:uid="{00000000-0005-0000-0000-00008E780000}"/>
    <cellStyle name="Comma 6 3 2 2 3 2 2 2 3" xfId="41917" xr:uid="{00000000-0005-0000-0000-00008F780000}"/>
    <cellStyle name="Comma 6 3 2 2 3 2 2 3" xfId="20162" xr:uid="{00000000-0005-0000-0000-000090780000}"/>
    <cellStyle name="Comma 6 3 2 2 3 2 2 3 2" xfId="49168" xr:uid="{00000000-0005-0000-0000-000091780000}"/>
    <cellStyle name="Comma 6 3 2 2 3 2 2 4" xfId="34669" xr:uid="{00000000-0005-0000-0000-000092780000}"/>
    <cellStyle name="Comma 6 3 2 2 3 2 3" xfId="9772" xr:uid="{00000000-0005-0000-0000-000093780000}"/>
    <cellStyle name="Comma 6 3 2 2 3 2 3 2" xfId="24306" xr:uid="{00000000-0005-0000-0000-000094780000}"/>
    <cellStyle name="Comma 6 3 2 2 3 2 3 2 2" xfId="53312" xr:uid="{00000000-0005-0000-0000-000095780000}"/>
    <cellStyle name="Comma 6 3 2 2 3 2 3 3" xfId="38813" xr:uid="{00000000-0005-0000-0000-000096780000}"/>
    <cellStyle name="Comma 6 3 2 2 3 2 4" xfId="17058" xr:uid="{00000000-0005-0000-0000-000097780000}"/>
    <cellStyle name="Comma 6 3 2 2 3 2 4 2" xfId="46064" xr:uid="{00000000-0005-0000-0000-000098780000}"/>
    <cellStyle name="Comma 6 3 2 2 3 2 5" xfId="31565" xr:uid="{00000000-0005-0000-0000-000099780000}"/>
    <cellStyle name="Comma 6 3 2 2 3 3" xfId="3532" xr:uid="{00000000-0005-0000-0000-00009A780000}"/>
    <cellStyle name="Comma 6 3 2 2 3 3 2" xfId="6636" xr:uid="{00000000-0005-0000-0000-00009B780000}"/>
    <cellStyle name="Comma 6 3 2 2 3 3 2 2" xfId="13908" xr:uid="{00000000-0005-0000-0000-00009C780000}"/>
    <cellStyle name="Comma 6 3 2 2 3 3 2 2 2" xfId="28442" xr:uid="{00000000-0005-0000-0000-00009D780000}"/>
    <cellStyle name="Comma 6 3 2 2 3 3 2 2 2 2" xfId="57448" xr:uid="{00000000-0005-0000-0000-00009E780000}"/>
    <cellStyle name="Comma 6 3 2 2 3 3 2 2 3" xfId="42949" xr:uid="{00000000-0005-0000-0000-00009F780000}"/>
    <cellStyle name="Comma 6 3 2 2 3 3 2 3" xfId="21194" xr:uid="{00000000-0005-0000-0000-0000A0780000}"/>
    <cellStyle name="Comma 6 3 2 2 3 3 2 3 2" xfId="50200" xr:uid="{00000000-0005-0000-0000-0000A1780000}"/>
    <cellStyle name="Comma 6 3 2 2 3 3 2 4" xfId="35701" xr:uid="{00000000-0005-0000-0000-0000A2780000}"/>
    <cellStyle name="Comma 6 3 2 2 3 3 3" xfId="10804" xr:uid="{00000000-0005-0000-0000-0000A3780000}"/>
    <cellStyle name="Comma 6 3 2 2 3 3 3 2" xfId="25338" xr:uid="{00000000-0005-0000-0000-0000A4780000}"/>
    <cellStyle name="Comma 6 3 2 2 3 3 3 2 2" xfId="54344" xr:uid="{00000000-0005-0000-0000-0000A5780000}"/>
    <cellStyle name="Comma 6 3 2 2 3 3 3 3" xfId="39845" xr:uid="{00000000-0005-0000-0000-0000A6780000}"/>
    <cellStyle name="Comma 6 3 2 2 3 3 4" xfId="18090" xr:uid="{00000000-0005-0000-0000-0000A7780000}"/>
    <cellStyle name="Comma 6 3 2 2 3 3 4 2" xfId="47096" xr:uid="{00000000-0005-0000-0000-0000A8780000}"/>
    <cellStyle name="Comma 6 3 2 2 3 3 5" xfId="32597" xr:uid="{00000000-0005-0000-0000-0000A9780000}"/>
    <cellStyle name="Comma 6 3 2 2 3 4" xfId="4564" xr:uid="{00000000-0005-0000-0000-0000AA780000}"/>
    <cellStyle name="Comma 6 3 2 2 3 4 2" xfId="11836" xr:uid="{00000000-0005-0000-0000-0000AB780000}"/>
    <cellStyle name="Comma 6 3 2 2 3 4 2 2" xfId="26370" xr:uid="{00000000-0005-0000-0000-0000AC780000}"/>
    <cellStyle name="Comma 6 3 2 2 3 4 2 2 2" xfId="55376" xr:uid="{00000000-0005-0000-0000-0000AD780000}"/>
    <cellStyle name="Comma 6 3 2 2 3 4 2 3" xfId="40877" xr:uid="{00000000-0005-0000-0000-0000AE780000}"/>
    <cellStyle name="Comma 6 3 2 2 3 4 3" xfId="19122" xr:uid="{00000000-0005-0000-0000-0000AF780000}"/>
    <cellStyle name="Comma 6 3 2 2 3 4 3 2" xfId="48128" xr:uid="{00000000-0005-0000-0000-0000B0780000}"/>
    <cellStyle name="Comma 6 3 2 2 3 4 4" xfId="33629" xr:uid="{00000000-0005-0000-0000-0000B1780000}"/>
    <cellStyle name="Comma 6 3 2 2 3 5" xfId="7668" xr:uid="{00000000-0005-0000-0000-0000B2780000}"/>
    <cellStyle name="Comma 6 3 2 2 3 5 2" xfId="14940" xr:uid="{00000000-0005-0000-0000-0000B3780000}"/>
    <cellStyle name="Comma 6 3 2 2 3 5 2 2" xfId="29474" xr:uid="{00000000-0005-0000-0000-0000B4780000}"/>
    <cellStyle name="Comma 6 3 2 2 3 5 2 2 2" xfId="58480" xr:uid="{00000000-0005-0000-0000-0000B5780000}"/>
    <cellStyle name="Comma 6 3 2 2 3 5 2 3" xfId="43981" xr:uid="{00000000-0005-0000-0000-0000B6780000}"/>
    <cellStyle name="Comma 6 3 2 2 3 5 3" xfId="22226" xr:uid="{00000000-0005-0000-0000-0000B7780000}"/>
    <cellStyle name="Comma 6 3 2 2 3 5 3 2" xfId="51232" xr:uid="{00000000-0005-0000-0000-0000B8780000}"/>
    <cellStyle name="Comma 6 3 2 2 3 5 4" xfId="36733" xr:uid="{00000000-0005-0000-0000-0000B9780000}"/>
    <cellStyle name="Comma 6 3 2 2 3 6" xfId="8732" xr:uid="{00000000-0005-0000-0000-0000BA780000}"/>
    <cellStyle name="Comma 6 3 2 2 3 6 2" xfId="23266" xr:uid="{00000000-0005-0000-0000-0000BB780000}"/>
    <cellStyle name="Comma 6 3 2 2 3 6 2 2" xfId="52272" xr:uid="{00000000-0005-0000-0000-0000BC780000}"/>
    <cellStyle name="Comma 6 3 2 2 3 6 3" xfId="37773" xr:uid="{00000000-0005-0000-0000-0000BD780000}"/>
    <cellStyle name="Comma 6 3 2 2 3 7" xfId="16018" xr:uid="{00000000-0005-0000-0000-0000BE780000}"/>
    <cellStyle name="Comma 6 3 2 2 3 7 2" xfId="45024" xr:uid="{00000000-0005-0000-0000-0000BF780000}"/>
    <cellStyle name="Comma 6 3 2 2 3 8" xfId="30525" xr:uid="{00000000-0005-0000-0000-0000C0780000}"/>
    <cellStyle name="Comma 6 3 2 2 4" xfId="1988" xr:uid="{00000000-0005-0000-0000-0000C1780000}"/>
    <cellStyle name="Comma 6 3 2 2 4 2" xfId="5092" xr:uid="{00000000-0005-0000-0000-0000C2780000}"/>
    <cellStyle name="Comma 6 3 2 2 4 2 2" xfId="12364" xr:uid="{00000000-0005-0000-0000-0000C3780000}"/>
    <cellStyle name="Comma 6 3 2 2 4 2 2 2" xfId="26898" xr:uid="{00000000-0005-0000-0000-0000C4780000}"/>
    <cellStyle name="Comma 6 3 2 2 4 2 2 2 2" xfId="55904" xr:uid="{00000000-0005-0000-0000-0000C5780000}"/>
    <cellStyle name="Comma 6 3 2 2 4 2 2 3" xfId="41405" xr:uid="{00000000-0005-0000-0000-0000C6780000}"/>
    <cellStyle name="Comma 6 3 2 2 4 2 3" xfId="19650" xr:uid="{00000000-0005-0000-0000-0000C7780000}"/>
    <cellStyle name="Comma 6 3 2 2 4 2 3 2" xfId="48656" xr:uid="{00000000-0005-0000-0000-0000C8780000}"/>
    <cellStyle name="Comma 6 3 2 2 4 2 4" xfId="34157" xr:uid="{00000000-0005-0000-0000-0000C9780000}"/>
    <cellStyle name="Comma 6 3 2 2 4 3" xfId="9260" xr:uid="{00000000-0005-0000-0000-0000CA780000}"/>
    <cellStyle name="Comma 6 3 2 2 4 3 2" xfId="23794" xr:uid="{00000000-0005-0000-0000-0000CB780000}"/>
    <cellStyle name="Comma 6 3 2 2 4 3 2 2" xfId="52800" xr:uid="{00000000-0005-0000-0000-0000CC780000}"/>
    <cellStyle name="Comma 6 3 2 2 4 3 3" xfId="38301" xr:uid="{00000000-0005-0000-0000-0000CD780000}"/>
    <cellStyle name="Comma 6 3 2 2 4 4" xfId="16546" xr:uid="{00000000-0005-0000-0000-0000CE780000}"/>
    <cellStyle name="Comma 6 3 2 2 4 4 2" xfId="45552" xr:uid="{00000000-0005-0000-0000-0000CF780000}"/>
    <cellStyle name="Comma 6 3 2 2 4 5" xfId="31053" xr:uid="{00000000-0005-0000-0000-0000D0780000}"/>
    <cellStyle name="Comma 6 3 2 2 5" xfId="3020" xr:uid="{00000000-0005-0000-0000-0000D1780000}"/>
    <cellStyle name="Comma 6 3 2 2 5 2" xfId="6124" xr:uid="{00000000-0005-0000-0000-0000D2780000}"/>
    <cellStyle name="Comma 6 3 2 2 5 2 2" xfId="13396" xr:uid="{00000000-0005-0000-0000-0000D3780000}"/>
    <cellStyle name="Comma 6 3 2 2 5 2 2 2" xfId="27930" xr:uid="{00000000-0005-0000-0000-0000D4780000}"/>
    <cellStyle name="Comma 6 3 2 2 5 2 2 2 2" xfId="56936" xr:uid="{00000000-0005-0000-0000-0000D5780000}"/>
    <cellStyle name="Comma 6 3 2 2 5 2 2 3" xfId="42437" xr:uid="{00000000-0005-0000-0000-0000D6780000}"/>
    <cellStyle name="Comma 6 3 2 2 5 2 3" xfId="20682" xr:uid="{00000000-0005-0000-0000-0000D7780000}"/>
    <cellStyle name="Comma 6 3 2 2 5 2 3 2" xfId="49688" xr:uid="{00000000-0005-0000-0000-0000D8780000}"/>
    <cellStyle name="Comma 6 3 2 2 5 2 4" xfId="35189" xr:uid="{00000000-0005-0000-0000-0000D9780000}"/>
    <cellStyle name="Comma 6 3 2 2 5 3" xfId="10292" xr:uid="{00000000-0005-0000-0000-0000DA780000}"/>
    <cellStyle name="Comma 6 3 2 2 5 3 2" xfId="24826" xr:uid="{00000000-0005-0000-0000-0000DB780000}"/>
    <cellStyle name="Comma 6 3 2 2 5 3 2 2" xfId="53832" xr:uid="{00000000-0005-0000-0000-0000DC780000}"/>
    <cellStyle name="Comma 6 3 2 2 5 3 3" xfId="39333" xr:uid="{00000000-0005-0000-0000-0000DD780000}"/>
    <cellStyle name="Comma 6 3 2 2 5 4" xfId="17578" xr:uid="{00000000-0005-0000-0000-0000DE780000}"/>
    <cellStyle name="Comma 6 3 2 2 5 4 2" xfId="46584" xr:uid="{00000000-0005-0000-0000-0000DF780000}"/>
    <cellStyle name="Comma 6 3 2 2 5 5" xfId="32085" xr:uid="{00000000-0005-0000-0000-0000E0780000}"/>
    <cellStyle name="Comma 6 3 2 2 6" xfId="4052" xr:uid="{00000000-0005-0000-0000-0000E1780000}"/>
    <cellStyle name="Comma 6 3 2 2 6 2" xfId="11324" xr:uid="{00000000-0005-0000-0000-0000E2780000}"/>
    <cellStyle name="Comma 6 3 2 2 6 2 2" xfId="25858" xr:uid="{00000000-0005-0000-0000-0000E3780000}"/>
    <cellStyle name="Comma 6 3 2 2 6 2 2 2" xfId="54864" xr:uid="{00000000-0005-0000-0000-0000E4780000}"/>
    <cellStyle name="Comma 6 3 2 2 6 2 3" xfId="40365" xr:uid="{00000000-0005-0000-0000-0000E5780000}"/>
    <cellStyle name="Comma 6 3 2 2 6 3" xfId="18610" xr:uid="{00000000-0005-0000-0000-0000E6780000}"/>
    <cellStyle name="Comma 6 3 2 2 6 3 2" xfId="47616" xr:uid="{00000000-0005-0000-0000-0000E7780000}"/>
    <cellStyle name="Comma 6 3 2 2 6 4" xfId="33117" xr:uid="{00000000-0005-0000-0000-0000E8780000}"/>
    <cellStyle name="Comma 6 3 2 2 7" xfId="7156" xr:uid="{00000000-0005-0000-0000-0000E9780000}"/>
    <cellStyle name="Comma 6 3 2 2 7 2" xfId="14428" xr:uid="{00000000-0005-0000-0000-0000EA780000}"/>
    <cellStyle name="Comma 6 3 2 2 7 2 2" xfId="28962" xr:uid="{00000000-0005-0000-0000-0000EB780000}"/>
    <cellStyle name="Comma 6 3 2 2 7 2 2 2" xfId="57968" xr:uid="{00000000-0005-0000-0000-0000EC780000}"/>
    <cellStyle name="Comma 6 3 2 2 7 2 3" xfId="43469" xr:uid="{00000000-0005-0000-0000-0000ED780000}"/>
    <cellStyle name="Comma 6 3 2 2 7 3" xfId="21714" xr:uid="{00000000-0005-0000-0000-0000EE780000}"/>
    <cellStyle name="Comma 6 3 2 2 7 3 2" xfId="50720" xr:uid="{00000000-0005-0000-0000-0000EF780000}"/>
    <cellStyle name="Comma 6 3 2 2 7 4" xfId="36221" xr:uid="{00000000-0005-0000-0000-0000F0780000}"/>
    <cellStyle name="Comma 6 3 2 2 8" xfId="8220" xr:uid="{00000000-0005-0000-0000-0000F1780000}"/>
    <cellStyle name="Comma 6 3 2 2 8 2" xfId="22754" xr:uid="{00000000-0005-0000-0000-0000F2780000}"/>
    <cellStyle name="Comma 6 3 2 2 8 2 2" xfId="51760" xr:uid="{00000000-0005-0000-0000-0000F3780000}"/>
    <cellStyle name="Comma 6 3 2 2 8 3" xfId="37261" xr:uid="{00000000-0005-0000-0000-0000F4780000}"/>
    <cellStyle name="Comma 6 3 2 2 9" xfId="15506" xr:uid="{00000000-0005-0000-0000-0000F5780000}"/>
    <cellStyle name="Comma 6 3 2 2 9 2" xfId="44512" xr:uid="{00000000-0005-0000-0000-0000F6780000}"/>
    <cellStyle name="Comma 6 3 2 3" xfId="1145" xr:uid="{00000000-0005-0000-0000-0000F7780000}"/>
    <cellStyle name="Comma 6 3 2 3 10" xfId="59606" xr:uid="{00000000-0005-0000-0000-0000F8780000}"/>
    <cellStyle name="Comma 6 3 2 3 2" xfId="1644" xr:uid="{00000000-0005-0000-0000-0000F9780000}"/>
    <cellStyle name="Comma 6 3 2 3 2 2" xfId="2703" xr:uid="{00000000-0005-0000-0000-0000FA780000}"/>
    <cellStyle name="Comma 6 3 2 3 2 2 2" xfId="5807" xr:uid="{00000000-0005-0000-0000-0000FB780000}"/>
    <cellStyle name="Comma 6 3 2 3 2 2 2 2" xfId="13079" xr:uid="{00000000-0005-0000-0000-0000FC780000}"/>
    <cellStyle name="Comma 6 3 2 3 2 2 2 2 2" xfId="27613" xr:uid="{00000000-0005-0000-0000-0000FD780000}"/>
    <cellStyle name="Comma 6 3 2 3 2 2 2 2 2 2" xfId="56619" xr:uid="{00000000-0005-0000-0000-0000FE780000}"/>
    <cellStyle name="Comma 6 3 2 3 2 2 2 2 3" xfId="42120" xr:uid="{00000000-0005-0000-0000-0000FF780000}"/>
    <cellStyle name="Comma 6 3 2 3 2 2 2 3" xfId="20365" xr:uid="{00000000-0005-0000-0000-000000790000}"/>
    <cellStyle name="Comma 6 3 2 3 2 2 2 3 2" xfId="49371" xr:uid="{00000000-0005-0000-0000-000001790000}"/>
    <cellStyle name="Comma 6 3 2 3 2 2 2 4" xfId="34872" xr:uid="{00000000-0005-0000-0000-000002790000}"/>
    <cellStyle name="Comma 6 3 2 3 2 2 3" xfId="9975" xr:uid="{00000000-0005-0000-0000-000003790000}"/>
    <cellStyle name="Comma 6 3 2 3 2 2 3 2" xfId="24509" xr:uid="{00000000-0005-0000-0000-000004790000}"/>
    <cellStyle name="Comma 6 3 2 3 2 2 3 2 2" xfId="53515" xr:uid="{00000000-0005-0000-0000-000005790000}"/>
    <cellStyle name="Comma 6 3 2 3 2 2 3 3" xfId="39016" xr:uid="{00000000-0005-0000-0000-000006790000}"/>
    <cellStyle name="Comma 6 3 2 3 2 2 4" xfId="17261" xr:uid="{00000000-0005-0000-0000-000007790000}"/>
    <cellStyle name="Comma 6 3 2 3 2 2 4 2" xfId="46267" xr:uid="{00000000-0005-0000-0000-000008790000}"/>
    <cellStyle name="Comma 6 3 2 3 2 2 5" xfId="31768" xr:uid="{00000000-0005-0000-0000-000009790000}"/>
    <cellStyle name="Comma 6 3 2 3 2 3" xfId="3735" xr:uid="{00000000-0005-0000-0000-00000A790000}"/>
    <cellStyle name="Comma 6 3 2 3 2 3 2" xfId="6839" xr:uid="{00000000-0005-0000-0000-00000B790000}"/>
    <cellStyle name="Comma 6 3 2 3 2 3 2 2" xfId="14111" xr:uid="{00000000-0005-0000-0000-00000C790000}"/>
    <cellStyle name="Comma 6 3 2 3 2 3 2 2 2" xfId="28645" xr:uid="{00000000-0005-0000-0000-00000D790000}"/>
    <cellStyle name="Comma 6 3 2 3 2 3 2 2 2 2" xfId="57651" xr:uid="{00000000-0005-0000-0000-00000E790000}"/>
    <cellStyle name="Comma 6 3 2 3 2 3 2 2 3" xfId="43152" xr:uid="{00000000-0005-0000-0000-00000F790000}"/>
    <cellStyle name="Comma 6 3 2 3 2 3 2 3" xfId="21397" xr:uid="{00000000-0005-0000-0000-000010790000}"/>
    <cellStyle name="Comma 6 3 2 3 2 3 2 3 2" xfId="50403" xr:uid="{00000000-0005-0000-0000-000011790000}"/>
    <cellStyle name="Comma 6 3 2 3 2 3 2 4" xfId="35904" xr:uid="{00000000-0005-0000-0000-000012790000}"/>
    <cellStyle name="Comma 6 3 2 3 2 3 3" xfId="11007" xr:uid="{00000000-0005-0000-0000-000013790000}"/>
    <cellStyle name="Comma 6 3 2 3 2 3 3 2" xfId="25541" xr:uid="{00000000-0005-0000-0000-000014790000}"/>
    <cellStyle name="Comma 6 3 2 3 2 3 3 2 2" xfId="54547" xr:uid="{00000000-0005-0000-0000-000015790000}"/>
    <cellStyle name="Comma 6 3 2 3 2 3 3 3" xfId="40048" xr:uid="{00000000-0005-0000-0000-000016790000}"/>
    <cellStyle name="Comma 6 3 2 3 2 3 4" xfId="18293" xr:uid="{00000000-0005-0000-0000-000017790000}"/>
    <cellStyle name="Comma 6 3 2 3 2 3 4 2" xfId="47299" xr:uid="{00000000-0005-0000-0000-000018790000}"/>
    <cellStyle name="Comma 6 3 2 3 2 3 5" xfId="32800" xr:uid="{00000000-0005-0000-0000-000019790000}"/>
    <cellStyle name="Comma 6 3 2 3 2 4" xfId="4767" xr:uid="{00000000-0005-0000-0000-00001A790000}"/>
    <cellStyle name="Comma 6 3 2 3 2 4 2" xfId="12039" xr:uid="{00000000-0005-0000-0000-00001B790000}"/>
    <cellStyle name="Comma 6 3 2 3 2 4 2 2" xfId="26573" xr:uid="{00000000-0005-0000-0000-00001C790000}"/>
    <cellStyle name="Comma 6 3 2 3 2 4 2 2 2" xfId="55579" xr:uid="{00000000-0005-0000-0000-00001D790000}"/>
    <cellStyle name="Comma 6 3 2 3 2 4 2 3" xfId="41080" xr:uid="{00000000-0005-0000-0000-00001E790000}"/>
    <cellStyle name="Comma 6 3 2 3 2 4 3" xfId="19325" xr:uid="{00000000-0005-0000-0000-00001F790000}"/>
    <cellStyle name="Comma 6 3 2 3 2 4 3 2" xfId="48331" xr:uid="{00000000-0005-0000-0000-000020790000}"/>
    <cellStyle name="Comma 6 3 2 3 2 4 4" xfId="33832" xr:uid="{00000000-0005-0000-0000-000021790000}"/>
    <cellStyle name="Comma 6 3 2 3 2 5" xfId="7871" xr:uid="{00000000-0005-0000-0000-000022790000}"/>
    <cellStyle name="Comma 6 3 2 3 2 5 2" xfId="15143" xr:uid="{00000000-0005-0000-0000-000023790000}"/>
    <cellStyle name="Comma 6 3 2 3 2 5 2 2" xfId="29677" xr:uid="{00000000-0005-0000-0000-000024790000}"/>
    <cellStyle name="Comma 6 3 2 3 2 5 2 2 2" xfId="58683" xr:uid="{00000000-0005-0000-0000-000025790000}"/>
    <cellStyle name="Comma 6 3 2 3 2 5 2 3" xfId="44184" xr:uid="{00000000-0005-0000-0000-000026790000}"/>
    <cellStyle name="Comma 6 3 2 3 2 5 3" xfId="22429" xr:uid="{00000000-0005-0000-0000-000027790000}"/>
    <cellStyle name="Comma 6 3 2 3 2 5 3 2" xfId="51435" xr:uid="{00000000-0005-0000-0000-000028790000}"/>
    <cellStyle name="Comma 6 3 2 3 2 5 4" xfId="36936" xr:uid="{00000000-0005-0000-0000-000029790000}"/>
    <cellStyle name="Comma 6 3 2 3 2 6" xfId="8935" xr:uid="{00000000-0005-0000-0000-00002A790000}"/>
    <cellStyle name="Comma 6 3 2 3 2 6 2" xfId="23469" xr:uid="{00000000-0005-0000-0000-00002B790000}"/>
    <cellStyle name="Comma 6 3 2 3 2 6 2 2" xfId="52475" xr:uid="{00000000-0005-0000-0000-00002C790000}"/>
    <cellStyle name="Comma 6 3 2 3 2 6 3" xfId="37976" xr:uid="{00000000-0005-0000-0000-00002D790000}"/>
    <cellStyle name="Comma 6 3 2 3 2 7" xfId="16221" xr:uid="{00000000-0005-0000-0000-00002E790000}"/>
    <cellStyle name="Comma 6 3 2 3 2 7 2" xfId="45227" xr:uid="{00000000-0005-0000-0000-00002F790000}"/>
    <cellStyle name="Comma 6 3 2 3 2 8" xfId="30728" xr:uid="{00000000-0005-0000-0000-000030790000}"/>
    <cellStyle name="Comma 6 3 2 3 3" xfId="2191" xr:uid="{00000000-0005-0000-0000-000031790000}"/>
    <cellStyle name="Comma 6 3 2 3 3 2" xfId="5295" xr:uid="{00000000-0005-0000-0000-000032790000}"/>
    <cellStyle name="Comma 6 3 2 3 3 2 2" xfId="12567" xr:uid="{00000000-0005-0000-0000-000033790000}"/>
    <cellStyle name="Comma 6 3 2 3 3 2 2 2" xfId="27101" xr:uid="{00000000-0005-0000-0000-000034790000}"/>
    <cellStyle name="Comma 6 3 2 3 3 2 2 2 2" xfId="56107" xr:uid="{00000000-0005-0000-0000-000035790000}"/>
    <cellStyle name="Comma 6 3 2 3 3 2 2 3" xfId="41608" xr:uid="{00000000-0005-0000-0000-000036790000}"/>
    <cellStyle name="Comma 6 3 2 3 3 2 3" xfId="19853" xr:uid="{00000000-0005-0000-0000-000037790000}"/>
    <cellStyle name="Comma 6 3 2 3 3 2 3 2" xfId="48859" xr:uid="{00000000-0005-0000-0000-000038790000}"/>
    <cellStyle name="Comma 6 3 2 3 3 2 4" xfId="34360" xr:uid="{00000000-0005-0000-0000-000039790000}"/>
    <cellStyle name="Comma 6 3 2 3 3 3" xfId="9463" xr:uid="{00000000-0005-0000-0000-00003A790000}"/>
    <cellStyle name="Comma 6 3 2 3 3 3 2" xfId="23997" xr:uid="{00000000-0005-0000-0000-00003B790000}"/>
    <cellStyle name="Comma 6 3 2 3 3 3 2 2" xfId="53003" xr:uid="{00000000-0005-0000-0000-00003C790000}"/>
    <cellStyle name="Comma 6 3 2 3 3 3 3" xfId="38504" xr:uid="{00000000-0005-0000-0000-00003D790000}"/>
    <cellStyle name="Comma 6 3 2 3 3 4" xfId="16749" xr:uid="{00000000-0005-0000-0000-00003E790000}"/>
    <cellStyle name="Comma 6 3 2 3 3 4 2" xfId="45755" xr:uid="{00000000-0005-0000-0000-00003F790000}"/>
    <cellStyle name="Comma 6 3 2 3 3 5" xfId="31256" xr:uid="{00000000-0005-0000-0000-000040790000}"/>
    <cellStyle name="Comma 6 3 2 3 4" xfId="3223" xr:uid="{00000000-0005-0000-0000-000041790000}"/>
    <cellStyle name="Comma 6 3 2 3 4 2" xfId="6327" xr:uid="{00000000-0005-0000-0000-000042790000}"/>
    <cellStyle name="Comma 6 3 2 3 4 2 2" xfId="13599" xr:uid="{00000000-0005-0000-0000-000043790000}"/>
    <cellStyle name="Comma 6 3 2 3 4 2 2 2" xfId="28133" xr:uid="{00000000-0005-0000-0000-000044790000}"/>
    <cellStyle name="Comma 6 3 2 3 4 2 2 2 2" xfId="57139" xr:uid="{00000000-0005-0000-0000-000045790000}"/>
    <cellStyle name="Comma 6 3 2 3 4 2 2 3" xfId="42640" xr:uid="{00000000-0005-0000-0000-000046790000}"/>
    <cellStyle name="Comma 6 3 2 3 4 2 3" xfId="20885" xr:uid="{00000000-0005-0000-0000-000047790000}"/>
    <cellStyle name="Comma 6 3 2 3 4 2 3 2" xfId="49891" xr:uid="{00000000-0005-0000-0000-000048790000}"/>
    <cellStyle name="Comma 6 3 2 3 4 2 4" xfId="35392" xr:uid="{00000000-0005-0000-0000-000049790000}"/>
    <cellStyle name="Comma 6 3 2 3 4 3" xfId="10495" xr:uid="{00000000-0005-0000-0000-00004A790000}"/>
    <cellStyle name="Comma 6 3 2 3 4 3 2" xfId="25029" xr:uid="{00000000-0005-0000-0000-00004B790000}"/>
    <cellStyle name="Comma 6 3 2 3 4 3 2 2" xfId="54035" xr:uid="{00000000-0005-0000-0000-00004C790000}"/>
    <cellStyle name="Comma 6 3 2 3 4 3 3" xfId="39536" xr:uid="{00000000-0005-0000-0000-00004D790000}"/>
    <cellStyle name="Comma 6 3 2 3 4 4" xfId="17781" xr:uid="{00000000-0005-0000-0000-00004E790000}"/>
    <cellStyle name="Comma 6 3 2 3 4 4 2" xfId="46787" xr:uid="{00000000-0005-0000-0000-00004F790000}"/>
    <cellStyle name="Comma 6 3 2 3 4 5" xfId="32288" xr:uid="{00000000-0005-0000-0000-000050790000}"/>
    <cellStyle name="Comma 6 3 2 3 5" xfId="4255" xr:uid="{00000000-0005-0000-0000-000051790000}"/>
    <cellStyle name="Comma 6 3 2 3 5 2" xfId="11527" xr:uid="{00000000-0005-0000-0000-000052790000}"/>
    <cellStyle name="Comma 6 3 2 3 5 2 2" xfId="26061" xr:uid="{00000000-0005-0000-0000-000053790000}"/>
    <cellStyle name="Comma 6 3 2 3 5 2 2 2" xfId="55067" xr:uid="{00000000-0005-0000-0000-000054790000}"/>
    <cellStyle name="Comma 6 3 2 3 5 2 3" xfId="40568" xr:uid="{00000000-0005-0000-0000-000055790000}"/>
    <cellStyle name="Comma 6 3 2 3 5 3" xfId="18813" xr:uid="{00000000-0005-0000-0000-000056790000}"/>
    <cellStyle name="Comma 6 3 2 3 5 3 2" xfId="47819" xr:uid="{00000000-0005-0000-0000-000057790000}"/>
    <cellStyle name="Comma 6 3 2 3 5 4" xfId="33320" xr:uid="{00000000-0005-0000-0000-000058790000}"/>
    <cellStyle name="Comma 6 3 2 3 6" xfId="7359" xr:uid="{00000000-0005-0000-0000-000059790000}"/>
    <cellStyle name="Comma 6 3 2 3 6 2" xfId="14631" xr:uid="{00000000-0005-0000-0000-00005A790000}"/>
    <cellStyle name="Comma 6 3 2 3 6 2 2" xfId="29165" xr:uid="{00000000-0005-0000-0000-00005B790000}"/>
    <cellStyle name="Comma 6 3 2 3 6 2 2 2" xfId="58171" xr:uid="{00000000-0005-0000-0000-00005C790000}"/>
    <cellStyle name="Comma 6 3 2 3 6 2 3" xfId="43672" xr:uid="{00000000-0005-0000-0000-00005D790000}"/>
    <cellStyle name="Comma 6 3 2 3 6 3" xfId="21917" xr:uid="{00000000-0005-0000-0000-00005E790000}"/>
    <cellStyle name="Comma 6 3 2 3 6 3 2" xfId="50923" xr:uid="{00000000-0005-0000-0000-00005F790000}"/>
    <cellStyle name="Comma 6 3 2 3 6 4" xfId="36424" xr:uid="{00000000-0005-0000-0000-000060790000}"/>
    <cellStyle name="Comma 6 3 2 3 7" xfId="8423" xr:uid="{00000000-0005-0000-0000-000061790000}"/>
    <cellStyle name="Comma 6 3 2 3 7 2" xfId="22957" xr:uid="{00000000-0005-0000-0000-000062790000}"/>
    <cellStyle name="Comma 6 3 2 3 7 2 2" xfId="51963" xr:uid="{00000000-0005-0000-0000-000063790000}"/>
    <cellStyle name="Comma 6 3 2 3 7 3" xfId="37464" xr:uid="{00000000-0005-0000-0000-000064790000}"/>
    <cellStyle name="Comma 6 3 2 3 8" xfId="15709" xr:uid="{00000000-0005-0000-0000-000065790000}"/>
    <cellStyle name="Comma 6 3 2 3 8 2" xfId="44715" xr:uid="{00000000-0005-0000-0000-000066790000}"/>
    <cellStyle name="Comma 6 3 2 3 9" xfId="30216" xr:uid="{00000000-0005-0000-0000-000067790000}"/>
    <cellStyle name="Comma 6 3 2 4" xfId="1054" xr:uid="{00000000-0005-0000-0000-000068790000}"/>
    <cellStyle name="Comma 6 3 2 4 2" xfId="1545" xr:uid="{00000000-0005-0000-0000-000069790000}"/>
    <cellStyle name="Comma 6 3 2 4 2 2" xfId="2603" xr:uid="{00000000-0005-0000-0000-00006A790000}"/>
    <cellStyle name="Comma 6 3 2 4 2 2 2" xfId="5707" xr:uid="{00000000-0005-0000-0000-00006B790000}"/>
    <cellStyle name="Comma 6 3 2 4 2 2 2 2" xfId="12979" xr:uid="{00000000-0005-0000-0000-00006C790000}"/>
    <cellStyle name="Comma 6 3 2 4 2 2 2 2 2" xfId="27513" xr:uid="{00000000-0005-0000-0000-00006D790000}"/>
    <cellStyle name="Comma 6 3 2 4 2 2 2 2 2 2" xfId="56519" xr:uid="{00000000-0005-0000-0000-00006E790000}"/>
    <cellStyle name="Comma 6 3 2 4 2 2 2 2 3" xfId="42020" xr:uid="{00000000-0005-0000-0000-00006F790000}"/>
    <cellStyle name="Comma 6 3 2 4 2 2 2 3" xfId="20265" xr:uid="{00000000-0005-0000-0000-000070790000}"/>
    <cellStyle name="Comma 6 3 2 4 2 2 2 3 2" xfId="49271" xr:uid="{00000000-0005-0000-0000-000071790000}"/>
    <cellStyle name="Comma 6 3 2 4 2 2 2 4" xfId="34772" xr:uid="{00000000-0005-0000-0000-000072790000}"/>
    <cellStyle name="Comma 6 3 2 4 2 2 3" xfId="9875" xr:uid="{00000000-0005-0000-0000-000073790000}"/>
    <cellStyle name="Comma 6 3 2 4 2 2 3 2" xfId="24409" xr:uid="{00000000-0005-0000-0000-000074790000}"/>
    <cellStyle name="Comma 6 3 2 4 2 2 3 2 2" xfId="53415" xr:uid="{00000000-0005-0000-0000-000075790000}"/>
    <cellStyle name="Comma 6 3 2 4 2 2 3 3" xfId="38916" xr:uid="{00000000-0005-0000-0000-000076790000}"/>
    <cellStyle name="Comma 6 3 2 4 2 2 4" xfId="17161" xr:uid="{00000000-0005-0000-0000-000077790000}"/>
    <cellStyle name="Comma 6 3 2 4 2 2 4 2" xfId="46167" xr:uid="{00000000-0005-0000-0000-000078790000}"/>
    <cellStyle name="Comma 6 3 2 4 2 2 5" xfId="31668" xr:uid="{00000000-0005-0000-0000-000079790000}"/>
    <cellStyle name="Comma 6 3 2 4 2 3" xfId="3635" xr:uid="{00000000-0005-0000-0000-00007A790000}"/>
    <cellStyle name="Comma 6 3 2 4 2 3 2" xfId="6739" xr:uid="{00000000-0005-0000-0000-00007B790000}"/>
    <cellStyle name="Comma 6 3 2 4 2 3 2 2" xfId="14011" xr:uid="{00000000-0005-0000-0000-00007C790000}"/>
    <cellStyle name="Comma 6 3 2 4 2 3 2 2 2" xfId="28545" xr:uid="{00000000-0005-0000-0000-00007D790000}"/>
    <cellStyle name="Comma 6 3 2 4 2 3 2 2 2 2" xfId="57551" xr:uid="{00000000-0005-0000-0000-00007E790000}"/>
    <cellStyle name="Comma 6 3 2 4 2 3 2 2 3" xfId="43052" xr:uid="{00000000-0005-0000-0000-00007F790000}"/>
    <cellStyle name="Comma 6 3 2 4 2 3 2 3" xfId="21297" xr:uid="{00000000-0005-0000-0000-000080790000}"/>
    <cellStyle name="Comma 6 3 2 4 2 3 2 3 2" xfId="50303" xr:uid="{00000000-0005-0000-0000-000081790000}"/>
    <cellStyle name="Comma 6 3 2 4 2 3 2 4" xfId="35804" xr:uid="{00000000-0005-0000-0000-000082790000}"/>
    <cellStyle name="Comma 6 3 2 4 2 3 3" xfId="10907" xr:uid="{00000000-0005-0000-0000-000083790000}"/>
    <cellStyle name="Comma 6 3 2 4 2 3 3 2" xfId="25441" xr:uid="{00000000-0005-0000-0000-000084790000}"/>
    <cellStyle name="Comma 6 3 2 4 2 3 3 2 2" xfId="54447" xr:uid="{00000000-0005-0000-0000-000085790000}"/>
    <cellStyle name="Comma 6 3 2 4 2 3 3 3" xfId="39948" xr:uid="{00000000-0005-0000-0000-000086790000}"/>
    <cellStyle name="Comma 6 3 2 4 2 3 4" xfId="18193" xr:uid="{00000000-0005-0000-0000-000087790000}"/>
    <cellStyle name="Comma 6 3 2 4 2 3 4 2" xfId="47199" xr:uid="{00000000-0005-0000-0000-000088790000}"/>
    <cellStyle name="Comma 6 3 2 4 2 3 5" xfId="32700" xr:uid="{00000000-0005-0000-0000-000089790000}"/>
    <cellStyle name="Comma 6 3 2 4 2 4" xfId="4667" xr:uid="{00000000-0005-0000-0000-00008A790000}"/>
    <cellStyle name="Comma 6 3 2 4 2 4 2" xfId="11939" xr:uid="{00000000-0005-0000-0000-00008B790000}"/>
    <cellStyle name="Comma 6 3 2 4 2 4 2 2" xfId="26473" xr:uid="{00000000-0005-0000-0000-00008C790000}"/>
    <cellStyle name="Comma 6 3 2 4 2 4 2 2 2" xfId="55479" xr:uid="{00000000-0005-0000-0000-00008D790000}"/>
    <cellStyle name="Comma 6 3 2 4 2 4 2 3" xfId="40980" xr:uid="{00000000-0005-0000-0000-00008E790000}"/>
    <cellStyle name="Comma 6 3 2 4 2 4 3" xfId="19225" xr:uid="{00000000-0005-0000-0000-00008F790000}"/>
    <cellStyle name="Comma 6 3 2 4 2 4 3 2" xfId="48231" xr:uid="{00000000-0005-0000-0000-000090790000}"/>
    <cellStyle name="Comma 6 3 2 4 2 4 4" xfId="33732" xr:uid="{00000000-0005-0000-0000-000091790000}"/>
    <cellStyle name="Comma 6 3 2 4 2 5" xfId="7771" xr:uid="{00000000-0005-0000-0000-000092790000}"/>
    <cellStyle name="Comma 6 3 2 4 2 5 2" xfId="15043" xr:uid="{00000000-0005-0000-0000-000093790000}"/>
    <cellStyle name="Comma 6 3 2 4 2 5 2 2" xfId="29577" xr:uid="{00000000-0005-0000-0000-000094790000}"/>
    <cellStyle name="Comma 6 3 2 4 2 5 2 2 2" xfId="58583" xr:uid="{00000000-0005-0000-0000-000095790000}"/>
    <cellStyle name="Comma 6 3 2 4 2 5 2 3" xfId="44084" xr:uid="{00000000-0005-0000-0000-000096790000}"/>
    <cellStyle name="Comma 6 3 2 4 2 5 3" xfId="22329" xr:uid="{00000000-0005-0000-0000-000097790000}"/>
    <cellStyle name="Comma 6 3 2 4 2 5 3 2" xfId="51335" xr:uid="{00000000-0005-0000-0000-000098790000}"/>
    <cellStyle name="Comma 6 3 2 4 2 5 4" xfId="36836" xr:uid="{00000000-0005-0000-0000-000099790000}"/>
    <cellStyle name="Comma 6 3 2 4 2 6" xfId="8835" xr:uid="{00000000-0005-0000-0000-00009A790000}"/>
    <cellStyle name="Comma 6 3 2 4 2 6 2" xfId="23369" xr:uid="{00000000-0005-0000-0000-00009B790000}"/>
    <cellStyle name="Comma 6 3 2 4 2 6 2 2" xfId="52375" xr:uid="{00000000-0005-0000-0000-00009C790000}"/>
    <cellStyle name="Comma 6 3 2 4 2 6 3" xfId="37876" xr:uid="{00000000-0005-0000-0000-00009D790000}"/>
    <cellStyle name="Comma 6 3 2 4 2 7" xfId="16121" xr:uid="{00000000-0005-0000-0000-00009E790000}"/>
    <cellStyle name="Comma 6 3 2 4 2 7 2" xfId="45127" xr:uid="{00000000-0005-0000-0000-00009F790000}"/>
    <cellStyle name="Comma 6 3 2 4 2 8" xfId="30628" xr:uid="{00000000-0005-0000-0000-0000A0790000}"/>
    <cellStyle name="Comma 6 3 2 4 3" xfId="2091" xr:uid="{00000000-0005-0000-0000-0000A1790000}"/>
    <cellStyle name="Comma 6 3 2 4 3 2" xfId="5195" xr:uid="{00000000-0005-0000-0000-0000A2790000}"/>
    <cellStyle name="Comma 6 3 2 4 3 2 2" xfId="12467" xr:uid="{00000000-0005-0000-0000-0000A3790000}"/>
    <cellStyle name="Comma 6 3 2 4 3 2 2 2" xfId="27001" xr:uid="{00000000-0005-0000-0000-0000A4790000}"/>
    <cellStyle name="Comma 6 3 2 4 3 2 2 2 2" xfId="56007" xr:uid="{00000000-0005-0000-0000-0000A5790000}"/>
    <cellStyle name="Comma 6 3 2 4 3 2 2 3" xfId="41508" xr:uid="{00000000-0005-0000-0000-0000A6790000}"/>
    <cellStyle name="Comma 6 3 2 4 3 2 3" xfId="19753" xr:uid="{00000000-0005-0000-0000-0000A7790000}"/>
    <cellStyle name="Comma 6 3 2 4 3 2 3 2" xfId="48759" xr:uid="{00000000-0005-0000-0000-0000A8790000}"/>
    <cellStyle name="Comma 6 3 2 4 3 2 4" xfId="34260" xr:uid="{00000000-0005-0000-0000-0000A9790000}"/>
    <cellStyle name="Comma 6 3 2 4 3 3" xfId="9363" xr:uid="{00000000-0005-0000-0000-0000AA790000}"/>
    <cellStyle name="Comma 6 3 2 4 3 3 2" xfId="23897" xr:uid="{00000000-0005-0000-0000-0000AB790000}"/>
    <cellStyle name="Comma 6 3 2 4 3 3 2 2" xfId="52903" xr:uid="{00000000-0005-0000-0000-0000AC790000}"/>
    <cellStyle name="Comma 6 3 2 4 3 3 3" xfId="38404" xr:uid="{00000000-0005-0000-0000-0000AD790000}"/>
    <cellStyle name="Comma 6 3 2 4 3 4" xfId="16649" xr:uid="{00000000-0005-0000-0000-0000AE790000}"/>
    <cellStyle name="Comma 6 3 2 4 3 4 2" xfId="45655" xr:uid="{00000000-0005-0000-0000-0000AF790000}"/>
    <cellStyle name="Comma 6 3 2 4 3 5" xfId="31156" xr:uid="{00000000-0005-0000-0000-0000B0790000}"/>
    <cellStyle name="Comma 6 3 2 4 4" xfId="3123" xr:uid="{00000000-0005-0000-0000-0000B1790000}"/>
    <cellStyle name="Comma 6 3 2 4 4 2" xfId="6227" xr:uid="{00000000-0005-0000-0000-0000B2790000}"/>
    <cellStyle name="Comma 6 3 2 4 4 2 2" xfId="13499" xr:uid="{00000000-0005-0000-0000-0000B3790000}"/>
    <cellStyle name="Comma 6 3 2 4 4 2 2 2" xfId="28033" xr:uid="{00000000-0005-0000-0000-0000B4790000}"/>
    <cellStyle name="Comma 6 3 2 4 4 2 2 2 2" xfId="57039" xr:uid="{00000000-0005-0000-0000-0000B5790000}"/>
    <cellStyle name="Comma 6 3 2 4 4 2 2 3" xfId="42540" xr:uid="{00000000-0005-0000-0000-0000B6790000}"/>
    <cellStyle name="Comma 6 3 2 4 4 2 3" xfId="20785" xr:uid="{00000000-0005-0000-0000-0000B7790000}"/>
    <cellStyle name="Comma 6 3 2 4 4 2 3 2" xfId="49791" xr:uid="{00000000-0005-0000-0000-0000B8790000}"/>
    <cellStyle name="Comma 6 3 2 4 4 2 4" xfId="35292" xr:uid="{00000000-0005-0000-0000-0000B9790000}"/>
    <cellStyle name="Comma 6 3 2 4 4 3" xfId="10395" xr:uid="{00000000-0005-0000-0000-0000BA790000}"/>
    <cellStyle name="Comma 6 3 2 4 4 3 2" xfId="24929" xr:uid="{00000000-0005-0000-0000-0000BB790000}"/>
    <cellStyle name="Comma 6 3 2 4 4 3 2 2" xfId="53935" xr:uid="{00000000-0005-0000-0000-0000BC790000}"/>
    <cellStyle name="Comma 6 3 2 4 4 3 3" xfId="39436" xr:uid="{00000000-0005-0000-0000-0000BD790000}"/>
    <cellStyle name="Comma 6 3 2 4 4 4" xfId="17681" xr:uid="{00000000-0005-0000-0000-0000BE790000}"/>
    <cellStyle name="Comma 6 3 2 4 4 4 2" xfId="46687" xr:uid="{00000000-0005-0000-0000-0000BF790000}"/>
    <cellStyle name="Comma 6 3 2 4 4 5" xfId="32188" xr:uid="{00000000-0005-0000-0000-0000C0790000}"/>
    <cellStyle name="Comma 6 3 2 4 5" xfId="4155" xr:uid="{00000000-0005-0000-0000-0000C1790000}"/>
    <cellStyle name="Comma 6 3 2 4 5 2" xfId="11427" xr:uid="{00000000-0005-0000-0000-0000C2790000}"/>
    <cellStyle name="Comma 6 3 2 4 5 2 2" xfId="25961" xr:uid="{00000000-0005-0000-0000-0000C3790000}"/>
    <cellStyle name="Comma 6 3 2 4 5 2 2 2" xfId="54967" xr:uid="{00000000-0005-0000-0000-0000C4790000}"/>
    <cellStyle name="Comma 6 3 2 4 5 2 3" xfId="40468" xr:uid="{00000000-0005-0000-0000-0000C5790000}"/>
    <cellStyle name="Comma 6 3 2 4 5 3" xfId="18713" xr:uid="{00000000-0005-0000-0000-0000C6790000}"/>
    <cellStyle name="Comma 6 3 2 4 5 3 2" xfId="47719" xr:uid="{00000000-0005-0000-0000-0000C7790000}"/>
    <cellStyle name="Comma 6 3 2 4 5 4" xfId="33220" xr:uid="{00000000-0005-0000-0000-0000C8790000}"/>
    <cellStyle name="Comma 6 3 2 4 6" xfId="7259" xr:uid="{00000000-0005-0000-0000-0000C9790000}"/>
    <cellStyle name="Comma 6 3 2 4 6 2" xfId="14531" xr:uid="{00000000-0005-0000-0000-0000CA790000}"/>
    <cellStyle name="Comma 6 3 2 4 6 2 2" xfId="29065" xr:uid="{00000000-0005-0000-0000-0000CB790000}"/>
    <cellStyle name="Comma 6 3 2 4 6 2 2 2" xfId="58071" xr:uid="{00000000-0005-0000-0000-0000CC790000}"/>
    <cellStyle name="Comma 6 3 2 4 6 2 3" xfId="43572" xr:uid="{00000000-0005-0000-0000-0000CD790000}"/>
    <cellStyle name="Comma 6 3 2 4 6 3" xfId="21817" xr:uid="{00000000-0005-0000-0000-0000CE790000}"/>
    <cellStyle name="Comma 6 3 2 4 6 3 2" xfId="50823" xr:uid="{00000000-0005-0000-0000-0000CF790000}"/>
    <cellStyle name="Comma 6 3 2 4 6 4" xfId="36324" xr:uid="{00000000-0005-0000-0000-0000D0790000}"/>
    <cellStyle name="Comma 6 3 2 4 7" xfId="8323" xr:uid="{00000000-0005-0000-0000-0000D1790000}"/>
    <cellStyle name="Comma 6 3 2 4 7 2" xfId="22857" xr:uid="{00000000-0005-0000-0000-0000D2790000}"/>
    <cellStyle name="Comma 6 3 2 4 7 2 2" xfId="51863" xr:uid="{00000000-0005-0000-0000-0000D3790000}"/>
    <cellStyle name="Comma 6 3 2 4 7 3" xfId="37364" xr:uid="{00000000-0005-0000-0000-0000D4790000}"/>
    <cellStyle name="Comma 6 3 2 4 8" xfId="15609" xr:uid="{00000000-0005-0000-0000-0000D5790000}"/>
    <cellStyle name="Comma 6 3 2 4 8 2" xfId="44615" xr:uid="{00000000-0005-0000-0000-0000D6790000}"/>
    <cellStyle name="Comma 6 3 2 4 9" xfId="30116" xr:uid="{00000000-0005-0000-0000-0000D7790000}"/>
    <cellStyle name="Comma 6 3 2 5" xfId="1340" xr:uid="{00000000-0005-0000-0000-0000D8790000}"/>
    <cellStyle name="Comma 6 3 2 5 2" xfId="2397" xr:uid="{00000000-0005-0000-0000-0000D9790000}"/>
    <cellStyle name="Comma 6 3 2 5 2 2" xfId="5501" xr:uid="{00000000-0005-0000-0000-0000DA790000}"/>
    <cellStyle name="Comma 6 3 2 5 2 2 2" xfId="12773" xr:uid="{00000000-0005-0000-0000-0000DB790000}"/>
    <cellStyle name="Comma 6 3 2 5 2 2 2 2" xfId="27307" xr:uid="{00000000-0005-0000-0000-0000DC790000}"/>
    <cellStyle name="Comma 6 3 2 5 2 2 2 2 2" xfId="56313" xr:uid="{00000000-0005-0000-0000-0000DD790000}"/>
    <cellStyle name="Comma 6 3 2 5 2 2 2 3" xfId="41814" xr:uid="{00000000-0005-0000-0000-0000DE790000}"/>
    <cellStyle name="Comma 6 3 2 5 2 2 3" xfId="20059" xr:uid="{00000000-0005-0000-0000-0000DF790000}"/>
    <cellStyle name="Comma 6 3 2 5 2 2 3 2" xfId="49065" xr:uid="{00000000-0005-0000-0000-0000E0790000}"/>
    <cellStyle name="Comma 6 3 2 5 2 2 4" xfId="34566" xr:uid="{00000000-0005-0000-0000-0000E1790000}"/>
    <cellStyle name="Comma 6 3 2 5 2 3" xfId="9669" xr:uid="{00000000-0005-0000-0000-0000E2790000}"/>
    <cellStyle name="Comma 6 3 2 5 2 3 2" xfId="24203" xr:uid="{00000000-0005-0000-0000-0000E3790000}"/>
    <cellStyle name="Comma 6 3 2 5 2 3 2 2" xfId="53209" xr:uid="{00000000-0005-0000-0000-0000E4790000}"/>
    <cellStyle name="Comma 6 3 2 5 2 3 3" xfId="38710" xr:uid="{00000000-0005-0000-0000-0000E5790000}"/>
    <cellStyle name="Comma 6 3 2 5 2 4" xfId="16955" xr:uid="{00000000-0005-0000-0000-0000E6790000}"/>
    <cellStyle name="Comma 6 3 2 5 2 4 2" xfId="45961" xr:uid="{00000000-0005-0000-0000-0000E7790000}"/>
    <cellStyle name="Comma 6 3 2 5 2 5" xfId="31462" xr:uid="{00000000-0005-0000-0000-0000E8790000}"/>
    <cellStyle name="Comma 6 3 2 5 3" xfId="3429" xr:uid="{00000000-0005-0000-0000-0000E9790000}"/>
    <cellStyle name="Comma 6 3 2 5 3 2" xfId="6533" xr:uid="{00000000-0005-0000-0000-0000EA790000}"/>
    <cellStyle name="Comma 6 3 2 5 3 2 2" xfId="13805" xr:uid="{00000000-0005-0000-0000-0000EB790000}"/>
    <cellStyle name="Comma 6 3 2 5 3 2 2 2" xfId="28339" xr:uid="{00000000-0005-0000-0000-0000EC790000}"/>
    <cellStyle name="Comma 6 3 2 5 3 2 2 2 2" xfId="57345" xr:uid="{00000000-0005-0000-0000-0000ED790000}"/>
    <cellStyle name="Comma 6 3 2 5 3 2 2 3" xfId="42846" xr:uid="{00000000-0005-0000-0000-0000EE790000}"/>
    <cellStyle name="Comma 6 3 2 5 3 2 3" xfId="21091" xr:uid="{00000000-0005-0000-0000-0000EF790000}"/>
    <cellStyle name="Comma 6 3 2 5 3 2 3 2" xfId="50097" xr:uid="{00000000-0005-0000-0000-0000F0790000}"/>
    <cellStyle name="Comma 6 3 2 5 3 2 4" xfId="35598" xr:uid="{00000000-0005-0000-0000-0000F1790000}"/>
    <cellStyle name="Comma 6 3 2 5 3 3" xfId="10701" xr:uid="{00000000-0005-0000-0000-0000F2790000}"/>
    <cellStyle name="Comma 6 3 2 5 3 3 2" xfId="25235" xr:uid="{00000000-0005-0000-0000-0000F3790000}"/>
    <cellStyle name="Comma 6 3 2 5 3 3 2 2" xfId="54241" xr:uid="{00000000-0005-0000-0000-0000F4790000}"/>
    <cellStyle name="Comma 6 3 2 5 3 3 3" xfId="39742" xr:uid="{00000000-0005-0000-0000-0000F5790000}"/>
    <cellStyle name="Comma 6 3 2 5 3 4" xfId="17987" xr:uid="{00000000-0005-0000-0000-0000F6790000}"/>
    <cellStyle name="Comma 6 3 2 5 3 4 2" xfId="46993" xr:uid="{00000000-0005-0000-0000-0000F7790000}"/>
    <cellStyle name="Comma 6 3 2 5 3 5" xfId="32494" xr:uid="{00000000-0005-0000-0000-0000F8790000}"/>
    <cellStyle name="Comma 6 3 2 5 4" xfId="4461" xr:uid="{00000000-0005-0000-0000-0000F9790000}"/>
    <cellStyle name="Comma 6 3 2 5 4 2" xfId="11733" xr:uid="{00000000-0005-0000-0000-0000FA790000}"/>
    <cellStyle name="Comma 6 3 2 5 4 2 2" xfId="26267" xr:uid="{00000000-0005-0000-0000-0000FB790000}"/>
    <cellStyle name="Comma 6 3 2 5 4 2 2 2" xfId="55273" xr:uid="{00000000-0005-0000-0000-0000FC790000}"/>
    <cellStyle name="Comma 6 3 2 5 4 2 3" xfId="40774" xr:uid="{00000000-0005-0000-0000-0000FD790000}"/>
    <cellStyle name="Comma 6 3 2 5 4 3" xfId="19019" xr:uid="{00000000-0005-0000-0000-0000FE790000}"/>
    <cellStyle name="Comma 6 3 2 5 4 3 2" xfId="48025" xr:uid="{00000000-0005-0000-0000-0000FF790000}"/>
    <cellStyle name="Comma 6 3 2 5 4 4" xfId="33526" xr:uid="{00000000-0005-0000-0000-0000007A0000}"/>
    <cellStyle name="Comma 6 3 2 5 5" xfId="7565" xr:uid="{00000000-0005-0000-0000-0000017A0000}"/>
    <cellStyle name="Comma 6 3 2 5 5 2" xfId="14837" xr:uid="{00000000-0005-0000-0000-0000027A0000}"/>
    <cellStyle name="Comma 6 3 2 5 5 2 2" xfId="29371" xr:uid="{00000000-0005-0000-0000-0000037A0000}"/>
    <cellStyle name="Comma 6 3 2 5 5 2 2 2" xfId="58377" xr:uid="{00000000-0005-0000-0000-0000047A0000}"/>
    <cellStyle name="Comma 6 3 2 5 5 2 3" xfId="43878" xr:uid="{00000000-0005-0000-0000-0000057A0000}"/>
    <cellStyle name="Comma 6 3 2 5 5 3" xfId="22123" xr:uid="{00000000-0005-0000-0000-0000067A0000}"/>
    <cellStyle name="Comma 6 3 2 5 5 3 2" xfId="51129" xr:uid="{00000000-0005-0000-0000-0000077A0000}"/>
    <cellStyle name="Comma 6 3 2 5 5 4" xfId="36630" xr:uid="{00000000-0005-0000-0000-0000087A0000}"/>
    <cellStyle name="Comma 6 3 2 5 6" xfId="8629" xr:uid="{00000000-0005-0000-0000-0000097A0000}"/>
    <cellStyle name="Comma 6 3 2 5 6 2" xfId="23163" xr:uid="{00000000-0005-0000-0000-00000A7A0000}"/>
    <cellStyle name="Comma 6 3 2 5 6 2 2" xfId="52169" xr:uid="{00000000-0005-0000-0000-00000B7A0000}"/>
    <cellStyle name="Comma 6 3 2 5 6 3" xfId="37670" xr:uid="{00000000-0005-0000-0000-00000C7A0000}"/>
    <cellStyle name="Comma 6 3 2 5 7" xfId="15915" xr:uid="{00000000-0005-0000-0000-00000D7A0000}"/>
    <cellStyle name="Comma 6 3 2 5 7 2" xfId="44921" xr:uid="{00000000-0005-0000-0000-00000E7A0000}"/>
    <cellStyle name="Comma 6 3 2 5 8" xfId="30422" xr:uid="{00000000-0005-0000-0000-00000F7A0000}"/>
    <cellStyle name="Comma 6 3 2 6" xfId="1885" xr:uid="{00000000-0005-0000-0000-0000107A0000}"/>
    <cellStyle name="Comma 6 3 2 6 2" xfId="4989" xr:uid="{00000000-0005-0000-0000-0000117A0000}"/>
    <cellStyle name="Comma 6 3 2 6 2 2" xfId="12261" xr:uid="{00000000-0005-0000-0000-0000127A0000}"/>
    <cellStyle name="Comma 6 3 2 6 2 2 2" xfId="26795" xr:uid="{00000000-0005-0000-0000-0000137A0000}"/>
    <cellStyle name="Comma 6 3 2 6 2 2 2 2" xfId="55801" xr:uid="{00000000-0005-0000-0000-0000147A0000}"/>
    <cellStyle name="Comma 6 3 2 6 2 2 3" xfId="41302" xr:uid="{00000000-0005-0000-0000-0000157A0000}"/>
    <cellStyle name="Comma 6 3 2 6 2 3" xfId="19547" xr:uid="{00000000-0005-0000-0000-0000167A0000}"/>
    <cellStyle name="Comma 6 3 2 6 2 3 2" xfId="48553" xr:uid="{00000000-0005-0000-0000-0000177A0000}"/>
    <cellStyle name="Comma 6 3 2 6 2 4" xfId="34054" xr:uid="{00000000-0005-0000-0000-0000187A0000}"/>
    <cellStyle name="Comma 6 3 2 6 3" xfId="9157" xr:uid="{00000000-0005-0000-0000-0000197A0000}"/>
    <cellStyle name="Comma 6 3 2 6 3 2" xfId="23691" xr:uid="{00000000-0005-0000-0000-00001A7A0000}"/>
    <cellStyle name="Comma 6 3 2 6 3 2 2" xfId="52697" xr:uid="{00000000-0005-0000-0000-00001B7A0000}"/>
    <cellStyle name="Comma 6 3 2 6 3 3" xfId="38198" xr:uid="{00000000-0005-0000-0000-00001C7A0000}"/>
    <cellStyle name="Comma 6 3 2 6 4" xfId="16443" xr:uid="{00000000-0005-0000-0000-00001D7A0000}"/>
    <cellStyle name="Comma 6 3 2 6 4 2" xfId="45449" xr:uid="{00000000-0005-0000-0000-00001E7A0000}"/>
    <cellStyle name="Comma 6 3 2 6 5" xfId="30950" xr:uid="{00000000-0005-0000-0000-00001F7A0000}"/>
    <cellStyle name="Comma 6 3 2 7" xfId="2917" xr:uid="{00000000-0005-0000-0000-0000207A0000}"/>
    <cellStyle name="Comma 6 3 2 7 2" xfId="6021" xr:uid="{00000000-0005-0000-0000-0000217A0000}"/>
    <cellStyle name="Comma 6 3 2 7 2 2" xfId="13293" xr:uid="{00000000-0005-0000-0000-0000227A0000}"/>
    <cellStyle name="Comma 6 3 2 7 2 2 2" xfId="27827" xr:uid="{00000000-0005-0000-0000-0000237A0000}"/>
    <cellStyle name="Comma 6 3 2 7 2 2 2 2" xfId="56833" xr:uid="{00000000-0005-0000-0000-0000247A0000}"/>
    <cellStyle name="Comma 6 3 2 7 2 2 3" xfId="42334" xr:uid="{00000000-0005-0000-0000-0000257A0000}"/>
    <cellStyle name="Comma 6 3 2 7 2 3" xfId="20579" xr:uid="{00000000-0005-0000-0000-0000267A0000}"/>
    <cellStyle name="Comma 6 3 2 7 2 3 2" xfId="49585" xr:uid="{00000000-0005-0000-0000-0000277A0000}"/>
    <cellStyle name="Comma 6 3 2 7 2 4" xfId="35086" xr:uid="{00000000-0005-0000-0000-0000287A0000}"/>
    <cellStyle name="Comma 6 3 2 7 3" xfId="10189" xr:uid="{00000000-0005-0000-0000-0000297A0000}"/>
    <cellStyle name="Comma 6 3 2 7 3 2" xfId="24723" xr:uid="{00000000-0005-0000-0000-00002A7A0000}"/>
    <cellStyle name="Comma 6 3 2 7 3 2 2" xfId="53729" xr:uid="{00000000-0005-0000-0000-00002B7A0000}"/>
    <cellStyle name="Comma 6 3 2 7 3 3" xfId="39230" xr:uid="{00000000-0005-0000-0000-00002C7A0000}"/>
    <cellStyle name="Comma 6 3 2 7 4" xfId="17475" xr:uid="{00000000-0005-0000-0000-00002D7A0000}"/>
    <cellStyle name="Comma 6 3 2 7 4 2" xfId="46481" xr:uid="{00000000-0005-0000-0000-00002E7A0000}"/>
    <cellStyle name="Comma 6 3 2 7 5" xfId="31982" xr:uid="{00000000-0005-0000-0000-00002F7A0000}"/>
    <cellStyle name="Comma 6 3 2 8" xfId="3949" xr:uid="{00000000-0005-0000-0000-0000307A0000}"/>
    <cellStyle name="Comma 6 3 2 8 2" xfId="11221" xr:uid="{00000000-0005-0000-0000-0000317A0000}"/>
    <cellStyle name="Comma 6 3 2 8 2 2" xfId="25755" xr:uid="{00000000-0005-0000-0000-0000327A0000}"/>
    <cellStyle name="Comma 6 3 2 8 2 2 2" xfId="54761" xr:uid="{00000000-0005-0000-0000-0000337A0000}"/>
    <cellStyle name="Comma 6 3 2 8 2 3" xfId="40262" xr:uid="{00000000-0005-0000-0000-0000347A0000}"/>
    <cellStyle name="Comma 6 3 2 8 3" xfId="18507" xr:uid="{00000000-0005-0000-0000-0000357A0000}"/>
    <cellStyle name="Comma 6 3 2 8 3 2" xfId="47513" xr:uid="{00000000-0005-0000-0000-0000367A0000}"/>
    <cellStyle name="Comma 6 3 2 8 4" xfId="33014" xr:uid="{00000000-0005-0000-0000-0000377A0000}"/>
    <cellStyle name="Comma 6 3 2 9" xfId="7053" xr:uid="{00000000-0005-0000-0000-0000387A0000}"/>
    <cellStyle name="Comma 6 3 2 9 2" xfId="14325" xr:uid="{00000000-0005-0000-0000-0000397A0000}"/>
    <cellStyle name="Comma 6 3 2 9 2 2" xfId="28859" xr:uid="{00000000-0005-0000-0000-00003A7A0000}"/>
    <cellStyle name="Comma 6 3 2 9 2 2 2" xfId="57865" xr:uid="{00000000-0005-0000-0000-00003B7A0000}"/>
    <cellStyle name="Comma 6 3 2 9 2 3" xfId="43366" xr:uid="{00000000-0005-0000-0000-00003C7A0000}"/>
    <cellStyle name="Comma 6 3 2 9 3" xfId="21611" xr:uid="{00000000-0005-0000-0000-00003D7A0000}"/>
    <cellStyle name="Comma 6 3 2 9 3 2" xfId="50617" xr:uid="{00000000-0005-0000-0000-00003E7A0000}"/>
    <cellStyle name="Comma 6 3 2 9 4" xfId="36118" xr:uid="{00000000-0005-0000-0000-00003F7A0000}"/>
    <cellStyle name="Comma 6 3 3" xfId="470" xr:uid="{00000000-0005-0000-0000-0000407A0000}"/>
    <cellStyle name="Comma 6 3 3 10" xfId="29961" xr:uid="{00000000-0005-0000-0000-0000417A0000}"/>
    <cellStyle name="Comma 6 3 3 11" xfId="59329" xr:uid="{00000000-0005-0000-0000-0000427A0000}"/>
    <cellStyle name="Comma 6 3 3 2" xfId="1192" xr:uid="{00000000-0005-0000-0000-0000437A0000}"/>
    <cellStyle name="Comma 6 3 3 2 2" xfId="1695" xr:uid="{00000000-0005-0000-0000-0000447A0000}"/>
    <cellStyle name="Comma 6 3 3 2 2 2" xfId="2754" xr:uid="{00000000-0005-0000-0000-0000457A0000}"/>
    <cellStyle name="Comma 6 3 3 2 2 2 2" xfId="5858" xr:uid="{00000000-0005-0000-0000-0000467A0000}"/>
    <cellStyle name="Comma 6 3 3 2 2 2 2 2" xfId="13130" xr:uid="{00000000-0005-0000-0000-0000477A0000}"/>
    <cellStyle name="Comma 6 3 3 2 2 2 2 2 2" xfId="27664" xr:uid="{00000000-0005-0000-0000-0000487A0000}"/>
    <cellStyle name="Comma 6 3 3 2 2 2 2 2 2 2" xfId="56670" xr:uid="{00000000-0005-0000-0000-0000497A0000}"/>
    <cellStyle name="Comma 6 3 3 2 2 2 2 2 3" xfId="42171" xr:uid="{00000000-0005-0000-0000-00004A7A0000}"/>
    <cellStyle name="Comma 6 3 3 2 2 2 2 3" xfId="20416" xr:uid="{00000000-0005-0000-0000-00004B7A0000}"/>
    <cellStyle name="Comma 6 3 3 2 2 2 2 3 2" xfId="49422" xr:uid="{00000000-0005-0000-0000-00004C7A0000}"/>
    <cellStyle name="Comma 6 3 3 2 2 2 2 4" xfId="34923" xr:uid="{00000000-0005-0000-0000-00004D7A0000}"/>
    <cellStyle name="Comma 6 3 3 2 2 2 3" xfId="10026" xr:uid="{00000000-0005-0000-0000-00004E7A0000}"/>
    <cellStyle name="Comma 6 3 3 2 2 2 3 2" xfId="24560" xr:uid="{00000000-0005-0000-0000-00004F7A0000}"/>
    <cellStyle name="Comma 6 3 3 2 2 2 3 2 2" xfId="53566" xr:uid="{00000000-0005-0000-0000-0000507A0000}"/>
    <cellStyle name="Comma 6 3 3 2 2 2 3 3" xfId="39067" xr:uid="{00000000-0005-0000-0000-0000517A0000}"/>
    <cellStyle name="Comma 6 3 3 2 2 2 4" xfId="17312" xr:uid="{00000000-0005-0000-0000-0000527A0000}"/>
    <cellStyle name="Comma 6 3 3 2 2 2 4 2" xfId="46318" xr:uid="{00000000-0005-0000-0000-0000537A0000}"/>
    <cellStyle name="Comma 6 3 3 2 2 2 5" xfId="31819" xr:uid="{00000000-0005-0000-0000-0000547A0000}"/>
    <cellStyle name="Comma 6 3 3 2 2 3" xfId="3786" xr:uid="{00000000-0005-0000-0000-0000557A0000}"/>
    <cellStyle name="Comma 6 3 3 2 2 3 2" xfId="6890" xr:uid="{00000000-0005-0000-0000-0000567A0000}"/>
    <cellStyle name="Comma 6 3 3 2 2 3 2 2" xfId="14162" xr:uid="{00000000-0005-0000-0000-0000577A0000}"/>
    <cellStyle name="Comma 6 3 3 2 2 3 2 2 2" xfId="28696" xr:uid="{00000000-0005-0000-0000-0000587A0000}"/>
    <cellStyle name="Comma 6 3 3 2 2 3 2 2 2 2" xfId="57702" xr:uid="{00000000-0005-0000-0000-0000597A0000}"/>
    <cellStyle name="Comma 6 3 3 2 2 3 2 2 3" xfId="43203" xr:uid="{00000000-0005-0000-0000-00005A7A0000}"/>
    <cellStyle name="Comma 6 3 3 2 2 3 2 3" xfId="21448" xr:uid="{00000000-0005-0000-0000-00005B7A0000}"/>
    <cellStyle name="Comma 6 3 3 2 2 3 2 3 2" xfId="50454" xr:uid="{00000000-0005-0000-0000-00005C7A0000}"/>
    <cellStyle name="Comma 6 3 3 2 2 3 2 4" xfId="35955" xr:uid="{00000000-0005-0000-0000-00005D7A0000}"/>
    <cellStyle name="Comma 6 3 3 2 2 3 3" xfId="11058" xr:uid="{00000000-0005-0000-0000-00005E7A0000}"/>
    <cellStyle name="Comma 6 3 3 2 2 3 3 2" xfId="25592" xr:uid="{00000000-0005-0000-0000-00005F7A0000}"/>
    <cellStyle name="Comma 6 3 3 2 2 3 3 2 2" xfId="54598" xr:uid="{00000000-0005-0000-0000-0000607A0000}"/>
    <cellStyle name="Comma 6 3 3 2 2 3 3 3" xfId="40099" xr:uid="{00000000-0005-0000-0000-0000617A0000}"/>
    <cellStyle name="Comma 6 3 3 2 2 3 4" xfId="18344" xr:uid="{00000000-0005-0000-0000-0000627A0000}"/>
    <cellStyle name="Comma 6 3 3 2 2 3 4 2" xfId="47350" xr:uid="{00000000-0005-0000-0000-0000637A0000}"/>
    <cellStyle name="Comma 6 3 3 2 2 3 5" xfId="32851" xr:uid="{00000000-0005-0000-0000-0000647A0000}"/>
    <cellStyle name="Comma 6 3 3 2 2 4" xfId="4818" xr:uid="{00000000-0005-0000-0000-0000657A0000}"/>
    <cellStyle name="Comma 6 3 3 2 2 4 2" xfId="12090" xr:uid="{00000000-0005-0000-0000-0000667A0000}"/>
    <cellStyle name="Comma 6 3 3 2 2 4 2 2" xfId="26624" xr:uid="{00000000-0005-0000-0000-0000677A0000}"/>
    <cellStyle name="Comma 6 3 3 2 2 4 2 2 2" xfId="55630" xr:uid="{00000000-0005-0000-0000-0000687A0000}"/>
    <cellStyle name="Comma 6 3 3 2 2 4 2 3" xfId="41131" xr:uid="{00000000-0005-0000-0000-0000697A0000}"/>
    <cellStyle name="Comma 6 3 3 2 2 4 3" xfId="19376" xr:uid="{00000000-0005-0000-0000-00006A7A0000}"/>
    <cellStyle name="Comma 6 3 3 2 2 4 3 2" xfId="48382" xr:uid="{00000000-0005-0000-0000-00006B7A0000}"/>
    <cellStyle name="Comma 6 3 3 2 2 4 4" xfId="33883" xr:uid="{00000000-0005-0000-0000-00006C7A0000}"/>
    <cellStyle name="Comma 6 3 3 2 2 5" xfId="7922" xr:uid="{00000000-0005-0000-0000-00006D7A0000}"/>
    <cellStyle name="Comma 6 3 3 2 2 5 2" xfId="15194" xr:uid="{00000000-0005-0000-0000-00006E7A0000}"/>
    <cellStyle name="Comma 6 3 3 2 2 5 2 2" xfId="29728" xr:uid="{00000000-0005-0000-0000-00006F7A0000}"/>
    <cellStyle name="Comma 6 3 3 2 2 5 2 2 2" xfId="58734" xr:uid="{00000000-0005-0000-0000-0000707A0000}"/>
    <cellStyle name="Comma 6 3 3 2 2 5 2 3" xfId="44235" xr:uid="{00000000-0005-0000-0000-0000717A0000}"/>
    <cellStyle name="Comma 6 3 3 2 2 5 3" xfId="22480" xr:uid="{00000000-0005-0000-0000-0000727A0000}"/>
    <cellStyle name="Comma 6 3 3 2 2 5 3 2" xfId="51486" xr:uid="{00000000-0005-0000-0000-0000737A0000}"/>
    <cellStyle name="Comma 6 3 3 2 2 5 4" xfId="36987" xr:uid="{00000000-0005-0000-0000-0000747A0000}"/>
    <cellStyle name="Comma 6 3 3 2 2 6" xfId="8986" xr:uid="{00000000-0005-0000-0000-0000757A0000}"/>
    <cellStyle name="Comma 6 3 3 2 2 6 2" xfId="23520" xr:uid="{00000000-0005-0000-0000-0000767A0000}"/>
    <cellStyle name="Comma 6 3 3 2 2 6 2 2" xfId="52526" xr:uid="{00000000-0005-0000-0000-0000777A0000}"/>
    <cellStyle name="Comma 6 3 3 2 2 6 3" xfId="38027" xr:uid="{00000000-0005-0000-0000-0000787A0000}"/>
    <cellStyle name="Comma 6 3 3 2 2 7" xfId="16272" xr:uid="{00000000-0005-0000-0000-0000797A0000}"/>
    <cellStyle name="Comma 6 3 3 2 2 7 2" xfId="45278" xr:uid="{00000000-0005-0000-0000-00007A7A0000}"/>
    <cellStyle name="Comma 6 3 3 2 2 8" xfId="30779" xr:uid="{00000000-0005-0000-0000-00007B7A0000}"/>
    <cellStyle name="Comma 6 3 3 2 3" xfId="2242" xr:uid="{00000000-0005-0000-0000-00007C7A0000}"/>
    <cellStyle name="Comma 6 3 3 2 3 2" xfId="5346" xr:uid="{00000000-0005-0000-0000-00007D7A0000}"/>
    <cellStyle name="Comma 6 3 3 2 3 2 2" xfId="12618" xr:uid="{00000000-0005-0000-0000-00007E7A0000}"/>
    <cellStyle name="Comma 6 3 3 2 3 2 2 2" xfId="27152" xr:uid="{00000000-0005-0000-0000-00007F7A0000}"/>
    <cellStyle name="Comma 6 3 3 2 3 2 2 2 2" xfId="56158" xr:uid="{00000000-0005-0000-0000-0000807A0000}"/>
    <cellStyle name="Comma 6 3 3 2 3 2 2 3" xfId="41659" xr:uid="{00000000-0005-0000-0000-0000817A0000}"/>
    <cellStyle name="Comma 6 3 3 2 3 2 3" xfId="19904" xr:uid="{00000000-0005-0000-0000-0000827A0000}"/>
    <cellStyle name="Comma 6 3 3 2 3 2 3 2" xfId="48910" xr:uid="{00000000-0005-0000-0000-0000837A0000}"/>
    <cellStyle name="Comma 6 3 3 2 3 2 4" xfId="34411" xr:uid="{00000000-0005-0000-0000-0000847A0000}"/>
    <cellStyle name="Comma 6 3 3 2 3 3" xfId="9514" xr:uid="{00000000-0005-0000-0000-0000857A0000}"/>
    <cellStyle name="Comma 6 3 3 2 3 3 2" xfId="24048" xr:uid="{00000000-0005-0000-0000-0000867A0000}"/>
    <cellStyle name="Comma 6 3 3 2 3 3 2 2" xfId="53054" xr:uid="{00000000-0005-0000-0000-0000877A0000}"/>
    <cellStyle name="Comma 6 3 3 2 3 3 3" xfId="38555" xr:uid="{00000000-0005-0000-0000-0000887A0000}"/>
    <cellStyle name="Comma 6 3 3 2 3 4" xfId="16800" xr:uid="{00000000-0005-0000-0000-0000897A0000}"/>
    <cellStyle name="Comma 6 3 3 2 3 4 2" xfId="45806" xr:uid="{00000000-0005-0000-0000-00008A7A0000}"/>
    <cellStyle name="Comma 6 3 3 2 3 5" xfId="31307" xr:uid="{00000000-0005-0000-0000-00008B7A0000}"/>
    <cellStyle name="Comma 6 3 3 2 4" xfId="3274" xr:uid="{00000000-0005-0000-0000-00008C7A0000}"/>
    <cellStyle name="Comma 6 3 3 2 4 2" xfId="6378" xr:uid="{00000000-0005-0000-0000-00008D7A0000}"/>
    <cellStyle name="Comma 6 3 3 2 4 2 2" xfId="13650" xr:uid="{00000000-0005-0000-0000-00008E7A0000}"/>
    <cellStyle name="Comma 6 3 3 2 4 2 2 2" xfId="28184" xr:uid="{00000000-0005-0000-0000-00008F7A0000}"/>
    <cellStyle name="Comma 6 3 3 2 4 2 2 2 2" xfId="57190" xr:uid="{00000000-0005-0000-0000-0000907A0000}"/>
    <cellStyle name="Comma 6 3 3 2 4 2 2 3" xfId="42691" xr:uid="{00000000-0005-0000-0000-0000917A0000}"/>
    <cellStyle name="Comma 6 3 3 2 4 2 3" xfId="20936" xr:uid="{00000000-0005-0000-0000-0000927A0000}"/>
    <cellStyle name="Comma 6 3 3 2 4 2 3 2" xfId="49942" xr:uid="{00000000-0005-0000-0000-0000937A0000}"/>
    <cellStyle name="Comma 6 3 3 2 4 2 4" xfId="35443" xr:uid="{00000000-0005-0000-0000-0000947A0000}"/>
    <cellStyle name="Comma 6 3 3 2 4 3" xfId="10546" xr:uid="{00000000-0005-0000-0000-0000957A0000}"/>
    <cellStyle name="Comma 6 3 3 2 4 3 2" xfId="25080" xr:uid="{00000000-0005-0000-0000-0000967A0000}"/>
    <cellStyle name="Comma 6 3 3 2 4 3 2 2" xfId="54086" xr:uid="{00000000-0005-0000-0000-0000977A0000}"/>
    <cellStyle name="Comma 6 3 3 2 4 3 3" xfId="39587" xr:uid="{00000000-0005-0000-0000-0000987A0000}"/>
    <cellStyle name="Comma 6 3 3 2 4 4" xfId="17832" xr:uid="{00000000-0005-0000-0000-0000997A0000}"/>
    <cellStyle name="Comma 6 3 3 2 4 4 2" xfId="46838" xr:uid="{00000000-0005-0000-0000-00009A7A0000}"/>
    <cellStyle name="Comma 6 3 3 2 4 5" xfId="32339" xr:uid="{00000000-0005-0000-0000-00009B7A0000}"/>
    <cellStyle name="Comma 6 3 3 2 5" xfId="4306" xr:uid="{00000000-0005-0000-0000-00009C7A0000}"/>
    <cellStyle name="Comma 6 3 3 2 5 2" xfId="11578" xr:uid="{00000000-0005-0000-0000-00009D7A0000}"/>
    <cellStyle name="Comma 6 3 3 2 5 2 2" xfId="26112" xr:uid="{00000000-0005-0000-0000-00009E7A0000}"/>
    <cellStyle name="Comma 6 3 3 2 5 2 2 2" xfId="55118" xr:uid="{00000000-0005-0000-0000-00009F7A0000}"/>
    <cellStyle name="Comma 6 3 3 2 5 2 3" xfId="40619" xr:uid="{00000000-0005-0000-0000-0000A07A0000}"/>
    <cellStyle name="Comma 6 3 3 2 5 3" xfId="18864" xr:uid="{00000000-0005-0000-0000-0000A17A0000}"/>
    <cellStyle name="Comma 6 3 3 2 5 3 2" xfId="47870" xr:uid="{00000000-0005-0000-0000-0000A27A0000}"/>
    <cellStyle name="Comma 6 3 3 2 5 4" xfId="33371" xr:uid="{00000000-0005-0000-0000-0000A37A0000}"/>
    <cellStyle name="Comma 6 3 3 2 6" xfId="7410" xr:uid="{00000000-0005-0000-0000-0000A47A0000}"/>
    <cellStyle name="Comma 6 3 3 2 6 2" xfId="14682" xr:uid="{00000000-0005-0000-0000-0000A57A0000}"/>
    <cellStyle name="Comma 6 3 3 2 6 2 2" xfId="29216" xr:uid="{00000000-0005-0000-0000-0000A67A0000}"/>
    <cellStyle name="Comma 6 3 3 2 6 2 2 2" xfId="58222" xr:uid="{00000000-0005-0000-0000-0000A77A0000}"/>
    <cellStyle name="Comma 6 3 3 2 6 2 3" xfId="43723" xr:uid="{00000000-0005-0000-0000-0000A87A0000}"/>
    <cellStyle name="Comma 6 3 3 2 6 3" xfId="21968" xr:uid="{00000000-0005-0000-0000-0000A97A0000}"/>
    <cellStyle name="Comma 6 3 3 2 6 3 2" xfId="50974" xr:uid="{00000000-0005-0000-0000-0000AA7A0000}"/>
    <cellStyle name="Comma 6 3 3 2 6 4" xfId="36475" xr:uid="{00000000-0005-0000-0000-0000AB7A0000}"/>
    <cellStyle name="Comma 6 3 3 2 7" xfId="8474" xr:uid="{00000000-0005-0000-0000-0000AC7A0000}"/>
    <cellStyle name="Comma 6 3 3 2 7 2" xfId="23008" xr:uid="{00000000-0005-0000-0000-0000AD7A0000}"/>
    <cellStyle name="Comma 6 3 3 2 7 2 2" xfId="52014" xr:uid="{00000000-0005-0000-0000-0000AE7A0000}"/>
    <cellStyle name="Comma 6 3 3 2 7 3" xfId="37515" xr:uid="{00000000-0005-0000-0000-0000AF7A0000}"/>
    <cellStyle name="Comma 6 3 3 2 8" xfId="15760" xr:uid="{00000000-0005-0000-0000-0000B07A0000}"/>
    <cellStyle name="Comma 6 3 3 2 8 2" xfId="44766" xr:uid="{00000000-0005-0000-0000-0000B17A0000}"/>
    <cellStyle name="Comma 6 3 3 2 9" xfId="30267" xr:uid="{00000000-0005-0000-0000-0000B27A0000}"/>
    <cellStyle name="Comma 6 3 3 3" xfId="1390" xr:uid="{00000000-0005-0000-0000-0000B37A0000}"/>
    <cellStyle name="Comma 6 3 3 3 2" xfId="2448" xr:uid="{00000000-0005-0000-0000-0000B47A0000}"/>
    <cellStyle name="Comma 6 3 3 3 2 2" xfId="5552" xr:uid="{00000000-0005-0000-0000-0000B57A0000}"/>
    <cellStyle name="Comma 6 3 3 3 2 2 2" xfId="12824" xr:uid="{00000000-0005-0000-0000-0000B67A0000}"/>
    <cellStyle name="Comma 6 3 3 3 2 2 2 2" xfId="27358" xr:uid="{00000000-0005-0000-0000-0000B77A0000}"/>
    <cellStyle name="Comma 6 3 3 3 2 2 2 2 2" xfId="56364" xr:uid="{00000000-0005-0000-0000-0000B87A0000}"/>
    <cellStyle name="Comma 6 3 3 3 2 2 2 3" xfId="41865" xr:uid="{00000000-0005-0000-0000-0000B97A0000}"/>
    <cellStyle name="Comma 6 3 3 3 2 2 3" xfId="20110" xr:uid="{00000000-0005-0000-0000-0000BA7A0000}"/>
    <cellStyle name="Comma 6 3 3 3 2 2 3 2" xfId="49116" xr:uid="{00000000-0005-0000-0000-0000BB7A0000}"/>
    <cellStyle name="Comma 6 3 3 3 2 2 4" xfId="34617" xr:uid="{00000000-0005-0000-0000-0000BC7A0000}"/>
    <cellStyle name="Comma 6 3 3 3 2 3" xfId="9720" xr:uid="{00000000-0005-0000-0000-0000BD7A0000}"/>
    <cellStyle name="Comma 6 3 3 3 2 3 2" xfId="24254" xr:uid="{00000000-0005-0000-0000-0000BE7A0000}"/>
    <cellStyle name="Comma 6 3 3 3 2 3 2 2" xfId="53260" xr:uid="{00000000-0005-0000-0000-0000BF7A0000}"/>
    <cellStyle name="Comma 6 3 3 3 2 3 3" xfId="38761" xr:uid="{00000000-0005-0000-0000-0000C07A0000}"/>
    <cellStyle name="Comma 6 3 3 3 2 4" xfId="17006" xr:uid="{00000000-0005-0000-0000-0000C17A0000}"/>
    <cellStyle name="Comma 6 3 3 3 2 4 2" xfId="46012" xr:uid="{00000000-0005-0000-0000-0000C27A0000}"/>
    <cellStyle name="Comma 6 3 3 3 2 5" xfId="31513" xr:uid="{00000000-0005-0000-0000-0000C37A0000}"/>
    <cellStyle name="Comma 6 3 3 3 3" xfId="3480" xr:uid="{00000000-0005-0000-0000-0000C47A0000}"/>
    <cellStyle name="Comma 6 3 3 3 3 2" xfId="6584" xr:uid="{00000000-0005-0000-0000-0000C57A0000}"/>
    <cellStyle name="Comma 6 3 3 3 3 2 2" xfId="13856" xr:uid="{00000000-0005-0000-0000-0000C67A0000}"/>
    <cellStyle name="Comma 6 3 3 3 3 2 2 2" xfId="28390" xr:uid="{00000000-0005-0000-0000-0000C77A0000}"/>
    <cellStyle name="Comma 6 3 3 3 3 2 2 2 2" xfId="57396" xr:uid="{00000000-0005-0000-0000-0000C87A0000}"/>
    <cellStyle name="Comma 6 3 3 3 3 2 2 3" xfId="42897" xr:uid="{00000000-0005-0000-0000-0000C97A0000}"/>
    <cellStyle name="Comma 6 3 3 3 3 2 3" xfId="21142" xr:uid="{00000000-0005-0000-0000-0000CA7A0000}"/>
    <cellStyle name="Comma 6 3 3 3 3 2 3 2" xfId="50148" xr:uid="{00000000-0005-0000-0000-0000CB7A0000}"/>
    <cellStyle name="Comma 6 3 3 3 3 2 4" xfId="35649" xr:uid="{00000000-0005-0000-0000-0000CC7A0000}"/>
    <cellStyle name="Comma 6 3 3 3 3 3" xfId="10752" xr:uid="{00000000-0005-0000-0000-0000CD7A0000}"/>
    <cellStyle name="Comma 6 3 3 3 3 3 2" xfId="25286" xr:uid="{00000000-0005-0000-0000-0000CE7A0000}"/>
    <cellStyle name="Comma 6 3 3 3 3 3 2 2" xfId="54292" xr:uid="{00000000-0005-0000-0000-0000CF7A0000}"/>
    <cellStyle name="Comma 6 3 3 3 3 3 3" xfId="39793" xr:uid="{00000000-0005-0000-0000-0000D07A0000}"/>
    <cellStyle name="Comma 6 3 3 3 3 4" xfId="18038" xr:uid="{00000000-0005-0000-0000-0000D17A0000}"/>
    <cellStyle name="Comma 6 3 3 3 3 4 2" xfId="47044" xr:uid="{00000000-0005-0000-0000-0000D27A0000}"/>
    <cellStyle name="Comma 6 3 3 3 3 5" xfId="32545" xr:uid="{00000000-0005-0000-0000-0000D37A0000}"/>
    <cellStyle name="Comma 6 3 3 3 4" xfId="4512" xr:uid="{00000000-0005-0000-0000-0000D47A0000}"/>
    <cellStyle name="Comma 6 3 3 3 4 2" xfId="11784" xr:uid="{00000000-0005-0000-0000-0000D57A0000}"/>
    <cellStyle name="Comma 6 3 3 3 4 2 2" xfId="26318" xr:uid="{00000000-0005-0000-0000-0000D67A0000}"/>
    <cellStyle name="Comma 6 3 3 3 4 2 2 2" xfId="55324" xr:uid="{00000000-0005-0000-0000-0000D77A0000}"/>
    <cellStyle name="Comma 6 3 3 3 4 2 3" xfId="40825" xr:uid="{00000000-0005-0000-0000-0000D87A0000}"/>
    <cellStyle name="Comma 6 3 3 3 4 3" xfId="19070" xr:uid="{00000000-0005-0000-0000-0000D97A0000}"/>
    <cellStyle name="Comma 6 3 3 3 4 3 2" xfId="48076" xr:uid="{00000000-0005-0000-0000-0000DA7A0000}"/>
    <cellStyle name="Comma 6 3 3 3 4 4" xfId="33577" xr:uid="{00000000-0005-0000-0000-0000DB7A0000}"/>
    <cellStyle name="Comma 6 3 3 3 5" xfId="7616" xr:uid="{00000000-0005-0000-0000-0000DC7A0000}"/>
    <cellStyle name="Comma 6 3 3 3 5 2" xfId="14888" xr:uid="{00000000-0005-0000-0000-0000DD7A0000}"/>
    <cellStyle name="Comma 6 3 3 3 5 2 2" xfId="29422" xr:uid="{00000000-0005-0000-0000-0000DE7A0000}"/>
    <cellStyle name="Comma 6 3 3 3 5 2 2 2" xfId="58428" xr:uid="{00000000-0005-0000-0000-0000DF7A0000}"/>
    <cellStyle name="Comma 6 3 3 3 5 2 3" xfId="43929" xr:uid="{00000000-0005-0000-0000-0000E07A0000}"/>
    <cellStyle name="Comma 6 3 3 3 5 3" xfId="22174" xr:uid="{00000000-0005-0000-0000-0000E17A0000}"/>
    <cellStyle name="Comma 6 3 3 3 5 3 2" xfId="51180" xr:uid="{00000000-0005-0000-0000-0000E27A0000}"/>
    <cellStyle name="Comma 6 3 3 3 5 4" xfId="36681" xr:uid="{00000000-0005-0000-0000-0000E37A0000}"/>
    <cellStyle name="Comma 6 3 3 3 6" xfId="8680" xr:uid="{00000000-0005-0000-0000-0000E47A0000}"/>
    <cellStyle name="Comma 6 3 3 3 6 2" xfId="23214" xr:uid="{00000000-0005-0000-0000-0000E57A0000}"/>
    <cellStyle name="Comma 6 3 3 3 6 2 2" xfId="52220" xr:uid="{00000000-0005-0000-0000-0000E67A0000}"/>
    <cellStyle name="Comma 6 3 3 3 6 3" xfId="37721" xr:uid="{00000000-0005-0000-0000-0000E77A0000}"/>
    <cellStyle name="Comma 6 3 3 3 7" xfId="15966" xr:uid="{00000000-0005-0000-0000-0000E87A0000}"/>
    <cellStyle name="Comma 6 3 3 3 7 2" xfId="44972" xr:uid="{00000000-0005-0000-0000-0000E97A0000}"/>
    <cellStyle name="Comma 6 3 3 3 8" xfId="30473" xr:uid="{00000000-0005-0000-0000-0000EA7A0000}"/>
    <cellStyle name="Comma 6 3 3 4" xfId="1936" xr:uid="{00000000-0005-0000-0000-0000EB7A0000}"/>
    <cellStyle name="Comma 6 3 3 4 2" xfId="5040" xr:uid="{00000000-0005-0000-0000-0000EC7A0000}"/>
    <cellStyle name="Comma 6 3 3 4 2 2" xfId="12312" xr:uid="{00000000-0005-0000-0000-0000ED7A0000}"/>
    <cellStyle name="Comma 6 3 3 4 2 2 2" xfId="26846" xr:uid="{00000000-0005-0000-0000-0000EE7A0000}"/>
    <cellStyle name="Comma 6 3 3 4 2 2 2 2" xfId="55852" xr:uid="{00000000-0005-0000-0000-0000EF7A0000}"/>
    <cellStyle name="Comma 6 3 3 4 2 2 3" xfId="41353" xr:uid="{00000000-0005-0000-0000-0000F07A0000}"/>
    <cellStyle name="Comma 6 3 3 4 2 3" xfId="19598" xr:uid="{00000000-0005-0000-0000-0000F17A0000}"/>
    <cellStyle name="Comma 6 3 3 4 2 3 2" xfId="48604" xr:uid="{00000000-0005-0000-0000-0000F27A0000}"/>
    <cellStyle name="Comma 6 3 3 4 2 4" xfId="34105" xr:uid="{00000000-0005-0000-0000-0000F37A0000}"/>
    <cellStyle name="Comma 6 3 3 4 3" xfId="9208" xr:uid="{00000000-0005-0000-0000-0000F47A0000}"/>
    <cellStyle name="Comma 6 3 3 4 3 2" xfId="23742" xr:uid="{00000000-0005-0000-0000-0000F57A0000}"/>
    <cellStyle name="Comma 6 3 3 4 3 2 2" xfId="52748" xr:uid="{00000000-0005-0000-0000-0000F67A0000}"/>
    <cellStyle name="Comma 6 3 3 4 3 3" xfId="38249" xr:uid="{00000000-0005-0000-0000-0000F77A0000}"/>
    <cellStyle name="Comma 6 3 3 4 4" xfId="16494" xr:uid="{00000000-0005-0000-0000-0000F87A0000}"/>
    <cellStyle name="Comma 6 3 3 4 4 2" xfId="45500" xr:uid="{00000000-0005-0000-0000-0000F97A0000}"/>
    <cellStyle name="Comma 6 3 3 4 5" xfId="31001" xr:uid="{00000000-0005-0000-0000-0000FA7A0000}"/>
    <cellStyle name="Comma 6 3 3 5" xfId="2968" xr:uid="{00000000-0005-0000-0000-0000FB7A0000}"/>
    <cellStyle name="Comma 6 3 3 5 2" xfId="6072" xr:uid="{00000000-0005-0000-0000-0000FC7A0000}"/>
    <cellStyle name="Comma 6 3 3 5 2 2" xfId="13344" xr:uid="{00000000-0005-0000-0000-0000FD7A0000}"/>
    <cellStyle name="Comma 6 3 3 5 2 2 2" xfId="27878" xr:uid="{00000000-0005-0000-0000-0000FE7A0000}"/>
    <cellStyle name="Comma 6 3 3 5 2 2 2 2" xfId="56884" xr:uid="{00000000-0005-0000-0000-0000FF7A0000}"/>
    <cellStyle name="Comma 6 3 3 5 2 2 3" xfId="42385" xr:uid="{00000000-0005-0000-0000-0000007B0000}"/>
    <cellStyle name="Comma 6 3 3 5 2 3" xfId="20630" xr:uid="{00000000-0005-0000-0000-0000017B0000}"/>
    <cellStyle name="Comma 6 3 3 5 2 3 2" xfId="49636" xr:uid="{00000000-0005-0000-0000-0000027B0000}"/>
    <cellStyle name="Comma 6 3 3 5 2 4" xfId="35137" xr:uid="{00000000-0005-0000-0000-0000037B0000}"/>
    <cellStyle name="Comma 6 3 3 5 3" xfId="10240" xr:uid="{00000000-0005-0000-0000-0000047B0000}"/>
    <cellStyle name="Comma 6 3 3 5 3 2" xfId="24774" xr:uid="{00000000-0005-0000-0000-0000057B0000}"/>
    <cellStyle name="Comma 6 3 3 5 3 2 2" xfId="53780" xr:uid="{00000000-0005-0000-0000-0000067B0000}"/>
    <cellStyle name="Comma 6 3 3 5 3 3" xfId="39281" xr:uid="{00000000-0005-0000-0000-0000077B0000}"/>
    <cellStyle name="Comma 6 3 3 5 4" xfId="17526" xr:uid="{00000000-0005-0000-0000-0000087B0000}"/>
    <cellStyle name="Comma 6 3 3 5 4 2" xfId="46532" xr:uid="{00000000-0005-0000-0000-0000097B0000}"/>
    <cellStyle name="Comma 6 3 3 5 5" xfId="32033" xr:uid="{00000000-0005-0000-0000-00000A7B0000}"/>
    <cellStyle name="Comma 6 3 3 6" xfId="4000" xr:uid="{00000000-0005-0000-0000-00000B7B0000}"/>
    <cellStyle name="Comma 6 3 3 6 2" xfId="11272" xr:uid="{00000000-0005-0000-0000-00000C7B0000}"/>
    <cellStyle name="Comma 6 3 3 6 2 2" xfId="25806" xr:uid="{00000000-0005-0000-0000-00000D7B0000}"/>
    <cellStyle name="Comma 6 3 3 6 2 2 2" xfId="54812" xr:uid="{00000000-0005-0000-0000-00000E7B0000}"/>
    <cellStyle name="Comma 6 3 3 6 2 3" xfId="40313" xr:uid="{00000000-0005-0000-0000-00000F7B0000}"/>
    <cellStyle name="Comma 6 3 3 6 3" xfId="18558" xr:uid="{00000000-0005-0000-0000-0000107B0000}"/>
    <cellStyle name="Comma 6 3 3 6 3 2" xfId="47564" xr:uid="{00000000-0005-0000-0000-0000117B0000}"/>
    <cellStyle name="Comma 6 3 3 6 4" xfId="33065" xr:uid="{00000000-0005-0000-0000-0000127B0000}"/>
    <cellStyle name="Comma 6 3 3 7" xfId="7104" xr:uid="{00000000-0005-0000-0000-0000137B0000}"/>
    <cellStyle name="Comma 6 3 3 7 2" xfId="14376" xr:uid="{00000000-0005-0000-0000-0000147B0000}"/>
    <cellStyle name="Comma 6 3 3 7 2 2" xfId="28910" xr:uid="{00000000-0005-0000-0000-0000157B0000}"/>
    <cellStyle name="Comma 6 3 3 7 2 2 2" xfId="57916" xr:uid="{00000000-0005-0000-0000-0000167B0000}"/>
    <cellStyle name="Comma 6 3 3 7 2 3" xfId="43417" xr:uid="{00000000-0005-0000-0000-0000177B0000}"/>
    <cellStyle name="Comma 6 3 3 7 3" xfId="21662" xr:uid="{00000000-0005-0000-0000-0000187B0000}"/>
    <cellStyle name="Comma 6 3 3 7 3 2" xfId="50668" xr:uid="{00000000-0005-0000-0000-0000197B0000}"/>
    <cellStyle name="Comma 6 3 3 7 4" xfId="36169" xr:uid="{00000000-0005-0000-0000-00001A7B0000}"/>
    <cellStyle name="Comma 6 3 3 8" xfId="8168" xr:uid="{00000000-0005-0000-0000-00001B7B0000}"/>
    <cellStyle name="Comma 6 3 3 8 2" xfId="22702" xr:uid="{00000000-0005-0000-0000-00001C7B0000}"/>
    <cellStyle name="Comma 6 3 3 8 2 2" xfId="51708" xr:uid="{00000000-0005-0000-0000-00001D7B0000}"/>
    <cellStyle name="Comma 6 3 3 8 3" xfId="37209" xr:uid="{00000000-0005-0000-0000-00001E7B0000}"/>
    <cellStyle name="Comma 6 3 3 9" xfId="15454" xr:uid="{00000000-0005-0000-0000-00001F7B0000}"/>
    <cellStyle name="Comma 6 3 3 9 2" xfId="44460" xr:uid="{00000000-0005-0000-0000-0000207B0000}"/>
    <cellStyle name="Comma 6 3 4" xfId="1095" xr:uid="{00000000-0005-0000-0000-0000217B0000}"/>
    <cellStyle name="Comma 6 3 4 10" xfId="59535" xr:uid="{00000000-0005-0000-0000-0000227B0000}"/>
    <cellStyle name="Comma 6 3 4 2" xfId="1592" xr:uid="{00000000-0005-0000-0000-0000237B0000}"/>
    <cellStyle name="Comma 6 3 4 2 2" xfId="2651" xr:uid="{00000000-0005-0000-0000-0000247B0000}"/>
    <cellStyle name="Comma 6 3 4 2 2 2" xfId="5755" xr:uid="{00000000-0005-0000-0000-0000257B0000}"/>
    <cellStyle name="Comma 6 3 4 2 2 2 2" xfId="13027" xr:uid="{00000000-0005-0000-0000-0000267B0000}"/>
    <cellStyle name="Comma 6 3 4 2 2 2 2 2" xfId="27561" xr:uid="{00000000-0005-0000-0000-0000277B0000}"/>
    <cellStyle name="Comma 6 3 4 2 2 2 2 2 2" xfId="56567" xr:uid="{00000000-0005-0000-0000-0000287B0000}"/>
    <cellStyle name="Comma 6 3 4 2 2 2 2 3" xfId="42068" xr:uid="{00000000-0005-0000-0000-0000297B0000}"/>
    <cellStyle name="Comma 6 3 4 2 2 2 3" xfId="20313" xr:uid="{00000000-0005-0000-0000-00002A7B0000}"/>
    <cellStyle name="Comma 6 3 4 2 2 2 3 2" xfId="49319" xr:uid="{00000000-0005-0000-0000-00002B7B0000}"/>
    <cellStyle name="Comma 6 3 4 2 2 2 4" xfId="34820" xr:uid="{00000000-0005-0000-0000-00002C7B0000}"/>
    <cellStyle name="Comma 6 3 4 2 2 3" xfId="9923" xr:uid="{00000000-0005-0000-0000-00002D7B0000}"/>
    <cellStyle name="Comma 6 3 4 2 2 3 2" xfId="24457" xr:uid="{00000000-0005-0000-0000-00002E7B0000}"/>
    <cellStyle name="Comma 6 3 4 2 2 3 2 2" xfId="53463" xr:uid="{00000000-0005-0000-0000-00002F7B0000}"/>
    <cellStyle name="Comma 6 3 4 2 2 3 3" xfId="38964" xr:uid="{00000000-0005-0000-0000-0000307B0000}"/>
    <cellStyle name="Comma 6 3 4 2 2 4" xfId="17209" xr:uid="{00000000-0005-0000-0000-0000317B0000}"/>
    <cellStyle name="Comma 6 3 4 2 2 4 2" xfId="46215" xr:uid="{00000000-0005-0000-0000-0000327B0000}"/>
    <cellStyle name="Comma 6 3 4 2 2 5" xfId="31716" xr:uid="{00000000-0005-0000-0000-0000337B0000}"/>
    <cellStyle name="Comma 6 3 4 2 3" xfId="3683" xr:uid="{00000000-0005-0000-0000-0000347B0000}"/>
    <cellStyle name="Comma 6 3 4 2 3 2" xfId="6787" xr:uid="{00000000-0005-0000-0000-0000357B0000}"/>
    <cellStyle name="Comma 6 3 4 2 3 2 2" xfId="14059" xr:uid="{00000000-0005-0000-0000-0000367B0000}"/>
    <cellStyle name="Comma 6 3 4 2 3 2 2 2" xfId="28593" xr:uid="{00000000-0005-0000-0000-0000377B0000}"/>
    <cellStyle name="Comma 6 3 4 2 3 2 2 2 2" xfId="57599" xr:uid="{00000000-0005-0000-0000-0000387B0000}"/>
    <cellStyle name="Comma 6 3 4 2 3 2 2 3" xfId="43100" xr:uid="{00000000-0005-0000-0000-0000397B0000}"/>
    <cellStyle name="Comma 6 3 4 2 3 2 3" xfId="21345" xr:uid="{00000000-0005-0000-0000-00003A7B0000}"/>
    <cellStyle name="Comma 6 3 4 2 3 2 3 2" xfId="50351" xr:uid="{00000000-0005-0000-0000-00003B7B0000}"/>
    <cellStyle name="Comma 6 3 4 2 3 2 4" xfId="35852" xr:uid="{00000000-0005-0000-0000-00003C7B0000}"/>
    <cellStyle name="Comma 6 3 4 2 3 3" xfId="10955" xr:uid="{00000000-0005-0000-0000-00003D7B0000}"/>
    <cellStyle name="Comma 6 3 4 2 3 3 2" xfId="25489" xr:uid="{00000000-0005-0000-0000-00003E7B0000}"/>
    <cellStyle name="Comma 6 3 4 2 3 3 2 2" xfId="54495" xr:uid="{00000000-0005-0000-0000-00003F7B0000}"/>
    <cellStyle name="Comma 6 3 4 2 3 3 3" xfId="39996" xr:uid="{00000000-0005-0000-0000-0000407B0000}"/>
    <cellStyle name="Comma 6 3 4 2 3 4" xfId="18241" xr:uid="{00000000-0005-0000-0000-0000417B0000}"/>
    <cellStyle name="Comma 6 3 4 2 3 4 2" xfId="47247" xr:uid="{00000000-0005-0000-0000-0000427B0000}"/>
    <cellStyle name="Comma 6 3 4 2 3 5" xfId="32748" xr:uid="{00000000-0005-0000-0000-0000437B0000}"/>
    <cellStyle name="Comma 6 3 4 2 4" xfId="4715" xr:uid="{00000000-0005-0000-0000-0000447B0000}"/>
    <cellStyle name="Comma 6 3 4 2 4 2" xfId="11987" xr:uid="{00000000-0005-0000-0000-0000457B0000}"/>
    <cellStyle name="Comma 6 3 4 2 4 2 2" xfId="26521" xr:uid="{00000000-0005-0000-0000-0000467B0000}"/>
    <cellStyle name="Comma 6 3 4 2 4 2 2 2" xfId="55527" xr:uid="{00000000-0005-0000-0000-0000477B0000}"/>
    <cellStyle name="Comma 6 3 4 2 4 2 3" xfId="41028" xr:uid="{00000000-0005-0000-0000-0000487B0000}"/>
    <cellStyle name="Comma 6 3 4 2 4 3" xfId="19273" xr:uid="{00000000-0005-0000-0000-0000497B0000}"/>
    <cellStyle name="Comma 6 3 4 2 4 3 2" xfId="48279" xr:uid="{00000000-0005-0000-0000-00004A7B0000}"/>
    <cellStyle name="Comma 6 3 4 2 4 4" xfId="33780" xr:uid="{00000000-0005-0000-0000-00004B7B0000}"/>
    <cellStyle name="Comma 6 3 4 2 5" xfId="7819" xr:uid="{00000000-0005-0000-0000-00004C7B0000}"/>
    <cellStyle name="Comma 6 3 4 2 5 2" xfId="15091" xr:uid="{00000000-0005-0000-0000-00004D7B0000}"/>
    <cellStyle name="Comma 6 3 4 2 5 2 2" xfId="29625" xr:uid="{00000000-0005-0000-0000-00004E7B0000}"/>
    <cellStyle name="Comma 6 3 4 2 5 2 2 2" xfId="58631" xr:uid="{00000000-0005-0000-0000-00004F7B0000}"/>
    <cellStyle name="Comma 6 3 4 2 5 2 3" xfId="44132" xr:uid="{00000000-0005-0000-0000-0000507B0000}"/>
    <cellStyle name="Comma 6 3 4 2 5 3" xfId="22377" xr:uid="{00000000-0005-0000-0000-0000517B0000}"/>
    <cellStyle name="Comma 6 3 4 2 5 3 2" xfId="51383" xr:uid="{00000000-0005-0000-0000-0000527B0000}"/>
    <cellStyle name="Comma 6 3 4 2 5 4" xfId="36884" xr:uid="{00000000-0005-0000-0000-0000537B0000}"/>
    <cellStyle name="Comma 6 3 4 2 6" xfId="8883" xr:uid="{00000000-0005-0000-0000-0000547B0000}"/>
    <cellStyle name="Comma 6 3 4 2 6 2" xfId="23417" xr:uid="{00000000-0005-0000-0000-0000557B0000}"/>
    <cellStyle name="Comma 6 3 4 2 6 2 2" xfId="52423" xr:uid="{00000000-0005-0000-0000-0000567B0000}"/>
    <cellStyle name="Comma 6 3 4 2 6 3" xfId="37924" xr:uid="{00000000-0005-0000-0000-0000577B0000}"/>
    <cellStyle name="Comma 6 3 4 2 7" xfId="16169" xr:uid="{00000000-0005-0000-0000-0000587B0000}"/>
    <cellStyle name="Comma 6 3 4 2 7 2" xfId="45175" xr:uid="{00000000-0005-0000-0000-0000597B0000}"/>
    <cellStyle name="Comma 6 3 4 2 8" xfId="30676" xr:uid="{00000000-0005-0000-0000-00005A7B0000}"/>
    <cellStyle name="Comma 6 3 4 3" xfId="2139" xr:uid="{00000000-0005-0000-0000-00005B7B0000}"/>
    <cellStyle name="Comma 6 3 4 3 2" xfId="5243" xr:uid="{00000000-0005-0000-0000-00005C7B0000}"/>
    <cellStyle name="Comma 6 3 4 3 2 2" xfId="12515" xr:uid="{00000000-0005-0000-0000-00005D7B0000}"/>
    <cellStyle name="Comma 6 3 4 3 2 2 2" xfId="27049" xr:uid="{00000000-0005-0000-0000-00005E7B0000}"/>
    <cellStyle name="Comma 6 3 4 3 2 2 2 2" xfId="56055" xr:uid="{00000000-0005-0000-0000-00005F7B0000}"/>
    <cellStyle name="Comma 6 3 4 3 2 2 3" xfId="41556" xr:uid="{00000000-0005-0000-0000-0000607B0000}"/>
    <cellStyle name="Comma 6 3 4 3 2 3" xfId="19801" xr:uid="{00000000-0005-0000-0000-0000617B0000}"/>
    <cellStyle name="Comma 6 3 4 3 2 3 2" xfId="48807" xr:uid="{00000000-0005-0000-0000-0000627B0000}"/>
    <cellStyle name="Comma 6 3 4 3 2 4" xfId="34308" xr:uid="{00000000-0005-0000-0000-0000637B0000}"/>
    <cellStyle name="Comma 6 3 4 3 3" xfId="9411" xr:uid="{00000000-0005-0000-0000-0000647B0000}"/>
    <cellStyle name="Comma 6 3 4 3 3 2" xfId="23945" xr:uid="{00000000-0005-0000-0000-0000657B0000}"/>
    <cellStyle name="Comma 6 3 4 3 3 2 2" xfId="52951" xr:uid="{00000000-0005-0000-0000-0000667B0000}"/>
    <cellStyle name="Comma 6 3 4 3 3 3" xfId="38452" xr:uid="{00000000-0005-0000-0000-0000677B0000}"/>
    <cellStyle name="Comma 6 3 4 3 4" xfId="16697" xr:uid="{00000000-0005-0000-0000-0000687B0000}"/>
    <cellStyle name="Comma 6 3 4 3 4 2" xfId="45703" xr:uid="{00000000-0005-0000-0000-0000697B0000}"/>
    <cellStyle name="Comma 6 3 4 3 5" xfId="31204" xr:uid="{00000000-0005-0000-0000-00006A7B0000}"/>
    <cellStyle name="Comma 6 3 4 4" xfId="3171" xr:uid="{00000000-0005-0000-0000-00006B7B0000}"/>
    <cellStyle name="Comma 6 3 4 4 2" xfId="6275" xr:uid="{00000000-0005-0000-0000-00006C7B0000}"/>
    <cellStyle name="Comma 6 3 4 4 2 2" xfId="13547" xr:uid="{00000000-0005-0000-0000-00006D7B0000}"/>
    <cellStyle name="Comma 6 3 4 4 2 2 2" xfId="28081" xr:uid="{00000000-0005-0000-0000-00006E7B0000}"/>
    <cellStyle name="Comma 6 3 4 4 2 2 2 2" xfId="57087" xr:uid="{00000000-0005-0000-0000-00006F7B0000}"/>
    <cellStyle name="Comma 6 3 4 4 2 2 3" xfId="42588" xr:uid="{00000000-0005-0000-0000-0000707B0000}"/>
    <cellStyle name="Comma 6 3 4 4 2 3" xfId="20833" xr:uid="{00000000-0005-0000-0000-0000717B0000}"/>
    <cellStyle name="Comma 6 3 4 4 2 3 2" xfId="49839" xr:uid="{00000000-0005-0000-0000-0000727B0000}"/>
    <cellStyle name="Comma 6 3 4 4 2 4" xfId="35340" xr:uid="{00000000-0005-0000-0000-0000737B0000}"/>
    <cellStyle name="Comma 6 3 4 4 3" xfId="10443" xr:uid="{00000000-0005-0000-0000-0000747B0000}"/>
    <cellStyle name="Comma 6 3 4 4 3 2" xfId="24977" xr:uid="{00000000-0005-0000-0000-0000757B0000}"/>
    <cellStyle name="Comma 6 3 4 4 3 2 2" xfId="53983" xr:uid="{00000000-0005-0000-0000-0000767B0000}"/>
    <cellStyle name="Comma 6 3 4 4 3 3" xfId="39484" xr:uid="{00000000-0005-0000-0000-0000777B0000}"/>
    <cellStyle name="Comma 6 3 4 4 4" xfId="17729" xr:uid="{00000000-0005-0000-0000-0000787B0000}"/>
    <cellStyle name="Comma 6 3 4 4 4 2" xfId="46735" xr:uid="{00000000-0005-0000-0000-0000797B0000}"/>
    <cellStyle name="Comma 6 3 4 4 5" xfId="32236" xr:uid="{00000000-0005-0000-0000-00007A7B0000}"/>
    <cellStyle name="Comma 6 3 4 5" xfId="4203" xr:uid="{00000000-0005-0000-0000-00007B7B0000}"/>
    <cellStyle name="Comma 6 3 4 5 2" xfId="11475" xr:uid="{00000000-0005-0000-0000-00007C7B0000}"/>
    <cellStyle name="Comma 6 3 4 5 2 2" xfId="26009" xr:uid="{00000000-0005-0000-0000-00007D7B0000}"/>
    <cellStyle name="Comma 6 3 4 5 2 2 2" xfId="55015" xr:uid="{00000000-0005-0000-0000-00007E7B0000}"/>
    <cellStyle name="Comma 6 3 4 5 2 3" xfId="40516" xr:uid="{00000000-0005-0000-0000-00007F7B0000}"/>
    <cellStyle name="Comma 6 3 4 5 3" xfId="18761" xr:uid="{00000000-0005-0000-0000-0000807B0000}"/>
    <cellStyle name="Comma 6 3 4 5 3 2" xfId="47767" xr:uid="{00000000-0005-0000-0000-0000817B0000}"/>
    <cellStyle name="Comma 6 3 4 5 4" xfId="33268" xr:uid="{00000000-0005-0000-0000-0000827B0000}"/>
    <cellStyle name="Comma 6 3 4 6" xfId="7307" xr:uid="{00000000-0005-0000-0000-0000837B0000}"/>
    <cellStyle name="Comma 6 3 4 6 2" xfId="14579" xr:uid="{00000000-0005-0000-0000-0000847B0000}"/>
    <cellStyle name="Comma 6 3 4 6 2 2" xfId="29113" xr:uid="{00000000-0005-0000-0000-0000857B0000}"/>
    <cellStyle name="Comma 6 3 4 6 2 2 2" xfId="58119" xr:uid="{00000000-0005-0000-0000-0000867B0000}"/>
    <cellStyle name="Comma 6 3 4 6 2 3" xfId="43620" xr:uid="{00000000-0005-0000-0000-0000877B0000}"/>
    <cellStyle name="Comma 6 3 4 6 3" xfId="21865" xr:uid="{00000000-0005-0000-0000-0000887B0000}"/>
    <cellStyle name="Comma 6 3 4 6 3 2" xfId="50871" xr:uid="{00000000-0005-0000-0000-0000897B0000}"/>
    <cellStyle name="Comma 6 3 4 6 4" xfId="36372" xr:uid="{00000000-0005-0000-0000-00008A7B0000}"/>
    <cellStyle name="Comma 6 3 4 7" xfId="8371" xr:uid="{00000000-0005-0000-0000-00008B7B0000}"/>
    <cellStyle name="Comma 6 3 4 7 2" xfId="22905" xr:uid="{00000000-0005-0000-0000-00008C7B0000}"/>
    <cellStyle name="Comma 6 3 4 7 2 2" xfId="51911" xr:uid="{00000000-0005-0000-0000-00008D7B0000}"/>
    <cellStyle name="Comma 6 3 4 7 3" xfId="37412" xr:uid="{00000000-0005-0000-0000-00008E7B0000}"/>
    <cellStyle name="Comma 6 3 4 8" xfId="15657" xr:uid="{00000000-0005-0000-0000-00008F7B0000}"/>
    <cellStyle name="Comma 6 3 4 8 2" xfId="44663" xr:uid="{00000000-0005-0000-0000-0000907B0000}"/>
    <cellStyle name="Comma 6 3 4 9" xfId="30164" xr:uid="{00000000-0005-0000-0000-0000917B0000}"/>
    <cellStyle name="Comma 6 3 5" xfId="1005" xr:uid="{00000000-0005-0000-0000-0000927B0000}"/>
    <cellStyle name="Comma 6 3 5 2" xfId="1493" xr:uid="{00000000-0005-0000-0000-0000937B0000}"/>
    <cellStyle name="Comma 6 3 5 2 2" xfId="2551" xr:uid="{00000000-0005-0000-0000-0000947B0000}"/>
    <cellStyle name="Comma 6 3 5 2 2 2" xfId="5655" xr:uid="{00000000-0005-0000-0000-0000957B0000}"/>
    <cellStyle name="Comma 6 3 5 2 2 2 2" xfId="12927" xr:uid="{00000000-0005-0000-0000-0000967B0000}"/>
    <cellStyle name="Comma 6 3 5 2 2 2 2 2" xfId="27461" xr:uid="{00000000-0005-0000-0000-0000977B0000}"/>
    <cellStyle name="Comma 6 3 5 2 2 2 2 2 2" xfId="56467" xr:uid="{00000000-0005-0000-0000-0000987B0000}"/>
    <cellStyle name="Comma 6 3 5 2 2 2 2 3" xfId="41968" xr:uid="{00000000-0005-0000-0000-0000997B0000}"/>
    <cellStyle name="Comma 6 3 5 2 2 2 3" xfId="20213" xr:uid="{00000000-0005-0000-0000-00009A7B0000}"/>
    <cellStyle name="Comma 6 3 5 2 2 2 3 2" xfId="49219" xr:uid="{00000000-0005-0000-0000-00009B7B0000}"/>
    <cellStyle name="Comma 6 3 5 2 2 2 4" xfId="34720" xr:uid="{00000000-0005-0000-0000-00009C7B0000}"/>
    <cellStyle name="Comma 6 3 5 2 2 3" xfId="9823" xr:uid="{00000000-0005-0000-0000-00009D7B0000}"/>
    <cellStyle name="Comma 6 3 5 2 2 3 2" xfId="24357" xr:uid="{00000000-0005-0000-0000-00009E7B0000}"/>
    <cellStyle name="Comma 6 3 5 2 2 3 2 2" xfId="53363" xr:uid="{00000000-0005-0000-0000-00009F7B0000}"/>
    <cellStyle name="Comma 6 3 5 2 2 3 3" xfId="38864" xr:uid="{00000000-0005-0000-0000-0000A07B0000}"/>
    <cellStyle name="Comma 6 3 5 2 2 4" xfId="17109" xr:uid="{00000000-0005-0000-0000-0000A17B0000}"/>
    <cellStyle name="Comma 6 3 5 2 2 4 2" xfId="46115" xr:uid="{00000000-0005-0000-0000-0000A27B0000}"/>
    <cellStyle name="Comma 6 3 5 2 2 5" xfId="31616" xr:uid="{00000000-0005-0000-0000-0000A37B0000}"/>
    <cellStyle name="Comma 6 3 5 2 3" xfId="3583" xr:uid="{00000000-0005-0000-0000-0000A47B0000}"/>
    <cellStyle name="Comma 6 3 5 2 3 2" xfId="6687" xr:uid="{00000000-0005-0000-0000-0000A57B0000}"/>
    <cellStyle name="Comma 6 3 5 2 3 2 2" xfId="13959" xr:uid="{00000000-0005-0000-0000-0000A67B0000}"/>
    <cellStyle name="Comma 6 3 5 2 3 2 2 2" xfId="28493" xr:uid="{00000000-0005-0000-0000-0000A77B0000}"/>
    <cellStyle name="Comma 6 3 5 2 3 2 2 2 2" xfId="57499" xr:uid="{00000000-0005-0000-0000-0000A87B0000}"/>
    <cellStyle name="Comma 6 3 5 2 3 2 2 3" xfId="43000" xr:uid="{00000000-0005-0000-0000-0000A97B0000}"/>
    <cellStyle name="Comma 6 3 5 2 3 2 3" xfId="21245" xr:uid="{00000000-0005-0000-0000-0000AA7B0000}"/>
    <cellStyle name="Comma 6 3 5 2 3 2 3 2" xfId="50251" xr:uid="{00000000-0005-0000-0000-0000AB7B0000}"/>
    <cellStyle name="Comma 6 3 5 2 3 2 4" xfId="35752" xr:uid="{00000000-0005-0000-0000-0000AC7B0000}"/>
    <cellStyle name="Comma 6 3 5 2 3 3" xfId="10855" xr:uid="{00000000-0005-0000-0000-0000AD7B0000}"/>
    <cellStyle name="Comma 6 3 5 2 3 3 2" xfId="25389" xr:uid="{00000000-0005-0000-0000-0000AE7B0000}"/>
    <cellStyle name="Comma 6 3 5 2 3 3 2 2" xfId="54395" xr:uid="{00000000-0005-0000-0000-0000AF7B0000}"/>
    <cellStyle name="Comma 6 3 5 2 3 3 3" xfId="39896" xr:uid="{00000000-0005-0000-0000-0000B07B0000}"/>
    <cellStyle name="Comma 6 3 5 2 3 4" xfId="18141" xr:uid="{00000000-0005-0000-0000-0000B17B0000}"/>
    <cellStyle name="Comma 6 3 5 2 3 4 2" xfId="47147" xr:uid="{00000000-0005-0000-0000-0000B27B0000}"/>
    <cellStyle name="Comma 6 3 5 2 3 5" xfId="32648" xr:uid="{00000000-0005-0000-0000-0000B37B0000}"/>
    <cellStyle name="Comma 6 3 5 2 4" xfId="4615" xr:uid="{00000000-0005-0000-0000-0000B47B0000}"/>
    <cellStyle name="Comma 6 3 5 2 4 2" xfId="11887" xr:uid="{00000000-0005-0000-0000-0000B57B0000}"/>
    <cellStyle name="Comma 6 3 5 2 4 2 2" xfId="26421" xr:uid="{00000000-0005-0000-0000-0000B67B0000}"/>
    <cellStyle name="Comma 6 3 5 2 4 2 2 2" xfId="55427" xr:uid="{00000000-0005-0000-0000-0000B77B0000}"/>
    <cellStyle name="Comma 6 3 5 2 4 2 3" xfId="40928" xr:uid="{00000000-0005-0000-0000-0000B87B0000}"/>
    <cellStyle name="Comma 6 3 5 2 4 3" xfId="19173" xr:uid="{00000000-0005-0000-0000-0000B97B0000}"/>
    <cellStyle name="Comma 6 3 5 2 4 3 2" xfId="48179" xr:uid="{00000000-0005-0000-0000-0000BA7B0000}"/>
    <cellStyle name="Comma 6 3 5 2 4 4" xfId="33680" xr:uid="{00000000-0005-0000-0000-0000BB7B0000}"/>
    <cellStyle name="Comma 6 3 5 2 5" xfId="7719" xr:uid="{00000000-0005-0000-0000-0000BC7B0000}"/>
    <cellStyle name="Comma 6 3 5 2 5 2" xfId="14991" xr:uid="{00000000-0005-0000-0000-0000BD7B0000}"/>
    <cellStyle name="Comma 6 3 5 2 5 2 2" xfId="29525" xr:uid="{00000000-0005-0000-0000-0000BE7B0000}"/>
    <cellStyle name="Comma 6 3 5 2 5 2 2 2" xfId="58531" xr:uid="{00000000-0005-0000-0000-0000BF7B0000}"/>
    <cellStyle name="Comma 6 3 5 2 5 2 3" xfId="44032" xr:uid="{00000000-0005-0000-0000-0000C07B0000}"/>
    <cellStyle name="Comma 6 3 5 2 5 3" xfId="22277" xr:uid="{00000000-0005-0000-0000-0000C17B0000}"/>
    <cellStyle name="Comma 6 3 5 2 5 3 2" xfId="51283" xr:uid="{00000000-0005-0000-0000-0000C27B0000}"/>
    <cellStyle name="Comma 6 3 5 2 5 4" xfId="36784" xr:uid="{00000000-0005-0000-0000-0000C37B0000}"/>
    <cellStyle name="Comma 6 3 5 2 6" xfId="8783" xr:uid="{00000000-0005-0000-0000-0000C47B0000}"/>
    <cellStyle name="Comma 6 3 5 2 6 2" xfId="23317" xr:uid="{00000000-0005-0000-0000-0000C57B0000}"/>
    <cellStyle name="Comma 6 3 5 2 6 2 2" xfId="52323" xr:uid="{00000000-0005-0000-0000-0000C67B0000}"/>
    <cellStyle name="Comma 6 3 5 2 6 3" xfId="37824" xr:uid="{00000000-0005-0000-0000-0000C77B0000}"/>
    <cellStyle name="Comma 6 3 5 2 7" xfId="16069" xr:uid="{00000000-0005-0000-0000-0000C87B0000}"/>
    <cellStyle name="Comma 6 3 5 2 7 2" xfId="45075" xr:uid="{00000000-0005-0000-0000-0000C97B0000}"/>
    <cellStyle name="Comma 6 3 5 2 8" xfId="30576" xr:uid="{00000000-0005-0000-0000-0000CA7B0000}"/>
    <cellStyle name="Comma 6 3 5 3" xfId="2039" xr:uid="{00000000-0005-0000-0000-0000CB7B0000}"/>
    <cellStyle name="Comma 6 3 5 3 2" xfId="5143" xr:uid="{00000000-0005-0000-0000-0000CC7B0000}"/>
    <cellStyle name="Comma 6 3 5 3 2 2" xfId="12415" xr:uid="{00000000-0005-0000-0000-0000CD7B0000}"/>
    <cellStyle name="Comma 6 3 5 3 2 2 2" xfId="26949" xr:uid="{00000000-0005-0000-0000-0000CE7B0000}"/>
    <cellStyle name="Comma 6 3 5 3 2 2 2 2" xfId="55955" xr:uid="{00000000-0005-0000-0000-0000CF7B0000}"/>
    <cellStyle name="Comma 6 3 5 3 2 2 3" xfId="41456" xr:uid="{00000000-0005-0000-0000-0000D07B0000}"/>
    <cellStyle name="Comma 6 3 5 3 2 3" xfId="19701" xr:uid="{00000000-0005-0000-0000-0000D17B0000}"/>
    <cellStyle name="Comma 6 3 5 3 2 3 2" xfId="48707" xr:uid="{00000000-0005-0000-0000-0000D27B0000}"/>
    <cellStyle name="Comma 6 3 5 3 2 4" xfId="34208" xr:uid="{00000000-0005-0000-0000-0000D37B0000}"/>
    <cellStyle name="Comma 6 3 5 3 3" xfId="9311" xr:uid="{00000000-0005-0000-0000-0000D47B0000}"/>
    <cellStyle name="Comma 6 3 5 3 3 2" xfId="23845" xr:uid="{00000000-0005-0000-0000-0000D57B0000}"/>
    <cellStyle name="Comma 6 3 5 3 3 2 2" xfId="52851" xr:uid="{00000000-0005-0000-0000-0000D67B0000}"/>
    <cellStyle name="Comma 6 3 5 3 3 3" xfId="38352" xr:uid="{00000000-0005-0000-0000-0000D77B0000}"/>
    <cellStyle name="Comma 6 3 5 3 4" xfId="16597" xr:uid="{00000000-0005-0000-0000-0000D87B0000}"/>
    <cellStyle name="Comma 6 3 5 3 4 2" xfId="45603" xr:uid="{00000000-0005-0000-0000-0000D97B0000}"/>
    <cellStyle name="Comma 6 3 5 3 5" xfId="31104" xr:uid="{00000000-0005-0000-0000-0000DA7B0000}"/>
    <cellStyle name="Comma 6 3 5 4" xfId="3071" xr:uid="{00000000-0005-0000-0000-0000DB7B0000}"/>
    <cellStyle name="Comma 6 3 5 4 2" xfId="6175" xr:uid="{00000000-0005-0000-0000-0000DC7B0000}"/>
    <cellStyle name="Comma 6 3 5 4 2 2" xfId="13447" xr:uid="{00000000-0005-0000-0000-0000DD7B0000}"/>
    <cellStyle name="Comma 6 3 5 4 2 2 2" xfId="27981" xr:uid="{00000000-0005-0000-0000-0000DE7B0000}"/>
    <cellStyle name="Comma 6 3 5 4 2 2 2 2" xfId="56987" xr:uid="{00000000-0005-0000-0000-0000DF7B0000}"/>
    <cellStyle name="Comma 6 3 5 4 2 2 3" xfId="42488" xr:uid="{00000000-0005-0000-0000-0000E07B0000}"/>
    <cellStyle name="Comma 6 3 5 4 2 3" xfId="20733" xr:uid="{00000000-0005-0000-0000-0000E17B0000}"/>
    <cellStyle name="Comma 6 3 5 4 2 3 2" xfId="49739" xr:uid="{00000000-0005-0000-0000-0000E27B0000}"/>
    <cellStyle name="Comma 6 3 5 4 2 4" xfId="35240" xr:uid="{00000000-0005-0000-0000-0000E37B0000}"/>
    <cellStyle name="Comma 6 3 5 4 3" xfId="10343" xr:uid="{00000000-0005-0000-0000-0000E47B0000}"/>
    <cellStyle name="Comma 6 3 5 4 3 2" xfId="24877" xr:uid="{00000000-0005-0000-0000-0000E57B0000}"/>
    <cellStyle name="Comma 6 3 5 4 3 2 2" xfId="53883" xr:uid="{00000000-0005-0000-0000-0000E67B0000}"/>
    <cellStyle name="Comma 6 3 5 4 3 3" xfId="39384" xr:uid="{00000000-0005-0000-0000-0000E77B0000}"/>
    <cellStyle name="Comma 6 3 5 4 4" xfId="17629" xr:uid="{00000000-0005-0000-0000-0000E87B0000}"/>
    <cellStyle name="Comma 6 3 5 4 4 2" xfId="46635" xr:uid="{00000000-0005-0000-0000-0000E97B0000}"/>
    <cellStyle name="Comma 6 3 5 4 5" xfId="32136" xr:uid="{00000000-0005-0000-0000-0000EA7B0000}"/>
    <cellStyle name="Comma 6 3 5 5" xfId="4103" xr:uid="{00000000-0005-0000-0000-0000EB7B0000}"/>
    <cellStyle name="Comma 6 3 5 5 2" xfId="11375" xr:uid="{00000000-0005-0000-0000-0000EC7B0000}"/>
    <cellStyle name="Comma 6 3 5 5 2 2" xfId="25909" xr:uid="{00000000-0005-0000-0000-0000ED7B0000}"/>
    <cellStyle name="Comma 6 3 5 5 2 2 2" xfId="54915" xr:uid="{00000000-0005-0000-0000-0000EE7B0000}"/>
    <cellStyle name="Comma 6 3 5 5 2 3" xfId="40416" xr:uid="{00000000-0005-0000-0000-0000EF7B0000}"/>
    <cellStyle name="Comma 6 3 5 5 3" xfId="18661" xr:uid="{00000000-0005-0000-0000-0000F07B0000}"/>
    <cellStyle name="Comma 6 3 5 5 3 2" xfId="47667" xr:uid="{00000000-0005-0000-0000-0000F17B0000}"/>
    <cellStyle name="Comma 6 3 5 5 4" xfId="33168" xr:uid="{00000000-0005-0000-0000-0000F27B0000}"/>
    <cellStyle name="Comma 6 3 5 6" xfId="7207" xr:uid="{00000000-0005-0000-0000-0000F37B0000}"/>
    <cellStyle name="Comma 6 3 5 6 2" xfId="14479" xr:uid="{00000000-0005-0000-0000-0000F47B0000}"/>
    <cellStyle name="Comma 6 3 5 6 2 2" xfId="29013" xr:uid="{00000000-0005-0000-0000-0000F57B0000}"/>
    <cellStyle name="Comma 6 3 5 6 2 2 2" xfId="58019" xr:uid="{00000000-0005-0000-0000-0000F67B0000}"/>
    <cellStyle name="Comma 6 3 5 6 2 3" xfId="43520" xr:uid="{00000000-0005-0000-0000-0000F77B0000}"/>
    <cellStyle name="Comma 6 3 5 6 3" xfId="21765" xr:uid="{00000000-0005-0000-0000-0000F87B0000}"/>
    <cellStyle name="Comma 6 3 5 6 3 2" xfId="50771" xr:uid="{00000000-0005-0000-0000-0000F97B0000}"/>
    <cellStyle name="Comma 6 3 5 6 4" xfId="36272" xr:uid="{00000000-0005-0000-0000-0000FA7B0000}"/>
    <cellStyle name="Comma 6 3 5 7" xfId="8271" xr:uid="{00000000-0005-0000-0000-0000FB7B0000}"/>
    <cellStyle name="Comma 6 3 5 7 2" xfId="22805" xr:uid="{00000000-0005-0000-0000-0000FC7B0000}"/>
    <cellStyle name="Comma 6 3 5 7 2 2" xfId="51811" xr:uid="{00000000-0005-0000-0000-0000FD7B0000}"/>
    <cellStyle name="Comma 6 3 5 7 3" xfId="37312" xr:uid="{00000000-0005-0000-0000-0000FE7B0000}"/>
    <cellStyle name="Comma 6 3 5 8" xfId="15557" xr:uid="{00000000-0005-0000-0000-0000FF7B0000}"/>
    <cellStyle name="Comma 6 3 5 8 2" xfId="44563" xr:uid="{00000000-0005-0000-0000-0000007C0000}"/>
    <cellStyle name="Comma 6 3 5 9" xfId="30064" xr:uid="{00000000-0005-0000-0000-0000017C0000}"/>
    <cellStyle name="Comma 6 3 6" xfId="1289" xr:uid="{00000000-0005-0000-0000-0000027C0000}"/>
    <cellStyle name="Comma 6 3 6 2" xfId="2345" xr:uid="{00000000-0005-0000-0000-0000037C0000}"/>
    <cellStyle name="Comma 6 3 6 2 2" xfId="5449" xr:uid="{00000000-0005-0000-0000-0000047C0000}"/>
    <cellStyle name="Comma 6 3 6 2 2 2" xfId="12721" xr:uid="{00000000-0005-0000-0000-0000057C0000}"/>
    <cellStyle name="Comma 6 3 6 2 2 2 2" xfId="27255" xr:uid="{00000000-0005-0000-0000-0000067C0000}"/>
    <cellStyle name="Comma 6 3 6 2 2 2 2 2" xfId="56261" xr:uid="{00000000-0005-0000-0000-0000077C0000}"/>
    <cellStyle name="Comma 6 3 6 2 2 2 3" xfId="41762" xr:uid="{00000000-0005-0000-0000-0000087C0000}"/>
    <cellStyle name="Comma 6 3 6 2 2 3" xfId="20007" xr:uid="{00000000-0005-0000-0000-0000097C0000}"/>
    <cellStyle name="Comma 6 3 6 2 2 3 2" xfId="49013" xr:uid="{00000000-0005-0000-0000-00000A7C0000}"/>
    <cellStyle name="Comma 6 3 6 2 2 4" xfId="34514" xr:uid="{00000000-0005-0000-0000-00000B7C0000}"/>
    <cellStyle name="Comma 6 3 6 2 3" xfId="9617" xr:uid="{00000000-0005-0000-0000-00000C7C0000}"/>
    <cellStyle name="Comma 6 3 6 2 3 2" xfId="24151" xr:uid="{00000000-0005-0000-0000-00000D7C0000}"/>
    <cellStyle name="Comma 6 3 6 2 3 2 2" xfId="53157" xr:uid="{00000000-0005-0000-0000-00000E7C0000}"/>
    <cellStyle name="Comma 6 3 6 2 3 3" xfId="38658" xr:uid="{00000000-0005-0000-0000-00000F7C0000}"/>
    <cellStyle name="Comma 6 3 6 2 4" xfId="16903" xr:uid="{00000000-0005-0000-0000-0000107C0000}"/>
    <cellStyle name="Comma 6 3 6 2 4 2" xfId="45909" xr:uid="{00000000-0005-0000-0000-0000117C0000}"/>
    <cellStyle name="Comma 6 3 6 2 5" xfId="31410" xr:uid="{00000000-0005-0000-0000-0000127C0000}"/>
    <cellStyle name="Comma 6 3 6 3" xfId="3377" xr:uid="{00000000-0005-0000-0000-0000137C0000}"/>
    <cellStyle name="Comma 6 3 6 3 2" xfId="6481" xr:uid="{00000000-0005-0000-0000-0000147C0000}"/>
    <cellStyle name="Comma 6 3 6 3 2 2" xfId="13753" xr:uid="{00000000-0005-0000-0000-0000157C0000}"/>
    <cellStyle name="Comma 6 3 6 3 2 2 2" xfId="28287" xr:uid="{00000000-0005-0000-0000-0000167C0000}"/>
    <cellStyle name="Comma 6 3 6 3 2 2 2 2" xfId="57293" xr:uid="{00000000-0005-0000-0000-0000177C0000}"/>
    <cellStyle name="Comma 6 3 6 3 2 2 3" xfId="42794" xr:uid="{00000000-0005-0000-0000-0000187C0000}"/>
    <cellStyle name="Comma 6 3 6 3 2 3" xfId="21039" xr:uid="{00000000-0005-0000-0000-0000197C0000}"/>
    <cellStyle name="Comma 6 3 6 3 2 3 2" xfId="50045" xr:uid="{00000000-0005-0000-0000-00001A7C0000}"/>
    <cellStyle name="Comma 6 3 6 3 2 4" xfId="35546" xr:uid="{00000000-0005-0000-0000-00001B7C0000}"/>
    <cellStyle name="Comma 6 3 6 3 3" xfId="10649" xr:uid="{00000000-0005-0000-0000-00001C7C0000}"/>
    <cellStyle name="Comma 6 3 6 3 3 2" xfId="25183" xr:uid="{00000000-0005-0000-0000-00001D7C0000}"/>
    <cellStyle name="Comma 6 3 6 3 3 2 2" xfId="54189" xr:uid="{00000000-0005-0000-0000-00001E7C0000}"/>
    <cellStyle name="Comma 6 3 6 3 3 3" xfId="39690" xr:uid="{00000000-0005-0000-0000-00001F7C0000}"/>
    <cellStyle name="Comma 6 3 6 3 4" xfId="17935" xr:uid="{00000000-0005-0000-0000-0000207C0000}"/>
    <cellStyle name="Comma 6 3 6 3 4 2" xfId="46941" xr:uid="{00000000-0005-0000-0000-0000217C0000}"/>
    <cellStyle name="Comma 6 3 6 3 5" xfId="32442" xr:uid="{00000000-0005-0000-0000-0000227C0000}"/>
    <cellStyle name="Comma 6 3 6 4" xfId="4409" xr:uid="{00000000-0005-0000-0000-0000237C0000}"/>
    <cellStyle name="Comma 6 3 6 4 2" xfId="11681" xr:uid="{00000000-0005-0000-0000-0000247C0000}"/>
    <cellStyle name="Comma 6 3 6 4 2 2" xfId="26215" xr:uid="{00000000-0005-0000-0000-0000257C0000}"/>
    <cellStyle name="Comma 6 3 6 4 2 2 2" xfId="55221" xr:uid="{00000000-0005-0000-0000-0000267C0000}"/>
    <cellStyle name="Comma 6 3 6 4 2 3" xfId="40722" xr:uid="{00000000-0005-0000-0000-0000277C0000}"/>
    <cellStyle name="Comma 6 3 6 4 3" xfId="18967" xr:uid="{00000000-0005-0000-0000-0000287C0000}"/>
    <cellStyle name="Comma 6 3 6 4 3 2" xfId="47973" xr:uid="{00000000-0005-0000-0000-0000297C0000}"/>
    <cellStyle name="Comma 6 3 6 4 4" xfId="33474" xr:uid="{00000000-0005-0000-0000-00002A7C0000}"/>
    <cellStyle name="Comma 6 3 6 5" xfId="7513" xr:uid="{00000000-0005-0000-0000-00002B7C0000}"/>
    <cellStyle name="Comma 6 3 6 5 2" xfId="14785" xr:uid="{00000000-0005-0000-0000-00002C7C0000}"/>
    <cellStyle name="Comma 6 3 6 5 2 2" xfId="29319" xr:uid="{00000000-0005-0000-0000-00002D7C0000}"/>
    <cellStyle name="Comma 6 3 6 5 2 2 2" xfId="58325" xr:uid="{00000000-0005-0000-0000-00002E7C0000}"/>
    <cellStyle name="Comma 6 3 6 5 2 3" xfId="43826" xr:uid="{00000000-0005-0000-0000-00002F7C0000}"/>
    <cellStyle name="Comma 6 3 6 5 3" xfId="22071" xr:uid="{00000000-0005-0000-0000-0000307C0000}"/>
    <cellStyle name="Comma 6 3 6 5 3 2" xfId="51077" xr:uid="{00000000-0005-0000-0000-0000317C0000}"/>
    <cellStyle name="Comma 6 3 6 5 4" xfId="36578" xr:uid="{00000000-0005-0000-0000-0000327C0000}"/>
    <cellStyle name="Comma 6 3 6 6" xfId="8577" xr:uid="{00000000-0005-0000-0000-0000337C0000}"/>
    <cellStyle name="Comma 6 3 6 6 2" xfId="23111" xr:uid="{00000000-0005-0000-0000-0000347C0000}"/>
    <cellStyle name="Comma 6 3 6 6 2 2" xfId="52117" xr:uid="{00000000-0005-0000-0000-0000357C0000}"/>
    <cellStyle name="Comma 6 3 6 6 3" xfId="37618" xr:uid="{00000000-0005-0000-0000-0000367C0000}"/>
    <cellStyle name="Comma 6 3 6 7" xfId="15863" xr:uid="{00000000-0005-0000-0000-0000377C0000}"/>
    <cellStyle name="Comma 6 3 6 7 2" xfId="44869" xr:uid="{00000000-0005-0000-0000-0000387C0000}"/>
    <cellStyle name="Comma 6 3 6 8" xfId="30370" xr:uid="{00000000-0005-0000-0000-0000397C0000}"/>
    <cellStyle name="Comma 6 3 7" xfId="1833" xr:uid="{00000000-0005-0000-0000-00003A7C0000}"/>
    <cellStyle name="Comma 6 3 7 2" xfId="4937" xr:uid="{00000000-0005-0000-0000-00003B7C0000}"/>
    <cellStyle name="Comma 6 3 7 2 2" xfId="12209" xr:uid="{00000000-0005-0000-0000-00003C7C0000}"/>
    <cellStyle name="Comma 6 3 7 2 2 2" xfId="26743" xr:uid="{00000000-0005-0000-0000-00003D7C0000}"/>
    <cellStyle name="Comma 6 3 7 2 2 2 2" xfId="55749" xr:uid="{00000000-0005-0000-0000-00003E7C0000}"/>
    <cellStyle name="Comma 6 3 7 2 2 3" xfId="41250" xr:uid="{00000000-0005-0000-0000-00003F7C0000}"/>
    <cellStyle name="Comma 6 3 7 2 3" xfId="19495" xr:uid="{00000000-0005-0000-0000-0000407C0000}"/>
    <cellStyle name="Comma 6 3 7 2 3 2" xfId="48501" xr:uid="{00000000-0005-0000-0000-0000417C0000}"/>
    <cellStyle name="Comma 6 3 7 2 4" xfId="34002" xr:uid="{00000000-0005-0000-0000-0000427C0000}"/>
    <cellStyle name="Comma 6 3 7 3" xfId="9105" xr:uid="{00000000-0005-0000-0000-0000437C0000}"/>
    <cellStyle name="Comma 6 3 7 3 2" xfId="23639" xr:uid="{00000000-0005-0000-0000-0000447C0000}"/>
    <cellStyle name="Comma 6 3 7 3 2 2" xfId="52645" xr:uid="{00000000-0005-0000-0000-0000457C0000}"/>
    <cellStyle name="Comma 6 3 7 3 3" xfId="38146" xr:uid="{00000000-0005-0000-0000-0000467C0000}"/>
    <cellStyle name="Comma 6 3 7 4" xfId="16391" xr:uid="{00000000-0005-0000-0000-0000477C0000}"/>
    <cellStyle name="Comma 6 3 7 4 2" xfId="45397" xr:uid="{00000000-0005-0000-0000-0000487C0000}"/>
    <cellStyle name="Comma 6 3 7 5" xfId="30898" xr:uid="{00000000-0005-0000-0000-0000497C0000}"/>
    <cellStyle name="Comma 6 3 8" xfId="2865" xr:uid="{00000000-0005-0000-0000-00004A7C0000}"/>
    <cellStyle name="Comma 6 3 8 2" xfId="5969" xr:uid="{00000000-0005-0000-0000-00004B7C0000}"/>
    <cellStyle name="Comma 6 3 8 2 2" xfId="13241" xr:uid="{00000000-0005-0000-0000-00004C7C0000}"/>
    <cellStyle name="Comma 6 3 8 2 2 2" xfId="27775" xr:uid="{00000000-0005-0000-0000-00004D7C0000}"/>
    <cellStyle name="Comma 6 3 8 2 2 2 2" xfId="56781" xr:uid="{00000000-0005-0000-0000-00004E7C0000}"/>
    <cellStyle name="Comma 6 3 8 2 2 3" xfId="42282" xr:uid="{00000000-0005-0000-0000-00004F7C0000}"/>
    <cellStyle name="Comma 6 3 8 2 3" xfId="20527" xr:uid="{00000000-0005-0000-0000-0000507C0000}"/>
    <cellStyle name="Comma 6 3 8 2 3 2" xfId="49533" xr:uid="{00000000-0005-0000-0000-0000517C0000}"/>
    <cellStyle name="Comma 6 3 8 2 4" xfId="35034" xr:uid="{00000000-0005-0000-0000-0000527C0000}"/>
    <cellStyle name="Comma 6 3 8 3" xfId="10137" xr:uid="{00000000-0005-0000-0000-0000537C0000}"/>
    <cellStyle name="Comma 6 3 8 3 2" xfId="24671" xr:uid="{00000000-0005-0000-0000-0000547C0000}"/>
    <cellStyle name="Comma 6 3 8 3 2 2" xfId="53677" xr:uid="{00000000-0005-0000-0000-0000557C0000}"/>
    <cellStyle name="Comma 6 3 8 3 3" xfId="39178" xr:uid="{00000000-0005-0000-0000-0000567C0000}"/>
    <cellStyle name="Comma 6 3 8 4" xfId="17423" xr:uid="{00000000-0005-0000-0000-0000577C0000}"/>
    <cellStyle name="Comma 6 3 8 4 2" xfId="46429" xr:uid="{00000000-0005-0000-0000-0000587C0000}"/>
    <cellStyle name="Comma 6 3 8 5" xfId="31930" xr:uid="{00000000-0005-0000-0000-0000597C0000}"/>
    <cellStyle name="Comma 6 3 9" xfId="3897" xr:uid="{00000000-0005-0000-0000-00005A7C0000}"/>
    <cellStyle name="Comma 6 3 9 2" xfId="11169" xr:uid="{00000000-0005-0000-0000-00005B7C0000}"/>
    <cellStyle name="Comma 6 3 9 2 2" xfId="25703" xr:uid="{00000000-0005-0000-0000-00005C7C0000}"/>
    <cellStyle name="Comma 6 3 9 2 2 2" xfId="54709" xr:uid="{00000000-0005-0000-0000-00005D7C0000}"/>
    <cellStyle name="Comma 6 3 9 2 3" xfId="40210" xr:uid="{00000000-0005-0000-0000-00005E7C0000}"/>
    <cellStyle name="Comma 6 3 9 3" xfId="18455" xr:uid="{00000000-0005-0000-0000-00005F7C0000}"/>
    <cellStyle name="Comma 6 3 9 3 2" xfId="47461" xr:uid="{00000000-0005-0000-0000-0000607C0000}"/>
    <cellStyle name="Comma 6 3 9 4" xfId="32962" xr:uid="{00000000-0005-0000-0000-0000617C0000}"/>
    <cellStyle name="Comma 6 4" xfId="183" xr:uid="{00000000-0005-0000-0000-0000627C0000}"/>
    <cellStyle name="Comma 6 4 10" xfId="8093" xr:uid="{00000000-0005-0000-0000-0000637C0000}"/>
    <cellStyle name="Comma 6 4 10 2" xfId="22627" xr:uid="{00000000-0005-0000-0000-0000647C0000}"/>
    <cellStyle name="Comma 6 4 10 2 2" xfId="51633" xr:uid="{00000000-0005-0000-0000-0000657C0000}"/>
    <cellStyle name="Comma 6 4 10 3" xfId="37134" xr:uid="{00000000-0005-0000-0000-0000667C0000}"/>
    <cellStyle name="Comma 6 4 11" xfId="15379" xr:uid="{00000000-0005-0000-0000-0000677C0000}"/>
    <cellStyle name="Comma 6 4 11 2" xfId="44385" xr:uid="{00000000-0005-0000-0000-0000687C0000}"/>
    <cellStyle name="Comma 6 4 12" xfId="29886" xr:uid="{00000000-0005-0000-0000-0000697C0000}"/>
    <cellStyle name="Comma 6 4 13" xfId="58898" xr:uid="{00000000-0005-0000-0000-00006A7C0000}"/>
    <cellStyle name="Comma 6 4 14" xfId="59007" xr:uid="{00000000-0005-0000-0000-00006B7C0000}"/>
    <cellStyle name="Comma 6 4 15" xfId="59231" xr:uid="{00000000-0005-0000-0000-00006C7C0000}"/>
    <cellStyle name="Comma 6 4 2" xfId="510" xr:uid="{00000000-0005-0000-0000-00006D7C0000}"/>
    <cellStyle name="Comma 6 4 2 10" xfId="29989" xr:uid="{00000000-0005-0000-0000-00006E7C0000}"/>
    <cellStyle name="Comma 6 4 2 11" xfId="59369" xr:uid="{00000000-0005-0000-0000-00006F7C0000}"/>
    <cellStyle name="Comma 6 4 2 2" xfId="1218" xr:uid="{00000000-0005-0000-0000-0000707C0000}"/>
    <cellStyle name="Comma 6 4 2 2 2" xfId="1723" xr:uid="{00000000-0005-0000-0000-0000717C0000}"/>
    <cellStyle name="Comma 6 4 2 2 2 2" xfId="2782" xr:uid="{00000000-0005-0000-0000-0000727C0000}"/>
    <cellStyle name="Comma 6 4 2 2 2 2 2" xfId="5886" xr:uid="{00000000-0005-0000-0000-0000737C0000}"/>
    <cellStyle name="Comma 6 4 2 2 2 2 2 2" xfId="13158" xr:uid="{00000000-0005-0000-0000-0000747C0000}"/>
    <cellStyle name="Comma 6 4 2 2 2 2 2 2 2" xfId="27692" xr:uid="{00000000-0005-0000-0000-0000757C0000}"/>
    <cellStyle name="Comma 6 4 2 2 2 2 2 2 2 2" xfId="56698" xr:uid="{00000000-0005-0000-0000-0000767C0000}"/>
    <cellStyle name="Comma 6 4 2 2 2 2 2 2 3" xfId="42199" xr:uid="{00000000-0005-0000-0000-0000777C0000}"/>
    <cellStyle name="Comma 6 4 2 2 2 2 2 3" xfId="20444" xr:uid="{00000000-0005-0000-0000-0000787C0000}"/>
    <cellStyle name="Comma 6 4 2 2 2 2 2 3 2" xfId="49450" xr:uid="{00000000-0005-0000-0000-0000797C0000}"/>
    <cellStyle name="Comma 6 4 2 2 2 2 2 4" xfId="34951" xr:uid="{00000000-0005-0000-0000-00007A7C0000}"/>
    <cellStyle name="Comma 6 4 2 2 2 2 3" xfId="10054" xr:uid="{00000000-0005-0000-0000-00007B7C0000}"/>
    <cellStyle name="Comma 6 4 2 2 2 2 3 2" xfId="24588" xr:uid="{00000000-0005-0000-0000-00007C7C0000}"/>
    <cellStyle name="Comma 6 4 2 2 2 2 3 2 2" xfId="53594" xr:uid="{00000000-0005-0000-0000-00007D7C0000}"/>
    <cellStyle name="Comma 6 4 2 2 2 2 3 3" xfId="39095" xr:uid="{00000000-0005-0000-0000-00007E7C0000}"/>
    <cellStyle name="Comma 6 4 2 2 2 2 4" xfId="17340" xr:uid="{00000000-0005-0000-0000-00007F7C0000}"/>
    <cellStyle name="Comma 6 4 2 2 2 2 4 2" xfId="46346" xr:uid="{00000000-0005-0000-0000-0000807C0000}"/>
    <cellStyle name="Comma 6 4 2 2 2 2 5" xfId="31847" xr:uid="{00000000-0005-0000-0000-0000817C0000}"/>
    <cellStyle name="Comma 6 4 2 2 2 3" xfId="3814" xr:uid="{00000000-0005-0000-0000-0000827C0000}"/>
    <cellStyle name="Comma 6 4 2 2 2 3 2" xfId="6918" xr:uid="{00000000-0005-0000-0000-0000837C0000}"/>
    <cellStyle name="Comma 6 4 2 2 2 3 2 2" xfId="14190" xr:uid="{00000000-0005-0000-0000-0000847C0000}"/>
    <cellStyle name="Comma 6 4 2 2 2 3 2 2 2" xfId="28724" xr:uid="{00000000-0005-0000-0000-0000857C0000}"/>
    <cellStyle name="Comma 6 4 2 2 2 3 2 2 2 2" xfId="57730" xr:uid="{00000000-0005-0000-0000-0000867C0000}"/>
    <cellStyle name="Comma 6 4 2 2 2 3 2 2 3" xfId="43231" xr:uid="{00000000-0005-0000-0000-0000877C0000}"/>
    <cellStyle name="Comma 6 4 2 2 2 3 2 3" xfId="21476" xr:uid="{00000000-0005-0000-0000-0000887C0000}"/>
    <cellStyle name="Comma 6 4 2 2 2 3 2 3 2" xfId="50482" xr:uid="{00000000-0005-0000-0000-0000897C0000}"/>
    <cellStyle name="Comma 6 4 2 2 2 3 2 4" xfId="35983" xr:uid="{00000000-0005-0000-0000-00008A7C0000}"/>
    <cellStyle name="Comma 6 4 2 2 2 3 3" xfId="11086" xr:uid="{00000000-0005-0000-0000-00008B7C0000}"/>
    <cellStyle name="Comma 6 4 2 2 2 3 3 2" xfId="25620" xr:uid="{00000000-0005-0000-0000-00008C7C0000}"/>
    <cellStyle name="Comma 6 4 2 2 2 3 3 2 2" xfId="54626" xr:uid="{00000000-0005-0000-0000-00008D7C0000}"/>
    <cellStyle name="Comma 6 4 2 2 2 3 3 3" xfId="40127" xr:uid="{00000000-0005-0000-0000-00008E7C0000}"/>
    <cellStyle name="Comma 6 4 2 2 2 3 4" xfId="18372" xr:uid="{00000000-0005-0000-0000-00008F7C0000}"/>
    <cellStyle name="Comma 6 4 2 2 2 3 4 2" xfId="47378" xr:uid="{00000000-0005-0000-0000-0000907C0000}"/>
    <cellStyle name="Comma 6 4 2 2 2 3 5" xfId="32879" xr:uid="{00000000-0005-0000-0000-0000917C0000}"/>
    <cellStyle name="Comma 6 4 2 2 2 4" xfId="4846" xr:uid="{00000000-0005-0000-0000-0000927C0000}"/>
    <cellStyle name="Comma 6 4 2 2 2 4 2" xfId="12118" xr:uid="{00000000-0005-0000-0000-0000937C0000}"/>
    <cellStyle name="Comma 6 4 2 2 2 4 2 2" xfId="26652" xr:uid="{00000000-0005-0000-0000-0000947C0000}"/>
    <cellStyle name="Comma 6 4 2 2 2 4 2 2 2" xfId="55658" xr:uid="{00000000-0005-0000-0000-0000957C0000}"/>
    <cellStyle name="Comma 6 4 2 2 2 4 2 3" xfId="41159" xr:uid="{00000000-0005-0000-0000-0000967C0000}"/>
    <cellStyle name="Comma 6 4 2 2 2 4 3" xfId="19404" xr:uid="{00000000-0005-0000-0000-0000977C0000}"/>
    <cellStyle name="Comma 6 4 2 2 2 4 3 2" xfId="48410" xr:uid="{00000000-0005-0000-0000-0000987C0000}"/>
    <cellStyle name="Comma 6 4 2 2 2 4 4" xfId="33911" xr:uid="{00000000-0005-0000-0000-0000997C0000}"/>
    <cellStyle name="Comma 6 4 2 2 2 5" xfId="7950" xr:uid="{00000000-0005-0000-0000-00009A7C0000}"/>
    <cellStyle name="Comma 6 4 2 2 2 5 2" xfId="15222" xr:uid="{00000000-0005-0000-0000-00009B7C0000}"/>
    <cellStyle name="Comma 6 4 2 2 2 5 2 2" xfId="29756" xr:uid="{00000000-0005-0000-0000-00009C7C0000}"/>
    <cellStyle name="Comma 6 4 2 2 2 5 2 2 2" xfId="58762" xr:uid="{00000000-0005-0000-0000-00009D7C0000}"/>
    <cellStyle name="Comma 6 4 2 2 2 5 2 3" xfId="44263" xr:uid="{00000000-0005-0000-0000-00009E7C0000}"/>
    <cellStyle name="Comma 6 4 2 2 2 5 3" xfId="22508" xr:uid="{00000000-0005-0000-0000-00009F7C0000}"/>
    <cellStyle name="Comma 6 4 2 2 2 5 3 2" xfId="51514" xr:uid="{00000000-0005-0000-0000-0000A07C0000}"/>
    <cellStyle name="Comma 6 4 2 2 2 5 4" xfId="37015" xr:uid="{00000000-0005-0000-0000-0000A17C0000}"/>
    <cellStyle name="Comma 6 4 2 2 2 6" xfId="9014" xr:uid="{00000000-0005-0000-0000-0000A27C0000}"/>
    <cellStyle name="Comma 6 4 2 2 2 6 2" xfId="23548" xr:uid="{00000000-0005-0000-0000-0000A37C0000}"/>
    <cellStyle name="Comma 6 4 2 2 2 6 2 2" xfId="52554" xr:uid="{00000000-0005-0000-0000-0000A47C0000}"/>
    <cellStyle name="Comma 6 4 2 2 2 6 3" xfId="38055" xr:uid="{00000000-0005-0000-0000-0000A57C0000}"/>
    <cellStyle name="Comma 6 4 2 2 2 7" xfId="16300" xr:uid="{00000000-0005-0000-0000-0000A67C0000}"/>
    <cellStyle name="Comma 6 4 2 2 2 7 2" xfId="45306" xr:uid="{00000000-0005-0000-0000-0000A77C0000}"/>
    <cellStyle name="Comma 6 4 2 2 2 8" xfId="30807" xr:uid="{00000000-0005-0000-0000-0000A87C0000}"/>
    <cellStyle name="Comma 6 4 2 2 3" xfId="2270" xr:uid="{00000000-0005-0000-0000-0000A97C0000}"/>
    <cellStyle name="Comma 6 4 2 2 3 2" xfId="5374" xr:uid="{00000000-0005-0000-0000-0000AA7C0000}"/>
    <cellStyle name="Comma 6 4 2 2 3 2 2" xfId="12646" xr:uid="{00000000-0005-0000-0000-0000AB7C0000}"/>
    <cellStyle name="Comma 6 4 2 2 3 2 2 2" xfId="27180" xr:uid="{00000000-0005-0000-0000-0000AC7C0000}"/>
    <cellStyle name="Comma 6 4 2 2 3 2 2 2 2" xfId="56186" xr:uid="{00000000-0005-0000-0000-0000AD7C0000}"/>
    <cellStyle name="Comma 6 4 2 2 3 2 2 3" xfId="41687" xr:uid="{00000000-0005-0000-0000-0000AE7C0000}"/>
    <cellStyle name="Comma 6 4 2 2 3 2 3" xfId="19932" xr:uid="{00000000-0005-0000-0000-0000AF7C0000}"/>
    <cellStyle name="Comma 6 4 2 2 3 2 3 2" xfId="48938" xr:uid="{00000000-0005-0000-0000-0000B07C0000}"/>
    <cellStyle name="Comma 6 4 2 2 3 2 4" xfId="34439" xr:uid="{00000000-0005-0000-0000-0000B17C0000}"/>
    <cellStyle name="Comma 6 4 2 2 3 3" xfId="9542" xr:uid="{00000000-0005-0000-0000-0000B27C0000}"/>
    <cellStyle name="Comma 6 4 2 2 3 3 2" xfId="24076" xr:uid="{00000000-0005-0000-0000-0000B37C0000}"/>
    <cellStyle name="Comma 6 4 2 2 3 3 2 2" xfId="53082" xr:uid="{00000000-0005-0000-0000-0000B47C0000}"/>
    <cellStyle name="Comma 6 4 2 2 3 3 3" xfId="38583" xr:uid="{00000000-0005-0000-0000-0000B57C0000}"/>
    <cellStyle name="Comma 6 4 2 2 3 4" xfId="16828" xr:uid="{00000000-0005-0000-0000-0000B67C0000}"/>
    <cellStyle name="Comma 6 4 2 2 3 4 2" xfId="45834" xr:uid="{00000000-0005-0000-0000-0000B77C0000}"/>
    <cellStyle name="Comma 6 4 2 2 3 5" xfId="31335" xr:uid="{00000000-0005-0000-0000-0000B87C0000}"/>
    <cellStyle name="Comma 6 4 2 2 4" xfId="3302" xr:uid="{00000000-0005-0000-0000-0000B97C0000}"/>
    <cellStyle name="Comma 6 4 2 2 4 2" xfId="6406" xr:uid="{00000000-0005-0000-0000-0000BA7C0000}"/>
    <cellStyle name="Comma 6 4 2 2 4 2 2" xfId="13678" xr:uid="{00000000-0005-0000-0000-0000BB7C0000}"/>
    <cellStyle name="Comma 6 4 2 2 4 2 2 2" xfId="28212" xr:uid="{00000000-0005-0000-0000-0000BC7C0000}"/>
    <cellStyle name="Comma 6 4 2 2 4 2 2 2 2" xfId="57218" xr:uid="{00000000-0005-0000-0000-0000BD7C0000}"/>
    <cellStyle name="Comma 6 4 2 2 4 2 2 3" xfId="42719" xr:uid="{00000000-0005-0000-0000-0000BE7C0000}"/>
    <cellStyle name="Comma 6 4 2 2 4 2 3" xfId="20964" xr:uid="{00000000-0005-0000-0000-0000BF7C0000}"/>
    <cellStyle name="Comma 6 4 2 2 4 2 3 2" xfId="49970" xr:uid="{00000000-0005-0000-0000-0000C07C0000}"/>
    <cellStyle name="Comma 6 4 2 2 4 2 4" xfId="35471" xr:uid="{00000000-0005-0000-0000-0000C17C0000}"/>
    <cellStyle name="Comma 6 4 2 2 4 3" xfId="10574" xr:uid="{00000000-0005-0000-0000-0000C27C0000}"/>
    <cellStyle name="Comma 6 4 2 2 4 3 2" xfId="25108" xr:uid="{00000000-0005-0000-0000-0000C37C0000}"/>
    <cellStyle name="Comma 6 4 2 2 4 3 2 2" xfId="54114" xr:uid="{00000000-0005-0000-0000-0000C47C0000}"/>
    <cellStyle name="Comma 6 4 2 2 4 3 3" xfId="39615" xr:uid="{00000000-0005-0000-0000-0000C57C0000}"/>
    <cellStyle name="Comma 6 4 2 2 4 4" xfId="17860" xr:uid="{00000000-0005-0000-0000-0000C67C0000}"/>
    <cellStyle name="Comma 6 4 2 2 4 4 2" xfId="46866" xr:uid="{00000000-0005-0000-0000-0000C77C0000}"/>
    <cellStyle name="Comma 6 4 2 2 4 5" xfId="32367" xr:uid="{00000000-0005-0000-0000-0000C87C0000}"/>
    <cellStyle name="Comma 6 4 2 2 5" xfId="4334" xr:uid="{00000000-0005-0000-0000-0000C97C0000}"/>
    <cellStyle name="Comma 6 4 2 2 5 2" xfId="11606" xr:uid="{00000000-0005-0000-0000-0000CA7C0000}"/>
    <cellStyle name="Comma 6 4 2 2 5 2 2" xfId="26140" xr:uid="{00000000-0005-0000-0000-0000CB7C0000}"/>
    <cellStyle name="Comma 6 4 2 2 5 2 2 2" xfId="55146" xr:uid="{00000000-0005-0000-0000-0000CC7C0000}"/>
    <cellStyle name="Comma 6 4 2 2 5 2 3" xfId="40647" xr:uid="{00000000-0005-0000-0000-0000CD7C0000}"/>
    <cellStyle name="Comma 6 4 2 2 5 3" xfId="18892" xr:uid="{00000000-0005-0000-0000-0000CE7C0000}"/>
    <cellStyle name="Comma 6 4 2 2 5 3 2" xfId="47898" xr:uid="{00000000-0005-0000-0000-0000CF7C0000}"/>
    <cellStyle name="Comma 6 4 2 2 5 4" xfId="33399" xr:uid="{00000000-0005-0000-0000-0000D07C0000}"/>
    <cellStyle name="Comma 6 4 2 2 6" xfId="7438" xr:uid="{00000000-0005-0000-0000-0000D17C0000}"/>
    <cellStyle name="Comma 6 4 2 2 6 2" xfId="14710" xr:uid="{00000000-0005-0000-0000-0000D27C0000}"/>
    <cellStyle name="Comma 6 4 2 2 6 2 2" xfId="29244" xr:uid="{00000000-0005-0000-0000-0000D37C0000}"/>
    <cellStyle name="Comma 6 4 2 2 6 2 2 2" xfId="58250" xr:uid="{00000000-0005-0000-0000-0000D47C0000}"/>
    <cellStyle name="Comma 6 4 2 2 6 2 3" xfId="43751" xr:uid="{00000000-0005-0000-0000-0000D57C0000}"/>
    <cellStyle name="Comma 6 4 2 2 6 3" xfId="21996" xr:uid="{00000000-0005-0000-0000-0000D67C0000}"/>
    <cellStyle name="Comma 6 4 2 2 6 3 2" xfId="51002" xr:uid="{00000000-0005-0000-0000-0000D77C0000}"/>
    <cellStyle name="Comma 6 4 2 2 6 4" xfId="36503" xr:uid="{00000000-0005-0000-0000-0000D87C0000}"/>
    <cellStyle name="Comma 6 4 2 2 7" xfId="8502" xr:uid="{00000000-0005-0000-0000-0000D97C0000}"/>
    <cellStyle name="Comma 6 4 2 2 7 2" xfId="23036" xr:uid="{00000000-0005-0000-0000-0000DA7C0000}"/>
    <cellStyle name="Comma 6 4 2 2 7 2 2" xfId="52042" xr:uid="{00000000-0005-0000-0000-0000DB7C0000}"/>
    <cellStyle name="Comma 6 4 2 2 7 3" xfId="37543" xr:uid="{00000000-0005-0000-0000-0000DC7C0000}"/>
    <cellStyle name="Comma 6 4 2 2 8" xfId="15788" xr:uid="{00000000-0005-0000-0000-0000DD7C0000}"/>
    <cellStyle name="Comma 6 4 2 2 8 2" xfId="44794" xr:uid="{00000000-0005-0000-0000-0000DE7C0000}"/>
    <cellStyle name="Comma 6 4 2 2 9" xfId="30295" xr:uid="{00000000-0005-0000-0000-0000DF7C0000}"/>
    <cellStyle name="Comma 6 4 2 3" xfId="1418" xr:uid="{00000000-0005-0000-0000-0000E07C0000}"/>
    <cellStyle name="Comma 6 4 2 3 2" xfId="2476" xr:uid="{00000000-0005-0000-0000-0000E17C0000}"/>
    <cellStyle name="Comma 6 4 2 3 2 2" xfId="5580" xr:uid="{00000000-0005-0000-0000-0000E27C0000}"/>
    <cellStyle name="Comma 6 4 2 3 2 2 2" xfId="12852" xr:uid="{00000000-0005-0000-0000-0000E37C0000}"/>
    <cellStyle name="Comma 6 4 2 3 2 2 2 2" xfId="27386" xr:uid="{00000000-0005-0000-0000-0000E47C0000}"/>
    <cellStyle name="Comma 6 4 2 3 2 2 2 2 2" xfId="56392" xr:uid="{00000000-0005-0000-0000-0000E57C0000}"/>
    <cellStyle name="Comma 6 4 2 3 2 2 2 3" xfId="41893" xr:uid="{00000000-0005-0000-0000-0000E67C0000}"/>
    <cellStyle name="Comma 6 4 2 3 2 2 3" xfId="20138" xr:uid="{00000000-0005-0000-0000-0000E77C0000}"/>
    <cellStyle name="Comma 6 4 2 3 2 2 3 2" xfId="49144" xr:uid="{00000000-0005-0000-0000-0000E87C0000}"/>
    <cellStyle name="Comma 6 4 2 3 2 2 4" xfId="34645" xr:uid="{00000000-0005-0000-0000-0000E97C0000}"/>
    <cellStyle name="Comma 6 4 2 3 2 3" xfId="9748" xr:uid="{00000000-0005-0000-0000-0000EA7C0000}"/>
    <cellStyle name="Comma 6 4 2 3 2 3 2" xfId="24282" xr:uid="{00000000-0005-0000-0000-0000EB7C0000}"/>
    <cellStyle name="Comma 6 4 2 3 2 3 2 2" xfId="53288" xr:uid="{00000000-0005-0000-0000-0000EC7C0000}"/>
    <cellStyle name="Comma 6 4 2 3 2 3 3" xfId="38789" xr:uid="{00000000-0005-0000-0000-0000ED7C0000}"/>
    <cellStyle name="Comma 6 4 2 3 2 4" xfId="17034" xr:uid="{00000000-0005-0000-0000-0000EE7C0000}"/>
    <cellStyle name="Comma 6 4 2 3 2 4 2" xfId="46040" xr:uid="{00000000-0005-0000-0000-0000EF7C0000}"/>
    <cellStyle name="Comma 6 4 2 3 2 5" xfId="31541" xr:uid="{00000000-0005-0000-0000-0000F07C0000}"/>
    <cellStyle name="Comma 6 4 2 3 3" xfId="3508" xr:uid="{00000000-0005-0000-0000-0000F17C0000}"/>
    <cellStyle name="Comma 6 4 2 3 3 2" xfId="6612" xr:uid="{00000000-0005-0000-0000-0000F27C0000}"/>
    <cellStyle name="Comma 6 4 2 3 3 2 2" xfId="13884" xr:uid="{00000000-0005-0000-0000-0000F37C0000}"/>
    <cellStyle name="Comma 6 4 2 3 3 2 2 2" xfId="28418" xr:uid="{00000000-0005-0000-0000-0000F47C0000}"/>
    <cellStyle name="Comma 6 4 2 3 3 2 2 2 2" xfId="57424" xr:uid="{00000000-0005-0000-0000-0000F57C0000}"/>
    <cellStyle name="Comma 6 4 2 3 3 2 2 3" xfId="42925" xr:uid="{00000000-0005-0000-0000-0000F67C0000}"/>
    <cellStyle name="Comma 6 4 2 3 3 2 3" xfId="21170" xr:uid="{00000000-0005-0000-0000-0000F77C0000}"/>
    <cellStyle name="Comma 6 4 2 3 3 2 3 2" xfId="50176" xr:uid="{00000000-0005-0000-0000-0000F87C0000}"/>
    <cellStyle name="Comma 6 4 2 3 3 2 4" xfId="35677" xr:uid="{00000000-0005-0000-0000-0000F97C0000}"/>
    <cellStyle name="Comma 6 4 2 3 3 3" xfId="10780" xr:uid="{00000000-0005-0000-0000-0000FA7C0000}"/>
    <cellStyle name="Comma 6 4 2 3 3 3 2" xfId="25314" xr:uid="{00000000-0005-0000-0000-0000FB7C0000}"/>
    <cellStyle name="Comma 6 4 2 3 3 3 2 2" xfId="54320" xr:uid="{00000000-0005-0000-0000-0000FC7C0000}"/>
    <cellStyle name="Comma 6 4 2 3 3 3 3" xfId="39821" xr:uid="{00000000-0005-0000-0000-0000FD7C0000}"/>
    <cellStyle name="Comma 6 4 2 3 3 4" xfId="18066" xr:uid="{00000000-0005-0000-0000-0000FE7C0000}"/>
    <cellStyle name="Comma 6 4 2 3 3 4 2" xfId="47072" xr:uid="{00000000-0005-0000-0000-0000FF7C0000}"/>
    <cellStyle name="Comma 6 4 2 3 3 5" xfId="32573" xr:uid="{00000000-0005-0000-0000-0000007D0000}"/>
    <cellStyle name="Comma 6 4 2 3 4" xfId="4540" xr:uid="{00000000-0005-0000-0000-0000017D0000}"/>
    <cellStyle name="Comma 6 4 2 3 4 2" xfId="11812" xr:uid="{00000000-0005-0000-0000-0000027D0000}"/>
    <cellStyle name="Comma 6 4 2 3 4 2 2" xfId="26346" xr:uid="{00000000-0005-0000-0000-0000037D0000}"/>
    <cellStyle name="Comma 6 4 2 3 4 2 2 2" xfId="55352" xr:uid="{00000000-0005-0000-0000-0000047D0000}"/>
    <cellStyle name="Comma 6 4 2 3 4 2 3" xfId="40853" xr:uid="{00000000-0005-0000-0000-0000057D0000}"/>
    <cellStyle name="Comma 6 4 2 3 4 3" xfId="19098" xr:uid="{00000000-0005-0000-0000-0000067D0000}"/>
    <cellStyle name="Comma 6 4 2 3 4 3 2" xfId="48104" xr:uid="{00000000-0005-0000-0000-0000077D0000}"/>
    <cellStyle name="Comma 6 4 2 3 4 4" xfId="33605" xr:uid="{00000000-0005-0000-0000-0000087D0000}"/>
    <cellStyle name="Comma 6 4 2 3 5" xfId="7644" xr:uid="{00000000-0005-0000-0000-0000097D0000}"/>
    <cellStyle name="Comma 6 4 2 3 5 2" xfId="14916" xr:uid="{00000000-0005-0000-0000-00000A7D0000}"/>
    <cellStyle name="Comma 6 4 2 3 5 2 2" xfId="29450" xr:uid="{00000000-0005-0000-0000-00000B7D0000}"/>
    <cellStyle name="Comma 6 4 2 3 5 2 2 2" xfId="58456" xr:uid="{00000000-0005-0000-0000-00000C7D0000}"/>
    <cellStyle name="Comma 6 4 2 3 5 2 3" xfId="43957" xr:uid="{00000000-0005-0000-0000-00000D7D0000}"/>
    <cellStyle name="Comma 6 4 2 3 5 3" xfId="22202" xr:uid="{00000000-0005-0000-0000-00000E7D0000}"/>
    <cellStyle name="Comma 6 4 2 3 5 3 2" xfId="51208" xr:uid="{00000000-0005-0000-0000-00000F7D0000}"/>
    <cellStyle name="Comma 6 4 2 3 5 4" xfId="36709" xr:uid="{00000000-0005-0000-0000-0000107D0000}"/>
    <cellStyle name="Comma 6 4 2 3 6" xfId="8708" xr:uid="{00000000-0005-0000-0000-0000117D0000}"/>
    <cellStyle name="Comma 6 4 2 3 6 2" xfId="23242" xr:uid="{00000000-0005-0000-0000-0000127D0000}"/>
    <cellStyle name="Comma 6 4 2 3 6 2 2" xfId="52248" xr:uid="{00000000-0005-0000-0000-0000137D0000}"/>
    <cellStyle name="Comma 6 4 2 3 6 3" xfId="37749" xr:uid="{00000000-0005-0000-0000-0000147D0000}"/>
    <cellStyle name="Comma 6 4 2 3 7" xfId="15994" xr:uid="{00000000-0005-0000-0000-0000157D0000}"/>
    <cellStyle name="Comma 6 4 2 3 7 2" xfId="45000" xr:uid="{00000000-0005-0000-0000-0000167D0000}"/>
    <cellStyle name="Comma 6 4 2 3 8" xfId="30501" xr:uid="{00000000-0005-0000-0000-0000177D0000}"/>
    <cellStyle name="Comma 6 4 2 4" xfId="1964" xr:uid="{00000000-0005-0000-0000-0000187D0000}"/>
    <cellStyle name="Comma 6 4 2 4 2" xfId="5068" xr:uid="{00000000-0005-0000-0000-0000197D0000}"/>
    <cellStyle name="Comma 6 4 2 4 2 2" xfId="12340" xr:uid="{00000000-0005-0000-0000-00001A7D0000}"/>
    <cellStyle name="Comma 6 4 2 4 2 2 2" xfId="26874" xr:uid="{00000000-0005-0000-0000-00001B7D0000}"/>
    <cellStyle name="Comma 6 4 2 4 2 2 2 2" xfId="55880" xr:uid="{00000000-0005-0000-0000-00001C7D0000}"/>
    <cellStyle name="Comma 6 4 2 4 2 2 3" xfId="41381" xr:uid="{00000000-0005-0000-0000-00001D7D0000}"/>
    <cellStyle name="Comma 6 4 2 4 2 3" xfId="19626" xr:uid="{00000000-0005-0000-0000-00001E7D0000}"/>
    <cellStyle name="Comma 6 4 2 4 2 3 2" xfId="48632" xr:uid="{00000000-0005-0000-0000-00001F7D0000}"/>
    <cellStyle name="Comma 6 4 2 4 2 4" xfId="34133" xr:uid="{00000000-0005-0000-0000-0000207D0000}"/>
    <cellStyle name="Comma 6 4 2 4 3" xfId="9236" xr:uid="{00000000-0005-0000-0000-0000217D0000}"/>
    <cellStyle name="Comma 6 4 2 4 3 2" xfId="23770" xr:uid="{00000000-0005-0000-0000-0000227D0000}"/>
    <cellStyle name="Comma 6 4 2 4 3 2 2" xfId="52776" xr:uid="{00000000-0005-0000-0000-0000237D0000}"/>
    <cellStyle name="Comma 6 4 2 4 3 3" xfId="38277" xr:uid="{00000000-0005-0000-0000-0000247D0000}"/>
    <cellStyle name="Comma 6 4 2 4 4" xfId="16522" xr:uid="{00000000-0005-0000-0000-0000257D0000}"/>
    <cellStyle name="Comma 6 4 2 4 4 2" xfId="45528" xr:uid="{00000000-0005-0000-0000-0000267D0000}"/>
    <cellStyle name="Comma 6 4 2 4 5" xfId="31029" xr:uid="{00000000-0005-0000-0000-0000277D0000}"/>
    <cellStyle name="Comma 6 4 2 5" xfId="2996" xr:uid="{00000000-0005-0000-0000-0000287D0000}"/>
    <cellStyle name="Comma 6 4 2 5 2" xfId="6100" xr:uid="{00000000-0005-0000-0000-0000297D0000}"/>
    <cellStyle name="Comma 6 4 2 5 2 2" xfId="13372" xr:uid="{00000000-0005-0000-0000-00002A7D0000}"/>
    <cellStyle name="Comma 6 4 2 5 2 2 2" xfId="27906" xr:uid="{00000000-0005-0000-0000-00002B7D0000}"/>
    <cellStyle name="Comma 6 4 2 5 2 2 2 2" xfId="56912" xr:uid="{00000000-0005-0000-0000-00002C7D0000}"/>
    <cellStyle name="Comma 6 4 2 5 2 2 3" xfId="42413" xr:uid="{00000000-0005-0000-0000-00002D7D0000}"/>
    <cellStyle name="Comma 6 4 2 5 2 3" xfId="20658" xr:uid="{00000000-0005-0000-0000-00002E7D0000}"/>
    <cellStyle name="Comma 6 4 2 5 2 3 2" xfId="49664" xr:uid="{00000000-0005-0000-0000-00002F7D0000}"/>
    <cellStyle name="Comma 6 4 2 5 2 4" xfId="35165" xr:uid="{00000000-0005-0000-0000-0000307D0000}"/>
    <cellStyle name="Comma 6 4 2 5 3" xfId="10268" xr:uid="{00000000-0005-0000-0000-0000317D0000}"/>
    <cellStyle name="Comma 6 4 2 5 3 2" xfId="24802" xr:uid="{00000000-0005-0000-0000-0000327D0000}"/>
    <cellStyle name="Comma 6 4 2 5 3 2 2" xfId="53808" xr:uid="{00000000-0005-0000-0000-0000337D0000}"/>
    <cellStyle name="Comma 6 4 2 5 3 3" xfId="39309" xr:uid="{00000000-0005-0000-0000-0000347D0000}"/>
    <cellStyle name="Comma 6 4 2 5 4" xfId="17554" xr:uid="{00000000-0005-0000-0000-0000357D0000}"/>
    <cellStyle name="Comma 6 4 2 5 4 2" xfId="46560" xr:uid="{00000000-0005-0000-0000-0000367D0000}"/>
    <cellStyle name="Comma 6 4 2 5 5" xfId="32061" xr:uid="{00000000-0005-0000-0000-0000377D0000}"/>
    <cellStyle name="Comma 6 4 2 6" xfId="4028" xr:uid="{00000000-0005-0000-0000-0000387D0000}"/>
    <cellStyle name="Comma 6 4 2 6 2" xfId="11300" xr:uid="{00000000-0005-0000-0000-0000397D0000}"/>
    <cellStyle name="Comma 6 4 2 6 2 2" xfId="25834" xr:uid="{00000000-0005-0000-0000-00003A7D0000}"/>
    <cellStyle name="Comma 6 4 2 6 2 2 2" xfId="54840" xr:uid="{00000000-0005-0000-0000-00003B7D0000}"/>
    <cellStyle name="Comma 6 4 2 6 2 3" xfId="40341" xr:uid="{00000000-0005-0000-0000-00003C7D0000}"/>
    <cellStyle name="Comma 6 4 2 6 3" xfId="18586" xr:uid="{00000000-0005-0000-0000-00003D7D0000}"/>
    <cellStyle name="Comma 6 4 2 6 3 2" xfId="47592" xr:uid="{00000000-0005-0000-0000-00003E7D0000}"/>
    <cellStyle name="Comma 6 4 2 6 4" xfId="33093" xr:uid="{00000000-0005-0000-0000-00003F7D0000}"/>
    <cellStyle name="Comma 6 4 2 7" xfId="7132" xr:uid="{00000000-0005-0000-0000-0000407D0000}"/>
    <cellStyle name="Comma 6 4 2 7 2" xfId="14404" xr:uid="{00000000-0005-0000-0000-0000417D0000}"/>
    <cellStyle name="Comma 6 4 2 7 2 2" xfId="28938" xr:uid="{00000000-0005-0000-0000-0000427D0000}"/>
    <cellStyle name="Comma 6 4 2 7 2 2 2" xfId="57944" xr:uid="{00000000-0005-0000-0000-0000437D0000}"/>
    <cellStyle name="Comma 6 4 2 7 2 3" xfId="43445" xr:uid="{00000000-0005-0000-0000-0000447D0000}"/>
    <cellStyle name="Comma 6 4 2 7 3" xfId="21690" xr:uid="{00000000-0005-0000-0000-0000457D0000}"/>
    <cellStyle name="Comma 6 4 2 7 3 2" xfId="50696" xr:uid="{00000000-0005-0000-0000-0000467D0000}"/>
    <cellStyle name="Comma 6 4 2 7 4" xfId="36197" xr:uid="{00000000-0005-0000-0000-0000477D0000}"/>
    <cellStyle name="Comma 6 4 2 8" xfId="8196" xr:uid="{00000000-0005-0000-0000-0000487D0000}"/>
    <cellStyle name="Comma 6 4 2 8 2" xfId="22730" xr:uid="{00000000-0005-0000-0000-0000497D0000}"/>
    <cellStyle name="Comma 6 4 2 8 2 2" xfId="51736" xr:uid="{00000000-0005-0000-0000-00004A7D0000}"/>
    <cellStyle name="Comma 6 4 2 8 3" xfId="37237" xr:uid="{00000000-0005-0000-0000-00004B7D0000}"/>
    <cellStyle name="Comma 6 4 2 9" xfId="15482" xr:uid="{00000000-0005-0000-0000-00004C7D0000}"/>
    <cellStyle name="Comma 6 4 2 9 2" xfId="44488" xr:uid="{00000000-0005-0000-0000-00004D7D0000}"/>
    <cellStyle name="Comma 6 4 3" xfId="1122" xr:uid="{00000000-0005-0000-0000-00004E7D0000}"/>
    <cellStyle name="Comma 6 4 3 10" xfId="59561" xr:uid="{00000000-0005-0000-0000-00004F7D0000}"/>
    <cellStyle name="Comma 6 4 3 2" xfId="1620" xr:uid="{00000000-0005-0000-0000-0000507D0000}"/>
    <cellStyle name="Comma 6 4 3 2 2" xfId="2679" xr:uid="{00000000-0005-0000-0000-0000517D0000}"/>
    <cellStyle name="Comma 6 4 3 2 2 2" xfId="5783" xr:uid="{00000000-0005-0000-0000-0000527D0000}"/>
    <cellStyle name="Comma 6 4 3 2 2 2 2" xfId="13055" xr:uid="{00000000-0005-0000-0000-0000537D0000}"/>
    <cellStyle name="Comma 6 4 3 2 2 2 2 2" xfId="27589" xr:uid="{00000000-0005-0000-0000-0000547D0000}"/>
    <cellStyle name="Comma 6 4 3 2 2 2 2 2 2" xfId="56595" xr:uid="{00000000-0005-0000-0000-0000557D0000}"/>
    <cellStyle name="Comma 6 4 3 2 2 2 2 3" xfId="42096" xr:uid="{00000000-0005-0000-0000-0000567D0000}"/>
    <cellStyle name="Comma 6 4 3 2 2 2 3" xfId="20341" xr:uid="{00000000-0005-0000-0000-0000577D0000}"/>
    <cellStyle name="Comma 6 4 3 2 2 2 3 2" xfId="49347" xr:uid="{00000000-0005-0000-0000-0000587D0000}"/>
    <cellStyle name="Comma 6 4 3 2 2 2 4" xfId="34848" xr:uid="{00000000-0005-0000-0000-0000597D0000}"/>
    <cellStyle name="Comma 6 4 3 2 2 3" xfId="9951" xr:uid="{00000000-0005-0000-0000-00005A7D0000}"/>
    <cellStyle name="Comma 6 4 3 2 2 3 2" xfId="24485" xr:uid="{00000000-0005-0000-0000-00005B7D0000}"/>
    <cellStyle name="Comma 6 4 3 2 2 3 2 2" xfId="53491" xr:uid="{00000000-0005-0000-0000-00005C7D0000}"/>
    <cellStyle name="Comma 6 4 3 2 2 3 3" xfId="38992" xr:uid="{00000000-0005-0000-0000-00005D7D0000}"/>
    <cellStyle name="Comma 6 4 3 2 2 4" xfId="17237" xr:uid="{00000000-0005-0000-0000-00005E7D0000}"/>
    <cellStyle name="Comma 6 4 3 2 2 4 2" xfId="46243" xr:uid="{00000000-0005-0000-0000-00005F7D0000}"/>
    <cellStyle name="Comma 6 4 3 2 2 5" xfId="31744" xr:uid="{00000000-0005-0000-0000-0000607D0000}"/>
    <cellStyle name="Comma 6 4 3 2 3" xfId="3711" xr:uid="{00000000-0005-0000-0000-0000617D0000}"/>
    <cellStyle name="Comma 6 4 3 2 3 2" xfId="6815" xr:uid="{00000000-0005-0000-0000-0000627D0000}"/>
    <cellStyle name="Comma 6 4 3 2 3 2 2" xfId="14087" xr:uid="{00000000-0005-0000-0000-0000637D0000}"/>
    <cellStyle name="Comma 6 4 3 2 3 2 2 2" xfId="28621" xr:uid="{00000000-0005-0000-0000-0000647D0000}"/>
    <cellStyle name="Comma 6 4 3 2 3 2 2 2 2" xfId="57627" xr:uid="{00000000-0005-0000-0000-0000657D0000}"/>
    <cellStyle name="Comma 6 4 3 2 3 2 2 3" xfId="43128" xr:uid="{00000000-0005-0000-0000-0000667D0000}"/>
    <cellStyle name="Comma 6 4 3 2 3 2 3" xfId="21373" xr:uid="{00000000-0005-0000-0000-0000677D0000}"/>
    <cellStyle name="Comma 6 4 3 2 3 2 3 2" xfId="50379" xr:uid="{00000000-0005-0000-0000-0000687D0000}"/>
    <cellStyle name="Comma 6 4 3 2 3 2 4" xfId="35880" xr:uid="{00000000-0005-0000-0000-0000697D0000}"/>
    <cellStyle name="Comma 6 4 3 2 3 3" xfId="10983" xr:uid="{00000000-0005-0000-0000-00006A7D0000}"/>
    <cellStyle name="Comma 6 4 3 2 3 3 2" xfId="25517" xr:uid="{00000000-0005-0000-0000-00006B7D0000}"/>
    <cellStyle name="Comma 6 4 3 2 3 3 2 2" xfId="54523" xr:uid="{00000000-0005-0000-0000-00006C7D0000}"/>
    <cellStyle name="Comma 6 4 3 2 3 3 3" xfId="40024" xr:uid="{00000000-0005-0000-0000-00006D7D0000}"/>
    <cellStyle name="Comma 6 4 3 2 3 4" xfId="18269" xr:uid="{00000000-0005-0000-0000-00006E7D0000}"/>
    <cellStyle name="Comma 6 4 3 2 3 4 2" xfId="47275" xr:uid="{00000000-0005-0000-0000-00006F7D0000}"/>
    <cellStyle name="Comma 6 4 3 2 3 5" xfId="32776" xr:uid="{00000000-0005-0000-0000-0000707D0000}"/>
    <cellStyle name="Comma 6 4 3 2 4" xfId="4743" xr:uid="{00000000-0005-0000-0000-0000717D0000}"/>
    <cellStyle name="Comma 6 4 3 2 4 2" xfId="12015" xr:uid="{00000000-0005-0000-0000-0000727D0000}"/>
    <cellStyle name="Comma 6 4 3 2 4 2 2" xfId="26549" xr:uid="{00000000-0005-0000-0000-0000737D0000}"/>
    <cellStyle name="Comma 6 4 3 2 4 2 2 2" xfId="55555" xr:uid="{00000000-0005-0000-0000-0000747D0000}"/>
    <cellStyle name="Comma 6 4 3 2 4 2 3" xfId="41056" xr:uid="{00000000-0005-0000-0000-0000757D0000}"/>
    <cellStyle name="Comma 6 4 3 2 4 3" xfId="19301" xr:uid="{00000000-0005-0000-0000-0000767D0000}"/>
    <cellStyle name="Comma 6 4 3 2 4 3 2" xfId="48307" xr:uid="{00000000-0005-0000-0000-0000777D0000}"/>
    <cellStyle name="Comma 6 4 3 2 4 4" xfId="33808" xr:uid="{00000000-0005-0000-0000-0000787D0000}"/>
    <cellStyle name="Comma 6 4 3 2 5" xfId="7847" xr:uid="{00000000-0005-0000-0000-0000797D0000}"/>
    <cellStyle name="Comma 6 4 3 2 5 2" xfId="15119" xr:uid="{00000000-0005-0000-0000-00007A7D0000}"/>
    <cellStyle name="Comma 6 4 3 2 5 2 2" xfId="29653" xr:uid="{00000000-0005-0000-0000-00007B7D0000}"/>
    <cellStyle name="Comma 6 4 3 2 5 2 2 2" xfId="58659" xr:uid="{00000000-0005-0000-0000-00007C7D0000}"/>
    <cellStyle name="Comma 6 4 3 2 5 2 3" xfId="44160" xr:uid="{00000000-0005-0000-0000-00007D7D0000}"/>
    <cellStyle name="Comma 6 4 3 2 5 3" xfId="22405" xr:uid="{00000000-0005-0000-0000-00007E7D0000}"/>
    <cellStyle name="Comma 6 4 3 2 5 3 2" xfId="51411" xr:uid="{00000000-0005-0000-0000-00007F7D0000}"/>
    <cellStyle name="Comma 6 4 3 2 5 4" xfId="36912" xr:uid="{00000000-0005-0000-0000-0000807D0000}"/>
    <cellStyle name="Comma 6 4 3 2 6" xfId="8911" xr:uid="{00000000-0005-0000-0000-0000817D0000}"/>
    <cellStyle name="Comma 6 4 3 2 6 2" xfId="23445" xr:uid="{00000000-0005-0000-0000-0000827D0000}"/>
    <cellStyle name="Comma 6 4 3 2 6 2 2" xfId="52451" xr:uid="{00000000-0005-0000-0000-0000837D0000}"/>
    <cellStyle name="Comma 6 4 3 2 6 3" xfId="37952" xr:uid="{00000000-0005-0000-0000-0000847D0000}"/>
    <cellStyle name="Comma 6 4 3 2 7" xfId="16197" xr:uid="{00000000-0005-0000-0000-0000857D0000}"/>
    <cellStyle name="Comma 6 4 3 2 7 2" xfId="45203" xr:uid="{00000000-0005-0000-0000-0000867D0000}"/>
    <cellStyle name="Comma 6 4 3 2 8" xfId="30704" xr:uid="{00000000-0005-0000-0000-0000877D0000}"/>
    <cellStyle name="Comma 6 4 3 3" xfId="2167" xr:uid="{00000000-0005-0000-0000-0000887D0000}"/>
    <cellStyle name="Comma 6 4 3 3 2" xfId="5271" xr:uid="{00000000-0005-0000-0000-0000897D0000}"/>
    <cellStyle name="Comma 6 4 3 3 2 2" xfId="12543" xr:uid="{00000000-0005-0000-0000-00008A7D0000}"/>
    <cellStyle name="Comma 6 4 3 3 2 2 2" xfId="27077" xr:uid="{00000000-0005-0000-0000-00008B7D0000}"/>
    <cellStyle name="Comma 6 4 3 3 2 2 2 2" xfId="56083" xr:uid="{00000000-0005-0000-0000-00008C7D0000}"/>
    <cellStyle name="Comma 6 4 3 3 2 2 3" xfId="41584" xr:uid="{00000000-0005-0000-0000-00008D7D0000}"/>
    <cellStyle name="Comma 6 4 3 3 2 3" xfId="19829" xr:uid="{00000000-0005-0000-0000-00008E7D0000}"/>
    <cellStyle name="Comma 6 4 3 3 2 3 2" xfId="48835" xr:uid="{00000000-0005-0000-0000-00008F7D0000}"/>
    <cellStyle name="Comma 6 4 3 3 2 4" xfId="34336" xr:uid="{00000000-0005-0000-0000-0000907D0000}"/>
    <cellStyle name="Comma 6 4 3 3 3" xfId="9439" xr:uid="{00000000-0005-0000-0000-0000917D0000}"/>
    <cellStyle name="Comma 6 4 3 3 3 2" xfId="23973" xr:uid="{00000000-0005-0000-0000-0000927D0000}"/>
    <cellStyle name="Comma 6 4 3 3 3 2 2" xfId="52979" xr:uid="{00000000-0005-0000-0000-0000937D0000}"/>
    <cellStyle name="Comma 6 4 3 3 3 3" xfId="38480" xr:uid="{00000000-0005-0000-0000-0000947D0000}"/>
    <cellStyle name="Comma 6 4 3 3 4" xfId="16725" xr:uid="{00000000-0005-0000-0000-0000957D0000}"/>
    <cellStyle name="Comma 6 4 3 3 4 2" xfId="45731" xr:uid="{00000000-0005-0000-0000-0000967D0000}"/>
    <cellStyle name="Comma 6 4 3 3 5" xfId="31232" xr:uid="{00000000-0005-0000-0000-0000977D0000}"/>
    <cellStyle name="Comma 6 4 3 4" xfId="3199" xr:uid="{00000000-0005-0000-0000-0000987D0000}"/>
    <cellStyle name="Comma 6 4 3 4 2" xfId="6303" xr:uid="{00000000-0005-0000-0000-0000997D0000}"/>
    <cellStyle name="Comma 6 4 3 4 2 2" xfId="13575" xr:uid="{00000000-0005-0000-0000-00009A7D0000}"/>
    <cellStyle name="Comma 6 4 3 4 2 2 2" xfId="28109" xr:uid="{00000000-0005-0000-0000-00009B7D0000}"/>
    <cellStyle name="Comma 6 4 3 4 2 2 2 2" xfId="57115" xr:uid="{00000000-0005-0000-0000-00009C7D0000}"/>
    <cellStyle name="Comma 6 4 3 4 2 2 3" xfId="42616" xr:uid="{00000000-0005-0000-0000-00009D7D0000}"/>
    <cellStyle name="Comma 6 4 3 4 2 3" xfId="20861" xr:uid="{00000000-0005-0000-0000-00009E7D0000}"/>
    <cellStyle name="Comma 6 4 3 4 2 3 2" xfId="49867" xr:uid="{00000000-0005-0000-0000-00009F7D0000}"/>
    <cellStyle name="Comma 6 4 3 4 2 4" xfId="35368" xr:uid="{00000000-0005-0000-0000-0000A07D0000}"/>
    <cellStyle name="Comma 6 4 3 4 3" xfId="10471" xr:uid="{00000000-0005-0000-0000-0000A17D0000}"/>
    <cellStyle name="Comma 6 4 3 4 3 2" xfId="25005" xr:uid="{00000000-0005-0000-0000-0000A27D0000}"/>
    <cellStyle name="Comma 6 4 3 4 3 2 2" xfId="54011" xr:uid="{00000000-0005-0000-0000-0000A37D0000}"/>
    <cellStyle name="Comma 6 4 3 4 3 3" xfId="39512" xr:uid="{00000000-0005-0000-0000-0000A47D0000}"/>
    <cellStyle name="Comma 6 4 3 4 4" xfId="17757" xr:uid="{00000000-0005-0000-0000-0000A57D0000}"/>
    <cellStyle name="Comma 6 4 3 4 4 2" xfId="46763" xr:uid="{00000000-0005-0000-0000-0000A67D0000}"/>
    <cellStyle name="Comma 6 4 3 4 5" xfId="32264" xr:uid="{00000000-0005-0000-0000-0000A77D0000}"/>
    <cellStyle name="Comma 6 4 3 5" xfId="4231" xr:uid="{00000000-0005-0000-0000-0000A87D0000}"/>
    <cellStyle name="Comma 6 4 3 5 2" xfId="11503" xr:uid="{00000000-0005-0000-0000-0000A97D0000}"/>
    <cellStyle name="Comma 6 4 3 5 2 2" xfId="26037" xr:uid="{00000000-0005-0000-0000-0000AA7D0000}"/>
    <cellStyle name="Comma 6 4 3 5 2 2 2" xfId="55043" xr:uid="{00000000-0005-0000-0000-0000AB7D0000}"/>
    <cellStyle name="Comma 6 4 3 5 2 3" xfId="40544" xr:uid="{00000000-0005-0000-0000-0000AC7D0000}"/>
    <cellStyle name="Comma 6 4 3 5 3" xfId="18789" xr:uid="{00000000-0005-0000-0000-0000AD7D0000}"/>
    <cellStyle name="Comma 6 4 3 5 3 2" xfId="47795" xr:uid="{00000000-0005-0000-0000-0000AE7D0000}"/>
    <cellStyle name="Comma 6 4 3 5 4" xfId="33296" xr:uid="{00000000-0005-0000-0000-0000AF7D0000}"/>
    <cellStyle name="Comma 6 4 3 6" xfId="7335" xr:uid="{00000000-0005-0000-0000-0000B07D0000}"/>
    <cellStyle name="Comma 6 4 3 6 2" xfId="14607" xr:uid="{00000000-0005-0000-0000-0000B17D0000}"/>
    <cellStyle name="Comma 6 4 3 6 2 2" xfId="29141" xr:uid="{00000000-0005-0000-0000-0000B27D0000}"/>
    <cellStyle name="Comma 6 4 3 6 2 2 2" xfId="58147" xr:uid="{00000000-0005-0000-0000-0000B37D0000}"/>
    <cellStyle name="Comma 6 4 3 6 2 3" xfId="43648" xr:uid="{00000000-0005-0000-0000-0000B47D0000}"/>
    <cellStyle name="Comma 6 4 3 6 3" xfId="21893" xr:uid="{00000000-0005-0000-0000-0000B57D0000}"/>
    <cellStyle name="Comma 6 4 3 6 3 2" xfId="50899" xr:uid="{00000000-0005-0000-0000-0000B67D0000}"/>
    <cellStyle name="Comma 6 4 3 6 4" xfId="36400" xr:uid="{00000000-0005-0000-0000-0000B77D0000}"/>
    <cellStyle name="Comma 6 4 3 7" xfId="8399" xr:uid="{00000000-0005-0000-0000-0000B87D0000}"/>
    <cellStyle name="Comma 6 4 3 7 2" xfId="22933" xr:uid="{00000000-0005-0000-0000-0000B97D0000}"/>
    <cellStyle name="Comma 6 4 3 7 2 2" xfId="51939" xr:uid="{00000000-0005-0000-0000-0000BA7D0000}"/>
    <cellStyle name="Comma 6 4 3 7 3" xfId="37440" xr:uid="{00000000-0005-0000-0000-0000BB7D0000}"/>
    <cellStyle name="Comma 6 4 3 8" xfId="15685" xr:uid="{00000000-0005-0000-0000-0000BC7D0000}"/>
    <cellStyle name="Comma 6 4 3 8 2" xfId="44691" xr:uid="{00000000-0005-0000-0000-0000BD7D0000}"/>
    <cellStyle name="Comma 6 4 3 9" xfId="30192" xr:uid="{00000000-0005-0000-0000-0000BE7D0000}"/>
    <cellStyle name="Comma 6 4 4" xfId="1031" xr:uid="{00000000-0005-0000-0000-0000BF7D0000}"/>
    <cellStyle name="Comma 6 4 4 2" xfId="1521" xr:uid="{00000000-0005-0000-0000-0000C07D0000}"/>
    <cellStyle name="Comma 6 4 4 2 2" xfId="2579" xr:uid="{00000000-0005-0000-0000-0000C17D0000}"/>
    <cellStyle name="Comma 6 4 4 2 2 2" xfId="5683" xr:uid="{00000000-0005-0000-0000-0000C27D0000}"/>
    <cellStyle name="Comma 6 4 4 2 2 2 2" xfId="12955" xr:uid="{00000000-0005-0000-0000-0000C37D0000}"/>
    <cellStyle name="Comma 6 4 4 2 2 2 2 2" xfId="27489" xr:uid="{00000000-0005-0000-0000-0000C47D0000}"/>
    <cellStyle name="Comma 6 4 4 2 2 2 2 2 2" xfId="56495" xr:uid="{00000000-0005-0000-0000-0000C57D0000}"/>
    <cellStyle name="Comma 6 4 4 2 2 2 2 3" xfId="41996" xr:uid="{00000000-0005-0000-0000-0000C67D0000}"/>
    <cellStyle name="Comma 6 4 4 2 2 2 3" xfId="20241" xr:uid="{00000000-0005-0000-0000-0000C77D0000}"/>
    <cellStyle name="Comma 6 4 4 2 2 2 3 2" xfId="49247" xr:uid="{00000000-0005-0000-0000-0000C87D0000}"/>
    <cellStyle name="Comma 6 4 4 2 2 2 4" xfId="34748" xr:uid="{00000000-0005-0000-0000-0000C97D0000}"/>
    <cellStyle name="Comma 6 4 4 2 2 3" xfId="9851" xr:uid="{00000000-0005-0000-0000-0000CA7D0000}"/>
    <cellStyle name="Comma 6 4 4 2 2 3 2" xfId="24385" xr:uid="{00000000-0005-0000-0000-0000CB7D0000}"/>
    <cellStyle name="Comma 6 4 4 2 2 3 2 2" xfId="53391" xr:uid="{00000000-0005-0000-0000-0000CC7D0000}"/>
    <cellStyle name="Comma 6 4 4 2 2 3 3" xfId="38892" xr:uid="{00000000-0005-0000-0000-0000CD7D0000}"/>
    <cellStyle name="Comma 6 4 4 2 2 4" xfId="17137" xr:uid="{00000000-0005-0000-0000-0000CE7D0000}"/>
    <cellStyle name="Comma 6 4 4 2 2 4 2" xfId="46143" xr:uid="{00000000-0005-0000-0000-0000CF7D0000}"/>
    <cellStyle name="Comma 6 4 4 2 2 5" xfId="31644" xr:uid="{00000000-0005-0000-0000-0000D07D0000}"/>
    <cellStyle name="Comma 6 4 4 2 3" xfId="3611" xr:uid="{00000000-0005-0000-0000-0000D17D0000}"/>
    <cellStyle name="Comma 6 4 4 2 3 2" xfId="6715" xr:uid="{00000000-0005-0000-0000-0000D27D0000}"/>
    <cellStyle name="Comma 6 4 4 2 3 2 2" xfId="13987" xr:uid="{00000000-0005-0000-0000-0000D37D0000}"/>
    <cellStyle name="Comma 6 4 4 2 3 2 2 2" xfId="28521" xr:uid="{00000000-0005-0000-0000-0000D47D0000}"/>
    <cellStyle name="Comma 6 4 4 2 3 2 2 2 2" xfId="57527" xr:uid="{00000000-0005-0000-0000-0000D57D0000}"/>
    <cellStyle name="Comma 6 4 4 2 3 2 2 3" xfId="43028" xr:uid="{00000000-0005-0000-0000-0000D67D0000}"/>
    <cellStyle name="Comma 6 4 4 2 3 2 3" xfId="21273" xr:uid="{00000000-0005-0000-0000-0000D77D0000}"/>
    <cellStyle name="Comma 6 4 4 2 3 2 3 2" xfId="50279" xr:uid="{00000000-0005-0000-0000-0000D87D0000}"/>
    <cellStyle name="Comma 6 4 4 2 3 2 4" xfId="35780" xr:uid="{00000000-0005-0000-0000-0000D97D0000}"/>
    <cellStyle name="Comma 6 4 4 2 3 3" xfId="10883" xr:uid="{00000000-0005-0000-0000-0000DA7D0000}"/>
    <cellStyle name="Comma 6 4 4 2 3 3 2" xfId="25417" xr:uid="{00000000-0005-0000-0000-0000DB7D0000}"/>
    <cellStyle name="Comma 6 4 4 2 3 3 2 2" xfId="54423" xr:uid="{00000000-0005-0000-0000-0000DC7D0000}"/>
    <cellStyle name="Comma 6 4 4 2 3 3 3" xfId="39924" xr:uid="{00000000-0005-0000-0000-0000DD7D0000}"/>
    <cellStyle name="Comma 6 4 4 2 3 4" xfId="18169" xr:uid="{00000000-0005-0000-0000-0000DE7D0000}"/>
    <cellStyle name="Comma 6 4 4 2 3 4 2" xfId="47175" xr:uid="{00000000-0005-0000-0000-0000DF7D0000}"/>
    <cellStyle name="Comma 6 4 4 2 3 5" xfId="32676" xr:uid="{00000000-0005-0000-0000-0000E07D0000}"/>
    <cellStyle name="Comma 6 4 4 2 4" xfId="4643" xr:uid="{00000000-0005-0000-0000-0000E17D0000}"/>
    <cellStyle name="Comma 6 4 4 2 4 2" xfId="11915" xr:uid="{00000000-0005-0000-0000-0000E27D0000}"/>
    <cellStyle name="Comma 6 4 4 2 4 2 2" xfId="26449" xr:uid="{00000000-0005-0000-0000-0000E37D0000}"/>
    <cellStyle name="Comma 6 4 4 2 4 2 2 2" xfId="55455" xr:uid="{00000000-0005-0000-0000-0000E47D0000}"/>
    <cellStyle name="Comma 6 4 4 2 4 2 3" xfId="40956" xr:uid="{00000000-0005-0000-0000-0000E57D0000}"/>
    <cellStyle name="Comma 6 4 4 2 4 3" xfId="19201" xr:uid="{00000000-0005-0000-0000-0000E67D0000}"/>
    <cellStyle name="Comma 6 4 4 2 4 3 2" xfId="48207" xr:uid="{00000000-0005-0000-0000-0000E77D0000}"/>
    <cellStyle name="Comma 6 4 4 2 4 4" xfId="33708" xr:uid="{00000000-0005-0000-0000-0000E87D0000}"/>
    <cellStyle name="Comma 6 4 4 2 5" xfId="7747" xr:uid="{00000000-0005-0000-0000-0000E97D0000}"/>
    <cellStyle name="Comma 6 4 4 2 5 2" xfId="15019" xr:uid="{00000000-0005-0000-0000-0000EA7D0000}"/>
    <cellStyle name="Comma 6 4 4 2 5 2 2" xfId="29553" xr:uid="{00000000-0005-0000-0000-0000EB7D0000}"/>
    <cellStyle name="Comma 6 4 4 2 5 2 2 2" xfId="58559" xr:uid="{00000000-0005-0000-0000-0000EC7D0000}"/>
    <cellStyle name="Comma 6 4 4 2 5 2 3" xfId="44060" xr:uid="{00000000-0005-0000-0000-0000ED7D0000}"/>
    <cellStyle name="Comma 6 4 4 2 5 3" xfId="22305" xr:uid="{00000000-0005-0000-0000-0000EE7D0000}"/>
    <cellStyle name="Comma 6 4 4 2 5 3 2" xfId="51311" xr:uid="{00000000-0005-0000-0000-0000EF7D0000}"/>
    <cellStyle name="Comma 6 4 4 2 5 4" xfId="36812" xr:uid="{00000000-0005-0000-0000-0000F07D0000}"/>
    <cellStyle name="Comma 6 4 4 2 6" xfId="8811" xr:uid="{00000000-0005-0000-0000-0000F17D0000}"/>
    <cellStyle name="Comma 6 4 4 2 6 2" xfId="23345" xr:uid="{00000000-0005-0000-0000-0000F27D0000}"/>
    <cellStyle name="Comma 6 4 4 2 6 2 2" xfId="52351" xr:uid="{00000000-0005-0000-0000-0000F37D0000}"/>
    <cellStyle name="Comma 6 4 4 2 6 3" xfId="37852" xr:uid="{00000000-0005-0000-0000-0000F47D0000}"/>
    <cellStyle name="Comma 6 4 4 2 7" xfId="16097" xr:uid="{00000000-0005-0000-0000-0000F57D0000}"/>
    <cellStyle name="Comma 6 4 4 2 7 2" xfId="45103" xr:uid="{00000000-0005-0000-0000-0000F67D0000}"/>
    <cellStyle name="Comma 6 4 4 2 8" xfId="30604" xr:uid="{00000000-0005-0000-0000-0000F77D0000}"/>
    <cellStyle name="Comma 6 4 4 3" xfId="2067" xr:uid="{00000000-0005-0000-0000-0000F87D0000}"/>
    <cellStyle name="Comma 6 4 4 3 2" xfId="5171" xr:uid="{00000000-0005-0000-0000-0000F97D0000}"/>
    <cellStyle name="Comma 6 4 4 3 2 2" xfId="12443" xr:uid="{00000000-0005-0000-0000-0000FA7D0000}"/>
    <cellStyle name="Comma 6 4 4 3 2 2 2" xfId="26977" xr:uid="{00000000-0005-0000-0000-0000FB7D0000}"/>
    <cellStyle name="Comma 6 4 4 3 2 2 2 2" xfId="55983" xr:uid="{00000000-0005-0000-0000-0000FC7D0000}"/>
    <cellStyle name="Comma 6 4 4 3 2 2 3" xfId="41484" xr:uid="{00000000-0005-0000-0000-0000FD7D0000}"/>
    <cellStyle name="Comma 6 4 4 3 2 3" xfId="19729" xr:uid="{00000000-0005-0000-0000-0000FE7D0000}"/>
    <cellStyle name="Comma 6 4 4 3 2 3 2" xfId="48735" xr:uid="{00000000-0005-0000-0000-0000FF7D0000}"/>
    <cellStyle name="Comma 6 4 4 3 2 4" xfId="34236" xr:uid="{00000000-0005-0000-0000-0000007E0000}"/>
    <cellStyle name="Comma 6 4 4 3 3" xfId="9339" xr:uid="{00000000-0005-0000-0000-0000017E0000}"/>
    <cellStyle name="Comma 6 4 4 3 3 2" xfId="23873" xr:uid="{00000000-0005-0000-0000-0000027E0000}"/>
    <cellStyle name="Comma 6 4 4 3 3 2 2" xfId="52879" xr:uid="{00000000-0005-0000-0000-0000037E0000}"/>
    <cellStyle name="Comma 6 4 4 3 3 3" xfId="38380" xr:uid="{00000000-0005-0000-0000-0000047E0000}"/>
    <cellStyle name="Comma 6 4 4 3 4" xfId="16625" xr:uid="{00000000-0005-0000-0000-0000057E0000}"/>
    <cellStyle name="Comma 6 4 4 3 4 2" xfId="45631" xr:uid="{00000000-0005-0000-0000-0000067E0000}"/>
    <cellStyle name="Comma 6 4 4 3 5" xfId="31132" xr:uid="{00000000-0005-0000-0000-0000077E0000}"/>
    <cellStyle name="Comma 6 4 4 4" xfId="3099" xr:uid="{00000000-0005-0000-0000-0000087E0000}"/>
    <cellStyle name="Comma 6 4 4 4 2" xfId="6203" xr:uid="{00000000-0005-0000-0000-0000097E0000}"/>
    <cellStyle name="Comma 6 4 4 4 2 2" xfId="13475" xr:uid="{00000000-0005-0000-0000-00000A7E0000}"/>
    <cellStyle name="Comma 6 4 4 4 2 2 2" xfId="28009" xr:uid="{00000000-0005-0000-0000-00000B7E0000}"/>
    <cellStyle name="Comma 6 4 4 4 2 2 2 2" xfId="57015" xr:uid="{00000000-0005-0000-0000-00000C7E0000}"/>
    <cellStyle name="Comma 6 4 4 4 2 2 3" xfId="42516" xr:uid="{00000000-0005-0000-0000-00000D7E0000}"/>
    <cellStyle name="Comma 6 4 4 4 2 3" xfId="20761" xr:uid="{00000000-0005-0000-0000-00000E7E0000}"/>
    <cellStyle name="Comma 6 4 4 4 2 3 2" xfId="49767" xr:uid="{00000000-0005-0000-0000-00000F7E0000}"/>
    <cellStyle name="Comma 6 4 4 4 2 4" xfId="35268" xr:uid="{00000000-0005-0000-0000-0000107E0000}"/>
    <cellStyle name="Comma 6 4 4 4 3" xfId="10371" xr:uid="{00000000-0005-0000-0000-0000117E0000}"/>
    <cellStyle name="Comma 6 4 4 4 3 2" xfId="24905" xr:uid="{00000000-0005-0000-0000-0000127E0000}"/>
    <cellStyle name="Comma 6 4 4 4 3 2 2" xfId="53911" xr:uid="{00000000-0005-0000-0000-0000137E0000}"/>
    <cellStyle name="Comma 6 4 4 4 3 3" xfId="39412" xr:uid="{00000000-0005-0000-0000-0000147E0000}"/>
    <cellStyle name="Comma 6 4 4 4 4" xfId="17657" xr:uid="{00000000-0005-0000-0000-0000157E0000}"/>
    <cellStyle name="Comma 6 4 4 4 4 2" xfId="46663" xr:uid="{00000000-0005-0000-0000-0000167E0000}"/>
    <cellStyle name="Comma 6 4 4 4 5" xfId="32164" xr:uid="{00000000-0005-0000-0000-0000177E0000}"/>
    <cellStyle name="Comma 6 4 4 5" xfId="4131" xr:uid="{00000000-0005-0000-0000-0000187E0000}"/>
    <cellStyle name="Comma 6 4 4 5 2" xfId="11403" xr:uid="{00000000-0005-0000-0000-0000197E0000}"/>
    <cellStyle name="Comma 6 4 4 5 2 2" xfId="25937" xr:uid="{00000000-0005-0000-0000-00001A7E0000}"/>
    <cellStyle name="Comma 6 4 4 5 2 2 2" xfId="54943" xr:uid="{00000000-0005-0000-0000-00001B7E0000}"/>
    <cellStyle name="Comma 6 4 4 5 2 3" xfId="40444" xr:uid="{00000000-0005-0000-0000-00001C7E0000}"/>
    <cellStyle name="Comma 6 4 4 5 3" xfId="18689" xr:uid="{00000000-0005-0000-0000-00001D7E0000}"/>
    <cellStyle name="Comma 6 4 4 5 3 2" xfId="47695" xr:uid="{00000000-0005-0000-0000-00001E7E0000}"/>
    <cellStyle name="Comma 6 4 4 5 4" xfId="33196" xr:uid="{00000000-0005-0000-0000-00001F7E0000}"/>
    <cellStyle name="Comma 6 4 4 6" xfId="7235" xr:uid="{00000000-0005-0000-0000-0000207E0000}"/>
    <cellStyle name="Comma 6 4 4 6 2" xfId="14507" xr:uid="{00000000-0005-0000-0000-0000217E0000}"/>
    <cellStyle name="Comma 6 4 4 6 2 2" xfId="29041" xr:uid="{00000000-0005-0000-0000-0000227E0000}"/>
    <cellStyle name="Comma 6 4 4 6 2 2 2" xfId="58047" xr:uid="{00000000-0005-0000-0000-0000237E0000}"/>
    <cellStyle name="Comma 6 4 4 6 2 3" xfId="43548" xr:uid="{00000000-0005-0000-0000-0000247E0000}"/>
    <cellStyle name="Comma 6 4 4 6 3" xfId="21793" xr:uid="{00000000-0005-0000-0000-0000257E0000}"/>
    <cellStyle name="Comma 6 4 4 6 3 2" xfId="50799" xr:uid="{00000000-0005-0000-0000-0000267E0000}"/>
    <cellStyle name="Comma 6 4 4 6 4" xfId="36300" xr:uid="{00000000-0005-0000-0000-0000277E0000}"/>
    <cellStyle name="Comma 6 4 4 7" xfId="8299" xr:uid="{00000000-0005-0000-0000-0000287E0000}"/>
    <cellStyle name="Comma 6 4 4 7 2" xfId="22833" xr:uid="{00000000-0005-0000-0000-0000297E0000}"/>
    <cellStyle name="Comma 6 4 4 7 2 2" xfId="51839" xr:uid="{00000000-0005-0000-0000-00002A7E0000}"/>
    <cellStyle name="Comma 6 4 4 7 3" xfId="37340" xr:uid="{00000000-0005-0000-0000-00002B7E0000}"/>
    <cellStyle name="Comma 6 4 4 8" xfId="15585" xr:uid="{00000000-0005-0000-0000-00002C7E0000}"/>
    <cellStyle name="Comma 6 4 4 8 2" xfId="44591" xr:uid="{00000000-0005-0000-0000-00002D7E0000}"/>
    <cellStyle name="Comma 6 4 4 9" xfId="30092" xr:uid="{00000000-0005-0000-0000-00002E7E0000}"/>
    <cellStyle name="Comma 6 4 5" xfId="1316" xr:uid="{00000000-0005-0000-0000-00002F7E0000}"/>
    <cellStyle name="Comma 6 4 5 2" xfId="2373" xr:uid="{00000000-0005-0000-0000-0000307E0000}"/>
    <cellStyle name="Comma 6 4 5 2 2" xfId="5477" xr:uid="{00000000-0005-0000-0000-0000317E0000}"/>
    <cellStyle name="Comma 6 4 5 2 2 2" xfId="12749" xr:uid="{00000000-0005-0000-0000-0000327E0000}"/>
    <cellStyle name="Comma 6 4 5 2 2 2 2" xfId="27283" xr:uid="{00000000-0005-0000-0000-0000337E0000}"/>
    <cellStyle name="Comma 6 4 5 2 2 2 2 2" xfId="56289" xr:uid="{00000000-0005-0000-0000-0000347E0000}"/>
    <cellStyle name="Comma 6 4 5 2 2 2 3" xfId="41790" xr:uid="{00000000-0005-0000-0000-0000357E0000}"/>
    <cellStyle name="Comma 6 4 5 2 2 3" xfId="20035" xr:uid="{00000000-0005-0000-0000-0000367E0000}"/>
    <cellStyle name="Comma 6 4 5 2 2 3 2" xfId="49041" xr:uid="{00000000-0005-0000-0000-0000377E0000}"/>
    <cellStyle name="Comma 6 4 5 2 2 4" xfId="34542" xr:uid="{00000000-0005-0000-0000-0000387E0000}"/>
    <cellStyle name="Comma 6 4 5 2 3" xfId="9645" xr:uid="{00000000-0005-0000-0000-0000397E0000}"/>
    <cellStyle name="Comma 6 4 5 2 3 2" xfId="24179" xr:uid="{00000000-0005-0000-0000-00003A7E0000}"/>
    <cellStyle name="Comma 6 4 5 2 3 2 2" xfId="53185" xr:uid="{00000000-0005-0000-0000-00003B7E0000}"/>
    <cellStyle name="Comma 6 4 5 2 3 3" xfId="38686" xr:uid="{00000000-0005-0000-0000-00003C7E0000}"/>
    <cellStyle name="Comma 6 4 5 2 4" xfId="16931" xr:uid="{00000000-0005-0000-0000-00003D7E0000}"/>
    <cellStyle name="Comma 6 4 5 2 4 2" xfId="45937" xr:uid="{00000000-0005-0000-0000-00003E7E0000}"/>
    <cellStyle name="Comma 6 4 5 2 5" xfId="31438" xr:uid="{00000000-0005-0000-0000-00003F7E0000}"/>
    <cellStyle name="Comma 6 4 5 3" xfId="3405" xr:uid="{00000000-0005-0000-0000-0000407E0000}"/>
    <cellStyle name="Comma 6 4 5 3 2" xfId="6509" xr:uid="{00000000-0005-0000-0000-0000417E0000}"/>
    <cellStyle name="Comma 6 4 5 3 2 2" xfId="13781" xr:uid="{00000000-0005-0000-0000-0000427E0000}"/>
    <cellStyle name="Comma 6 4 5 3 2 2 2" xfId="28315" xr:uid="{00000000-0005-0000-0000-0000437E0000}"/>
    <cellStyle name="Comma 6 4 5 3 2 2 2 2" xfId="57321" xr:uid="{00000000-0005-0000-0000-0000447E0000}"/>
    <cellStyle name="Comma 6 4 5 3 2 2 3" xfId="42822" xr:uid="{00000000-0005-0000-0000-0000457E0000}"/>
    <cellStyle name="Comma 6 4 5 3 2 3" xfId="21067" xr:uid="{00000000-0005-0000-0000-0000467E0000}"/>
    <cellStyle name="Comma 6 4 5 3 2 3 2" xfId="50073" xr:uid="{00000000-0005-0000-0000-0000477E0000}"/>
    <cellStyle name="Comma 6 4 5 3 2 4" xfId="35574" xr:uid="{00000000-0005-0000-0000-0000487E0000}"/>
    <cellStyle name="Comma 6 4 5 3 3" xfId="10677" xr:uid="{00000000-0005-0000-0000-0000497E0000}"/>
    <cellStyle name="Comma 6 4 5 3 3 2" xfId="25211" xr:uid="{00000000-0005-0000-0000-00004A7E0000}"/>
    <cellStyle name="Comma 6 4 5 3 3 2 2" xfId="54217" xr:uid="{00000000-0005-0000-0000-00004B7E0000}"/>
    <cellStyle name="Comma 6 4 5 3 3 3" xfId="39718" xr:uid="{00000000-0005-0000-0000-00004C7E0000}"/>
    <cellStyle name="Comma 6 4 5 3 4" xfId="17963" xr:uid="{00000000-0005-0000-0000-00004D7E0000}"/>
    <cellStyle name="Comma 6 4 5 3 4 2" xfId="46969" xr:uid="{00000000-0005-0000-0000-00004E7E0000}"/>
    <cellStyle name="Comma 6 4 5 3 5" xfId="32470" xr:uid="{00000000-0005-0000-0000-00004F7E0000}"/>
    <cellStyle name="Comma 6 4 5 4" xfId="4437" xr:uid="{00000000-0005-0000-0000-0000507E0000}"/>
    <cellStyle name="Comma 6 4 5 4 2" xfId="11709" xr:uid="{00000000-0005-0000-0000-0000517E0000}"/>
    <cellStyle name="Comma 6 4 5 4 2 2" xfId="26243" xr:uid="{00000000-0005-0000-0000-0000527E0000}"/>
    <cellStyle name="Comma 6 4 5 4 2 2 2" xfId="55249" xr:uid="{00000000-0005-0000-0000-0000537E0000}"/>
    <cellStyle name="Comma 6 4 5 4 2 3" xfId="40750" xr:uid="{00000000-0005-0000-0000-0000547E0000}"/>
    <cellStyle name="Comma 6 4 5 4 3" xfId="18995" xr:uid="{00000000-0005-0000-0000-0000557E0000}"/>
    <cellStyle name="Comma 6 4 5 4 3 2" xfId="48001" xr:uid="{00000000-0005-0000-0000-0000567E0000}"/>
    <cellStyle name="Comma 6 4 5 4 4" xfId="33502" xr:uid="{00000000-0005-0000-0000-0000577E0000}"/>
    <cellStyle name="Comma 6 4 5 5" xfId="7541" xr:uid="{00000000-0005-0000-0000-0000587E0000}"/>
    <cellStyle name="Comma 6 4 5 5 2" xfId="14813" xr:uid="{00000000-0005-0000-0000-0000597E0000}"/>
    <cellStyle name="Comma 6 4 5 5 2 2" xfId="29347" xr:uid="{00000000-0005-0000-0000-00005A7E0000}"/>
    <cellStyle name="Comma 6 4 5 5 2 2 2" xfId="58353" xr:uid="{00000000-0005-0000-0000-00005B7E0000}"/>
    <cellStyle name="Comma 6 4 5 5 2 3" xfId="43854" xr:uid="{00000000-0005-0000-0000-00005C7E0000}"/>
    <cellStyle name="Comma 6 4 5 5 3" xfId="22099" xr:uid="{00000000-0005-0000-0000-00005D7E0000}"/>
    <cellStyle name="Comma 6 4 5 5 3 2" xfId="51105" xr:uid="{00000000-0005-0000-0000-00005E7E0000}"/>
    <cellStyle name="Comma 6 4 5 5 4" xfId="36606" xr:uid="{00000000-0005-0000-0000-00005F7E0000}"/>
    <cellStyle name="Comma 6 4 5 6" xfId="8605" xr:uid="{00000000-0005-0000-0000-0000607E0000}"/>
    <cellStyle name="Comma 6 4 5 6 2" xfId="23139" xr:uid="{00000000-0005-0000-0000-0000617E0000}"/>
    <cellStyle name="Comma 6 4 5 6 2 2" xfId="52145" xr:uid="{00000000-0005-0000-0000-0000627E0000}"/>
    <cellStyle name="Comma 6 4 5 6 3" xfId="37646" xr:uid="{00000000-0005-0000-0000-0000637E0000}"/>
    <cellStyle name="Comma 6 4 5 7" xfId="15891" xr:uid="{00000000-0005-0000-0000-0000647E0000}"/>
    <cellStyle name="Comma 6 4 5 7 2" xfId="44897" xr:uid="{00000000-0005-0000-0000-0000657E0000}"/>
    <cellStyle name="Comma 6 4 5 8" xfId="30398" xr:uid="{00000000-0005-0000-0000-0000667E0000}"/>
    <cellStyle name="Comma 6 4 6" xfId="1861" xr:uid="{00000000-0005-0000-0000-0000677E0000}"/>
    <cellStyle name="Comma 6 4 6 2" xfId="4965" xr:uid="{00000000-0005-0000-0000-0000687E0000}"/>
    <cellStyle name="Comma 6 4 6 2 2" xfId="12237" xr:uid="{00000000-0005-0000-0000-0000697E0000}"/>
    <cellStyle name="Comma 6 4 6 2 2 2" xfId="26771" xr:uid="{00000000-0005-0000-0000-00006A7E0000}"/>
    <cellStyle name="Comma 6 4 6 2 2 2 2" xfId="55777" xr:uid="{00000000-0005-0000-0000-00006B7E0000}"/>
    <cellStyle name="Comma 6 4 6 2 2 3" xfId="41278" xr:uid="{00000000-0005-0000-0000-00006C7E0000}"/>
    <cellStyle name="Comma 6 4 6 2 3" xfId="19523" xr:uid="{00000000-0005-0000-0000-00006D7E0000}"/>
    <cellStyle name="Comma 6 4 6 2 3 2" xfId="48529" xr:uid="{00000000-0005-0000-0000-00006E7E0000}"/>
    <cellStyle name="Comma 6 4 6 2 4" xfId="34030" xr:uid="{00000000-0005-0000-0000-00006F7E0000}"/>
    <cellStyle name="Comma 6 4 6 3" xfId="9133" xr:uid="{00000000-0005-0000-0000-0000707E0000}"/>
    <cellStyle name="Comma 6 4 6 3 2" xfId="23667" xr:uid="{00000000-0005-0000-0000-0000717E0000}"/>
    <cellStyle name="Comma 6 4 6 3 2 2" xfId="52673" xr:uid="{00000000-0005-0000-0000-0000727E0000}"/>
    <cellStyle name="Comma 6 4 6 3 3" xfId="38174" xr:uid="{00000000-0005-0000-0000-0000737E0000}"/>
    <cellStyle name="Comma 6 4 6 4" xfId="16419" xr:uid="{00000000-0005-0000-0000-0000747E0000}"/>
    <cellStyle name="Comma 6 4 6 4 2" xfId="45425" xr:uid="{00000000-0005-0000-0000-0000757E0000}"/>
    <cellStyle name="Comma 6 4 6 5" xfId="30926" xr:uid="{00000000-0005-0000-0000-0000767E0000}"/>
    <cellStyle name="Comma 6 4 7" xfId="2893" xr:uid="{00000000-0005-0000-0000-0000777E0000}"/>
    <cellStyle name="Comma 6 4 7 2" xfId="5997" xr:uid="{00000000-0005-0000-0000-0000787E0000}"/>
    <cellStyle name="Comma 6 4 7 2 2" xfId="13269" xr:uid="{00000000-0005-0000-0000-0000797E0000}"/>
    <cellStyle name="Comma 6 4 7 2 2 2" xfId="27803" xr:uid="{00000000-0005-0000-0000-00007A7E0000}"/>
    <cellStyle name="Comma 6 4 7 2 2 2 2" xfId="56809" xr:uid="{00000000-0005-0000-0000-00007B7E0000}"/>
    <cellStyle name="Comma 6 4 7 2 2 3" xfId="42310" xr:uid="{00000000-0005-0000-0000-00007C7E0000}"/>
    <cellStyle name="Comma 6 4 7 2 3" xfId="20555" xr:uid="{00000000-0005-0000-0000-00007D7E0000}"/>
    <cellStyle name="Comma 6 4 7 2 3 2" xfId="49561" xr:uid="{00000000-0005-0000-0000-00007E7E0000}"/>
    <cellStyle name="Comma 6 4 7 2 4" xfId="35062" xr:uid="{00000000-0005-0000-0000-00007F7E0000}"/>
    <cellStyle name="Comma 6 4 7 3" xfId="10165" xr:uid="{00000000-0005-0000-0000-0000807E0000}"/>
    <cellStyle name="Comma 6 4 7 3 2" xfId="24699" xr:uid="{00000000-0005-0000-0000-0000817E0000}"/>
    <cellStyle name="Comma 6 4 7 3 2 2" xfId="53705" xr:uid="{00000000-0005-0000-0000-0000827E0000}"/>
    <cellStyle name="Comma 6 4 7 3 3" xfId="39206" xr:uid="{00000000-0005-0000-0000-0000837E0000}"/>
    <cellStyle name="Comma 6 4 7 4" xfId="17451" xr:uid="{00000000-0005-0000-0000-0000847E0000}"/>
    <cellStyle name="Comma 6 4 7 4 2" xfId="46457" xr:uid="{00000000-0005-0000-0000-0000857E0000}"/>
    <cellStyle name="Comma 6 4 7 5" xfId="31958" xr:uid="{00000000-0005-0000-0000-0000867E0000}"/>
    <cellStyle name="Comma 6 4 8" xfId="3925" xr:uid="{00000000-0005-0000-0000-0000877E0000}"/>
    <cellStyle name="Comma 6 4 8 2" xfId="11197" xr:uid="{00000000-0005-0000-0000-0000887E0000}"/>
    <cellStyle name="Comma 6 4 8 2 2" xfId="25731" xr:uid="{00000000-0005-0000-0000-0000897E0000}"/>
    <cellStyle name="Comma 6 4 8 2 2 2" xfId="54737" xr:uid="{00000000-0005-0000-0000-00008A7E0000}"/>
    <cellStyle name="Comma 6 4 8 2 3" xfId="40238" xr:uid="{00000000-0005-0000-0000-00008B7E0000}"/>
    <cellStyle name="Comma 6 4 8 3" xfId="18483" xr:uid="{00000000-0005-0000-0000-00008C7E0000}"/>
    <cellStyle name="Comma 6 4 8 3 2" xfId="47489" xr:uid="{00000000-0005-0000-0000-00008D7E0000}"/>
    <cellStyle name="Comma 6 4 8 4" xfId="32990" xr:uid="{00000000-0005-0000-0000-00008E7E0000}"/>
    <cellStyle name="Comma 6 4 9" xfId="7029" xr:uid="{00000000-0005-0000-0000-00008F7E0000}"/>
    <cellStyle name="Comma 6 4 9 2" xfId="14301" xr:uid="{00000000-0005-0000-0000-0000907E0000}"/>
    <cellStyle name="Comma 6 4 9 2 2" xfId="28835" xr:uid="{00000000-0005-0000-0000-0000917E0000}"/>
    <cellStyle name="Comma 6 4 9 2 2 2" xfId="57841" xr:uid="{00000000-0005-0000-0000-0000927E0000}"/>
    <cellStyle name="Comma 6 4 9 2 3" xfId="43342" xr:uid="{00000000-0005-0000-0000-0000937E0000}"/>
    <cellStyle name="Comma 6 4 9 3" xfId="21587" xr:uid="{00000000-0005-0000-0000-0000947E0000}"/>
    <cellStyle name="Comma 6 4 9 3 2" xfId="50593" xr:uid="{00000000-0005-0000-0000-0000957E0000}"/>
    <cellStyle name="Comma 6 4 9 4" xfId="36094" xr:uid="{00000000-0005-0000-0000-0000967E0000}"/>
    <cellStyle name="Comma 6 5" xfId="438" xr:uid="{00000000-0005-0000-0000-0000977E0000}"/>
    <cellStyle name="Comma 6 5 10" xfId="29937" xr:uid="{00000000-0005-0000-0000-0000987E0000}"/>
    <cellStyle name="Comma 6 5 11" xfId="59294" xr:uid="{00000000-0005-0000-0000-0000997E0000}"/>
    <cellStyle name="Comma 6 5 2" xfId="1170" xr:uid="{00000000-0005-0000-0000-00009A7E0000}"/>
    <cellStyle name="Comma 6 5 2 2" xfId="1671" xr:uid="{00000000-0005-0000-0000-00009B7E0000}"/>
    <cellStyle name="Comma 6 5 2 2 2" xfId="2730" xr:uid="{00000000-0005-0000-0000-00009C7E0000}"/>
    <cellStyle name="Comma 6 5 2 2 2 2" xfId="5834" xr:uid="{00000000-0005-0000-0000-00009D7E0000}"/>
    <cellStyle name="Comma 6 5 2 2 2 2 2" xfId="13106" xr:uid="{00000000-0005-0000-0000-00009E7E0000}"/>
    <cellStyle name="Comma 6 5 2 2 2 2 2 2" xfId="27640" xr:uid="{00000000-0005-0000-0000-00009F7E0000}"/>
    <cellStyle name="Comma 6 5 2 2 2 2 2 2 2" xfId="56646" xr:uid="{00000000-0005-0000-0000-0000A07E0000}"/>
    <cellStyle name="Comma 6 5 2 2 2 2 2 3" xfId="42147" xr:uid="{00000000-0005-0000-0000-0000A17E0000}"/>
    <cellStyle name="Comma 6 5 2 2 2 2 3" xfId="20392" xr:uid="{00000000-0005-0000-0000-0000A27E0000}"/>
    <cellStyle name="Comma 6 5 2 2 2 2 3 2" xfId="49398" xr:uid="{00000000-0005-0000-0000-0000A37E0000}"/>
    <cellStyle name="Comma 6 5 2 2 2 2 4" xfId="34899" xr:uid="{00000000-0005-0000-0000-0000A47E0000}"/>
    <cellStyle name="Comma 6 5 2 2 2 3" xfId="10002" xr:uid="{00000000-0005-0000-0000-0000A57E0000}"/>
    <cellStyle name="Comma 6 5 2 2 2 3 2" xfId="24536" xr:uid="{00000000-0005-0000-0000-0000A67E0000}"/>
    <cellStyle name="Comma 6 5 2 2 2 3 2 2" xfId="53542" xr:uid="{00000000-0005-0000-0000-0000A77E0000}"/>
    <cellStyle name="Comma 6 5 2 2 2 3 3" xfId="39043" xr:uid="{00000000-0005-0000-0000-0000A87E0000}"/>
    <cellStyle name="Comma 6 5 2 2 2 4" xfId="17288" xr:uid="{00000000-0005-0000-0000-0000A97E0000}"/>
    <cellStyle name="Comma 6 5 2 2 2 4 2" xfId="46294" xr:uid="{00000000-0005-0000-0000-0000AA7E0000}"/>
    <cellStyle name="Comma 6 5 2 2 2 5" xfId="31795" xr:uid="{00000000-0005-0000-0000-0000AB7E0000}"/>
    <cellStyle name="Comma 6 5 2 2 3" xfId="3762" xr:uid="{00000000-0005-0000-0000-0000AC7E0000}"/>
    <cellStyle name="Comma 6 5 2 2 3 2" xfId="6866" xr:uid="{00000000-0005-0000-0000-0000AD7E0000}"/>
    <cellStyle name="Comma 6 5 2 2 3 2 2" xfId="14138" xr:uid="{00000000-0005-0000-0000-0000AE7E0000}"/>
    <cellStyle name="Comma 6 5 2 2 3 2 2 2" xfId="28672" xr:uid="{00000000-0005-0000-0000-0000AF7E0000}"/>
    <cellStyle name="Comma 6 5 2 2 3 2 2 2 2" xfId="57678" xr:uid="{00000000-0005-0000-0000-0000B07E0000}"/>
    <cellStyle name="Comma 6 5 2 2 3 2 2 3" xfId="43179" xr:uid="{00000000-0005-0000-0000-0000B17E0000}"/>
    <cellStyle name="Comma 6 5 2 2 3 2 3" xfId="21424" xr:uid="{00000000-0005-0000-0000-0000B27E0000}"/>
    <cellStyle name="Comma 6 5 2 2 3 2 3 2" xfId="50430" xr:uid="{00000000-0005-0000-0000-0000B37E0000}"/>
    <cellStyle name="Comma 6 5 2 2 3 2 4" xfId="35931" xr:uid="{00000000-0005-0000-0000-0000B47E0000}"/>
    <cellStyle name="Comma 6 5 2 2 3 3" xfId="11034" xr:uid="{00000000-0005-0000-0000-0000B57E0000}"/>
    <cellStyle name="Comma 6 5 2 2 3 3 2" xfId="25568" xr:uid="{00000000-0005-0000-0000-0000B67E0000}"/>
    <cellStyle name="Comma 6 5 2 2 3 3 2 2" xfId="54574" xr:uid="{00000000-0005-0000-0000-0000B77E0000}"/>
    <cellStyle name="Comma 6 5 2 2 3 3 3" xfId="40075" xr:uid="{00000000-0005-0000-0000-0000B87E0000}"/>
    <cellStyle name="Comma 6 5 2 2 3 4" xfId="18320" xr:uid="{00000000-0005-0000-0000-0000B97E0000}"/>
    <cellStyle name="Comma 6 5 2 2 3 4 2" xfId="47326" xr:uid="{00000000-0005-0000-0000-0000BA7E0000}"/>
    <cellStyle name="Comma 6 5 2 2 3 5" xfId="32827" xr:uid="{00000000-0005-0000-0000-0000BB7E0000}"/>
    <cellStyle name="Comma 6 5 2 2 4" xfId="4794" xr:uid="{00000000-0005-0000-0000-0000BC7E0000}"/>
    <cellStyle name="Comma 6 5 2 2 4 2" xfId="12066" xr:uid="{00000000-0005-0000-0000-0000BD7E0000}"/>
    <cellStyle name="Comma 6 5 2 2 4 2 2" xfId="26600" xr:uid="{00000000-0005-0000-0000-0000BE7E0000}"/>
    <cellStyle name="Comma 6 5 2 2 4 2 2 2" xfId="55606" xr:uid="{00000000-0005-0000-0000-0000BF7E0000}"/>
    <cellStyle name="Comma 6 5 2 2 4 2 3" xfId="41107" xr:uid="{00000000-0005-0000-0000-0000C07E0000}"/>
    <cellStyle name="Comma 6 5 2 2 4 3" xfId="19352" xr:uid="{00000000-0005-0000-0000-0000C17E0000}"/>
    <cellStyle name="Comma 6 5 2 2 4 3 2" xfId="48358" xr:uid="{00000000-0005-0000-0000-0000C27E0000}"/>
    <cellStyle name="Comma 6 5 2 2 4 4" xfId="33859" xr:uid="{00000000-0005-0000-0000-0000C37E0000}"/>
    <cellStyle name="Comma 6 5 2 2 5" xfId="7898" xr:uid="{00000000-0005-0000-0000-0000C47E0000}"/>
    <cellStyle name="Comma 6 5 2 2 5 2" xfId="15170" xr:uid="{00000000-0005-0000-0000-0000C57E0000}"/>
    <cellStyle name="Comma 6 5 2 2 5 2 2" xfId="29704" xr:uid="{00000000-0005-0000-0000-0000C67E0000}"/>
    <cellStyle name="Comma 6 5 2 2 5 2 2 2" xfId="58710" xr:uid="{00000000-0005-0000-0000-0000C77E0000}"/>
    <cellStyle name="Comma 6 5 2 2 5 2 3" xfId="44211" xr:uid="{00000000-0005-0000-0000-0000C87E0000}"/>
    <cellStyle name="Comma 6 5 2 2 5 3" xfId="22456" xr:uid="{00000000-0005-0000-0000-0000C97E0000}"/>
    <cellStyle name="Comma 6 5 2 2 5 3 2" xfId="51462" xr:uid="{00000000-0005-0000-0000-0000CA7E0000}"/>
    <cellStyle name="Comma 6 5 2 2 5 4" xfId="36963" xr:uid="{00000000-0005-0000-0000-0000CB7E0000}"/>
    <cellStyle name="Comma 6 5 2 2 6" xfId="8962" xr:uid="{00000000-0005-0000-0000-0000CC7E0000}"/>
    <cellStyle name="Comma 6 5 2 2 6 2" xfId="23496" xr:uid="{00000000-0005-0000-0000-0000CD7E0000}"/>
    <cellStyle name="Comma 6 5 2 2 6 2 2" xfId="52502" xr:uid="{00000000-0005-0000-0000-0000CE7E0000}"/>
    <cellStyle name="Comma 6 5 2 2 6 3" xfId="38003" xr:uid="{00000000-0005-0000-0000-0000CF7E0000}"/>
    <cellStyle name="Comma 6 5 2 2 7" xfId="16248" xr:uid="{00000000-0005-0000-0000-0000D07E0000}"/>
    <cellStyle name="Comma 6 5 2 2 7 2" xfId="45254" xr:uid="{00000000-0005-0000-0000-0000D17E0000}"/>
    <cellStyle name="Comma 6 5 2 2 8" xfId="30755" xr:uid="{00000000-0005-0000-0000-0000D27E0000}"/>
    <cellStyle name="Comma 6 5 2 3" xfId="2218" xr:uid="{00000000-0005-0000-0000-0000D37E0000}"/>
    <cellStyle name="Comma 6 5 2 3 2" xfId="5322" xr:uid="{00000000-0005-0000-0000-0000D47E0000}"/>
    <cellStyle name="Comma 6 5 2 3 2 2" xfId="12594" xr:uid="{00000000-0005-0000-0000-0000D57E0000}"/>
    <cellStyle name="Comma 6 5 2 3 2 2 2" xfId="27128" xr:uid="{00000000-0005-0000-0000-0000D67E0000}"/>
    <cellStyle name="Comma 6 5 2 3 2 2 2 2" xfId="56134" xr:uid="{00000000-0005-0000-0000-0000D77E0000}"/>
    <cellStyle name="Comma 6 5 2 3 2 2 3" xfId="41635" xr:uid="{00000000-0005-0000-0000-0000D87E0000}"/>
    <cellStyle name="Comma 6 5 2 3 2 3" xfId="19880" xr:uid="{00000000-0005-0000-0000-0000D97E0000}"/>
    <cellStyle name="Comma 6 5 2 3 2 3 2" xfId="48886" xr:uid="{00000000-0005-0000-0000-0000DA7E0000}"/>
    <cellStyle name="Comma 6 5 2 3 2 4" xfId="34387" xr:uid="{00000000-0005-0000-0000-0000DB7E0000}"/>
    <cellStyle name="Comma 6 5 2 3 3" xfId="9490" xr:uid="{00000000-0005-0000-0000-0000DC7E0000}"/>
    <cellStyle name="Comma 6 5 2 3 3 2" xfId="24024" xr:uid="{00000000-0005-0000-0000-0000DD7E0000}"/>
    <cellStyle name="Comma 6 5 2 3 3 2 2" xfId="53030" xr:uid="{00000000-0005-0000-0000-0000DE7E0000}"/>
    <cellStyle name="Comma 6 5 2 3 3 3" xfId="38531" xr:uid="{00000000-0005-0000-0000-0000DF7E0000}"/>
    <cellStyle name="Comma 6 5 2 3 4" xfId="16776" xr:uid="{00000000-0005-0000-0000-0000E07E0000}"/>
    <cellStyle name="Comma 6 5 2 3 4 2" xfId="45782" xr:uid="{00000000-0005-0000-0000-0000E17E0000}"/>
    <cellStyle name="Comma 6 5 2 3 5" xfId="31283" xr:uid="{00000000-0005-0000-0000-0000E27E0000}"/>
    <cellStyle name="Comma 6 5 2 4" xfId="3250" xr:uid="{00000000-0005-0000-0000-0000E37E0000}"/>
    <cellStyle name="Comma 6 5 2 4 2" xfId="6354" xr:uid="{00000000-0005-0000-0000-0000E47E0000}"/>
    <cellStyle name="Comma 6 5 2 4 2 2" xfId="13626" xr:uid="{00000000-0005-0000-0000-0000E57E0000}"/>
    <cellStyle name="Comma 6 5 2 4 2 2 2" xfId="28160" xr:uid="{00000000-0005-0000-0000-0000E67E0000}"/>
    <cellStyle name="Comma 6 5 2 4 2 2 2 2" xfId="57166" xr:uid="{00000000-0005-0000-0000-0000E77E0000}"/>
    <cellStyle name="Comma 6 5 2 4 2 2 3" xfId="42667" xr:uid="{00000000-0005-0000-0000-0000E87E0000}"/>
    <cellStyle name="Comma 6 5 2 4 2 3" xfId="20912" xr:uid="{00000000-0005-0000-0000-0000E97E0000}"/>
    <cellStyle name="Comma 6 5 2 4 2 3 2" xfId="49918" xr:uid="{00000000-0005-0000-0000-0000EA7E0000}"/>
    <cellStyle name="Comma 6 5 2 4 2 4" xfId="35419" xr:uid="{00000000-0005-0000-0000-0000EB7E0000}"/>
    <cellStyle name="Comma 6 5 2 4 3" xfId="10522" xr:uid="{00000000-0005-0000-0000-0000EC7E0000}"/>
    <cellStyle name="Comma 6 5 2 4 3 2" xfId="25056" xr:uid="{00000000-0005-0000-0000-0000ED7E0000}"/>
    <cellStyle name="Comma 6 5 2 4 3 2 2" xfId="54062" xr:uid="{00000000-0005-0000-0000-0000EE7E0000}"/>
    <cellStyle name="Comma 6 5 2 4 3 3" xfId="39563" xr:uid="{00000000-0005-0000-0000-0000EF7E0000}"/>
    <cellStyle name="Comma 6 5 2 4 4" xfId="17808" xr:uid="{00000000-0005-0000-0000-0000F07E0000}"/>
    <cellStyle name="Comma 6 5 2 4 4 2" xfId="46814" xr:uid="{00000000-0005-0000-0000-0000F17E0000}"/>
    <cellStyle name="Comma 6 5 2 4 5" xfId="32315" xr:uid="{00000000-0005-0000-0000-0000F27E0000}"/>
    <cellStyle name="Comma 6 5 2 5" xfId="4282" xr:uid="{00000000-0005-0000-0000-0000F37E0000}"/>
    <cellStyle name="Comma 6 5 2 5 2" xfId="11554" xr:uid="{00000000-0005-0000-0000-0000F47E0000}"/>
    <cellStyle name="Comma 6 5 2 5 2 2" xfId="26088" xr:uid="{00000000-0005-0000-0000-0000F57E0000}"/>
    <cellStyle name="Comma 6 5 2 5 2 2 2" xfId="55094" xr:uid="{00000000-0005-0000-0000-0000F67E0000}"/>
    <cellStyle name="Comma 6 5 2 5 2 3" xfId="40595" xr:uid="{00000000-0005-0000-0000-0000F77E0000}"/>
    <cellStyle name="Comma 6 5 2 5 3" xfId="18840" xr:uid="{00000000-0005-0000-0000-0000F87E0000}"/>
    <cellStyle name="Comma 6 5 2 5 3 2" xfId="47846" xr:uid="{00000000-0005-0000-0000-0000F97E0000}"/>
    <cellStyle name="Comma 6 5 2 5 4" xfId="33347" xr:uid="{00000000-0005-0000-0000-0000FA7E0000}"/>
    <cellStyle name="Comma 6 5 2 6" xfId="7386" xr:uid="{00000000-0005-0000-0000-0000FB7E0000}"/>
    <cellStyle name="Comma 6 5 2 6 2" xfId="14658" xr:uid="{00000000-0005-0000-0000-0000FC7E0000}"/>
    <cellStyle name="Comma 6 5 2 6 2 2" xfId="29192" xr:uid="{00000000-0005-0000-0000-0000FD7E0000}"/>
    <cellStyle name="Comma 6 5 2 6 2 2 2" xfId="58198" xr:uid="{00000000-0005-0000-0000-0000FE7E0000}"/>
    <cellStyle name="Comma 6 5 2 6 2 3" xfId="43699" xr:uid="{00000000-0005-0000-0000-0000FF7E0000}"/>
    <cellStyle name="Comma 6 5 2 6 3" xfId="21944" xr:uid="{00000000-0005-0000-0000-0000007F0000}"/>
    <cellStyle name="Comma 6 5 2 6 3 2" xfId="50950" xr:uid="{00000000-0005-0000-0000-0000017F0000}"/>
    <cellStyle name="Comma 6 5 2 6 4" xfId="36451" xr:uid="{00000000-0005-0000-0000-0000027F0000}"/>
    <cellStyle name="Comma 6 5 2 7" xfId="8450" xr:uid="{00000000-0005-0000-0000-0000037F0000}"/>
    <cellStyle name="Comma 6 5 2 7 2" xfId="22984" xr:uid="{00000000-0005-0000-0000-0000047F0000}"/>
    <cellStyle name="Comma 6 5 2 7 2 2" xfId="51990" xr:uid="{00000000-0005-0000-0000-0000057F0000}"/>
    <cellStyle name="Comma 6 5 2 7 3" xfId="37491" xr:uid="{00000000-0005-0000-0000-0000067F0000}"/>
    <cellStyle name="Comma 6 5 2 8" xfId="15736" xr:uid="{00000000-0005-0000-0000-0000077F0000}"/>
    <cellStyle name="Comma 6 5 2 8 2" xfId="44742" xr:uid="{00000000-0005-0000-0000-0000087F0000}"/>
    <cellStyle name="Comma 6 5 2 9" xfId="30243" xr:uid="{00000000-0005-0000-0000-0000097F0000}"/>
    <cellStyle name="Comma 6 5 3" xfId="1367" xr:uid="{00000000-0005-0000-0000-00000A7F0000}"/>
    <cellStyle name="Comma 6 5 3 2" xfId="2424" xr:uid="{00000000-0005-0000-0000-00000B7F0000}"/>
    <cellStyle name="Comma 6 5 3 2 2" xfId="5528" xr:uid="{00000000-0005-0000-0000-00000C7F0000}"/>
    <cellStyle name="Comma 6 5 3 2 2 2" xfId="12800" xr:uid="{00000000-0005-0000-0000-00000D7F0000}"/>
    <cellStyle name="Comma 6 5 3 2 2 2 2" xfId="27334" xr:uid="{00000000-0005-0000-0000-00000E7F0000}"/>
    <cellStyle name="Comma 6 5 3 2 2 2 2 2" xfId="56340" xr:uid="{00000000-0005-0000-0000-00000F7F0000}"/>
    <cellStyle name="Comma 6 5 3 2 2 2 3" xfId="41841" xr:uid="{00000000-0005-0000-0000-0000107F0000}"/>
    <cellStyle name="Comma 6 5 3 2 2 3" xfId="20086" xr:uid="{00000000-0005-0000-0000-0000117F0000}"/>
    <cellStyle name="Comma 6 5 3 2 2 3 2" xfId="49092" xr:uid="{00000000-0005-0000-0000-0000127F0000}"/>
    <cellStyle name="Comma 6 5 3 2 2 4" xfId="34593" xr:uid="{00000000-0005-0000-0000-0000137F0000}"/>
    <cellStyle name="Comma 6 5 3 2 3" xfId="9696" xr:uid="{00000000-0005-0000-0000-0000147F0000}"/>
    <cellStyle name="Comma 6 5 3 2 3 2" xfId="24230" xr:uid="{00000000-0005-0000-0000-0000157F0000}"/>
    <cellStyle name="Comma 6 5 3 2 3 2 2" xfId="53236" xr:uid="{00000000-0005-0000-0000-0000167F0000}"/>
    <cellStyle name="Comma 6 5 3 2 3 3" xfId="38737" xr:uid="{00000000-0005-0000-0000-0000177F0000}"/>
    <cellStyle name="Comma 6 5 3 2 4" xfId="16982" xr:uid="{00000000-0005-0000-0000-0000187F0000}"/>
    <cellStyle name="Comma 6 5 3 2 4 2" xfId="45988" xr:uid="{00000000-0005-0000-0000-0000197F0000}"/>
    <cellStyle name="Comma 6 5 3 2 5" xfId="31489" xr:uid="{00000000-0005-0000-0000-00001A7F0000}"/>
    <cellStyle name="Comma 6 5 3 3" xfId="3456" xr:uid="{00000000-0005-0000-0000-00001B7F0000}"/>
    <cellStyle name="Comma 6 5 3 3 2" xfId="6560" xr:uid="{00000000-0005-0000-0000-00001C7F0000}"/>
    <cellStyle name="Comma 6 5 3 3 2 2" xfId="13832" xr:uid="{00000000-0005-0000-0000-00001D7F0000}"/>
    <cellStyle name="Comma 6 5 3 3 2 2 2" xfId="28366" xr:uid="{00000000-0005-0000-0000-00001E7F0000}"/>
    <cellStyle name="Comma 6 5 3 3 2 2 2 2" xfId="57372" xr:uid="{00000000-0005-0000-0000-00001F7F0000}"/>
    <cellStyle name="Comma 6 5 3 3 2 2 3" xfId="42873" xr:uid="{00000000-0005-0000-0000-0000207F0000}"/>
    <cellStyle name="Comma 6 5 3 3 2 3" xfId="21118" xr:uid="{00000000-0005-0000-0000-0000217F0000}"/>
    <cellStyle name="Comma 6 5 3 3 2 3 2" xfId="50124" xr:uid="{00000000-0005-0000-0000-0000227F0000}"/>
    <cellStyle name="Comma 6 5 3 3 2 4" xfId="35625" xr:uid="{00000000-0005-0000-0000-0000237F0000}"/>
    <cellStyle name="Comma 6 5 3 3 3" xfId="10728" xr:uid="{00000000-0005-0000-0000-0000247F0000}"/>
    <cellStyle name="Comma 6 5 3 3 3 2" xfId="25262" xr:uid="{00000000-0005-0000-0000-0000257F0000}"/>
    <cellStyle name="Comma 6 5 3 3 3 2 2" xfId="54268" xr:uid="{00000000-0005-0000-0000-0000267F0000}"/>
    <cellStyle name="Comma 6 5 3 3 3 3" xfId="39769" xr:uid="{00000000-0005-0000-0000-0000277F0000}"/>
    <cellStyle name="Comma 6 5 3 3 4" xfId="18014" xr:uid="{00000000-0005-0000-0000-0000287F0000}"/>
    <cellStyle name="Comma 6 5 3 3 4 2" xfId="47020" xr:uid="{00000000-0005-0000-0000-0000297F0000}"/>
    <cellStyle name="Comma 6 5 3 3 5" xfId="32521" xr:uid="{00000000-0005-0000-0000-00002A7F0000}"/>
    <cellStyle name="Comma 6 5 3 4" xfId="4488" xr:uid="{00000000-0005-0000-0000-00002B7F0000}"/>
    <cellStyle name="Comma 6 5 3 4 2" xfId="11760" xr:uid="{00000000-0005-0000-0000-00002C7F0000}"/>
    <cellStyle name="Comma 6 5 3 4 2 2" xfId="26294" xr:uid="{00000000-0005-0000-0000-00002D7F0000}"/>
    <cellStyle name="Comma 6 5 3 4 2 2 2" xfId="55300" xr:uid="{00000000-0005-0000-0000-00002E7F0000}"/>
    <cellStyle name="Comma 6 5 3 4 2 3" xfId="40801" xr:uid="{00000000-0005-0000-0000-00002F7F0000}"/>
    <cellStyle name="Comma 6 5 3 4 3" xfId="19046" xr:uid="{00000000-0005-0000-0000-0000307F0000}"/>
    <cellStyle name="Comma 6 5 3 4 3 2" xfId="48052" xr:uid="{00000000-0005-0000-0000-0000317F0000}"/>
    <cellStyle name="Comma 6 5 3 4 4" xfId="33553" xr:uid="{00000000-0005-0000-0000-0000327F0000}"/>
    <cellStyle name="Comma 6 5 3 5" xfId="7592" xr:uid="{00000000-0005-0000-0000-0000337F0000}"/>
    <cellStyle name="Comma 6 5 3 5 2" xfId="14864" xr:uid="{00000000-0005-0000-0000-0000347F0000}"/>
    <cellStyle name="Comma 6 5 3 5 2 2" xfId="29398" xr:uid="{00000000-0005-0000-0000-0000357F0000}"/>
    <cellStyle name="Comma 6 5 3 5 2 2 2" xfId="58404" xr:uid="{00000000-0005-0000-0000-0000367F0000}"/>
    <cellStyle name="Comma 6 5 3 5 2 3" xfId="43905" xr:uid="{00000000-0005-0000-0000-0000377F0000}"/>
    <cellStyle name="Comma 6 5 3 5 3" xfId="22150" xr:uid="{00000000-0005-0000-0000-0000387F0000}"/>
    <cellStyle name="Comma 6 5 3 5 3 2" xfId="51156" xr:uid="{00000000-0005-0000-0000-0000397F0000}"/>
    <cellStyle name="Comma 6 5 3 5 4" xfId="36657" xr:uid="{00000000-0005-0000-0000-00003A7F0000}"/>
    <cellStyle name="Comma 6 5 3 6" xfId="8656" xr:uid="{00000000-0005-0000-0000-00003B7F0000}"/>
    <cellStyle name="Comma 6 5 3 6 2" xfId="23190" xr:uid="{00000000-0005-0000-0000-00003C7F0000}"/>
    <cellStyle name="Comma 6 5 3 6 2 2" xfId="52196" xr:uid="{00000000-0005-0000-0000-00003D7F0000}"/>
    <cellStyle name="Comma 6 5 3 6 3" xfId="37697" xr:uid="{00000000-0005-0000-0000-00003E7F0000}"/>
    <cellStyle name="Comma 6 5 3 7" xfId="15942" xr:uid="{00000000-0005-0000-0000-00003F7F0000}"/>
    <cellStyle name="Comma 6 5 3 7 2" xfId="44948" xr:uid="{00000000-0005-0000-0000-0000407F0000}"/>
    <cellStyle name="Comma 6 5 3 8" xfId="30449" xr:uid="{00000000-0005-0000-0000-0000417F0000}"/>
    <cellStyle name="Comma 6 5 4" xfId="1912" xr:uid="{00000000-0005-0000-0000-0000427F0000}"/>
    <cellStyle name="Comma 6 5 4 2" xfId="5016" xr:uid="{00000000-0005-0000-0000-0000437F0000}"/>
    <cellStyle name="Comma 6 5 4 2 2" xfId="12288" xr:uid="{00000000-0005-0000-0000-0000447F0000}"/>
    <cellStyle name="Comma 6 5 4 2 2 2" xfId="26822" xr:uid="{00000000-0005-0000-0000-0000457F0000}"/>
    <cellStyle name="Comma 6 5 4 2 2 2 2" xfId="55828" xr:uid="{00000000-0005-0000-0000-0000467F0000}"/>
    <cellStyle name="Comma 6 5 4 2 2 3" xfId="41329" xr:uid="{00000000-0005-0000-0000-0000477F0000}"/>
    <cellStyle name="Comma 6 5 4 2 3" xfId="19574" xr:uid="{00000000-0005-0000-0000-0000487F0000}"/>
    <cellStyle name="Comma 6 5 4 2 3 2" xfId="48580" xr:uid="{00000000-0005-0000-0000-0000497F0000}"/>
    <cellStyle name="Comma 6 5 4 2 4" xfId="34081" xr:uid="{00000000-0005-0000-0000-00004A7F0000}"/>
    <cellStyle name="Comma 6 5 4 3" xfId="9184" xr:uid="{00000000-0005-0000-0000-00004B7F0000}"/>
    <cellStyle name="Comma 6 5 4 3 2" xfId="23718" xr:uid="{00000000-0005-0000-0000-00004C7F0000}"/>
    <cellStyle name="Comma 6 5 4 3 2 2" xfId="52724" xr:uid="{00000000-0005-0000-0000-00004D7F0000}"/>
    <cellStyle name="Comma 6 5 4 3 3" xfId="38225" xr:uid="{00000000-0005-0000-0000-00004E7F0000}"/>
    <cellStyle name="Comma 6 5 4 4" xfId="16470" xr:uid="{00000000-0005-0000-0000-00004F7F0000}"/>
    <cellStyle name="Comma 6 5 4 4 2" xfId="45476" xr:uid="{00000000-0005-0000-0000-0000507F0000}"/>
    <cellStyle name="Comma 6 5 4 5" xfId="30977" xr:uid="{00000000-0005-0000-0000-0000517F0000}"/>
    <cellStyle name="Comma 6 5 5" xfId="2944" xr:uid="{00000000-0005-0000-0000-0000527F0000}"/>
    <cellStyle name="Comma 6 5 5 2" xfId="6048" xr:uid="{00000000-0005-0000-0000-0000537F0000}"/>
    <cellStyle name="Comma 6 5 5 2 2" xfId="13320" xr:uid="{00000000-0005-0000-0000-0000547F0000}"/>
    <cellStyle name="Comma 6 5 5 2 2 2" xfId="27854" xr:uid="{00000000-0005-0000-0000-0000557F0000}"/>
    <cellStyle name="Comma 6 5 5 2 2 2 2" xfId="56860" xr:uid="{00000000-0005-0000-0000-0000567F0000}"/>
    <cellStyle name="Comma 6 5 5 2 2 3" xfId="42361" xr:uid="{00000000-0005-0000-0000-0000577F0000}"/>
    <cellStyle name="Comma 6 5 5 2 3" xfId="20606" xr:uid="{00000000-0005-0000-0000-0000587F0000}"/>
    <cellStyle name="Comma 6 5 5 2 3 2" xfId="49612" xr:uid="{00000000-0005-0000-0000-0000597F0000}"/>
    <cellStyle name="Comma 6 5 5 2 4" xfId="35113" xr:uid="{00000000-0005-0000-0000-00005A7F0000}"/>
    <cellStyle name="Comma 6 5 5 3" xfId="10216" xr:uid="{00000000-0005-0000-0000-00005B7F0000}"/>
    <cellStyle name="Comma 6 5 5 3 2" xfId="24750" xr:uid="{00000000-0005-0000-0000-00005C7F0000}"/>
    <cellStyle name="Comma 6 5 5 3 2 2" xfId="53756" xr:uid="{00000000-0005-0000-0000-00005D7F0000}"/>
    <cellStyle name="Comma 6 5 5 3 3" xfId="39257" xr:uid="{00000000-0005-0000-0000-00005E7F0000}"/>
    <cellStyle name="Comma 6 5 5 4" xfId="17502" xr:uid="{00000000-0005-0000-0000-00005F7F0000}"/>
    <cellStyle name="Comma 6 5 5 4 2" xfId="46508" xr:uid="{00000000-0005-0000-0000-0000607F0000}"/>
    <cellStyle name="Comma 6 5 5 5" xfId="32009" xr:uid="{00000000-0005-0000-0000-0000617F0000}"/>
    <cellStyle name="Comma 6 5 6" xfId="3976" xr:uid="{00000000-0005-0000-0000-0000627F0000}"/>
    <cellStyle name="Comma 6 5 6 2" xfId="11248" xr:uid="{00000000-0005-0000-0000-0000637F0000}"/>
    <cellStyle name="Comma 6 5 6 2 2" xfId="25782" xr:uid="{00000000-0005-0000-0000-0000647F0000}"/>
    <cellStyle name="Comma 6 5 6 2 2 2" xfId="54788" xr:uid="{00000000-0005-0000-0000-0000657F0000}"/>
    <cellStyle name="Comma 6 5 6 2 3" xfId="40289" xr:uid="{00000000-0005-0000-0000-0000667F0000}"/>
    <cellStyle name="Comma 6 5 6 3" xfId="18534" xr:uid="{00000000-0005-0000-0000-0000677F0000}"/>
    <cellStyle name="Comma 6 5 6 3 2" xfId="47540" xr:uid="{00000000-0005-0000-0000-0000687F0000}"/>
    <cellStyle name="Comma 6 5 6 4" xfId="33041" xr:uid="{00000000-0005-0000-0000-0000697F0000}"/>
    <cellStyle name="Comma 6 5 7" xfId="7080" xr:uid="{00000000-0005-0000-0000-00006A7F0000}"/>
    <cellStyle name="Comma 6 5 7 2" xfId="14352" xr:uid="{00000000-0005-0000-0000-00006B7F0000}"/>
    <cellStyle name="Comma 6 5 7 2 2" xfId="28886" xr:uid="{00000000-0005-0000-0000-00006C7F0000}"/>
    <cellStyle name="Comma 6 5 7 2 2 2" xfId="57892" xr:uid="{00000000-0005-0000-0000-00006D7F0000}"/>
    <cellStyle name="Comma 6 5 7 2 3" xfId="43393" xr:uid="{00000000-0005-0000-0000-00006E7F0000}"/>
    <cellStyle name="Comma 6 5 7 3" xfId="21638" xr:uid="{00000000-0005-0000-0000-00006F7F0000}"/>
    <cellStyle name="Comma 6 5 7 3 2" xfId="50644" xr:uid="{00000000-0005-0000-0000-0000707F0000}"/>
    <cellStyle name="Comma 6 5 7 4" xfId="36145" xr:uid="{00000000-0005-0000-0000-0000717F0000}"/>
    <cellStyle name="Comma 6 5 8" xfId="8144" xr:uid="{00000000-0005-0000-0000-0000727F0000}"/>
    <cellStyle name="Comma 6 5 8 2" xfId="22678" xr:uid="{00000000-0005-0000-0000-0000737F0000}"/>
    <cellStyle name="Comma 6 5 8 2 2" xfId="51684" xr:uid="{00000000-0005-0000-0000-0000747F0000}"/>
    <cellStyle name="Comma 6 5 8 3" xfId="37185" xr:uid="{00000000-0005-0000-0000-0000757F0000}"/>
    <cellStyle name="Comma 6 5 9" xfId="15430" xr:uid="{00000000-0005-0000-0000-0000767F0000}"/>
    <cellStyle name="Comma 6 5 9 2" xfId="44436" xr:uid="{00000000-0005-0000-0000-0000777F0000}"/>
    <cellStyle name="Comma 6 6" xfId="579" xr:uid="{00000000-0005-0000-0000-0000787F0000}"/>
    <cellStyle name="Comma 6 6 10" xfId="59440" xr:uid="{00000000-0005-0000-0000-0000797F0000}"/>
    <cellStyle name="Comma 6 6 2" xfId="1568" xr:uid="{00000000-0005-0000-0000-00007A7F0000}"/>
    <cellStyle name="Comma 6 6 2 2" xfId="2627" xr:uid="{00000000-0005-0000-0000-00007B7F0000}"/>
    <cellStyle name="Comma 6 6 2 2 2" xfId="5731" xr:uid="{00000000-0005-0000-0000-00007C7F0000}"/>
    <cellStyle name="Comma 6 6 2 2 2 2" xfId="13003" xr:uid="{00000000-0005-0000-0000-00007D7F0000}"/>
    <cellStyle name="Comma 6 6 2 2 2 2 2" xfId="27537" xr:uid="{00000000-0005-0000-0000-00007E7F0000}"/>
    <cellStyle name="Comma 6 6 2 2 2 2 2 2" xfId="56543" xr:uid="{00000000-0005-0000-0000-00007F7F0000}"/>
    <cellStyle name="Comma 6 6 2 2 2 2 3" xfId="42044" xr:uid="{00000000-0005-0000-0000-0000807F0000}"/>
    <cellStyle name="Comma 6 6 2 2 2 3" xfId="20289" xr:uid="{00000000-0005-0000-0000-0000817F0000}"/>
    <cellStyle name="Comma 6 6 2 2 2 3 2" xfId="49295" xr:uid="{00000000-0005-0000-0000-0000827F0000}"/>
    <cellStyle name="Comma 6 6 2 2 2 4" xfId="34796" xr:uid="{00000000-0005-0000-0000-0000837F0000}"/>
    <cellStyle name="Comma 6 6 2 2 3" xfId="9899" xr:uid="{00000000-0005-0000-0000-0000847F0000}"/>
    <cellStyle name="Comma 6 6 2 2 3 2" xfId="24433" xr:uid="{00000000-0005-0000-0000-0000857F0000}"/>
    <cellStyle name="Comma 6 6 2 2 3 2 2" xfId="53439" xr:uid="{00000000-0005-0000-0000-0000867F0000}"/>
    <cellStyle name="Comma 6 6 2 2 3 3" xfId="38940" xr:uid="{00000000-0005-0000-0000-0000877F0000}"/>
    <cellStyle name="Comma 6 6 2 2 4" xfId="17185" xr:uid="{00000000-0005-0000-0000-0000887F0000}"/>
    <cellStyle name="Comma 6 6 2 2 4 2" xfId="46191" xr:uid="{00000000-0005-0000-0000-0000897F0000}"/>
    <cellStyle name="Comma 6 6 2 2 5" xfId="31692" xr:uid="{00000000-0005-0000-0000-00008A7F0000}"/>
    <cellStyle name="Comma 6 6 2 3" xfId="3659" xr:uid="{00000000-0005-0000-0000-00008B7F0000}"/>
    <cellStyle name="Comma 6 6 2 3 2" xfId="6763" xr:uid="{00000000-0005-0000-0000-00008C7F0000}"/>
    <cellStyle name="Comma 6 6 2 3 2 2" xfId="14035" xr:uid="{00000000-0005-0000-0000-00008D7F0000}"/>
    <cellStyle name="Comma 6 6 2 3 2 2 2" xfId="28569" xr:uid="{00000000-0005-0000-0000-00008E7F0000}"/>
    <cellStyle name="Comma 6 6 2 3 2 2 2 2" xfId="57575" xr:uid="{00000000-0005-0000-0000-00008F7F0000}"/>
    <cellStyle name="Comma 6 6 2 3 2 2 3" xfId="43076" xr:uid="{00000000-0005-0000-0000-0000907F0000}"/>
    <cellStyle name="Comma 6 6 2 3 2 3" xfId="21321" xr:uid="{00000000-0005-0000-0000-0000917F0000}"/>
    <cellStyle name="Comma 6 6 2 3 2 3 2" xfId="50327" xr:uid="{00000000-0005-0000-0000-0000927F0000}"/>
    <cellStyle name="Comma 6 6 2 3 2 4" xfId="35828" xr:uid="{00000000-0005-0000-0000-0000937F0000}"/>
    <cellStyle name="Comma 6 6 2 3 3" xfId="10931" xr:uid="{00000000-0005-0000-0000-0000947F0000}"/>
    <cellStyle name="Comma 6 6 2 3 3 2" xfId="25465" xr:uid="{00000000-0005-0000-0000-0000957F0000}"/>
    <cellStyle name="Comma 6 6 2 3 3 2 2" xfId="54471" xr:uid="{00000000-0005-0000-0000-0000967F0000}"/>
    <cellStyle name="Comma 6 6 2 3 3 3" xfId="39972" xr:uid="{00000000-0005-0000-0000-0000977F0000}"/>
    <cellStyle name="Comma 6 6 2 3 4" xfId="18217" xr:uid="{00000000-0005-0000-0000-0000987F0000}"/>
    <cellStyle name="Comma 6 6 2 3 4 2" xfId="47223" xr:uid="{00000000-0005-0000-0000-0000997F0000}"/>
    <cellStyle name="Comma 6 6 2 3 5" xfId="32724" xr:uid="{00000000-0005-0000-0000-00009A7F0000}"/>
    <cellStyle name="Comma 6 6 2 4" xfId="4691" xr:uid="{00000000-0005-0000-0000-00009B7F0000}"/>
    <cellStyle name="Comma 6 6 2 4 2" xfId="11963" xr:uid="{00000000-0005-0000-0000-00009C7F0000}"/>
    <cellStyle name="Comma 6 6 2 4 2 2" xfId="26497" xr:uid="{00000000-0005-0000-0000-00009D7F0000}"/>
    <cellStyle name="Comma 6 6 2 4 2 2 2" xfId="55503" xr:uid="{00000000-0005-0000-0000-00009E7F0000}"/>
    <cellStyle name="Comma 6 6 2 4 2 3" xfId="41004" xr:uid="{00000000-0005-0000-0000-00009F7F0000}"/>
    <cellStyle name="Comma 6 6 2 4 3" xfId="19249" xr:uid="{00000000-0005-0000-0000-0000A07F0000}"/>
    <cellStyle name="Comma 6 6 2 4 3 2" xfId="48255" xr:uid="{00000000-0005-0000-0000-0000A17F0000}"/>
    <cellStyle name="Comma 6 6 2 4 4" xfId="33756" xr:uid="{00000000-0005-0000-0000-0000A27F0000}"/>
    <cellStyle name="Comma 6 6 2 5" xfId="7795" xr:uid="{00000000-0005-0000-0000-0000A37F0000}"/>
    <cellStyle name="Comma 6 6 2 5 2" xfId="15067" xr:uid="{00000000-0005-0000-0000-0000A47F0000}"/>
    <cellStyle name="Comma 6 6 2 5 2 2" xfId="29601" xr:uid="{00000000-0005-0000-0000-0000A57F0000}"/>
    <cellStyle name="Comma 6 6 2 5 2 2 2" xfId="58607" xr:uid="{00000000-0005-0000-0000-0000A67F0000}"/>
    <cellStyle name="Comma 6 6 2 5 2 3" xfId="44108" xr:uid="{00000000-0005-0000-0000-0000A77F0000}"/>
    <cellStyle name="Comma 6 6 2 5 3" xfId="22353" xr:uid="{00000000-0005-0000-0000-0000A87F0000}"/>
    <cellStyle name="Comma 6 6 2 5 3 2" xfId="51359" xr:uid="{00000000-0005-0000-0000-0000A97F0000}"/>
    <cellStyle name="Comma 6 6 2 5 4" xfId="36860" xr:uid="{00000000-0005-0000-0000-0000AA7F0000}"/>
    <cellStyle name="Comma 6 6 2 6" xfId="8859" xr:uid="{00000000-0005-0000-0000-0000AB7F0000}"/>
    <cellStyle name="Comma 6 6 2 6 2" xfId="23393" xr:uid="{00000000-0005-0000-0000-0000AC7F0000}"/>
    <cellStyle name="Comma 6 6 2 6 2 2" xfId="52399" xr:uid="{00000000-0005-0000-0000-0000AD7F0000}"/>
    <cellStyle name="Comma 6 6 2 6 3" xfId="37900" xr:uid="{00000000-0005-0000-0000-0000AE7F0000}"/>
    <cellStyle name="Comma 6 6 2 7" xfId="16145" xr:uid="{00000000-0005-0000-0000-0000AF7F0000}"/>
    <cellStyle name="Comma 6 6 2 7 2" xfId="45151" xr:uid="{00000000-0005-0000-0000-0000B07F0000}"/>
    <cellStyle name="Comma 6 6 2 8" xfId="30652" xr:uid="{00000000-0005-0000-0000-0000B17F0000}"/>
    <cellStyle name="Comma 6 6 3" xfId="2115" xr:uid="{00000000-0005-0000-0000-0000B27F0000}"/>
    <cellStyle name="Comma 6 6 3 2" xfId="5219" xr:uid="{00000000-0005-0000-0000-0000B37F0000}"/>
    <cellStyle name="Comma 6 6 3 2 2" xfId="12491" xr:uid="{00000000-0005-0000-0000-0000B47F0000}"/>
    <cellStyle name="Comma 6 6 3 2 2 2" xfId="27025" xr:uid="{00000000-0005-0000-0000-0000B57F0000}"/>
    <cellStyle name="Comma 6 6 3 2 2 2 2" xfId="56031" xr:uid="{00000000-0005-0000-0000-0000B67F0000}"/>
    <cellStyle name="Comma 6 6 3 2 2 3" xfId="41532" xr:uid="{00000000-0005-0000-0000-0000B77F0000}"/>
    <cellStyle name="Comma 6 6 3 2 3" xfId="19777" xr:uid="{00000000-0005-0000-0000-0000B87F0000}"/>
    <cellStyle name="Comma 6 6 3 2 3 2" xfId="48783" xr:uid="{00000000-0005-0000-0000-0000B97F0000}"/>
    <cellStyle name="Comma 6 6 3 2 4" xfId="34284" xr:uid="{00000000-0005-0000-0000-0000BA7F0000}"/>
    <cellStyle name="Comma 6 6 3 3" xfId="9387" xr:uid="{00000000-0005-0000-0000-0000BB7F0000}"/>
    <cellStyle name="Comma 6 6 3 3 2" xfId="23921" xr:uid="{00000000-0005-0000-0000-0000BC7F0000}"/>
    <cellStyle name="Comma 6 6 3 3 2 2" xfId="52927" xr:uid="{00000000-0005-0000-0000-0000BD7F0000}"/>
    <cellStyle name="Comma 6 6 3 3 3" xfId="38428" xr:uid="{00000000-0005-0000-0000-0000BE7F0000}"/>
    <cellStyle name="Comma 6 6 3 4" xfId="16673" xr:uid="{00000000-0005-0000-0000-0000BF7F0000}"/>
    <cellStyle name="Comma 6 6 3 4 2" xfId="45679" xr:uid="{00000000-0005-0000-0000-0000C07F0000}"/>
    <cellStyle name="Comma 6 6 3 5" xfId="31180" xr:uid="{00000000-0005-0000-0000-0000C17F0000}"/>
    <cellStyle name="Comma 6 6 4" xfId="3147" xr:uid="{00000000-0005-0000-0000-0000C27F0000}"/>
    <cellStyle name="Comma 6 6 4 2" xfId="6251" xr:uid="{00000000-0005-0000-0000-0000C37F0000}"/>
    <cellStyle name="Comma 6 6 4 2 2" xfId="13523" xr:uid="{00000000-0005-0000-0000-0000C47F0000}"/>
    <cellStyle name="Comma 6 6 4 2 2 2" xfId="28057" xr:uid="{00000000-0005-0000-0000-0000C57F0000}"/>
    <cellStyle name="Comma 6 6 4 2 2 2 2" xfId="57063" xr:uid="{00000000-0005-0000-0000-0000C67F0000}"/>
    <cellStyle name="Comma 6 6 4 2 2 3" xfId="42564" xr:uid="{00000000-0005-0000-0000-0000C77F0000}"/>
    <cellStyle name="Comma 6 6 4 2 3" xfId="20809" xr:uid="{00000000-0005-0000-0000-0000C87F0000}"/>
    <cellStyle name="Comma 6 6 4 2 3 2" xfId="49815" xr:uid="{00000000-0005-0000-0000-0000C97F0000}"/>
    <cellStyle name="Comma 6 6 4 2 4" xfId="35316" xr:uid="{00000000-0005-0000-0000-0000CA7F0000}"/>
    <cellStyle name="Comma 6 6 4 3" xfId="10419" xr:uid="{00000000-0005-0000-0000-0000CB7F0000}"/>
    <cellStyle name="Comma 6 6 4 3 2" xfId="24953" xr:uid="{00000000-0005-0000-0000-0000CC7F0000}"/>
    <cellStyle name="Comma 6 6 4 3 2 2" xfId="53959" xr:uid="{00000000-0005-0000-0000-0000CD7F0000}"/>
    <cellStyle name="Comma 6 6 4 3 3" xfId="39460" xr:uid="{00000000-0005-0000-0000-0000CE7F0000}"/>
    <cellStyle name="Comma 6 6 4 4" xfId="17705" xr:uid="{00000000-0005-0000-0000-0000CF7F0000}"/>
    <cellStyle name="Comma 6 6 4 4 2" xfId="46711" xr:uid="{00000000-0005-0000-0000-0000D07F0000}"/>
    <cellStyle name="Comma 6 6 4 5" xfId="32212" xr:uid="{00000000-0005-0000-0000-0000D17F0000}"/>
    <cellStyle name="Comma 6 6 5" xfId="4179" xr:uid="{00000000-0005-0000-0000-0000D27F0000}"/>
    <cellStyle name="Comma 6 6 5 2" xfId="11451" xr:uid="{00000000-0005-0000-0000-0000D37F0000}"/>
    <cellStyle name="Comma 6 6 5 2 2" xfId="25985" xr:uid="{00000000-0005-0000-0000-0000D47F0000}"/>
    <cellStyle name="Comma 6 6 5 2 2 2" xfId="54991" xr:uid="{00000000-0005-0000-0000-0000D57F0000}"/>
    <cellStyle name="Comma 6 6 5 2 3" xfId="40492" xr:uid="{00000000-0005-0000-0000-0000D67F0000}"/>
    <cellStyle name="Comma 6 6 5 3" xfId="18737" xr:uid="{00000000-0005-0000-0000-0000D77F0000}"/>
    <cellStyle name="Comma 6 6 5 3 2" xfId="47743" xr:uid="{00000000-0005-0000-0000-0000D87F0000}"/>
    <cellStyle name="Comma 6 6 5 4" xfId="33244" xr:uid="{00000000-0005-0000-0000-0000D97F0000}"/>
    <cellStyle name="Comma 6 6 6" xfId="7283" xr:uid="{00000000-0005-0000-0000-0000DA7F0000}"/>
    <cellStyle name="Comma 6 6 6 2" xfId="14555" xr:uid="{00000000-0005-0000-0000-0000DB7F0000}"/>
    <cellStyle name="Comma 6 6 6 2 2" xfId="29089" xr:uid="{00000000-0005-0000-0000-0000DC7F0000}"/>
    <cellStyle name="Comma 6 6 6 2 2 2" xfId="58095" xr:uid="{00000000-0005-0000-0000-0000DD7F0000}"/>
    <cellStyle name="Comma 6 6 6 2 3" xfId="43596" xr:uid="{00000000-0005-0000-0000-0000DE7F0000}"/>
    <cellStyle name="Comma 6 6 6 3" xfId="21841" xr:uid="{00000000-0005-0000-0000-0000DF7F0000}"/>
    <cellStyle name="Comma 6 6 6 3 2" xfId="50847" xr:uid="{00000000-0005-0000-0000-0000E07F0000}"/>
    <cellStyle name="Comma 6 6 6 4" xfId="36348" xr:uid="{00000000-0005-0000-0000-0000E17F0000}"/>
    <cellStyle name="Comma 6 6 7" xfId="8347" xr:uid="{00000000-0005-0000-0000-0000E27F0000}"/>
    <cellStyle name="Comma 6 6 7 2" xfId="22881" xr:uid="{00000000-0005-0000-0000-0000E37F0000}"/>
    <cellStyle name="Comma 6 6 7 2 2" xfId="51887" xr:uid="{00000000-0005-0000-0000-0000E47F0000}"/>
    <cellStyle name="Comma 6 6 7 3" xfId="37388" xr:uid="{00000000-0005-0000-0000-0000E57F0000}"/>
    <cellStyle name="Comma 6 6 8" xfId="15633" xr:uid="{00000000-0005-0000-0000-0000E67F0000}"/>
    <cellStyle name="Comma 6 6 8 2" xfId="44639" xr:uid="{00000000-0005-0000-0000-0000E77F0000}"/>
    <cellStyle name="Comma 6 6 9" xfId="30140" xr:uid="{00000000-0005-0000-0000-0000E87F0000}"/>
    <cellStyle name="Comma 6 7" xfId="282" xr:uid="{00000000-0005-0000-0000-0000E97F0000}"/>
    <cellStyle name="Comma 6 7 10" xfId="59170" xr:uid="{00000000-0005-0000-0000-0000EA7F0000}"/>
    <cellStyle name="Comma 6 7 2" xfId="1469" xr:uid="{00000000-0005-0000-0000-0000EB7F0000}"/>
    <cellStyle name="Comma 6 7 2 2" xfId="2527" xr:uid="{00000000-0005-0000-0000-0000EC7F0000}"/>
    <cellStyle name="Comma 6 7 2 2 2" xfId="5631" xr:uid="{00000000-0005-0000-0000-0000ED7F0000}"/>
    <cellStyle name="Comma 6 7 2 2 2 2" xfId="12903" xr:uid="{00000000-0005-0000-0000-0000EE7F0000}"/>
    <cellStyle name="Comma 6 7 2 2 2 2 2" xfId="27437" xr:uid="{00000000-0005-0000-0000-0000EF7F0000}"/>
    <cellStyle name="Comma 6 7 2 2 2 2 2 2" xfId="56443" xr:uid="{00000000-0005-0000-0000-0000F07F0000}"/>
    <cellStyle name="Comma 6 7 2 2 2 2 3" xfId="41944" xr:uid="{00000000-0005-0000-0000-0000F17F0000}"/>
    <cellStyle name="Comma 6 7 2 2 2 3" xfId="20189" xr:uid="{00000000-0005-0000-0000-0000F27F0000}"/>
    <cellStyle name="Comma 6 7 2 2 2 3 2" xfId="49195" xr:uid="{00000000-0005-0000-0000-0000F37F0000}"/>
    <cellStyle name="Comma 6 7 2 2 2 4" xfId="34696" xr:uid="{00000000-0005-0000-0000-0000F47F0000}"/>
    <cellStyle name="Comma 6 7 2 2 3" xfId="9799" xr:uid="{00000000-0005-0000-0000-0000F57F0000}"/>
    <cellStyle name="Comma 6 7 2 2 3 2" xfId="24333" xr:uid="{00000000-0005-0000-0000-0000F67F0000}"/>
    <cellStyle name="Comma 6 7 2 2 3 2 2" xfId="53339" xr:uid="{00000000-0005-0000-0000-0000F77F0000}"/>
    <cellStyle name="Comma 6 7 2 2 3 3" xfId="38840" xr:uid="{00000000-0005-0000-0000-0000F87F0000}"/>
    <cellStyle name="Comma 6 7 2 2 4" xfId="17085" xr:uid="{00000000-0005-0000-0000-0000F97F0000}"/>
    <cellStyle name="Comma 6 7 2 2 4 2" xfId="46091" xr:uid="{00000000-0005-0000-0000-0000FA7F0000}"/>
    <cellStyle name="Comma 6 7 2 2 5" xfId="31592" xr:uid="{00000000-0005-0000-0000-0000FB7F0000}"/>
    <cellStyle name="Comma 6 7 2 3" xfId="3559" xr:uid="{00000000-0005-0000-0000-0000FC7F0000}"/>
    <cellStyle name="Comma 6 7 2 3 2" xfId="6663" xr:uid="{00000000-0005-0000-0000-0000FD7F0000}"/>
    <cellStyle name="Comma 6 7 2 3 2 2" xfId="13935" xr:uid="{00000000-0005-0000-0000-0000FE7F0000}"/>
    <cellStyle name="Comma 6 7 2 3 2 2 2" xfId="28469" xr:uid="{00000000-0005-0000-0000-0000FF7F0000}"/>
    <cellStyle name="Comma 6 7 2 3 2 2 2 2" xfId="57475" xr:uid="{00000000-0005-0000-0000-000000800000}"/>
    <cellStyle name="Comma 6 7 2 3 2 2 3" xfId="42976" xr:uid="{00000000-0005-0000-0000-000001800000}"/>
    <cellStyle name="Comma 6 7 2 3 2 3" xfId="21221" xr:uid="{00000000-0005-0000-0000-000002800000}"/>
    <cellStyle name="Comma 6 7 2 3 2 3 2" xfId="50227" xr:uid="{00000000-0005-0000-0000-000003800000}"/>
    <cellStyle name="Comma 6 7 2 3 2 4" xfId="35728" xr:uid="{00000000-0005-0000-0000-000004800000}"/>
    <cellStyle name="Comma 6 7 2 3 3" xfId="10831" xr:uid="{00000000-0005-0000-0000-000005800000}"/>
    <cellStyle name="Comma 6 7 2 3 3 2" xfId="25365" xr:uid="{00000000-0005-0000-0000-000006800000}"/>
    <cellStyle name="Comma 6 7 2 3 3 2 2" xfId="54371" xr:uid="{00000000-0005-0000-0000-000007800000}"/>
    <cellStyle name="Comma 6 7 2 3 3 3" xfId="39872" xr:uid="{00000000-0005-0000-0000-000008800000}"/>
    <cellStyle name="Comma 6 7 2 3 4" xfId="18117" xr:uid="{00000000-0005-0000-0000-000009800000}"/>
    <cellStyle name="Comma 6 7 2 3 4 2" xfId="47123" xr:uid="{00000000-0005-0000-0000-00000A800000}"/>
    <cellStyle name="Comma 6 7 2 3 5" xfId="32624" xr:uid="{00000000-0005-0000-0000-00000B800000}"/>
    <cellStyle name="Comma 6 7 2 4" xfId="4591" xr:uid="{00000000-0005-0000-0000-00000C800000}"/>
    <cellStyle name="Comma 6 7 2 4 2" xfId="11863" xr:uid="{00000000-0005-0000-0000-00000D800000}"/>
    <cellStyle name="Comma 6 7 2 4 2 2" xfId="26397" xr:uid="{00000000-0005-0000-0000-00000E800000}"/>
    <cellStyle name="Comma 6 7 2 4 2 2 2" xfId="55403" xr:uid="{00000000-0005-0000-0000-00000F800000}"/>
    <cellStyle name="Comma 6 7 2 4 2 3" xfId="40904" xr:uid="{00000000-0005-0000-0000-000010800000}"/>
    <cellStyle name="Comma 6 7 2 4 3" xfId="19149" xr:uid="{00000000-0005-0000-0000-000011800000}"/>
    <cellStyle name="Comma 6 7 2 4 3 2" xfId="48155" xr:uid="{00000000-0005-0000-0000-000012800000}"/>
    <cellStyle name="Comma 6 7 2 4 4" xfId="33656" xr:uid="{00000000-0005-0000-0000-000013800000}"/>
    <cellStyle name="Comma 6 7 2 5" xfId="7695" xr:uid="{00000000-0005-0000-0000-000014800000}"/>
    <cellStyle name="Comma 6 7 2 5 2" xfId="14967" xr:uid="{00000000-0005-0000-0000-000015800000}"/>
    <cellStyle name="Comma 6 7 2 5 2 2" xfId="29501" xr:uid="{00000000-0005-0000-0000-000016800000}"/>
    <cellStyle name="Comma 6 7 2 5 2 2 2" xfId="58507" xr:uid="{00000000-0005-0000-0000-000017800000}"/>
    <cellStyle name="Comma 6 7 2 5 2 3" xfId="44008" xr:uid="{00000000-0005-0000-0000-000018800000}"/>
    <cellStyle name="Comma 6 7 2 5 3" xfId="22253" xr:uid="{00000000-0005-0000-0000-000019800000}"/>
    <cellStyle name="Comma 6 7 2 5 3 2" xfId="51259" xr:uid="{00000000-0005-0000-0000-00001A800000}"/>
    <cellStyle name="Comma 6 7 2 5 4" xfId="36760" xr:uid="{00000000-0005-0000-0000-00001B800000}"/>
    <cellStyle name="Comma 6 7 2 6" xfId="8759" xr:uid="{00000000-0005-0000-0000-00001C800000}"/>
    <cellStyle name="Comma 6 7 2 6 2" xfId="23293" xr:uid="{00000000-0005-0000-0000-00001D800000}"/>
    <cellStyle name="Comma 6 7 2 6 2 2" xfId="52299" xr:uid="{00000000-0005-0000-0000-00001E800000}"/>
    <cellStyle name="Comma 6 7 2 6 3" xfId="37800" xr:uid="{00000000-0005-0000-0000-00001F800000}"/>
    <cellStyle name="Comma 6 7 2 7" xfId="16045" xr:uid="{00000000-0005-0000-0000-000020800000}"/>
    <cellStyle name="Comma 6 7 2 7 2" xfId="45051" xr:uid="{00000000-0005-0000-0000-000021800000}"/>
    <cellStyle name="Comma 6 7 2 8" xfId="30552" xr:uid="{00000000-0005-0000-0000-000022800000}"/>
    <cellStyle name="Comma 6 7 3" xfId="2015" xr:uid="{00000000-0005-0000-0000-000023800000}"/>
    <cellStyle name="Comma 6 7 3 2" xfId="5119" xr:uid="{00000000-0005-0000-0000-000024800000}"/>
    <cellStyle name="Comma 6 7 3 2 2" xfId="12391" xr:uid="{00000000-0005-0000-0000-000025800000}"/>
    <cellStyle name="Comma 6 7 3 2 2 2" xfId="26925" xr:uid="{00000000-0005-0000-0000-000026800000}"/>
    <cellStyle name="Comma 6 7 3 2 2 2 2" xfId="55931" xr:uid="{00000000-0005-0000-0000-000027800000}"/>
    <cellStyle name="Comma 6 7 3 2 2 3" xfId="41432" xr:uid="{00000000-0005-0000-0000-000028800000}"/>
    <cellStyle name="Comma 6 7 3 2 3" xfId="19677" xr:uid="{00000000-0005-0000-0000-000029800000}"/>
    <cellStyle name="Comma 6 7 3 2 3 2" xfId="48683" xr:uid="{00000000-0005-0000-0000-00002A800000}"/>
    <cellStyle name="Comma 6 7 3 2 4" xfId="34184" xr:uid="{00000000-0005-0000-0000-00002B800000}"/>
    <cellStyle name="Comma 6 7 3 3" xfId="9287" xr:uid="{00000000-0005-0000-0000-00002C800000}"/>
    <cellStyle name="Comma 6 7 3 3 2" xfId="23821" xr:uid="{00000000-0005-0000-0000-00002D800000}"/>
    <cellStyle name="Comma 6 7 3 3 2 2" xfId="52827" xr:uid="{00000000-0005-0000-0000-00002E800000}"/>
    <cellStyle name="Comma 6 7 3 3 3" xfId="38328" xr:uid="{00000000-0005-0000-0000-00002F800000}"/>
    <cellStyle name="Comma 6 7 3 4" xfId="16573" xr:uid="{00000000-0005-0000-0000-000030800000}"/>
    <cellStyle name="Comma 6 7 3 4 2" xfId="45579" xr:uid="{00000000-0005-0000-0000-000031800000}"/>
    <cellStyle name="Comma 6 7 3 5" xfId="31080" xr:uid="{00000000-0005-0000-0000-000032800000}"/>
    <cellStyle name="Comma 6 7 4" xfId="3047" xr:uid="{00000000-0005-0000-0000-000033800000}"/>
    <cellStyle name="Comma 6 7 4 2" xfId="6151" xr:uid="{00000000-0005-0000-0000-000034800000}"/>
    <cellStyle name="Comma 6 7 4 2 2" xfId="13423" xr:uid="{00000000-0005-0000-0000-000035800000}"/>
    <cellStyle name="Comma 6 7 4 2 2 2" xfId="27957" xr:uid="{00000000-0005-0000-0000-000036800000}"/>
    <cellStyle name="Comma 6 7 4 2 2 2 2" xfId="56963" xr:uid="{00000000-0005-0000-0000-000037800000}"/>
    <cellStyle name="Comma 6 7 4 2 2 3" xfId="42464" xr:uid="{00000000-0005-0000-0000-000038800000}"/>
    <cellStyle name="Comma 6 7 4 2 3" xfId="20709" xr:uid="{00000000-0005-0000-0000-000039800000}"/>
    <cellStyle name="Comma 6 7 4 2 3 2" xfId="49715" xr:uid="{00000000-0005-0000-0000-00003A800000}"/>
    <cellStyle name="Comma 6 7 4 2 4" xfId="35216" xr:uid="{00000000-0005-0000-0000-00003B800000}"/>
    <cellStyle name="Comma 6 7 4 3" xfId="10319" xr:uid="{00000000-0005-0000-0000-00003C800000}"/>
    <cellStyle name="Comma 6 7 4 3 2" xfId="24853" xr:uid="{00000000-0005-0000-0000-00003D800000}"/>
    <cellStyle name="Comma 6 7 4 3 2 2" xfId="53859" xr:uid="{00000000-0005-0000-0000-00003E800000}"/>
    <cellStyle name="Comma 6 7 4 3 3" xfId="39360" xr:uid="{00000000-0005-0000-0000-00003F800000}"/>
    <cellStyle name="Comma 6 7 4 4" xfId="17605" xr:uid="{00000000-0005-0000-0000-000040800000}"/>
    <cellStyle name="Comma 6 7 4 4 2" xfId="46611" xr:uid="{00000000-0005-0000-0000-000041800000}"/>
    <cellStyle name="Comma 6 7 4 5" xfId="32112" xr:uid="{00000000-0005-0000-0000-000042800000}"/>
    <cellStyle name="Comma 6 7 5" xfId="4079" xr:uid="{00000000-0005-0000-0000-000043800000}"/>
    <cellStyle name="Comma 6 7 5 2" xfId="11351" xr:uid="{00000000-0005-0000-0000-000044800000}"/>
    <cellStyle name="Comma 6 7 5 2 2" xfId="25885" xr:uid="{00000000-0005-0000-0000-000045800000}"/>
    <cellStyle name="Comma 6 7 5 2 2 2" xfId="54891" xr:uid="{00000000-0005-0000-0000-000046800000}"/>
    <cellStyle name="Comma 6 7 5 2 3" xfId="40392" xr:uid="{00000000-0005-0000-0000-000047800000}"/>
    <cellStyle name="Comma 6 7 5 3" xfId="18637" xr:uid="{00000000-0005-0000-0000-000048800000}"/>
    <cellStyle name="Comma 6 7 5 3 2" xfId="47643" xr:uid="{00000000-0005-0000-0000-000049800000}"/>
    <cellStyle name="Comma 6 7 5 4" xfId="33144" xr:uid="{00000000-0005-0000-0000-00004A800000}"/>
    <cellStyle name="Comma 6 7 6" xfId="7183" xr:uid="{00000000-0005-0000-0000-00004B800000}"/>
    <cellStyle name="Comma 6 7 6 2" xfId="14455" xr:uid="{00000000-0005-0000-0000-00004C800000}"/>
    <cellStyle name="Comma 6 7 6 2 2" xfId="28989" xr:uid="{00000000-0005-0000-0000-00004D800000}"/>
    <cellStyle name="Comma 6 7 6 2 2 2" xfId="57995" xr:uid="{00000000-0005-0000-0000-00004E800000}"/>
    <cellStyle name="Comma 6 7 6 2 3" xfId="43496" xr:uid="{00000000-0005-0000-0000-00004F800000}"/>
    <cellStyle name="Comma 6 7 6 3" xfId="21741" xr:uid="{00000000-0005-0000-0000-000050800000}"/>
    <cellStyle name="Comma 6 7 6 3 2" xfId="50747" xr:uid="{00000000-0005-0000-0000-000051800000}"/>
    <cellStyle name="Comma 6 7 6 4" xfId="36248" xr:uid="{00000000-0005-0000-0000-000052800000}"/>
    <cellStyle name="Comma 6 7 7" xfId="8247" xr:uid="{00000000-0005-0000-0000-000053800000}"/>
    <cellStyle name="Comma 6 7 7 2" xfId="22781" xr:uid="{00000000-0005-0000-0000-000054800000}"/>
    <cellStyle name="Comma 6 7 7 2 2" xfId="51787" xr:uid="{00000000-0005-0000-0000-000055800000}"/>
    <cellStyle name="Comma 6 7 7 3" xfId="37288" xr:uid="{00000000-0005-0000-0000-000056800000}"/>
    <cellStyle name="Comma 6 7 8" xfId="15533" xr:uid="{00000000-0005-0000-0000-000057800000}"/>
    <cellStyle name="Comma 6 7 8 2" xfId="44539" xr:uid="{00000000-0005-0000-0000-000058800000}"/>
    <cellStyle name="Comma 6 7 9" xfId="30040" xr:uid="{00000000-0005-0000-0000-000059800000}"/>
    <cellStyle name="Comma 6 8" xfId="1266" xr:uid="{00000000-0005-0000-0000-00005A800000}"/>
    <cellStyle name="Comma 6 8 2" xfId="2321" xr:uid="{00000000-0005-0000-0000-00005B800000}"/>
    <cellStyle name="Comma 6 8 2 2" xfId="5425" xr:uid="{00000000-0005-0000-0000-00005C800000}"/>
    <cellStyle name="Comma 6 8 2 2 2" xfId="12697" xr:uid="{00000000-0005-0000-0000-00005D800000}"/>
    <cellStyle name="Comma 6 8 2 2 2 2" xfId="27231" xr:uid="{00000000-0005-0000-0000-00005E800000}"/>
    <cellStyle name="Comma 6 8 2 2 2 2 2" xfId="56237" xr:uid="{00000000-0005-0000-0000-00005F800000}"/>
    <cellStyle name="Comma 6 8 2 2 2 3" xfId="41738" xr:uid="{00000000-0005-0000-0000-000060800000}"/>
    <cellStyle name="Comma 6 8 2 2 3" xfId="19983" xr:uid="{00000000-0005-0000-0000-000061800000}"/>
    <cellStyle name="Comma 6 8 2 2 3 2" xfId="48989" xr:uid="{00000000-0005-0000-0000-000062800000}"/>
    <cellStyle name="Comma 6 8 2 2 4" xfId="34490" xr:uid="{00000000-0005-0000-0000-000063800000}"/>
    <cellStyle name="Comma 6 8 2 3" xfId="9593" xr:uid="{00000000-0005-0000-0000-000064800000}"/>
    <cellStyle name="Comma 6 8 2 3 2" xfId="24127" xr:uid="{00000000-0005-0000-0000-000065800000}"/>
    <cellStyle name="Comma 6 8 2 3 2 2" xfId="53133" xr:uid="{00000000-0005-0000-0000-000066800000}"/>
    <cellStyle name="Comma 6 8 2 3 3" xfId="38634" xr:uid="{00000000-0005-0000-0000-000067800000}"/>
    <cellStyle name="Comma 6 8 2 4" xfId="16879" xr:uid="{00000000-0005-0000-0000-000068800000}"/>
    <cellStyle name="Comma 6 8 2 4 2" xfId="45885" xr:uid="{00000000-0005-0000-0000-000069800000}"/>
    <cellStyle name="Comma 6 8 2 5" xfId="31386" xr:uid="{00000000-0005-0000-0000-00006A800000}"/>
    <cellStyle name="Comma 6 8 3" xfId="3353" xr:uid="{00000000-0005-0000-0000-00006B800000}"/>
    <cellStyle name="Comma 6 8 3 2" xfId="6457" xr:uid="{00000000-0005-0000-0000-00006C800000}"/>
    <cellStyle name="Comma 6 8 3 2 2" xfId="13729" xr:uid="{00000000-0005-0000-0000-00006D800000}"/>
    <cellStyle name="Comma 6 8 3 2 2 2" xfId="28263" xr:uid="{00000000-0005-0000-0000-00006E800000}"/>
    <cellStyle name="Comma 6 8 3 2 2 2 2" xfId="57269" xr:uid="{00000000-0005-0000-0000-00006F800000}"/>
    <cellStyle name="Comma 6 8 3 2 2 3" xfId="42770" xr:uid="{00000000-0005-0000-0000-000070800000}"/>
    <cellStyle name="Comma 6 8 3 2 3" xfId="21015" xr:uid="{00000000-0005-0000-0000-000071800000}"/>
    <cellStyle name="Comma 6 8 3 2 3 2" xfId="50021" xr:uid="{00000000-0005-0000-0000-000072800000}"/>
    <cellStyle name="Comma 6 8 3 2 4" xfId="35522" xr:uid="{00000000-0005-0000-0000-000073800000}"/>
    <cellStyle name="Comma 6 8 3 3" xfId="10625" xr:uid="{00000000-0005-0000-0000-000074800000}"/>
    <cellStyle name="Comma 6 8 3 3 2" xfId="25159" xr:uid="{00000000-0005-0000-0000-000075800000}"/>
    <cellStyle name="Comma 6 8 3 3 2 2" xfId="54165" xr:uid="{00000000-0005-0000-0000-000076800000}"/>
    <cellStyle name="Comma 6 8 3 3 3" xfId="39666" xr:uid="{00000000-0005-0000-0000-000077800000}"/>
    <cellStyle name="Comma 6 8 3 4" xfId="17911" xr:uid="{00000000-0005-0000-0000-000078800000}"/>
    <cellStyle name="Comma 6 8 3 4 2" xfId="46917" xr:uid="{00000000-0005-0000-0000-000079800000}"/>
    <cellStyle name="Comma 6 8 3 5" xfId="32418" xr:uid="{00000000-0005-0000-0000-00007A800000}"/>
    <cellStyle name="Comma 6 8 4" xfId="4385" xr:uid="{00000000-0005-0000-0000-00007B800000}"/>
    <cellStyle name="Comma 6 8 4 2" xfId="11657" xr:uid="{00000000-0005-0000-0000-00007C800000}"/>
    <cellStyle name="Comma 6 8 4 2 2" xfId="26191" xr:uid="{00000000-0005-0000-0000-00007D800000}"/>
    <cellStyle name="Comma 6 8 4 2 2 2" xfId="55197" xr:uid="{00000000-0005-0000-0000-00007E800000}"/>
    <cellStyle name="Comma 6 8 4 2 3" xfId="40698" xr:uid="{00000000-0005-0000-0000-00007F800000}"/>
    <cellStyle name="Comma 6 8 4 3" xfId="18943" xr:uid="{00000000-0005-0000-0000-000080800000}"/>
    <cellStyle name="Comma 6 8 4 3 2" xfId="47949" xr:uid="{00000000-0005-0000-0000-000081800000}"/>
    <cellStyle name="Comma 6 8 4 4" xfId="33450" xr:uid="{00000000-0005-0000-0000-000082800000}"/>
    <cellStyle name="Comma 6 8 5" xfId="7489" xr:uid="{00000000-0005-0000-0000-000083800000}"/>
    <cellStyle name="Comma 6 8 5 2" xfId="14761" xr:uid="{00000000-0005-0000-0000-000084800000}"/>
    <cellStyle name="Comma 6 8 5 2 2" xfId="29295" xr:uid="{00000000-0005-0000-0000-000085800000}"/>
    <cellStyle name="Comma 6 8 5 2 2 2" xfId="58301" xr:uid="{00000000-0005-0000-0000-000086800000}"/>
    <cellStyle name="Comma 6 8 5 2 3" xfId="43802" xr:uid="{00000000-0005-0000-0000-000087800000}"/>
    <cellStyle name="Comma 6 8 5 3" xfId="22047" xr:uid="{00000000-0005-0000-0000-000088800000}"/>
    <cellStyle name="Comma 6 8 5 3 2" xfId="51053" xr:uid="{00000000-0005-0000-0000-000089800000}"/>
    <cellStyle name="Comma 6 8 5 4" xfId="36554" xr:uid="{00000000-0005-0000-0000-00008A800000}"/>
    <cellStyle name="Comma 6 8 6" xfId="8553" xr:uid="{00000000-0005-0000-0000-00008B800000}"/>
    <cellStyle name="Comma 6 8 6 2" xfId="23087" xr:uid="{00000000-0005-0000-0000-00008C800000}"/>
    <cellStyle name="Comma 6 8 6 2 2" xfId="52093" xr:uid="{00000000-0005-0000-0000-00008D800000}"/>
    <cellStyle name="Comma 6 8 6 3" xfId="37594" xr:uid="{00000000-0005-0000-0000-00008E800000}"/>
    <cellStyle name="Comma 6 8 7" xfId="15839" xr:uid="{00000000-0005-0000-0000-00008F800000}"/>
    <cellStyle name="Comma 6 8 7 2" xfId="44845" xr:uid="{00000000-0005-0000-0000-000090800000}"/>
    <cellStyle name="Comma 6 8 8" xfId="30346" xr:uid="{00000000-0005-0000-0000-000091800000}"/>
    <cellStyle name="Comma 6 8 9" xfId="59489" xr:uid="{00000000-0005-0000-0000-000092800000}"/>
    <cellStyle name="Comma 6 9" xfId="1809" xr:uid="{00000000-0005-0000-0000-000093800000}"/>
    <cellStyle name="Comma 6 9 2" xfId="4913" xr:uid="{00000000-0005-0000-0000-000094800000}"/>
    <cellStyle name="Comma 6 9 2 2" xfId="12185" xr:uid="{00000000-0005-0000-0000-000095800000}"/>
    <cellStyle name="Comma 6 9 2 2 2" xfId="26719" xr:uid="{00000000-0005-0000-0000-000096800000}"/>
    <cellStyle name="Comma 6 9 2 2 2 2" xfId="55725" xr:uid="{00000000-0005-0000-0000-000097800000}"/>
    <cellStyle name="Comma 6 9 2 2 3" xfId="41226" xr:uid="{00000000-0005-0000-0000-000098800000}"/>
    <cellStyle name="Comma 6 9 2 3" xfId="19471" xr:uid="{00000000-0005-0000-0000-000099800000}"/>
    <cellStyle name="Comma 6 9 2 3 2" xfId="48477" xr:uid="{00000000-0005-0000-0000-00009A800000}"/>
    <cellStyle name="Comma 6 9 2 4" xfId="33978" xr:uid="{00000000-0005-0000-0000-00009B800000}"/>
    <cellStyle name="Comma 6 9 3" xfId="9081" xr:uid="{00000000-0005-0000-0000-00009C800000}"/>
    <cellStyle name="Comma 6 9 3 2" xfId="23615" xr:uid="{00000000-0005-0000-0000-00009D800000}"/>
    <cellStyle name="Comma 6 9 3 2 2" xfId="52621" xr:uid="{00000000-0005-0000-0000-00009E800000}"/>
    <cellStyle name="Comma 6 9 3 3" xfId="38122" xr:uid="{00000000-0005-0000-0000-00009F800000}"/>
    <cellStyle name="Comma 6 9 4" xfId="16367" xr:uid="{00000000-0005-0000-0000-0000A0800000}"/>
    <cellStyle name="Comma 6 9 4 2" xfId="45373" xr:uid="{00000000-0005-0000-0000-0000A1800000}"/>
    <cellStyle name="Comma 6 9 5" xfId="30874" xr:uid="{00000000-0005-0000-0000-0000A2800000}"/>
    <cellStyle name="Comma 7" xfId="28" xr:uid="{00000000-0005-0000-0000-0000A3800000}"/>
    <cellStyle name="Comma 7 10" xfId="2855" xr:uid="{00000000-0005-0000-0000-0000A4800000}"/>
    <cellStyle name="Comma 7 10 2" xfId="5959" xr:uid="{00000000-0005-0000-0000-0000A5800000}"/>
    <cellStyle name="Comma 7 10 2 2" xfId="13231" xr:uid="{00000000-0005-0000-0000-0000A6800000}"/>
    <cellStyle name="Comma 7 10 2 2 2" xfId="27765" xr:uid="{00000000-0005-0000-0000-0000A7800000}"/>
    <cellStyle name="Comma 7 10 2 2 2 2" xfId="56771" xr:uid="{00000000-0005-0000-0000-0000A8800000}"/>
    <cellStyle name="Comma 7 10 2 2 3" xfId="42272" xr:uid="{00000000-0005-0000-0000-0000A9800000}"/>
    <cellStyle name="Comma 7 10 2 3" xfId="20517" xr:uid="{00000000-0005-0000-0000-0000AA800000}"/>
    <cellStyle name="Comma 7 10 2 3 2" xfId="49523" xr:uid="{00000000-0005-0000-0000-0000AB800000}"/>
    <cellStyle name="Comma 7 10 2 4" xfId="35024" xr:uid="{00000000-0005-0000-0000-0000AC800000}"/>
    <cellStyle name="Comma 7 10 3" xfId="10127" xr:uid="{00000000-0005-0000-0000-0000AD800000}"/>
    <cellStyle name="Comma 7 10 3 2" xfId="24661" xr:uid="{00000000-0005-0000-0000-0000AE800000}"/>
    <cellStyle name="Comma 7 10 3 2 2" xfId="53667" xr:uid="{00000000-0005-0000-0000-0000AF800000}"/>
    <cellStyle name="Comma 7 10 3 3" xfId="39168" xr:uid="{00000000-0005-0000-0000-0000B0800000}"/>
    <cellStyle name="Comma 7 10 4" xfId="17413" xr:uid="{00000000-0005-0000-0000-0000B1800000}"/>
    <cellStyle name="Comma 7 10 4 2" xfId="46419" xr:uid="{00000000-0005-0000-0000-0000B2800000}"/>
    <cellStyle name="Comma 7 10 5" xfId="31920" xr:uid="{00000000-0005-0000-0000-0000B3800000}"/>
    <cellStyle name="Comma 7 11" xfId="3887" xr:uid="{00000000-0005-0000-0000-0000B4800000}"/>
    <cellStyle name="Comma 7 11 2" xfId="11159" xr:uid="{00000000-0005-0000-0000-0000B5800000}"/>
    <cellStyle name="Comma 7 11 2 2" xfId="25693" xr:uid="{00000000-0005-0000-0000-0000B6800000}"/>
    <cellStyle name="Comma 7 11 2 2 2" xfId="54699" xr:uid="{00000000-0005-0000-0000-0000B7800000}"/>
    <cellStyle name="Comma 7 11 2 3" xfId="40200" xr:uid="{00000000-0005-0000-0000-0000B8800000}"/>
    <cellStyle name="Comma 7 11 3" xfId="18445" xr:uid="{00000000-0005-0000-0000-0000B9800000}"/>
    <cellStyle name="Comma 7 11 3 2" xfId="47451" xr:uid="{00000000-0005-0000-0000-0000BA800000}"/>
    <cellStyle name="Comma 7 11 4" xfId="32952" xr:uid="{00000000-0005-0000-0000-0000BB800000}"/>
    <cellStyle name="Comma 7 12" xfId="6991" xr:uid="{00000000-0005-0000-0000-0000BC800000}"/>
    <cellStyle name="Comma 7 12 2" xfId="14263" xr:uid="{00000000-0005-0000-0000-0000BD800000}"/>
    <cellStyle name="Comma 7 12 2 2" xfId="28797" xr:uid="{00000000-0005-0000-0000-0000BE800000}"/>
    <cellStyle name="Comma 7 12 2 2 2" xfId="57803" xr:uid="{00000000-0005-0000-0000-0000BF800000}"/>
    <cellStyle name="Comma 7 12 2 3" xfId="43304" xr:uid="{00000000-0005-0000-0000-0000C0800000}"/>
    <cellStyle name="Comma 7 12 3" xfId="21549" xr:uid="{00000000-0005-0000-0000-0000C1800000}"/>
    <cellStyle name="Comma 7 12 3 2" xfId="50555" xr:uid="{00000000-0005-0000-0000-0000C2800000}"/>
    <cellStyle name="Comma 7 12 4" xfId="36056" xr:uid="{00000000-0005-0000-0000-0000C3800000}"/>
    <cellStyle name="Comma 7 13" xfId="8055" xr:uid="{00000000-0005-0000-0000-0000C4800000}"/>
    <cellStyle name="Comma 7 13 2" xfId="22589" xr:uid="{00000000-0005-0000-0000-0000C5800000}"/>
    <cellStyle name="Comma 7 13 2 2" xfId="51595" xr:uid="{00000000-0005-0000-0000-0000C6800000}"/>
    <cellStyle name="Comma 7 13 3" xfId="37096" xr:uid="{00000000-0005-0000-0000-0000C7800000}"/>
    <cellStyle name="Comma 7 14" xfId="15341" xr:uid="{00000000-0005-0000-0000-0000C8800000}"/>
    <cellStyle name="Comma 7 14 2" xfId="44347" xr:uid="{00000000-0005-0000-0000-0000C9800000}"/>
    <cellStyle name="Comma 7 15" xfId="787" xr:uid="{00000000-0005-0000-0000-0000CA800000}"/>
    <cellStyle name="Comma 7 15 2" xfId="29848" xr:uid="{00000000-0005-0000-0000-0000CB800000}"/>
    <cellStyle name="Comma 7 16" xfId="58850" xr:uid="{00000000-0005-0000-0000-0000CC800000}"/>
    <cellStyle name="Comma 7 17" xfId="58871" xr:uid="{00000000-0005-0000-0000-0000CD800000}"/>
    <cellStyle name="Comma 7 18" xfId="624" xr:uid="{00000000-0005-0000-0000-0000CE800000}"/>
    <cellStyle name="Comma 7 19" xfId="58936" xr:uid="{00000000-0005-0000-0000-0000CF800000}"/>
    <cellStyle name="Comma 7 2" xfId="160" xr:uid="{00000000-0005-0000-0000-0000D0800000}"/>
    <cellStyle name="Comma 7 2 10" xfId="7015" xr:uid="{00000000-0005-0000-0000-0000D1800000}"/>
    <cellStyle name="Comma 7 2 10 2" xfId="14287" xr:uid="{00000000-0005-0000-0000-0000D2800000}"/>
    <cellStyle name="Comma 7 2 10 2 2" xfId="28821" xr:uid="{00000000-0005-0000-0000-0000D3800000}"/>
    <cellStyle name="Comma 7 2 10 2 2 2" xfId="57827" xr:uid="{00000000-0005-0000-0000-0000D4800000}"/>
    <cellStyle name="Comma 7 2 10 2 3" xfId="43328" xr:uid="{00000000-0005-0000-0000-0000D5800000}"/>
    <cellStyle name="Comma 7 2 10 3" xfId="21573" xr:uid="{00000000-0005-0000-0000-0000D6800000}"/>
    <cellStyle name="Comma 7 2 10 3 2" xfId="50579" xr:uid="{00000000-0005-0000-0000-0000D7800000}"/>
    <cellStyle name="Comma 7 2 10 4" xfId="36080" xr:uid="{00000000-0005-0000-0000-0000D8800000}"/>
    <cellStyle name="Comma 7 2 11" xfId="8079" xr:uid="{00000000-0005-0000-0000-0000D9800000}"/>
    <cellStyle name="Comma 7 2 11 2" xfId="22613" xr:uid="{00000000-0005-0000-0000-0000DA800000}"/>
    <cellStyle name="Comma 7 2 11 2 2" xfId="51619" xr:uid="{00000000-0005-0000-0000-0000DB800000}"/>
    <cellStyle name="Comma 7 2 11 3" xfId="37120" xr:uid="{00000000-0005-0000-0000-0000DC800000}"/>
    <cellStyle name="Comma 7 2 12" xfId="15365" xr:uid="{00000000-0005-0000-0000-0000DD800000}"/>
    <cellStyle name="Comma 7 2 12 2" xfId="44371" xr:uid="{00000000-0005-0000-0000-0000DE800000}"/>
    <cellStyle name="Comma 7 2 13" xfId="29872" xr:uid="{00000000-0005-0000-0000-0000DF800000}"/>
    <cellStyle name="Comma 7 2 14" xfId="58891" xr:uid="{00000000-0005-0000-0000-0000E0800000}"/>
    <cellStyle name="Comma 7 2 15" xfId="58984" xr:uid="{00000000-0005-0000-0000-0000E1800000}"/>
    <cellStyle name="Comma 7 2 16" xfId="59209" xr:uid="{00000000-0005-0000-0000-0000E2800000}"/>
    <cellStyle name="Comma 7 2 2" xfId="234" xr:uid="{00000000-0005-0000-0000-0000E3800000}"/>
    <cellStyle name="Comma 7 2 2 10" xfId="8131" xr:uid="{00000000-0005-0000-0000-0000E4800000}"/>
    <cellStyle name="Comma 7 2 2 10 2" xfId="22665" xr:uid="{00000000-0005-0000-0000-0000E5800000}"/>
    <cellStyle name="Comma 7 2 2 10 2 2" xfId="51671" xr:uid="{00000000-0005-0000-0000-0000E6800000}"/>
    <cellStyle name="Comma 7 2 2 10 3" xfId="37172" xr:uid="{00000000-0005-0000-0000-0000E7800000}"/>
    <cellStyle name="Comma 7 2 2 11" xfId="15417" xr:uid="{00000000-0005-0000-0000-0000E8800000}"/>
    <cellStyle name="Comma 7 2 2 11 2" xfId="44423" xr:uid="{00000000-0005-0000-0000-0000E9800000}"/>
    <cellStyle name="Comma 7 2 2 12" xfId="29924" xr:uid="{00000000-0005-0000-0000-0000EA800000}"/>
    <cellStyle name="Comma 7 2 2 13" xfId="58911" xr:uid="{00000000-0005-0000-0000-0000EB800000}"/>
    <cellStyle name="Comma 7 2 2 14" xfId="59058" xr:uid="{00000000-0005-0000-0000-0000EC800000}"/>
    <cellStyle name="Comma 7 2 2 15" xfId="59263" xr:uid="{00000000-0005-0000-0000-0000ED800000}"/>
    <cellStyle name="Comma 7 2 2 2" xfId="545" xr:uid="{00000000-0005-0000-0000-0000EE800000}"/>
    <cellStyle name="Comma 7 2 2 2 10" xfId="30027" xr:uid="{00000000-0005-0000-0000-0000EF800000}"/>
    <cellStyle name="Comma 7 2 2 2 11" xfId="59406" xr:uid="{00000000-0005-0000-0000-0000F0800000}"/>
    <cellStyle name="Comma 7 2 2 2 2" xfId="1255" xr:uid="{00000000-0005-0000-0000-0000F1800000}"/>
    <cellStyle name="Comma 7 2 2 2 2 2" xfId="1761" xr:uid="{00000000-0005-0000-0000-0000F2800000}"/>
    <cellStyle name="Comma 7 2 2 2 2 2 2" xfId="2820" xr:uid="{00000000-0005-0000-0000-0000F3800000}"/>
    <cellStyle name="Comma 7 2 2 2 2 2 2 2" xfId="5924" xr:uid="{00000000-0005-0000-0000-0000F4800000}"/>
    <cellStyle name="Comma 7 2 2 2 2 2 2 2 2" xfId="13196" xr:uid="{00000000-0005-0000-0000-0000F5800000}"/>
    <cellStyle name="Comma 7 2 2 2 2 2 2 2 2 2" xfId="27730" xr:uid="{00000000-0005-0000-0000-0000F6800000}"/>
    <cellStyle name="Comma 7 2 2 2 2 2 2 2 2 2 2" xfId="56736" xr:uid="{00000000-0005-0000-0000-0000F7800000}"/>
    <cellStyle name="Comma 7 2 2 2 2 2 2 2 2 3" xfId="42237" xr:uid="{00000000-0005-0000-0000-0000F8800000}"/>
    <cellStyle name="Comma 7 2 2 2 2 2 2 2 3" xfId="20482" xr:uid="{00000000-0005-0000-0000-0000F9800000}"/>
    <cellStyle name="Comma 7 2 2 2 2 2 2 2 3 2" xfId="49488" xr:uid="{00000000-0005-0000-0000-0000FA800000}"/>
    <cellStyle name="Comma 7 2 2 2 2 2 2 2 4" xfId="34989" xr:uid="{00000000-0005-0000-0000-0000FB800000}"/>
    <cellStyle name="Comma 7 2 2 2 2 2 2 3" xfId="10092" xr:uid="{00000000-0005-0000-0000-0000FC800000}"/>
    <cellStyle name="Comma 7 2 2 2 2 2 2 3 2" xfId="24626" xr:uid="{00000000-0005-0000-0000-0000FD800000}"/>
    <cellStyle name="Comma 7 2 2 2 2 2 2 3 2 2" xfId="53632" xr:uid="{00000000-0005-0000-0000-0000FE800000}"/>
    <cellStyle name="Comma 7 2 2 2 2 2 2 3 3" xfId="39133" xr:uid="{00000000-0005-0000-0000-0000FF800000}"/>
    <cellStyle name="Comma 7 2 2 2 2 2 2 4" xfId="17378" xr:uid="{00000000-0005-0000-0000-000000810000}"/>
    <cellStyle name="Comma 7 2 2 2 2 2 2 4 2" xfId="46384" xr:uid="{00000000-0005-0000-0000-000001810000}"/>
    <cellStyle name="Comma 7 2 2 2 2 2 2 5" xfId="31885" xr:uid="{00000000-0005-0000-0000-000002810000}"/>
    <cellStyle name="Comma 7 2 2 2 2 2 3" xfId="3852" xr:uid="{00000000-0005-0000-0000-000003810000}"/>
    <cellStyle name="Comma 7 2 2 2 2 2 3 2" xfId="6956" xr:uid="{00000000-0005-0000-0000-000004810000}"/>
    <cellStyle name="Comma 7 2 2 2 2 2 3 2 2" xfId="14228" xr:uid="{00000000-0005-0000-0000-000005810000}"/>
    <cellStyle name="Comma 7 2 2 2 2 2 3 2 2 2" xfId="28762" xr:uid="{00000000-0005-0000-0000-000006810000}"/>
    <cellStyle name="Comma 7 2 2 2 2 2 3 2 2 2 2" xfId="57768" xr:uid="{00000000-0005-0000-0000-000007810000}"/>
    <cellStyle name="Comma 7 2 2 2 2 2 3 2 2 3" xfId="43269" xr:uid="{00000000-0005-0000-0000-000008810000}"/>
    <cellStyle name="Comma 7 2 2 2 2 2 3 2 3" xfId="21514" xr:uid="{00000000-0005-0000-0000-000009810000}"/>
    <cellStyle name="Comma 7 2 2 2 2 2 3 2 3 2" xfId="50520" xr:uid="{00000000-0005-0000-0000-00000A810000}"/>
    <cellStyle name="Comma 7 2 2 2 2 2 3 2 4" xfId="36021" xr:uid="{00000000-0005-0000-0000-00000B810000}"/>
    <cellStyle name="Comma 7 2 2 2 2 2 3 3" xfId="11124" xr:uid="{00000000-0005-0000-0000-00000C810000}"/>
    <cellStyle name="Comma 7 2 2 2 2 2 3 3 2" xfId="25658" xr:uid="{00000000-0005-0000-0000-00000D810000}"/>
    <cellStyle name="Comma 7 2 2 2 2 2 3 3 2 2" xfId="54664" xr:uid="{00000000-0005-0000-0000-00000E810000}"/>
    <cellStyle name="Comma 7 2 2 2 2 2 3 3 3" xfId="40165" xr:uid="{00000000-0005-0000-0000-00000F810000}"/>
    <cellStyle name="Comma 7 2 2 2 2 2 3 4" xfId="18410" xr:uid="{00000000-0005-0000-0000-000010810000}"/>
    <cellStyle name="Comma 7 2 2 2 2 2 3 4 2" xfId="47416" xr:uid="{00000000-0005-0000-0000-000011810000}"/>
    <cellStyle name="Comma 7 2 2 2 2 2 3 5" xfId="32917" xr:uid="{00000000-0005-0000-0000-000012810000}"/>
    <cellStyle name="Comma 7 2 2 2 2 2 4" xfId="4884" xr:uid="{00000000-0005-0000-0000-000013810000}"/>
    <cellStyle name="Comma 7 2 2 2 2 2 4 2" xfId="12156" xr:uid="{00000000-0005-0000-0000-000014810000}"/>
    <cellStyle name="Comma 7 2 2 2 2 2 4 2 2" xfId="26690" xr:uid="{00000000-0005-0000-0000-000015810000}"/>
    <cellStyle name="Comma 7 2 2 2 2 2 4 2 2 2" xfId="55696" xr:uid="{00000000-0005-0000-0000-000016810000}"/>
    <cellStyle name="Comma 7 2 2 2 2 2 4 2 3" xfId="41197" xr:uid="{00000000-0005-0000-0000-000017810000}"/>
    <cellStyle name="Comma 7 2 2 2 2 2 4 3" xfId="19442" xr:uid="{00000000-0005-0000-0000-000018810000}"/>
    <cellStyle name="Comma 7 2 2 2 2 2 4 3 2" xfId="48448" xr:uid="{00000000-0005-0000-0000-000019810000}"/>
    <cellStyle name="Comma 7 2 2 2 2 2 4 4" xfId="33949" xr:uid="{00000000-0005-0000-0000-00001A810000}"/>
    <cellStyle name="Comma 7 2 2 2 2 2 5" xfId="7988" xr:uid="{00000000-0005-0000-0000-00001B810000}"/>
    <cellStyle name="Comma 7 2 2 2 2 2 5 2" xfId="15260" xr:uid="{00000000-0005-0000-0000-00001C810000}"/>
    <cellStyle name="Comma 7 2 2 2 2 2 5 2 2" xfId="29794" xr:uid="{00000000-0005-0000-0000-00001D810000}"/>
    <cellStyle name="Comma 7 2 2 2 2 2 5 2 2 2" xfId="58800" xr:uid="{00000000-0005-0000-0000-00001E810000}"/>
    <cellStyle name="Comma 7 2 2 2 2 2 5 2 3" xfId="44301" xr:uid="{00000000-0005-0000-0000-00001F810000}"/>
    <cellStyle name="Comma 7 2 2 2 2 2 5 3" xfId="22546" xr:uid="{00000000-0005-0000-0000-000020810000}"/>
    <cellStyle name="Comma 7 2 2 2 2 2 5 3 2" xfId="51552" xr:uid="{00000000-0005-0000-0000-000021810000}"/>
    <cellStyle name="Comma 7 2 2 2 2 2 5 4" xfId="37053" xr:uid="{00000000-0005-0000-0000-000022810000}"/>
    <cellStyle name="Comma 7 2 2 2 2 2 6" xfId="9052" xr:uid="{00000000-0005-0000-0000-000023810000}"/>
    <cellStyle name="Comma 7 2 2 2 2 2 6 2" xfId="23586" xr:uid="{00000000-0005-0000-0000-000024810000}"/>
    <cellStyle name="Comma 7 2 2 2 2 2 6 2 2" xfId="52592" xr:uid="{00000000-0005-0000-0000-000025810000}"/>
    <cellStyle name="Comma 7 2 2 2 2 2 6 3" xfId="38093" xr:uid="{00000000-0005-0000-0000-000026810000}"/>
    <cellStyle name="Comma 7 2 2 2 2 2 7" xfId="16338" xr:uid="{00000000-0005-0000-0000-000027810000}"/>
    <cellStyle name="Comma 7 2 2 2 2 2 7 2" xfId="45344" xr:uid="{00000000-0005-0000-0000-000028810000}"/>
    <cellStyle name="Comma 7 2 2 2 2 2 8" xfId="30845" xr:uid="{00000000-0005-0000-0000-000029810000}"/>
    <cellStyle name="Comma 7 2 2 2 2 3" xfId="2308" xr:uid="{00000000-0005-0000-0000-00002A810000}"/>
    <cellStyle name="Comma 7 2 2 2 2 3 2" xfId="5412" xr:uid="{00000000-0005-0000-0000-00002B810000}"/>
    <cellStyle name="Comma 7 2 2 2 2 3 2 2" xfId="12684" xr:uid="{00000000-0005-0000-0000-00002C810000}"/>
    <cellStyle name="Comma 7 2 2 2 2 3 2 2 2" xfId="27218" xr:uid="{00000000-0005-0000-0000-00002D810000}"/>
    <cellStyle name="Comma 7 2 2 2 2 3 2 2 2 2" xfId="56224" xr:uid="{00000000-0005-0000-0000-00002E810000}"/>
    <cellStyle name="Comma 7 2 2 2 2 3 2 2 3" xfId="41725" xr:uid="{00000000-0005-0000-0000-00002F810000}"/>
    <cellStyle name="Comma 7 2 2 2 2 3 2 3" xfId="19970" xr:uid="{00000000-0005-0000-0000-000030810000}"/>
    <cellStyle name="Comma 7 2 2 2 2 3 2 3 2" xfId="48976" xr:uid="{00000000-0005-0000-0000-000031810000}"/>
    <cellStyle name="Comma 7 2 2 2 2 3 2 4" xfId="34477" xr:uid="{00000000-0005-0000-0000-000032810000}"/>
    <cellStyle name="Comma 7 2 2 2 2 3 3" xfId="9580" xr:uid="{00000000-0005-0000-0000-000033810000}"/>
    <cellStyle name="Comma 7 2 2 2 2 3 3 2" xfId="24114" xr:uid="{00000000-0005-0000-0000-000034810000}"/>
    <cellStyle name="Comma 7 2 2 2 2 3 3 2 2" xfId="53120" xr:uid="{00000000-0005-0000-0000-000035810000}"/>
    <cellStyle name="Comma 7 2 2 2 2 3 3 3" xfId="38621" xr:uid="{00000000-0005-0000-0000-000036810000}"/>
    <cellStyle name="Comma 7 2 2 2 2 3 4" xfId="16866" xr:uid="{00000000-0005-0000-0000-000037810000}"/>
    <cellStyle name="Comma 7 2 2 2 2 3 4 2" xfId="45872" xr:uid="{00000000-0005-0000-0000-000038810000}"/>
    <cellStyle name="Comma 7 2 2 2 2 3 5" xfId="31373" xr:uid="{00000000-0005-0000-0000-000039810000}"/>
    <cellStyle name="Comma 7 2 2 2 2 4" xfId="3340" xr:uid="{00000000-0005-0000-0000-00003A810000}"/>
    <cellStyle name="Comma 7 2 2 2 2 4 2" xfId="6444" xr:uid="{00000000-0005-0000-0000-00003B810000}"/>
    <cellStyle name="Comma 7 2 2 2 2 4 2 2" xfId="13716" xr:uid="{00000000-0005-0000-0000-00003C810000}"/>
    <cellStyle name="Comma 7 2 2 2 2 4 2 2 2" xfId="28250" xr:uid="{00000000-0005-0000-0000-00003D810000}"/>
    <cellStyle name="Comma 7 2 2 2 2 4 2 2 2 2" xfId="57256" xr:uid="{00000000-0005-0000-0000-00003E810000}"/>
    <cellStyle name="Comma 7 2 2 2 2 4 2 2 3" xfId="42757" xr:uid="{00000000-0005-0000-0000-00003F810000}"/>
    <cellStyle name="Comma 7 2 2 2 2 4 2 3" xfId="21002" xr:uid="{00000000-0005-0000-0000-000040810000}"/>
    <cellStyle name="Comma 7 2 2 2 2 4 2 3 2" xfId="50008" xr:uid="{00000000-0005-0000-0000-000041810000}"/>
    <cellStyle name="Comma 7 2 2 2 2 4 2 4" xfId="35509" xr:uid="{00000000-0005-0000-0000-000042810000}"/>
    <cellStyle name="Comma 7 2 2 2 2 4 3" xfId="10612" xr:uid="{00000000-0005-0000-0000-000043810000}"/>
    <cellStyle name="Comma 7 2 2 2 2 4 3 2" xfId="25146" xr:uid="{00000000-0005-0000-0000-000044810000}"/>
    <cellStyle name="Comma 7 2 2 2 2 4 3 2 2" xfId="54152" xr:uid="{00000000-0005-0000-0000-000045810000}"/>
    <cellStyle name="Comma 7 2 2 2 2 4 3 3" xfId="39653" xr:uid="{00000000-0005-0000-0000-000046810000}"/>
    <cellStyle name="Comma 7 2 2 2 2 4 4" xfId="17898" xr:uid="{00000000-0005-0000-0000-000047810000}"/>
    <cellStyle name="Comma 7 2 2 2 2 4 4 2" xfId="46904" xr:uid="{00000000-0005-0000-0000-000048810000}"/>
    <cellStyle name="Comma 7 2 2 2 2 4 5" xfId="32405" xr:uid="{00000000-0005-0000-0000-000049810000}"/>
    <cellStyle name="Comma 7 2 2 2 2 5" xfId="4372" xr:uid="{00000000-0005-0000-0000-00004A810000}"/>
    <cellStyle name="Comma 7 2 2 2 2 5 2" xfId="11644" xr:uid="{00000000-0005-0000-0000-00004B810000}"/>
    <cellStyle name="Comma 7 2 2 2 2 5 2 2" xfId="26178" xr:uid="{00000000-0005-0000-0000-00004C810000}"/>
    <cellStyle name="Comma 7 2 2 2 2 5 2 2 2" xfId="55184" xr:uid="{00000000-0005-0000-0000-00004D810000}"/>
    <cellStyle name="Comma 7 2 2 2 2 5 2 3" xfId="40685" xr:uid="{00000000-0005-0000-0000-00004E810000}"/>
    <cellStyle name="Comma 7 2 2 2 2 5 3" xfId="18930" xr:uid="{00000000-0005-0000-0000-00004F810000}"/>
    <cellStyle name="Comma 7 2 2 2 2 5 3 2" xfId="47936" xr:uid="{00000000-0005-0000-0000-000050810000}"/>
    <cellStyle name="Comma 7 2 2 2 2 5 4" xfId="33437" xr:uid="{00000000-0005-0000-0000-000051810000}"/>
    <cellStyle name="Comma 7 2 2 2 2 6" xfId="7476" xr:uid="{00000000-0005-0000-0000-000052810000}"/>
    <cellStyle name="Comma 7 2 2 2 2 6 2" xfId="14748" xr:uid="{00000000-0005-0000-0000-000053810000}"/>
    <cellStyle name="Comma 7 2 2 2 2 6 2 2" xfId="29282" xr:uid="{00000000-0005-0000-0000-000054810000}"/>
    <cellStyle name="Comma 7 2 2 2 2 6 2 2 2" xfId="58288" xr:uid="{00000000-0005-0000-0000-000055810000}"/>
    <cellStyle name="Comma 7 2 2 2 2 6 2 3" xfId="43789" xr:uid="{00000000-0005-0000-0000-000056810000}"/>
    <cellStyle name="Comma 7 2 2 2 2 6 3" xfId="22034" xr:uid="{00000000-0005-0000-0000-000057810000}"/>
    <cellStyle name="Comma 7 2 2 2 2 6 3 2" xfId="51040" xr:uid="{00000000-0005-0000-0000-000058810000}"/>
    <cellStyle name="Comma 7 2 2 2 2 6 4" xfId="36541" xr:uid="{00000000-0005-0000-0000-000059810000}"/>
    <cellStyle name="Comma 7 2 2 2 2 7" xfId="8540" xr:uid="{00000000-0005-0000-0000-00005A810000}"/>
    <cellStyle name="Comma 7 2 2 2 2 7 2" xfId="23074" xr:uid="{00000000-0005-0000-0000-00005B810000}"/>
    <cellStyle name="Comma 7 2 2 2 2 7 2 2" xfId="52080" xr:uid="{00000000-0005-0000-0000-00005C810000}"/>
    <cellStyle name="Comma 7 2 2 2 2 7 3" xfId="37581" xr:uid="{00000000-0005-0000-0000-00005D810000}"/>
    <cellStyle name="Comma 7 2 2 2 2 8" xfId="15826" xr:uid="{00000000-0005-0000-0000-00005E810000}"/>
    <cellStyle name="Comma 7 2 2 2 2 8 2" xfId="44832" xr:uid="{00000000-0005-0000-0000-00005F810000}"/>
    <cellStyle name="Comma 7 2 2 2 2 9" xfId="30333" xr:uid="{00000000-0005-0000-0000-000060810000}"/>
    <cellStyle name="Comma 7 2 2 2 3" xfId="1456" xr:uid="{00000000-0005-0000-0000-000061810000}"/>
    <cellStyle name="Comma 7 2 2 2 3 2" xfId="2514" xr:uid="{00000000-0005-0000-0000-000062810000}"/>
    <cellStyle name="Comma 7 2 2 2 3 2 2" xfId="5618" xr:uid="{00000000-0005-0000-0000-000063810000}"/>
    <cellStyle name="Comma 7 2 2 2 3 2 2 2" xfId="12890" xr:uid="{00000000-0005-0000-0000-000064810000}"/>
    <cellStyle name="Comma 7 2 2 2 3 2 2 2 2" xfId="27424" xr:uid="{00000000-0005-0000-0000-000065810000}"/>
    <cellStyle name="Comma 7 2 2 2 3 2 2 2 2 2" xfId="56430" xr:uid="{00000000-0005-0000-0000-000066810000}"/>
    <cellStyle name="Comma 7 2 2 2 3 2 2 2 3" xfId="41931" xr:uid="{00000000-0005-0000-0000-000067810000}"/>
    <cellStyle name="Comma 7 2 2 2 3 2 2 3" xfId="20176" xr:uid="{00000000-0005-0000-0000-000068810000}"/>
    <cellStyle name="Comma 7 2 2 2 3 2 2 3 2" xfId="49182" xr:uid="{00000000-0005-0000-0000-000069810000}"/>
    <cellStyle name="Comma 7 2 2 2 3 2 2 4" xfId="34683" xr:uid="{00000000-0005-0000-0000-00006A810000}"/>
    <cellStyle name="Comma 7 2 2 2 3 2 3" xfId="9786" xr:uid="{00000000-0005-0000-0000-00006B810000}"/>
    <cellStyle name="Comma 7 2 2 2 3 2 3 2" xfId="24320" xr:uid="{00000000-0005-0000-0000-00006C810000}"/>
    <cellStyle name="Comma 7 2 2 2 3 2 3 2 2" xfId="53326" xr:uid="{00000000-0005-0000-0000-00006D810000}"/>
    <cellStyle name="Comma 7 2 2 2 3 2 3 3" xfId="38827" xr:uid="{00000000-0005-0000-0000-00006E810000}"/>
    <cellStyle name="Comma 7 2 2 2 3 2 4" xfId="17072" xr:uid="{00000000-0005-0000-0000-00006F810000}"/>
    <cellStyle name="Comma 7 2 2 2 3 2 4 2" xfId="46078" xr:uid="{00000000-0005-0000-0000-000070810000}"/>
    <cellStyle name="Comma 7 2 2 2 3 2 5" xfId="31579" xr:uid="{00000000-0005-0000-0000-000071810000}"/>
    <cellStyle name="Comma 7 2 2 2 3 3" xfId="3546" xr:uid="{00000000-0005-0000-0000-000072810000}"/>
    <cellStyle name="Comma 7 2 2 2 3 3 2" xfId="6650" xr:uid="{00000000-0005-0000-0000-000073810000}"/>
    <cellStyle name="Comma 7 2 2 2 3 3 2 2" xfId="13922" xr:uid="{00000000-0005-0000-0000-000074810000}"/>
    <cellStyle name="Comma 7 2 2 2 3 3 2 2 2" xfId="28456" xr:uid="{00000000-0005-0000-0000-000075810000}"/>
    <cellStyle name="Comma 7 2 2 2 3 3 2 2 2 2" xfId="57462" xr:uid="{00000000-0005-0000-0000-000076810000}"/>
    <cellStyle name="Comma 7 2 2 2 3 3 2 2 3" xfId="42963" xr:uid="{00000000-0005-0000-0000-000077810000}"/>
    <cellStyle name="Comma 7 2 2 2 3 3 2 3" xfId="21208" xr:uid="{00000000-0005-0000-0000-000078810000}"/>
    <cellStyle name="Comma 7 2 2 2 3 3 2 3 2" xfId="50214" xr:uid="{00000000-0005-0000-0000-000079810000}"/>
    <cellStyle name="Comma 7 2 2 2 3 3 2 4" xfId="35715" xr:uid="{00000000-0005-0000-0000-00007A810000}"/>
    <cellStyle name="Comma 7 2 2 2 3 3 3" xfId="10818" xr:uid="{00000000-0005-0000-0000-00007B810000}"/>
    <cellStyle name="Comma 7 2 2 2 3 3 3 2" xfId="25352" xr:uid="{00000000-0005-0000-0000-00007C810000}"/>
    <cellStyle name="Comma 7 2 2 2 3 3 3 2 2" xfId="54358" xr:uid="{00000000-0005-0000-0000-00007D810000}"/>
    <cellStyle name="Comma 7 2 2 2 3 3 3 3" xfId="39859" xr:uid="{00000000-0005-0000-0000-00007E810000}"/>
    <cellStyle name="Comma 7 2 2 2 3 3 4" xfId="18104" xr:uid="{00000000-0005-0000-0000-00007F810000}"/>
    <cellStyle name="Comma 7 2 2 2 3 3 4 2" xfId="47110" xr:uid="{00000000-0005-0000-0000-000080810000}"/>
    <cellStyle name="Comma 7 2 2 2 3 3 5" xfId="32611" xr:uid="{00000000-0005-0000-0000-000081810000}"/>
    <cellStyle name="Comma 7 2 2 2 3 4" xfId="4578" xr:uid="{00000000-0005-0000-0000-000082810000}"/>
    <cellStyle name="Comma 7 2 2 2 3 4 2" xfId="11850" xr:uid="{00000000-0005-0000-0000-000083810000}"/>
    <cellStyle name="Comma 7 2 2 2 3 4 2 2" xfId="26384" xr:uid="{00000000-0005-0000-0000-000084810000}"/>
    <cellStyle name="Comma 7 2 2 2 3 4 2 2 2" xfId="55390" xr:uid="{00000000-0005-0000-0000-000085810000}"/>
    <cellStyle name="Comma 7 2 2 2 3 4 2 3" xfId="40891" xr:uid="{00000000-0005-0000-0000-000086810000}"/>
    <cellStyle name="Comma 7 2 2 2 3 4 3" xfId="19136" xr:uid="{00000000-0005-0000-0000-000087810000}"/>
    <cellStyle name="Comma 7 2 2 2 3 4 3 2" xfId="48142" xr:uid="{00000000-0005-0000-0000-000088810000}"/>
    <cellStyle name="Comma 7 2 2 2 3 4 4" xfId="33643" xr:uid="{00000000-0005-0000-0000-000089810000}"/>
    <cellStyle name="Comma 7 2 2 2 3 5" xfId="7682" xr:uid="{00000000-0005-0000-0000-00008A810000}"/>
    <cellStyle name="Comma 7 2 2 2 3 5 2" xfId="14954" xr:uid="{00000000-0005-0000-0000-00008B810000}"/>
    <cellStyle name="Comma 7 2 2 2 3 5 2 2" xfId="29488" xr:uid="{00000000-0005-0000-0000-00008C810000}"/>
    <cellStyle name="Comma 7 2 2 2 3 5 2 2 2" xfId="58494" xr:uid="{00000000-0005-0000-0000-00008D810000}"/>
    <cellStyle name="Comma 7 2 2 2 3 5 2 3" xfId="43995" xr:uid="{00000000-0005-0000-0000-00008E810000}"/>
    <cellStyle name="Comma 7 2 2 2 3 5 3" xfId="22240" xr:uid="{00000000-0005-0000-0000-00008F810000}"/>
    <cellStyle name="Comma 7 2 2 2 3 5 3 2" xfId="51246" xr:uid="{00000000-0005-0000-0000-000090810000}"/>
    <cellStyle name="Comma 7 2 2 2 3 5 4" xfId="36747" xr:uid="{00000000-0005-0000-0000-000091810000}"/>
    <cellStyle name="Comma 7 2 2 2 3 6" xfId="8746" xr:uid="{00000000-0005-0000-0000-000092810000}"/>
    <cellStyle name="Comma 7 2 2 2 3 6 2" xfId="23280" xr:uid="{00000000-0005-0000-0000-000093810000}"/>
    <cellStyle name="Comma 7 2 2 2 3 6 2 2" xfId="52286" xr:uid="{00000000-0005-0000-0000-000094810000}"/>
    <cellStyle name="Comma 7 2 2 2 3 6 3" xfId="37787" xr:uid="{00000000-0005-0000-0000-000095810000}"/>
    <cellStyle name="Comma 7 2 2 2 3 7" xfId="16032" xr:uid="{00000000-0005-0000-0000-000096810000}"/>
    <cellStyle name="Comma 7 2 2 2 3 7 2" xfId="45038" xr:uid="{00000000-0005-0000-0000-000097810000}"/>
    <cellStyle name="Comma 7 2 2 2 3 8" xfId="30539" xr:uid="{00000000-0005-0000-0000-000098810000}"/>
    <cellStyle name="Comma 7 2 2 2 4" xfId="2002" xr:uid="{00000000-0005-0000-0000-000099810000}"/>
    <cellStyle name="Comma 7 2 2 2 4 2" xfId="5106" xr:uid="{00000000-0005-0000-0000-00009A810000}"/>
    <cellStyle name="Comma 7 2 2 2 4 2 2" xfId="12378" xr:uid="{00000000-0005-0000-0000-00009B810000}"/>
    <cellStyle name="Comma 7 2 2 2 4 2 2 2" xfId="26912" xr:uid="{00000000-0005-0000-0000-00009C810000}"/>
    <cellStyle name="Comma 7 2 2 2 4 2 2 2 2" xfId="55918" xr:uid="{00000000-0005-0000-0000-00009D810000}"/>
    <cellStyle name="Comma 7 2 2 2 4 2 2 3" xfId="41419" xr:uid="{00000000-0005-0000-0000-00009E810000}"/>
    <cellStyle name="Comma 7 2 2 2 4 2 3" xfId="19664" xr:uid="{00000000-0005-0000-0000-00009F810000}"/>
    <cellStyle name="Comma 7 2 2 2 4 2 3 2" xfId="48670" xr:uid="{00000000-0005-0000-0000-0000A0810000}"/>
    <cellStyle name="Comma 7 2 2 2 4 2 4" xfId="34171" xr:uid="{00000000-0005-0000-0000-0000A1810000}"/>
    <cellStyle name="Comma 7 2 2 2 4 3" xfId="9274" xr:uid="{00000000-0005-0000-0000-0000A2810000}"/>
    <cellStyle name="Comma 7 2 2 2 4 3 2" xfId="23808" xr:uid="{00000000-0005-0000-0000-0000A3810000}"/>
    <cellStyle name="Comma 7 2 2 2 4 3 2 2" xfId="52814" xr:uid="{00000000-0005-0000-0000-0000A4810000}"/>
    <cellStyle name="Comma 7 2 2 2 4 3 3" xfId="38315" xr:uid="{00000000-0005-0000-0000-0000A5810000}"/>
    <cellStyle name="Comma 7 2 2 2 4 4" xfId="16560" xr:uid="{00000000-0005-0000-0000-0000A6810000}"/>
    <cellStyle name="Comma 7 2 2 2 4 4 2" xfId="45566" xr:uid="{00000000-0005-0000-0000-0000A7810000}"/>
    <cellStyle name="Comma 7 2 2 2 4 5" xfId="31067" xr:uid="{00000000-0005-0000-0000-0000A8810000}"/>
    <cellStyle name="Comma 7 2 2 2 5" xfId="3034" xr:uid="{00000000-0005-0000-0000-0000A9810000}"/>
    <cellStyle name="Comma 7 2 2 2 5 2" xfId="6138" xr:uid="{00000000-0005-0000-0000-0000AA810000}"/>
    <cellStyle name="Comma 7 2 2 2 5 2 2" xfId="13410" xr:uid="{00000000-0005-0000-0000-0000AB810000}"/>
    <cellStyle name="Comma 7 2 2 2 5 2 2 2" xfId="27944" xr:uid="{00000000-0005-0000-0000-0000AC810000}"/>
    <cellStyle name="Comma 7 2 2 2 5 2 2 2 2" xfId="56950" xr:uid="{00000000-0005-0000-0000-0000AD810000}"/>
    <cellStyle name="Comma 7 2 2 2 5 2 2 3" xfId="42451" xr:uid="{00000000-0005-0000-0000-0000AE810000}"/>
    <cellStyle name="Comma 7 2 2 2 5 2 3" xfId="20696" xr:uid="{00000000-0005-0000-0000-0000AF810000}"/>
    <cellStyle name="Comma 7 2 2 2 5 2 3 2" xfId="49702" xr:uid="{00000000-0005-0000-0000-0000B0810000}"/>
    <cellStyle name="Comma 7 2 2 2 5 2 4" xfId="35203" xr:uid="{00000000-0005-0000-0000-0000B1810000}"/>
    <cellStyle name="Comma 7 2 2 2 5 3" xfId="10306" xr:uid="{00000000-0005-0000-0000-0000B2810000}"/>
    <cellStyle name="Comma 7 2 2 2 5 3 2" xfId="24840" xr:uid="{00000000-0005-0000-0000-0000B3810000}"/>
    <cellStyle name="Comma 7 2 2 2 5 3 2 2" xfId="53846" xr:uid="{00000000-0005-0000-0000-0000B4810000}"/>
    <cellStyle name="Comma 7 2 2 2 5 3 3" xfId="39347" xr:uid="{00000000-0005-0000-0000-0000B5810000}"/>
    <cellStyle name="Comma 7 2 2 2 5 4" xfId="17592" xr:uid="{00000000-0005-0000-0000-0000B6810000}"/>
    <cellStyle name="Comma 7 2 2 2 5 4 2" xfId="46598" xr:uid="{00000000-0005-0000-0000-0000B7810000}"/>
    <cellStyle name="Comma 7 2 2 2 5 5" xfId="32099" xr:uid="{00000000-0005-0000-0000-0000B8810000}"/>
    <cellStyle name="Comma 7 2 2 2 6" xfId="4066" xr:uid="{00000000-0005-0000-0000-0000B9810000}"/>
    <cellStyle name="Comma 7 2 2 2 6 2" xfId="11338" xr:uid="{00000000-0005-0000-0000-0000BA810000}"/>
    <cellStyle name="Comma 7 2 2 2 6 2 2" xfId="25872" xr:uid="{00000000-0005-0000-0000-0000BB810000}"/>
    <cellStyle name="Comma 7 2 2 2 6 2 2 2" xfId="54878" xr:uid="{00000000-0005-0000-0000-0000BC810000}"/>
    <cellStyle name="Comma 7 2 2 2 6 2 3" xfId="40379" xr:uid="{00000000-0005-0000-0000-0000BD810000}"/>
    <cellStyle name="Comma 7 2 2 2 6 3" xfId="18624" xr:uid="{00000000-0005-0000-0000-0000BE810000}"/>
    <cellStyle name="Comma 7 2 2 2 6 3 2" xfId="47630" xr:uid="{00000000-0005-0000-0000-0000BF810000}"/>
    <cellStyle name="Comma 7 2 2 2 6 4" xfId="33131" xr:uid="{00000000-0005-0000-0000-0000C0810000}"/>
    <cellStyle name="Comma 7 2 2 2 7" xfId="7170" xr:uid="{00000000-0005-0000-0000-0000C1810000}"/>
    <cellStyle name="Comma 7 2 2 2 7 2" xfId="14442" xr:uid="{00000000-0005-0000-0000-0000C2810000}"/>
    <cellStyle name="Comma 7 2 2 2 7 2 2" xfId="28976" xr:uid="{00000000-0005-0000-0000-0000C3810000}"/>
    <cellStyle name="Comma 7 2 2 2 7 2 2 2" xfId="57982" xr:uid="{00000000-0005-0000-0000-0000C4810000}"/>
    <cellStyle name="Comma 7 2 2 2 7 2 3" xfId="43483" xr:uid="{00000000-0005-0000-0000-0000C5810000}"/>
    <cellStyle name="Comma 7 2 2 2 7 3" xfId="21728" xr:uid="{00000000-0005-0000-0000-0000C6810000}"/>
    <cellStyle name="Comma 7 2 2 2 7 3 2" xfId="50734" xr:uid="{00000000-0005-0000-0000-0000C7810000}"/>
    <cellStyle name="Comma 7 2 2 2 7 4" xfId="36235" xr:uid="{00000000-0005-0000-0000-0000C8810000}"/>
    <cellStyle name="Comma 7 2 2 2 8" xfId="8234" xr:uid="{00000000-0005-0000-0000-0000C9810000}"/>
    <cellStyle name="Comma 7 2 2 2 8 2" xfId="22768" xr:uid="{00000000-0005-0000-0000-0000CA810000}"/>
    <cellStyle name="Comma 7 2 2 2 8 2 2" xfId="51774" xr:uid="{00000000-0005-0000-0000-0000CB810000}"/>
    <cellStyle name="Comma 7 2 2 2 8 3" xfId="37275" xr:uid="{00000000-0005-0000-0000-0000CC810000}"/>
    <cellStyle name="Comma 7 2 2 2 9" xfId="15520" xr:uid="{00000000-0005-0000-0000-0000CD810000}"/>
    <cellStyle name="Comma 7 2 2 2 9 2" xfId="44526" xr:uid="{00000000-0005-0000-0000-0000CE810000}"/>
    <cellStyle name="Comma 7 2 2 3" xfId="1159" xr:uid="{00000000-0005-0000-0000-0000CF810000}"/>
    <cellStyle name="Comma 7 2 2 3 10" xfId="59610" xr:uid="{00000000-0005-0000-0000-0000D0810000}"/>
    <cellStyle name="Comma 7 2 2 3 2" xfId="1658" xr:uid="{00000000-0005-0000-0000-0000D1810000}"/>
    <cellStyle name="Comma 7 2 2 3 2 2" xfId="2717" xr:uid="{00000000-0005-0000-0000-0000D2810000}"/>
    <cellStyle name="Comma 7 2 2 3 2 2 2" xfId="5821" xr:uid="{00000000-0005-0000-0000-0000D3810000}"/>
    <cellStyle name="Comma 7 2 2 3 2 2 2 2" xfId="13093" xr:uid="{00000000-0005-0000-0000-0000D4810000}"/>
    <cellStyle name="Comma 7 2 2 3 2 2 2 2 2" xfId="27627" xr:uid="{00000000-0005-0000-0000-0000D5810000}"/>
    <cellStyle name="Comma 7 2 2 3 2 2 2 2 2 2" xfId="56633" xr:uid="{00000000-0005-0000-0000-0000D6810000}"/>
    <cellStyle name="Comma 7 2 2 3 2 2 2 2 3" xfId="42134" xr:uid="{00000000-0005-0000-0000-0000D7810000}"/>
    <cellStyle name="Comma 7 2 2 3 2 2 2 3" xfId="20379" xr:uid="{00000000-0005-0000-0000-0000D8810000}"/>
    <cellStyle name="Comma 7 2 2 3 2 2 2 3 2" xfId="49385" xr:uid="{00000000-0005-0000-0000-0000D9810000}"/>
    <cellStyle name="Comma 7 2 2 3 2 2 2 4" xfId="34886" xr:uid="{00000000-0005-0000-0000-0000DA810000}"/>
    <cellStyle name="Comma 7 2 2 3 2 2 3" xfId="9989" xr:uid="{00000000-0005-0000-0000-0000DB810000}"/>
    <cellStyle name="Comma 7 2 2 3 2 2 3 2" xfId="24523" xr:uid="{00000000-0005-0000-0000-0000DC810000}"/>
    <cellStyle name="Comma 7 2 2 3 2 2 3 2 2" xfId="53529" xr:uid="{00000000-0005-0000-0000-0000DD810000}"/>
    <cellStyle name="Comma 7 2 2 3 2 2 3 3" xfId="39030" xr:uid="{00000000-0005-0000-0000-0000DE810000}"/>
    <cellStyle name="Comma 7 2 2 3 2 2 4" xfId="17275" xr:uid="{00000000-0005-0000-0000-0000DF810000}"/>
    <cellStyle name="Comma 7 2 2 3 2 2 4 2" xfId="46281" xr:uid="{00000000-0005-0000-0000-0000E0810000}"/>
    <cellStyle name="Comma 7 2 2 3 2 2 5" xfId="31782" xr:uid="{00000000-0005-0000-0000-0000E1810000}"/>
    <cellStyle name="Comma 7 2 2 3 2 3" xfId="3749" xr:uid="{00000000-0005-0000-0000-0000E2810000}"/>
    <cellStyle name="Comma 7 2 2 3 2 3 2" xfId="6853" xr:uid="{00000000-0005-0000-0000-0000E3810000}"/>
    <cellStyle name="Comma 7 2 2 3 2 3 2 2" xfId="14125" xr:uid="{00000000-0005-0000-0000-0000E4810000}"/>
    <cellStyle name="Comma 7 2 2 3 2 3 2 2 2" xfId="28659" xr:uid="{00000000-0005-0000-0000-0000E5810000}"/>
    <cellStyle name="Comma 7 2 2 3 2 3 2 2 2 2" xfId="57665" xr:uid="{00000000-0005-0000-0000-0000E6810000}"/>
    <cellStyle name="Comma 7 2 2 3 2 3 2 2 3" xfId="43166" xr:uid="{00000000-0005-0000-0000-0000E7810000}"/>
    <cellStyle name="Comma 7 2 2 3 2 3 2 3" xfId="21411" xr:uid="{00000000-0005-0000-0000-0000E8810000}"/>
    <cellStyle name="Comma 7 2 2 3 2 3 2 3 2" xfId="50417" xr:uid="{00000000-0005-0000-0000-0000E9810000}"/>
    <cellStyle name="Comma 7 2 2 3 2 3 2 4" xfId="35918" xr:uid="{00000000-0005-0000-0000-0000EA810000}"/>
    <cellStyle name="Comma 7 2 2 3 2 3 3" xfId="11021" xr:uid="{00000000-0005-0000-0000-0000EB810000}"/>
    <cellStyle name="Comma 7 2 2 3 2 3 3 2" xfId="25555" xr:uid="{00000000-0005-0000-0000-0000EC810000}"/>
    <cellStyle name="Comma 7 2 2 3 2 3 3 2 2" xfId="54561" xr:uid="{00000000-0005-0000-0000-0000ED810000}"/>
    <cellStyle name="Comma 7 2 2 3 2 3 3 3" xfId="40062" xr:uid="{00000000-0005-0000-0000-0000EE810000}"/>
    <cellStyle name="Comma 7 2 2 3 2 3 4" xfId="18307" xr:uid="{00000000-0005-0000-0000-0000EF810000}"/>
    <cellStyle name="Comma 7 2 2 3 2 3 4 2" xfId="47313" xr:uid="{00000000-0005-0000-0000-0000F0810000}"/>
    <cellStyle name="Comma 7 2 2 3 2 3 5" xfId="32814" xr:uid="{00000000-0005-0000-0000-0000F1810000}"/>
    <cellStyle name="Comma 7 2 2 3 2 4" xfId="4781" xr:uid="{00000000-0005-0000-0000-0000F2810000}"/>
    <cellStyle name="Comma 7 2 2 3 2 4 2" xfId="12053" xr:uid="{00000000-0005-0000-0000-0000F3810000}"/>
    <cellStyle name="Comma 7 2 2 3 2 4 2 2" xfId="26587" xr:uid="{00000000-0005-0000-0000-0000F4810000}"/>
    <cellStyle name="Comma 7 2 2 3 2 4 2 2 2" xfId="55593" xr:uid="{00000000-0005-0000-0000-0000F5810000}"/>
    <cellStyle name="Comma 7 2 2 3 2 4 2 3" xfId="41094" xr:uid="{00000000-0005-0000-0000-0000F6810000}"/>
    <cellStyle name="Comma 7 2 2 3 2 4 3" xfId="19339" xr:uid="{00000000-0005-0000-0000-0000F7810000}"/>
    <cellStyle name="Comma 7 2 2 3 2 4 3 2" xfId="48345" xr:uid="{00000000-0005-0000-0000-0000F8810000}"/>
    <cellStyle name="Comma 7 2 2 3 2 4 4" xfId="33846" xr:uid="{00000000-0005-0000-0000-0000F9810000}"/>
    <cellStyle name="Comma 7 2 2 3 2 5" xfId="7885" xr:uid="{00000000-0005-0000-0000-0000FA810000}"/>
    <cellStyle name="Comma 7 2 2 3 2 5 2" xfId="15157" xr:uid="{00000000-0005-0000-0000-0000FB810000}"/>
    <cellStyle name="Comma 7 2 2 3 2 5 2 2" xfId="29691" xr:uid="{00000000-0005-0000-0000-0000FC810000}"/>
    <cellStyle name="Comma 7 2 2 3 2 5 2 2 2" xfId="58697" xr:uid="{00000000-0005-0000-0000-0000FD810000}"/>
    <cellStyle name="Comma 7 2 2 3 2 5 2 3" xfId="44198" xr:uid="{00000000-0005-0000-0000-0000FE810000}"/>
    <cellStyle name="Comma 7 2 2 3 2 5 3" xfId="22443" xr:uid="{00000000-0005-0000-0000-0000FF810000}"/>
    <cellStyle name="Comma 7 2 2 3 2 5 3 2" xfId="51449" xr:uid="{00000000-0005-0000-0000-000000820000}"/>
    <cellStyle name="Comma 7 2 2 3 2 5 4" xfId="36950" xr:uid="{00000000-0005-0000-0000-000001820000}"/>
    <cellStyle name="Comma 7 2 2 3 2 6" xfId="8949" xr:uid="{00000000-0005-0000-0000-000002820000}"/>
    <cellStyle name="Comma 7 2 2 3 2 6 2" xfId="23483" xr:uid="{00000000-0005-0000-0000-000003820000}"/>
    <cellStyle name="Comma 7 2 2 3 2 6 2 2" xfId="52489" xr:uid="{00000000-0005-0000-0000-000004820000}"/>
    <cellStyle name="Comma 7 2 2 3 2 6 3" xfId="37990" xr:uid="{00000000-0005-0000-0000-000005820000}"/>
    <cellStyle name="Comma 7 2 2 3 2 7" xfId="16235" xr:uid="{00000000-0005-0000-0000-000006820000}"/>
    <cellStyle name="Comma 7 2 2 3 2 7 2" xfId="45241" xr:uid="{00000000-0005-0000-0000-000007820000}"/>
    <cellStyle name="Comma 7 2 2 3 2 8" xfId="30742" xr:uid="{00000000-0005-0000-0000-000008820000}"/>
    <cellStyle name="Comma 7 2 2 3 3" xfId="2205" xr:uid="{00000000-0005-0000-0000-000009820000}"/>
    <cellStyle name="Comma 7 2 2 3 3 2" xfId="5309" xr:uid="{00000000-0005-0000-0000-00000A820000}"/>
    <cellStyle name="Comma 7 2 2 3 3 2 2" xfId="12581" xr:uid="{00000000-0005-0000-0000-00000B820000}"/>
    <cellStyle name="Comma 7 2 2 3 3 2 2 2" xfId="27115" xr:uid="{00000000-0005-0000-0000-00000C820000}"/>
    <cellStyle name="Comma 7 2 2 3 3 2 2 2 2" xfId="56121" xr:uid="{00000000-0005-0000-0000-00000D820000}"/>
    <cellStyle name="Comma 7 2 2 3 3 2 2 3" xfId="41622" xr:uid="{00000000-0005-0000-0000-00000E820000}"/>
    <cellStyle name="Comma 7 2 2 3 3 2 3" xfId="19867" xr:uid="{00000000-0005-0000-0000-00000F820000}"/>
    <cellStyle name="Comma 7 2 2 3 3 2 3 2" xfId="48873" xr:uid="{00000000-0005-0000-0000-000010820000}"/>
    <cellStyle name="Comma 7 2 2 3 3 2 4" xfId="34374" xr:uid="{00000000-0005-0000-0000-000011820000}"/>
    <cellStyle name="Comma 7 2 2 3 3 3" xfId="9477" xr:uid="{00000000-0005-0000-0000-000012820000}"/>
    <cellStyle name="Comma 7 2 2 3 3 3 2" xfId="24011" xr:uid="{00000000-0005-0000-0000-000013820000}"/>
    <cellStyle name="Comma 7 2 2 3 3 3 2 2" xfId="53017" xr:uid="{00000000-0005-0000-0000-000014820000}"/>
    <cellStyle name="Comma 7 2 2 3 3 3 3" xfId="38518" xr:uid="{00000000-0005-0000-0000-000015820000}"/>
    <cellStyle name="Comma 7 2 2 3 3 4" xfId="16763" xr:uid="{00000000-0005-0000-0000-000016820000}"/>
    <cellStyle name="Comma 7 2 2 3 3 4 2" xfId="45769" xr:uid="{00000000-0005-0000-0000-000017820000}"/>
    <cellStyle name="Comma 7 2 2 3 3 5" xfId="31270" xr:uid="{00000000-0005-0000-0000-000018820000}"/>
    <cellStyle name="Comma 7 2 2 3 4" xfId="3237" xr:uid="{00000000-0005-0000-0000-000019820000}"/>
    <cellStyle name="Comma 7 2 2 3 4 2" xfId="6341" xr:uid="{00000000-0005-0000-0000-00001A820000}"/>
    <cellStyle name="Comma 7 2 2 3 4 2 2" xfId="13613" xr:uid="{00000000-0005-0000-0000-00001B820000}"/>
    <cellStyle name="Comma 7 2 2 3 4 2 2 2" xfId="28147" xr:uid="{00000000-0005-0000-0000-00001C820000}"/>
    <cellStyle name="Comma 7 2 2 3 4 2 2 2 2" xfId="57153" xr:uid="{00000000-0005-0000-0000-00001D820000}"/>
    <cellStyle name="Comma 7 2 2 3 4 2 2 3" xfId="42654" xr:uid="{00000000-0005-0000-0000-00001E820000}"/>
    <cellStyle name="Comma 7 2 2 3 4 2 3" xfId="20899" xr:uid="{00000000-0005-0000-0000-00001F820000}"/>
    <cellStyle name="Comma 7 2 2 3 4 2 3 2" xfId="49905" xr:uid="{00000000-0005-0000-0000-000020820000}"/>
    <cellStyle name="Comma 7 2 2 3 4 2 4" xfId="35406" xr:uid="{00000000-0005-0000-0000-000021820000}"/>
    <cellStyle name="Comma 7 2 2 3 4 3" xfId="10509" xr:uid="{00000000-0005-0000-0000-000022820000}"/>
    <cellStyle name="Comma 7 2 2 3 4 3 2" xfId="25043" xr:uid="{00000000-0005-0000-0000-000023820000}"/>
    <cellStyle name="Comma 7 2 2 3 4 3 2 2" xfId="54049" xr:uid="{00000000-0005-0000-0000-000024820000}"/>
    <cellStyle name="Comma 7 2 2 3 4 3 3" xfId="39550" xr:uid="{00000000-0005-0000-0000-000025820000}"/>
    <cellStyle name="Comma 7 2 2 3 4 4" xfId="17795" xr:uid="{00000000-0005-0000-0000-000026820000}"/>
    <cellStyle name="Comma 7 2 2 3 4 4 2" xfId="46801" xr:uid="{00000000-0005-0000-0000-000027820000}"/>
    <cellStyle name="Comma 7 2 2 3 4 5" xfId="32302" xr:uid="{00000000-0005-0000-0000-000028820000}"/>
    <cellStyle name="Comma 7 2 2 3 5" xfId="4269" xr:uid="{00000000-0005-0000-0000-000029820000}"/>
    <cellStyle name="Comma 7 2 2 3 5 2" xfId="11541" xr:uid="{00000000-0005-0000-0000-00002A820000}"/>
    <cellStyle name="Comma 7 2 2 3 5 2 2" xfId="26075" xr:uid="{00000000-0005-0000-0000-00002B820000}"/>
    <cellStyle name="Comma 7 2 2 3 5 2 2 2" xfId="55081" xr:uid="{00000000-0005-0000-0000-00002C820000}"/>
    <cellStyle name="Comma 7 2 2 3 5 2 3" xfId="40582" xr:uid="{00000000-0005-0000-0000-00002D820000}"/>
    <cellStyle name="Comma 7 2 2 3 5 3" xfId="18827" xr:uid="{00000000-0005-0000-0000-00002E820000}"/>
    <cellStyle name="Comma 7 2 2 3 5 3 2" xfId="47833" xr:uid="{00000000-0005-0000-0000-00002F820000}"/>
    <cellStyle name="Comma 7 2 2 3 5 4" xfId="33334" xr:uid="{00000000-0005-0000-0000-000030820000}"/>
    <cellStyle name="Comma 7 2 2 3 6" xfId="7373" xr:uid="{00000000-0005-0000-0000-000031820000}"/>
    <cellStyle name="Comma 7 2 2 3 6 2" xfId="14645" xr:uid="{00000000-0005-0000-0000-000032820000}"/>
    <cellStyle name="Comma 7 2 2 3 6 2 2" xfId="29179" xr:uid="{00000000-0005-0000-0000-000033820000}"/>
    <cellStyle name="Comma 7 2 2 3 6 2 2 2" xfId="58185" xr:uid="{00000000-0005-0000-0000-000034820000}"/>
    <cellStyle name="Comma 7 2 2 3 6 2 3" xfId="43686" xr:uid="{00000000-0005-0000-0000-000035820000}"/>
    <cellStyle name="Comma 7 2 2 3 6 3" xfId="21931" xr:uid="{00000000-0005-0000-0000-000036820000}"/>
    <cellStyle name="Comma 7 2 2 3 6 3 2" xfId="50937" xr:uid="{00000000-0005-0000-0000-000037820000}"/>
    <cellStyle name="Comma 7 2 2 3 6 4" xfId="36438" xr:uid="{00000000-0005-0000-0000-000038820000}"/>
    <cellStyle name="Comma 7 2 2 3 7" xfId="8437" xr:uid="{00000000-0005-0000-0000-000039820000}"/>
    <cellStyle name="Comma 7 2 2 3 7 2" xfId="22971" xr:uid="{00000000-0005-0000-0000-00003A820000}"/>
    <cellStyle name="Comma 7 2 2 3 7 2 2" xfId="51977" xr:uid="{00000000-0005-0000-0000-00003B820000}"/>
    <cellStyle name="Comma 7 2 2 3 7 3" xfId="37478" xr:uid="{00000000-0005-0000-0000-00003C820000}"/>
    <cellStyle name="Comma 7 2 2 3 8" xfId="15723" xr:uid="{00000000-0005-0000-0000-00003D820000}"/>
    <cellStyle name="Comma 7 2 2 3 8 2" xfId="44729" xr:uid="{00000000-0005-0000-0000-00003E820000}"/>
    <cellStyle name="Comma 7 2 2 3 9" xfId="30230" xr:uid="{00000000-0005-0000-0000-00003F820000}"/>
    <cellStyle name="Comma 7 2 2 4" xfId="1068" xr:uid="{00000000-0005-0000-0000-000040820000}"/>
    <cellStyle name="Comma 7 2 2 4 2" xfId="1559" xr:uid="{00000000-0005-0000-0000-000041820000}"/>
    <cellStyle name="Comma 7 2 2 4 2 2" xfId="2617" xr:uid="{00000000-0005-0000-0000-000042820000}"/>
    <cellStyle name="Comma 7 2 2 4 2 2 2" xfId="5721" xr:uid="{00000000-0005-0000-0000-000043820000}"/>
    <cellStyle name="Comma 7 2 2 4 2 2 2 2" xfId="12993" xr:uid="{00000000-0005-0000-0000-000044820000}"/>
    <cellStyle name="Comma 7 2 2 4 2 2 2 2 2" xfId="27527" xr:uid="{00000000-0005-0000-0000-000045820000}"/>
    <cellStyle name="Comma 7 2 2 4 2 2 2 2 2 2" xfId="56533" xr:uid="{00000000-0005-0000-0000-000046820000}"/>
    <cellStyle name="Comma 7 2 2 4 2 2 2 2 3" xfId="42034" xr:uid="{00000000-0005-0000-0000-000047820000}"/>
    <cellStyle name="Comma 7 2 2 4 2 2 2 3" xfId="20279" xr:uid="{00000000-0005-0000-0000-000048820000}"/>
    <cellStyle name="Comma 7 2 2 4 2 2 2 3 2" xfId="49285" xr:uid="{00000000-0005-0000-0000-000049820000}"/>
    <cellStyle name="Comma 7 2 2 4 2 2 2 4" xfId="34786" xr:uid="{00000000-0005-0000-0000-00004A820000}"/>
    <cellStyle name="Comma 7 2 2 4 2 2 3" xfId="9889" xr:uid="{00000000-0005-0000-0000-00004B820000}"/>
    <cellStyle name="Comma 7 2 2 4 2 2 3 2" xfId="24423" xr:uid="{00000000-0005-0000-0000-00004C820000}"/>
    <cellStyle name="Comma 7 2 2 4 2 2 3 2 2" xfId="53429" xr:uid="{00000000-0005-0000-0000-00004D820000}"/>
    <cellStyle name="Comma 7 2 2 4 2 2 3 3" xfId="38930" xr:uid="{00000000-0005-0000-0000-00004E820000}"/>
    <cellStyle name="Comma 7 2 2 4 2 2 4" xfId="17175" xr:uid="{00000000-0005-0000-0000-00004F820000}"/>
    <cellStyle name="Comma 7 2 2 4 2 2 4 2" xfId="46181" xr:uid="{00000000-0005-0000-0000-000050820000}"/>
    <cellStyle name="Comma 7 2 2 4 2 2 5" xfId="31682" xr:uid="{00000000-0005-0000-0000-000051820000}"/>
    <cellStyle name="Comma 7 2 2 4 2 3" xfId="3649" xr:uid="{00000000-0005-0000-0000-000052820000}"/>
    <cellStyle name="Comma 7 2 2 4 2 3 2" xfId="6753" xr:uid="{00000000-0005-0000-0000-000053820000}"/>
    <cellStyle name="Comma 7 2 2 4 2 3 2 2" xfId="14025" xr:uid="{00000000-0005-0000-0000-000054820000}"/>
    <cellStyle name="Comma 7 2 2 4 2 3 2 2 2" xfId="28559" xr:uid="{00000000-0005-0000-0000-000055820000}"/>
    <cellStyle name="Comma 7 2 2 4 2 3 2 2 2 2" xfId="57565" xr:uid="{00000000-0005-0000-0000-000056820000}"/>
    <cellStyle name="Comma 7 2 2 4 2 3 2 2 3" xfId="43066" xr:uid="{00000000-0005-0000-0000-000057820000}"/>
    <cellStyle name="Comma 7 2 2 4 2 3 2 3" xfId="21311" xr:uid="{00000000-0005-0000-0000-000058820000}"/>
    <cellStyle name="Comma 7 2 2 4 2 3 2 3 2" xfId="50317" xr:uid="{00000000-0005-0000-0000-000059820000}"/>
    <cellStyle name="Comma 7 2 2 4 2 3 2 4" xfId="35818" xr:uid="{00000000-0005-0000-0000-00005A820000}"/>
    <cellStyle name="Comma 7 2 2 4 2 3 3" xfId="10921" xr:uid="{00000000-0005-0000-0000-00005B820000}"/>
    <cellStyle name="Comma 7 2 2 4 2 3 3 2" xfId="25455" xr:uid="{00000000-0005-0000-0000-00005C820000}"/>
    <cellStyle name="Comma 7 2 2 4 2 3 3 2 2" xfId="54461" xr:uid="{00000000-0005-0000-0000-00005D820000}"/>
    <cellStyle name="Comma 7 2 2 4 2 3 3 3" xfId="39962" xr:uid="{00000000-0005-0000-0000-00005E820000}"/>
    <cellStyle name="Comma 7 2 2 4 2 3 4" xfId="18207" xr:uid="{00000000-0005-0000-0000-00005F820000}"/>
    <cellStyle name="Comma 7 2 2 4 2 3 4 2" xfId="47213" xr:uid="{00000000-0005-0000-0000-000060820000}"/>
    <cellStyle name="Comma 7 2 2 4 2 3 5" xfId="32714" xr:uid="{00000000-0005-0000-0000-000061820000}"/>
    <cellStyle name="Comma 7 2 2 4 2 4" xfId="4681" xr:uid="{00000000-0005-0000-0000-000062820000}"/>
    <cellStyle name="Comma 7 2 2 4 2 4 2" xfId="11953" xr:uid="{00000000-0005-0000-0000-000063820000}"/>
    <cellStyle name="Comma 7 2 2 4 2 4 2 2" xfId="26487" xr:uid="{00000000-0005-0000-0000-000064820000}"/>
    <cellStyle name="Comma 7 2 2 4 2 4 2 2 2" xfId="55493" xr:uid="{00000000-0005-0000-0000-000065820000}"/>
    <cellStyle name="Comma 7 2 2 4 2 4 2 3" xfId="40994" xr:uid="{00000000-0005-0000-0000-000066820000}"/>
    <cellStyle name="Comma 7 2 2 4 2 4 3" xfId="19239" xr:uid="{00000000-0005-0000-0000-000067820000}"/>
    <cellStyle name="Comma 7 2 2 4 2 4 3 2" xfId="48245" xr:uid="{00000000-0005-0000-0000-000068820000}"/>
    <cellStyle name="Comma 7 2 2 4 2 4 4" xfId="33746" xr:uid="{00000000-0005-0000-0000-000069820000}"/>
    <cellStyle name="Comma 7 2 2 4 2 5" xfId="7785" xr:uid="{00000000-0005-0000-0000-00006A820000}"/>
    <cellStyle name="Comma 7 2 2 4 2 5 2" xfId="15057" xr:uid="{00000000-0005-0000-0000-00006B820000}"/>
    <cellStyle name="Comma 7 2 2 4 2 5 2 2" xfId="29591" xr:uid="{00000000-0005-0000-0000-00006C820000}"/>
    <cellStyle name="Comma 7 2 2 4 2 5 2 2 2" xfId="58597" xr:uid="{00000000-0005-0000-0000-00006D820000}"/>
    <cellStyle name="Comma 7 2 2 4 2 5 2 3" xfId="44098" xr:uid="{00000000-0005-0000-0000-00006E820000}"/>
    <cellStyle name="Comma 7 2 2 4 2 5 3" xfId="22343" xr:uid="{00000000-0005-0000-0000-00006F820000}"/>
    <cellStyle name="Comma 7 2 2 4 2 5 3 2" xfId="51349" xr:uid="{00000000-0005-0000-0000-000070820000}"/>
    <cellStyle name="Comma 7 2 2 4 2 5 4" xfId="36850" xr:uid="{00000000-0005-0000-0000-000071820000}"/>
    <cellStyle name="Comma 7 2 2 4 2 6" xfId="8849" xr:uid="{00000000-0005-0000-0000-000072820000}"/>
    <cellStyle name="Comma 7 2 2 4 2 6 2" xfId="23383" xr:uid="{00000000-0005-0000-0000-000073820000}"/>
    <cellStyle name="Comma 7 2 2 4 2 6 2 2" xfId="52389" xr:uid="{00000000-0005-0000-0000-000074820000}"/>
    <cellStyle name="Comma 7 2 2 4 2 6 3" xfId="37890" xr:uid="{00000000-0005-0000-0000-000075820000}"/>
    <cellStyle name="Comma 7 2 2 4 2 7" xfId="16135" xr:uid="{00000000-0005-0000-0000-000076820000}"/>
    <cellStyle name="Comma 7 2 2 4 2 7 2" xfId="45141" xr:uid="{00000000-0005-0000-0000-000077820000}"/>
    <cellStyle name="Comma 7 2 2 4 2 8" xfId="30642" xr:uid="{00000000-0005-0000-0000-000078820000}"/>
    <cellStyle name="Comma 7 2 2 4 3" xfId="2105" xr:uid="{00000000-0005-0000-0000-000079820000}"/>
    <cellStyle name="Comma 7 2 2 4 3 2" xfId="5209" xr:uid="{00000000-0005-0000-0000-00007A820000}"/>
    <cellStyle name="Comma 7 2 2 4 3 2 2" xfId="12481" xr:uid="{00000000-0005-0000-0000-00007B820000}"/>
    <cellStyle name="Comma 7 2 2 4 3 2 2 2" xfId="27015" xr:uid="{00000000-0005-0000-0000-00007C820000}"/>
    <cellStyle name="Comma 7 2 2 4 3 2 2 2 2" xfId="56021" xr:uid="{00000000-0005-0000-0000-00007D820000}"/>
    <cellStyle name="Comma 7 2 2 4 3 2 2 3" xfId="41522" xr:uid="{00000000-0005-0000-0000-00007E820000}"/>
    <cellStyle name="Comma 7 2 2 4 3 2 3" xfId="19767" xr:uid="{00000000-0005-0000-0000-00007F820000}"/>
    <cellStyle name="Comma 7 2 2 4 3 2 3 2" xfId="48773" xr:uid="{00000000-0005-0000-0000-000080820000}"/>
    <cellStyle name="Comma 7 2 2 4 3 2 4" xfId="34274" xr:uid="{00000000-0005-0000-0000-000081820000}"/>
    <cellStyle name="Comma 7 2 2 4 3 3" xfId="9377" xr:uid="{00000000-0005-0000-0000-000082820000}"/>
    <cellStyle name="Comma 7 2 2 4 3 3 2" xfId="23911" xr:uid="{00000000-0005-0000-0000-000083820000}"/>
    <cellStyle name="Comma 7 2 2 4 3 3 2 2" xfId="52917" xr:uid="{00000000-0005-0000-0000-000084820000}"/>
    <cellStyle name="Comma 7 2 2 4 3 3 3" xfId="38418" xr:uid="{00000000-0005-0000-0000-000085820000}"/>
    <cellStyle name="Comma 7 2 2 4 3 4" xfId="16663" xr:uid="{00000000-0005-0000-0000-000086820000}"/>
    <cellStyle name="Comma 7 2 2 4 3 4 2" xfId="45669" xr:uid="{00000000-0005-0000-0000-000087820000}"/>
    <cellStyle name="Comma 7 2 2 4 3 5" xfId="31170" xr:uid="{00000000-0005-0000-0000-000088820000}"/>
    <cellStyle name="Comma 7 2 2 4 4" xfId="3137" xr:uid="{00000000-0005-0000-0000-000089820000}"/>
    <cellStyle name="Comma 7 2 2 4 4 2" xfId="6241" xr:uid="{00000000-0005-0000-0000-00008A820000}"/>
    <cellStyle name="Comma 7 2 2 4 4 2 2" xfId="13513" xr:uid="{00000000-0005-0000-0000-00008B820000}"/>
    <cellStyle name="Comma 7 2 2 4 4 2 2 2" xfId="28047" xr:uid="{00000000-0005-0000-0000-00008C820000}"/>
    <cellStyle name="Comma 7 2 2 4 4 2 2 2 2" xfId="57053" xr:uid="{00000000-0005-0000-0000-00008D820000}"/>
    <cellStyle name="Comma 7 2 2 4 4 2 2 3" xfId="42554" xr:uid="{00000000-0005-0000-0000-00008E820000}"/>
    <cellStyle name="Comma 7 2 2 4 4 2 3" xfId="20799" xr:uid="{00000000-0005-0000-0000-00008F820000}"/>
    <cellStyle name="Comma 7 2 2 4 4 2 3 2" xfId="49805" xr:uid="{00000000-0005-0000-0000-000090820000}"/>
    <cellStyle name="Comma 7 2 2 4 4 2 4" xfId="35306" xr:uid="{00000000-0005-0000-0000-000091820000}"/>
    <cellStyle name="Comma 7 2 2 4 4 3" xfId="10409" xr:uid="{00000000-0005-0000-0000-000092820000}"/>
    <cellStyle name="Comma 7 2 2 4 4 3 2" xfId="24943" xr:uid="{00000000-0005-0000-0000-000093820000}"/>
    <cellStyle name="Comma 7 2 2 4 4 3 2 2" xfId="53949" xr:uid="{00000000-0005-0000-0000-000094820000}"/>
    <cellStyle name="Comma 7 2 2 4 4 3 3" xfId="39450" xr:uid="{00000000-0005-0000-0000-000095820000}"/>
    <cellStyle name="Comma 7 2 2 4 4 4" xfId="17695" xr:uid="{00000000-0005-0000-0000-000096820000}"/>
    <cellStyle name="Comma 7 2 2 4 4 4 2" xfId="46701" xr:uid="{00000000-0005-0000-0000-000097820000}"/>
    <cellStyle name="Comma 7 2 2 4 4 5" xfId="32202" xr:uid="{00000000-0005-0000-0000-000098820000}"/>
    <cellStyle name="Comma 7 2 2 4 5" xfId="4169" xr:uid="{00000000-0005-0000-0000-000099820000}"/>
    <cellStyle name="Comma 7 2 2 4 5 2" xfId="11441" xr:uid="{00000000-0005-0000-0000-00009A820000}"/>
    <cellStyle name="Comma 7 2 2 4 5 2 2" xfId="25975" xr:uid="{00000000-0005-0000-0000-00009B820000}"/>
    <cellStyle name="Comma 7 2 2 4 5 2 2 2" xfId="54981" xr:uid="{00000000-0005-0000-0000-00009C820000}"/>
    <cellStyle name="Comma 7 2 2 4 5 2 3" xfId="40482" xr:uid="{00000000-0005-0000-0000-00009D820000}"/>
    <cellStyle name="Comma 7 2 2 4 5 3" xfId="18727" xr:uid="{00000000-0005-0000-0000-00009E820000}"/>
    <cellStyle name="Comma 7 2 2 4 5 3 2" xfId="47733" xr:uid="{00000000-0005-0000-0000-00009F820000}"/>
    <cellStyle name="Comma 7 2 2 4 5 4" xfId="33234" xr:uid="{00000000-0005-0000-0000-0000A0820000}"/>
    <cellStyle name="Comma 7 2 2 4 6" xfId="7273" xr:uid="{00000000-0005-0000-0000-0000A1820000}"/>
    <cellStyle name="Comma 7 2 2 4 6 2" xfId="14545" xr:uid="{00000000-0005-0000-0000-0000A2820000}"/>
    <cellStyle name="Comma 7 2 2 4 6 2 2" xfId="29079" xr:uid="{00000000-0005-0000-0000-0000A3820000}"/>
    <cellStyle name="Comma 7 2 2 4 6 2 2 2" xfId="58085" xr:uid="{00000000-0005-0000-0000-0000A4820000}"/>
    <cellStyle name="Comma 7 2 2 4 6 2 3" xfId="43586" xr:uid="{00000000-0005-0000-0000-0000A5820000}"/>
    <cellStyle name="Comma 7 2 2 4 6 3" xfId="21831" xr:uid="{00000000-0005-0000-0000-0000A6820000}"/>
    <cellStyle name="Comma 7 2 2 4 6 3 2" xfId="50837" xr:uid="{00000000-0005-0000-0000-0000A7820000}"/>
    <cellStyle name="Comma 7 2 2 4 6 4" xfId="36338" xr:uid="{00000000-0005-0000-0000-0000A8820000}"/>
    <cellStyle name="Comma 7 2 2 4 7" xfId="8337" xr:uid="{00000000-0005-0000-0000-0000A9820000}"/>
    <cellStyle name="Comma 7 2 2 4 7 2" xfId="22871" xr:uid="{00000000-0005-0000-0000-0000AA820000}"/>
    <cellStyle name="Comma 7 2 2 4 7 2 2" xfId="51877" xr:uid="{00000000-0005-0000-0000-0000AB820000}"/>
    <cellStyle name="Comma 7 2 2 4 7 3" xfId="37378" xr:uid="{00000000-0005-0000-0000-0000AC820000}"/>
    <cellStyle name="Comma 7 2 2 4 8" xfId="15623" xr:uid="{00000000-0005-0000-0000-0000AD820000}"/>
    <cellStyle name="Comma 7 2 2 4 8 2" xfId="44629" xr:uid="{00000000-0005-0000-0000-0000AE820000}"/>
    <cellStyle name="Comma 7 2 2 4 9" xfId="30130" xr:uid="{00000000-0005-0000-0000-0000AF820000}"/>
    <cellStyle name="Comma 7 2 2 5" xfId="1354" xr:uid="{00000000-0005-0000-0000-0000B0820000}"/>
    <cellStyle name="Comma 7 2 2 5 2" xfId="2411" xr:uid="{00000000-0005-0000-0000-0000B1820000}"/>
    <cellStyle name="Comma 7 2 2 5 2 2" xfId="5515" xr:uid="{00000000-0005-0000-0000-0000B2820000}"/>
    <cellStyle name="Comma 7 2 2 5 2 2 2" xfId="12787" xr:uid="{00000000-0005-0000-0000-0000B3820000}"/>
    <cellStyle name="Comma 7 2 2 5 2 2 2 2" xfId="27321" xr:uid="{00000000-0005-0000-0000-0000B4820000}"/>
    <cellStyle name="Comma 7 2 2 5 2 2 2 2 2" xfId="56327" xr:uid="{00000000-0005-0000-0000-0000B5820000}"/>
    <cellStyle name="Comma 7 2 2 5 2 2 2 3" xfId="41828" xr:uid="{00000000-0005-0000-0000-0000B6820000}"/>
    <cellStyle name="Comma 7 2 2 5 2 2 3" xfId="20073" xr:uid="{00000000-0005-0000-0000-0000B7820000}"/>
    <cellStyle name="Comma 7 2 2 5 2 2 3 2" xfId="49079" xr:uid="{00000000-0005-0000-0000-0000B8820000}"/>
    <cellStyle name="Comma 7 2 2 5 2 2 4" xfId="34580" xr:uid="{00000000-0005-0000-0000-0000B9820000}"/>
    <cellStyle name="Comma 7 2 2 5 2 3" xfId="9683" xr:uid="{00000000-0005-0000-0000-0000BA820000}"/>
    <cellStyle name="Comma 7 2 2 5 2 3 2" xfId="24217" xr:uid="{00000000-0005-0000-0000-0000BB820000}"/>
    <cellStyle name="Comma 7 2 2 5 2 3 2 2" xfId="53223" xr:uid="{00000000-0005-0000-0000-0000BC820000}"/>
    <cellStyle name="Comma 7 2 2 5 2 3 3" xfId="38724" xr:uid="{00000000-0005-0000-0000-0000BD820000}"/>
    <cellStyle name="Comma 7 2 2 5 2 4" xfId="16969" xr:uid="{00000000-0005-0000-0000-0000BE820000}"/>
    <cellStyle name="Comma 7 2 2 5 2 4 2" xfId="45975" xr:uid="{00000000-0005-0000-0000-0000BF820000}"/>
    <cellStyle name="Comma 7 2 2 5 2 5" xfId="31476" xr:uid="{00000000-0005-0000-0000-0000C0820000}"/>
    <cellStyle name="Comma 7 2 2 5 3" xfId="3443" xr:uid="{00000000-0005-0000-0000-0000C1820000}"/>
    <cellStyle name="Comma 7 2 2 5 3 2" xfId="6547" xr:uid="{00000000-0005-0000-0000-0000C2820000}"/>
    <cellStyle name="Comma 7 2 2 5 3 2 2" xfId="13819" xr:uid="{00000000-0005-0000-0000-0000C3820000}"/>
    <cellStyle name="Comma 7 2 2 5 3 2 2 2" xfId="28353" xr:uid="{00000000-0005-0000-0000-0000C4820000}"/>
    <cellStyle name="Comma 7 2 2 5 3 2 2 2 2" xfId="57359" xr:uid="{00000000-0005-0000-0000-0000C5820000}"/>
    <cellStyle name="Comma 7 2 2 5 3 2 2 3" xfId="42860" xr:uid="{00000000-0005-0000-0000-0000C6820000}"/>
    <cellStyle name="Comma 7 2 2 5 3 2 3" xfId="21105" xr:uid="{00000000-0005-0000-0000-0000C7820000}"/>
    <cellStyle name="Comma 7 2 2 5 3 2 3 2" xfId="50111" xr:uid="{00000000-0005-0000-0000-0000C8820000}"/>
    <cellStyle name="Comma 7 2 2 5 3 2 4" xfId="35612" xr:uid="{00000000-0005-0000-0000-0000C9820000}"/>
    <cellStyle name="Comma 7 2 2 5 3 3" xfId="10715" xr:uid="{00000000-0005-0000-0000-0000CA820000}"/>
    <cellStyle name="Comma 7 2 2 5 3 3 2" xfId="25249" xr:uid="{00000000-0005-0000-0000-0000CB820000}"/>
    <cellStyle name="Comma 7 2 2 5 3 3 2 2" xfId="54255" xr:uid="{00000000-0005-0000-0000-0000CC820000}"/>
    <cellStyle name="Comma 7 2 2 5 3 3 3" xfId="39756" xr:uid="{00000000-0005-0000-0000-0000CD820000}"/>
    <cellStyle name="Comma 7 2 2 5 3 4" xfId="18001" xr:uid="{00000000-0005-0000-0000-0000CE820000}"/>
    <cellStyle name="Comma 7 2 2 5 3 4 2" xfId="47007" xr:uid="{00000000-0005-0000-0000-0000CF820000}"/>
    <cellStyle name="Comma 7 2 2 5 3 5" xfId="32508" xr:uid="{00000000-0005-0000-0000-0000D0820000}"/>
    <cellStyle name="Comma 7 2 2 5 4" xfId="4475" xr:uid="{00000000-0005-0000-0000-0000D1820000}"/>
    <cellStyle name="Comma 7 2 2 5 4 2" xfId="11747" xr:uid="{00000000-0005-0000-0000-0000D2820000}"/>
    <cellStyle name="Comma 7 2 2 5 4 2 2" xfId="26281" xr:uid="{00000000-0005-0000-0000-0000D3820000}"/>
    <cellStyle name="Comma 7 2 2 5 4 2 2 2" xfId="55287" xr:uid="{00000000-0005-0000-0000-0000D4820000}"/>
    <cellStyle name="Comma 7 2 2 5 4 2 3" xfId="40788" xr:uid="{00000000-0005-0000-0000-0000D5820000}"/>
    <cellStyle name="Comma 7 2 2 5 4 3" xfId="19033" xr:uid="{00000000-0005-0000-0000-0000D6820000}"/>
    <cellStyle name="Comma 7 2 2 5 4 3 2" xfId="48039" xr:uid="{00000000-0005-0000-0000-0000D7820000}"/>
    <cellStyle name="Comma 7 2 2 5 4 4" xfId="33540" xr:uid="{00000000-0005-0000-0000-0000D8820000}"/>
    <cellStyle name="Comma 7 2 2 5 5" xfId="7579" xr:uid="{00000000-0005-0000-0000-0000D9820000}"/>
    <cellStyle name="Comma 7 2 2 5 5 2" xfId="14851" xr:uid="{00000000-0005-0000-0000-0000DA820000}"/>
    <cellStyle name="Comma 7 2 2 5 5 2 2" xfId="29385" xr:uid="{00000000-0005-0000-0000-0000DB820000}"/>
    <cellStyle name="Comma 7 2 2 5 5 2 2 2" xfId="58391" xr:uid="{00000000-0005-0000-0000-0000DC820000}"/>
    <cellStyle name="Comma 7 2 2 5 5 2 3" xfId="43892" xr:uid="{00000000-0005-0000-0000-0000DD820000}"/>
    <cellStyle name="Comma 7 2 2 5 5 3" xfId="22137" xr:uid="{00000000-0005-0000-0000-0000DE820000}"/>
    <cellStyle name="Comma 7 2 2 5 5 3 2" xfId="51143" xr:uid="{00000000-0005-0000-0000-0000DF820000}"/>
    <cellStyle name="Comma 7 2 2 5 5 4" xfId="36644" xr:uid="{00000000-0005-0000-0000-0000E0820000}"/>
    <cellStyle name="Comma 7 2 2 5 6" xfId="8643" xr:uid="{00000000-0005-0000-0000-0000E1820000}"/>
    <cellStyle name="Comma 7 2 2 5 6 2" xfId="23177" xr:uid="{00000000-0005-0000-0000-0000E2820000}"/>
    <cellStyle name="Comma 7 2 2 5 6 2 2" xfId="52183" xr:uid="{00000000-0005-0000-0000-0000E3820000}"/>
    <cellStyle name="Comma 7 2 2 5 6 3" xfId="37684" xr:uid="{00000000-0005-0000-0000-0000E4820000}"/>
    <cellStyle name="Comma 7 2 2 5 7" xfId="15929" xr:uid="{00000000-0005-0000-0000-0000E5820000}"/>
    <cellStyle name="Comma 7 2 2 5 7 2" xfId="44935" xr:uid="{00000000-0005-0000-0000-0000E6820000}"/>
    <cellStyle name="Comma 7 2 2 5 8" xfId="30436" xr:uid="{00000000-0005-0000-0000-0000E7820000}"/>
    <cellStyle name="Comma 7 2 2 6" xfId="1899" xr:uid="{00000000-0005-0000-0000-0000E8820000}"/>
    <cellStyle name="Comma 7 2 2 6 2" xfId="5003" xr:uid="{00000000-0005-0000-0000-0000E9820000}"/>
    <cellStyle name="Comma 7 2 2 6 2 2" xfId="12275" xr:uid="{00000000-0005-0000-0000-0000EA820000}"/>
    <cellStyle name="Comma 7 2 2 6 2 2 2" xfId="26809" xr:uid="{00000000-0005-0000-0000-0000EB820000}"/>
    <cellStyle name="Comma 7 2 2 6 2 2 2 2" xfId="55815" xr:uid="{00000000-0005-0000-0000-0000EC820000}"/>
    <cellStyle name="Comma 7 2 2 6 2 2 3" xfId="41316" xr:uid="{00000000-0005-0000-0000-0000ED820000}"/>
    <cellStyle name="Comma 7 2 2 6 2 3" xfId="19561" xr:uid="{00000000-0005-0000-0000-0000EE820000}"/>
    <cellStyle name="Comma 7 2 2 6 2 3 2" xfId="48567" xr:uid="{00000000-0005-0000-0000-0000EF820000}"/>
    <cellStyle name="Comma 7 2 2 6 2 4" xfId="34068" xr:uid="{00000000-0005-0000-0000-0000F0820000}"/>
    <cellStyle name="Comma 7 2 2 6 3" xfId="9171" xr:uid="{00000000-0005-0000-0000-0000F1820000}"/>
    <cellStyle name="Comma 7 2 2 6 3 2" xfId="23705" xr:uid="{00000000-0005-0000-0000-0000F2820000}"/>
    <cellStyle name="Comma 7 2 2 6 3 2 2" xfId="52711" xr:uid="{00000000-0005-0000-0000-0000F3820000}"/>
    <cellStyle name="Comma 7 2 2 6 3 3" xfId="38212" xr:uid="{00000000-0005-0000-0000-0000F4820000}"/>
    <cellStyle name="Comma 7 2 2 6 4" xfId="16457" xr:uid="{00000000-0005-0000-0000-0000F5820000}"/>
    <cellStyle name="Comma 7 2 2 6 4 2" xfId="45463" xr:uid="{00000000-0005-0000-0000-0000F6820000}"/>
    <cellStyle name="Comma 7 2 2 6 5" xfId="30964" xr:uid="{00000000-0005-0000-0000-0000F7820000}"/>
    <cellStyle name="Comma 7 2 2 7" xfId="2931" xr:uid="{00000000-0005-0000-0000-0000F8820000}"/>
    <cellStyle name="Comma 7 2 2 7 2" xfId="6035" xr:uid="{00000000-0005-0000-0000-0000F9820000}"/>
    <cellStyle name="Comma 7 2 2 7 2 2" xfId="13307" xr:uid="{00000000-0005-0000-0000-0000FA820000}"/>
    <cellStyle name="Comma 7 2 2 7 2 2 2" xfId="27841" xr:uid="{00000000-0005-0000-0000-0000FB820000}"/>
    <cellStyle name="Comma 7 2 2 7 2 2 2 2" xfId="56847" xr:uid="{00000000-0005-0000-0000-0000FC820000}"/>
    <cellStyle name="Comma 7 2 2 7 2 2 3" xfId="42348" xr:uid="{00000000-0005-0000-0000-0000FD820000}"/>
    <cellStyle name="Comma 7 2 2 7 2 3" xfId="20593" xr:uid="{00000000-0005-0000-0000-0000FE820000}"/>
    <cellStyle name="Comma 7 2 2 7 2 3 2" xfId="49599" xr:uid="{00000000-0005-0000-0000-0000FF820000}"/>
    <cellStyle name="Comma 7 2 2 7 2 4" xfId="35100" xr:uid="{00000000-0005-0000-0000-000000830000}"/>
    <cellStyle name="Comma 7 2 2 7 3" xfId="10203" xr:uid="{00000000-0005-0000-0000-000001830000}"/>
    <cellStyle name="Comma 7 2 2 7 3 2" xfId="24737" xr:uid="{00000000-0005-0000-0000-000002830000}"/>
    <cellStyle name="Comma 7 2 2 7 3 2 2" xfId="53743" xr:uid="{00000000-0005-0000-0000-000003830000}"/>
    <cellStyle name="Comma 7 2 2 7 3 3" xfId="39244" xr:uid="{00000000-0005-0000-0000-000004830000}"/>
    <cellStyle name="Comma 7 2 2 7 4" xfId="17489" xr:uid="{00000000-0005-0000-0000-000005830000}"/>
    <cellStyle name="Comma 7 2 2 7 4 2" xfId="46495" xr:uid="{00000000-0005-0000-0000-000006830000}"/>
    <cellStyle name="Comma 7 2 2 7 5" xfId="31996" xr:uid="{00000000-0005-0000-0000-000007830000}"/>
    <cellStyle name="Comma 7 2 2 8" xfId="3963" xr:uid="{00000000-0005-0000-0000-000008830000}"/>
    <cellStyle name="Comma 7 2 2 8 2" xfId="11235" xr:uid="{00000000-0005-0000-0000-000009830000}"/>
    <cellStyle name="Comma 7 2 2 8 2 2" xfId="25769" xr:uid="{00000000-0005-0000-0000-00000A830000}"/>
    <cellStyle name="Comma 7 2 2 8 2 2 2" xfId="54775" xr:uid="{00000000-0005-0000-0000-00000B830000}"/>
    <cellStyle name="Comma 7 2 2 8 2 3" xfId="40276" xr:uid="{00000000-0005-0000-0000-00000C830000}"/>
    <cellStyle name="Comma 7 2 2 8 3" xfId="18521" xr:uid="{00000000-0005-0000-0000-00000D830000}"/>
    <cellStyle name="Comma 7 2 2 8 3 2" xfId="47527" xr:uid="{00000000-0005-0000-0000-00000E830000}"/>
    <cellStyle name="Comma 7 2 2 8 4" xfId="33028" xr:uid="{00000000-0005-0000-0000-00000F830000}"/>
    <cellStyle name="Comma 7 2 2 9" xfId="7067" xr:uid="{00000000-0005-0000-0000-000010830000}"/>
    <cellStyle name="Comma 7 2 2 9 2" xfId="14339" xr:uid="{00000000-0005-0000-0000-000011830000}"/>
    <cellStyle name="Comma 7 2 2 9 2 2" xfId="28873" xr:uid="{00000000-0005-0000-0000-000012830000}"/>
    <cellStyle name="Comma 7 2 2 9 2 2 2" xfId="57879" xr:uid="{00000000-0005-0000-0000-000013830000}"/>
    <cellStyle name="Comma 7 2 2 9 2 3" xfId="43380" xr:uid="{00000000-0005-0000-0000-000014830000}"/>
    <cellStyle name="Comma 7 2 2 9 3" xfId="21625" xr:uid="{00000000-0005-0000-0000-000015830000}"/>
    <cellStyle name="Comma 7 2 2 9 3 2" xfId="50631" xr:uid="{00000000-0005-0000-0000-000016830000}"/>
    <cellStyle name="Comma 7 2 2 9 4" xfId="36132" xr:uid="{00000000-0005-0000-0000-000017830000}"/>
    <cellStyle name="Comma 7 2 3" xfId="474" xr:uid="{00000000-0005-0000-0000-000018830000}"/>
    <cellStyle name="Comma 7 2 3 10" xfId="29975" xr:uid="{00000000-0005-0000-0000-000019830000}"/>
    <cellStyle name="Comma 7 2 3 11" xfId="59333" xr:uid="{00000000-0005-0000-0000-00001A830000}"/>
    <cellStyle name="Comma 7 2 3 2" xfId="1206" xr:uid="{00000000-0005-0000-0000-00001B830000}"/>
    <cellStyle name="Comma 7 2 3 2 2" xfId="1709" xr:uid="{00000000-0005-0000-0000-00001C830000}"/>
    <cellStyle name="Comma 7 2 3 2 2 2" xfId="2768" xr:uid="{00000000-0005-0000-0000-00001D830000}"/>
    <cellStyle name="Comma 7 2 3 2 2 2 2" xfId="5872" xr:uid="{00000000-0005-0000-0000-00001E830000}"/>
    <cellStyle name="Comma 7 2 3 2 2 2 2 2" xfId="13144" xr:uid="{00000000-0005-0000-0000-00001F830000}"/>
    <cellStyle name="Comma 7 2 3 2 2 2 2 2 2" xfId="27678" xr:uid="{00000000-0005-0000-0000-000020830000}"/>
    <cellStyle name="Comma 7 2 3 2 2 2 2 2 2 2" xfId="56684" xr:uid="{00000000-0005-0000-0000-000021830000}"/>
    <cellStyle name="Comma 7 2 3 2 2 2 2 2 3" xfId="42185" xr:uid="{00000000-0005-0000-0000-000022830000}"/>
    <cellStyle name="Comma 7 2 3 2 2 2 2 3" xfId="20430" xr:uid="{00000000-0005-0000-0000-000023830000}"/>
    <cellStyle name="Comma 7 2 3 2 2 2 2 3 2" xfId="49436" xr:uid="{00000000-0005-0000-0000-000024830000}"/>
    <cellStyle name="Comma 7 2 3 2 2 2 2 4" xfId="34937" xr:uid="{00000000-0005-0000-0000-000025830000}"/>
    <cellStyle name="Comma 7 2 3 2 2 2 3" xfId="10040" xr:uid="{00000000-0005-0000-0000-000026830000}"/>
    <cellStyle name="Comma 7 2 3 2 2 2 3 2" xfId="24574" xr:uid="{00000000-0005-0000-0000-000027830000}"/>
    <cellStyle name="Comma 7 2 3 2 2 2 3 2 2" xfId="53580" xr:uid="{00000000-0005-0000-0000-000028830000}"/>
    <cellStyle name="Comma 7 2 3 2 2 2 3 3" xfId="39081" xr:uid="{00000000-0005-0000-0000-000029830000}"/>
    <cellStyle name="Comma 7 2 3 2 2 2 4" xfId="17326" xr:uid="{00000000-0005-0000-0000-00002A830000}"/>
    <cellStyle name="Comma 7 2 3 2 2 2 4 2" xfId="46332" xr:uid="{00000000-0005-0000-0000-00002B830000}"/>
    <cellStyle name="Comma 7 2 3 2 2 2 5" xfId="31833" xr:uid="{00000000-0005-0000-0000-00002C830000}"/>
    <cellStyle name="Comma 7 2 3 2 2 3" xfId="3800" xr:uid="{00000000-0005-0000-0000-00002D830000}"/>
    <cellStyle name="Comma 7 2 3 2 2 3 2" xfId="6904" xr:uid="{00000000-0005-0000-0000-00002E830000}"/>
    <cellStyle name="Comma 7 2 3 2 2 3 2 2" xfId="14176" xr:uid="{00000000-0005-0000-0000-00002F830000}"/>
    <cellStyle name="Comma 7 2 3 2 2 3 2 2 2" xfId="28710" xr:uid="{00000000-0005-0000-0000-000030830000}"/>
    <cellStyle name="Comma 7 2 3 2 2 3 2 2 2 2" xfId="57716" xr:uid="{00000000-0005-0000-0000-000031830000}"/>
    <cellStyle name="Comma 7 2 3 2 2 3 2 2 3" xfId="43217" xr:uid="{00000000-0005-0000-0000-000032830000}"/>
    <cellStyle name="Comma 7 2 3 2 2 3 2 3" xfId="21462" xr:uid="{00000000-0005-0000-0000-000033830000}"/>
    <cellStyle name="Comma 7 2 3 2 2 3 2 3 2" xfId="50468" xr:uid="{00000000-0005-0000-0000-000034830000}"/>
    <cellStyle name="Comma 7 2 3 2 2 3 2 4" xfId="35969" xr:uid="{00000000-0005-0000-0000-000035830000}"/>
    <cellStyle name="Comma 7 2 3 2 2 3 3" xfId="11072" xr:uid="{00000000-0005-0000-0000-000036830000}"/>
    <cellStyle name="Comma 7 2 3 2 2 3 3 2" xfId="25606" xr:uid="{00000000-0005-0000-0000-000037830000}"/>
    <cellStyle name="Comma 7 2 3 2 2 3 3 2 2" xfId="54612" xr:uid="{00000000-0005-0000-0000-000038830000}"/>
    <cellStyle name="Comma 7 2 3 2 2 3 3 3" xfId="40113" xr:uid="{00000000-0005-0000-0000-000039830000}"/>
    <cellStyle name="Comma 7 2 3 2 2 3 4" xfId="18358" xr:uid="{00000000-0005-0000-0000-00003A830000}"/>
    <cellStyle name="Comma 7 2 3 2 2 3 4 2" xfId="47364" xr:uid="{00000000-0005-0000-0000-00003B830000}"/>
    <cellStyle name="Comma 7 2 3 2 2 3 5" xfId="32865" xr:uid="{00000000-0005-0000-0000-00003C830000}"/>
    <cellStyle name="Comma 7 2 3 2 2 4" xfId="4832" xr:uid="{00000000-0005-0000-0000-00003D830000}"/>
    <cellStyle name="Comma 7 2 3 2 2 4 2" xfId="12104" xr:uid="{00000000-0005-0000-0000-00003E830000}"/>
    <cellStyle name="Comma 7 2 3 2 2 4 2 2" xfId="26638" xr:uid="{00000000-0005-0000-0000-00003F830000}"/>
    <cellStyle name="Comma 7 2 3 2 2 4 2 2 2" xfId="55644" xr:uid="{00000000-0005-0000-0000-000040830000}"/>
    <cellStyle name="Comma 7 2 3 2 2 4 2 3" xfId="41145" xr:uid="{00000000-0005-0000-0000-000041830000}"/>
    <cellStyle name="Comma 7 2 3 2 2 4 3" xfId="19390" xr:uid="{00000000-0005-0000-0000-000042830000}"/>
    <cellStyle name="Comma 7 2 3 2 2 4 3 2" xfId="48396" xr:uid="{00000000-0005-0000-0000-000043830000}"/>
    <cellStyle name="Comma 7 2 3 2 2 4 4" xfId="33897" xr:uid="{00000000-0005-0000-0000-000044830000}"/>
    <cellStyle name="Comma 7 2 3 2 2 5" xfId="7936" xr:uid="{00000000-0005-0000-0000-000045830000}"/>
    <cellStyle name="Comma 7 2 3 2 2 5 2" xfId="15208" xr:uid="{00000000-0005-0000-0000-000046830000}"/>
    <cellStyle name="Comma 7 2 3 2 2 5 2 2" xfId="29742" xr:uid="{00000000-0005-0000-0000-000047830000}"/>
    <cellStyle name="Comma 7 2 3 2 2 5 2 2 2" xfId="58748" xr:uid="{00000000-0005-0000-0000-000048830000}"/>
    <cellStyle name="Comma 7 2 3 2 2 5 2 3" xfId="44249" xr:uid="{00000000-0005-0000-0000-000049830000}"/>
    <cellStyle name="Comma 7 2 3 2 2 5 3" xfId="22494" xr:uid="{00000000-0005-0000-0000-00004A830000}"/>
    <cellStyle name="Comma 7 2 3 2 2 5 3 2" xfId="51500" xr:uid="{00000000-0005-0000-0000-00004B830000}"/>
    <cellStyle name="Comma 7 2 3 2 2 5 4" xfId="37001" xr:uid="{00000000-0005-0000-0000-00004C830000}"/>
    <cellStyle name="Comma 7 2 3 2 2 6" xfId="9000" xr:uid="{00000000-0005-0000-0000-00004D830000}"/>
    <cellStyle name="Comma 7 2 3 2 2 6 2" xfId="23534" xr:uid="{00000000-0005-0000-0000-00004E830000}"/>
    <cellStyle name="Comma 7 2 3 2 2 6 2 2" xfId="52540" xr:uid="{00000000-0005-0000-0000-00004F830000}"/>
    <cellStyle name="Comma 7 2 3 2 2 6 3" xfId="38041" xr:uid="{00000000-0005-0000-0000-000050830000}"/>
    <cellStyle name="Comma 7 2 3 2 2 7" xfId="16286" xr:uid="{00000000-0005-0000-0000-000051830000}"/>
    <cellStyle name="Comma 7 2 3 2 2 7 2" xfId="45292" xr:uid="{00000000-0005-0000-0000-000052830000}"/>
    <cellStyle name="Comma 7 2 3 2 2 8" xfId="30793" xr:uid="{00000000-0005-0000-0000-000053830000}"/>
    <cellStyle name="Comma 7 2 3 2 3" xfId="2256" xr:uid="{00000000-0005-0000-0000-000054830000}"/>
    <cellStyle name="Comma 7 2 3 2 3 2" xfId="5360" xr:uid="{00000000-0005-0000-0000-000055830000}"/>
    <cellStyle name="Comma 7 2 3 2 3 2 2" xfId="12632" xr:uid="{00000000-0005-0000-0000-000056830000}"/>
    <cellStyle name="Comma 7 2 3 2 3 2 2 2" xfId="27166" xr:uid="{00000000-0005-0000-0000-000057830000}"/>
    <cellStyle name="Comma 7 2 3 2 3 2 2 2 2" xfId="56172" xr:uid="{00000000-0005-0000-0000-000058830000}"/>
    <cellStyle name="Comma 7 2 3 2 3 2 2 3" xfId="41673" xr:uid="{00000000-0005-0000-0000-000059830000}"/>
    <cellStyle name="Comma 7 2 3 2 3 2 3" xfId="19918" xr:uid="{00000000-0005-0000-0000-00005A830000}"/>
    <cellStyle name="Comma 7 2 3 2 3 2 3 2" xfId="48924" xr:uid="{00000000-0005-0000-0000-00005B830000}"/>
    <cellStyle name="Comma 7 2 3 2 3 2 4" xfId="34425" xr:uid="{00000000-0005-0000-0000-00005C830000}"/>
    <cellStyle name="Comma 7 2 3 2 3 3" xfId="9528" xr:uid="{00000000-0005-0000-0000-00005D830000}"/>
    <cellStyle name="Comma 7 2 3 2 3 3 2" xfId="24062" xr:uid="{00000000-0005-0000-0000-00005E830000}"/>
    <cellStyle name="Comma 7 2 3 2 3 3 2 2" xfId="53068" xr:uid="{00000000-0005-0000-0000-00005F830000}"/>
    <cellStyle name="Comma 7 2 3 2 3 3 3" xfId="38569" xr:uid="{00000000-0005-0000-0000-000060830000}"/>
    <cellStyle name="Comma 7 2 3 2 3 4" xfId="16814" xr:uid="{00000000-0005-0000-0000-000061830000}"/>
    <cellStyle name="Comma 7 2 3 2 3 4 2" xfId="45820" xr:uid="{00000000-0005-0000-0000-000062830000}"/>
    <cellStyle name="Comma 7 2 3 2 3 5" xfId="31321" xr:uid="{00000000-0005-0000-0000-000063830000}"/>
    <cellStyle name="Comma 7 2 3 2 4" xfId="3288" xr:uid="{00000000-0005-0000-0000-000064830000}"/>
    <cellStyle name="Comma 7 2 3 2 4 2" xfId="6392" xr:uid="{00000000-0005-0000-0000-000065830000}"/>
    <cellStyle name="Comma 7 2 3 2 4 2 2" xfId="13664" xr:uid="{00000000-0005-0000-0000-000066830000}"/>
    <cellStyle name="Comma 7 2 3 2 4 2 2 2" xfId="28198" xr:uid="{00000000-0005-0000-0000-000067830000}"/>
    <cellStyle name="Comma 7 2 3 2 4 2 2 2 2" xfId="57204" xr:uid="{00000000-0005-0000-0000-000068830000}"/>
    <cellStyle name="Comma 7 2 3 2 4 2 2 3" xfId="42705" xr:uid="{00000000-0005-0000-0000-000069830000}"/>
    <cellStyle name="Comma 7 2 3 2 4 2 3" xfId="20950" xr:uid="{00000000-0005-0000-0000-00006A830000}"/>
    <cellStyle name="Comma 7 2 3 2 4 2 3 2" xfId="49956" xr:uid="{00000000-0005-0000-0000-00006B830000}"/>
    <cellStyle name="Comma 7 2 3 2 4 2 4" xfId="35457" xr:uid="{00000000-0005-0000-0000-00006C830000}"/>
    <cellStyle name="Comma 7 2 3 2 4 3" xfId="10560" xr:uid="{00000000-0005-0000-0000-00006D830000}"/>
    <cellStyle name="Comma 7 2 3 2 4 3 2" xfId="25094" xr:uid="{00000000-0005-0000-0000-00006E830000}"/>
    <cellStyle name="Comma 7 2 3 2 4 3 2 2" xfId="54100" xr:uid="{00000000-0005-0000-0000-00006F830000}"/>
    <cellStyle name="Comma 7 2 3 2 4 3 3" xfId="39601" xr:uid="{00000000-0005-0000-0000-000070830000}"/>
    <cellStyle name="Comma 7 2 3 2 4 4" xfId="17846" xr:uid="{00000000-0005-0000-0000-000071830000}"/>
    <cellStyle name="Comma 7 2 3 2 4 4 2" xfId="46852" xr:uid="{00000000-0005-0000-0000-000072830000}"/>
    <cellStyle name="Comma 7 2 3 2 4 5" xfId="32353" xr:uid="{00000000-0005-0000-0000-000073830000}"/>
    <cellStyle name="Comma 7 2 3 2 5" xfId="4320" xr:uid="{00000000-0005-0000-0000-000074830000}"/>
    <cellStyle name="Comma 7 2 3 2 5 2" xfId="11592" xr:uid="{00000000-0005-0000-0000-000075830000}"/>
    <cellStyle name="Comma 7 2 3 2 5 2 2" xfId="26126" xr:uid="{00000000-0005-0000-0000-000076830000}"/>
    <cellStyle name="Comma 7 2 3 2 5 2 2 2" xfId="55132" xr:uid="{00000000-0005-0000-0000-000077830000}"/>
    <cellStyle name="Comma 7 2 3 2 5 2 3" xfId="40633" xr:uid="{00000000-0005-0000-0000-000078830000}"/>
    <cellStyle name="Comma 7 2 3 2 5 3" xfId="18878" xr:uid="{00000000-0005-0000-0000-000079830000}"/>
    <cellStyle name="Comma 7 2 3 2 5 3 2" xfId="47884" xr:uid="{00000000-0005-0000-0000-00007A830000}"/>
    <cellStyle name="Comma 7 2 3 2 5 4" xfId="33385" xr:uid="{00000000-0005-0000-0000-00007B830000}"/>
    <cellStyle name="Comma 7 2 3 2 6" xfId="7424" xr:uid="{00000000-0005-0000-0000-00007C830000}"/>
    <cellStyle name="Comma 7 2 3 2 6 2" xfId="14696" xr:uid="{00000000-0005-0000-0000-00007D830000}"/>
    <cellStyle name="Comma 7 2 3 2 6 2 2" xfId="29230" xr:uid="{00000000-0005-0000-0000-00007E830000}"/>
    <cellStyle name="Comma 7 2 3 2 6 2 2 2" xfId="58236" xr:uid="{00000000-0005-0000-0000-00007F830000}"/>
    <cellStyle name="Comma 7 2 3 2 6 2 3" xfId="43737" xr:uid="{00000000-0005-0000-0000-000080830000}"/>
    <cellStyle name="Comma 7 2 3 2 6 3" xfId="21982" xr:uid="{00000000-0005-0000-0000-000081830000}"/>
    <cellStyle name="Comma 7 2 3 2 6 3 2" xfId="50988" xr:uid="{00000000-0005-0000-0000-000082830000}"/>
    <cellStyle name="Comma 7 2 3 2 6 4" xfId="36489" xr:uid="{00000000-0005-0000-0000-000083830000}"/>
    <cellStyle name="Comma 7 2 3 2 7" xfId="8488" xr:uid="{00000000-0005-0000-0000-000084830000}"/>
    <cellStyle name="Comma 7 2 3 2 7 2" xfId="23022" xr:uid="{00000000-0005-0000-0000-000085830000}"/>
    <cellStyle name="Comma 7 2 3 2 7 2 2" xfId="52028" xr:uid="{00000000-0005-0000-0000-000086830000}"/>
    <cellStyle name="Comma 7 2 3 2 7 3" xfId="37529" xr:uid="{00000000-0005-0000-0000-000087830000}"/>
    <cellStyle name="Comma 7 2 3 2 8" xfId="15774" xr:uid="{00000000-0005-0000-0000-000088830000}"/>
    <cellStyle name="Comma 7 2 3 2 8 2" xfId="44780" xr:uid="{00000000-0005-0000-0000-000089830000}"/>
    <cellStyle name="Comma 7 2 3 2 9" xfId="30281" xr:uid="{00000000-0005-0000-0000-00008A830000}"/>
    <cellStyle name="Comma 7 2 3 3" xfId="1404" xr:uid="{00000000-0005-0000-0000-00008B830000}"/>
    <cellStyle name="Comma 7 2 3 3 2" xfId="2462" xr:uid="{00000000-0005-0000-0000-00008C830000}"/>
    <cellStyle name="Comma 7 2 3 3 2 2" xfId="5566" xr:uid="{00000000-0005-0000-0000-00008D830000}"/>
    <cellStyle name="Comma 7 2 3 3 2 2 2" xfId="12838" xr:uid="{00000000-0005-0000-0000-00008E830000}"/>
    <cellStyle name="Comma 7 2 3 3 2 2 2 2" xfId="27372" xr:uid="{00000000-0005-0000-0000-00008F830000}"/>
    <cellStyle name="Comma 7 2 3 3 2 2 2 2 2" xfId="56378" xr:uid="{00000000-0005-0000-0000-000090830000}"/>
    <cellStyle name="Comma 7 2 3 3 2 2 2 3" xfId="41879" xr:uid="{00000000-0005-0000-0000-000091830000}"/>
    <cellStyle name="Comma 7 2 3 3 2 2 3" xfId="20124" xr:uid="{00000000-0005-0000-0000-000092830000}"/>
    <cellStyle name="Comma 7 2 3 3 2 2 3 2" xfId="49130" xr:uid="{00000000-0005-0000-0000-000093830000}"/>
    <cellStyle name="Comma 7 2 3 3 2 2 4" xfId="34631" xr:uid="{00000000-0005-0000-0000-000094830000}"/>
    <cellStyle name="Comma 7 2 3 3 2 3" xfId="9734" xr:uid="{00000000-0005-0000-0000-000095830000}"/>
    <cellStyle name="Comma 7 2 3 3 2 3 2" xfId="24268" xr:uid="{00000000-0005-0000-0000-000096830000}"/>
    <cellStyle name="Comma 7 2 3 3 2 3 2 2" xfId="53274" xr:uid="{00000000-0005-0000-0000-000097830000}"/>
    <cellStyle name="Comma 7 2 3 3 2 3 3" xfId="38775" xr:uid="{00000000-0005-0000-0000-000098830000}"/>
    <cellStyle name="Comma 7 2 3 3 2 4" xfId="17020" xr:uid="{00000000-0005-0000-0000-000099830000}"/>
    <cellStyle name="Comma 7 2 3 3 2 4 2" xfId="46026" xr:uid="{00000000-0005-0000-0000-00009A830000}"/>
    <cellStyle name="Comma 7 2 3 3 2 5" xfId="31527" xr:uid="{00000000-0005-0000-0000-00009B830000}"/>
    <cellStyle name="Comma 7 2 3 3 3" xfId="3494" xr:uid="{00000000-0005-0000-0000-00009C830000}"/>
    <cellStyle name="Comma 7 2 3 3 3 2" xfId="6598" xr:uid="{00000000-0005-0000-0000-00009D830000}"/>
    <cellStyle name="Comma 7 2 3 3 3 2 2" xfId="13870" xr:uid="{00000000-0005-0000-0000-00009E830000}"/>
    <cellStyle name="Comma 7 2 3 3 3 2 2 2" xfId="28404" xr:uid="{00000000-0005-0000-0000-00009F830000}"/>
    <cellStyle name="Comma 7 2 3 3 3 2 2 2 2" xfId="57410" xr:uid="{00000000-0005-0000-0000-0000A0830000}"/>
    <cellStyle name="Comma 7 2 3 3 3 2 2 3" xfId="42911" xr:uid="{00000000-0005-0000-0000-0000A1830000}"/>
    <cellStyle name="Comma 7 2 3 3 3 2 3" xfId="21156" xr:uid="{00000000-0005-0000-0000-0000A2830000}"/>
    <cellStyle name="Comma 7 2 3 3 3 2 3 2" xfId="50162" xr:uid="{00000000-0005-0000-0000-0000A3830000}"/>
    <cellStyle name="Comma 7 2 3 3 3 2 4" xfId="35663" xr:uid="{00000000-0005-0000-0000-0000A4830000}"/>
    <cellStyle name="Comma 7 2 3 3 3 3" xfId="10766" xr:uid="{00000000-0005-0000-0000-0000A5830000}"/>
    <cellStyle name="Comma 7 2 3 3 3 3 2" xfId="25300" xr:uid="{00000000-0005-0000-0000-0000A6830000}"/>
    <cellStyle name="Comma 7 2 3 3 3 3 2 2" xfId="54306" xr:uid="{00000000-0005-0000-0000-0000A7830000}"/>
    <cellStyle name="Comma 7 2 3 3 3 3 3" xfId="39807" xr:uid="{00000000-0005-0000-0000-0000A8830000}"/>
    <cellStyle name="Comma 7 2 3 3 3 4" xfId="18052" xr:uid="{00000000-0005-0000-0000-0000A9830000}"/>
    <cellStyle name="Comma 7 2 3 3 3 4 2" xfId="47058" xr:uid="{00000000-0005-0000-0000-0000AA830000}"/>
    <cellStyle name="Comma 7 2 3 3 3 5" xfId="32559" xr:uid="{00000000-0005-0000-0000-0000AB830000}"/>
    <cellStyle name="Comma 7 2 3 3 4" xfId="4526" xr:uid="{00000000-0005-0000-0000-0000AC830000}"/>
    <cellStyle name="Comma 7 2 3 3 4 2" xfId="11798" xr:uid="{00000000-0005-0000-0000-0000AD830000}"/>
    <cellStyle name="Comma 7 2 3 3 4 2 2" xfId="26332" xr:uid="{00000000-0005-0000-0000-0000AE830000}"/>
    <cellStyle name="Comma 7 2 3 3 4 2 2 2" xfId="55338" xr:uid="{00000000-0005-0000-0000-0000AF830000}"/>
    <cellStyle name="Comma 7 2 3 3 4 2 3" xfId="40839" xr:uid="{00000000-0005-0000-0000-0000B0830000}"/>
    <cellStyle name="Comma 7 2 3 3 4 3" xfId="19084" xr:uid="{00000000-0005-0000-0000-0000B1830000}"/>
    <cellStyle name="Comma 7 2 3 3 4 3 2" xfId="48090" xr:uid="{00000000-0005-0000-0000-0000B2830000}"/>
    <cellStyle name="Comma 7 2 3 3 4 4" xfId="33591" xr:uid="{00000000-0005-0000-0000-0000B3830000}"/>
    <cellStyle name="Comma 7 2 3 3 5" xfId="7630" xr:uid="{00000000-0005-0000-0000-0000B4830000}"/>
    <cellStyle name="Comma 7 2 3 3 5 2" xfId="14902" xr:uid="{00000000-0005-0000-0000-0000B5830000}"/>
    <cellStyle name="Comma 7 2 3 3 5 2 2" xfId="29436" xr:uid="{00000000-0005-0000-0000-0000B6830000}"/>
    <cellStyle name="Comma 7 2 3 3 5 2 2 2" xfId="58442" xr:uid="{00000000-0005-0000-0000-0000B7830000}"/>
    <cellStyle name="Comma 7 2 3 3 5 2 3" xfId="43943" xr:uid="{00000000-0005-0000-0000-0000B8830000}"/>
    <cellStyle name="Comma 7 2 3 3 5 3" xfId="22188" xr:uid="{00000000-0005-0000-0000-0000B9830000}"/>
    <cellStyle name="Comma 7 2 3 3 5 3 2" xfId="51194" xr:uid="{00000000-0005-0000-0000-0000BA830000}"/>
    <cellStyle name="Comma 7 2 3 3 5 4" xfId="36695" xr:uid="{00000000-0005-0000-0000-0000BB830000}"/>
    <cellStyle name="Comma 7 2 3 3 6" xfId="8694" xr:uid="{00000000-0005-0000-0000-0000BC830000}"/>
    <cellStyle name="Comma 7 2 3 3 6 2" xfId="23228" xr:uid="{00000000-0005-0000-0000-0000BD830000}"/>
    <cellStyle name="Comma 7 2 3 3 6 2 2" xfId="52234" xr:uid="{00000000-0005-0000-0000-0000BE830000}"/>
    <cellStyle name="Comma 7 2 3 3 6 3" xfId="37735" xr:uid="{00000000-0005-0000-0000-0000BF830000}"/>
    <cellStyle name="Comma 7 2 3 3 7" xfId="15980" xr:uid="{00000000-0005-0000-0000-0000C0830000}"/>
    <cellStyle name="Comma 7 2 3 3 7 2" xfId="44986" xr:uid="{00000000-0005-0000-0000-0000C1830000}"/>
    <cellStyle name="Comma 7 2 3 3 8" xfId="30487" xr:uid="{00000000-0005-0000-0000-0000C2830000}"/>
    <cellStyle name="Comma 7 2 3 4" xfId="1950" xr:uid="{00000000-0005-0000-0000-0000C3830000}"/>
    <cellStyle name="Comma 7 2 3 4 2" xfId="5054" xr:uid="{00000000-0005-0000-0000-0000C4830000}"/>
    <cellStyle name="Comma 7 2 3 4 2 2" xfId="12326" xr:uid="{00000000-0005-0000-0000-0000C5830000}"/>
    <cellStyle name="Comma 7 2 3 4 2 2 2" xfId="26860" xr:uid="{00000000-0005-0000-0000-0000C6830000}"/>
    <cellStyle name="Comma 7 2 3 4 2 2 2 2" xfId="55866" xr:uid="{00000000-0005-0000-0000-0000C7830000}"/>
    <cellStyle name="Comma 7 2 3 4 2 2 3" xfId="41367" xr:uid="{00000000-0005-0000-0000-0000C8830000}"/>
    <cellStyle name="Comma 7 2 3 4 2 3" xfId="19612" xr:uid="{00000000-0005-0000-0000-0000C9830000}"/>
    <cellStyle name="Comma 7 2 3 4 2 3 2" xfId="48618" xr:uid="{00000000-0005-0000-0000-0000CA830000}"/>
    <cellStyle name="Comma 7 2 3 4 2 4" xfId="34119" xr:uid="{00000000-0005-0000-0000-0000CB830000}"/>
    <cellStyle name="Comma 7 2 3 4 3" xfId="9222" xr:uid="{00000000-0005-0000-0000-0000CC830000}"/>
    <cellStyle name="Comma 7 2 3 4 3 2" xfId="23756" xr:uid="{00000000-0005-0000-0000-0000CD830000}"/>
    <cellStyle name="Comma 7 2 3 4 3 2 2" xfId="52762" xr:uid="{00000000-0005-0000-0000-0000CE830000}"/>
    <cellStyle name="Comma 7 2 3 4 3 3" xfId="38263" xr:uid="{00000000-0005-0000-0000-0000CF830000}"/>
    <cellStyle name="Comma 7 2 3 4 4" xfId="16508" xr:uid="{00000000-0005-0000-0000-0000D0830000}"/>
    <cellStyle name="Comma 7 2 3 4 4 2" xfId="45514" xr:uid="{00000000-0005-0000-0000-0000D1830000}"/>
    <cellStyle name="Comma 7 2 3 4 5" xfId="31015" xr:uid="{00000000-0005-0000-0000-0000D2830000}"/>
    <cellStyle name="Comma 7 2 3 5" xfId="2982" xr:uid="{00000000-0005-0000-0000-0000D3830000}"/>
    <cellStyle name="Comma 7 2 3 5 2" xfId="6086" xr:uid="{00000000-0005-0000-0000-0000D4830000}"/>
    <cellStyle name="Comma 7 2 3 5 2 2" xfId="13358" xr:uid="{00000000-0005-0000-0000-0000D5830000}"/>
    <cellStyle name="Comma 7 2 3 5 2 2 2" xfId="27892" xr:uid="{00000000-0005-0000-0000-0000D6830000}"/>
    <cellStyle name="Comma 7 2 3 5 2 2 2 2" xfId="56898" xr:uid="{00000000-0005-0000-0000-0000D7830000}"/>
    <cellStyle name="Comma 7 2 3 5 2 2 3" xfId="42399" xr:uid="{00000000-0005-0000-0000-0000D8830000}"/>
    <cellStyle name="Comma 7 2 3 5 2 3" xfId="20644" xr:uid="{00000000-0005-0000-0000-0000D9830000}"/>
    <cellStyle name="Comma 7 2 3 5 2 3 2" xfId="49650" xr:uid="{00000000-0005-0000-0000-0000DA830000}"/>
    <cellStyle name="Comma 7 2 3 5 2 4" xfId="35151" xr:uid="{00000000-0005-0000-0000-0000DB830000}"/>
    <cellStyle name="Comma 7 2 3 5 3" xfId="10254" xr:uid="{00000000-0005-0000-0000-0000DC830000}"/>
    <cellStyle name="Comma 7 2 3 5 3 2" xfId="24788" xr:uid="{00000000-0005-0000-0000-0000DD830000}"/>
    <cellStyle name="Comma 7 2 3 5 3 2 2" xfId="53794" xr:uid="{00000000-0005-0000-0000-0000DE830000}"/>
    <cellStyle name="Comma 7 2 3 5 3 3" xfId="39295" xr:uid="{00000000-0005-0000-0000-0000DF830000}"/>
    <cellStyle name="Comma 7 2 3 5 4" xfId="17540" xr:uid="{00000000-0005-0000-0000-0000E0830000}"/>
    <cellStyle name="Comma 7 2 3 5 4 2" xfId="46546" xr:uid="{00000000-0005-0000-0000-0000E1830000}"/>
    <cellStyle name="Comma 7 2 3 5 5" xfId="32047" xr:uid="{00000000-0005-0000-0000-0000E2830000}"/>
    <cellStyle name="Comma 7 2 3 6" xfId="4014" xr:uid="{00000000-0005-0000-0000-0000E3830000}"/>
    <cellStyle name="Comma 7 2 3 6 2" xfId="11286" xr:uid="{00000000-0005-0000-0000-0000E4830000}"/>
    <cellStyle name="Comma 7 2 3 6 2 2" xfId="25820" xr:uid="{00000000-0005-0000-0000-0000E5830000}"/>
    <cellStyle name="Comma 7 2 3 6 2 2 2" xfId="54826" xr:uid="{00000000-0005-0000-0000-0000E6830000}"/>
    <cellStyle name="Comma 7 2 3 6 2 3" xfId="40327" xr:uid="{00000000-0005-0000-0000-0000E7830000}"/>
    <cellStyle name="Comma 7 2 3 6 3" xfId="18572" xr:uid="{00000000-0005-0000-0000-0000E8830000}"/>
    <cellStyle name="Comma 7 2 3 6 3 2" xfId="47578" xr:uid="{00000000-0005-0000-0000-0000E9830000}"/>
    <cellStyle name="Comma 7 2 3 6 4" xfId="33079" xr:uid="{00000000-0005-0000-0000-0000EA830000}"/>
    <cellStyle name="Comma 7 2 3 7" xfId="7118" xr:uid="{00000000-0005-0000-0000-0000EB830000}"/>
    <cellStyle name="Comma 7 2 3 7 2" xfId="14390" xr:uid="{00000000-0005-0000-0000-0000EC830000}"/>
    <cellStyle name="Comma 7 2 3 7 2 2" xfId="28924" xr:uid="{00000000-0005-0000-0000-0000ED830000}"/>
    <cellStyle name="Comma 7 2 3 7 2 2 2" xfId="57930" xr:uid="{00000000-0005-0000-0000-0000EE830000}"/>
    <cellStyle name="Comma 7 2 3 7 2 3" xfId="43431" xr:uid="{00000000-0005-0000-0000-0000EF830000}"/>
    <cellStyle name="Comma 7 2 3 7 3" xfId="21676" xr:uid="{00000000-0005-0000-0000-0000F0830000}"/>
    <cellStyle name="Comma 7 2 3 7 3 2" xfId="50682" xr:uid="{00000000-0005-0000-0000-0000F1830000}"/>
    <cellStyle name="Comma 7 2 3 7 4" xfId="36183" xr:uid="{00000000-0005-0000-0000-0000F2830000}"/>
    <cellStyle name="Comma 7 2 3 8" xfId="8182" xr:uid="{00000000-0005-0000-0000-0000F3830000}"/>
    <cellStyle name="Comma 7 2 3 8 2" xfId="22716" xr:uid="{00000000-0005-0000-0000-0000F4830000}"/>
    <cellStyle name="Comma 7 2 3 8 2 2" xfId="51722" xr:uid="{00000000-0005-0000-0000-0000F5830000}"/>
    <cellStyle name="Comma 7 2 3 8 3" xfId="37223" xr:uid="{00000000-0005-0000-0000-0000F6830000}"/>
    <cellStyle name="Comma 7 2 3 9" xfId="15468" xr:uid="{00000000-0005-0000-0000-0000F7830000}"/>
    <cellStyle name="Comma 7 2 3 9 2" xfId="44474" xr:uid="{00000000-0005-0000-0000-0000F8830000}"/>
    <cellStyle name="Comma 7 2 4" xfId="1109" xr:uid="{00000000-0005-0000-0000-0000F9830000}"/>
    <cellStyle name="Comma 7 2 4 10" xfId="59539" xr:uid="{00000000-0005-0000-0000-0000FA830000}"/>
    <cellStyle name="Comma 7 2 4 2" xfId="1606" xr:uid="{00000000-0005-0000-0000-0000FB830000}"/>
    <cellStyle name="Comma 7 2 4 2 2" xfId="2665" xr:uid="{00000000-0005-0000-0000-0000FC830000}"/>
    <cellStyle name="Comma 7 2 4 2 2 2" xfId="5769" xr:uid="{00000000-0005-0000-0000-0000FD830000}"/>
    <cellStyle name="Comma 7 2 4 2 2 2 2" xfId="13041" xr:uid="{00000000-0005-0000-0000-0000FE830000}"/>
    <cellStyle name="Comma 7 2 4 2 2 2 2 2" xfId="27575" xr:uid="{00000000-0005-0000-0000-0000FF830000}"/>
    <cellStyle name="Comma 7 2 4 2 2 2 2 2 2" xfId="56581" xr:uid="{00000000-0005-0000-0000-000000840000}"/>
    <cellStyle name="Comma 7 2 4 2 2 2 2 3" xfId="42082" xr:uid="{00000000-0005-0000-0000-000001840000}"/>
    <cellStyle name="Comma 7 2 4 2 2 2 3" xfId="20327" xr:uid="{00000000-0005-0000-0000-000002840000}"/>
    <cellStyle name="Comma 7 2 4 2 2 2 3 2" xfId="49333" xr:uid="{00000000-0005-0000-0000-000003840000}"/>
    <cellStyle name="Comma 7 2 4 2 2 2 4" xfId="34834" xr:uid="{00000000-0005-0000-0000-000004840000}"/>
    <cellStyle name="Comma 7 2 4 2 2 3" xfId="9937" xr:uid="{00000000-0005-0000-0000-000005840000}"/>
    <cellStyle name="Comma 7 2 4 2 2 3 2" xfId="24471" xr:uid="{00000000-0005-0000-0000-000006840000}"/>
    <cellStyle name="Comma 7 2 4 2 2 3 2 2" xfId="53477" xr:uid="{00000000-0005-0000-0000-000007840000}"/>
    <cellStyle name="Comma 7 2 4 2 2 3 3" xfId="38978" xr:uid="{00000000-0005-0000-0000-000008840000}"/>
    <cellStyle name="Comma 7 2 4 2 2 4" xfId="17223" xr:uid="{00000000-0005-0000-0000-000009840000}"/>
    <cellStyle name="Comma 7 2 4 2 2 4 2" xfId="46229" xr:uid="{00000000-0005-0000-0000-00000A840000}"/>
    <cellStyle name="Comma 7 2 4 2 2 5" xfId="31730" xr:uid="{00000000-0005-0000-0000-00000B840000}"/>
    <cellStyle name="Comma 7 2 4 2 3" xfId="3697" xr:uid="{00000000-0005-0000-0000-00000C840000}"/>
    <cellStyle name="Comma 7 2 4 2 3 2" xfId="6801" xr:uid="{00000000-0005-0000-0000-00000D840000}"/>
    <cellStyle name="Comma 7 2 4 2 3 2 2" xfId="14073" xr:uid="{00000000-0005-0000-0000-00000E840000}"/>
    <cellStyle name="Comma 7 2 4 2 3 2 2 2" xfId="28607" xr:uid="{00000000-0005-0000-0000-00000F840000}"/>
    <cellStyle name="Comma 7 2 4 2 3 2 2 2 2" xfId="57613" xr:uid="{00000000-0005-0000-0000-000010840000}"/>
    <cellStyle name="Comma 7 2 4 2 3 2 2 3" xfId="43114" xr:uid="{00000000-0005-0000-0000-000011840000}"/>
    <cellStyle name="Comma 7 2 4 2 3 2 3" xfId="21359" xr:uid="{00000000-0005-0000-0000-000012840000}"/>
    <cellStyle name="Comma 7 2 4 2 3 2 3 2" xfId="50365" xr:uid="{00000000-0005-0000-0000-000013840000}"/>
    <cellStyle name="Comma 7 2 4 2 3 2 4" xfId="35866" xr:uid="{00000000-0005-0000-0000-000014840000}"/>
    <cellStyle name="Comma 7 2 4 2 3 3" xfId="10969" xr:uid="{00000000-0005-0000-0000-000015840000}"/>
    <cellStyle name="Comma 7 2 4 2 3 3 2" xfId="25503" xr:uid="{00000000-0005-0000-0000-000016840000}"/>
    <cellStyle name="Comma 7 2 4 2 3 3 2 2" xfId="54509" xr:uid="{00000000-0005-0000-0000-000017840000}"/>
    <cellStyle name="Comma 7 2 4 2 3 3 3" xfId="40010" xr:uid="{00000000-0005-0000-0000-000018840000}"/>
    <cellStyle name="Comma 7 2 4 2 3 4" xfId="18255" xr:uid="{00000000-0005-0000-0000-000019840000}"/>
    <cellStyle name="Comma 7 2 4 2 3 4 2" xfId="47261" xr:uid="{00000000-0005-0000-0000-00001A840000}"/>
    <cellStyle name="Comma 7 2 4 2 3 5" xfId="32762" xr:uid="{00000000-0005-0000-0000-00001B840000}"/>
    <cellStyle name="Comma 7 2 4 2 4" xfId="4729" xr:uid="{00000000-0005-0000-0000-00001C840000}"/>
    <cellStyle name="Comma 7 2 4 2 4 2" xfId="12001" xr:uid="{00000000-0005-0000-0000-00001D840000}"/>
    <cellStyle name="Comma 7 2 4 2 4 2 2" xfId="26535" xr:uid="{00000000-0005-0000-0000-00001E840000}"/>
    <cellStyle name="Comma 7 2 4 2 4 2 2 2" xfId="55541" xr:uid="{00000000-0005-0000-0000-00001F840000}"/>
    <cellStyle name="Comma 7 2 4 2 4 2 3" xfId="41042" xr:uid="{00000000-0005-0000-0000-000020840000}"/>
    <cellStyle name="Comma 7 2 4 2 4 3" xfId="19287" xr:uid="{00000000-0005-0000-0000-000021840000}"/>
    <cellStyle name="Comma 7 2 4 2 4 3 2" xfId="48293" xr:uid="{00000000-0005-0000-0000-000022840000}"/>
    <cellStyle name="Comma 7 2 4 2 4 4" xfId="33794" xr:uid="{00000000-0005-0000-0000-000023840000}"/>
    <cellStyle name="Comma 7 2 4 2 5" xfId="7833" xr:uid="{00000000-0005-0000-0000-000024840000}"/>
    <cellStyle name="Comma 7 2 4 2 5 2" xfId="15105" xr:uid="{00000000-0005-0000-0000-000025840000}"/>
    <cellStyle name="Comma 7 2 4 2 5 2 2" xfId="29639" xr:uid="{00000000-0005-0000-0000-000026840000}"/>
    <cellStyle name="Comma 7 2 4 2 5 2 2 2" xfId="58645" xr:uid="{00000000-0005-0000-0000-000027840000}"/>
    <cellStyle name="Comma 7 2 4 2 5 2 3" xfId="44146" xr:uid="{00000000-0005-0000-0000-000028840000}"/>
    <cellStyle name="Comma 7 2 4 2 5 3" xfId="22391" xr:uid="{00000000-0005-0000-0000-000029840000}"/>
    <cellStyle name="Comma 7 2 4 2 5 3 2" xfId="51397" xr:uid="{00000000-0005-0000-0000-00002A840000}"/>
    <cellStyle name="Comma 7 2 4 2 5 4" xfId="36898" xr:uid="{00000000-0005-0000-0000-00002B840000}"/>
    <cellStyle name="Comma 7 2 4 2 6" xfId="8897" xr:uid="{00000000-0005-0000-0000-00002C840000}"/>
    <cellStyle name="Comma 7 2 4 2 6 2" xfId="23431" xr:uid="{00000000-0005-0000-0000-00002D840000}"/>
    <cellStyle name="Comma 7 2 4 2 6 2 2" xfId="52437" xr:uid="{00000000-0005-0000-0000-00002E840000}"/>
    <cellStyle name="Comma 7 2 4 2 6 3" xfId="37938" xr:uid="{00000000-0005-0000-0000-00002F840000}"/>
    <cellStyle name="Comma 7 2 4 2 7" xfId="16183" xr:uid="{00000000-0005-0000-0000-000030840000}"/>
    <cellStyle name="Comma 7 2 4 2 7 2" xfId="45189" xr:uid="{00000000-0005-0000-0000-000031840000}"/>
    <cellStyle name="Comma 7 2 4 2 8" xfId="30690" xr:uid="{00000000-0005-0000-0000-000032840000}"/>
    <cellStyle name="Comma 7 2 4 3" xfId="2153" xr:uid="{00000000-0005-0000-0000-000033840000}"/>
    <cellStyle name="Comma 7 2 4 3 2" xfId="5257" xr:uid="{00000000-0005-0000-0000-000034840000}"/>
    <cellStyle name="Comma 7 2 4 3 2 2" xfId="12529" xr:uid="{00000000-0005-0000-0000-000035840000}"/>
    <cellStyle name="Comma 7 2 4 3 2 2 2" xfId="27063" xr:uid="{00000000-0005-0000-0000-000036840000}"/>
    <cellStyle name="Comma 7 2 4 3 2 2 2 2" xfId="56069" xr:uid="{00000000-0005-0000-0000-000037840000}"/>
    <cellStyle name="Comma 7 2 4 3 2 2 3" xfId="41570" xr:uid="{00000000-0005-0000-0000-000038840000}"/>
    <cellStyle name="Comma 7 2 4 3 2 3" xfId="19815" xr:uid="{00000000-0005-0000-0000-000039840000}"/>
    <cellStyle name="Comma 7 2 4 3 2 3 2" xfId="48821" xr:uid="{00000000-0005-0000-0000-00003A840000}"/>
    <cellStyle name="Comma 7 2 4 3 2 4" xfId="34322" xr:uid="{00000000-0005-0000-0000-00003B840000}"/>
    <cellStyle name="Comma 7 2 4 3 3" xfId="9425" xr:uid="{00000000-0005-0000-0000-00003C840000}"/>
    <cellStyle name="Comma 7 2 4 3 3 2" xfId="23959" xr:uid="{00000000-0005-0000-0000-00003D840000}"/>
    <cellStyle name="Comma 7 2 4 3 3 2 2" xfId="52965" xr:uid="{00000000-0005-0000-0000-00003E840000}"/>
    <cellStyle name="Comma 7 2 4 3 3 3" xfId="38466" xr:uid="{00000000-0005-0000-0000-00003F840000}"/>
    <cellStyle name="Comma 7 2 4 3 4" xfId="16711" xr:uid="{00000000-0005-0000-0000-000040840000}"/>
    <cellStyle name="Comma 7 2 4 3 4 2" xfId="45717" xr:uid="{00000000-0005-0000-0000-000041840000}"/>
    <cellStyle name="Comma 7 2 4 3 5" xfId="31218" xr:uid="{00000000-0005-0000-0000-000042840000}"/>
    <cellStyle name="Comma 7 2 4 4" xfId="3185" xr:uid="{00000000-0005-0000-0000-000043840000}"/>
    <cellStyle name="Comma 7 2 4 4 2" xfId="6289" xr:uid="{00000000-0005-0000-0000-000044840000}"/>
    <cellStyle name="Comma 7 2 4 4 2 2" xfId="13561" xr:uid="{00000000-0005-0000-0000-000045840000}"/>
    <cellStyle name="Comma 7 2 4 4 2 2 2" xfId="28095" xr:uid="{00000000-0005-0000-0000-000046840000}"/>
    <cellStyle name="Comma 7 2 4 4 2 2 2 2" xfId="57101" xr:uid="{00000000-0005-0000-0000-000047840000}"/>
    <cellStyle name="Comma 7 2 4 4 2 2 3" xfId="42602" xr:uid="{00000000-0005-0000-0000-000048840000}"/>
    <cellStyle name="Comma 7 2 4 4 2 3" xfId="20847" xr:uid="{00000000-0005-0000-0000-000049840000}"/>
    <cellStyle name="Comma 7 2 4 4 2 3 2" xfId="49853" xr:uid="{00000000-0005-0000-0000-00004A840000}"/>
    <cellStyle name="Comma 7 2 4 4 2 4" xfId="35354" xr:uid="{00000000-0005-0000-0000-00004B840000}"/>
    <cellStyle name="Comma 7 2 4 4 3" xfId="10457" xr:uid="{00000000-0005-0000-0000-00004C840000}"/>
    <cellStyle name="Comma 7 2 4 4 3 2" xfId="24991" xr:uid="{00000000-0005-0000-0000-00004D840000}"/>
    <cellStyle name="Comma 7 2 4 4 3 2 2" xfId="53997" xr:uid="{00000000-0005-0000-0000-00004E840000}"/>
    <cellStyle name="Comma 7 2 4 4 3 3" xfId="39498" xr:uid="{00000000-0005-0000-0000-00004F840000}"/>
    <cellStyle name="Comma 7 2 4 4 4" xfId="17743" xr:uid="{00000000-0005-0000-0000-000050840000}"/>
    <cellStyle name="Comma 7 2 4 4 4 2" xfId="46749" xr:uid="{00000000-0005-0000-0000-000051840000}"/>
    <cellStyle name="Comma 7 2 4 4 5" xfId="32250" xr:uid="{00000000-0005-0000-0000-000052840000}"/>
    <cellStyle name="Comma 7 2 4 5" xfId="4217" xr:uid="{00000000-0005-0000-0000-000053840000}"/>
    <cellStyle name="Comma 7 2 4 5 2" xfId="11489" xr:uid="{00000000-0005-0000-0000-000054840000}"/>
    <cellStyle name="Comma 7 2 4 5 2 2" xfId="26023" xr:uid="{00000000-0005-0000-0000-000055840000}"/>
    <cellStyle name="Comma 7 2 4 5 2 2 2" xfId="55029" xr:uid="{00000000-0005-0000-0000-000056840000}"/>
    <cellStyle name="Comma 7 2 4 5 2 3" xfId="40530" xr:uid="{00000000-0005-0000-0000-000057840000}"/>
    <cellStyle name="Comma 7 2 4 5 3" xfId="18775" xr:uid="{00000000-0005-0000-0000-000058840000}"/>
    <cellStyle name="Comma 7 2 4 5 3 2" xfId="47781" xr:uid="{00000000-0005-0000-0000-000059840000}"/>
    <cellStyle name="Comma 7 2 4 5 4" xfId="33282" xr:uid="{00000000-0005-0000-0000-00005A840000}"/>
    <cellStyle name="Comma 7 2 4 6" xfId="7321" xr:uid="{00000000-0005-0000-0000-00005B840000}"/>
    <cellStyle name="Comma 7 2 4 6 2" xfId="14593" xr:uid="{00000000-0005-0000-0000-00005C840000}"/>
    <cellStyle name="Comma 7 2 4 6 2 2" xfId="29127" xr:uid="{00000000-0005-0000-0000-00005D840000}"/>
    <cellStyle name="Comma 7 2 4 6 2 2 2" xfId="58133" xr:uid="{00000000-0005-0000-0000-00005E840000}"/>
    <cellStyle name="Comma 7 2 4 6 2 3" xfId="43634" xr:uid="{00000000-0005-0000-0000-00005F840000}"/>
    <cellStyle name="Comma 7 2 4 6 3" xfId="21879" xr:uid="{00000000-0005-0000-0000-000060840000}"/>
    <cellStyle name="Comma 7 2 4 6 3 2" xfId="50885" xr:uid="{00000000-0005-0000-0000-000061840000}"/>
    <cellStyle name="Comma 7 2 4 6 4" xfId="36386" xr:uid="{00000000-0005-0000-0000-000062840000}"/>
    <cellStyle name="Comma 7 2 4 7" xfId="8385" xr:uid="{00000000-0005-0000-0000-000063840000}"/>
    <cellStyle name="Comma 7 2 4 7 2" xfId="22919" xr:uid="{00000000-0005-0000-0000-000064840000}"/>
    <cellStyle name="Comma 7 2 4 7 2 2" xfId="51925" xr:uid="{00000000-0005-0000-0000-000065840000}"/>
    <cellStyle name="Comma 7 2 4 7 3" xfId="37426" xr:uid="{00000000-0005-0000-0000-000066840000}"/>
    <cellStyle name="Comma 7 2 4 8" xfId="15671" xr:uid="{00000000-0005-0000-0000-000067840000}"/>
    <cellStyle name="Comma 7 2 4 8 2" xfId="44677" xr:uid="{00000000-0005-0000-0000-000068840000}"/>
    <cellStyle name="Comma 7 2 4 9" xfId="30178" xr:uid="{00000000-0005-0000-0000-000069840000}"/>
    <cellStyle name="Comma 7 2 5" xfId="1019" xr:uid="{00000000-0005-0000-0000-00006A840000}"/>
    <cellStyle name="Comma 7 2 5 2" xfId="1507" xr:uid="{00000000-0005-0000-0000-00006B840000}"/>
    <cellStyle name="Comma 7 2 5 2 2" xfId="2565" xr:uid="{00000000-0005-0000-0000-00006C840000}"/>
    <cellStyle name="Comma 7 2 5 2 2 2" xfId="5669" xr:uid="{00000000-0005-0000-0000-00006D840000}"/>
    <cellStyle name="Comma 7 2 5 2 2 2 2" xfId="12941" xr:uid="{00000000-0005-0000-0000-00006E840000}"/>
    <cellStyle name="Comma 7 2 5 2 2 2 2 2" xfId="27475" xr:uid="{00000000-0005-0000-0000-00006F840000}"/>
    <cellStyle name="Comma 7 2 5 2 2 2 2 2 2" xfId="56481" xr:uid="{00000000-0005-0000-0000-000070840000}"/>
    <cellStyle name="Comma 7 2 5 2 2 2 2 3" xfId="41982" xr:uid="{00000000-0005-0000-0000-000071840000}"/>
    <cellStyle name="Comma 7 2 5 2 2 2 3" xfId="20227" xr:uid="{00000000-0005-0000-0000-000072840000}"/>
    <cellStyle name="Comma 7 2 5 2 2 2 3 2" xfId="49233" xr:uid="{00000000-0005-0000-0000-000073840000}"/>
    <cellStyle name="Comma 7 2 5 2 2 2 4" xfId="34734" xr:uid="{00000000-0005-0000-0000-000074840000}"/>
    <cellStyle name="Comma 7 2 5 2 2 3" xfId="9837" xr:uid="{00000000-0005-0000-0000-000075840000}"/>
    <cellStyle name="Comma 7 2 5 2 2 3 2" xfId="24371" xr:uid="{00000000-0005-0000-0000-000076840000}"/>
    <cellStyle name="Comma 7 2 5 2 2 3 2 2" xfId="53377" xr:uid="{00000000-0005-0000-0000-000077840000}"/>
    <cellStyle name="Comma 7 2 5 2 2 3 3" xfId="38878" xr:uid="{00000000-0005-0000-0000-000078840000}"/>
    <cellStyle name="Comma 7 2 5 2 2 4" xfId="17123" xr:uid="{00000000-0005-0000-0000-000079840000}"/>
    <cellStyle name="Comma 7 2 5 2 2 4 2" xfId="46129" xr:uid="{00000000-0005-0000-0000-00007A840000}"/>
    <cellStyle name="Comma 7 2 5 2 2 5" xfId="31630" xr:uid="{00000000-0005-0000-0000-00007B840000}"/>
    <cellStyle name="Comma 7 2 5 2 3" xfId="3597" xr:uid="{00000000-0005-0000-0000-00007C840000}"/>
    <cellStyle name="Comma 7 2 5 2 3 2" xfId="6701" xr:uid="{00000000-0005-0000-0000-00007D840000}"/>
    <cellStyle name="Comma 7 2 5 2 3 2 2" xfId="13973" xr:uid="{00000000-0005-0000-0000-00007E840000}"/>
    <cellStyle name="Comma 7 2 5 2 3 2 2 2" xfId="28507" xr:uid="{00000000-0005-0000-0000-00007F840000}"/>
    <cellStyle name="Comma 7 2 5 2 3 2 2 2 2" xfId="57513" xr:uid="{00000000-0005-0000-0000-000080840000}"/>
    <cellStyle name="Comma 7 2 5 2 3 2 2 3" xfId="43014" xr:uid="{00000000-0005-0000-0000-000081840000}"/>
    <cellStyle name="Comma 7 2 5 2 3 2 3" xfId="21259" xr:uid="{00000000-0005-0000-0000-000082840000}"/>
    <cellStyle name="Comma 7 2 5 2 3 2 3 2" xfId="50265" xr:uid="{00000000-0005-0000-0000-000083840000}"/>
    <cellStyle name="Comma 7 2 5 2 3 2 4" xfId="35766" xr:uid="{00000000-0005-0000-0000-000084840000}"/>
    <cellStyle name="Comma 7 2 5 2 3 3" xfId="10869" xr:uid="{00000000-0005-0000-0000-000085840000}"/>
    <cellStyle name="Comma 7 2 5 2 3 3 2" xfId="25403" xr:uid="{00000000-0005-0000-0000-000086840000}"/>
    <cellStyle name="Comma 7 2 5 2 3 3 2 2" xfId="54409" xr:uid="{00000000-0005-0000-0000-000087840000}"/>
    <cellStyle name="Comma 7 2 5 2 3 3 3" xfId="39910" xr:uid="{00000000-0005-0000-0000-000088840000}"/>
    <cellStyle name="Comma 7 2 5 2 3 4" xfId="18155" xr:uid="{00000000-0005-0000-0000-000089840000}"/>
    <cellStyle name="Comma 7 2 5 2 3 4 2" xfId="47161" xr:uid="{00000000-0005-0000-0000-00008A840000}"/>
    <cellStyle name="Comma 7 2 5 2 3 5" xfId="32662" xr:uid="{00000000-0005-0000-0000-00008B840000}"/>
    <cellStyle name="Comma 7 2 5 2 4" xfId="4629" xr:uid="{00000000-0005-0000-0000-00008C840000}"/>
    <cellStyle name="Comma 7 2 5 2 4 2" xfId="11901" xr:uid="{00000000-0005-0000-0000-00008D840000}"/>
    <cellStyle name="Comma 7 2 5 2 4 2 2" xfId="26435" xr:uid="{00000000-0005-0000-0000-00008E840000}"/>
    <cellStyle name="Comma 7 2 5 2 4 2 2 2" xfId="55441" xr:uid="{00000000-0005-0000-0000-00008F840000}"/>
    <cellStyle name="Comma 7 2 5 2 4 2 3" xfId="40942" xr:uid="{00000000-0005-0000-0000-000090840000}"/>
    <cellStyle name="Comma 7 2 5 2 4 3" xfId="19187" xr:uid="{00000000-0005-0000-0000-000091840000}"/>
    <cellStyle name="Comma 7 2 5 2 4 3 2" xfId="48193" xr:uid="{00000000-0005-0000-0000-000092840000}"/>
    <cellStyle name="Comma 7 2 5 2 4 4" xfId="33694" xr:uid="{00000000-0005-0000-0000-000093840000}"/>
    <cellStyle name="Comma 7 2 5 2 5" xfId="7733" xr:uid="{00000000-0005-0000-0000-000094840000}"/>
    <cellStyle name="Comma 7 2 5 2 5 2" xfId="15005" xr:uid="{00000000-0005-0000-0000-000095840000}"/>
    <cellStyle name="Comma 7 2 5 2 5 2 2" xfId="29539" xr:uid="{00000000-0005-0000-0000-000096840000}"/>
    <cellStyle name="Comma 7 2 5 2 5 2 2 2" xfId="58545" xr:uid="{00000000-0005-0000-0000-000097840000}"/>
    <cellStyle name="Comma 7 2 5 2 5 2 3" xfId="44046" xr:uid="{00000000-0005-0000-0000-000098840000}"/>
    <cellStyle name="Comma 7 2 5 2 5 3" xfId="22291" xr:uid="{00000000-0005-0000-0000-000099840000}"/>
    <cellStyle name="Comma 7 2 5 2 5 3 2" xfId="51297" xr:uid="{00000000-0005-0000-0000-00009A840000}"/>
    <cellStyle name="Comma 7 2 5 2 5 4" xfId="36798" xr:uid="{00000000-0005-0000-0000-00009B840000}"/>
    <cellStyle name="Comma 7 2 5 2 6" xfId="8797" xr:uid="{00000000-0005-0000-0000-00009C840000}"/>
    <cellStyle name="Comma 7 2 5 2 6 2" xfId="23331" xr:uid="{00000000-0005-0000-0000-00009D840000}"/>
    <cellStyle name="Comma 7 2 5 2 6 2 2" xfId="52337" xr:uid="{00000000-0005-0000-0000-00009E840000}"/>
    <cellStyle name="Comma 7 2 5 2 6 3" xfId="37838" xr:uid="{00000000-0005-0000-0000-00009F840000}"/>
    <cellStyle name="Comma 7 2 5 2 7" xfId="16083" xr:uid="{00000000-0005-0000-0000-0000A0840000}"/>
    <cellStyle name="Comma 7 2 5 2 7 2" xfId="45089" xr:uid="{00000000-0005-0000-0000-0000A1840000}"/>
    <cellStyle name="Comma 7 2 5 2 8" xfId="30590" xr:uid="{00000000-0005-0000-0000-0000A2840000}"/>
    <cellStyle name="Comma 7 2 5 3" xfId="2053" xr:uid="{00000000-0005-0000-0000-0000A3840000}"/>
    <cellStyle name="Comma 7 2 5 3 2" xfId="5157" xr:uid="{00000000-0005-0000-0000-0000A4840000}"/>
    <cellStyle name="Comma 7 2 5 3 2 2" xfId="12429" xr:uid="{00000000-0005-0000-0000-0000A5840000}"/>
    <cellStyle name="Comma 7 2 5 3 2 2 2" xfId="26963" xr:uid="{00000000-0005-0000-0000-0000A6840000}"/>
    <cellStyle name="Comma 7 2 5 3 2 2 2 2" xfId="55969" xr:uid="{00000000-0005-0000-0000-0000A7840000}"/>
    <cellStyle name="Comma 7 2 5 3 2 2 3" xfId="41470" xr:uid="{00000000-0005-0000-0000-0000A8840000}"/>
    <cellStyle name="Comma 7 2 5 3 2 3" xfId="19715" xr:uid="{00000000-0005-0000-0000-0000A9840000}"/>
    <cellStyle name="Comma 7 2 5 3 2 3 2" xfId="48721" xr:uid="{00000000-0005-0000-0000-0000AA840000}"/>
    <cellStyle name="Comma 7 2 5 3 2 4" xfId="34222" xr:uid="{00000000-0005-0000-0000-0000AB840000}"/>
    <cellStyle name="Comma 7 2 5 3 3" xfId="9325" xr:uid="{00000000-0005-0000-0000-0000AC840000}"/>
    <cellStyle name="Comma 7 2 5 3 3 2" xfId="23859" xr:uid="{00000000-0005-0000-0000-0000AD840000}"/>
    <cellStyle name="Comma 7 2 5 3 3 2 2" xfId="52865" xr:uid="{00000000-0005-0000-0000-0000AE840000}"/>
    <cellStyle name="Comma 7 2 5 3 3 3" xfId="38366" xr:uid="{00000000-0005-0000-0000-0000AF840000}"/>
    <cellStyle name="Comma 7 2 5 3 4" xfId="16611" xr:uid="{00000000-0005-0000-0000-0000B0840000}"/>
    <cellStyle name="Comma 7 2 5 3 4 2" xfId="45617" xr:uid="{00000000-0005-0000-0000-0000B1840000}"/>
    <cellStyle name="Comma 7 2 5 3 5" xfId="31118" xr:uid="{00000000-0005-0000-0000-0000B2840000}"/>
    <cellStyle name="Comma 7 2 5 4" xfId="3085" xr:uid="{00000000-0005-0000-0000-0000B3840000}"/>
    <cellStyle name="Comma 7 2 5 4 2" xfId="6189" xr:uid="{00000000-0005-0000-0000-0000B4840000}"/>
    <cellStyle name="Comma 7 2 5 4 2 2" xfId="13461" xr:uid="{00000000-0005-0000-0000-0000B5840000}"/>
    <cellStyle name="Comma 7 2 5 4 2 2 2" xfId="27995" xr:uid="{00000000-0005-0000-0000-0000B6840000}"/>
    <cellStyle name="Comma 7 2 5 4 2 2 2 2" xfId="57001" xr:uid="{00000000-0005-0000-0000-0000B7840000}"/>
    <cellStyle name="Comma 7 2 5 4 2 2 3" xfId="42502" xr:uid="{00000000-0005-0000-0000-0000B8840000}"/>
    <cellStyle name="Comma 7 2 5 4 2 3" xfId="20747" xr:uid="{00000000-0005-0000-0000-0000B9840000}"/>
    <cellStyle name="Comma 7 2 5 4 2 3 2" xfId="49753" xr:uid="{00000000-0005-0000-0000-0000BA840000}"/>
    <cellStyle name="Comma 7 2 5 4 2 4" xfId="35254" xr:uid="{00000000-0005-0000-0000-0000BB840000}"/>
    <cellStyle name="Comma 7 2 5 4 3" xfId="10357" xr:uid="{00000000-0005-0000-0000-0000BC840000}"/>
    <cellStyle name="Comma 7 2 5 4 3 2" xfId="24891" xr:uid="{00000000-0005-0000-0000-0000BD840000}"/>
    <cellStyle name="Comma 7 2 5 4 3 2 2" xfId="53897" xr:uid="{00000000-0005-0000-0000-0000BE840000}"/>
    <cellStyle name="Comma 7 2 5 4 3 3" xfId="39398" xr:uid="{00000000-0005-0000-0000-0000BF840000}"/>
    <cellStyle name="Comma 7 2 5 4 4" xfId="17643" xr:uid="{00000000-0005-0000-0000-0000C0840000}"/>
    <cellStyle name="Comma 7 2 5 4 4 2" xfId="46649" xr:uid="{00000000-0005-0000-0000-0000C1840000}"/>
    <cellStyle name="Comma 7 2 5 4 5" xfId="32150" xr:uid="{00000000-0005-0000-0000-0000C2840000}"/>
    <cellStyle name="Comma 7 2 5 5" xfId="4117" xr:uid="{00000000-0005-0000-0000-0000C3840000}"/>
    <cellStyle name="Comma 7 2 5 5 2" xfId="11389" xr:uid="{00000000-0005-0000-0000-0000C4840000}"/>
    <cellStyle name="Comma 7 2 5 5 2 2" xfId="25923" xr:uid="{00000000-0005-0000-0000-0000C5840000}"/>
    <cellStyle name="Comma 7 2 5 5 2 2 2" xfId="54929" xr:uid="{00000000-0005-0000-0000-0000C6840000}"/>
    <cellStyle name="Comma 7 2 5 5 2 3" xfId="40430" xr:uid="{00000000-0005-0000-0000-0000C7840000}"/>
    <cellStyle name="Comma 7 2 5 5 3" xfId="18675" xr:uid="{00000000-0005-0000-0000-0000C8840000}"/>
    <cellStyle name="Comma 7 2 5 5 3 2" xfId="47681" xr:uid="{00000000-0005-0000-0000-0000C9840000}"/>
    <cellStyle name="Comma 7 2 5 5 4" xfId="33182" xr:uid="{00000000-0005-0000-0000-0000CA840000}"/>
    <cellStyle name="Comma 7 2 5 6" xfId="7221" xr:uid="{00000000-0005-0000-0000-0000CB840000}"/>
    <cellStyle name="Comma 7 2 5 6 2" xfId="14493" xr:uid="{00000000-0005-0000-0000-0000CC840000}"/>
    <cellStyle name="Comma 7 2 5 6 2 2" xfId="29027" xr:uid="{00000000-0005-0000-0000-0000CD840000}"/>
    <cellStyle name="Comma 7 2 5 6 2 2 2" xfId="58033" xr:uid="{00000000-0005-0000-0000-0000CE840000}"/>
    <cellStyle name="Comma 7 2 5 6 2 3" xfId="43534" xr:uid="{00000000-0005-0000-0000-0000CF840000}"/>
    <cellStyle name="Comma 7 2 5 6 3" xfId="21779" xr:uid="{00000000-0005-0000-0000-0000D0840000}"/>
    <cellStyle name="Comma 7 2 5 6 3 2" xfId="50785" xr:uid="{00000000-0005-0000-0000-0000D1840000}"/>
    <cellStyle name="Comma 7 2 5 6 4" xfId="36286" xr:uid="{00000000-0005-0000-0000-0000D2840000}"/>
    <cellStyle name="Comma 7 2 5 7" xfId="8285" xr:uid="{00000000-0005-0000-0000-0000D3840000}"/>
    <cellStyle name="Comma 7 2 5 7 2" xfId="22819" xr:uid="{00000000-0005-0000-0000-0000D4840000}"/>
    <cellStyle name="Comma 7 2 5 7 2 2" xfId="51825" xr:uid="{00000000-0005-0000-0000-0000D5840000}"/>
    <cellStyle name="Comma 7 2 5 7 3" xfId="37326" xr:uid="{00000000-0005-0000-0000-0000D6840000}"/>
    <cellStyle name="Comma 7 2 5 8" xfId="15571" xr:uid="{00000000-0005-0000-0000-0000D7840000}"/>
    <cellStyle name="Comma 7 2 5 8 2" xfId="44577" xr:uid="{00000000-0005-0000-0000-0000D8840000}"/>
    <cellStyle name="Comma 7 2 5 9" xfId="30078" xr:uid="{00000000-0005-0000-0000-0000D9840000}"/>
    <cellStyle name="Comma 7 2 6" xfId="1303" xr:uid="{00000000-0005-0000-0000-0000DA840000}"/>
    <cellStyle name="Comma 7 2 6 2" xfId="2359" xr:uid="{00000000-0005-0000-0000-0000DB840000}"/>
    <cellStyle name="Comma 7 2 6 2 2" xfId="5463" xr:uid="{00000000-0005-0000-0000-0000DC840000}"/>
    <cellStyle name="Comma 7 2 6 2 2 2" xfId="12735" xr:uid="{00000000-0005-0000-0000-0000DD840000}"/>
    <cellStyle name="Comma 7 2 6 2 2 2 2" xfId="27269" xr:uid="{00000000-0005-0000-0000-0000DE840000}"/>
    <cellStyle name="Comma 7 2 6 2 2 2 2 2" xfId="56275" xr:uid="{00000000-0005-0000-0000-0000DF840000}"/>
    <cellStyle name="Comma 7 2 6 2 2 2 3" xfId="41776" xr:uid="{00000000-0005-0000-0000-0000E0840000}"/>
    <cellStyle name="Comma 7 2 6 2 2 3" xfId="20021" xr:uid="{00000000-0005-0000-0000-0000E1840000}"/>
    <cellStyle name="Comma 7 2 6 2 2 3 2" xfId="49027" xr:uid="{00000000-0005-0000-0000-0000E2840000}"/>
    <cellStyle name="Comma 7 2 6 2 2 4" xfId="34528" xr:uid="{00000000-0005-0000-0000-0000E3840000}"/>
    <cellStyle name="Comma 7 2 6 2 3" xfId="9631" xr:uid="{00000000-0005-0000-0000-0000E4840000}"/>
    <cellStyle name="Comma 7 2 6 2 3 2" xfId="24165" xr:uid="{00000000-0005-0000-0000-0000E5840000}"/>
    <cellStyle name="Comma 7 2 6 2 3 2 2" xfId="53171" xr:uid="{00000000-0005-0000-0000-0000E6840000}"/>
    <cellStyle name="Comma 7 2 6 2 3 3" xfId="38672" xr:uid="{00000000-0005-0000-0000-0000E7840000}"/>
    <cellStyle name="Comma 7 2 6 2 4" xfId="16917" xr:uid="{00000000-0005-0000-0000-0000E8840000}"/>
    <cellStyle name="Comma 7 2 6 2 4 2" xfId="45923" xr:uid="{00000000-0005-0000-0000-0000E9840000}"/>
    <cellStyle name="Comma 7 2 6 2 5" xfId="31424" xr:uid="{00000000-0005-0000-0000-0000EA840000}"/>
    <cellStyle name="Comma 7 2 6 3" xfId="3391" xr:uid="{00000000-0005-0000-0000-0000EB840000}"/>
    <cellStyle name="Comma 7 2 6 3 2" xfId="6495" xr:uid="{00000000-0005-0000-0000-0000EC840000}"/>
    <cellStyle name="Comma 7 2 6 3 2 2" xfId="13767" xr:uid="{00000000-0005-0000-0000-0000ED840000}"/>
    <cellStyle name="Comma 7 2 6 3 2 2 2" xfId="28301" xr:uid="{00000000-0005-0000-0000-0000EE840000}"/>
    <cellStyle name="Comma 7 2 6 3 2 2 2 2" xfId="57307" xr:uid="{00000000-0005-0000-0000-0000EF840000}"/>
    <cellStyle name="Comma 7 2 6 3 2 2 3" xfId="42808" xr:uid="{00000000-0005-0000-0000-0000F0840000}"/>
    <cellStyle name="Comma 7 2 6 3 2 3" xfId="21053" xr:uid="{00000000-0005-0000-0000-0000F1840000}"/>
    <cellStyle name="Comma 7 2 6 3 2 3 2" xfId="50059" xr:uid="{00000000-0005-0000-0000-0000F2840000}"/>
    <cellStyle name="Comma 7 2 6 3 2 4" xfId="35560" xr:uid="{00000000-0005-0000-0000-0000F3840000}"/>
    <cellStyle name="Comma 7 2 6 3 3" xfId="10663" xr:uid="{00000000-0005-0000-0000-0000F4840000}"/>
    <cellStyle name="Comma 7 2 6 3 3 2" xfId="25197" xr:uid="{00000000-0005-0000-0000-0000F5840000}"/>
    <cellStyle name="Comma 7 2 6 3 3 2 2" xfId="54203" xr:uid="{00000000-0005-0000-0000-0000F6840000}"/>
    <cellStyle name="Comma 7 2 6 3 3 3" xfId="39704" xr:uid="{00000000-0005-0000-0000-0000F7840000}"/>
    <cellStyle name="Comma 7 2 6 3 4" xfId="17949" xr:uid="{00000000-0005-0000-0000-0000F8840000}"/>
    <cellStyle name="Comma 7 2 6 3 4 2" xfId="46955" xr:uid="{00000000-0005-0000-0000-0000F9840000}"/>
    <cellStyle name="Comma 7 2 6 3 5" xfId="32456" xr:uid="{00000000-0005-0000-0000-0000FA840000}"/>
    <cellStyle name="Comma 7 2 6 4" xfId="4423" xr:uid="{00000000-0005-0000-0000-0000FB840000}"/>
    <cellStyle name="Comma 7 2 6 4 2" xfId="11695" xr:uid="{00000000-0005-0000-0000-0000FC840000}"/>
    <cellStyle name="Comma 7 2 6 4 2 2" xfId="26229" xr:uid="{00000000-0005-0000-0000-0000FD840000}"/>
    <cellStyle name="Comma 7 2 6 4 2 2 2" xfId="55235" xr:uid="{00000000-0005-0000-0000-0000FE840000}"/>
    <cellStyle name="Comma 7 2 6 4 2 3" xfId="40736" xr:uid="{00000000-0005-0000-0000-0000FF840000}"/>
    <cellStyle name="Comma 7 2 6 4 3" xfId="18981" xr:uid="{00000000-0005-0000-0000-000000850000}"/>
    <cellStyle name="Comma 7 2 6 4 3 2" xfId="47987" xr:uid="{00000000-0005-0000-0000-000001850000}"/>
    <cellStyle name="Comma 7 2 6 4 4" xfId="33488" xr:uid="{00000000-0005-0000-0000-000002850000}"/>
    <cellStyle name="Comma 7 2 6 5" xfId="7527" xr:uid="{00000000-0005-0000-0000-000003850000}"/>
    <cellStyle name="Comma 7 2 6 5 2" xfId="14799" xr:uid="{00000000-0005-0000-0000-000004850000}"/>
    <cellStyle name="Comma 7 2 6 5 2 2" xfId="29333" xr:uid="{00000000-0005-0000-0000-000005850000}"/>
    <cellStyle name="Comma 7 2 6 5 2 2 2" xfId="58339" xr:uid="{00000000-0005-0000-0000-000006850000}"/>
    <cellStyle name="Comma 7 2 6 5 2 3" xfId="43840" xr:uid="{00000000-0005-0000-0000-000007850000}"/>
    <cellStyle name="Comma 7 2 6 5 3" xfId="22085" xr:uid="{00000000-0005-0000-0000-000008850000}"/>
    <cellStyle name="Comma 7 2 6 5 3 2" xfId="51091" xr:uid="{00000000-0005-0000-0000-000009850000}"/>
    <cellStyle name="Comma 7 2 6 5 4" xfId="36592" xr:uid="{00000000-0005-0000-0000-00000A850000}"/>
    <cellStyle name="Comma 7 2 6 6" xfId="8591" xr:uid="{00000000-0005-0000-0000-00000B850000}"/>
    <cellStyle name="Comma 7 2 6 6 2" xfId="23125" xr:uid="{00000000-0005-0000-0000-00000C850000}"/>
    <cellStyle name="Comma 7 2 6 6 2 2" xfId="52131" xr:uid="{00000000-0005-0000-0000-00000D850000}"/>
    <cellStyle name="Comma 7 2 6 6 3" xfId="37632" xr:uid="{00000000-0005-0000-0000-00000E850000}"/>
    <cellStyle name="Comma 7 2 6 7" xfId="15877" xr:uid="{00000000-0005-0000-0000-00000F850000}"/>
    <cellStyle name="Comma 7 2 6 7 2" xfId="44883" xr:uid="{00000000-0005-0000-0000-000010850000}"/>
    <cellStyle name="Comma 7 2 6 8" xfId="30384" xr:uid="{00000000-0005-0000-0000-000011850000}"/>
    <cellStyle name="Comma 7 2 7" xfId="1847" xr:uid="{00000000-0005-0000-0000-000012850000}"/>
    <cellStyle name="Comma 7 2 7 2" xfId="4951" xr:uid="{00000000-0005-0000-0000-000013850000}"/>
    <cellStyle name="Comma 7 2 7 2 2" xfId="12223" xr:uid="{00000000-0005-0000-0000-000014850000}"/>
    <cellStyle name="Comma 7 2 7 2 2 2" xfId="26757" xr:uid="{00000000-0005-0000-0000-000015850000}"/>
    <cellStyle name="Comma 7 2 7 2 2 2 2" xfId="55763" xr:uid="{00000000-0005-0000-0000-000016850000}"/>
    <cellStyle name="Comma 7 2 7 2 2 3" xfId="41264" xr:uid="{00000000-0005-0000-0000-000017850000}"/>
    <cellStyle name="Comma 7 2 7 2 3" xfId="19509" xr:uid="{00000000-0005-0000-0000-000018850000}"/>
    <cellStyle name="Comma 7 2 7 2 3 2" xfId="48515" xr:uid="{00000000-0005-0000-0000-000019850000}"/>
    <cellStyle name="Comma 7 2 7 2 4" xfId="34016" xr:uid="{00000000-0005-0000-0000-00001A850000}"/>
    <cellStyle name="Comma 7 2 7 3" xfId="9119" xr:uid="{00000000-0005-0000-0000-00001B850000}"/>
    <cellStyle name="Comma 7 2 7 3 2" xfId="23653" xr:uid="{00000000-0005-0000-0000-00001C850000}"/>
    <cellStyle name="Comma 7 2 7 3 2 2" xfId="52659" xr:uid="{00000000-0005-0000-0000-00001D850000}"/>
    <cellStyle name="Comma 7 2 7 3 3" xfId="38160" xr:uid="{00000000-0005-0000-0000-00001E850000}"/>
    <cellStyle name="Comma 7 2 7 4" xfId="16405" xr:uid="{00000000-0005-0000-0000-00001F850000}"/>
    <cellStyle name="Comma 7 2 7 4 2" xfId="45411" xr:uid="{00000000-0005-0000-0000-000020850000}"/>
    <cellStyle name="Comma 7 2 7 5" xfId="30912" xr:uid="{00000000-0005-0000-0000-000021850000}"/>
    <cellStyle name="Comma 7 2 8" xfId="2879" xr:uid="{00000000-0005-0000-0000-000022850000}"/>
    <cellStyle name="Comma 7 2 8 2" xfId="5983" xr:uid="{00000000-0005-0000-0000-000023850000}"/>
    <cellStyle name="Comma 7 2 8 2 2" xfId="13255" xr:uid="{00000000-0005-0000-0000-000024850000}"/>
    <cellStyle name="Comma 7 2 8 2 2 2" xfId="27789" xr:uid="{00000000-0005-0000-0000-000025850000}"/>
    <cellStyle name="Comma 7 2 8 2 2 2 2" xfId="56795" xr:uid="{00000000-0005-0000-0000-000026850000}"/>
    <cellStyle name="Comma 7 2 8 2 2 3" xfId="42296" xr:uid="{00000000-0005-0000-0000-000027850000}"/>
    <cellStyle name="Comma 7 2 8 2 3" xfId="20541" xr:uid="{00000000-0005-0000-0000-000028850000}"/>
    <cellStyle name="Comma 7 2 8 2 3 2" xfId="49547" xr:uid="{00000000-0005-0000-0000-000029850000}"/>
    <cellStyle name="Comma 7 2 8 2 4" xfId="35048" xr:uid="{00000000-0005-0000-0000-00002A850000}"/>
    <cellStyle name="Comma 7 2 8 3" xfId="10151" xr:uid="{00000000-0005-0000-0000-00002B850000}"/>
    <cellStyle name="Comma 7 2 8 3 2" xfId="24685" xr:uid="{00000000-0005-0000-0000-00002C850000}"/>
    <cellStyle name="Comma 7 2 8 3 2 2" xfId="53691" xr:uid="{00000000-0005-0000-0000-00002D850000}"/>
    <cellStyle name="Comma 7 2 8 3 3" xfId="39192" xr:uid="{00000000-0005-0000-0000-00002E850000}"/>
    <cellStyle name="Comma 7 2 8 4" xfId="17437" xr:uid="{00000000-0005-0000-0000-00002F850000}"/>
    <cellStyle name="Comma 7 2 8 4 2" xfId="46443" xr:uid="{00000000-0005-0000-0000-000030850000}"/>
    <cellStyle name="Comma 7 2 8 5" xfId="31944" xr:uid="{00000000-0005-0000-0000-000031850000}"/>
    <cellStyle name="Comma 7 2 9" xfId="3911" xr:uid="{00000000-0005-0000-0000-000032850000}"/>
    <cellStyle name="Comma 7 2 9 2" xfId="11183" xr:uid="{00000000-0005-0000-0000-000033850000}"/>
    <cellStyle name="Comma 7 2 9 2 2" xfId="25717" xr:uid="{00000000-0005-0000-0000-000034850000}"/>
    <cellStyle name="Comma 7 2 9 2 2 2" xfId="54723" xr:uid="{00000000-0005-0000-0000-000035850000}"/>
    <cellStyle name="Comma 7 2 9 2 3" xfId="40224" xr:uid="{00000000-0005-0000-0000-000036850000}"/>
    <cellStyle name="Comma 7 2 9 3" xfId="18469" xr:uid="{00000000-0005-0000-0000-000037850000}"/>
    <cellStyle name="Comma 7 2 9 3 2" xfId="47475" xr:uid="{00000000-0005-0000-0000-000038850000}"/>
    <cellStyle name="Comma 7 2 9 4" xfId="32976" xr:uid="{00000000-0005-0000-0000-000039850000}"/>
    <cellStyle name="Comma 7 20" xfId="59137" xr:uid="{00000000-0005-0000-0000-00003A850000}"/>
    <cellStyle name="Comma 7 21" xfId="105" xr:uid="{00000000-0005-0000-0000-00003B850000}"/>
    <cellStyle name="Comma 7 3" xfId="187" xr:uid="{00000000-0005-0000-0000-00003C850000}"/>
    <cellStyle name="Comma 7 3 10" xfId="8107" xr:uid="{00000000-0005-0000-0000-00003D850000}"/>
    <cellStyle name="Comma 7 3 10 2" xfId="22641" xr:uid="{00000000-0005-0000-0000-00003E850000}"/>
    <cellStyle name="Comma 7 3 10 2 2" xfId="51647" xr:uid="{00000000-0005-0000-0000-00003F850000}"/>
    <cellStyle name="Comma 7 3 10 3" xfId="37148" xr:uid="{00000000-0005-0000-0000-000040850000}"/>
    <cellStyle name="Comma 7 3 11" xfId="15393" xr:uid="{00000000-0005-0000-0000-000041850000}"/>
    <cellStyle name="Comma 7 3 11 2" xfId="44399" xr:uid="{00000000-0005-0000-0000-000042850000}"/>
    <cellStyle name="Comma 7 3 12" xfId="29900" xr:uid="{00000000-0005-0000-0000-000043850000}"/>
    <cellStyle name="Comma 7 3 13" xfId="58901" xr:uid="{00000000-0005-0000-0000-000044850000}"/>
    <cellStyle name="Comma 7 3 14" xfId="59011" xr:uid="{00000000-0005-0000-0000-000045850000}"/>
    <cellStyle name="Comma 7 3 15" xfId="59235" xr:uid="{00000000-0005-0000-0000-000046850000}"/>
    <cellStyle name="Comma 7 3 2" xfId="514" xr:uid="{00000000-0005-0000-0000-000047850000}"/>
    <cellStyle name="Comma 7 3 2 10" xfId="30003" xr:uid="{00000000-0005-0000-0000-000048850000}"/>
    <cellStyle name="Comma 7 3 2 11" xfId="59373" xr:uid="{00000000-0005-0000-0000-000049850000}"/>
    <cellStyle name="Comma 7 3 2 2" xfId="1232" xr:uid="{00000000-0005-0000-0000-00004A850000}"/>
    <cellStyle name="Comma 7 3 2 2 2" xfId="1737" xr:uid="{00000000-0005-0000-0000-00004B850000}"/>
    <cellStyle name="Comma 7 3 2 2 2 2" xfId="2796" xr:uid="{00000000-0005-0000-0000-00004C850000}"/>
    <cellStyle name="Comma 7 3 2 2 2 2 2" xfId="5900" xr:uid="{00000000-0005-0000-0000-00004D850000}"/>
    <cellStyle name="Comma 7 3 2 2 2 2 2 2" xfId="13172" xr:uid="{00000000-0005-0000-0000-00004E850000}"/>
    <cellStyle name="Comma 7 3 2 2 2 2 2 2 2" xfId="27706" xr:uid="{00000000-0005-0000-0000-00004F850000}"/>
    <cellStyle name="Comma 7 3 2 2 2 2 2 2 2 2" xfId="56712" xr:uid="{00000000-0005-0000-0000-000050850000}"/>
    <cellStyle name="Comma 7 3 2 2 2 2 2 2 3" xfId="42213" xr:uid="{00000000-0005-0000-0000-000051850000}"/>
    <cellStyle name="Comma 7 3 2 2 2 2 2 3" xfId="20458" xr:uid="{00000000-0005-0000-0000-000052850000}"/>
    <cellStyle name="Comma 7 3 2 2 2 2 2 3 2" xfId="49464" xr:uid="{00000000-0005-0000-0000-000053850000}"/>
    <cellStyle name="Comma 7 3 2 2 2 2 2 4" xfId="34965" xr:uid="{00000000-0005-0000-0000-000054850000}"/>
    <cellStyle name="Comma 7 3 2 2 2 2 3" xfId="10068" xr:uid="{00000000-0005-0000-0000-000055850000}"/>
    <cellStyle name="Comma 7 3 2 2 2 2 3 2" xfId="24602" xr:uid="{00000000-0005-0000-0000-000056850000}"/>
    <cellStyle name="Comma 7 3 2 2 2 2 3 2 2" xfId="53608" xr:uid="{00000000-0005-0000-0000-000057850000}"/>
    <cellStyle name="Comma 7 3 2 2 2 2 3 3" xfId="39109" xr:uid="{00000000-0005-0000-0000-000058850000}"/>
    <cellStyle name="Comma 7 3 2 2 2 2 4" xfId="17354" xr:uid="{00000000-0005-0000-0000-000059850000}"/>
    <cellStyle name="Comma 7 3 2 2 2 2 4 2" xfId="46360" xr:uid="{00000000-0005-0000-0000-00005A850000}"/>
    <cellStyle name="Comma 7 3 2 2 2 2 5" xfId="31861" xr:uid="{00000000-0005-0000-0000-00005B850000}"/>
    <cellStyle name="Comma 7 3 2 2 2 3" xfId="3828" xr:uid="{00000000-0005-0000-0000-00005C850000}"/>
    <cellStyle name="Comma 7 3 2 2 2 3 2" xfId="6932" xr:uid="{00000000-0005-0000-0000-00005D850000}"/>
    <cellStyle name="Comma 7 3 2 2 2 3 2 2" xfId="14204" xr:uid="{00000000-0005-0000-0000-00005E850000}"/>
    <cellStyle name="Comma 7 3 2 2 2 3 2 2 2" xfId="28738" xr:uid="{00000000-0005-0000-0000-00005F850000}"/>
    <cellStyle name="Comma 7 3 2 2 2 3 2 2 2 2" xfId="57744" xr:uid="{00000000-0005-0000-0000-000060850000}"/>
    <cellStyle name="Comma 7 3 2 2 2 3 2 2 3" xfId="43245" xr:uid="{00000000-0005-0000-0000-000061850000}"/>
    <cellStyle name="Comma 7 3 2 2 2 3 2 3" xfId="21490" xr:uid="{00000000-0005-0000-0000-000062850000}"/>
    <cellStyle name="Comma 7 3 2 2 2 3 2 3 2" xfId="50496" xr:uid="{00000000-0005-0000-0000-000063850000}"/>
    <cellStyle name="Comma 7 3 2 2 2 3 2 4" xfId="35997" xr:uid="{00000000-0005-0000-0000-000064850000}"/>
    <cellStyle name="Comma 7 3 2 2 2 3 3" xfId="11100" xr:uid="{00000000-0005-0000-0000-000065850000}"/>
    <cellStyle name="Comma 7 3 2 2 2 3 3 2" xfId="25634" xr:uid="{00000000-0005-0000-0000-000066850000}"/>
    <cellStyle name="Comma 7 3 2 2 2 3 3 2 2" xfId="54640" xr:uid="{00000000-0005-0000-0000-000067850000}"/>
    <cellStyle name="Comma 7 3 2 2 2 3 3 3" xfId="40141" xr:uid="{00000000-0005-0000-0000-000068850000}"/>
    <cellStyle name="Comma 7 3 2 2 2 3 4" xfId="18386" xr:uid="{00000000-0005-0000-0000-000069850000}"/>
    <cellStyle name="Comma 7 3 2 2 2 3 4 2" xfId="47392" xr:uid="{00000000-0005-0000-0000-00006A850000}"/>
    <cellStyle name="Comma 7 3 2 2 2 3 5" xfId="32893" xr:uid="{00000000-0005-0000-0000-00006B850000}"/>
    <cellStyle name="Comma 7 3 2 2 2 4" xfId="4860" xr:uid="{00000000-0005-0000-0000-00006C850000}"/>
    <cellStyle name="Comma 7 3 2 2 2 4 2" xfId="12132" xr:uid="{00000000-0005-0000-0000-00006D850000}"/>
    <cellStyle name="Comma 7 3 2 2 2 4 2 2" xfId="26666" xr:uid="{00000000-0005-0000-0000-00006E850000}"/>
    <cellStyle name="Comma 7 3 2 2 2 4 2 2 2" xfId="55672" xr:uid="{00000000-0005-0000-0000-00006F850000}"/>
    <cellStyle name="Comma 7 3 2 2 2 4 2 3" xfId="41173" xr:uid="{00000000-0005-0000-0000-000070850000}"/>
    <cellStyle name="Comma 7 3 2 2 2 4 3" xfId="19418" xr:uid="{00000000-0005-0000-0000-000071850000}"/>
    <cellStyle name="Comma 7 3 2 2 2 4 3 2" xfId="48424" xr:uid="{00000000-0005-0000-0000-000072850000}"/>
    <cellStyle name="Comma 7 3 2 2 2 4 4" xfId="33925" xr:uid="{00000000-0005-0000-0000-000073850000}"/>
    <cellStyle name="Comma 7 3 2 2 2 5" xfId="7964" xr:uid="{00000000-0005-0000-0000-000074850000}"/>
    <cellStyle name="Comma 7 3 2 2 2 5 2" xfId="15236" xr:uid="{00000000-0005-0000-0000-000075850000}"/>
    <cellStyle name="Comma 7 3 2 2 2 5 2 2" xfId="29770" xr:uid="{00000000-0005-0000-0000-000076850000}"/>
    <cellStyle name="Comma 7 3 2 2 2 5 2 2 2" xfId="58776" xr:uid="{00000000-0005-0000-0000-000077850000}"/>
    <cellStyle name="Comma 7 3 2 2 2 5 2 3" xfId="44277" xr:uid="{00000000-0005-0000-0000-000078850000}"/>
    <cellStyle name="Comma 7 3 2 2 2 5 3" xfId="22522" xr:uid="{00000000-0005-0000-0000-000079850000}"/>
    <cellStyle name="Comma 7 3 2 2 2 5 3 2" xfId="51528" xr:uid="{00000000-0005-0000-0000-00007A850000}"/>
    <cellStyle name="Comma 7 3 2 2 2 5 4" xfId="37029" xr:uid="{00000000-0005-0000-0000-00007B850000}"/>
    <cellStyle name="Comma 7 3 2 2 2 6" xfId="9028" xr:uid="{00000000-0005-0000-0000-00007C850000}"/>
    <cellStyle name="Comma 7 3 2 2 2 6 2" xfId="23562" xr:uid="{00000000-0005-0000-0000-00007D850000}"/>
    <cellStyle name="Comma 7 3 2 2 2 6 2 2" xfId="52568" xr:uid="{00000000-0005-0000-0000-00007E850000}"/>
    <cellStyle name="Comma 7 3 2 2 2 6 3" xfId="38069" xr:uid="{00000000-0005-0000-0000-00007F850000}"/>
    <cellStyle name="Comma 7 3 2 2 2 7" xfId="16314" xr:uid="{00000000-0005-0000-0000-000080850000}"/>
    <cellStyle name="Comma 7 3 2 2 2 7 2" xfId="45320" xr:uid="{00000000-0005-0000-0000-000081850000}"/>
    <cellStyle name="Comma 7 3 2 2 2 8" xfId="30821" xr:uid="{00000000-0005-0000-0000-000082850000}"/>
    <cellStyle name="Comma 7 3 2 2 3" xfId="2284" xr:uid="{00000000-0005-0000-0000-000083850000}"/>
    <cellStyle name="Comma 7 3 2 2 3 2" xfId="5388" xr:uid="{00000000-0005-0000-0000-000084850000}"/>
    <cellStyle name="Comma 7 3 2 2 3 2 2" xfId="12660" xr:uid="{00000000-0005-0000-0000-000085850000}"/>
    <cellStyle name="Comma 7 3 2 2 3 2 2 2" xfId="27194" xr:uid="{00000000-0005-0000-0000-000086850000}"/>
    <cellStyle name="Comma 7 3 2 2 3 2 2 2 2" xfId="56200" xr:uid="{00000000-0005-0000-0000-000087850000}"/>
    <cellStyle name="Comma 7 3 2 2 3 2 2 3" xfId="41701" xr:uid="{00000000-0005-0000-0000-000088850000}"/>
    <cellStyle name="Comma 7 3 2 2 3 2 3" xfId="19946" xr:uid="{00000000-0005-0000-0000-000089850000}"/>
    <cellStyle name="Comma 7 3 2 2 3 2 3 2" xfId="48952" xr:uid="{00000000-0005-0000-0000-00008A850000}"/>
    <cellStyle name="Comma 7 3 2 2 3 2 4" xfId="34453" xr:uid="{00000000-0005-0000-0000-00008B850000}"/>
    <cellStyle name="Comma 7 3 2 2 3 3" xfId="9556" xr:uid="{00000000-0005-0000-0000-00008C850000}"/>
    <cellStyle name="Comma 7 3 2 2 3 3 2" xfId="24090" xr:uid="{00000000-0005-0000-0000-00008D850000}"/>
    <cellStyle name="Comma 7 3 2 2 3 3 2 2" xfId="53096" xr:uid="{00000000-0005-0000-0000-00008E850000}"/>
    <cellStyle name="Comma 7 3 2 2 3 3 3" xfId="38597" xr:uid="{00000000-0005-0000-0000-00008F850000}"/>
    <cellStyle name="Comma 7 3 2 2 3 4" xfId="16842" xr:uid="{00000000-0005-0000-0000-000090850000}"/>
    <cellStyle name="Comma 7 3 2 2 3 4 2" xfId="45848" xr:uid="{00000000-0005-0000-0000-000091850000}"/>
    <cellStyle name="Comma 7 3 2 2 3 5" xfId="31349" xr:uid="{00000000-0005-0000-0000-000092850000}"/>
    <cellStyle name="Comma 7 3 2 2 4" xfId="3316" xr:uid="{00000000-0005-0000-0000-000093850000}"/>
    <cellStyle name="Comma 7 3 2 2 4 2" xfId="6420" xr:uid="{00000000-0005-0000-0000-000094850000}"/>
    <cellStyle name="Comma 7 3 2 2 4 2 2" xfId="13692" xr:uid="{00000000-0005-0000-0000-000095850000}"/>
    <cellStyle name="Comma 7 3 2 2 4 2 2 2" xfId="28226" xr:uid="{00000000-0005-0000-0000-000096850000}"/>
    <cellStyle name="Comma 7 3 2 2 4 2 2 2 2" xfId="57232" xr:uid="{00000000-0005-0000-0000-000097850000}"/>
    <cellStyle name="Comma 7 3 2 2 4 2 2 3" xfId="42733" xr:uid="{00000000-0005-0000-0000-000098850000}"/>
    <cellStyle name="Comma 7 3 2 2 4 2 3" xfId="20978" xr:uid="{00000000-0005-0000-0000-000099850000}"/>
    <cellStyle name="Comma 7 3 2 2 4 2 3 2" xfId="49984" xr:uid="{00000000-0005-0000-0000-00009A850000}"/>
    <cellStyle name="Comma 7 3 2 2 4 2 4" xfId="35485" xr:uid="{00000000-0005-0000-0000-00009B850000}"/>
    <cellStyle name="Comma 7 3 2 2 4 3" xfId="10588" xr:uid="{00000000-0005-0000-0000-00009C850000}"/>
    <cellStyle name="Comma 7 3 2 2 4 3 2" xfId="25122" xr:uid="{00000000-0005-0000-0000-00009D850000}"/>
    <cellStyle name="Comma 7 3 2 2 4 3 2 2" xfId="54128" xr:uid="{00000000-0005-0000-0000-00009E850000}"/>
    <cellStyle name="Comma 7 3 2 2 4 3 3" xfId="39629" xr:uid="{00000000-0005-0000-0000-00009F850000}"/>
    <cellStyle name="Comma 7 3 2 2 4 4" xfId="17874" xr:uid="{00000000-0005-0000-0000-0000A0850000}"/>
    <cellStyle name="Comma 7 3 2 2 4 4 2" xfId="46880" xr:uid="{00000000-0005-0000-0000-0000A1850000}"/>
    <cellStyle name="Comma 7 3 2 2 4 5" xfId="32381" xr:uid="{00000000-0005-0000-0000-0000A2850000}"/>
    <cellStyle name="Comma 7 3 2 2 5" xfId="4348" xr:uid="{00000000-0005-0000-0000-0000A3850000}"/>
    <cellStyle name="Comma 7 3 2 2 5 2" xfId="11620" xr:uid="{00000000-0005-0000-0000-0000A4850000}"/>
    <cellStyle name="Comma 7 3 2 2 5 2 2" xfId="26154" xr:uid="{00000000-0005-0000-0000-0000A5850000}"/>
    <cellStyle name="Comma 7 3 2 2 5 2 2 2" xfId="55160" xr:uid="{00000000-0005-0000-0000-0000A6850000}"/>
    <cellStyle name="Comma 7 3 2 2 5 2 3" xfId="40661" xr:uid="{00000000-0005-0000-0000-0000A7850000}"/>
    <cellStyle name="Comma 7 3 2 2 5 3" xfId="18906" xr:uid="{00000000-0005-0000-0000-0000A8850000}"/>
    <cellStyle name="Comma 7 3 2 2 5 3 2" xfId="47912" xr:uid="{00000000-0005-0000-0000-0000A9850000}"/>
    <cellStyle name="Comma 7 3 2 2 5 4" xfId="33413" xr:uid="{00000000-0005-0000-0000-0000AA850000}"/>
    <cellStyle name="Comma 7 3 2 2 6" xfId="7452" xr:uid="{00000000-0005-0000-0000-0000AB850000}"/>
    <cellStyle name="Comma 7 3 2 2 6 2" xfId="14724" xr:uid="{00000000-0005-0000-0000-0000AC850000}"/>
    <cellStyle name="Comma 7 3 2 2 6 2 2" xfId="29258" xr:uid="{00000000-0005-0000-0000-0000AD850000}"/>
    <cellStyle name="Comma 7 3 2 2 6 2 2 2" xfId="58264" xr:uid="{00000000-0005-0000-0000-0000AE850000}"/>
    <cellStyle name="Comma 7 3 2 2 6 2 3" xfId="43765" xr:uid="{00000000-0005-0000-0000-0000AF850000}"/>
    <cellStyle name="Comma 7 3 2 2 6 3" xfId="22010" xr:uid="{00000000-0005-0000-0000-0000B0850000}"/>
    <cellStyle name="Comma 7 3 2 2 6 3 2" xfId="51016" xr:uid="{00000000-0005-0000-0000-0000B1850000}"/>
    <cellStyle name="Comma 7 3 2 2 6 4" xfId="36517" xr:uid="{00000000-0005-0000-0000-0000B2850000}"/>
    <cellStyle name="Comma 7 3 2 2 7" xfId="8516" xr:uid="{00000000-0005-0000-0000-0000B3850000}"/>
    <cellStyle name="Comma 7 3 2 2 7 2" xfId="23050" xr:uid="{00000000-0005-0000-0000-0000B4850000}"/>
    <cellStyle name="Comma 7 3 2 2 7 2 2" xfId="52056" xr:uid="{00000000-0005-0000-0000-0000B5850000}"/>
    <cellStyle name="Comma 7 3 2 2 7 3" xfId="37557" xr:uid="{00000000-0005-0000-0000-0000B6850000}"/>
    <cellStyle name="Comma 7 3 2 2 8" xfId="15802" xr:uid="{00000000-0005-0000-0000-0000B7850000}"/>
    <cellStyle name="Comma 7 3 2 2 8 2" xfId="44808" xr:uid="{00000000-0005-0000-0000-0000B8850000}"/>
    <cellStyle name="Comma 7 3 2 2 9" xfId="30309" xr:uid="{00000000-0005-0000-0000-0000B9850000}"/>
    <cellStyle name="Comma 7 3 2 3" xfId="1432" xr:uid="{00000000-0005-0000-0000-0000BA850000}"/>
    <cellStyle name="Comma 7 3 2 3 2" xfId="2490" xr:uid="{00000000-0005-0000-0000-0000BB850000}"/>
    <cellStyle name="Comma 7 3 2 3 2 2" xfId="5594" xr:uid="{00000000-0005-0000-0000-0000BC850000}"/>
    <cellStyle name="Comma 7 3 2 3 2 2 2" xfId="12866" xr:uid="{00000000-0005-0000-0000-0000BD850000}"/>
    <cellStyle name="Comma 7 3 2 3 2 2 2 2" xfId="27400" xr:uid="{00000000-0005-0000-0000-0000BE850000}"/>
    <cellStyle name="Comma 7 3 2 3 2 2 2 2 2" xfId="56406" xr:uid="{00000000-0005-0000-0000-0000BF850000}"/>
    <cellStyle name="Comma 7 3 2 3 2 2 2 3" xfId="41907" xr:uid="{00000000-0005-0000-0000-0000C0850000}"/>
    <cellStyle name="Comma 7 3 2 3 2 2 3" xfId="20152" xr:uid="{00000000-0005-0000-0000-0000C1850000}"/>
    <cellStyle name="Comma 7 3 2 3 2 2 3 2" xfId="49158" xr:uid="{00000000-0005-0000-0000-0000C2850000}"/>
    <cellStyle name="Comma 7 3 2 3 2 2 4" xfId="34659" xr:uid="{00000000-0005-0000-0000-0000C3850000}"/>
    <cellStyle name="Comma 7 3 2 3 2 3" xfId="9762" xr:uid="{00000000-0005-0000-0000-0000C4850000}"/>
    <cellStyle name="Comma 7 3 2 3 2 3 2" xfId="24296" xr:uid="{00000000-0005-0000-0000-0000C5850000}"/>
    <cellStyle name="Comma 7 3 2 3 2 3 2 2" xfId="53302" xr:uid="{00000000-0005-0000-0000-0000C6850000}"/>
    <cellStyle name="Comma 7 3 2 3 2 3 3" xfId="38803" xr:uid="{00000000-0005-0000-0000-0000C7850000}"/>
    <cellStyle name="Comma 7 3 2 3 2 4" xfId="17048" xr:uid="{00000000-0005-0000-0000-0000C8850000}"/>
    <cellStyle name="Comma 7 3 2 3 2 4 2" xfId="46054" xr:uid="{00000000-0005-0000-0000-0000C9850000}"/>
    <cellStyle name="Comma 7 3 2 3 2 5" xfId="31555" xr:uid="{00000000-0005-0000-0000-0000CA850000}"/>
    <cellStyle name="Comma 7 3 2 3 3" xfId="3522" xr:uid="{00000000-0005-0000-0000-0000CB850000}"/>
    <cellStyle name="Comma 7 3 2 3 3 2" xfId="6626" xr:uid="{00000000-0005-0000-0000-0000CC850000}"/>
    <cellStyle name="Comma 7 3 2 3 3 2 2" xfId="13898" xr:uid="{00000000-0005-0000-0000-0000CD850000}"/>
    <cellStyle name="Comma 7 3 2 3 3 2 2 2" xfId="28432" xr:uid="{00000000-0005-0000-0000-0000CE850000}"/>
    <cellStyle name="Comma 7 3 2 3 3 2 2 2 2" xfId="57438" xr:uid="{00000000-0005-0000-0000-0000CF850000}"/>
    <cellStyle name="Comma 7 3 2 3 3 2 2 3" xfId="42939" xr:uid="{00000000-0005-0000-0000-0000D0850000}"/>
    <cellStyle name="Comma 7 3 2 3 3 2 3" xfId="21184" xr:uid="{00000000-0005-0000-0000-0000D1850000}"/>
    <cellStyle name="Comma 7 3 2 3 3 2 3 2" xfId="50190" xr:uid="{00000000-0005-0000-0000-0000D2850000}"/>
    <cellStyle name="Comma 7 3 2 3 3 2 4" xfId="35691" xr:uid="{00000000-0005-0000-0000-0000D3850000}"/>
    <cellStyle name="Comma 7 3 2 3 3 3" xfId="10794" xr:uid="{00000000-0005-0000-0000-0000D4850000}"/>
    <cellStyle name="Comma 7 3 2 3 3 3 2" xfId="25328" xr:uid="{00000000-0005-0000-0000-0000D5850000}"/>
    <cellStyle name="Comma 7 3 2 3 3 3 2 2" xfId="54334" xr:uid="{00000000-0005-0000-0000-0000D6850000}"/>
    <cellStyle name="Comma 7 3 2 3 3 3 3" xfId="39835" xr:uid="{00000000-0005-0000-0000-0000D7850000}"/>
    <cellStyle name="Comma 7 3 2 3 3 4" xfId="18080" xr:uid="{00000000-0005-0000-0000-0000D8850000}"/>
    <cellStyle name="Comma 7 3 2 3 3 4 2" xfId="47086" xr:uid="{00000000-0005-0000-0000-0000D9850000}"/>
    <cellStyle name="Comma 7 3 2 3 3 5" xfId="32587" xr:uid="{00000000-0005-0000-0000-0000DA850000}"/>
    <cellStyle name="Comma 7 3 2 3 4" xfId="4554" xr:uid="{00000000-0005-0000-0000-0000DB850000}"/>
    <cellStyle name="Comma 7 3 2 3 4 2" xfId="11826" xr:uid="{00000000-0005-0000-0000-0000DC850000}"/>
    <cellStyle name="Comma 7 3 2 3 4 2 2" xfId="26360" xr:uid="{00000000-0005-0000-0000-0000DD850000}"/>
    <cellStyle name="Comma 7 3 2 3 4 2 2 2" xfId="55366" xr:uid="{00000000-0005-0000-0000-0000DE850000}"/>
    <cellStyle name="Comma 7 3 2 3 4 2 3" xfId="40867" xr:uid="{00000000-0005-0000-0000-0000DF850000}"/>
    <cellStyle name="Comma 7 3 2 3 4 3" xfId="19112" xr:uid="{00000000-0005-0000-0000-0000E0850000}"/>
    <cellStyle name="Comma 7 3 2 3 4 3 2" xfId="48118" xr:uid="{00000000-0005-0000-0000-0000E1850000}"/>
    <cellStyle name="Comma 7 3 2 3 4 4" xfId="33619" xr:uid="{00000000-0005-0000-0000-0000E2850000}"/>
    <cellStyle name="Comma 7 3 2 3 5" xfId="7658" xr:uid="{00000000-0005-0000-0000-0000E3850000}"/>
    <cellStyle name="Comma 7 3 2 3 5 2" xfId="14930" xr:uid="{00000000-0005-0000-0000-0000E4850000}"/>
    <cellStyle name="Comma 7 3 2 3 5 2 2" xfId="29464" xr:uid="{00000000-0005-0000-0000-0000E5850000}"/>
    <cellStyle name="Comma 7 3 2 3 5 2 2 2" xfId="58470" xr:uid="{00000000-0005-0000-0000-0000E6850000}"/>
    <cellStyle name="Comma 7 3 2 3 5 2 3" xfId="43971" xr:uid="{00000000-0005-0000-0000-0000E7850000}"/>
    <cellStyle name="Comma 7 3 2 3 5 3" xfId="22216" xr:uid="{00000000-0005-0000-0000-0000E8850000}"/>
    <cellStyle name="Comma 7 3 2 3 5 3 2" xfId="51222" xr:uid="{00000000-0005-0000-0000-0000E9850000}"/>
    <cellStyle name="Comma 7 3 2 3 5 4" xfId="36723" xr:uid="{00000000-0005-0000-0000-0000EA850000}"/>
    <cellStyle name="Comma 7 3 2 3 6" xfId="8722" xr:uid="{00000000-0005-0000-0000-0000EB850000}"/>
    <cellStyle name="Comma 7 3 2 3 6 2" xfId="23256" xr:uid="{00000000-0005-0000-0000-0000EC850000}"/>
    <cellStyle name="Comma 7 3 2 3 6 2 2" xfId="52262" xr:uid="{00000000-0005-0000-0000-0000ED850000}"/>
    <cellStyle name="Comma 7 3 2 3 6 3" xfId="37763" xr:uid="{00000000-0005-0000-0000-0000EE850000}"/>
    <cellStyle name="Comma 7 3 2 3 7" xfId="16008" xr:uid="{00000000-0005-0000-0000-0000EF850000}"/>
    <cellStyle name="Comma 7 3 2 3 7 2" xfId="45014" xr:uid="{00000000-0005-0000-0000-0000F0850000}"/>
    <cellStyle name="Comma 7 3 2 3 8" xfId="30515" xr:uid="{00000000-0005-0000-0000-0000F1850000}"/>
    <cellStyle name="Comma 7 3 2 4" xfId="1978" xr:uid="{00000000-0005-0000-0000-0000F2850000}"/>
    <cellStyle name="Comma 7 3 2 4 2" xfId="5082" xr:uid="{00000000-0005-0000-0000-0000F3850000}"/>
    <cellStyle name="Comma 7 3 2 4 2 2" xfId="12354" xr:uid="{00000000-0005-0000-0000-0000F4850000}"/>
    <cellStyle name="Comma 7 3 2 4 2 2 2" xfId="26888" xr:uid="{00000000-0005-0000-0000-0000F5850000}"/>
    <cellStyle name="Comma 7 3 2 4 2 2 2 2" xfId="55894" xr:uid="{00000000-0005-0000-0000-0000F6850000}"/>
    <cellStyle name="Comma 7 3 2 4 2 2 3" xfId="41395" xr:uid="{00000000-0005-0000-0000-0000F7850000}"/>
    <cellStyle name="Comma 7 3 2 4 2 3" xfId="19640" xr:uid="{00000000-0005-0000-0000-0000F8850000}"/>
    <cellStyle name="Comma 7 3 2 4 2 3 2" xfId="48646" xr:uid="{00000000-0005-0000-0000-0000F9850000}"/>
    <cellStyle name="Comma 7 3 2 4 2 4" xfId="34147" xr:uid="{00000000-0005-0000-0000-0000FA850000}"/>
    <cellStyle name="Comma 7 3 2 4 3" xfId="9250" xr:uid="{00000000-0005-0000-0000-0000FB850000}"/>
    <cellStyle name="Comma 7 3 2 4 3 2" xfId="23784" xr:uid="{00000000-0005-0000-0000-0000FC850000}"/>
    <cellStyle name="Comma 7 3 2 4 3 2 2" xfId="52790" xr:uid="{00000000-0005-0000-0000-0000FD850000}"/>
    <cellStyle name="Comma 7 3 2 4 3 3" xfId="38291" xr:uid="{00000000-0005-0000-0000-0000FE850000}"/>
    <cellStyle name="Comma 7 3 2 4 4" xfId="16536" xr:uid="{00000000-0005-0000-0000-0000FF850000}"/>
    <cellStyle name="Comma 7 3 2 4 4 2" xfId="45542" xr:uid="{00000000-0005-0000-0000-000000860000}"/>
    <cellStyle name="Comma 7 3 2 4 5" xfId="31043" xr:uid="{00000000-0005-0000-0000-000001860000}"/>
    <cellStyle name="Comma 7 3 2 5" xfId="3010" xr:uid="{00000000-0005-0000-0000-000002860000}"/>
    <cellStyle name="Comma 7 3 2 5 2" xfId="6114" xr:uid="{00000000-0005-0000-0000-000003860000}"/>
    <cellStyle name="Comma 7 3 2 5 2 2" xfId="13386" xr:uid="{00000000-0005-0000-0000-000004860000}"/>
    <cellStyle name="Comma 7 3 2 5 2 2 2" xfId="27920" xr:uid="{00000000-0005-0000-0000-000005860000}"/>
    <cellStyle name="Comma 7 3 2 5 2 2 2 2" xfId="56926" xr:uid="{00000000-0005-0000-0000-000006860000}"/>
    <cellStyle name="Comma 7 3 2 5 2 2 3" xfId="42427" xr:uid="{00000000-0005-0000-0000-000007860000}"/>
    <cellStyle name="Comma 7 3 2 5 2 3" xfId="20672" xr:uid="{00000000-0005-0000-0000-000008860000}"/>
    <cellStyle name="Comma 7 3 2 5 2 3 2" xfId="49678" xr:uid="{00000000-0005-0000-0000-000009860000}"/>
    <cellStyle name="Comma 7 3 2 5 2 4" xfId="35179" xr:uid="{00000000-0005-0000-0000-00000A860000}"/>
    <cellStyle name="Comma 7 3 2 5 3" xfId="10282" xr:uid="{00000000-0005-0000-0000-00000B860000}"/>
    <cellStyle name="Comma 7 3 2 5 3 2" xfId="24816" xr:uid="{00000000-0005-0000-0000-00000C860000}"/>
    <cellStyle name="Comma 7 3 2 5 3 2 2" xfId="53822" xr:uid="{00000000-0005-0000-0000-00000D860000}"/>
    <cellStyle name="Comma 7 3 2 5 3 3" xfId="39323" xr:uid="{00000000-0005-0000-0000-00000E860000}"/>
    <cellStyle name="Comma 7 3 2 5 4" xfId="17568" xr:uid="{00000000-0005-0000-0000-00000F860000}"/>
    <cellStyle name="Comma 7 3 2 5 4 2" xfId="46574" xr:uid="{00000000-0005-0000-0000-000010860000}"/>
    <cellStyle name="Comma 7 3 2 5 5" xfId="32075" xr:uid="{00000000-0005-0000-0000-000011860000}"/>
    <cellStyle name="Comma 7 3 2 6" xfId="4042" xr:uid="{00000000-0005-0000-0000-000012860000}"/>
    <cellStyle name="Comma 7 3 2 6 2" xfId="11314" xr:uid="{00000000-0005-0000-0000-000013860000}"/>
    <cellStyle name="Comma 7 3 2 6 2 2" xfId="25848" xr:uid="{00000000-0005-0000-0000-000014860000}"/>
    <cellStyle name="Comma 7 3 2 6 2 2 2" xfId="54854" xr:uid="{00000000-0005-0000-0000-000015860000}"/>
    <cellStyle name="Comma 7 3 2 6 2 3" xfId="40355" xr:uid="{00000000-0005-0000-0000-000016860000}"/>
    <cellStyle name="Comma 7 3 2 6 3" xfId="18600" xr:uid="{00000000-0005-0000-0000-000017860000}"/>
    <cellStyle name="Comma 7 3 2 6 3 2" xfId="47606" xr:uid="{00000000-0005-0000-0000-000018860000}"/>
    <cellStyle name="Comma 7 3 2 6 4" xfId="33107" xr:uid="{00000000-0005-0000-0000-000019860000}"/>
    <cellStyle name="Comma 7 3 2 7" xfId="7146" xr:uid="{00000000-0005-0000-0000-00001A860000}"/>
    <cellStyle name="Comma 7 3 2 7 2" xfId="14418" xr:uid="{00000000-0005-0000-0000-00001B860000}"/>
    <cellStyle name="Comma 7 3 2 7 2 2" xfId="28952" xr:uid="{00000000-0005-0000-0000-00001C860000}"/>
    <cellStyle name="Comma 7 3 2 7 2 2 2" xfId="57958" xr:uid="{00000000-0005-0000-0000-00001D860000}"/>
    <cellStyle name="Comma 7 3 2 7 2 3" xfId="43459" xr:uid="{00000000-0005-0000-0000-00001E860000}"/>
    <cellStyle name="Comma 7 3 2 7 3" xfId="21704" xr:uid="{00000000-0005-0000-0000-00001F860000}"/>
    <cellStyle name="Comma 7 3 2 7 3 2" xfId="50710" xr:uid="{00000000-0005-0000-0000-000020860000}"/>
    <cellStyle name="Comma 7 3 2 7 4" xfId="36211" xr:uid="{00000000-0005-0000-0000-000021860000}"/>
    <cellStyle name="Comma 7 3 2 8" xfId="8210" xr:uid="{00000000-0005-0000-0000-000022860000}"/>
    <cellStyle name="Comma 7 3 2 8 2" xfId="22744" xr:uid="{00000000-0005-0000-0000-000023860000}"/>
    <cellStyle name="Comma 7 3 2 8 2 2" xfId="51750" xr:uid="{00000000-0005-0000-0000-000024860000}"/>
    <cellStyle name="Comma 7 3 2 8 3" xfId="37251" xr:uid="{00000000-0005-0000-0000-000025860000}"/>
    <cellStyle name="Comma 7 3 2 9" xfId="15496" xr:uid="{00000000-0005-0000-0000-000026860000}"/>
    <cellStyle name="Comma 7 3 2 9 2" xfId="44502" xr:uid="{00000000-0005-0000-0000-000027860000}"/>
    <cellStyle name="Comma 7 3 3" xfId="1136" xr:uid="{00000000-0005-0000-0000-000028860000}"/>
    <cellStyle name="Comma 7 3 3 10" xfId="59565" xr:uid="{00000000-0005-0000-0000-000029860000}"/>
    <cellStyle name="Comma 7 3 3 2" xfId="1634" xr:uid="{00000000-0005-0000-0000-00002A860000}"/>
    <cellStyle name="Comma 7 3 3 2 2" xfId="2693" xr:uid="{00000000-0005-0000-0000-00002B860000}"/>
    <cellStyle name="Comma 7 3 3 2 2 2" xfId="5797" xr:uid="{00000000-0005-0000-0000-00002C860000}"/>
    <cellStyle name="Comma 7 3 3 2 2 2 2" xfId="13069" xr:uid="{00000000-0005-0000-0000-00002D860000}"/>
    <cellStyle name="Comma 7 3 3 2 2 2 2 2" xfId="27603" xr:uid="{00000000-0005-0000-0000-00002E860000}"/>
    <cellStyle name="Comma 7 3 3 2 2 2 2 2 2" xfId="56609" xr:uid="{00000000-0005-0000-0000-00002F860000}"/>
    <cellStyle name="Comma 7 3 3 2 2 2 2 3" xfId="42110" xr:uid="{00000000-0005-0000-0000-000030860000}"/>
    <cellStyle name="Comma 7 3 3 2 2 2 3" xfId="20355" xr:uid="{00000000-0005-0000-0000-000031860000}"/>
    <cellStyle name="Comma 7 3 3 2 2 2 3 2" xfId="49361" xr:uid="{00000000-0005-0000-0000-000032860000}"/>
    <cellStyle name="Comma 7 3 3 2 2 2 4" xfId="34862" xr:uid="{00000000-0005-0000-0000-000033860000}"/>
    <cellStyle name="Comma 7 3 3 2 2 3" xfId="9965" xr:uid="{00000000-0005-0000-0000-000034860000}"/>
    <cellStyle name="Comma 7 3 3 2 2 3 2" xfId="24499" xr:uid="{00000000-0005-0000-0000-000035860000}"/>
    <cellStyle name="Comma 7 3 3 2 2 3 2 2" xfId="53505" xr:uid="{00000000-0005-0000-0000-000036860000}"/>
    <cellStyle name="Comma 7 3 3 2 2 3 3" xfId="39006" xr:uid="{00000000-0005-0000-0000-000037860000}"/>
    <cellStyle name="Comma 7 3 3 2 2 4" xfId="17251" xr:uid="{00000000-0005-0000-0000-000038860000}"/>
    <cellStyle name="Comma 7 3 3 2 2 4 2" xfId="46257" xr:uid="{00000000-0005-0000-0000-000039860000}"/>
    <cellStyle name="Comma 7 3 3 2 2 5" xfId="31758" xr:uid="{00000000-0005-0000-0000-00003A860000}"/>
    <cellStyle name="Comma 7 3 3 2 3" xfId="3725" xr:uid="{00000000-0005-0000-0000-00003B860000}"/>
    <cellStyle name="Comma 7 3 3 2 3 2" xfId="6829" xr:uid="{00000000-0005-0000-0000-00003C860000}"/>
    <cellStyle name="Comma 7 3 3 2 3 2 2" xfId="14101" xr:uid="{00000000-0005-0000-0000-00003D860000}"/>
    <cellStyle name="Comma 7 3 3 2 3 2 2 2" xfId="28635" xr:uid="{00000000-0005-0000-0000-00003E860000}"/>
    <cellStyle name="Comma 7 3 3 2 3 2 2 2 2" xfId="57641" xr:uid="{00000000-0005-0000-0000-00003F860000}"/>
    <cellStyle name="Comma 7 3 3 2 3 2 2 3" xfId="43142" xr:uid="{00000000-0005-0000-0000-000040860000}"/>
    <cellStyle name="Comma 7 3 3 2 3 2 3" xfId="21387" xr:uid="{00000000-0005-0000-0000-000041860000}"/>
    <cellStyle name="Comma 7 3 3 2 3 2 3 2" xfId="50393" xr:uid="{00000000-0005-0000-0000-000042860000}"/>
    <cellStyle name="Comma 7 3 3 2 3 2 4" xfId="35894" xr:uid="{00000000-0005-0000-0000-000043860000}"/>
    <cellStyle name="Comma 7 3 3 2 3 3" xfId="10997" xr:uid="{00000000-0005-0000-0000-000044860000}"/>
    <cellStyle name="Comma 7 3 3 2 3 3 2" xfId="25531" xr:uid="{00000000-0005-0000-0000-000045860000}"/>
    <cellStyle name="Comma 7 3 3 2 3 3 2 2" xfId="54537" xr:uid="{00000000-0005-0000-0000-000046860000}"/>
    <cellStyle name="Comma 7 3 3 2 3 3 3" xfId="40038" xr:uid="{00000000-0005-0000-0000-000047860000}"/>
    <cellStyle name="Comma 7 3 3 2 3 4" xfId="18283" xr:uid="{00000000-0005-0000-0000-000048860000}"/>
    <cellStyle name="Comma 7 3 3 2 3 4 2" xfId="47289" xr:uid="{00000000-0005-0000-0000-000049860000}"/>
    <cellStyle name="Comma 7 3 3 2 3 5" xfId="32790" xr:uid="{00000000-0005-0000-0000-00004A860000}"/>
    <cellStyle name="Comma 7 3 3 2 4" xfId="4757" xr:uid="{00000000-0005-0000-0000-00004B860000}"/>
    <cellStyle name="Comma 7 3 3 2 4 2" xfId="12029" xr:uid="{00000000-0005-0000-0000-00004C860000}"/>
    <cellStyle name="Comma 7 3 3 2 4 2 2" xfId="26563" xr:uid="{00000000-0005-0000-0000-00004D860000}"/>
    <cellStyle name="Comma 7 3 3 2 4 2 2 2" xfId="55569" xr:uid="{00000000-0005-0000-0000-00004E860000}"/>
    <cellStyle name="Comma 7 3 3 2 4 2 3" xfId="41070" xr:uid="{00000000-0005-0000-0000-00004F860000}"/>
    <cellStyle name="Comma 7 3 3 2 4 3" xfId="19315" xr:uid="{00000000-0005-0000-0000-000050860000}"/>
    <cellStyle name="Comma 7 3 3 2 4 3 2" xfId="48321" xr:uid="{00000000-0005-0000-0000-000051860000}"/>
    <cellStyle name="Comma 7 3 3 2 4 4" xfId="33822" xr:uid="{00000000-0005-0000-0000-000052860000}"/>
    <cellStyle name="Comma 7 3 3 2 5" xfId="7861" xr:uid="{00000000-0005-0000-0000-000053860000}"/>
    <cellStyle name="Comma 7 3 3 2 5 2" xfId="15133" xr:uid="{00000000-0005-0000-0000-000054860000}"/>
    <cellStyle name="Comma 7 3 3 2 5 2 2" xfId="29667" xr:uid="{00000000-0005-0000-0000-000055860000}"/>
    <cellStyle name="Comma 7 3 3 2 5 2 2 2" xfId="58673" xr:uid="{00000000-0005-0000-0000-000056860000}"/>
    <cellStyle name="Comma 7 3 3 2 5 2 3" xfId="44174" xr:uid="{00000000-0005-0000-0000-000057860000}"/>
    <cellStyle name="Comma 7 3 3 2 5 3" xfId="22419" xr:uid="{00000000-0005-0000-0000-000058860000}"/>
    <cellStyle name="Comma 7 3 3 2 5 3 2" xfId="51425" xr:uid="{00000000-0005-0000-0000-000059860000}"/>
    <cellStyle name="Comma 7 3 3 2 5 4" xfId="36926" xr:uid="{00000000-0005-0000-0000-00005A860000}"/>
    <cellStyle name="Comma 7 3 3 2 6" xfId="8925" xr:uid="{00000000-0005-0000-0000-00005B860000}"/>
    <cellStyle name="Comma 7 3 3 2 6 2" xfId="23459" xr:uid="{00000000-0005-0000-0000-00005C860000}"/>
    <cellStyle name="Comma 7 3 3 2 6 2 2" xfId="52465" xr:uid="{00000000-0005-0000-0000-00005D860000}"/>
    <cellStyle name="Comma 7 3 3 2 6 3" xfId="37966" xr:uid="{00000000-0005-0000-0000-00005E860000}"/>
    <cellStyle name="Comma 7 3 3 2 7" xfId="16211" xr:uid="{00000000-0005-0000-0000-00005F860000}"/>
    <cellStyle name="Comma 7 3 3 2 7 2" xfId="45217" xr:uid="{00000000-0005-0000-0000-000060860000}"/>
    <cellStyle name="Comma 7 3 3 2 8" xfId="30718" xr:uid="{00000000-0005-0000-0000-000061860000}"/>
    <cellStyle name="Comma 7 3 3 3" xfId="2181" xr:uid="{00000000-0005-0000-0000-000062860000}"/>
    <cellStyle name="Comma 7 3 3 3 2" xfId="5285" xr:uid="{00000000-0005-0000-0000-000063860000}"/>
    <cellStyle name="Comma 7 3 3 3 2 2" xfId="12557" xr:uid="{00000000-0005-0000-0000-000064860000}"/>
    <cellStyle name="Comma 7 3 3 3 2 2 2" xfId="27091" xr:uid="{00000000-0005-0000-0000-000065860000}"/>
    <cellStyle name="Comma 7 3 3 3 2 2 2 2" xfId="56097" xr:uid="{00000000-0005-0000-0000-000066860000}"/>
    <cellStyle name="Comma 7 3 3 3 2 2 3" xfId="41598" xr:uid="{00000000-0005-0000-0000-000067860000}"/>
    <cellStyle name="Comma 7 3 3 3 2 3" xfId="19843" xr:uid="{00000000-0005-0000-0000-000068860000}"/>
    <cellStyle name="Comma 7 3 3 3 2 3 2" xfId="48849" xr:uid="{00000000-0005-0000-0000-000069860000}"/>
    <cellStyle name="Comma 7 3 3 3 2 4" xfId="34350" xr:uid="{00000000-0005-0000-0000-00006A860000}"/>
    <cellStyle name="Comma 7 3 3 3 3" xfId="9453" xr:uid="{00000000-0005-0000-0000-00006B860000}"/>
    <cellStyle name="Comma 7 3 3 3 3 2" xfId="23987" xr:uid="{00000000-0005-0000-0000-00006C860000}"/>
    <cellStyle name="Comma 7 3 3 3 3 2 2" xfId="52993" xr:uid="{00000000-0005-0000-0000-00006D860000}"/>
    <cellStyle name="Comma 7 3 3 3 3 3" xfId="38494" xr:uid="{00000000-0005-0000-0000-00006E860000}"/>
    <cellStyle name="Comma 7 3 3 3 4" xfId="16739" xr:uid="{00000000-0005-0000-0000-00006F860000}"/>
    <cellStyle name="Comma 7 3 3 3 4 2" xfId="45745" xr:uid="{00000000-0005-0000-0000-000070860000}"/>
    <cellStyle name="Comma 7 3 3 3 5" xfId="31246" xr:uid="{00000000-0005-0000-0000-000071860000}"/>
    <cellStyle name="Comma 7 3 3 4" xfId="3213" xr:uid="{00000000-0005-0000-0000-000072860000}"/>
    <cellStyle name="Comma 7 3 3 4 2" xfId="6317" xr:uid="{00000000-0005-0000-0000-000073860000}"/>
    <cellStyle name="Comma 7 3 3 4 2 2" xfId="13589" xr:uid="{00000000-0005-0000-0000-000074860000}"/>
    <cellStyle name="Comma 7 3 3 4 2 2 2" xfId="28123" xr:uid="{00000000-0005-0000-0000-000075860000}"/>
    <cellStyle name="Comma 7 3 3 4 2 2 2 2" xfId="57129" xr:uid="{00000000-0005-0000-0000-000076860000}"/>
    <cellStyle name="Comma 7 3 3 4 2 2 3" xfId="42630" xr:uid="{00000000-0005-0000-0000-000077860000}"/>
    <cellStyle name="Comma 7 3 3 4 2 3" xfId="20875" xr:uid="{00000000-0005-0000-0000-000078860000}"/>
    <cellStyle name="Comma 7 3 3 4 2 3 2" xfId="49881" xr:uid="{00000000-0005-0000-0000-000079860000}"/>
    <cellStyle name="Comma 7 3 3 4 2 4" xfId="35382" xr:uid="{00000000-0005-0000-0000-00007A860000}"/>
    <cellStyle name="Comma 7 3 3 4 3" xfId="10485" xr:uid="{00000000-0005-0000-0000-00007B860000}"/>
    <cellStyle name="Comma 7 3 3 4 3 2" xfId="25019" xr:uid="{00000000-0005-0000-0000-00007C860000}"/>
    <cellStyle name="Comma 7 3 3 4 3 2 2" xfId="54025" xr:uid="{00000000-0005-0000-0000-00007D860000}"/>
    <cellStyle name="Comma 7 3 3 4 3 3" xfId="39526" xr:uid="{00000000-0005-0000-0000-00007E860000}"/>
    <cellStyle name="Comma 7 3 3 4 4" xfId="17771" xr:uid="{00000000-0005-0000-0000-00007F860000}"/>
    <cellStyle name="Comma 7 3 3 4 4 2" xfId="46777" xr:uid="{00000000-0005-0000-0000-000080860000}"/>
    <cellStyle name="Comma 7 3 3 4 5" xfId="32278" xr:uid="{00000000-0005-0000-0000-000081860000}"/>
    <cellStyle name="Comma 7 3 3 5" xfId="4245" xr:uid="{00000000-0005-0000-0000-000082860000}"/>
    <cellStyle name="Comma 7 3 3 5 2" xfId="11517" xr:uid="{00000000-0005-0000-0000-000083860000}"/>
    <cellStyle name="Comma 7 3 3 5 2 2" xfId="26051" xr:uid="{00000000-0005-0000-0000-000084860000}"/>
    <cellStyle name="Comma 7 3 3 5 2 2 2" xfId="55057" xr:uid="{00000000-0005-0000-0000-000085860000}"/>
    <cellStyle name="Comma 7 3 3 5 2 3" xfId="40558" xr:uid="{00000000-0005-0000-0000-000086860000}"/>
    <cellStyle name="Comma 7 3 3 5 3" xfId="18803" xr:uid="{00000000-0005-0000-0000-000087860000}"/>
    <cellStyle name="Comma 7 3 3 5 3 2" xfId="47809" xr:uid="{00000000-0005-0000-0000-000088860000}"/>
    <cellStyle name="Comma 7 3 3 5 4" xfId="33310" xr:uid="{00000000-0005-0000-0000-000089860000}"/>
    <cellStyle name="Comma 7 3 3 6" xfId="7349" xr:uid="{00000000-0005-0000-0000-00008A860000}"/>
    <cellStyle name="Comma 7 3 3 6 2" xfId="14621" xr:uid="{00000000-0005-0000-0000-00008B860000}"/>
    <cellStyle name="Comma 7 3 3 6 2 2" xfId="29155" xr:uid="{00000000-0005-0000-0000-00008C860000}"/>
    <cellStyle name="Comma 7 3 3 6 2 2 2" xfId="58161" xr:uid="{00000000-0005-0000-0000-00008D860000}"/>
    <cellStyle name="Comma 7 3 3 6 2 3" xfId="43662" xr:uid="{00000000-0005-0000-0000-00008E860000}"/>
    <cellStyle name="Comma 7 3 3 6 3" xfId="21907" xr:uid="{00000000-0005-0000-0000-00008F860000}"/>
    <cellStyle name="Comma 7 3 3 6 3 2" xfId="50913" xr:uid="{00000000-0005-0000-0000-000090860000}"/>
    <cellStyle name="Comma 7 3 3 6 4" xfId="36414" xr:uid="{00000000-0005-0000-0000-000091860000}"/>
    <cellStyle name="Comma 7 3 3 7" xfId="8413" xr:uid="{00000000-0005-0000-0000-000092860000}"/>
    <cellStyle name="Comma 7 3 3 7 2" xfId="22947" xr:uid="{00000000-0005-0000-0000-000093860000}"/>
    <cellStyle name="Comma 7 3 3 7 2 2" xfId="51953" xr:uid="{00000000-0005-0000-0000-000094860000}"/>
    <cellStyle name="Comma 7 3 3 7 3" xfId="37454" xr:uid="{00000000-0005-0000-0000-000095860000}"/>
    <cellStyle name="Comma 7 3 3 8" xfId="15699" xr:uid="{00000000-0005-0000-0000-000096860000}"/>
    <cellStyle name="Comma 7 3 3 8 2" xfId="44705" xr:uid="{00000000-0005-0000-0000-000097860000}"/>
    <cellStyle name="Comma 7 3 3 9" xfId="30206" xr:uid="{00000000-0005-0000-0000-000098860000}"/>
    <cellStyle name="Comma 7 3 4" xfId="1045" xr:uid="{00000000-0005-0000-0000-000099860000}"/>
    <cellStyle name="Comma 7 3 4 2" xfId="1535" xr:uid="{00000000-0005-0000-0000-00009A860000}"/>
    <cellStyle name="Comma 7 3 4 2 2" xfId="2593" xr:uid="{00000000-0005-0000-0000-00009B860000}"/>
    <cellStyle name="Comma 7 3 4 2 2 2" xfId="5697" xr:uid="{00000000-0005-0000-0000-00009C860000}"/>
    <cellStyle name="Comma 7 3 4 2 2 2 2" xfId="12969" xr:uid="{00000000-0005-0000-0000-00009D860000}"/>
    <cellStyle name="Comma 7 3 4 2 2 2 2 2" xfId="27503" xr:uid="{00000000-0005-0000-0000-00009E860000}"/>
    <cellStyle name="Comma 7 3 4 2 2 2 2 2 2" xfId="56509" xr:uid="{00000000-0005-0000-0000-00009F860000}"/>
    <cellStyle name="Comma 7 3 4 2 2 2 2 3" xfId="42010" xr:uid="{00000000-0005-0000-0000-0000A0860000}"/>
    <cellStyle name="Comma 7 3 4 2 2 2 3" xfId="20255" xr:uid="{00000000-0005-0000-0000-0000A1860000}"/>
    <cellStyle name="Comma 7 3 4 2 2 2 3 2" xfId="49261" xr:uid="{00000000-0005-0000-0000-0000A2860000}"/>
    <cellStyle name="Comma 7 3 4 2 2 2 4" xfId="34762" xr:uid="{00000000-0005-0000-0000-0000A3860000}"/>
    <cellStyle name="Comma 7 3 4 2 2 3" xfId="9865" xr:uid="{00000000-0005-0000-0000-0000A4860000}"/>
    <cellStyle name="Comma 7 3 4 2 2 3 2" xfId="24399" xr:uid="{00000000-0005-0000-0000-0000A5860000}"/>
    <cellStyle name="Comma 7 3 4 2 2 3 2 2" xfId="53405" xr:uid="{00000000-0005-0000-0000-0000A6860000}"/>
    <cellStyle name="Comma 7 3 4 2 2 3 3" xfId="38906" xr:uid="{00000000-0005-0000-0000-0000A7860000}"/>
    <cellStyle name="Comma 7 3 4 2 2 4" xfId="17151" xr:uid="{00000000-0005-0000-0000-0000A8860000}"/>
    <cellStyle name="Comma 7 3 4 2 2 4 2" xfId="46157" xr:uid="{00000000-0005-0000-0000-0000A9860000}"/>
    <cellStyle name="Comma 7 3 4 2 2 5" xfId="31658" xr:uid="{00000000-0005-0000-0000-0000AA860000}"/>
    <cellStyle name="Comma 7 3 4 2 3" xfId="3625" xr:uid="{00000000-0005-0000-0000-0000AB860000}"/>
    <cellStyle name="Comma 7 3 4 2 3 2" xfId="6729" xr:uid="{00000000-0005-0000-0000-0000AC860000}"/>
    <cellStyle name="Comma 7 3 4 2 3 2 2" xfId="14001" xr:uid="{00000000-0005-0000-0000-0000AD860000}"/>
    <cellStyle name="Comma 7 3 4 2 3 2 2 2" xfId="28535" xr:uid="{00000000-0005-0000-0000-0000AE860000}"/>
    <cellStyle name="Comma 7 3 4 2 3 2 2 2 2" xfId="57541" xr:uid="{00000000-0005-0000-0000-0000AF860000}"/>
    <cellStyle name="Comma 7 3 4 2 3 2 2 3" xfId="43042" xr:uid="{00000000-0005-0000-0000-0000B0860000}"/>
    <cellStyle name="Comma 7 3 4 2 3 2 3" xfId="21287" xr:uid="{00000000-0005-0000-0000-0000B1860000}"/>
    <cellStyle name="Comma 7 3 4 2 3 2 3 2" xfId="50293" xr:uid="{00000000-0005-0000-0000-0000B2860000}"/>
    <cellStyle name="Comma 7 3 4 2 3 2 4" xfId="35794" xr:uid="{00000000-0005-0000-0000-0000B3860000}"/>
    <cellStyle name="Comma 7 3 4 2 3 3" xfId="10897" xr:uid="{00000000-0005-0000-0000-0000B4860000}"/>
    <cellStyle name="Comma 7 3 4 2 3 3 2" xfId="25431" xr:uid="{00000000-0005-0000-0000-0000B5860000}"/>
    <cellStyle name="Comma 7 3 4 2 3 3 2 2" xfId="54437" xr:uid="{00000000-0005-0000-0000-0000B6860000}"/>
    <cellStyle name="Comma 7 3 4 2 3 3 3" xfId="39938" xr:uid="{00000000-0005-0000-0000-0000B7860000}"/>
    <cellStyle name="Comma 7 3 4 2 3 4" xfId="18183" xr:uid="{00000000-0005-0000-0000-0000B8860000}"/>
    <cellStyle name="Comma 7 3 4 2 3 4 2" xfId="47189" xr:uid="{00000000-0005-0000-0000-0000B9860000}"/>
    <cellStyle name="Comma 7 3 4 2 3 5" xfId="32690" xr:uid="{00000000-0005-0000-0000-0000BA860000}"/>
    <cellStyle name="Comma 7 3 4 2 4" xfId="4657" xr:uid="{00000000-0005-0000-0000-0000BB860000}"/>
    <cellStyle name="Comma 7 3 4 2 4 2" xfId="11929" xr:uid="{00000000-0005-0000-0000-0000BC860000}"/>
    <cellStyle name="Comma 7 3 4 2 4 2 2" xfId="26463" xr:uid="{00000000-0005-0000-0000-0000BD860000}"/>
    <cellStyle name="Comma 7 3 4 2 4 2 2 2" xfId="55469" xr:uid="{00000000-0005-0000-0000-0000BE860000}"/>
    <cellStyle name="Comma 7 3 4 2 4 2 3" xfId="40970" xr:uid="{00000000-0005-0000-0000-0000BF860000}"/>
    <cellStyle name="Comma 7 3 4 2 4 3" xfId="19215" xr:uid="{00000000-0005-0000-0000-0000C0860000}"/>
    <cellStyle name="Comma 7 3 4 2 4 3 2" xfId="48221" xr:uid="{00000000-0005-0000-0000-0000C1860000}"/>
    <cellStyle name="Comma 7 3 4 2 4 4" xfId="33722" xr:uid="{00000000-0005-0000-0000-0000C2860000}"/>
    <cellStyle name="Comma 7 3 4 2 5" xfId="7761" xr:uid="{00000000-0005-0000-0000-0000C3860000}"/>
    <cellStyle name="Comma 7 3 4 2 5 2" xfId="15033" xr:uid="{00000000-0005-0000-0000-0000C4860000}"/>
    <cellStyle name="Comma 7 3 4 2 5 2 2" xfId="29567" xr:uid="{00000000-0005-0000-0000-0000C5860000}"/>
    <cellStyle name="Comma 7 3 4 2 5 2 2 2" xfId="58573" xr:uid="{00000000-0005-0000-0000-0000C6860000}"/>
    <cellStyle name="Comma 7 3 4 2 5 2 3" xfId="44074" xr:uid="{00000000-0005-0000-0000-0000C7860000}"/>
    <cellStyle name="Comma 7 3 4 2 5 3" xfId="22319" xr:uid="{00000000-0005-0000-0000-0000C8860000}"/>
    <cellStyle name="Comma 7 3 4 2 5 3 2" xfId="51325" xr:uid="{00000000-0005-0000-0000-0000C9860000}"/>
    <cellStyle name="Comma 7 3 4 2 5 4" xfId="36826" xr:uid="{00000000-0005-0000-0000-0000CA860000}"/>
    <cellStyle name="Comma 7 3 4 2 6" xfId="8825" xr:uid="{00000000-0005-0000-0000-0000CB860000}"/>
    <cellStyle name="Comma 7 3 4 2 6 2" xfId="23359" xr:uid="{00000000-0005-0000-0000-0000CC860000}"/>
    <cellStyle name="Comma 7 3 4 2 6 2 2" xfId="52365" xr:uid="{00000000-0005-0000-0000-0000CD860000}"/>
    <cellStyle name="Comma 7 3 4 2 6 3" xfId="37866" xr:uid="{00000000-0005-0000-0000-0000CE860000}"/>
    <cellStyle name="Comma 7 3 4 2 7" xfId="16111" xr:uid="{00000000-0005-0000-0000-0000CF860000}"/>
    <cellStyle name="Comma 7 3 4 2 7 2" xfId="45117" xr:uid="{00000000-0005-0000-0000-0000D0860000}"/>
    <cellStyle name="Comma 7 3 4 2 8" xfId="30618" xr:uid="{00000000-0005-0000-0000-0000D1860000}"/>
    <cellStyle name="Comma 7 3 4 3" xfId="2081" xr:uid="{00000000-0005-0000-0000-0000D2860000}"/>
    <cellStyle name="Comma 7 3 4 3 2" xfId="5185" xr:uid="{00000000-0005-0000-0000-0000D3860000}"/>
    <cellStyle name="Comma 7 3 4 3 2 2" xfId="12457" xr:uid="{00000000-0005-0000-0000-0000D4860000}"/>
    <cellStyle name="Comma 7 3 4 3 2 2 2" xfId="26991" xr:uid="{00000000-0005-0000-0000-0000D5860000}"/>
    <cellStyle name="Comma 7 3 4 3 2 2 2 2" xfId="55997" xr:uid="{00000000-0005-0000-0000-0000D6860000}"/>
    <cellStyle name="Comma 7 3 4 3 2 2 3" xfId="41498" xr:uid="{00000000-0005-0000-0000-0000D7860000}"/>
    <cellStyle name="Comma 7 3 4 3 2 3" xfId="19743" xr:uid="{00000000-0005-0000-0000-0000D8860000}"/>
    <cellStyle name="Comma 7 3 4 3 2 3 2" xfId="48749" xr:uid="{00000000-0005-0000-0000-0000D9860000}"/>
    <cellStyle name="Comma 7 3 4 3 2 4" xfId="34250" xr:uid="{00000000-0005-0000-0000-0000DA860000}"/>
    <cellStyle name="Comma 7 3 4 3 3" xfId="9353" xr:uid="{00000000-0005-0000-0000-0000DB860000}"/>
    <cellStyle name="Comma 7 3 4 3 3 2" xfId="23887" xr:uid="{00000000-0005-0000-0000-0000DC860000}"/>
    <cellStyle name="Comma 7 3 4 3 3 2 2" xfId="52893" xr:uid="{00000000-0005-0000-0000-0000DD860000}"/>
    <cellStyle name="Comma 7 3 4 3 3 3" xfId="38394" xr:uid="{00000000-0005-0000-0000-0000DE860000}"/>
    <cellStyle name="Comma 7 3 4 3 4" xfId="16639" xr:uid="{00000000-0005-0000-0000-0000DF860000}"/>
    <cellStyle name="Comma 7 3 4 3 4 2" xfId="45645" xr:uid="{00000000-0005-0000-0000-0000E0860000}"/>
    <cellStyle name="Comma 7 3 4 3 5" xfId="31146" xr:uid="{00000000-0005-0000-0000-0000E1860000}"/>
    <cellStyle name="Comma 7 3 4 4" xfId="3113" xr:uid="{00000000-0005-0000-0000-0000E2860000}"/>
    <cellStyle name="Comma 7 3 4 4 2" xfId="6217" xr:uid="{00000000-0005-0000-0000-0000E3860000}"/>
    <cellStyle name="Comma 7 3 4 4 2 2" xfId="13489" xr:uid="{00000000-0005-0000-0000-0000E4860000}"/>
    <cellStyle name="Comma 7 3 4 4 2 2 2" xfId="28023" xr:uid="{00000000-0005-0000-0000-0000E5860000}"/>
    <cellStyle name="Comma 7 3 4 4 2 2 2 2" xfId="57029" xr:uid="{00000000-0005-0000-0000-0000E6860000}"/>
    <cellStyle name="Comma 7 3 4 4 2 2 3" xfId="42530" xr:uid="{00000000-0005-0000-0000-0000E7860000}"/>
    <cellStyle name="Comma 7 3 4 4 2 3" xfId="20775" xr:uid="{00000000-0005-0000-0000-0000E8860000}"/>
    <cellStyle name="Comma 7 3 4 4 2 3 2" xfId="49781" xr:uid="{00000000-0005-0000-0000-0000E9860000}"/>
    <cellStyle name="Comma 7 3 4 4 2 4" xfId="35282" xr:uid="{00000000-0005-0000-0000-0000EA860000}"/>
    <cellStyle name="Comma 7 3 4 4 3" xfId="10385" xr:uid="{00000000-0005-0000-0000-0000EB860000}"/>
    <cellStyle name="Comma 7 3 4 4 3 2" xfId="24919" xr:uid="{00000000-0005-0000-0000-0000EC860000}"/>
    <cellStyle name="Comma 7 3 4 4 3 2 2" xfId="53925" xr:uid="{00000000-0005-0000-0000-0000ED860000}"/>
    <cellStyle name="Comma 7 3 4 4 3 3" xfId="39426" xr:uid="{00000000-0005-0000-0000-0000EE860000}"/>
    <cellStyle name="Comma 7 3 4 4 4" xfId="17671" xr:uid="{00000000-0005-0000-0000-0000EF860000}"/>
    <cellStyle name="Comma 7 3 4 4 4 2" xfId="46677" xr:uid="{00000000-0005-0000-0000-0000F0860000}"/>
    <cellStyle name="Comma 7 3 4 4 5" xfId="32178" xr:uid="{00000000-0005-0000-0000-0000F1860000}"/>
    <cellStyle name="Comma 7 3 4 5" xfId="4145" xr:uid="{00000000-0005-0000-0000-0000F2860000}"/>
    <cellStyle name="Comma 7 3 4 5 2" xfId="11417" xr:uid="{00000000-0005-0000-0000-0000F3860000}"/>
    <cellStyle name="Comma 7 3 4 5 2 2" xfId="25951" xr:uid="{00000000-0005-0000-0000-0000F4860000}"/>
    <cellStyle name="Comma 7 3 4 5 2 2 2" xfId="54957" xr:uid="{00000000-0005-0000-0000-0000F5860000}"/>
    <cellStyle name="Comma 7 3 4 5 2 3" xfId="40458" xr:uid="{00000000-0005-0000-0000-0000F6860000}"/>
    <cellStyle name="Comma 7 3 4 5 3" xfId="18703" xr:uid="{00000000-0005-0000-0000-0000F7860000}"/>
    <cellStyle name="Comma 7 3 4 5 3 2" xfId="47709" xr:uid="{00000000-0005-0000-0000-0000F8860000}"/>
    <cellStyle name="Comma 7 3 4 5 4" xfId="33210" xr:uid="{00000000-0005-0000-0000-0000F9860000}"/>
    <cellStyle name="Comma 7 3 4 6" xfId="7249" xr:uid="{00000000-0005-0000-0000-0000FA860000}"/>
    <cellStyle name="Comma 7 3 4 6 2" xfId="14521" xr:uid="{00000000-0005-0000-0000-0000FB860000}"/>
    <cellStyle name="Comma 7 3 4 6 2 2" xfId="29055" xr:uid="{00000000-0005-0000-0000-0000FC860000}"/>
    <cellStyle name="Comma 7 3 4 6 2 2 2" xfId="58061" xr:uid="{00000000-0005-0000-0000-0000FD860000}"/>
    <cellStyle name="Comma 7 3 4 6 2 3" xfId="43562" xr:uid="{00000000-0005-0000-0000-0000FE860000}"/>
    <cellStyle name="Comma 7 3 4 6 3" xfId="21807" xr:uid="{00000000-0005-0000-0000-0000FF860000}"/>
    <cellStyle name="Comma 7 3 4 6 3 2" xfId="50813" xr:uid="{00000000-0005-0000-0000-000000870000}"/>
    <cellStyle name="Comma 7 3 4 6 4" xfId="36314" xr:uid="{00000000-0005-0000-0000-000001870000}"/>
    <cellStyle name="Comma 7 3 4 7" xfId="8313" xr:uid="{00000000-0005-0000-0000-000002870000}"/>
    <cellStyle name="Comma 7 3 4 7 2" xfId="22847" xr:uid="{00000000-0005-0000-0000-000003870000}"/>
    <cellStyle name="Comma 7 3 4 7 2 2" xfId="51853" xr:uid="{00000000-0005-0000-0000-000004870000}"/>
    <cellStyle name="Comma 7 3 4 7 3" xfId="37354" xr:uid="{00000000-0005-0000-0000-000005870000}"/>
    <cellStyle name="Comma 7 3 4 8" xfId="15599" xr:uid="{00000000-0005-0000-0000-000006870000}"/>
    <cellStyle name="Comma 7 3 4 8 2" xfId="44605" xr:uid="{00000000-0005-0000-0000-000007870000}"/>
    <cellStyle name="Comma 7 3 4 9" xfId="30106" xr:uid="{00000000-0005-0000-0000-000008870000}"/>
    <cellStyle name="Comma 7 3 5" xfId="1330" xr:uid="{00000000-0005-0000-0000-000009870000}"/>
    <cellStyle name="Comma 7 3 5 2" xfId="2387" xr:uid="{00000000-0005-0000-0000-00000A870000}"/>
    <cellStyle name="Comma 7 3 5 2 2" xfId="5491" xr:uid="{00000000-0005-0000-0000-00000B870000}"/>
    <cellStyle name="Comma 7 3 5 2 2 2" xfId="12763" xr:uid="{00000000-0005-0000-0000-00000C870000}"/>
    <cellStyle name="Comma 7 3 5 2 2 2 2" xfId="27297" xr:uid="{00000000-0005-0000-0000-00000D870000}"/>
    <cellStyle name="Comma 7 3 5 2 2 2 2 2" xfId="56303" xr:uid="{00000000-0005-0000-0000-00000E870000}"/>
    <cellStyle name="Comma 7 3 5 2 2 2 3" xfId="41804" xr:uid="{00000000-0005-0000-0000-00000F870000}"/>
    <cellStyle name="Comma 7 3 5 2 2 3" xfId="20049" xr:uid="{00000000-0005-0000-0000-000010870000}"/>
    <cellStyle name="Comma 7 3 5 2 2 3 2" xfId="49055" xr:uid="{00000000-0005-0000-0000-000011870000}"/>
    <cellStyle name="Comma 7 3 5 2 2 4" xfId="34556" xr:uid="{00000000-0005-0000-0000-000012870000}"/>
    <cellStyle name="Comma 7 3 5 2 3" xfId="9659" xr:uid="{00000000-0005-0000-0000-000013870000}"/>
    <cellStyle name="Comma 7 3 5 2 3 2" xfId="24193" xr:uid="{00000000-0005-0000-0000-000014870000}"/>
    <cellStyle name="Comma 7 3 5 2 3 2 2" xfId="53199" xr:uid="{00000000-0005-0000-0000-000015870000}"/>
    <cellStyle name="Comma 7 3 5 2 3 3" xfId="38700" xr:uid="{00000000-0005-0000-0000-000016870000}"/>
    <cellStyle name="Comma 7 3 5 2 4" xfId="16945" xr:uid="{00000000-0005-0000-0000-000017870000}"/>
    <cellStyle name="Comma 7 3 5 2 4 2" xfId="45951" xr:uid="{00000000-0005-0000-0000-000018870000}"/>
    <cellStyle name="Comma 7 3 5 2 5" xfId="31452" xr:uid="{00000000-0005-0000-0000-000019870000}"/>
    <cellStyle name="Comma 7 3 5 3" xfId="3419" xr:uid="{00000000-0005-0000-0000-00001A870000}"/>
    <cellStyle name="Comma 7 3 5 3 2" xfId="6523" xr:uid="{00000000-0005-0000-0000-00001B870000}"/>
    <cellStyle name="Comma 7 3 5 3 2 2" xfId="13795" xr:uid="{00000000-0005-0000-0000-00001C870000}"/>
    <cellStyle name="Comma 7 3 5 3 2 2 2" xfId="28329" xr:uid="{00000000-0005-0000-0000-00001D870000}"/>
    <cellStyle name="Comma 7 3 5 3 2 2 2 2" xfId="57335" xr:uid="{00000000-0005-0000-0000-00001E870000}"/>
    <cellStyle name="Comma 7 3 5 3 2 2 3" xfId="42836" xr:uid="{00000000-0005-0000-0000-00001F870000}"/>
    <cellStyle name="Comma 7 3 5 3 2 3" xfId="21081" xr:uid="{00000000-0005-0000-0000-000020870000}"/>
    <cellStyle name="Comma 7 3 5 3 2 3 2" xfId="50087" xr:uid="{00000000-0005-0000-0000-000021870000}"/>
    <cellStyle name="Comma 7 3 5 3 2 4" xfId="35588" xr:uid="{00000000-0005-0000-0000-000022870000}"/>
    <cellStyle name="Comma 7 3 5 3 3" xfId="10691" xr:uid="{00000000-0005-0000-0000-000023870000}"/>
    <cellStyle name="Comma 7 3 5 3 3 2" xfId="25225" xr:uid="{00000000-0005-0000-0000-000024870000}"/>
    <cellStyle name="Comma 7 3 5 3 3 2 2" xfId="54231" xr:uid="{00000000-0005-0000-0000-000025870000}"/>
    <cellStyle name="Comma 7 3 5 3 3 3" xfId="39732" xr:uid="{00000000-0005-0000-0000-000026870000}"/>
    <cellStyle name="Comma 7 3 5 3 4" xfId="17977" xr:uid="{00000000-0005-0000-0000-000027870000}"/>
    <cellStyle name="Comma 7 3 5 3 4 2" xfId="46983" xr:uid="{00000000-0005-0000-0000-000028870000}"/>
    <cellStyle name="Comma 7 3 5 3 5" xfId="32484" xr:uid="{00000000-0005-0000-0000-000029870000}"/>
    <cellStyle name="Comma 7 3 5 4" xfId="4451" xr:uid="{00000000-0005-0000-0000-00002A870000}"/>
    <cellStyle name="Comma 7 3 5 4 2" xfId="11723" xr:uid="{00000000-0005-0000-0000-00002B870000}"/>
    <cellStyle name="Comma 7 3 5 4 2 2" xfId="26257" xr:uid="{00000000-0005-0000-0000-00002C870000}"/>
    <cellStyle name="Comma 7 3 5 4 2 2 2" xfId="55263" xr:uid="{00000000-0005-0000-0000-00002D870000}"/>
    <cellStyle name="Comma 7 3 5 4 2 3" xfId="40764" xr:uid="{00000000-0005-0000-0000-00002E870000}"/>
    <cellStyle name="Comma 7 3 5 4 3" xfId="19009" xr:uid="{00000000-0005-0000-0000-00002F870000}"/>
    <cellStyle name="Comma 7 3 5 4 3 2" xfId="48015" xr:uid="{00000000-0005-0000-0000-000030870000}"/>
    <cellStyle name="Comma 7 3 5 4 4" xfId="33516" xr:uid="{00000000-0005-0000-0000-000031870000}"/>
    <cellStyle name="Comma 7 3 5 5" xfId="7555" xr:uid="{00000000-0005-0000-0000-000032870000}"/>
    <cellStyle name="Comma 7 3 5 5 2" xfId="14827" xr:uid="{00000000-0005-0000-0000-000033870000}"/>
    <cellStyle name="Comma 7 3 5 5 2 2" xfId="29361" xr:uid="{00000000-0005-0000-0000-000034870000}"/>
    <cellStyle name="Comma 7 3 5 5 2 2 2" xfId="58367" xr:uid="{00000000-0005-0000-0000-000035870000}"/>
    <cellStyle name="Comma 7 3 5 5 2 3" xfId="43868" xr:uid="{00000000-0005-0000-0000-000036870000}"/>
    <cellStyle name="Comma 7 3 5 5 3" xfId="22113" xr:uid="{00000000-0005-0000-0000-000037870000}"/>
    <cellStyle name="Comma 7 3 5 5 3 2" xfId="51119" xr:uid="{00000000-0005-0000-0000-000038870000}"/>
    <cellStyle name="Comma 7 3 5 5 4" xfId="36620" xr:uid="{00000000-0005-0000-0000-000039870000}"/>
    <cellStyle name="Comma 7 3 5 6" xfId="8619" xr:uid="{00000000-0005-0000-0000-00003A870000}"/>
    <cellStyle name="Comma 7 3 5 6 2" xfId="23153" xr:uid="{00000000-0005-0000-0000-00003B870000}"/>
    <cellStyle name="Comma 7 3 5 6 2 2" xfId="52159" xr:uid="{00000000-0005-0000-0000-00003C870000}"/>
    <cellStyle name="Comma 7 3 5 6 3" xfId="37660" xr:uid="{00000000-0005-0000-0000-00003D870000}"/>
    <cellStyle name="Comma 7 3 5 7" xfId="15905" xr:uid="{00000000-0005-0000-0000-00003E870000}"/>
    <cellStyle name="Comma 7 3 5 7 2" xfId="44911" xr:uid="{00000000-0005-0000-0000-00003F870000}"/>
    <cellStyle name="Comma 7 3 5 8" xfId="30412" xr:uid="{00000000-0005-0000-0000-000040870000}"/>
    <cellStyle name="Comma 7 3 6" xfId="1875" xr:uid="{00000000-0005-0000-0000-000041870000}"/>
    <cellStyle name="Comma 7 3 6 2" xfId="4979" xr:uid="{00000000-0005-0000-0000-000042870000}"/>
    <cellStyle name="Comma 7 3 6 2 2" xfId="12251" xr:uid="{00000000-0005-0000-0000-000043870000}"/>
    <cellStyle name="Comma 7 3 6 2 2 2" xfId="26785" xr:uid="{00000000-0005-0000-0000-000044870000}"/>
    <cellStyle name="Comma 7 3 6 2 2 2 2" xfId="55791" xr:uid="{00000000-0005-0000-0000-000045870000}"/>
    <cellStyle name="Comma 7 3 6 2 2 3" xfId="41292" xr:uid="{00000000-0005-0000-0000-000046870000}"/>
    <cellStyle name="Comma 7 3 6 2 3" xfId="19537" xr:uid="{00000000-0005-0000-0000-000047870000}"/>
    <cellStyle name="Comma 7 3 6 2 3 2" xfId="48543" xr:uid="{00000000-0005-0000-0000-000048870000}"/>
    <cellStyle name="Comma 7 3 6 2 4" xfId="34044" xr:uid="{00000000-0005-0000-0000-000049870000}"/>
    <cellStyle name="Comma 7 3 6 3" xfId="9147" xr:uid="{00000000-0005-0000-0000-00004A870000}"/>
    <cellStyle name="Comma 7 3 6 3 2" xfId="23681" xr:uid="{00000000-0005-0000-0000-00004B870000}"/>
    <cellStyle name="Comma 7 3 6 3 2 2" xfId="52687" xr:uid="{00000000-0005-0000-0000-00004C870000}"/>
    <cellStyle name="Comma 7 3 6 3 3" xfId="38188" xr:uid="{00000000-0005-0000-0000-00004D870000}"/>
    <cellStyle name="Comma 7 3 6 4" xfId="16433" xr:uid="{00000000-0005-0000-0000-00004E870000}"/>
    <cellStyle name="Comma 7 3 6 4 2" xfId="45439" xr:uid="{00000000-0005-0000-0000-00004F870000}"/>
    <cellStyle name="Comma 7 3 6 5" xfId="30940" xr:uid="{00000000-0005-0000-0000-000050870000}"/>
    <cellStyle name="Comma 7 3 7" xfId="2907" xr:uid="{00000000-0005-0000-0000-000051870000}"/>
    <cellStyle name="Comma 7 3 7 2" xfId="6011" xr:uid="{00000000-0005-0000-0000-000052870000}"/>
    <cellStyle name="Comma 7 3 7 2 2" xfId="13283" xr:uid="{00000000-0005-0000-0000-000053870000}"/>
    <cellStyle name="Comma 7 3 7 2 2 2" xfId="27817" xr:uid="{00000000-0005-0000-0000-000054870000}"/>
    <cellStyle name="Comma 7 3 7 2 2 2 2" xfId="56823" xr:uid="{00000000-0005-0000-0000-000055870000}"/>
    <cellStyle name="Comma 7 3 7 2 2 3" xfId="42324" xr:uid="{00000000-0005-0000-0000-000056870000}"/>
    <cellStyle name="Comma 7 3 7 2 3" xfId="20569" xr:uid="{00000000-0005-0000-0000-000057870000}"/>
    <cellStyle name="Comma 7 3 7 2 3 2" xfId="49575" xr:uid="{00000000-0005-0000-0000-000058870000}"/>
    <cellStyle name="Comma 7 3 7 2 4" xfId="35076" xr:uid="{00000000-0005-0000-0000-000059870000}"/>
    <cellStyle name="Comma 7 3 7 3" xfId="10179" xr:uid="{00000000-0005-0000-0000-00005A870000}"/>
    <cellStyle name="Comma 7 3 7 3 2" xfId="24713" xr:uid="{00000000-0005-0000-0000-00005B870000}"/>
    <cellStyle name="Comma 7 3 7 3 2 2" xfId="53719" xr:uid="{00000000-0005-0000-0000-00005C870000}"/>
    <cellStyle name="Comma 7 3 7 3 3" xfId="39220" xr:uid="{00000000-0005-0000-0000-00005D870000}"/>
    <cellStyle name="Comma 7 3 7 4" xfId="17465" xr:uid="{00000000-0005-0000-0000-00005E870000}"/>
    <cellStyle name="Comma 7 3 7 4 2" xfId="46471" xr:uid="{00000000-0005-0000-0000-00005F870000}"/>
    <cellStyle name="Comma 7 3 7 5" xfId="31972" xr:uid="{00000000-0005-0000-0000-000060870000}"/>
    <cellStyle name="Comma 7 3 8" xfId="3939" xr:uid="{00000000-0005-0000-0000-000061870000}"/>
    <cellStyle name="Comma 7 3 8 2" xfId="11211" xr:uid="{00000000-0005-0000-0000-000062870000}"/>
    <cellStyle name="Comma 7 3 8 2 2" xfId="25745" xr:uid="{00000000-0005-0000-0000-000063870000}"/>
    <cellStyle name="Comma 7 3 8 2 2 2" xfId="54751" xr:uid="{00000000-0005-0000-0000-000064870000}"/>
    <cellStyle name="Comma 7 3 8 2 3" xfId="40252" xr:uid="{00000000-0005-0000-0000-000065870000}"/>
    <cellStyle name="Comma 7 3 8 3" xfId="18497" xr:uid="{00000000-0005-0000-0000-000066870000}"/>
    <cellStyle name="Comma 7 3 8 3 2" xfId="47503" xr:uid="{00000000-0005-0000-0000-000067870000}"/>
    <cellStyle name="Comma 7 3 8 4" xfId="33004" xr:uid="{00000000-0005-0000-0000-000068870000}"/>
    <cellStyle name="Comma 7 3 9" xfId="7043" xr:uid="{00000000-0005-0000-0000-000069870000}"/>
    <cellStyle name="Comma 7 3 9 2" xfId="14315" xr:uid="{00000000-0005-0000-0000-00006A870000}"/>
    <cellStyle name="Comma 7 3 9 2 2" xfId="28849" xr:uid="{00000000-0005-0000-0000-00006B870000}"/>
    <cellStyle name="Comma 7 3 9 2 2 2" xfId="57855" xr:uid="{00000000-0005-0000-0000-00006C870000}"/>
    <cellStyle name="Comma 7 3 9 2 3" xfId="43356" xr:uid="{00000000-0005-0000-0000-00006D870000}"/>
    <cellStyle name="Comma 7 3 9 3" xfId="21601" xr:uid="{00000000-0005-0000-0000-00006E870000}"/>
    <cellStyle name="Comma 7 3 9 3 2" xfId="50607" xr:uid="{00000000-0005-0000-0000-00006F870000}"/>
    <cellStyle name="Comma 7 3 9 4" xfId="36108" xr:uid="{00000000-0005-0000-0000-000070870000}"/>
    <cellStyle name="Comma 7 4" xfId="242" xr:uid="{00000000-0005-0000-0000-000071870000}"/>
    <cellStyle name="Comma 7 4 10" xfId="29951" xr:uid="{00000000-0005-0000-0000-000072870000}"/>
    <cellStyle name="Comma 7 4 11" xfId="59298" xr:uid="{00000000-0005-0000-0000-000073870000}"/>
    <cellStyle name="Comma 7 4 2" xfId="442" xr:uid="{00000000-0005-0000-0000-000074870000}"/>
    <cellStyle name="Comma 7 4 2 2" xfId="1685" xr:uid="{00000000-0005-0000-0000-000075870000}"/>
    <cellStyle name="Comma 7 4 2 2 2" xfId="2744" xr:uid="{00000000-0005-0000-0000-000076870000}"/>
    <cellStyle name="Comma 7 4 2 2 2 2" xfId="5848" xr:uid="{00000000-0005-0000-0000-000077870000}"/>
    <cellStyle name="Comma 7 4 2 2 2 2 2" xfId="13120" xr:uid="{00000000-0005-0000-0000-000078870000}"/>
    <cellStyle name="Comma 7 4 2 2 2 2 2 2" xfId="27654" xr:uid="{00000000-0005-0000-0000-000079870000}"/>
    <cellStyle name="Comma 7 4 2 2 2 2 2 2 2" xfId="56660" xr:uid="{00000000-0005-0000-0000-00007A870000}"/>
    <cellStyle name="Comma 7 4 2 2 2 2 2 3" xfId="42161" xr:uid="{00000000-0005-0000-0000-00007B870000}"/>
    <cellStyle name="Comma 7 4 2 2 2 2 3" xfId="20406" xr:uid="{00000000-0005-0000-0000-00007C870000}"/>
    <cellStyle name="Comma 7 4 2 2 2 2 3 2" xfId="49412" xr:uid="{00000000-0005-0000-0000-00007D870000}"/>
    <cellStyle name="Comma 7 4 2 2 2 2 4" xfId="34913" xr:uid="{00000000-0005-0000-0000-00007E870000}"/>
    <cellStyle name="Comma 7 4 2 2 2 3" xfId="10016" xr:uid="{00000000-0005-0000-0000-00007F870000}"/>
    <cellStyle name="Comma 7 4 2 2 2 3 2" xfId="24550" xr:uid="{00000000-0005-0000-0000-000080870000}"/>
    <cellStyle name="Comma 7 4 2 2 2 3 2 2" xfId="53556" xr:uid="{00000000-0005-0000-0000-000081870000}"/>
    <cellStyle name="Comma 7 4 2 2 2 3 3" xfId="39057" xr:uid="{00000000-0005-0000-0000-000082870000}"/>
    <cellStyle name="Comma 7 4 2 2 2 4" xfId="17302" xr:uid="{00000000-0005-0000-0000-000083870000}"/>
    <cellStyle name="Comma 7 4 2 2 2 4 2" xfId="46308" xr:uid="{00000000-0005-0000-0000-000084870000}"/>
    <cellStyle name="Comma 7 4 2 2 2 5" xfId="31809" xr:uid="{00000000-0005-0000-0000-000085870000}"/>
    <cellStyle name="Comma 7 4 2 2 3" xfId="3776" xr:uid="{00000000-0005-0000-0000-000086870000}"/>
    <cellStyle name="Comma 7 4 2 2 3 2" xfId="6880" xr:uid="{00000000-0005-0000-0000-000087870000}"/>
    <cellStyle name="Comma 7 4 2 2 3 2 2" xfId="14152" xr:uid="{00000000-0005-0000-0000-000088870000}"/>
    <cellStyle name="Comma 7 4 2 2 3 2 2 2" xfId="28686" xr:uid="{00000000-0005-0000-0000-000089870000}"/>
    <cellStyle name="Comma 7 4 2 2 3 2 2 2 2" xfId="57692" xr:uid="{00000000-0005-0000-0000-00008A870000}"/>
    <cellStyle name="Comma 7 4 2 2 3 2 2 3" xfId="43193" xr:uid="{00000000-0005-0000-0000-00008B870000}"/>
    <cellStyle name="Comma 7 4 2 2 3 2 3" xfId="21438" xr:uid="{00000000-0005-0000-0000-00008C870000}"/>
    <cellStyle name="Comma 7 4 2 2 3 2 3 2" xfId="50444" xr:uid="{00000000-0005-0000-0000-00008D870000}"/>
    <cellStyle name="Comma 7 4 2 2 3 2 4" xfId="35945" xr:uid="{00000000-0005-0000-0000-00008E870000}"/>
    <cellStyle name="Comma 7 4 2 2 3 3" xfId="11048" xr:uid="{00000000-0005-0000-0000-00008F870000}"/>
    <cellStyle name="Comma 7 4 2 2 3 3 2" xfId="25582" xr:uid="{00000000-0005-0000-0000-000090870000}"/>
    <cellStyle name="Comma 7 4 2 2 3 3 2 2" xfId="54588" xr:uid="{00000000-0005-0000-0000-000091870000}"/>
    <cellStyle name="Comma 7 4 2 2 3 3 3" xfId="40089" xr:uid="{00000000-0005-0000-0000-000092870000}"/>
    <cellStyle name="Comma 7 4 2 2 3 4" xfId="18334" xr:uid="{00000000-0005-0000-0000-000093870000}"/>
    <cellStyle name="Comma 7 4 2 2 3 4 2" xfId="47340" xr:uid="{00000000-0005-0000-0000-000094870000}"/>
    <cellStyle name="Comma 7 4 2 2 3 5" xfId="32841" xr:uid="{00000000-0005-0000-0000-000095870000}"/>
    <cellStyle name="Comma 7 4 2 2 4" xfId="4808" xr:uid="{00000000-0005-0000-0000-000096870000}"/>
    <cellStyle name="Comma 7 4 2 2 4 2" xfId="12080" xr:uid="{00000000-0005-0000-0000-000097870000}"/>
    <cellStyle name="Comma 7 4 2 2 4 2 2" xfId="26614" xr:uid="{00000000-0005-0000-0000-000098870000}"/>
    <cellStyle name="Comma 7 4 2 2 4 2 2 2" xfId="55620" xr:uid="{00000000-0005-0000-0000-000099870000}"/>
    <cellStyle name="Comma 7 4 2 2 4 2 3" xfId="41121" xr:uid="{00000000-0005-0000-0000-00009A870000}"/>
    <cellStyle name="Comma 7 4 2 2 4 3" xfId="19366" xr:uid="{00000000-0005-0000-0000-00009B870000}"/>
    <cellStyle name="Comma 7 4 2 2 4 3 2" xfId="48372" xr:uid="{00000000-0005-0000-0000-00009C870000}"/>
    <cellStyle name="Comma 7 4 2 2 4 4" xfId="33873" xr:uid="{00000000-0005-0000-0000-00009D870000}"/>
    <cellStyle name="Comma 7 4 2 2 5" xfId="7912" xr:uid="{00000000-0005-0000-0000-00009E870000}"/>
    <cellStyle name="Comma 7 4 2 2 5 2" xfId="15184" xr:uid="{00000000-0005-0000-0000-00009F870000}"/>
    <cellStyle name="Comma 7 4 2 2 5 2 2" xfId="29718" xr:uid="{00000000-0005-0000-0000-0000A0870000}"/>
    <cellStyle name="Comma 7 4 2 2 5 2 2 2" xfId="58724" xr:uid="{00000000-0005-0000-0000-0000A1870000}"/>
    <cellStyle name="Comma 7 4 2 2 5 2 3" xfId="44225" xr:uid="{00000000-0005-0000-0000-0000A2870000}"/>
    <cellStyle name="Comma 7 4 2 2 5 3" xfId="22470" xr:uid="{00000000-0005-0000-0000-0000A3870000}"/>
    <cellStyle name="Comma 7 4 2 2 5 3 2" xfId="51476" xr:uid="{00000000-0005-0000-0000-0000A4870000}"/>
    <cellStyle name="Comma 7 4 2 2 5 4" xfId="36977" xr:uid="{00000000-0005-0000-0000-0000A5870000}"/>
    <cellStyle name="Comma 7 4 2 2 6" xfId="8976" xr:uid="{00000000-0005-0000-0000-0000A6870000}"/>
    <cellStyle name="Comma 7 4 2 2 6 2" xfId="23510" xr:uid="{00000000-0005-0000-0000-0000A7870000}"/>
    <cellStyle name="Comma 7 4 2 2 6 2 2" xfId="52516" xr:uid="{00000000-0005-0000-0000-0000A8870000}"/>
    <cellStyle name="Comma 7 4 2 2 6 3" xfId="38017" xr:uid="{00000000-0005-0000-0000-0000A9870000}"/>
    <cellStyle name="Comma 7 4 2 2 7" xfId="16262" xr:uid="{00000000-0005-0000-0000-0000AA870000}"/>
    <cellStyle name="Comma 7 4 2 2 7 2" xfId="45268" xr:uid="{00000000-0005-0000-0000-0000AB870000}"/>
    <cellStyle name="Comma 7 4 2 2 8" xfId="30769" xr:uid="{00000000-0005-0000-0000-0000AC870000}"/>
    <cellStyle name="Comma 7 4 2 3" xfId="2232" xr:uid="{00000000-0005-0000-0000-0000AD870000}"/>
    <cellStyle name="Comma 7 4 2 3 2" xfId="5336" xr:uid="{00000000-0005-0000-0000-0000AE870000}"/>
    <cellStyle name="Comma 7 4 2 3 2 2" xfId="12608" xr:uid="{00000000-0005-0000-0000-0000AF870000}"/>
    <cellStyle name="Comma 7 4 2 3 2 2 2" xfId="27142" xr:uid="{00000000-0005-0000-0000-0000B0870000}"/>
    <cellStyle name="Comma 7 4 2 3 2 2 2 2" xfId="56148" xr:uid="{00000000-0005-0000-0000-0000B1870000}"/>
    <cellStyle name="Comma 7 4 2 3 2 2 3" xfId="41649" xr:uid="{00000000-0005-0000-0000-0000B2870000}"/>
    <cellStyle name="Comma 7 4 2 3 2 3" xfId="19894" xr:uid="{00000000-0005-0000-0000-0000B3870000}"/>
    <cellStyle name="Comma 7 4 2 3 2 3 2" xfId="48900" xr:uid="{00000000-0005-0000-0000-0000B4870000}"/>
    <cellStyle name="Comma 7 4 2 3 2 4" xfId="34401" xr:uid="{00000000-0005-0000-0000-0000B5870000}"/>
    <cellStyle name="Comma 7 4 2 3 3" xfId="9504" xr:uid="{00000000-0005-0000-0000-0000B6870000}"/>
    <cellStyle name="Comma 7 4 2 3 3 2" xfId="24038" xr:uid="{00000000-0005-0000-0000-0000B7870000}"/>
    <cellStyle name="Comma 7 4 2 3 3 2 2" xfId="53044" xr:uid="{00000000-0005-0000-0000-0000B8870000}"/>
    <cellStyle name="Comma 7 4 2 3 3 3" xfId="38545" xr:uid="{00000000-0005-0000-0000-0000B9870000}"/>
    <cellStyle name="Comma 7 4 2 3 4" xfId="16790" xr:uid="{00000000-0005-0000-0000-0000BA870000}"/>
    <cellStyle name="Comma 7 4 2 3 4 2" xfId="45796" xr:uid="{00000000-0005-0000-0000-0000BB870000}"/>
    <cellStyle name="Comma 7 4 2 3 5" xfId="31297" xr:uid="{00000000-0005-0000-0000-0000BC870000}"/>
    <cellStyle name="Comma 7 4 2 4" xfId="3264" xr:uid="{00000000-0005-0000-0000-0000BD870000}"/>
    <cellStyle name="Comma 7 4 2 4 2" xfId="6368" xr:uid="{00000000-0005-0000-0000-0000BE870000}"/>
    <cellStyle name="Comma 7 4 2 4 2 2" xfId="13640" xr:uid="{00000000-0005-0000-0000-0000BF870000}"/>
    <cellStyle name="Comma 7 4 2 4 2 2 2" xfId="28174" xr:uid="{00000000-0005-0000-0000-0000C0870000}"/>
    <cellStyle name="Comma 7 4 2 4 2 2 2 2" xfId="57180" xr:uid="{00000000-0005-0000-0000-0000C1870000}"/>
    <cellStyle name="Comma 7 4 2 4 2 2 3" xfId="42681" xr:uid="{00000000-0005-0000-0000-0000C2870000}"/>
    <cellStyle name="Comma 7 4 2 4 2 3" xfId="20926" xr:uid="{00000000-0005-0000-0000-0000C3870000}"/>
    <cellStyle name="Comma 7 4 2 4 2 3 2" xfId="49932" xr:uid="{00000000-0005-0000-0000-0000C4870000}"/>
    <cellStyle name="Comma 7 4 2 4 2 4" xfId="35433" xr:uid="{00000000-0005-0000-0000-0000C5870000}"/>
    <cellStyle name="Comma 7 4 2 4 3" xfId="10536" xr:uid="{00000000-0005-0000-0000-0000C6870000}"/>
    <cellStyle name="Comma 7 4 2 4 3 2" xfId="25070" xr:uid="{00000000-0005-0000-0000-0000C7870000}"/>
    <cellStyle name="Comma 7 4 2 4 3 2 2" xfId="54076" xr:uid="{00000000-0005-0000-0000-0000C8870000}"/>
    <cellStyle name="Comma 7 4 2 4 3 3" xfId="39577" xr:uid="{00000000-0005-0000-0000-0000C9870000}"/>
    <cellStyle name="Comma 7 4 2 4 4" xfId="17822" xr:uid="{00000000-0005-0000-0000-0000CA870000}"/>
    <cellStyle name="Comma 7 4 2 4 4 2" xfId="46828" xr:uid="{00000000-0005-0000-0000-0000CB870000}"/>
    <cellStyle name="Comma 7 4 2 4 5" xfId="32329" xr:uid="{00000000-0005-0000-0000-0000CC870000}"/>
    <cellStyle name="Comma 7 4 2 5" xfId="4296" xr:uid="{00000000-0005-0000-0000-0000CD870000}"/>
    <cellStyle name="Comma 7 4 2 5 2" xfId="11568" xr:uid="{00000000-0005-0000-0000-0000CE870000}"/>
    <cellStyle name="Comma 7 4 2 5 2 2" xfId="26102" xr:uid="{00000000-0005-0000-0000-0000CF870000}"/>
    <cellStyle name="Comma 7 4 2 5 2 2 2" xfId="55108" xr:uid="{00000000-0005-0000-0000-0000D0870000}"/>
    <cellStyle name="Comma 7 4 2 5 2 3" xfId="40609" xr:uid="{00000000-0005-0000-0000-0000D1870000}"/>
    <cellStyle name="Comma 7 4 2 5 3" xfId="18854" xr:uid="{00000000-0005-0000-0000-0000D2870000}"/>
    <cellStyle name="Comma 7 4 2 5 3 2" xfId="47860" xr:uid="{00000000-0005-0000-0000-0000D3870000}"/>
    <cellStyle name="Comma 7 4 2 5 4" xfId="33361" xr:uid="{00000000-0005-0000-0000-0000D4870000}"/>
    <cellStyle name="Comma 7 4 2 6" xfId="7400" xr:uid="{00000000-0005-0000-0000-0000D5870000}"/>
    <cellStyle name="Comma 7 4 2 6 2" xfId="14672" xr:uid="{00000000-0005-0000-0000-0000D6870000}"/>
    <cellStyle name="Comma 7 4 2 6 2 2" xfId="29206" xr:uid="{00000000-0005-0000-0000-0000D7870000}"/>
    <cellStyle name="Comma 7 4 2 6 2 2 2" xfId="58212" xr:uid="{00000000-0005-0000-0000-0000D8870000}"/>
    <cellStyle name="Comma 7 4 2 6 2 3" xfId="43713" xr:uid="{00000000-0005-0000-0000-0000D9870000}"/>
    <cellStyle name="Comma 7 4 2 6 3" xfId="21958" xr:uid="{00000000-0005-0000-0000-0000DA870000}"/>
    <cellStyle name="Comma 7 4 2 6 3 2" xfId="50964" xr:uid="{00000000-0005-0000-0000-0000DB870000}"/>
    <cellStyle name="Comma 7 4 2 6 4" xfId="36465" xr:uid="{00000000-0005-0000-0000-0000DC870000}"/>
    <cellStyle name="Comma 7 4 2 7" xfId="8464" xr:uid="{00000000-0005-0000-0000-0000DD870000}"/>
    <cellStyle name="Comma 7 4 2 7 2" xfId="22998" xr:uid="{00000000-0005-0000-0000-0000DE870000}"/>
    <cellStyle name="Comma 7 4 2 7 2 2" xfId="52004" xr:uid="{00000000-0005-0000-0000-0000DF870000}"/>
    <cellStyle name="Comma 7 4 2 7 3" xfId="37505" xr:uid="{00000000-0005-0000-0000-0000E0870000}"/>
    <cellStyle name="Comma 7 4 2 8" xfId="15750" xr:uid="{00000000-0005-0000-0000-0000E1870000}"/>
    <cellStyle name="Comma 7 4 2 8 2" xfId="44756" xr:uid="{00000000-0005-0000-0000-0000E2870000}"/>
    <cellStyle name="Comma 7 4 2 9" xfId="30257" xr:uid="{00000000-0005-0000-0000-0000E3870000}"/>
    <cellStyle name="Comma 7 4 3" xfId="1381" xr:uid="{00000000-0005-0000-0000-0000E4870000}"/>
    <cellStyle name="Comma 7 4 3 2" xfId="2438" xr:uid="{00000000-0005-0000-0000-0000E5870000}"/>
    <cellStyle name="Comma 7 4 3 2 2" xfId="5542" xr:uid="{00000000-0005-0000-0000-0000E6870000}"/>
    <cellStyle name="Comma 7 4 3 2 2 2" xfId="12814" xr:uid="{00000000-0005-0000-0000-0000E7870000}"/>
    <cellStyle name="Comma 7 4 3 2 2 2 2" xfId="27348" xr:uid="{00000000-0005-0000-0000-0000E8870000}"/>
    <cellStyle name="Comma 7 4 3 2 2 2 2 2" xfId="56354" xr:uid="{00000000-0005-0000-0000-0000E9870000}"/>
    <cellStyle name="Comma 7 4 3 2 2 2 3" xfId="41855" xr:uid="{00000000-0005-0000-0000-0000EA870000}"/>
    <cellStyle name="Comma 7 4 3 2 2 3" xfId="20100" xr:uid="{00000000-0005-0000-0000-0000EB870000}"/>
    <cellStyle name="Comma 7 4 3 2 2 3 2" xfId="49106" xr:uid="{00000000-0005-0000-0000-0000EC870000}"/>
    <cellStyle name="Comma 7 4 3 2 2 4" xfId="34607" xr:uid="{00000000-0005-0000-0000-0000ED870000}"/>
    <cellStyle name="Comma 7 4 3 2 3" xfId="9710" xr:uid="{00000000-0005-0000-0000-0000EE870000}"/>
    <cellStyle name="Comma 7 4 3 2 3 2" xfId="24244" xr:uid="{00000000-0005-0000-0000-0000EF870000}"/>
    <cellStyle name="Comma 7 4 3 2 3 2 2" xfId="53250" xr:uid="{00000000-0005-0000-0000-0000F0870000}"/>
    <cellStyle name="Comma 7 4 3 2 3 3" xfId="38751" xr:uid="{00000000-0005-0000-0000-0000F1870000}"/>
    <cellStyle name="Comma 7 4 3 2 4" xfId="16996" xr:uid="{00000000-0005-0000-0000-0000F2870000}"/>
    <cellStyle name="Comma 7 4 3 2 4 2" xfId="46002" xr:uid="{00000000-0005-0000-0000-0000F3870000}"/>
    <cellStyle name="Comma 7 4 3 2 5" xfId="31503" xr:uid="{00000000-0005-0000-0000-0000F4870000}"/>
    <cellStyle name="Comma 7 4 3 3" xfId="3470" xr:uid="{00000000-0005-0000-0000-0000F5870000}"/>
    <cellStyle name="Comma 7 4 3 3 2" xfId="6574" xr:uid="{00000000-0005-0000-0000-0000F6870000}"/>
    <cellStyle name="Comma 7 4 3 3 2 2" xfId="13846" xr:uid="{00000000-0005-0000-0000-0000F7870000}"/>
    <cellStyle name="Comma 7 4 3 3 2 2 2" xfId="28380" xr:uid="{00000000-0005-0000-0000-0000F8870000}"/>
    <cellStyle name="Comma 7 4 3 3 2 2 2 2" xfId="57386" xr:uid="{00000000-0005-0000-0000-0000F9870000}"/>
    <cellStyle name="Comma 7 4 3 3 2 2 3" xfId="42887" xr:uid="{00000000-0005-0000-0000-0000FA870000}"/>
    <cellStyle name="Comma 7 4 3 3 2 3" xfId="21132" xr:uid="{00000000-0005-0000-0000-0000FB870000}"/>
    <cellStyle name="Comma 7 4 3 3 2 3 2" xfId="50138" xr:uid="{00000000-0005-0000-0000-0000FC870000}"/>
    <cellStyle name="Comma 7 4 3 3 2 4" xfId="35639" xr:uid="{00000000-0005-0000-0000-0000FD870000}"/>
    <cellStyle name="Comma 7 4 3 3 3" xfId="10742" xr:uid="{00000000-0005-0000-0000-0000FE870000}"/>
    <cellStyle name="Comma 7 4 3 3 3 2" xfId="25276" xr:uid="{00000000-0005-0000-0000-0000FF870000}"/>
    <cellStyle name="Comma 7 4 3 3 3 2 2" xfId="54282" xr:uid="{00000000-0005-0000-0000-000000880000}"/>
    <cellStyle name="Comma 7 4 3 3 3 3" xfId="39783" xr:uid="{00000000-0005-0000-0000-000001880000}"/>
    <cellStyle name="Comma 7 4 3 3 4" xfId="18028" xr:uid="{00000000-0005-0000-0000-000002880000}"/>
    <cellStyle name="Comma 7 4 3 3 4 2" xfId="47034" xr:uid="{00000000-0005-0000-0000-000003880000}"/>
    <cellStyle name="Comma 7 4 3 3 5" xfId="32535" xr:uid="{00000000-0005-0000-0000-000004880000}"/>
    <cellStyle name="Comma 7 4 3 4" xfId="4502" xr:uid="{00000000-0005-0000-0000-000005880000}"/>
    <cellStyle name="Comma 7 4 3 4 2" xfId="11774" xr:uid="{00000000-0005-0000-0000-000006880000}"/>
    <cellStyle name="Comma 7 4 3 4 2 2" xfId="26308" xr:uid="{00000000-0005-0000-0000-000007880000}"/>
    <cellStyle name="Comma 7 4 3 4 2 2 2" xfId="55314" xr:uid="{00000000-0005-0000-0000-000008880000}"/>
    <cellStyle name="Comma 7 4 3 4 2 3" xfId="40815" xr:uid="{00000000-0005-0000-0000-000009880000}"/>
    <cellStyle name="Comma 7 4 3 4 3" xfId="19060" xr:uid="{00000000-0005-0000-0000-00000A880000}"/>
    <cellStyle name="Comma 7 4 3 4 3 2" xfId="48066" xr:uid="{00000000-0005-0000-0000-00000B880000}"/>
    <cellStyle name="Comma 7 4 3 4 4" xfId="33567" xr:uid="{00000000-0005-0000-0000-00000C880000}"/>
    <cellStyle name="Comma 7 4 3 5" xfId="7606" xr:uid="{00000000-0005-0000-0000-00000D880000}"/>
    <cellStyle name="Comma 7 4 3 5 2" xfId="14878" xr:uid="{00000000-0005-0000-0000-00000E880000}"/>
    <cellStyle name="Comma 7 4 3 5 2 2" xfId="29412" xr:uid="{00000000-0005-0000-0000-00000F880000}"/>
    <cellStyle name="Comma 7 4 3 5 2 2 2" xfId="58418" xr:uid="{00000000-0005-0000-0000-000010880000}"/>
    <cellStyle name="Comma 7 4 3 5 2 3" xfId="43919" xr:uid="{00000000-0005-0000-0000-000011880000}"/>
    <cellStyle name="Comma 7 4 3 5 3" xfId="22164" xr:uid="{00000000-0005-0000-0000-000012880000}"/>
    <cellStyle name="Comma 7 4 3 5 3 2" xfId="51170" xr:uid="{00000000-0005-0000-0000-000013880000}"/>
    <cellStyle name="Comma 7 4 3 5 4" xfId="36671" xr:uid="{00000000-0005-0000-0000-000014880000}"/>
    <cellStyle name="Comma 7 4 3 6" xfId="8670" xr:uid="{00000000-0005-0000-0000-000015880000}"/>
    <cellStyle name="Comma 7 4 3 6 2" xfId="23204" xr:uid="{00000000-0005-0000-0000-000016880000}"/>
    <cellStyle name="Comma 7 4 3 6 2 2" xfId="52210" xr:uid="{00000000-0005-0000-0000-000017880000}"/>
    <cellStyle name="Comma 7 4 3 6 3" xfId="37711" xr:uid="{00000000-0005-0000-0000-000018880000}"/>
    <cellStyle name="Comma 7 4 3 7" xfId="15956" xr:uid="{00000000-0005-0000-0000-000019880000}"/>
    <cellStyle name="Comma 7 4 3 7 2" xfId="44962" xr:uid="{00000000-0005-0000-0000-00001A880000}"/>
    <cellStyle name="Comma 7 4 3 8" xfId="30463" xr:uid="{00000000-0005-0000-0000-00001B880000}"/>
    <cellStyle name="Comma 7 4 4" xfId="1926" xr:uid="{00000000-0005-0000-0000-00001C880000}"/>
    <cellStyle name="Comma 7 4 4 2" xfId="5030" xr:uid="{00000000-0005-0000-0000-00001D880000}"/>
    <cellStyle name="Comma 7 4 4 2 2" xfId="12302" xr:uid="{00000000-0005-0000-0000-00001E880000}"/>
    <cellStyle name="Comma 7 4 4 2 2 2" xfId="26836" xr:uid="{00000000-0005-0000-0000-00001F880000}"/>
    <cellStyle name="Comma 7 4 4 2 2 2 2" xfId="55842" xr:uid="{00000000-0005-0000-0000-000020880000}"/>
    <cellStyle name="Comma 7 4 4 2 2 3" xfId="41343" xr:uid="{00000000-0005-0000-0000-000021880000}"/>
    <cellStyle name="Comma 7 4 4 2 3" xfId="19588" xr:uid="{00000000-0005-0000-0000-000022880000}"/>
    <cellStyle name="Comma 7 4 4 2 3 2" xfId="48594" xr:uid="{00000000-0005-0000-0000-000023880000}"/>
    <cellStyle name="Comma 7 4 4 2 4" xfId="34095" xr:uid="{00000000-0005-0000-0000-000024880000}"/>
    <cellStyle name="Comma 7 4 4 3" xfId="9198" xr:uid="{00000000-0005-0000-0000-000025880000}"/>
    <cellStyle name="Comma 7 4 4 3 2" xfId="23732" xr:uid="{00000000-0005-0000-0000-000026880000}"/>
    <cellStyle name="Comma 7 4 4 3 2 2" xfId="52738" xr:uid="{00000000-0005-0000-0000-000027880000}"/>
    <cellStyle name="Comma 7 4 4 3 3" xfId="38239" xr:uid="{00000000-0005-0000-0000-000028880000}"/>
    <cellStyle name="Comma 7 4 4 4" xfId="16484" xr:uid="{00000000-0005-0000-0000-000029880000}"/>
    <cellStyle name="Comma 7 4 4 4 2" xfId="45490" xr:uid="{00000000-0005-0000-0000-00002A880000}"/>
    <cellStyle name="Comma 7 4 4 5" xfId="30991" xr:uid="{00000000-0005-0000-0000-00002B880000}"/>
    <cellStyle name="Comma 7 4 5" xfId="2958" xr:uid="{00000000-0005-0000-0000-00002C880000}"/>
    <cellStyle name="Comma 7 4 5 2" xfId="6062" xr:uid="{00000000-0005-0000-0000-00002D880000}"/>
    <cellStyle name="Comma 7 4 5 2 2" xfId="13334" xr:uid="{00000000-0005-0000-0000-00002E880000}"/>
    <cellStyle name="Comma 7 4 5 2 2 2" xfId="27868" xr:uid="{00000000-0005-0000-0000-00002F880000}"/>
    <cellStyle name="Comma 7 4 5 2 2 2 2" xfId="56874" xr:uid="{00000000-0005-0000-0000-000030880000}"/>
    <cellStyle name="Comma 7 4 5 2 2 3" xfId="42375" xr:uid="{00000000-0005-0000-0000-000031880000}"/>
    <cellStyle name="Comma 7 4 5 2 3" xfId="20620" xr:uid="{00000000-0005-0000-0000-000032880000}"/>
    <cellStyle name="Comma 7 4 5 2 3 2" xfId="49626" xr:uid="{00000000-0005-0000-0000-000033880000}"/>
    <cellStyle name="Comma 7 4 5 2 4" xfId="35127" xr:uid="{00000000-0005-0000-0000-000034880000}"/>
    <cellStyle name="Comma 7 4 5 3" xfId="10230" xr:uid="{00000000-0005-0000-0000-000035880000}"/>
    <cellStyle name="Comma 7 4 5 3 2" xfId="24764" xr:uid="{00000000-0005-0000-0000-000036880000}"/>
    <cellStyle name="Comma 7 4 5 3 2 2" xfId="53770" xr:uid="{00000000-0005-0000-0000-000037880000}"/>
    <cellStyle name="Comma 7 4 5 3 3" xfId="39271" xr:uid="{00000000-0005-0000-0000-000038880000}"/>
    <cellStyle name="Comma 7 4 5 4" xfId="17516" xr:uid="{00000000-0005-0000-0000-000039880000}"/>
    <cellStyle name="Comma 7 4 5 4 2" xfId="46522" xr:uid="{00000000-0005-0000-0000-00003A880000}"/>
    <cellStyle name="Comma 7 4 5 5" xfId="32023" xr:uid="{00000000-0005-0000-0000-00003B880000}"/>
    <cellStyle name="Comma 7 4 6" xfId="3990" xr:uid="{00000000-0005-0000-0000-00003C880000}"/>
    <cellStyle name="Comma 7 4 6 2" xfId="11262" xr:uid="{00000000-0005-0000-0000-00003D880000}"/>
    <cellStyle name="Comma 7 4 6 2 2" xfId="25796" xr:uid="{00000000-0005-0000-0000-00003E880000}"/>
    <cellStyle name="Comma 7 4 6 2 2 2" xfId="54802" xr:uid="{00000000-0005-0000-0000-00003F880000}"/>
    <cellStyle name="Comma 7 4 6 2 3" xfId="40303" xr:uid="{00000000-0005-0000-0000-000040880000}"/>
    <cellStyle name="Comma 7 4 6 3" xfId="18548" xr:uid="{00000000-0005-0000-0000-000041880000}"/>
    <cellStyle name="Comma 7 4 6 3 2" xfId="47554" xr:uid="{00000000-0005-0000-0000-000042880000}"/>
    <cellStyle name="Comma 7 4 6 4" xfId="33055" xr:uid="{00000000-0005-0000-0000-000043880000}"/>
    <cellStyle name="Comma 7 4 7" xfId="7094" xr:uid="{00000000-0005-0000-0000-000044880000}"/>
    <cellStyle name="Comma 7 4 7 2" xfId="14366" xr:uid="{00000000-0005-0000-0000-000045880000}"/>
    <cellStyle name="Comma 7 4 7 2 2" xfId="28900" xr:uid="{00000000-0005-0000-0000-000046880000}"/>
    <cellStyle name="Comma 7 4 7 2 2 2" xfId="57906" xr:uid="{00000000-0005-0000-0000-000047880000}"/>
    <cellStyle name="Comma 7 4 7 2 3" xfId="43407" xr:uid="{00000000-0005-0000-0000-000048880000}"/>
    <cellStyle name="Comma 7 4 7 3" xfId="21652" xr:uid="{00000000-0005-0000-0000-000049880000}"/>
    <cellStyle name="Comma 7 4 7 3 2" xfId="50658" xr:uid="{00000000-0005-0000-0000-00004A880000}"/>
    <cellStyle name="Comma 7 4 7 4" xfId="36159" xr:uid="{00000000-0005-0000-0000-00004B880000}"/>
    <cellStyle name="Comma 7 4 8" xfId="8158" xr:uid="{00000000-0005-0000-0000-00004C880000}"/>
    <cellStyle name="Comma 7 4 8 2" xfId="22692" xr:uid="{00000000-0005-0000-0000-00004D880000}"/>
    <cellStyle name="Comma 7 4 8 2 2" xfId="51698" xr:uid="{00000000-0005-0000-0000-00004E880000}"/>
    <cellStyle name="Comma 7 4 8 3" xfId="37199" xr:uid="{00000000-0005-0000-0000-00004F880000}"/>
    <cellStyle name="Comma 7 4 9" xfId="15444" xr:uid="{00000000-0005-0000-0000-000050880000}"/>
    <cellStyle name="Comma 7 4 9 2" xfId="44450" xr:uid="{00000000-0005-0000-0000-000051880000}"/>
    <cellStyle name="Comma 7 5" xfId="583" xr:uid="{00000000-0005-0000-0000-000052880000}"/>
    <cellStyle name="Comma 7 5 10" xfId="59444" xr:uid="{00000000-0005-0000-0000-000053880000}"/>
    <cellStyle name="Comma 7 5 2" xfId="1582" xr:uid="{00000000-0005-0000-0000-000054880000}"/>
    <cellStyle name="Comma 7 5 2 2" xfId="2641" xr:uid="{00000000-0005-0000-0000-000055880000}"/>
    <cellStyle name="Comma 7 5 2 2 2" xfId="5745" xr:uid="{00000000-0005-0000-0000-000056880000}"/>
    <cellStyle name="Comma 7 5 2 2 2 2" xfId="13017" xr:uid="{00000000-0005-0000-0000-000057880000}"/>
    <cellStyle name="Comma 7 5 2 2 2 2 2" xfId="27551" xr:uid="{00000000-0005-0000-0000-000058880000}"/>
    <cellStyle name="Comma 7 5 2 2 2 2 2 2" xfId="56557" xr:uid="{00000000-0005-0000-0000-000059880000}"/>
    <cellStyle name="Comma 7 5 2 2 2 2 3" xfId="42058" xr:uid="{00000000-0005-0000-0000-00005A880000}"/>
    <cellStyle name="Comma 7 5 2 2 2 3" xfId="20303" xr:uid="{00000000-0005-0000-0000-00005B880000}"/>
    <cellStyle name="Comma 7 5 2 2 2 3 2" xfId="49309" xr:uid="{00000000-0005-0000-0000-00005C880000}"/>
    <cellStyle name="Comma 7 5 2 2 2 4" xfId="34810" xr:uid="{00000000-0005-0000-0000-00005D880000}"/>
    <cellStyle name="Comma 7 5 2 2 3" xfId="9913" xr:uid="{00000000-0005-0000-0000-00005E880000}"/>
    <cellStyle name="Comma 7 5 2 2 3 2" xfId="24447" xr:uid="{00000000-0005-0000-0000-00005F880000}"/>
    <cellStyle name="Comma 7 5 2 2 3 2 2" xfId="53453" xr:uid="{00000000-0005-0000-0000-000060880000}"/>
    <cellStyle name="Comma 7 5 2 2 3 3" xfId="38954" xr:uid="{00000000-0005-0000-0000-000061880000}"/>
    <cellStyle name="Comma 7 5 2 2 4" xfId="17199" xr:uid="{00000000-0005-0000-0000-000062880000}"/>
    <cellStyle name="Comma 7 5 2 2 4 2" xfId="46205" xr:uid="{00000000-0005-0000-0000-000063880000}"/>
    <cellStyle name="Comma 7 5 2 2 5" xfId="31706" xr:uid="{00000000-0005-0000-0000-000064880000}"/>
    <cellStyle name="Comma 7 5 2 3" xfId="3673" xr:uid="{00000000-0005-0000-0000-000065880000}"/>
    <cellStyle name="Comma 7 5 2 3 2" xfId="6777" xr:uid="{00000000-0005-0000-0000-000066880000}"/>
    <cellStyle name="Comma 7 5 2 3 2 2" xfId="14049" xr:uid="{00000000-0005-0000-0000-000067880000}"/>
    <cellStyle name="Comma 7 5 2 3 2 2 2" xfId="28583" xr:uid="{00000000-0005-0000-0000-000068880000}"/>
    <cellStyle name="Comma 7 5 2 3 2 2 2 2" xfId="57589" xr:uid="{00000000-0005-0000-0000-000069880000}"/>
    <cellStyle name="Comma 7 5 2 3 2 2 3" xfId="43090" xr:uid="{00000000-0005-0000-0000-00006A880000}"/>
    <cellStyle name="Comma 7 5 2 3 2 3" xfId="21335" xr:uid="{00000000-0005-0000-0000-00006B880000}"/>
    <cellStyle name="Comma 7 5 2 3 2 3 2" xfId="50341" xr:uid="{00000000-0005-0000-0000-00006C880000}"/>
    <cellStyle name="Comma 7 5 2 3 2 4" xfId="35842" xr:uid="{00000000-0005-0000-0000-00006D880000}"/>
    <cellStyle name="Comma 7 5 2 3 3" xfId="10945" xr:uid="{00000000-0005-0000-0000-00006E880000}"/>
    <cellStyle name="Comma 7 5 2 3 3 2" xfId="25479" xr:uid="{00000000-0005-0000-0000-00006F880000}"/>
    <cellStyle name="Comma 7 5 2 3 3 2 2" xfId="54485" xr:uid="{00000000-0005-0000-0000-000070880000}"/>
    <cellStyle name="Comma 7 5 2 3 3 3" xfId="39986" xr:uid="{00000000-0005-0000-0000-000071880000}"/>
    <cellStyle name="Comma 7 5 2 3 4" xfId="18231" xr:uid="{00000000-0005-0000-0000-000072880000}"/>
    <cellStyle name="Comma 7 5 2 3 4 2" xfId="47237" xr:uid="{00000000-0005-0000-0000-000073880000}"/>
    <cellStyle name="Comma 7 5 2 3 5" xfId="32738" xr:uid="{00000000-0005-0000-0000-000074880000}"/>
    <cellStyle name="Comma 7 5 2 4" xfId="4705" xr:uid="{00000000-0005-0000-0000-000075880000}"/>
    <cellStyle name="Comma 7 5 2 4 2" xfId="11977" xr:uid="{00000000-0005-0000-0000-000076880000}"/>
    <cellStyle name="Comma 7 5 2 4 2 2" xfId="26511" xr:uid="{00000000-0005-0000-0000-000077880000}"/>
    <cellStyle name="Comma 7 5 2 4 2 2 2" xfId="55517" xr:uid="{00000000-0005-0000-0000-000078880000}"/>
    <cellStyle name="Comma 7 5 2 4 2 3" xfId="41018" xr:uid="{00000000-0005-0000-0000-000079880000}"/>
    <cellStyle name="Comma 7 5 2 4 3" xfId="19263" xr:uid="{00000000-0005-0000-0000-00007A880000}"/>
    <cellStyle name="Comma 7 5 2 4 3 2" xfId="48269" xr:uid="{00000000-0005-0000-0000-00007B880000}"/>
    <cellStyle name="Comma 7 5 2 4 4" xfId="33770" xr:uid="{00000000-0005-0000-0000-00007C880000}"/>
    <cellStyle name="Comma 7 5 2 5" xfId="7809" xr:uid="{00000000-0005-0000-0000-00007D880000}"/>
    <cellStyle name="Comma 7 5 2 5 2" xfId="15081" xr:uid="{00000000-0005-0000-0000-00007E880000}"/>
    <cellStyle name="Comma 7 5 2 5 2 2" xfId="29615" xr:uid="{00000000-0005-0000-0000-00007F880000}"/>
    <cellStyle name="Comma 7 5 2 5 2 2 2" xfId="58621" xr:uid="{00000000-0005-0000-0000-000080880000}"/>
    <cellStyle name="Comma 7 5 2 5 2 3" xfId="44122" xr:uid="{00000000-0005-0000-0000-000081880000}"/>
    <cellStyle name="Comma 7 5 2 5 3" xfId="22367" xr:uid="{00000000-0005-0000-0000-000082880000}"/>
    <cellStyle name="Comma 7 5 2 5 3 2" xfId="51373" xr:uid="{00000000-0005-0000-0000-000083880000}"/>
    <cellStyle name="Comma 7 5 2 5 4" xfId="36874" xr:uid="{00000000-0005-0000-0000-000084880000}"/>
    <cellStyle name="Comma 7 5 2 6" xfId="8873" xr:uid="{00000000-0005-0000-0000-000085880000}"/>
    <cellStyle name="Comma 7 5 2 6 2" xfId="23407" xr:uid="{00000000-0005-0000-0000-000086880000}"/>
    <cellStyle name="Comma 7 5 2 6 2 2" xfId="52413" xr:uid="{00000000-0005-0000-0000-000087880000}"/>
    <cellStyle name="Comma 7 5 2 6 3" xfId="37914" xr:uid="{00000000-0005-0000-0000-000088880000}"/>
    <cellStyle name="Comma 7 5 2 7" xfId="16159" xr:uid="{00000000-0005-0000-0000-000089880000}"/>
    <cellStyle name="Comma 7 5 2 7 2" xfId="45165" xr:uid="{00000000-0005-0000-0000-00008A880000}"/>
    <cellStyle name="Comma 7 5 2 8" xfId="30666" xr:uid="{00000000-0005-0000-0000-00008B880000}"/>
    <cellStyle name="Comma 7 5 3" xfId="2129" xr:uid="{00000000-0005-0000-0000-00008C880000}"/>
    <cellStyle name="Comma 7 5 3 2" xfId="5233" xr:uid="{00000000-0005-0000-0000-00008D880000}"/>
    <cellStyle name="Comma 7 5 3 2 2" xfId="12505" xr:uid="{00000000-0005-0000-0000-00008E880000}"/>
    <cellStyle name="Comma 7 5 3 2 2 2" xfId="27039" xr:uid="{00000000-0005-0000-0000-00008F880000}"/>
    <cellStyle name="Comma 7 5 3 2 2 2 2" xfId="56045" xr:uid="{00000000-0005-0000-0000-000090880000}"/>
    <cellStyle name="Comma 7 5 3 2 2 3" xfId="41546" xr:uid="{00000000-0005-0000-0000-000091880000}"/>
    <cellStyle name="Comma 7 5 3 2 3" xfId="19791" xr:uid="{00000000-0005-0000-0000-000092880000}"/>
    <cellStyle name="Comma 7 5 3 2 3 2" xfId="48797" xr:uid="{00000000-0005-0000-0000-000093880000}"/>
    <cellStyle name="Comma 7 5 3 2 4" xfId="34298" xr:uid="{00000000-0005-0000-0000-000094880000}"/>
    <cellStyle name="Comma 7 5 3 3" xfId="9401" xr:uid="{00000000-0005-0000-0000-000095880000}"/>
    <cellStyle name="Comma 7 5 3 3 2" xfId="23935" xr:uid="{00000000-0005-0000-0000-000096880000}"/>
    <cellStyle name="Comma 7 5 3 3 2 2" xfId="52941" xr:uid="{00000000-0005-0000-0000-000097880000}"/>
    <cellStyle name="Comma 7 5 3 3 3" xfId="38442" xr:uid="{00000000-0005-0000-0000-000098880000}"/>
    <cellStyle name="Comma 7 5 3 4" xfId="16687" xr:uid="{00000000-0005-0000-0000-000099880000}"/>
    <cellStyle name="Comma 7 5 3 4 2" xfId="45693" xr:uid="{00000000-0005-0000-0000-00009A880000}"/>
    <cellStyle name="Comma 7 5 3 5" xfId="31194" xr:uid="{00000000-0005-0000-0000-00009B880000}"/>
    <cellStyle name="Comma 7 5 4" xfId="3161" xr:uid="{00000000-0005-0000-0000-00009C880000}"/>
    <cellStyle name="Comma 7 5 4 2" xfId="6265" xr:uid="{00000000-0005-0000-0000-00009D880000}"/>
    <cellStyle name="Comma 7 5 4 2 2" xfId="13537" xr:uid="{00000000-0005-0000-0000-00009E880000}"/>
    <cellStyle name="Comma 7 5 4 2 2 2" xfId="28071" xr:uid="{00000000-0005-0000-0000-00009F880000}"/>
    <cellStyle name="Comma 7 5 4 2 2 2 2" xfId="57077" xr:uid="{00000000-0005-0000-0000-0000A0880000}"/>
    <cellStyle name="Comma 7 5 4 2 2 3" xfId="42578" xr:uid="{00000000-0005-0000-0000-0000A1880000}"/>
    <cellStyle name="Comma 7 5 4 2 3" xfId="20823" xr:uid="{00000000-0005-0000-0000-0000A2880000}"/>
    <cellStyle name="Comma 7 5 4 2 3 2" xfId="49829" xr:uid="{00000000-0005-0000-0000-0000A3880000}"/>
    <cellStyle name="Comma 7 5 4 2 4" xfId="35330" xr:uid="{00000000-0005-0000-0000-0000A4880000}"/>
    <cellStyle name="Comma 7 5 4 3" xfId="10433" xr:uid="{00000000-0005-0000-0000-0000A5880000}"/>
    <cellStyle name="Comma 7 5 4 3 2" xfId="24967" xr:uid="{00000000-0005-0000-0000-0000A6880000}"/>
    <cellStyle name="Comma 7 5 4 3 2 2" xfId="53973" xr:uid="{00000000-0005-0000-0000-0000A7880000}"/>
    <cellStyle name="Comma 7 5 4 3 3" xfId="39474" xr:uid="{00000000-0005-0000-0000-0000A8880000}"/>
    <cellStyle name="Comma 7 5 4 4" xfId="17719" xr:uid="{00000000-0005-0000-0000-0000A9880000}"/>
    <cellStyle name="Comma 7 5 4 4 2" xfId="46725" xr:uid="{00000000-0005-0000-0000-0000AA880000}"/>
    <cellStyle name="Comma 7 5 4 5" xfId="32226" xr:uid="{00000000-0005-0000-0000-0000AB880000}"/>
    <cellStyle name="Comma 7 5 5" xfId="4193" xr:uid="{00000000-0005-0000-0000-0000AC880000}"/>
    <cellStyle name="Comma 7 5 5 2" xfId="11465" xr:uid="{00000000-0005-0000-0000-0000AD880000}"/>
    <cellStyle name="Comma 7 5 5 2 2" xfId="25999" xr:uid="{00000000-0005-0000-0000-0000AE880000}"/>
    <cellStyle name="Comma 7 5 5 2 2 2" xfId="55005" xr:uid="{00000000-0005-0000-0000-0000AF880000}"/>
    <cellStyle name="Comma 7 5 5 2 3" xfId="40506" xr:uid="{00000000-0005-0000-0000-0000B0880000}"/>
    <cellStyle name="Comma 7 5 5 3" xfId="18751" xr:uid="{00000000-0005-0000-0000-0000B1880000}"/>
    <cellStyle name="Comma 7 5 5 3 2" xfId="47757" xr:uid="{00000000-0005-0000-0000-0000B2880000}"/>
    <cellStyle name="Comma 7 5 5 4" xfId="33258" xr:uid="{00000000-0005-0000-0000-0000B3880000}"/>
    <cellStyle name="Comma 7 5 6" xfId="7297" xr:uid="{00000000-0005-0000-0000-0000B4880000}"/>
    <cellStyle name="Comma 7 5 6 2" xfId="14569" xr:uid="{00000000-0005-0000-0000-0000B5880000}"/>
    <cellStyle name="Comma 7 5 6 2 2" xfId="29103" xr:uid="{00000000-0005-0000-0000-0000B6880000}"/>
    <cellStyle name="Comma 7 5 6 2 2 2" xfId="58109" xr:uid="{00000000-0005-0000-0000-0000B7880000}"/>
    <cellStyle name="Comma 7 5 6 2 3" xfId="43610" xr:uid="{00000000-0005-0000-0000-0000B8880000}"/>
    <cellStyle name="Comma 7 5 6 3" xfId="21855" xr:uid="{00000000-0005-0000-0000-0000B9880000}"/>
    <cellStyle name="Comma 7 5 6 3 2" xfId="50861" xr:uid="{00000000-0005-0000-0000-0000BA880000}"/>
    <cellStyle name="Comma 7 5 6 4" xfId="36362" xr:uid="{00000000-0005-0000-0000-0000BB880000}"/>
    <cellStyle name="Comma 7 5 7" xfId="8361" xr:uid="{00000000-0005-0000-0000-0000BC880000}"/>
    <cellStyle name="Comma 7 5 7 2" xfId="22895" xr:uid="{00000000-0005-0000-0000-0000BD880000}"/>
    <cellStyle name="Comma 7 5 7 2 2" xfId="51901" xr:uid="{00000000-0005-0000-0000-0000BE880000}"/>
    <cellStyle name="Comma 7 5 7 3" xfId="37402" xr:uid="{00000000-0005-0000-0000-0000BF880000}"/>
    <cellStyle name="Comma 7 5 8" xfId="15647" xr:uid="{00000000-0005-0000-0000-0000C0880000}"/>
    <cellStyle name="Comma 7 5 8 2" xfId="44653" xr:uid="{00000000-0005-0000-0000-0000C1880000}"/>
    <cellStyle name="Comma 7 5 9" xfId="30154" xr:uid="{00000000-0005-0000-0000-0000C2880000}"/>
    <cellStyle name="Comma 7 6" xfId="243" xr:uid="{00000000-0005-0000-0000-0000C3880000}"/>
    <cellStyle name="Comma 7 6 10" xfId="59174" xr:uid="{00000000-0005-0000-0000-0000C4880000}"/>
    <cellStyle name="Comma 7 6 2" xfId="1483" xr:uid="{00000000-0005-0000-0000-0000C5880000}"/>
    <cellStyle name="Comma 7 6 2 2" xfId="2541" xr:uid="{00000000-0005-0000-0000-0000C6880000}"/>
    <cellStyle name="Comma 7 6 2 2 2" xfId="5645" xr:uid="{00000000-0005-0000-0000-0000C7880000}"/>
    <cellStyle name="Comma 7 6 2 2 2 2" xfId="12917" xr:uid="{00000000-0005-0000-0000-0000C8880000}"/>
    <cellStyle name="Comma 7 6 2 2 2 2 2" xfId="27451" xr:uid="{00000000-0005-0000-0000-0000C9880000}"/>
    <cellStyle name="Comma 7 6 2 2 2 2 2 2" xfId="56457" xr:uid="{00000000-0005-0000-0000-0000CA880000}"/>
    <cellStyle name="Comma 7 6 2 2 2 2 3" xfId="41958" xr:uid="{00000000-0005-0000-0000-0000CB880000}"/>
    <cellStyle name="Comma 7 6 2 2 2 3" xfId="20203" xr:uid="{00000000-0005-0000-0000-0000CC880000}"/>
    <cellStyle name="Comma 7 6 2 2 2 3 2" xfId="49209" xr:uid="{00000000-0005-0000-0000-0000CD880000}"/>
    <cellStyle name="Comma 7 6 2 2 2 4" xfId="34710" xr:uid="{00000000-0005-0000-0000-0000CE880000}"/>
    <cellStyle name="Comma 7 6 2 2 3" xfId="9813" xr:uid="{00000000-0005-0000-0000-0000CF880000}"/>
    <cellStyle name="Comma 7 6 2 2 3 2" xfId="24347" xr:uid="{00000000-0005-0000-0000-0000D0880000}"/>
    <cellStyle name="Comma 7 6 2 2 3 2 2" xfId="53353" xr:uid="{00000000-0005-0000-0000-0000D1880000}"/>
    <cellStyle name="Comma 7 6 2 2 3 3" xfId="38854" xr:uid="{00000000-0005-0000-0000-0000D2880000}"/>
    <cellStyle name="Comma 7 6 2 2 4" xfId="17099" xr:uid="{00000000-0005-0000-0000-0000D3880000}"/>
    <cellStyle name="Comma 7 6 2 2 4 2" xfId="46105" xr:uid="{00000000-0005-0000-0000-0000D4880000}"/>
    <cellStyle name="Comma 7 6 2 2 5" xfId="31606" xr:uid="{00000000-0005-0000-0000-0000D5880000}"/>
    <cellStyle name="Comma 7 6 2 3" xfId="3573" xr:uid="{00000000-0005-0000-0000-0000D6880000}"/>
    <cellStyle name="Comma 7 6 2 3 2" xfId="6677" xr:uid="{00000000-0005-0000-0000-0000D7880000}"/>
    <cellStyle name="Comma 7 6 2 3 2 2" xfId="13949" xr:uid="{00000000-0005-0000-0000-0000D8880000}"/>
    <cellStyle name="Comma 7 6 2 3 2 2 2" xfId="28483" xr:uid="{00000000-0005-0000-0000-0000D9880000}"/>
    <cellStyle name="Comma 7 6 2 3 2 2 2 2" xfId="57489" xr:uid="{00000000-0005-0000-0000-0000DA880000}"/>
    <cellStyle name="Comma 7 6 2 3 2 2 3" xfId="42990" xr:uid="{00000000-0005-0000-0000-0000DB880000}"/>
    <cellStyle name="Comma 7 6 2 3 2 3" xfId="21235" xr:uid="{00000000-0005-0000-0000-0000DC880000}"/>
    <cellStyle name="Comma 7 6 2 3 2 3 2" xfId="50241" xr:uid="{00000000-0005-0000-0000-0000DD880000}"/>
    <cellStyle name="Comma 7 6 2 3 2 4" xfId="35742" xr:uid="{00000000-0005-0000-0000-0000DE880000}"/>
    <cellStyle name="Comma 7 6 2 3 3" xfId="10845" xr:uid="{00000000-0005-0000-0000-0000DF880000}"/>
    <cellStyle name="Comma 7 6 2 3 3 2" xfId="25379" xr:uid="{00000000-0005-0000-0000-0000E0880000}"/>
    <cellStyle name="Comma 7 6 2 3 3 2 2" xfId="54385" xr:uid="{00000000-0005-0000-0000-0000E1880000}"/>
    <cellStyle name="Comma 7 6 2 3 3 3" xfId="39886" xr:uid="{00000000-0005-0000-0000-0000E2880000}"/>
    <cellStyle name="Comma 7 6 2 3 4" xfId="18131" xr:uid="{00000000-0005-0000-0000-0000E3880000}"/>
    <cellStyle name="Comma 7 6 2 3 4 2" xfId="47137" xr:uid="{00000000-0005-0000-0000-0000E4880000}"/>
    <cellStyle name="Comma 7 6 2 3 5" xfId="32638" xr:uid="{00000000-0005-0000-0000-0000E5880000}"/>
    <cellStyle name="Comma 7 6 2 4" xfId="4605" xr:uid="{00000000-0005-0000-0000-0000E6880000}"/>
    <cellStyle name="Comma 7 6 2 4 2" xfId="11877" xr:uid="{00000000-0005-0000-0000-0000E7880000}"/>
    <cellStyle name="Comma 7 6 2 4 2 2" xfId="26411" xr:uid="{00000000-0005-0000-0000-0000E8880000}"/>
    <cellStyle name="Comma 7 6 2 4 2 2 2" xfId="55417" xr:uid="{00000000-0005-0000-0000-0000E9880000}"/>
    <cellStyle name="Comma 7 6 2 4 2 3" xfId="40918" xr:uid="{00000000-0005-0000-0000-0000EA880000}"/>
    <cellStyle name="Comma 7 6 2 4 3" xfId="19163" xr:uid="{00000000-0005-0000-0000-0000EB880000}"/>
    <cellStyle name="Comma 7 6 2 4 3 2" xfId="48169" xr:uid="{00000000-0005-0000-0000-0000EC880000}"/>
    <cellStyle name="Comma 7 6 2 4 4" xfId="33670" xr:uid="{00000000-0005-0000-0000-0000ED880000}"/>
    <cellStyle name="Comma 7 6 2 5" xfId="7709" xr:uid="{00000000-0005-0000-0000-0000EE880000}"/>
    <cellStyle name="Comma 7 6 2 5 2" xfId="14981" xr:uid="{00000000-0005-0000-0000-0000EF880000}"/>
    <cellStyle name="Comma 7 6 2 5 2 2" xfId="29515" xr:uid="{00000000-0005-0000-0000-0000F0880000}"/>
    <cellStyle name="Comma 7 6 2 5 2 2 2" xfId="58521" xr:uid="{00000000-0005-0000-0000-0000F1880000}"/>
    <cellStyle name="Comma 7 6 2 5 2 3" xfId="44022" xr:uid="{00000000-0005-0000-0000-0000F2880000}"/>
    <cellStyle name="Comma 7 6 2 5 3" xfId="22267" xr:uid="{00000000-0005-0000-0000-0000F3880000}"/>
    <cellStyle name="Comma 7 6 2 5 3 2" xfId="51273" xr:uid="{00000000-0005-0000-0000-0000F4880000}"/>
    <cellStyle name="Comma 7 6 2 5 4" xfId="36774" xr:uid="{00000000-0005-0000-0000-0000F5880000}"/>
    <cellStyle name="Comma 7 6 2 6" xfId="8773" xr:uid="{00000000-0005-0000-0000-0000F6880000}"/>
    <cellStyle name="Comma 7 6 2 6 2" xfId="23307" xr:uid="{00000000-0005-0000-0000-0000F7880000}"/>
    <cellStyle name="Comma 7 6 2 6 2 2" xfId="52313" xr:uid="{00000000-0005-0000-0000-0000F8880000}"/>
    <cellStyle name="Comma 7 6 2 6 3" xfId="37814" xr:uid="{00000000-0005-0000-0000-0000F9880000}"/>
    <cellStyle name="Comma 7 6 2 7" xfId="16059" xr:uid="{00000000-0005-0000-0000-0000FA880000}"/>
    <cellStyle name="Comma 7 6 2 7 2" xfId="45065" xr:uid="{00000000-0005-0000-0000-0000FB880000}"/>
    <cellStyle name="Comma 7 6 2 8" xfId="30566" xr:uid="{00000000-0005-0000-0000-0000FC880000}"/>
    <cellStyle name="Comma 7 6 3" xfId="2029" xr:uid="{00000000-0005-0000-0000-0000FD880000}"/>
    <cellStyle name="Comma 7 6 3 2" xfId="5133" xr:uid="{00000000-0005-0000-0000-0000FE880000}"/>
    <cellStyle name="Comma 7 6 3 2 2" xfId="12405" xr:uid="{00000000-0005-0000-0000-0000FF880000}"/>
    <cellStyle name="Comma 7 6 3 2 2 2" xfId="26939" xr:uid="{00000000-0005-0000-0000-000000890000}"/>
    <cellStyle name="Comma 7 6 3 2 2 2 2" xfId="55945" xr:uid="{00000000-0005-0000-0000-000001890000}"/>
    <cellStyle name="Comma 7 6 3 2 2 3" xfId="41446" xr:uid="{00000000-0005-0000-0000-000002890000}"/>
    <cellStyle name="Comma 7 6 3 2 3" xfId="19691" xr:uid="{00000000-0005-0000-0000-000003890000}"/>
    <cellStyle name="Comma 7 6 3 2 3 2" xfId="48697" xr:uid="{00000000-0005-0000-0000-000004890000}"/>
    <cellStyle name="Comma 7 6 3 2 4" xfId="34198" xr:uid="{00000000-0005-0000-0000-000005890000}"/>
    <cellStyle name="Comma 7 6 3 3" xfId="9301" xr:uid="{00000000-0005-0000-0000-000006890000}"/>
    <cellStyle name="Comma 7 6 3 3 2" xfId="23835" xr:uid="{00000000-0005-0000-0000-000007890000}"/>
    <cellStyle name="Comma 7 6 3 3 2 2" xfId="52841" xr:uid="{00000000-0005-0000-0000-000008890000}"/>
    <cellStyle name="Comma 7 6 3 3 3" xfId="38342" xr:uid="{00000000-0005-0000-0000-000009890000}"/>
    <cellStyle name="Comma 7 6 3 4" xfId="16587" xr:uid="{00000000-0005-0000-0000-00000A890000}"/>
    <cellStyle name="Comma 7 6 3 4 2" xfId="45593" xr:uid="{00000000-0005-0000-0000-00000B890000}"/>
    <cellStyle name="Comma 7 6 3 5" xfId="31094" xr:uid="{00000000-0005-0000-0000-00000C890000}"/>
    <cellStyle name="Comma 7 6 4" xfId="3061" xr:uid="{00000000-0005-0000-0000-00000D890000}"/>
    <cellStyle name="Comma 7 6 4 2" xfId="6165" xr:uid="{00000000-0005-0000-0000-00000E890000}"/>
    <cellStyle name="Comma 7 6 4 2 2" xfId="13437" xr:uid="{00000000-0005-0000-0000-00000F890000}"/>
    <cellStyle name="Comma 7 6 4 2 2 2" xfId="27971" xr:uid="{00000000-0005-0000-0000-000010890000}"/>
    <cellStyle name="Comma 7 6 4 2 2 2 2" xfId="56977" xr:uid="{00000000-0005-0000-0000-000011890000}"/>
    <cellStyle name="Comma 7 6 4 2 2 3" xfId="42478" xr:uid="{00000000-0005-0000-0000-000012890000}"/>
    <cellStyle name="Comma 7 6 4 2 3" xfId="20723" xr:uid="{00000000-0005-0000-0000-000013890000}"/>
    <cellStyle name="Comma 7 6 4 2 3 2" xfId="49729" xr:uid="{00000000-0005-0000-0000-000014890000}"/>
    <cellStyle name="Comma 7 6 4 2 4" xfId="35230" xr:uid="{00000000-0005-0000-0000-000015890000}"/>
    <cellStyle name="Comma 7 6 4 3" xfId="10333" xr:uid="{00000000-0005-0000-0000-000016890000}"/>
    <cellStyle name="Comma 7 6 4 3 2" xfId="24867" xr:uid="{00000000-0005-0000-0000-000017890000}"/>
    <cellStyle name="Comma 7 6 4 3 2 2" xfId="53873" xr:uid="{00000000-0005-0000-0000-000018890000}"/>
    <cellStyle name="Comma 7 6 4 3 3" xfId="39374" xr:uid="{00000000-0005-0000-0000-000019890000}"/>
    <cellStyle name="Comma 7 6 4 4" xfId="17619" xr:uid="{00000000-0005-0000-0000-00001A890000}"/>
    <cellStyle name="Comma 7 6 4 4 2" xfId="46625" xr:uid="{00000000-0005-0000-0000-00001B890000}"/>
    <cellStyle name="Comma 7 6 4 5" xfId="32126" xr:uid="{00000000-0005-0000-0000-00001C890000}"/>
    <cellStyle name="Comma 7 6 5" xfId="4093" xr:uid="{00000000-0005-0000-0000-00001D890000}"/>
    <cellStyle name="Comma 7 6 5 2" xfId="11365" xr:uid="{00000000-0005-0000-0000-00001E890000}"/>
    <cellStyle name="Comma 7 6 5 2 2" xfId="25899" xr:uid="{00000000-0005-0000-0000-00001F890000}"/>
    <cellStyle name="Comma 7 6 5 2 2 2" xfId="54905" xr:uid="{00000000-0005-0000-0000-000020890000}"/>
    <cellStyle name="Comma 7 6 5 2 3" xfId="40406" xr:uid="{00000000-0005-0000-0000-000021890000}"/>
    <cellStyle name="Comma 7 6 5 3" xfId="18651" xr:uid="{00000000-0005-0000-0000-000022890000}"/>
    <cellStyle name="Comma 7 6 5 3 2" xfId="47657" xr:uid="{00000000-0005-0000-0000-000023890000}"/>
    <cellStyle name="Comma 7 6 5 4" xfId="33158" xr:uid="{00000000-0005-0000-0000-000024890000}"/>
    <cellStyle name="Comma 7 6 6" xfId="7197" xr:uid="{00000000-0005-0000-0000-000025890000}"/>
    <cellStyle name="Comma 7 6 6 2" xfId="14469" xr:uid="{00000000-0005-0000-0000-000026890000}"/>
    <cellStyle name="Comma 7 6 6 2 2" xfId="29003" xr:uid="{00000000-0005-0000-0000-000027890000}"/>
    <cellStyle name="Comma 7 6 6 2 2 2" xfId="58009" xr:uid="{00000000-0005-0000-0000-000028890000}"/>
    <cellStyle name="Comma 7 6 6 2 3" xfId="43510" xr:uid="{00000000-0005-0000-0000-000029890000}"/>
    <cellStyle name="Comma 7 6 6 3" xfId="21755" xr:uid="{00000000-0005-0000-0000-00002A890000}"/>
    <cellStyle name="Comma 7 6 6 3 2" xfId="50761" xr:uid="{00000000-0005-0000-0000-00002B890000}"/>
    <cellStyle name="Comma 7 6 6 4" xfId="36262" xr:uid="{00000000-0005-0000-0000-00002C890000}"/>
    <cellStyle name="Comma 7 6 7" xfId="8261" xr:uid="{00000000-0005-0000-0000-00002D890000}"/>
    <cellStyle name="Comma 7 6 7 2" xfId="22795" xr:uid="{00000000-0005-0000-0000-00002E890000}"/>
    <cellStyle name="Comma 7 6 7 2 2" xfId="51801" xr:uid="{00000000-0005-0000-0000-00002F890000}"/>
    <cellStyle name="Comma 7 6 7 3" xfId="37302" xr:uid="{00000000-0005-0000-0000-000030890000}"/>
    <cellStyle name="Comma 7 6 8" xfId="15547" xr:uid="{00000000-0005-0000-0000-000031890000}"/>
    <cellStyle name="Comma 7 6 8 2" xfId="44553" xr:uid="{00000000-0005-0000-0000-000032890000}"/>
    <cellStyle name="Comma 7 6 9" xfId="30054" xr:uid="{00000000-0005-0000-0000-000033890000}"/>
    <cellStyle name="Comma 7 7" xfId="1280" xr:uid="{00000000-0005-0000-0000-000034890000}"/>
    <cellStyle name="Comma 7 7 2" xfId="2335" xr:uid="{00000000-0005-0000-0000-000035890000}"/>
    <cellStyle name="Comma 7 7 2 2" xfId="5439" xr:uid="{00000000-0005-0000-0000-000036890000}"/>
    <cellStyle name="Comma 7 7 2 2 2" xfId="12711" xr:uid="{00000000-0005-0000-0000-000037890000}"/>
    <cellStyle name="Comma 7 7 2 2 2 2" xfId="27245" xr:uid="{00000000-0005-0000-0000-000038890000}"/>
    <cellStyle name="Comma 7 7 2 2 2 2 2" xfId="56251" xr:uid="{00000000-0005-0000-0000-000039890000}"/>
    <cellStyle name="Comma 7 7 2 2 2 3" xfId="41752" xr:uid="{00000000-0005-0000-0000-00003A890000}"/>
    <cellStyle name="Comma 7 7 2 2 3" xfId="19997" xr:uid="{00000000-0005-0000-0000-00003B890000}"/>
    <cellStyle name="Comma 7 7 2 2 3 2" xfId="49003" xr:uid="{00000000-0005-0000-0000-00003C890000}"/>
    <cellStyle name="Comma 7 7 2 2 4" xfId="34504" xr:uid="{00000000-0005-0000-0000-00003D890000}"/>
    <cellStyle name="Comma 7 7 2 3" xfId="9607" xr:uid="{00000000-0005-0000-0000-00003E890000}"/>
    <cellStyle name="Comma 7 7 2 3 2" xfId="24141" xr:uid="{00000000-0005-0000-0000-00003F890000}"/>
    <cellStyle name="Comma 7 7 2 3 2 2" xfId="53147" xr:uid="{00000000-0005-0000-0000-000040890000}"/>
    <cellStyle name="Comma 7 7 2 3 3" xfId="38648" xr:uid="{00000000-0005-0000-0000-000041890000}"/>
    <cellStyle name="Comma 7 7 2 4" xfId="16893" xr:uid="{00000000-0005-0000-0000-000042890000}"/>
    <cellStyle name="Comma 7 7 2 4 2" xfId="45899" xr:uid="{00000000-0005-0000-0000-000043890000}"/>
    <cellStyle name="Comma 7 7 2 5" xfId="31400" xr:uid="{00000000-0005-0000-0000-000044890000}"/>
    <cellStyle name="Comma 7 7 3" xfId="3367" xr:uid="{00000000-0005-0000-0000-000045890000}"/>
    <cellStyle name="Comma 7 7 3 2" xfId="6471" xr:uid="{00000000-0005-0000-0000-000046890000}"/>
    <cellStyle name="Comma 7 7 3 2 2" xfId="13743" xr:uid="{00000000-0005-0000-0000-000047890000}"/>
    <cellStyle name="Comma 7 7 3 2 2 2" xfId="28277" xr:uid="{00000000-0005-0000-0000-000048890000}"/>
    <cellStyle name="Comma 7 7 3 2 2 2 2" xfId="57283" xr:uid="{00000000-0005-0000-0000-000049890000}"/>
    <cellStyle name="Comma 7 7 3 2 2 3" xfId="42784" xr:uid="{00000000-0005-0000-0000-00004A890000}"/>
    <cellStyle name="Comma 7 7 3 2 3" xfId="21029" xr:uid="{00000000-0005-0000-0000-00004B890000}"/>
    <cellStyle name="Comma 7 7 3 2 3 2" xfId="50035" xr:uid="{00000000-0005-0000-0000-00004C890000}"/>
    <cellStyle name="Comma 7 7 3 2 4" xfId="35536" xr:uid="{00000000-0005-0000-0000-00004D890000}"/>
    <cellStyle name="Comma 7 7 3 3" xfId="10639" xr:uid="{00000000-0005-0000-0000-00004E890000}"/>
    <cellStyle name="Comma 7 7 3 3 2" xfId="25173" xr:uid="{00000000-0005-0000-0000-00004F890000}"/>
    <cellStyle name="Comma 7 7 3 3 2 2" xfId="54179" xr:uid="{00000000-0005-0000-0000-000050890000}"/>
    <cellStyle name="Comma 7 7 3 3 3" xfId="39680" xr:uid="{00000000-0005-0000-0000-000051890000}"/>
    <cellStyle name="Comma 7 7 3 4" xfId="17925" xr:uid="{00000000-0005-0000-0000-000052890000}"/>
    <cellStyle name="Comma 7 7 3 4 2" xfId="46931" xr:uid="{00000000-0005-0000-0000-000053890000}"/>
    <cellStyle name="Comma 7 7 3 5" xfId="32432" xr:uid="{00000000-0005-0000-0000-000054890000}"/>
    <cellStyle name="Comma 7 7 4" xfId="4399" xr:uid="{00000000-0005-0000-0000-000055890000}"/>
    <cellStyle name="Comma 7 7 4 2" xfId="11671" xr:uid="{00000000-0005-0000-0000-000056890000}"/>
    <cellStyle name="Comma 7 7 4 2 2" xfId="26205" xr:uid="{00000000-0005-0000-0000-000057890000}"/>
    <cellStyle name="Comma 7 7 4 2 2 2" xfId="55211" xr:uid="{00000000-0005-0000-0000-000058890000}"/>
    <cellStyle name="Comma 7 7 4 2 3" xfId="40712" xr:uid="{00000000-0005-0000-0000-000059890000}"/>
    <cellStyle name="Comma 7 7 4 3" xfId="18957" xr:uid="{00000000-0005-0000-0000-00005A890000}"/>
    <cellStyle name="Comma 7 7 4 3 2" xfId="47963" xr:uid="{00000000-0005-0000-0000-00005B890000}"/>
    <cellStyle name="Comma 7 7 4 4" xfId="33464" xr:uid="{00000000-0005-0000-0000-00005C890000}"/>
    <cellStyle name="Comma 7 7 5" xfId="7503" xr:uid="{00000000-0005-0000-0000-00005D890000}"/>
    <cellStyle name="Comma 7 7 5 2" xfId="14775" xr:uid="{00000000-0005-0000-0000-00005E890000}"/>
    <cellStyle name="Comma 7 7 5 2 2" xfId="29309" xr:uid="{00000000-0005-0000-0000-00005F890000}"/>
    <cellStyle name="Comma 7 7 5 2 2 2" xfId="58315" xr:uid="{00000000-0005-0000-0000-000060890000}"/>
    <cellStyle name="Comma 7 7 5 2 3" xfId="43816" xr:uid="{00000000-0005-0000-0000-000061890000}"/>
    <cellStyle name="Comma 7 7 5 3" xfId="22061" xr:uid="{00000000-0005-0000-0000-000062890000}"/>
    <cellStyle name="Comma 7 7 5 3 2" xfId="51067" xr:uid="{00000000-0005-0000-0000-000063890000}"/>
    <cellStyle name="Comma 7 7 5 4" xfId="36568" xr:uid="{00000000-0005-0000-0000-000064890000}"/>
    <cellStyle name="Comma 7 7 6" xfId="8567" xr:uid="{00000000-0005-0000-0000-000065890000}"/>
    <cellStyle name="Comma 7 7 6 2" xfId="23101" xr:uid="{00000000-0005-0000-0000-000066890000}"/>
    <cellStyle name="Comma 7 7 6 2 2" xfId="52107" xr:uid="{00000000-0005-0000-0000-000067890000}"/>
    <cellStyle name="Comma 7 7 6 3" xfId="37608" xr:uid="{00000000-0005-0000-0000-000068890000}"/>
    <cellStyle name="Comma 7 7 7" xfId="15853" xr:uid="{00000000-0005-0000-0000-000069890000}"/>
    <cellStyle name="Comma 7 7 7 2" xfId="44859" xr:uid="{00000000-0005-0000-0000-00006A890000}"/>
    <cellStyle name="Comma 7 7 8" xfId="30360" xr:uid="{00000000-0005-0000-0000-00006B890000}"/>
    <cellStyle name="Comma 7 7 9" xfId="59493" xr:uid="{00000000-0005-0000-0000-00006C890000}"/>
    <cellStyle name="Comma 7 8" xfId="1790" xr:uid="{00000000-0005-0000-0000-00006D890000}"/>
    <cellStyle name="Comma 7 9" xfId="1823" xr:uid="{00000000-0005-0000-0000-00006E890000}"/>
    <cellStyle name="Comma 7 9 2" xfId="4927" xr:uid="{00000000-0005-0000-0000-00006F890000}"/>
    <cellStyle name="Comma 7 9 2 2" xfId="12199" xr:uid="{00000000-0005-0000-0000-000070890000}"/>
    <cellStyle name="Comma 7 9 2 2 2" xfId="26733" xr:uid="{00000000-0005-0000-0000-000071890000}"/>
    <cellStyle name="Comma 7 9 2 2 2 2" xfId="55739" xr:uid="{00000000-0005-0000-0000-000072890000}"/>
    <cellStyle name="Comma 7 9 2 2 3" xfId="41240" xr:uid="{00000000-0005-0000-0000-000073890000}"/>
    <cellStyle name="Comma 7 9 2 3" xfId="19485" xr:uid="{00000000-0005-0000-0000-000074890000}"/>
    <cellStyle name="Comma 7 9 2 3 2" xfId="48491" xr:uid="{00000000-0005-0000-0000-000075890000}"/>
    <cellStyle name="Comma 7 9 2 4" xfId="33992" xr:uid="{00000000-0005-0000-0000-000076890000}"/>
    <cellStyle name="Comma 7 9 3" xfId="9095" xr:uid="{00000000-0005-0000-0000-000077890000}"/>
    <cellStyle name="Comma 7 9 3 2" xfId="23629" xr:uid="{00000000-0005-0000-0000-000078890000}"/>
    <cellStyle name="Comma 7 9 3 2 2" xfId="52635" xr:uid="{00000000-0005-0000-0000-000079890000}"/>
    <cellStyle name="Comma 7 9 3 3" xfId="38136" xr:uid="{00000000-0005-0000-0000-00007A890000}"/>
    <cellStyle name="Comma 7 9 4" xfId="16381" xr:uid="{00000000-0005-0000-0000-00007B890000}"/>
    <cellStyle name="Comma 7 9 4 2" xfId="45387" xr:uid="{00000000-0005-0000-0000-00007C890000}"/>
    <cellStyle name="Comma 7 9 5" xfId="30888" xr:uid="{00000000-0005-0000-0000-00007D890000}"/>
    <cellStyle name="Comma 8" xfId="38" xr:uid="{00000000-0005-0000-0000-00007E890000}"/>
    <cellStyle name="Comma 8 10" xfId="2860" xr:uid="{00000000-0005-0000-0000-00007F890000}"/>
    <cellStyle name="Comma 8 10 2" xfId="5964" xr:uid="{00000000-0005-0000-0000-000080890000}"/>
    <cellStyle name="Comma 8 10 2 2" xfId="13236" xr:uid="{00000000-0005-0000-0000-000081890000}"/>
    <cellStyle name="Comma 8 10 2 2 2" xfId="27770" xr:uid="{00000000-0005-0000-0000-000082890000}"/>
    <cellStyle name="Comma 8 10 2 2 2 2" xfId="56776" xr:uid="{00000000-0005-0000-0000-000083890000}"/>
    <cellStyle name="Comma 8 10 2 2 3" xfId="42277" xr:uid="{00000000-0005-0000-0000-000084890000}"/>
    <cellStyle name="Comma 8 10 2 3" xfId="20522" xr:uid="{00000000-0005-0000-0000-000085890000}"/>
    <cellStyle name="Comma 8 10 2 3 2" xfId="49528" xr:uid="{00000000-0005-0000-0000-000086890000}"/>
    <cellStyle name="Comma 8 10 2 4" xfId="35029" xr:uid="{00000000-0005-0000-0000-000087890000}"/>
    <cellStyle name="Comma 8 10 3" xfId="10132" xr:uid="{00000000-0005-0000-0000-000088890000}"/>
    <cellStyle name="Comma 8 10 3 2" xfId="24666" xr:uid="{00000000-0005-0000-0000-000089890000}"/>
    <cellStyle name="Comma 8 10 3 2 2" xfId="53672" xr:uid="{00000000-0005-0000-0000-00008A890000}"/>
    <cellStyle name="Comma 8 10 3 3" xfId="39173" xr:uid="{00000000-0005-0000-0000-00008B890000}"/>
    <cellStyle name="Comma 8 10 4" xfId="17418" xr:uid="{00000000-0005-0000-0000-00008C890000}"/>
    <cellStyle name="Comma 8 10 4 2" xfId="46424" xr:uid="{00000000-0005-0000-0000-00008D890000}"/>
    <cellStyle name="Comma 8 10 5" xfId="31925" xr:uid="{00000000-0005-0000-0000-00008E890000}"/>
    <cellStyle name="Comma 8 11" xfId="3892" xr:uid="{00000000-0005-0000-0000-00008F890000}"/>
    <cellStyle name="Comma 8 11 2" xfId="11164" xr:uid="{00000000-0005-0000-0000-000090890000}"/>
    <cellStyle name="Comma 8 11 2 2" xfId="25698" xr:uid="{00000000-0005-0000-0000-000091890000}"/>
    <cellStyle name="Comma 8 11 2 2 2" xfId="54704" xr:uid="{00000000-0005-0000-0000-000092890000}"/>
    <cellStyle name="Comma 8 11 2 3" xfId="40205" xr:uid="{00000000-0005-0000-0000-000093890000}"/>
    <cellStyle name="Comma 8 11 3" xfId="18450" xr:uid="{00000000-0005-0000-0000-000094890000}"/>
    <cellStyle name="Comma 8 11 3 2" xfId="47456" xr:uid="{00000000-0005-0000-0000-000095890000}"/>
    <cellStyle name="Comma 8 11 4" xfId="32957" xr:uid="{00000000-0005-0000-0000-000096890000}"/>
    <cellStyle name="Comma 8 12" xfId="6996" xr:uid="{00000000-0005-0000-0000-000097890000}"/>
    <cellStyle name="Comma 8 12 2" xfId="14268" xr:uid="{00000000-0005-0000-0000-000098890000}"/>
    <cellStyle name="Comma 8 12 2 2" xfId="28802" xr:uid="{00000000-0005-0000-0000-000099890000}"/>
    <cellStyle name="Comma 8 12 2 2 2" xfId="57808" xr:uid="{00000000-0005-0000-0000-00009A890000}"/>
    <cellStyle name="Comma 8 12 2 3" xfId="43309" xr:uid="{00000000-0005-0000-0000-00009B890000}"/>
    <cellStyle name="Comma 8 12 3" xfId="21554" xr:uid="{00000000-0005-0000-0000-00009C890000}"/>
    <cellStyle name="Comma 8 12 3 2" xfId="50560" xr:uid="{00000000-0005-0000-0000-00009D890000}"/>
    <cellStyle name="Comma 8 12 4" xfId="36061" xr:uid="{00000000-0005-0000-0000-00009E890000}"/>
    <cellStyle name="Comma 8 13" xfId="8060" xr:uid="{00000000-0005-0000-0000-00009F890000}"/>
    <cellStyle name="Comma 8 13 2" xfId="22594" xr:uid="{00000000-0005-0000-0000-0000A0890000}"/>
    <cellStyle name="Comma 8 13 2 2" xfId="51600" xr:uid="{00000000-0005-0000-0000-0000A1890000}"/>
    <cellStyle name="Comma 8 13 3" xfId="37101" xr:uid="{00000000-0005-0000-0000-0000A2890000}"/>
    <cellStyle name="Comma 8 14" xfId="15346" xr:uid="{00000000-0005-0000-0000-0000A3890000}"/>
    <cellStyle name="Comma 8 14 2" xfId="44352" xr:uid="{00000000-0005-0000-0000-0000A4890000}"/>
    <cellStyle name="Comma 8 15" xfId="810" xr:uid="{00000000-0005-0000-0000-0000A5890000}"/>
    <cellStyle name="Comma 8 15 2" xfId="29853" xr:uid="{00000000-0005-0000-0000-0000A6890000}"/>
    <cellStyle name="Comma 8 16" xfId="58878" xr:uid="{00000000-0005-0000-0000-0000A7890000}"/>
    <cellStyle name="Comma 8 17" xfId="625" xr:uid="{00000000-0005-0000-0000-0000A8890000}"/>
    <cellStyle name="Comma 8 18" xfId="58961" xr:uid="{00000000-0005-0000-0000-0000A9890000}"/>
    <cellStyle name="Comma 8 19" xfId="59144" xr:uid="{00000000-0005-0000-0000-0000AA890000}"/>
    <cellStyle name="Comma 8 2" xfId="164" xr:uid="{00000000-0005-0000-0000-0000AB890000}"/>
    <cellStyle name="Comma 8 2 10" xfId="7020" xr:uid="{00000000-0005-0000-0000-0000AC890000}"/>
    <cellStyle name="Comma 8 2 10 2" xfId="14292" xr:uid="{00000000-0005-0000-0000-0000AD890000}"/>
    <cellStyle name="Comma 8 2 10 2 2" xfId="28826" xr:uid="{00000000-0005-0000-0000-0000AE890000}"/>
    <cellStyle name="Comma 8 2 10 2 2 2" xfId="57832" xr:uid="{00000000-0005-0000-0000-0000AF890000}"/>
    <cellStyle name="Comma 8 2 10 2 3" xfId="43333" xr:uid="{00000000-0005-0000-0000-0000B0890000}"/>
    <cellStyle name="Comma 8 2 10 3" xfId="21578" xr:uid="{00000000-0005-0000-0000-0000B1890000}"/>
    <cellStyle name="Comma 8 2 10 3 2" xfId="50584" xr:uid="{00000000-0005-0000-0000-0000B2890000}"/>
    <cellStyle name="Comma 8 2 10 4" xfId="36085" xr:uid="{00000000-0005-0000-0000-0000B3890000}"/>
    <cellStyle name="Comma 8 2 11" xfId="8084" xr:uid="{00000000-0005-0000-0000-0000B4890000}"/>
    <cellStyle name="Comma 8 2 11 2" xfId="22618" xr:uid="{00000000-0005-0000-0000-0000B5890000}"/>
    <cellStyle name="Comma 8 2 11 2 2" xfId="51624" xr:uid="{00000000-0005-0000-0000-0000B6890000}"/>
    <cellStyle name="Comma 8 2 11 3" xfId="37125" xr:uid="{00000000-0005-0000-0000-0000B7890000}"/>
    <cellStyle name="Comma 8 2 12" xfId="15370" xr:uid="{00000000-0005-0000-0000-0000B8890000}"/>
    <cellStyle name="Comma 8 2 12 2" xfId="44376" xr:uid="{00000000-0005-0000-0000-0000B9890000}"/>
    <cellStyle name="Comma 8 2 13" xfId="855" xr:uid="{00000000-0005-0000-0000-0000BA890000}"/>
    <cellStyle name="Comma 8 2 13 2" xfId="29877" xr:uid="{00000000-0005-0000-0000-0000BB890000}"/>
    <cellStyle name="Comma 8 2 14" xfId="58894" xr:uid="{00000000-0005-0000-0000-0000BC890000}"/>
    <cellStyle name="Comma 8 2 15" xfId="697" xr:uid="{00000000-0005-0000-0000-0000BD890000}"/>
    <cellStyle name="Comma 8 2 16" xfId="58988" xr:uid="{00000000-0005-0000-0000-0000BE890000}"/>
    <cellStyle name="Comma 8 2 17" xfId="59244" xr:uid="{00000000-0005-0000-0000-0000BF890000}"/>
    <cellStyle name="Comma 8 2 2" xfId="238" xr:uid="{00000000-0005-0000-0000-0000C0890000}"/>
    <cellStyle name="Comma 8 2 2 10" xfId="8136" xr:uid="{00000000-0005-0000-0000-0000C1890000}"/>
    <cellStyle name="Comma 8 2 2 10 2" xfId="22670" xr:uid="{00000000-0005-0000-0000-0000C2890000}"/>
    <cellStyle name="Comma 8 2 2 10 2 2" xfId="51676" xr:uid="{00000000-0005-0000-0000-0000C3890000}"/>
    <cellStyle name="Comma 8 2 2 10 3" xfId="37177" xr:uid="{00000000-0005-0000-0000-0000C4890000}"/>
    <cellStyle name="Comma 8 2 2 11" xfId="15422" xr:uid="{00000000-0005-0000-0000-0000C5890000}"/>
    <cellStyle name="Comma 8 2 2 11 2" xfId="44428" xr:uid="{00000000-0005-0000-0000-0000C6890000}"/>
    <cellStyle name="Comma 8 2 2 12" xfId="29929" xr:uid="{00000000-0005-0000-0000-0000C7890000}"/>
    <cellStyle name="Comma 8 2 2 13" xfId="58913" xr:uid="{00000000-0005-0000-0000-0000C8890000}"/>
    <cellStyle name="Comma 8 2 2 14" xfId="59062" xr:uid="{00000000-0005-0000-0000-0000C9890000}"/>
    <cellStyle name="Comma 8 2 2 15" xfId="59384" xr:uid="{00000000-0005-0000-0000-0000CA890000}"/>
    <cellStyle name="Comma 8 2 2 2" xfId="978" xr:uid="{00000000-0005-0000-0000-0000CB890000}"/>
    <cellStyle name="Comma 8 2 2 2 10" xfId="30032" xr:uid="{00000000-0005-0000-0000-0000CC890000}"/>
    <cellStyle name="Comma 8 2 2 2 11" xfId="59614" xr:uid="{00000000-0005-0000-0000-0000CD890000}"/>
    <cellStyle name="Comma 8 2 2 2 2" xfId="1259" xr:uid="{00000000-0005-0000-0000-0000CE890000}"/>
    <cellStyle name="Comma 8 2 2 2 2 2" xfId="1766" xr:uid="{00000000-0005-0000-0000-0000CF890000}"/>
    <cellStyle name="Comma 8 2 2 2 2 2 2" xfId="2825" xr:uid="{00000000-0005-0000-0000-0000D0890000}"/>
    <cellStyle name="Comma 8 2 2 2 2 2 2 2" xfId="5929" xr:uid="{00000000-0005-0000-0000-0000D1890000}"/>
    <cellStyle name="Comma 8 2 2 2 2 2 2 2 2" xfId="13201" xr:uid="{00000000-0005-0000-0000-0000D2890000}"/>
    <cellStyle name="Comma 8 2 2 2 2 2 2 2 2 2" xfId="27735" xr:uid="{00000000-0005-0000-0000-0000D3890000}"/>
    <cellStyle name="Comma 8 2 2 2 2 2 2 2 2 2 2" xfId="56741" xr:uid="{00000000-0005-0000-0000-0000D4890000}"/>
    <cellStyle name="Comma 8 2 2 2 2 2 2 2 2 3" xfId="42242" xr:uid="{00000000-0005-0000-0000-0000D5890000}"/>
    <cellStyle name="Comma 8 2 2 2 2 2 2 2 3" xfId="20487" xr:uid="{00000000-0005-0000-0000-0000D6890000}"/>
    <cellStyle name="Comma 8 2 2 2 2 2 2 2 3 2" xfId="49493" xr:uid="{00000000-0005-0000-0000-0000D7890000}"/>
    <cellStyle name="Comma 8 2 2 2 2 2 2 2 4" xfId="34994" xr:uid="{00000000-0005-0000-0000-0000D8890000}"/>
    <cellStyle name="Comma 8 2 2 2 2 2 2 3" xfId="10097" xr:uid="{00000000-0005-0000-0000-0000D9890000}"/>
    <cellStyle name="Comma 8 2 2 2 2 2 2 3 2" xfId="24631" xr:uid="{00000000-0005-0000-0000-0000DA890000}"/>
    <cellStyle name="Comma 8 2 2 2 2 2 2 3 2 2" xfId="53637" xr:uid="{00000000-0005-0000-0000-0000DB890000}"/>
    <cellStyle name="Comma 8 2 2 2 2 2 2 3 3" xfId="39138" xr:uid="{00000000-0005-0000-0000-0000DC890000}"/>
    <cellStyle name="Comma 8 2 2 2 2 2 2 4" xfId="17383" xr:uid="{00000000-0005-0000-0000-0000DD890000}"/>
    <cellStyle name="Comma 8 2 2 2 2 2 2 4 2" xfId="46389" xr:uid="{00000000-0005-0000-0000-0000DE890000}"/>
    <cellStyle name="Comma 8 2 2 2 2 2 2 5" xfId="31890" xr:uid="{00000000-0005-0000-0000-0000DF890000}"/>
    <cellStyle name="Comma 8 2 2 2 2 2 3" xfId="3857" xr:uid="{00000000-0005-0000-0000-0000E0890000}"/>
    <cellStyle name="Comma 8 2 2 2 2 2 3 2" xfId="6961" xr:uid="{00000000-0005-0000-0000-0000E1890000}"/>
    <cellStyle name="Comma 8 2 2 2 2 2 3 2 2" xfId="14233" xr:uid="{00000000-0005-0000-0000-0000E2890000}"/>
    <cellStyle name="Comma 8 2 2 2 2 2 3 2 2 2" xfId="28767" xr:uid="{00000000-0005-0000-0000-0000E3890000}"/>
    <cellStyle name="Comma 8 2 2 2 2 2 3 2 2 2 2" xfId="57773" xr:uid="{00000000-0005-0000-0000-0000E4890000}"/>
    <cellStyle name="Comma 8 2 2 2 2 2 3 2 2 3" xfId="43274" xr:uid="{00000000-0005-0000-0000-0000E5890000}"/>
    <cellStyle name="Comma 8 2 2 2 2 2 3 2 3" xfId="21519" xr:uid="{00000000-0005-0000-0000-0000E6890000}"/>
    <cellStyle name="Comma 8 2 2 2 2 2 3 2 3 2" xfId="50525" xr:uid="{00000000-0005-0000-0000-0000E7890000}"/>
    <cellStyle name="Comma 8 2 2 2 2 2 3 2 4" xfId="36026" xr:uid="{00000000-0005-0000-0000-0000E8890000}"/>
    <cellStyle name="Comma 8 2 2 2 2 2 3 3" xfId="11129" xr:uid="{00000000-0005-0000-0000-0000E9890000}"/>
    <cellStyle name="Comma 8 2 2 2 2 2 3 3 2" xfId="25663" xr:uid="{00000000-0005-0000-0000-0000EA890000}"/>
    <cellStyle name="Comma 8 2 2 2 2 2 3 3 2 2" xfId="54669" xr:uid="{00000000-0005-0000-0000-0000EB890000}"/>
    <cellStyle name="Comma 8 2 2 2 2 2 3 3 3" xfId="40170" xr:uid="{00000000-0005-0000-0000-0000EC890000}"/>
    <cellStyle name="Comma 8 2 2 2 2 2 3 4" xfId="18415" xr:uid="{00000000-0005-0000-0000-0000ED890000}"/>
    <cellStyle name="Comma 8 2 2 2 2 2 3 4 2" xfId="47421" xr:uid="{00000000-0005-0000-0000-0000EE890000}"/>
    <cellStyle name="Comma 8 2 2 2 2 2 3 5" xfId="32922" xr:uid="{00000000-0005-0000-0000-0000EF890000}"/>
    <cellStyle name="Comma 8 2 2 2 2 2 4" xfId="4889" xr:uid="{00000000-0005-0000-0000-0000F0890000}"/>
    <cellStyle name="Comma 8 2 2 2 2 2 4 2" xfId="12161" xr:uid="{00000000-0005-0000-0000-0000F1890000}"/>
    <cellStyle name="Comma 8 2 2 2 2 2 4 2 2" xfId="26695" xr:uid="{00000000-0005-0000-0000-0000F2890000}"/>
    <cellStyle name="Comma 8 2 2 2 2 2 4 2 2 2" xfId="55701" xr:uid="{00000000-0005-0000-0000-0000F3890000}"/>
    <cellStyle name="Comma 8 2 2 2 2 2 4 2 3" xfId="41202" xr:uid="{00000000-0005-0000-0000-0000F4890000}"/>
    <cellStyle name="Comma 8 2 2 2 2 2 4 3" xfId="19447" xr:uid="{00000000-0005-0000-0000-0000F5890000}"/>
    <cellStyle name="Comma 8 2 2 2 2 2 4 3 2" xfId="48453" xr:uid="{00000000-0005-0000-0000-0000F6890000}"/>
    <cellStyle name="Comma 8 2 2 2 2 2 4 4" xfId="33954" xr:uid="{00000000-0005-0000-0000-0000F7890000}"/>
    <cellStyle name="Comma 8 2 2 2 2 2 5" xfId="7993" xr:uid="{00000000-0005-0000-0000-0000F8890000}"/>
    <cellStyle name="Comma 8 2 2 2 2 2 5 2" xfId="15265" xr:uid="{00000000-0005-0000-0000-0000F9890000}"/>
    <cellStyle name="Comma 8 2 2 2 2 2 5 2 2" xfId="29799" xr:uid="{00000000-0005-0000-0000-0000FA890000}"/>
    <cellStyle name="Comma 8 2 2 2 2 2 5 2 2 2" xfId="58805" xr:uid="{00000000-0005-0000-0000-0000FB890000}"/>
    <cellStyle name="Comma 8 2 2 2 2 2 5 2 3" xfId="44306" xr:uid="{00000000-0005-0000-0000-0000FC890000}"/>
    <cellStyle name="Comma 8 2 2 2 2 2 5 3" xfId="22551" xr:uid="{00000000-0005-0000-0000-0000FD890000}"/>
    <cellStyle name="Comma 8 2 2 2 2 2 5 3 2" xfId="51557" xr:uid="{00000000-0005-0000-0000-0000FE890000}"/>
    <cellStyle name="Comma 8 2 2 2 2 2 5 4" xfId="37058" xr:uid="{00000000-0005-0000-0000-0000FF890000}"/>
    <cellStyle name="Comma 8 2 2 2 2 2 6" xfId="9057" xr:uid="{00000000-0005-0000-0000-0000008A0000}"/>
    <cellStyle name="Comma 8 2 2 2 2 2 6 2" xfId="23591" xr:uid="{00000000-0005-0000-0000-0000018A0000}"/>
    <cellStyle name="Comma 8 2 2 2 2 2 6 2 2" xfId="52597" xr:uid="{00000000-0005-0000-0000-0000028A0000}"/>
    <cellStyle name="Comma 8 2 2 2 2 2 6 3" xfId="38098" xr:uid="{00000000-0005-0000-0000-0000038A0000}"/>
    <cellStyle name="Comma 8 2 2 2 2 2 7" xfId="16343" xr:uid="{00000000-0005-0000-0000-0000048A0000}"/>
    <cellStyle name="Comma 8 2 2 2 2 2 7 2" xfId="45349" xr:uid="{00000000-0005-0000-0000-0000058A0000}"/>
    <cellStyle name="Comma 8 2 2 2 2 2 8" xfId="30850" xr:uid="{00000000-0005-0000-0000-0000068A0000}"/>
    <cellStyle name="Comma 8 2 2 2 2 3" xfId="2313" xr:uid="{00000000-0005-0000-0000-0000078A0000}"/>
    <cellStyle name="Comma 8 2 2 2 2 3 2" xfId="5417" xr:uid="{00000000-0005-0000-0000-0000088A0000}"/>
    <cellStyle name="Comma 8 2 2 2 2 3 2 2" xfId="12689" xr:uid="{00000000-0005-0000-0000-0000098A0000}"/>
    <cellStyle name="Comma 8 2 2 2 2 3 2 2 2" xfId="27223" xr:uid="{00000000-0005-0000-0000-00000A8A0000}"/>
    <cellStyle name="Comma 8 2 2 2 2 3 2 2 2 2" xfId="56229" xr:uid="{00000000-0005-0000-0000-00000B8A0000}"/>
    <cellStyle name="Comma 8 2 2 2 2 3 2 2 3" xfId="41730" xr:uid="{00000000-0005-0000-0000-00000C8A0000}"/>
    <cellStyle name="Comma 8 2 2 2 2 3 2 3" xfId="19975" xr:uid="{00000000-0005-0000-0000-00000D8A0000}"/>
    <cellStyle name="Comma 8 2 2 2 2 3 2 3 2" xfId="48981" xr:uid="{00000000-0005-0000-0000-00000E8A0000}"/>
    <cellStyle name="Comma 8 2 2 2 2 3 2 4" xfId="34482" xr:uid="{00000000-0005-0000-0000-00000F8A0000}"/>
    <cellStyle name="Comma 8 2 2 2 2 3 3" xfId="9585" xr:uid="{00000000-0005-0000-0000-0000108A0000}"/>
    <cellStyle name="Comma 8 2 2 2 2 3 3 2" xfId="24119" xr:uid="{00000000-0005-0000-0000-0000118A0000}"/>
    <cellStyle name="Comma 8 2 2 2 2 3 3 2 2" xfId="53125" xr:uid="{00000000-0005-0000-0000-0000128A0000}"/>
    <cellStyle name="Comma 8 2 2 2 2 3 3 3" xfId="38626" xr:uid="{00000000-0005-0000-0000-0000138A0000}"/>
    <cellStyle name="Comma 8 2 2 2 2 3 4" xfId="16871" xr:uid="{00000000-0005-0000-0000-0000148A0000}"/>
    <cellStyle name="Comma 8 2 2 2 2 3 4 2" xfId="45877" xr:uid="{00000000-0005-0000-0000-0000158A0000}"/>
    <cellStyle name="Comma 8 2 2 2 2 3 5" xfId="31378" xr:uid="{00000000-0005-0000-0000-0000168A0000}"/>
    <cellStyle name="Comma 8 2 2 2 2 4" xfId="3345" xr:uid="{00000000-0005-0000-0000-0000178A0000}"/>
    <cellStyle name="Comma 8 2 2 2 2 4 2" xfId="6449" xr:uid="{00000000-0005-0000-0000-0000188A0000}"/>
    <cellStyle name="Comma 8 2 2 2 2 4 2 2" xfId="13721" xr:uid="{00000000-0005-0000-0000-0000198A0000}"/>
    <cellStyle name="Comma 8 2 2 2 2 4 2 2 2" xfId="28255" xr:uid="{00000000-0005-0000-0000-00001A8A0000}"/>
    <cellStyle name="Comma 8 2 2 2 2 4 2 2 2 2" xfId="57261" xr:uid="{00000000-0005-0000-0000-00001B8A0000}"/>
    <cellStyle name="Comma 8 2 2 2 2 4 2 2 3" xfId="42762" xr:uid="{00000000-0005-0000-0000-00001C8A0000}"/>
    <cellStyle name="Comma 8 2 2 2 2 4 2 3" xfId="21007" xr:uid="{00000000-0005-0000-0000-00001D8A0000}"/>
    <cellStyle name="Comma 8 2 2 2 2 4 2 3 2" xfId="50013" xr:uid="{00000000-0005-0000-0000-00001E8A0000}"/>
    <cellStyle name="Comma 8 2 2 2 2 4 2 4" xfId="35514" xr:uid="{00000000-0005-0000-0000-00001F8A0000}"/>
    <cellStyle name="Comma 8 2 2 2 2 4 3" xfId="10617" xr:uid="{00000000-0005-0000-0000-0000208A0000}"/>
    <cellStyle name="Comma 8 2 2 2 2 4 3 2" xfId="25151" xr:uid="{00000000-0005-0000-0000-0000218A0000}"/>
    <cellStyle name="Comma 8 2 2 2 2 4 3 2 2" xfId="54157" xr:uid="{00000000-0005-0000-0000-0000228A0000}"/>
    <cellStyle name="Comma 8 2 2 2 2 4 3 3" xfId="39658" xr:uid="{00000000-0005-0000-0000-0000238A0000}"/>
    <cellStyle name="Comma 8 2 2 2 2 4 4" xfId="17903" xr:uid="{00000000-0005-0000-0000-0000248A0000}"/>
    <cellStyle name="Comma 8 2 2 2 2 4 4 2" xfId="46909" xr:uid="{00000000-0005-0000-0000-0000258A0000}"/>
    <cellStyle name="Comma 8 2 2 2 2 4 5" xfId="32410" xr:uid="{00000000-0005-0000-0000-0000268A0000}"/>
    <cellStyle name="Comma 8 2 2 2 2 5" xfId="4377" xr:uid="{00000000-0005-0000-0000-0000278A0000}"/>
    <cellStyle name="Comma 8 2 2 2 2 5 2" xfId="11649" xr:uid="{00000000-0005-0000-0000-0000288A0000}"/>
    <cellStyle name="Comma 8 2 2 2 2 5 2 2" xfId="26183" xr:uid="{00000000-0005-0000-0000-0000298A0000}"/>
    <cellStyle name="Comma 8 2 2 2 2 5 2 2 2" xfId="55189" xr:uid="{00000000-0005-0000-0000-00002A8A0000}"/>
    <cellStyle name="Comma 8 2 2 2 2 5 2 3" xfId="40690" xr:uid="{00000000-0005-0000-0000-00002B8A0000}"/>
    <cellStyle name="Comma 8 2 2 2 2 5 3" xfId="18935" xr:uid="{00000000-0005-0000-0000-00002C8A0000}"/>
    <cellStyle name="Comma 8 2 2 2 2 5 3 2" xfId="47941" xr:uid="{00000000-0005-0000-0000-00002D8A0000}"/>
    <cellStyle name="Comma 8 2 2 2 2 5 4" xfId="33442" xr:uid="{00000000-0005-0000-0000-00002E8A0000}"/>
    <cellStyle name="Comma 8 2 2 2 2 6" xfId="7481" xr:uid="{00000000-0005-0000-0000-00002F8A0000}"/>
    <cellStyle name="Comma 8 2 2 2 2 6 2" xfId="14753" xr:uid="{00000000-0005-0000-0000-0000308A0000}"/>
    <cellStyle name="Comma 8 2 2 2 2 6 2 2" xfId="29287" xr:uid="{00000000-0005-0000-0000-0000318A0000}"/>
    <cellStyle name="Comma 8 2 2 2 2 6 2 2 2" xfId="58293" xr:uid="{00000000-0005-0000-0000-0000328A0000}"/>
    <cellStyle name="Comma 8 2 2 2 2 6 2 3" xfId="43794" xr:uid="{00000000-0005-0000-0000-0000338A0000}"/>
    <cellStyle name="Comma 8 2 2 2 2 6 3" xfId="22039" xr:uid="{00000000-0005-0000-0000-0000348A0000}"/>
    <cellStyle name="Comma 8 2 2 2 2 6 3 2" xfId="51045" xr:uid="{00000000-0005-0000-0000-0000358A0000}"/>
    <cellStyle name="Comma 8 2 2 2 2 6 4" xfId="36546" xr:uid="{00000000-0005-0000-0000-0000368A0000}"/>
    <cellStyle name="Comma 8 2 2 2 2 7" xfId="8545" xr:uid="{00000000-0005-0000-0000-0000378A0000}"/>
    <cellStyle name="Comma 8 2 2 2 2 7 2" xfId="23079" xr:uid="{00000000-0005-0000-0000-0000388A0000}"/>
    <cellStyle name="Comma 8 2 2 2 2 7 2 2" xfId="52085" xr:uid="{00000000-0005-0000-0000-0000398A0000}"/>
    <cellStyle name="Comma 8 2 2 2 2 7 3" xfId="37586" xr:uid="{00000000-0005-0000-0000-00003A8A0000}"/>
    <cellStyle name="Comma 8 2 2 2 2 8" xfId="15831" xr:uid="{00000000-0005-0000-0000-00003B8A0000}"/>
    <cellStyle name="Comma 8 2 2 2 2 8 2" xfId="44837" xr:uid="{00000000-0005-0000-0000-00003C8A0000}"/>
    <cellStyle name="Comma 8 2 2 2 2 9" xfId="30338" xr:uid="{00000000-0005-0000-0000-00003D8A0000}"/>
    <cellStyle name="Comma 8 2 2 2 3" xfId="1461" xr:uid="{00000000-0005-0000-0000-00003E8A0000}"/>
    <cellStyle name="Comma 8 2 2 2 3 2" xfId="2519" xr:uid="{00000000-0005-0000-0000-00003F8A0000}"/>
    <cellStyle name="Comma 8 2 2 2 3 2 2" xfId="5623" xr:uid="{00000000-0005-0000-0000-0000408A0000}"/>
    <cellStyle name="Comma 8 2 2 2 3 2 2 2" xfId="12895" xr:uid="{00000000-0005-0000-0000-0000418A0000}"/>
    <cellStyle name="Comma 8 2 2 2 3 2 2 2 2" xfId="27429" xr:uid="{00000000-0005-0000-0000-0000428A0000}"/>
    <cellStyle name="Comma 8 2 2 2 3 2 2 2 2 2" xfId="56435" xr:uid="{00000000-0005-0000-0000-0000438A0000}"/>
    <cellStyle name="Comma 8 2 2 2 3 2 2 2 3" xfId="41936" xr:uid="{00000000-0005-0000-0000-0000448A0000}"/>
    <cellStyle name="Comma 8 2 2 2 3 2 2 3" xfId="20181" xr:uid="{00000000-0005-0000-0000-0000458A0000}"/>
    <cellStyle name="Comma 8 2 2 2 3 2 2 3 2" xfId="49187" xr:uid="{00000000-0005-0000-0000-0000468A0000}"/>
    <cellStyle name="Comma 8 2 2 2 3 2 2 4" xfId="34688" xr:uid="{00000000-0005-0000-0000-0000478A0000}"/>
    <cellStyle name="Comma 8 2 2 2 3 2 3" xfId="9791" xr:uid="{00000000-0005-0000-0000-0000488A0000}"/>
    <cellStyle name="Comma 8 2 2 2 3 2 3 2" xfId="24325" xr:uid="{00000000-0005-0000-0000-0000498A0000}"/>
    <cellStyle name="Comma 8 2 2 2 3 2 3 2 2" xfId="53331" xr:uid="{00000000-0005-0000-0000-00004A8A0000}"/>
    <cellStyle name="Comma 8 2 2 2 3 2 3 3" xfId="38832" xr:uid="{00000000-0005-0000-0000-00004B8A0000}"/>
    <cellStyle name="Comma 8 2 2 2 3 2 4" xfId="17077" xr:uid="{00000000-0005-0000-0000-00004C8A0000}"/>
    <cellStyle name="Comma 8 2 2 2 3 2 4 2" xfId="46083" xr:uid="{00000000-0005-0000-0000-00004D8A0000}"/>
    <cellStyle name="Comma 8 2 2 2 3 2 5" xfId="31584" xr:uid="{00000000-0005-0000-0000-00004E8A0000}"/>
    <cellStyle name="Comma 8 2 2 2 3 3" xfId="3551" xr:uid="{00000000-0005-0000-0000-00004F8A0000}"/>
    <cellStyle name="Comma 8 2 2 2 3 3 2" xfId="6655" xr:uid="{00000000-0005-0000-0000-0000508A0000}"/>
    <cellStyle name="Comma 8 2 2 2 3 3 2 2" xfId="13927" xr:uid="{00000000-0005-0000-0000-0000518A0000}"/>
    <cellStyle name="Comma 8 2 2 2 3 3 2 2 2" xfId="28461" xr:uid="{00000000-0005-0000-0000-0000528A0000}"/>
    <cellStyle name="Comma 8 2 2 2 3 3 2 2 2 2" xfId="57467" xr:uid="{00000000-0005-0000-0000-0000538A0000}"/>
    <cellStyle name="Comma 8 2 2 2 3 3 2 2 3" xfId="42968" xr:uid="{00000000-0005-0000-0000-0000548A0000}"/>
    <cellStyle name="Comma 8 2 2 2 3 3 2 3" xfId="21213" xr:uid="{00000000-0005-0000-0000-0000558A0000}"/>
    <cellStyle name="Comma 8 2 2 2 3 3 2 3 2" xfId="50219" xr:uid="{00000000-0005-0000-0000-0000568A0000}"/>
    <cellStyle name="Comma 8 2 2 2 3 3 2 4" xfId="35720" xr:uid="{00000000-0005-0000-0000-0000578A0000}"/>
    <cellStyle name="Comma 8 2 2 2 3 3 3" xfId="10823" xr:uid="{00000000-0005-0000-0000-0000588A0000}"/>
    <cellStyle name="Comma 8 2 2 2 3 3 3 2" xfId="25357" xr:uid="{00000000-0005-0000-0000-0000598A0000}"/>
    <cellStyle name="Comma 8 2 2 2 3 3 3 2 2" xfId="54363" xr:uid="{00000000-0005-0000-0000-00005A8A0000}"/>
    <cellStyle name="Comma 8 2 2 2 3 3 3 3" xfId="39864" xr:uid="{00000000-0005-0000-0000-00005B8A0000}"/>
    <cellStyle name="Comma 8 2 2 2 3 3 4" xfId="18109" xr:uid="{00000000-0005-0000-0000-00005C8A0000}"/>
    <cellStyle name="Comma 8 2 2 2 3 3 4 2" xfId="47115" xr:uid="{00000000-0005-0000-0000-00005D8A0000}"/>
    <cellStyle name="Comma 8 2 2 2 3 3 5" xfId="32616" xr:uid="{00000000-0005-0000-0000-00005E8A0000}"/>
    <cellStyle name="Comma 8 2 2 2 3 4" xfId="4583" xr:uid="{00000000-0005-0000-0000-00005F8A0000}"/>
    <cellStyle name="Comma 8 2 2 2 3 4 2" xfId="11855" xr:uid="{00000000-0005-0000-0000-0000608A0000}"/>
    <cellStyle name="Comma 8 2 2 2 3 4 2 2" xfId="26389" xr:uid="{00000000-0005-0000-0000-0000618A0000}"/>
    <cellStyle name="Comma 8 2 2 2 3 4 2 2 2" xfId="55395" xr:uid="{00000000-0005-0000-0000-0000628A0000}"/>
    <cellStyle name="Comma 8 2 2 2 3 4 2 3" xfId="40896" xr:uid="{00000000-0005-0000-0000-0000638A0000}"/>
    <cellStyle name="Comma 8 2 2 2 3 4 3" xfId="19141" xr:uid="{00000000-0005-0000-0000-0000648A0000}"/>
    <cellStyle name="Comma 8 2 2 2 3 4 3 2" xfId="48147" xr:uid="{00000000-0005-0000-0000-0000658A0000}"/>
    <cellStyle name="Comma 8 2 2 2 3 4 4" xfId="33648" xr:uid="{00000000-0005-0000-0000-0000668A0000}"/>
    <cellStyle name="Comma 8 2 2 2 3 5" xfId="7687" xr:uid="{00000000-0005-0000-0000-0000678A0000}"/>
    <cellStyle name="Comma 8 2 2 2 3 5 2" xfId="14959" xr:uid="{00000000-0005-0000-0000-0000688A0000}"/>
    <cellStyle name="Comma 8 2 2 2 3 5 2 2" xfId="29493" xr:uid="{00000000-0005-0000-0000-0000698A0000}"/>
    <cellStyle name="Comma 8 2 2 2 3 5 2 2 2" xfId="58499" xr:uid="{00000000-0005-0000-0000-00006A8A0000}"/>
    <cellStyle name="Comma 8 2 2 2 3 5 2 3" xfId="44000" xr:uid="{00000000-0005-0000-0000-00006B8A0000}"/>
    <cellStyle name="Comma 8 2 2 2 3 5 3" xfId="22245" xr:uid="{00000000-0005-0000-0000-00006C8A0000}"/>
    <cellStyle name="Comma 8 2 2 2 3 5 3 2" xfId="51251" xr:uid="{00000000-0005-0000-0000-00006D8A0000}"/>
    <cellStyle name="Comma 8 2 2 2 3 5 4" xfId="36752" xr:uid="{00000000-0005-0000-0000-00006E8A0000}"/>
    <cellStyle name="Comma 8 2 2 2 3 6" xfId="8751" xr:uid="{00000000-0005-0000-0000-00006F8A0000}"/>
    <cellStyle name="Comma 8 2 2 2 3 6 2" xfId="23285" xr:uid="{00000000-0005-0000-0000-0000708A0000}"/>
    <cellStyle name="Comma 8 2 2 2 3 6 2 2" xfId="52291" xr:uid="{00000000-0005-0000-0000-0000718A0000}"/>
    <cellStyle name="Comma 8 2 2 2 3 6 3" xfId="37792" xr:uid="{00000000-0005-0000-0000-0000728A0000}"/>
    <cellStyle name="Comma 8 2 2 2 3 7" xfId="16037" xr:uid="{00000000-0005-0000-0000-0000738A0000}"/>
    <cellStyle name="Comma 8 2 2 2 3 7 2" xfId="45043" xr:uid="{00000000-0005-0000-0000-0000748A0000}"/>
    <cellStyle name="Comma 8 2 2 2 3 8" xfId="30544" xr:uid="{00000000-0005-0000-0000-0000758A0000}"/>
    <cellStyle name="Comma 8 2 2 2 4" xfId="2007" xr:uid="{00000000-0005-0000-0000-0000768A0000}"/>
    <cellStyle name="Comma 8 2 2 2 4 2" xfId="5111" xr:uid="{00000000-0005-0000-0000-0000778A0000}"/>
    <cellStyle name="Comma 8 2 2 2 4 2 2" xfId="12383" xr:uid="{00000000-0005-0000-0000-0000788A0000}"/>
    <cellStyle name="Comma 8 2 2 2 4 2 2 2" xfId="26917" xr:uid="{00000000-0005-0000-0000-0000798A0000}"/>
    <cellStyle name="Comma 8 2 2 2 4 2 2 2 2" xfId="55923" xr:uid="{00000000-0005-0000-0000-00007A8A0000}"/>
    <cellStyle name="Comma 8 2 2 2 4 2 2 3" xfId="41424" xr:uid="{00000000-0005-0000-0000-00007B8A0000}"/>
    <cellStyle name="Comma 8 2 2 2 4 2 3" xfId="19669" xr:uid="{00000000-0005-0000-0000-00007C8A0000}"/>
    <cellStyle name="Comma 8 2 2 2 4 2 3 2" xfId="48675" xr:uid="{00000000-0005-0000-0000-00007D8A0000}"/>
    <cellStyle name="Comma 8 2 2 2 4 2 4" xfId="34176" xr:uid="{00000000-0005-0000-0000-00007E8A0000}"/>
    <cellStyle name="Comma 8 2 2 2 4 3" xfId="9279" xr:uid="{00000000-0005-0000-0000-00007F8A0000}"/>
    <cellStyle name="Comma 8 2 2 2 4 3 2" xfId="23813" xr:uid="{00000000-0005-0000-0000-0000808A0000}"/>
    <cellStyle name="Comma 8 2 2 2 4 3 2 2" xfId="52819" xr:uid="{00000000-0005-0000-0000-0000818A0000}"/>
    <cellStyle name="Comma 8 2 2 2 4 3 3" xfId="38320" xr:uid="{00000000-0005-0000-0000-0000828A0000}"/>
    <cellStyle name="Comma 8 2 2 2 4 4" xfId="16565" xr:uid="{00000000-0005-0000-0000-0000838A0000}"/>
    <cellStyle name="Comma 8 2 2 2 4 4 2" xfId="45571" xr:uid="{00000000-0005-0000-0000-0000848A0000}"/>
    <cellStyle name="Comma 8 2 2 2 4 5" xfId="31072" xr:uid="{00000000-0005-0000-0000-0000858A0000}"/>
    <cellStyle name="Comma 8 2 2 2 5" xfId="3039" xr:uid="{00000000-0005-0000-0000-0000868A0000}"/>
    <cellStyle name="Comma 8 2 2 2 5 2" xfId="6143" xr:uid="{00000000-0005-0000-0000-0000878A0000}"/>
    <cellStyle name="Comma 8 2 2 2 5 2 2" xfId="13415" xr:uid="{00000000-0005-0000-0000-0000888A0000}"/>
    <cellStyle name="Comma 8 2 2 2 5 2 2 2" xfId="27949" xr:uid="{00000000-0005-0000-0000-0000898A0000}"/>
    <cellStyle name="Comma 8 2 2 2 5 2 2 2 2" xfId="56955" xr:uid="{00000000-0005-0000-0000-00008A8A0000}"/>
    <cellStyle name="Comma 8 2 2 2 5 2 2 3" xfId="42456" xr:uid="{00000000-0005-0000-0000-00008B8A0000}"/>
    <cellStyle name="Comma 8 2 2 2 5 2 3" xfId="20701" xr:uid="{00000000-0005-0000-0000-00008C8A0000}"/>
    <cellStyle name="Comma 8 2 2 2 5 2 3 2" xfId="49707" xr:uid="{00000000-0005-0000-0000-00008D8A0000}"/>
    <cellStyle name="Comma 8 2 2 2 5 2 4" xfId="35208" xr:uid="{00000000-0005-0000-0000-00008E8A0000}"/>
    <cellStyle name="Comma 8 2 2 2 5 3" xfId="10311" xr:uid="{00000000-0005-0000-0000-00008F8A0000}"/>
    <cellStyle name="Comma 8 2 2 2 5 3 2" xfId="24845" xr:uid="{00000000-0005-0000-0000-0000908A0000}"/>
    <cellStyle name="Comma 8 2 2 2 5 3 2 2" xfId="53851" xr:uid="{00000000-0005-0000-0000-0000918A0000}"/>
    <cellStyle name="Comma 8 2 2 2 5 3 3" xfId="39352" xr:uid="{00000000-0005-0000-0000-0000928A0000}"/>
    <cellStyle name="Comma 8 2 2 2 5 4" xfId="17597" xr:uid="{00000000-0005-0000-0000-0000938A0000}"/>
    <cellStyle name="Comma 8 2 2 2 5 4 2" xfId="46603" xr:uid="{00000000-0005-0000-0000-0000948A0000}"/>
    <cellStyle name="Comma 8 2 2 2 5 5" xfId="32104" xr:uid="{00000000-0005-0000-0000-0000958A0000}"/>
    <cellStyle name="Comma 8 2 2 2 6" xfId="4071" xr:uid="{00000000-0005-0000-0000-0000968A0000}"/>
    <cellStyle name="Comma 8 2 2 2 6 2" xfId="11343" xr:uid="{00000000-0005-0000-0000-0000978A0000}"/>
    <cellStyle name="Comma 8 2 2 2 6 2 2" xfId="25877" xr:uid="{00000000-0005-0000-0000-0000988A0000}"/>
    <cellStyle name="Comma 8 2 2 2 6 2 2 2" xfId="54883" xr:uid="{00000000-0005-0000-0000-0000998A0000}"/>
    <cellStyle name="Comma 8 2 2 2 6 2 3" xfId="40384" xr:uid="{00000000-0005-0000-0000-00009A8A0000}"/>
    <cellStyle name="Comma 8 2 2 2 6 3" xfId="18629" xr:uid="{00000000-0005-0000-0000-00009B8A0000}"/>
    <cellStyle name="Comma 8 2 2 2 6 3 2" xfId="47635" xr:uid="{00000000-0005-0000-0000-00009C8A0000}"/>
    <cellStyle name="Comma 8 2 2 2 6 4" xfId="33136" xr:uid="{00000000-0005-0000-0000-00009D8A0000}"/>
    <cellStyle name="Comma 8 2 2 2 7" xfId="7175" xr:uid="{00000000-0005-0000-0000-00009E8A0000}"/>
    <cellStyle name="Comma 8 2 2 2 7 2" xfId="14447" xr:uid="{00000000-0005-0000-0000-00009F8A0000}"/>
    <cellStyle name="Comma 8 2 2 2 7 2 2" xfId="28981" xr:uid="{00000000-0005-0000-0000-0000A08A0000}"/>
    <cellStyle name="Comma 8 2 2 2 7 2 2 2" xfId="57987" xr:uid="{00000000-0005-0000-0000-0000A18A0000}"/>
    <cellStyle name="Comma 8 2 2 2 7 2 3" xfId="43488" xr:uid="{00000000-0005-0000-0000-0000A28A0000}"/>
    <cellStyle name="Comma 8 2 2 2 7 3" xfId="21733" xr:uid="{00000000-0005-0000-0000-0000A38A0000}"/>
    <cellStyle name="Comma 8 2 2 2 7 3 2" xfId="50739" xr:uid="{00000000-0005-0000-0000-0000A48A0000}"/>
    <cellStyle name="Comma 8 2 2 2 7 4" xfId="36240" xr:uid="{00000000-0005-0000-0000-0000A58A0000}"/>
    <cellStyle name="Comma 8 2 2 2 8" xfId="8239" xr:uid="{00000000-0005-0000-0000-0000A68A0000}"/>
    <cellStyle name="Comma 8 2 2 2 8 2" xfId="22773" xr:uid="{00000000-0005-0000-0000-0000A78A0000}"/>
    <cellStyle name="Comma 8 2 2 2 8 2 2" xfId="51779" xr:uid="{00000000-0005-0000-0000-0000A88A0000}"/>
    <cellStyle name="Comma 8 2 2 2 8 3" xfId="37280" xr:uid="{00000000-0005-0000-0000-0000A98A0000}"/>
    <cellStyle name="Comma 8 2 2 2 9" xfId="15525" xr:uid="{00000000-0005-0000-0000-0000AA8A0000}"/>
    <cellStyle name="Comma 8 2 2 2 9 2" xfId="44531" xr:uid="{00000000-0005-0000-0000-0000AB8A0000}"/>
    <cellStyle name="Comma 8 2 2 3" xfId="1163" xr:uid="{00000000-0005-0000-0000-0000AC8A0000}"/>
    <cellStyle name="Comma 8 2 2 3 2" xfId="1663" xr:uid="{00000000-0005-0000-0000-0000AD8A0000}"/>
    <cellStyle name="Comma 8 2 2 3 2 2" xfId="2722" xr:uid="{00000000-0005-0000-0000-0000AE8A0000}"/>
    <cellStyle name="Comma 8 2 2 3 2 2 2" xfId="5826" xr:uid="{00000000-0005-0000-0000-0000AF8A0000}"/>
    <cellStyle name="Comma 8 2 2 3 2 2 2 2" xfId="13098" xr:uid="{00000000-0005-0000-0000-0000B08A0000}"/>
    <cellStyle name="Comma 8 2 2 3 2 2 2 2 2" xfId="27632" xr:uid="{00000000-0005-0000-0000-0000B18A0000}"/>
    <cellStyle name="Comma 8 2 2 3 2 2 2 2 2 2" xfId="56638" xr:uid="{00000000-0005-0000-0000-0000B28A0000}"/>
    <cellStyle name="Comma 8 2 2 3 2 2 2 2 3" xfId="42139" xr:uid="{00000000-0005-0000-0000-0000B38A0000}"/>
    <cellStyle name="Comma 8 2 2 3 2 2 2 3" xfId="20384" xr:uid="{00000000-0005-0000-0000-0000B48A0000}"/>
    <cellStyle name="Comma 8 2 2 3 2 2 2 3 2" xfId="49390" xr:uid="{00000000-0005-0000-0000-0000B58A0000}"/>
    <cellStyle name="Comma 8 2 2 3 2 2 2 4" xfId="34891" xr:uid="{00000000-0005-0000-0000-0000B68A0000}"/>
    <cellStyle name="Comma 8 2 2 3 2 2 3" xfId="9994" xr:uid="{00000000-0005-0000-0000-0000B78A0000}"/>
    <cellStyle name="Comma 8 2 2 3 2 2 3 2" xfId="24528" xr:uid="{00000000-0005-0000-0000-0000B88A0000}"/>
    <cellStyle name="Comma 8 2 2 3 2 2 3 2 2" xfId="53534" xr:uid="{00000000-0005-0000-0000-0000B98A0000}"/>
    <cellStyle name="Comma 8 2 2 3 2 2 3 3" xfId="39035" xr:uid="{00000000-0005-0000-0000-0000BA8A0000}"/>
    <cellStyle name="Comma 8 2 2 3 2 2 4" xfId="17280" xr:uid="{00000000-0005-0000-0000-0000BB8A0000}"/>
    <cellStyle name="Comma 8 2 2 3 2 2 4 2" xfId="46286" xr:uid="{00000000-0005-0000-0000-0000BC8A0000}"/>
    <cellStyle name="Comma 8 2 2 3 2 2 5" xfId="31787" xr:uid="{00000000-0005-0000-0000-0000BD8A0000}"/>
    <cellStyle name="Comma 8 2 2 3 2 3" xfId="3754" xr:uid="{00000000-0005-0000-0000-0000BE8A0000}"/>
    <cellStyle name="Comma 8 2 2 3 2 3 2" xfId="6858" xr:uid="{00000000-0005-0000-0000-0000BF8A0000}"/>
    <cellStyle name="Comma 8 2 2 3 2 3 2 2" xfId="14130" xr:uid="{00000000-0005-0000-0000-0000C08A0000}"/>
    <cellStyle name="Comma 8 2 2 3 2 3 2 2 2" xfId="28664" xr:uid="{00000000-0005-0000-0000-0000C18A0000}"/>
    <cellStyle name="Comma 8 2 2 3 2 3 2 2 2 2" xfId="57670" xr:uid="{00000000-0005-0000-0000-0000C28A0000}"/>
    <cellStyle name="Comma 8 2 2 3 2 3 2 2 3" xfId="43171" xr:uid="{00000000-0005-0000-0000-0000C38A0000}"/>
    <cellStyle name="Comma 8 2 2 3 2 3 2 3" xfId="21416" xr:uid="{00000000-0005-0000-0000-0000C48A0000}"/>
    <cellStyle name="Comma 8 2 2 3 2 3 2 3 2" xfId="50422" xr:uid="{00000000-0005-0000-0000-0000C58A0000}"/>
    <cellStyle name="Comma 8 2 2 3 2 3 2 4" xfId="35923" xr:uid="{00000000-0005-0000-0000-0000C68A0000}"/>
    <cellStyle name="Comma 8 2 2 3 2 3 3" xfId="11026" xr:uid="{00000000-0005-0000-0000-0000C78A0000}"/>
    <cellStyle name="Comma 8 2 2 3 2 3 3 2" xfId="25560" xr:uid="{00000000-0005-0000-0000-0000C88A0000}"/>
    <cellStyle name="Comma 8 2 2 3 2 3 3 2 2" xfId="54566" xr:uid="{00000000-0005-0000-0000-0000C98A0000}"/>
    <cellStyle name="Comma 8 2 2 3 2 3 3 3" xfId="40067" xr:uid="{00000000-0005-0000-0000-0000CA8A0000}"/>
    <cellStyle name="Comma 8 2 2 3 2 3 4" xfId="18312" xr:uid="{00000000-0005-0000-0000-0000CB8A0000}"/>
    <cellStyle name="Comma 8 2 2 3 2 3 4 2" xfId="47318" xr:uid="{00000000-0005-0000-0000-0000CC8A0000}"/>
    <cellStyle name="Comma 8 2 2 3 2 3 5" xfId="32819" xr:uid="{00000000-0005-0000-0000-0000CD8A0000}"/>
    <cellStyle name="Comma 8 2 2 3 2 4" xfId="4786" xr:uid="{00000000-0005-0000-0000-0000CE8A0000}"/>
    <cellStyle name="Comma 8 2 2 3 2 4 2" xfId="12058" xr:uid="{00000000-0005-0000-0000-0000CF8A0000}"/>
    <cellStyle name="Comma 8 2 2 3 2 4 2 2" xfId="26592" xr:uid="{00000000-0005-0000-0000-0000D08A0000}"/>
    <cellStyle name="Comma 8 2 2 3 2 4 2 2 2" xfId="55598" xr:uid="{00000000-0005-0000-0000-0000D18A0000}"/>
    <cellStyle name="Comma 8 2 2 3 2 4 2 3" xfId="41099" xr:uid="{00000000-0005-0000-0000-0000D28A0000}"/>
    <cellStyle name="Comma 8 2 2 3 2 4 3" xfId="19344" xr:uid="{00000000-0005-0000-0000-0000D38A0000}"/>
    <cellStyle name="Comma 8 2 2 3 2 4 3 2" xfId="48350" xr:uid="{00000000-0005-0000-0000-0000D48A0000}"/>
    <cellStyle name="Comma 8 2 2 3 2 4 4" xfId="33851" xr:uid="{00000000-0005-0000-0000-0000D58A0000}"/>
    <cellStyle name="Comma 8 2 2 3 2 5" xfId="7890" xr:uid="{00000000-0005-0000-0000-0000D68A0000}"/>
    <cellStyle name="Comma 8 2 2 3 2 5 2" xfId="15162" xr:uid="{00000000-0005-0000-0000-0000D78A0000}"/>
    <cellStyle name="Comma 8 2 2 3 2 5 2 2" xfId="29696" xr:uid="{00000000-0005-0000-0000-0000D88A0000}"/>
    <cellStyle name="Comma 8 2 2 3 2 5 2 2 2" xfId="58702" xr:uid="{00000000-0005-0000-0000-0000D98A0000}"/>
    <cellStyle name="Comma 8 2 2 3 2 5 2 3" xfId="44203" xr:uid="{00000000-0005-0000-0000-0000DA8A0000}"/>
    <cellStyle name="Comma 8 2 2 3 2 5 3" xfId="22448" xr:uid="{00000000-0005-0000-0000-0000DB8A0000}"/>
    <cellStyle name="Comma 8 2 2 3 2 5 3 2" xfId="51454" xr:uid="{00000000-0005-0000-0000-0000DC8A0000}"/>
    <cellStyle name="Comma 8 2 2 3 2 5 4" xfId="36955" xr:uid="{00000000-0005-0000-0000-0000DD8A0000}"/>
    <cellStyle name="Comma 8 2 2 3 2 6" xfId="8954" xr:uid="{00000000-0005-0000-0000-0000DE8A0000}"/>
    <cellStyle name="Comma 8 2 2 3 2 6 2" xfId="23488" xr:uid="{00000000-0005-0000-0000-0000DF8A0000}"/>
    <cellStyle name="Comma 8 2 2 3 2 6 2 2" xfId="52494" xr:uid="{00000000-0005-0000-0000-0000E08A0000}"/>
    <cellStyle name="Comma 8 2 2 3 2 6 3" xfId="37995" xr:uid="{00000000-0005-0000-0000-0000E18A0000}"/>
    <cellStyle name="Comma 8 2 2 3 2 7" xfId="16240" xr:uid="{00000000-0005-0000-0000-0000E28A0000}"/>
    <cellStyle name="Comma 8 2 2 3 2 7 2" xfId="45246" xr:uid="{00000000-0005-0000-0000-0000E38A0000}"/>
    <cellStyle name="Comma 8 2 2 3 2 8" xfId="30747" xr:uid="{00000000-0005-0000-0000-0000E48A0000}"/>
    <cellStyle name="Comma 8 2 2 3 3" xfId="2210" xr:uid="{00000000-0005-0000-0000-0000E58A0000}"/>
    <cellStyle name="Comma 8 2 2 3 3 2" xfId="5314" xr:uid="{00000000-0005-0000-0000-0000E68A0000}"/>
    <cellStyle name="Comma 8 2 2 3 3 2 2" xfId="12586" xr:uid="{00000000-0005-0000-0000-0000E78A0000}"/>
    <cellStyle name="Comma 8 2 2 3 3 2 2 2" xfId="27120" xr:uid="{00000000-0005-0000-0000-0000E88A0000}"/>
    <cellStyle name="Comma 8 2 2 3 3 2 2 2 2" xfId="56126" xr:uid="{00000000-0005-0000-0000-0000E98A0000}"/>
    <cellStyle name="Comma 8 2 2 3 3 2 2 3" xfId="41627" xr:uid="{00000000-0005-0000-0000-0000EA8A0000}"/>
    <cellStyle name="Comma 8 2 2 3 3 2 3" xfId="19872" xr:uid="{00000000-0005-0000-0000-0000EB8A0000}"/>
    <cellStyle name="Comma 8 2 2 3 3 2 3 2" xfId="48878" xr:uid="{00000000-0005-0000-0000-0000EC8A0000}"/>
    <cellStyle name="Comma 8 2 2 3 3 2 4" xfId="34379" xr:uid="{00000000-0005-0000-0000-0000ED8A0000}"/>
    <cellStyle name="Comma 8 2 2 3 3 3" xfId="9482" xr:uid="{00000000-0005-0000-0000-0000EE8A0000}"/>
    <cellStyle name="Comma 8 2 2 3 3 3 2" xfId="24016" xr:uid="{00000000-0005-0000-0000-0000EF8A0000}"/>
    <cellStyle name="Comma 8 2 2 3 3 3 2 2" xfId="53022" xr:uid="{00000000-0005-0000-0000-0000F08A0000}"/>
    <cellStyle name="Comma 8 2 2 3 3 3 3" xfId="38523" xr:uid="{00000000-0005-0000-0000-0000F18A0000}"/>
    <cellStyle name="Comma 8 2 2 3 3 4" xfId="16768" xr:uid="{00000000-0005-0000-0000-0000F28A0000}"/>
    <cellStyle name="Comma 8 2 2 3 3 4 2" xfId="45774" xr:uid="{00000000-0005-0000-0000-0000F38A0000}"/>
    <cellStyle name="Comma 8 2 2 3 3 5" xfId="31275" xr:uid="{00000000-0005-0000-0000-0000F48A0000}"/>
    <cellStyle name="Comma 8 2 2 3 4" xfId="3242" xr:uid="{00000000-0005-0000-0000-0000F58A0000}"/>
    <cellStyle name="Comma 8 2 2 3 4 2" xfId="6346" xr:uid="{00000000-0005-0000-0000-0000F68A0000}"/>
    <cellStyle name="Comma 8 2 2 3 4 2 2" xfId="13618" xr:uid="{00000000-0005-0000-0000-0000F78A0000}"/>
    <cellStyle name="Comma 8 2 2 3 4 2 2 2" xfId="28152" xr:uid="{00000000-0005-0000-0000-0000F88A0000}"/>
    <cellStyle name="Comma 8 2 2 3 4 2 2 2 2" xfId="57158" xr:uid="{00000000-0005-0000-0000-0000F98A0000}"/>
    <cellStyle name="Comma 8 2 2 3 4 2 2 3" xfId="42659" xr:uid="{00000000-0005-0000-0000-0000FA8A0000}"/>
    <cellStyle name="Comma 8 2 2 3 4 2 3" xfId="20904" xr:uid="{00000000-0005-0000-0000-0000FB8A0000}"/>
    <cellStyle name="Comma 8 2 2 3 4 2 3 2" xfId="49910" xr:uid="{00000000-0005-0000-0000-0000FC8A0000}"/>
    <cellStyle name="Comma 8 2 2 3 4 2 4" xfId="35411" xr:uid="{00000000-0005-0000-0000-0000FD8A0000}"/>
    <cellStyle name="Comma 8 2 2 3 4 3" xfId="10514" xr:uid="{00000000-0005-0000-0000-0000FE8A0000}"/>
    <cellStyle name="Comma 8 2 2 3 4 3 2" xfId="25048" xr:uid="{00000000-0005-0000-0000-0000FF8A0000}"/>
    <cellStyle name="Comma 8 2 2 3 4 3 2 2" xfId="54054" xr:uid="{00000000-0005-0000-0000-0000008B0000}"/>
    <cellStyle name="Comma 8 2 2 3 4 3 3" xfId="39555" xr:uid="{00000000-0005-0000-0000-0000018B0000}"/>
    <cellStyle name="Comma 8 2 2 3 4 4" xfId="17800" xr:uid="{00000000-0005-0000-0000-0000028B0000}"/>
    <cellStyle name="Comma 8 2 2 3 4 4 2" xfId="46806" xr:uid="{00000000-0005-0000-0000-0000038B0000}"/>
    <cellStyle name="Comma 8 2 2 3 4 5" xfId="32307" xr:uid="{00000000-0005-0000-0000-0000048B0000}"/>
    <cellStyle name="Comma 8 2 2 3 5" xfId="4274" xr:uid="{00000000-0005-0000-0000-0000058B0000}"/>
    <cellStyle name="Comma 8 2 2 3 5 2" xfId="11546" xr:uid="{00000000-0005-0000-0000-0000068B0000}"/>
    <cellStyle name="Comma 8 2 2 3 5 2 2" xfId="26080" xr:uid="{00000000-0005-0000-0000-0000078B0000}"/>
    <cellStyle name="Comma 8 2 2 3 5 2 2 2" xfId="55086" xr:uid="{00000000-0005-0000-0000-0000088B0000}"/>
    <cellStyle name="Comma 8 2 2 3 5 2 3" xfId="40587" xr:uid="{00000000-0005-0000-0000-0000098B0000}"/>
    <cellStyle name="Comma 8 2 2 3 5 3" xfId="18832" xr:uid="{00000000-0005-0000-0000-00000A8B0000}"/>
    <cellStyle name="Comma 8 2 2 3 5 3 2" xfId="47838" xr:uid="{00000000-0005-0000-0000-00000B8B0000}"/>
    <cellStyle name="Comma 8 2 2 3 5 4" xfId="33339" xr:uid="{00000000-0005-0000-0000-00000C8B0000}"/>
    <cellStyle name="Comma 8 2 2 3 6" xfId="7378" xr:uid="{00000000-0005-0000-0000-00000D8B0000}"/>
    <cellStyle name="Comma 8 2 2 3 6 2" xfId="14650" xr:uid="{00000000-0005-0000-0000-00000E8B0000}"/>
    <cellStyle name="Comma 8 2 2 3 6 2 2" xfId="29184" xr:uid="{00000000-0005-0000-0000-00000F8B0000}"/>
    <cellStyle name="Comma 8 2 2 3 6 2 2 2" xfId="58190" xr:uid="{00000000-0005-0000-0000-0000108B0000}"/>
    <cellStyle name="Comma 8 2 2 3 6 2 3" xfId="43691" xr:uid="{00000000-0005-0000-0000-0000118B0000}"/>
    <cellStyle name="Comma 8 2 2 3 6 3" xfId="21936" xr:uid="{00000000-0005-0000-0000-0000128B0000}"/>
    <cellStyle name="Comma 8 2 2 3 6 3 2" xfId="50942" xr:uid="{00000000-0005-0000-0000-0000138B0000}"/>
    <cellStyle name="Comma 8 2 2 3 6 4" xfId="36443" xr:uid="{00000000-0005-0000-0000-0000148B0000}"/>
    <cellStyle name="Comma 8 2 2 3 7" xfId="8442" xr:uid="{00000000-0005-0000-0000-0000158B0000}"/>
    <cellStyle name="Comma 8 2 2 3 7 2" xfId="22976" xr:uid="{00000000-0005-0000-0000-0000168B0000}"/>
    <cellStyle name="Comma 8 2 2 3 7 2 2" xfId="51982" xr:uid="{00000000-0005-0000-0000-0000178B0000}"/>
    <cellStyle name="Comma 8 2 2 3 7 3" xfId="37483" xr:uid="{00000000-0005-0000-0000-0000188B0000}"/>
    <cellStyle name="Comma 8 2 2 3 8" xfId="15728" xr:uid="{00000000-0005-0000-0000-0000198B0000}"/>
    <cellStyle name="Comma 8 2 2 3 8 2" xfId="44734" xr:uid="{00000000-0005-0000-0000-00001A8B0000}"/>
    <cellStyle name="Comma 8 2 2 3 9" xfId="30235" xr:uid="{00000000-0005-0000-0000-00001B8B0000}"/>
    <cellStyle name="Comma 8 2 2 4" xfId="1073" xr:uid="{00000000-0005-0000-0000-00001C8B0000}"/>
    <cellStyle name="Comma 8 2 2 4 2" xfId="1564" xr:uid="{00000000-0005-0000-0000-00001D8B0000}"/>
    <cellStyle name="Comma 8 2 2 4 2 2" xfId="2622" xr:uid="{00000000-0005-0000-0000-00001E8B0000}"/>
    <cellStyle name="Comma 8 2 2 4 2 2 2" xfId="5726" xr:uid="{00000000-0005-0000-0000-00001F8B0000}"/>
    <cellStyle name="Comma 8 2 2 4 2 2 2 2" xfId="12998" xr:uid="{00000000-0005-0000-0000-0000208B0000}"/>
    <cellStyle name="Comma 8 2 2 4 2 2 2 2 2" xfId="27532" xr:uid="{00000000-0005-0000-0000-0000218B0000}"/>
    <cellStyle name="Comma 8 2 2 4 2 2 2 2 2 2" xfId="56538" xr:uid="{00000000-0005-0000-0000-0000228B0000}"/>
    <cellStyle name="Comma 8 2 2 4 2 2 2 2 3" xfId="42039" xr:uid="{00000000-0005-0000-0000-0000238B0000}"/>
    <cellStyle name="Comma 8 2 2 4 2 2 2 3" xfId="20284" xr:uid="{00000000-0005-0000-0000-0000248B0000}"/>
    <cellStyle name="Comma 8 2 2 4 2 2 2 3 2" xfId="49290" xr:uid="{00000000-0005-0000-0000-0000258B0000}"/>
    <cellStyle name="Comma 8 2 2 4 2 2 2 4" xfId="34791" xr:uid="{00000000-0005-0000-0000-0000268B0000}"/>
    <cellStyle name="Comma 8 2 2 4 2 2 3" xfId="9894" xr:uid="{00000000-0005-0000-0000-0000278B0000}"/>
    <cellStyle name="Comma 8 2 2 4 2 2 3 2" xfId="24428" xr:uid="{00000000-0005-0000-0000-0000288B0000}"/>
    <cellStyle name="Comma 8 2 2 4 2 2 3 2 2" xfId="53434" xr:uid="{00000000-0005-0000-0000-0000298B0000}"/>
    <cellStyle name="Comma 8 2 2 4 2 2 3 3" xfId="38935" xr:uid="{00000000-0005-0000-0000-00002A8B0000}"/>
    <cellStyle name="Comma 8 2 2 4 2 2 4" xfId="17180" xr:uid="{00000000-0005-0000-0000-00002B8B0000}"/>
    <cellStyle name="Comma 8 2 2 4 2 2 4 2" xfId="46186" xr:uid="{00000000-0005-0000-0000-00002C8B0000}"/>
    <cellStyle name="Comma 8 2 2 4 2 2 5" xfId="31687" xr:uid="{00000000-0005-0000-0000-00002D8B0000}"/>
    <cellStyle name="Comma 8 2 2 4 2 3" xfId="3654" xr:uid="{00000000-0005-0000-0000-00002E8B0000}"/>
    <cellStyle name="Comma 8 2 2 4 2 3 2" xfId="6758" xr:uid="{00000000-0005-0000-0000-00002F8B0000}"/>
    <cellStyle name="Comma 8 2 2 4 2 3 2 2" xfId="14030" xr:uid="{00000000-0005-0000-0000-0000308B0000}"/>
    <cellStyle name="Comma 8 2 2 4 2 3 2 2 2" xfId="28564" xr:uid="{00000000-0005-0000-0000-0000318B0000}"/>
    <cellStyle name="Comma 8 2 2 4 2 3 2 2 2 2" xfId="57570" xr:uid="{00000000-0005-0000-0000-0000328B0000}"/>
    <cellStyle name="Comma 8 2 2 4 2 3 2 2 3" xfId="43071" xr:uid="{00000000-0005-0000-0000-0000338B0000}"/>
    <cellStyle name="Comma 8 2 2 4 2 3 2 3" xfId="21316" xr:uid="{00000000-0005-0000-0000-0000348B0000}"/>
    <cellStyle name="Comma 8 2 2 4 2 3 2 3 2" xfId="50322" xr:uid="{00000000-0005-0000-0000-0000358B0000}"/>
    <cellStyle name="Comma 8 2 2 4 2 3 2 4" xfId="35823" xr:uid="{00000000-0005-0000-0000-0000368B0000}"/>
    <cellStyle name="Comma 8 2 2 4 2 3 3" xfId="10926" xr:uid="{00000000-0005-0000-0000-0000378B0000}"/>
    <cellStyle name="Comma 8 2 2 4 2 3 3 2" xfId="25460" xr:uid="{00000000-0005-0000-0000-0000388B0000}"/>
    <cellStyle name="Comma 8 2 2 4 2 3 3 2 2" xfId="54466" xr:uid="{00000000-0005-0000-0000-0000398B0000}"/>
    <cellStyle name="Comma 8 2 2 4 2 3 3 3" xfId="39967" xr:uid="{00000000-0005-0000-0000-00003A8B0000}"/>
    <cellStyle name="Comma 8 2 2 4 2 3 4" xfId="18212" xr:uid="{00000000-0005-0000-0000-00003B8B0000}"/>
    <cellStyle name="Comma 8 2 2 4 2 3 4 2" xfId="47218" xr:uid="{00000000-0005-0000-0000-00003C8B0000}"/>
    <cellStyle name="Comma 8 2 2 4 2 3 5" xfId="32719" xr:uid="{00000000-0005-0000-0000-00003D8B0000}"/>
    <cellStyle name="Comma 8 2 2 4 2 4" xfId="4686" xr:uid="{00000000-0005-0000-0000-00003E8B0000}"/>
    <cellStyle name="Comma 8 2 2 4 2 4 2" xfId="11958" xr:uid="{00000000-0005-0000-0000-00003F8B0000}"/>
    <cellStyle name="Comma 8 2 2 4 2 4 2 2" xfId="26492" xr:uid="{00000000-0005-0000-0000-0000408B0000}"/>
    <cellStyle name="Comma 8 2 2 4 2 4 2 2 2" xfId="55498" xr:uid="{00000000-0005-0000-0000-0000418B0000}"/>
    <cellStyle name="Comma 8 2 2 4 2 4 2 3" xfId="40999" xr:uid="{00000000-0005-0000-0000-0000428B0000}"/>
    <cellStyle name="Comma 8 2 2 4 2 4 3" xfId="19244" xr:uid="{00000000-0005-0000-0000-0000438B0000}"/>
    <cellStyle name="Comma 8 2 2 4 2 4 3 2" xfId="48250" xr:uid="{00000000-0005-0000-0000-0000448B0000}"/>
    <cellStyle name="Comma 8 2 2 4 2 4 4" xfId="33751" xr:uid="{00000000-0005-0000-0000-0000458B0000}"/>
    <cellStyle name="Comma 8 2 2 4 2 5" xfId="7790" xr:uid="{00000000-0005-0000-0000-0000468B0000}"/>
    <cellStyle name="Comma 8 2 2 4 2 5 2" xfId="15062" xr:uid="{00000000-0005-0000-0000-0000478B0000}"/>
    <cellStyle name="Comma 8 2 2 4 2 5 2 2" xfId="29596" xr:uid="{00000000-0005-0000-0000-0000488B0000}"/>
    <cellStyle name="Comma 8 2 2 4 2 5 2 2 2" xfId="58602" xr:uid="{00000000-0005-0000-0000-0000498B0000}"/>
    <cellStyle name="Comma 8 2 2 4 2 5 2 3" xfId="44103" xr:uid="{00000000-0005-0000-0000-00004A8B0000}"/>
    <cellStyle name="Comma 8 2 2 4 2 5 3" xfId="22348" xr:uid="{00000000-0005-0000-0000-00004B8B0000}"/>
    <cellStyle name="Comma 8 2 2 4 2 5 3 2" xfId="51354" xr:uid="{00000000-0005-0000-0000-00004C8B0000}"/>
    <cellStyle name="Comma 8 2 2 4 2 5 4" xfId="36855" xr:uid="{00000000-0005-0000-0000-00004D8B0000}"/>
    <cellStyle name="Comma 8 2 2 4 2 6" xfId="8854" xr:uid="{00000000-0005-0000-0000-00004E8B0000}"/>
    <cellStyle name="Comma 8 2 2 4 2 6 2" xfId="23388" xr:uid="{00000000-0005-0000-0000-00004F8B0000}"/>
    <cellStyle name="Comma 8 2 2 4 2 6 2 2" xfId="52394" xr:uid="{00000000-0005-0000-0000-0000508B0000}"/>
    <cellStyle name="Comma 8 2 2 4 2 6 3" xfId="37895" xr:uid="{00000000-0005-0000-0000-0000518B0000}"/>
    <cellStyle name="Comma 8 2 2 4 2 7" xfId="16140" xr:uid="{00000000-0005-0000-0000-0000528B0000}"/>
    <cellStyle name="Comma 8 2 2 4 2 7 2" xfId="45146" xr:uid="{00000000-0005-0000-0000-0000538B0000}"/>
    <cellStyle name="Comma 8 2 2 4 2 8" xfId="30647" xr:uid="{00000000-0005-0000-0000-0000548B0000}"/>
    <cellStyle name="Comma 8 2 2 4 3" xfId="2110" xr:uid="{00000000-0005-0000-0000-0000558B0000}"/>
    <cellStyle name="Comma 8 2 2 4 3 2" xfId="5214" xr:uid="{00000000-0005-0000-0000-0000568B0000}"/>
    <cellStyle name="Comma 8 2 2 4 3 2 2" xfId="12486" xr:uid="{00000000-0005-0000-0000-0000578B0000}"/>
    <cellStyle name="Comma 8 2 2 4 3 2 2 2" xfId="27020" xr:uid="{00000000-0005-0000-0000-0000588B0000}"/>
    <cellStyle name="Comma 8 2 2 4 3 2 2 2 2" xfId="56026" xr:uid="{00000000-0005-0000-0000-0000598B0000}"/>
    <cellStyle name="Comma 8 2 2 4 3 2 2 3" xfId="41527" xr:uid="{00000000-0005-0000-0000-00005A8B0000}"/>
    <cellStyle name="Comma 8 2 2 4 3 2 3" xfId="19772" xr:uid="{00000000-0005-0000-0000-00005B8B0000}"/>
    <cellStyle name="Comma 8 2 2 4 3 2 3 2" xfId="48778" xr:uid="{00000000-0005-0000-0000-00005C8B0000}"/>
    <cellStyle name="Comma 8 2 2 4 3 2 4" xfId="34279" xr:uid="{00000000-0005-0000-0000-00005D8B0000}"/>
    <cellStyle name="Comma 8 2 2 4 3 3" xfId="9382" xr:uid="{00000000-0005-0000-0000-00005E8B0000}"/>
    <cellStyle name="Comma 8 2 2 4 3 3 2" xfId="23916" xr:uid="{00000000-0005-0000-0000-00005F8B0000}"/>
    <cellStyle name="Comma 8 2 2 4 3 3 2 2" xfId="52922" xr:uid="{00000000-0005-0000-0000-0000608B0000}"/>
    <cellStyle name="Comma 8 2 2 4 3 3 3" xfId="38423" xr:uid="{00000000-0005-0000-0000-0000618B0000}"/>
    <cellStyle name="Comma 8 2 2 4 3 4" xfId="16668" xr:uid="{00000000-0005-0000-0000-0000628B0000}"/>
    <cellStyle name="Comma 8 2 2 4 3 4 2" xfId="45674" xr:uid="{00000000-0005-0000-0000-0000638B0000}"/>
    <cellStyle name="Comma 8 2 2 4 3 5" xfId="31175" xr:uid="{00000000-0005-0000-0000-0000648B0000}"/>
    <cellStyle name="Comma 8 2 2 4 4" xfId="3142" xr:uid="{00000000-0005-0000-0000-0000658B0000}"/>
    <cellStyle name="Comma 8 2 2 4 4 2" xfId="6246" xr:uid="{00000000-0005-0000-0000-0000668B0000}"/>
    <cellStyle name="Comma 8 2 2 4 4 2 2" xfId="13518" xr:uid="{00000000-0005-0000-0000-0000678B0000}"/>
    <cellStyle name="Comma 8 2 2 4 4 2 2 2" xfId="28052" xr:uid="{00000000-0005-0000-0000-0000688B0000}"/>
    <cellStyle name="Comma 8 2 2 4 4 2 2 2 2" xfId="57058" xr:uid="{00000000-0005-0000-0000-0000698B0000}"/>
    <cellStyle name="Comma 8 2 2 4 4 2 2 3" xfId="42559" xr:uid="{00000000-0005-0000-0000-00006A8B0000}"/>
    <cellStyle name="Comma 8 2 2 4 4 2 3" xfId="20804" xr:uid="{00000000-0005-0000-0000-00006B8B0000}"/>
    <cellStyle name="Comma 8 2 2 4 4 2 3 2" xfId="49810" xr:uid="{00000000-0005-0000-0000-00006C8B0000}"/>
    <cellStyle name="Comma 8 2 2 4 4 2 4" xfId="35311" xr:uid="{00000000-0005-0000-0000-00006D8B0000}"/>
    <cellStyle name="Comma 8 2 2 4 4 3" xfId="10414" xr:uid="{00000000-0005-0000-0000-00006E8B0000}"/>
    <cellStyle name="Comma 8 2 2 4 4 3 2" xfId="24948" xr:uid="{00000000-0005-0000-0000-00006F8B0000}"/>
    <cellStyle name="Comma 8 2 2 4 4 3 2 2" xfId="53954" xr:uid="{00000000-0005-0000-0000-0000708B0000}"/>
    <cellStyle name="Comma 8 2 2 4 4 3 3" xfId="39455" xr:uid="{00000000-0005-0000-0000-0000718B0000}"/>
    <cellStyle name="Comma 8 2 2 4 4 4" xfId="17700" xr:uid="{00000000-0005-0000-0000-0000728B0000}"/>
    <cellStyle name="Comma 8 2 2 4 4 4 2" xfId="46706" xr:uid="{00000000-0005-0000-0000-0000738B0000}"/>
    <cellStyle name="Comma 8 2 2 4 4 5" xfId="32207" xr:uid="{00000000-0005-0000-0000-0000748B0000}"/>
    <cellStyle name="Comma 8 2 2 4 5" xfId="4174" xr:uid="{00000000-0005-0000-0000-0000758B0000}"/>
    <cellStyle name="Comma 8 2 2 4 5 2" xfId="11446" xr:uid="{00000000-0005-0000-0000-0000768B0000}"/>
    <cellStyle name="Comma 8 2 2 4 5 2 2" xfId="25980" xr:uid="{00000000-0005-0000-0000-0000778B0000}"/>
    <cellStyle name="Comma 8 2 2 4 5 2 2 2" xfId="54986" xr:uid="{00000000-0005-0000-0000-0000788B0000}"/>
    <cellStyle name="Comma 8 2 2 4 5 2 3" xfId="40487" xr:uid="{00000000-0005-0000-0000-0000798B0000}"/>
    <cellStyle name="Comma 8 2 2 4 5 3" xfId="18732" xr:uid="{00000000-0005-0000-0000-00007A8B0000}"/>
    <cellStyle name="Comma 8 2 2 4 5 3 2" xfId="47738" xr:uid="{00000000-0005-0000-0000-00007B8B0000}"/>
    <cellStyle name="Comma 8 2 2 4 5 4" xfId="33239" xr:uid="{00000000-0005-0000-0000-00007C8B0000}"/>
    <cellStyle name="Comma 8 2 2 4 6" xfId="7278" xr:uid="{00000000-0005-0000-0000-00007D8B0000}"/>
    <cellStyle name="Comma 8 2 2 4 6 2" xfId="14550" xr:uid="{00000000-0005-0000-0000-00007E8B0000}"/>
    <cellStyle name="Comma 8 2 2 4 6 2 2" xfId="29084" xr:uid="{00000000-0005-0000-0000-00007F8B0000}"/>
    <cellStyle name="Comma 8 2 2 4 6 2 2 2" xfId="58090" xr:uid="{00000000-0005-0000-0000-0000808B0000}"/>
    <cellStyle name="Comma 8 2 2 4 6 2 3" xfId="43591" xr:uid="{00000000-0005-0000-0000-0000818B0000}"/>
    <cellStyle name="Comma 8 2 2 4 6 3" xfId="21836" xr:uid="{00000000-0005-0000-0000-0000828B0000}"/>
    <cellStyle name="Comma 8 2 2 4 6 3 2" xfId="50842" xr:uid="{00000000-0005-0000-0000-0000838B0000}"/>
    <cellStyle name="Comma 8 2 2 4 6 4" xfId="36343" xr:uid="{00000000-0005-0000-0000-0000848B0000}"/>
    <cellStyle name="Comma 8 2 2 4 7" xfId="8342" xr:uid="{00000000-0005-0000-0000-0000858B0000}"/>
    <cellStyle name="Comma 8 2 2 4 7 2" xfId="22876" xr:uid="{00000000-0005-0000-0000-0000868B0000}"/>
    <cellStyle name="Comma 8 2 2 4 7 2 2" xfId="51882" xr:uid="{00000000-0005-0000-0000-0000878B0000}"/>
    <cellStyle name="Comma 8 2 2 4 7 3" xfId="37383" xr:uid="{00000000-0005-0000-0000-0000888B0000}"/>
    <cellStyle name="Comma 8 2 2 4 8" xfId="15628" xr:uid="{00000000-0005-0000-0000-0000898B0000}"/>
    <cellStyle name="Comma 8 2 2 4 8 2" xfId="44634" xr:uid="{00000000-0005-0000-0000-00008A8B0000}"/>
    <cellStyle name="Comma 8 2 2 4 9" xfId="30135" xr:uid="{00000000-0005-0000-0000-00008B8B0000}"/>
    <cellStyle name="Comma 8 2 2 5" xfId="1359" xr:uid="{00000000-0005-0000-0000-00008C8B0000}"/>
    <cellStyle name="Comma 8 2 2 5 2" xfId="2416" xr:uid="{00000000-0005-0000-0000-00008D8B0000}"/>
    <cellStyle name="Comma 8 2 2 5 2 2" xfId="5520" xr:uid="{00000000-0005-0000-0000-00008E8B0000}"/>
    <cellStyle name="Comma 8 2 2 5 2 2 2" xfId="12792" xr:uid="{00000000-0005-0000-0000-00008F8B0000}"/>
    <cellStyle name="Comma 8 2 2 5 2 2 2 2" xfId="27326" xr:uid="{00000000-0005-0000-0000-0000908B0000}"/>
    <cellStyle name="Comma 8 2 2 5 2 2 2 2 2" xfId="56332" xr:uid="{00000000-0005-0000-0000-0000918B0000}"/>
    <cellStyle name="Comma 8 2 2 5 2 2 2 3" xfId="41833" xr:uid="{00000000-0005-0000-0000-0000928B0000}"/>
    <cellStyle name="Comma 8 2 2 5 2 2 3" xfId="20078" xr:uid="{00000000-0005-0000-0000-0000938B0000}"/>
    <cellStyle name="Comma 8 2 2 5 2 2 3 2" xfId="49084" xr:uid="{00000000-0005-0000-0000-0000948B0000}"/>
    <cellStyle name="Comma 8 2 2 5 2 2 4" xfId="34585" xr:uid="{00000000-0005-0000-0000-0000958B0000}"/>
    <cellStyle name="Comma 8 2 2 5 2 3" xfId="9688" xr:uid="{00000000-0005-0000-0000-0000968B0000}"/>
    <cellStyle name="Comma 8 2 2 5 2 3 2" xfId="24222" xr:uid="{00000000-0005-0000-0000-0000978B0000}"/>
    <cellStyle name="Comma 8 2 2 5 2 3 2 2" xfId="53228" xr:uid="{00000000-0005-0000-0000-0000988B0000}"/>
    <cellStyle name="Comma 8 2 2 5 2 3 3" xfId="38729" xr:uid="{00000000-0005-0000-0000-0000998B0000}"/>
    <cellStyle name="Comma 8 2 2 5 2 4" xfId="16974" xr:uid="{00000000-0005-0000-0000-00009A8B0000}"/>
    <cellStyle name="Comma 8 2 2 5 2 4 2" xfId="45980" xr:uid="{00000000-0005-0000-0000-00009B8B0000}"/>
    <cellStyle name="Comma 8 2 2 5 2 5" xfId="31481" xr:uid="{00000000-0005-0000-0000-00009C8B0000}"/>
    <cellStyle name="Comma 8 2 2 5 3" xfId="3448" xr:uid="{00000000-0005-0000-0000-00009D8B0000}"/>
    <cellStyle name="Comma 8 2 2 5 3 2" xfId="6552" xr:uid="{00000000-0005-0000-0000-00009E8B0000}"/>
    <cellStyle name="Comma 8 2 2 5 3 2 2" xfId="13824" xr:uid="{00000000-0005-0000-0000-00009F8B0000}"/>
    <cellStyle name="Comma 8 2 2 5 3 2 2 2" xfId="28358" xr:uid="{00000000-0005-0000-0000-0000A08B0000}"/>
    <cellStyle name="Comma 8 2 2 5 3 2 2 2 2" xfId="57364" xr:uid="{00000000-0005-0000-0000-0000A18B0000}"/>
    <cellStyle name="Comma 8 2 2 5 3 2 2 3" xfId="42865" xr:uid="{00000000-0005-0000-0000-0000A28B0000}"/>
    <cellStyle name="Comma 8 2 2 5 3 2 3" xfId="21110" xr:uid="{00000000-0005-0000-0000-0000A38B0000}"/>
    <cellStyle name="Comma 8 2 2 5 3 2 3 2" xfId="50116" xr:uid="{00000000-0005-0000-0000-0000A48B0000}"/>
    <cellStyle name="Comma 8 2 2 5 3 2 4" xfId="35617" xr:uid="{00000000-0005-0000-0000-0000A58B0000}"/>
    <cellStyle name="Comma 8 2 2 5 3 3" xfId="10720" xr:uid="{00000000-0005-0000-0000-0000A68B0000}"/>
    <cellStyle name="Comma 8 2 2 5 3 3 2" xfId="25254" xr:uid="{00000000-0005-0000-0000-0000A78B0000}"/>
    <cellStyle name="Comma 8 2 2 5 3 3 2 2" xfId="54260" xr:uid="{00000000-0005-0000-0000-0000A88B0000}"/>
    <cellStyle name="Comma 8 2 2 5 3 3 3" xfId="39761" xr:uid="{00000000-0005-0000-0000-0000A98B0000}"/>
    <cellStyle name="Comma 8 2 2 5 3 4" xfId="18006" xr:uid="{00000000-0005-0000-0000-0000AA8B0000}"/>
    <cellStyle name="Comma 8 2 2 5 3 4 2" xfId="47012" xr:uid="{00000000-0005-0000-0000-0000AB8B0000}"/>
    <cellStyle name="Comma 8 2 2 5 3 5" xfId="32513" xr:uid="{00000000-0005-0000-0000-0000AC8B0000}"/>
    <cellStyle name="Comma 8 2 2 5 4" xfId="4480" xr:uid="{00000000-0005-0000-0000-0000AD8B0000}"/>
    <cellStyle name="Comma 8 2 2 5 4 2" xfId="11752" xr:uid="{00000000-0005-0000-0000-0000AE8B0000}"/>
    <cellStyle name="Comma 8 2 2 5 4 2 2" xfId="26286" xr:uid="{00000000-0005-0000-0000-0000AF8B0000}"/>
    <cellStyle name="Comma 8 2 2 5 4 2 2 2" xfId="55292" xr:uid="{00000000-0005-0000-0000-0000B08B0000}"/>
    <cellStyle name="Comma 8 2 2 5 4 2 3" xfId="40793" xr:uid="{00000000-0005-0000-0000-0000B18B0000}"/>
    <cellStyle name="Comma 8 2 2 5 4 3" xfId="19038" xr:uid="{00000000-0005-0000-0000-0000B28B0000}"/>
    <cellStyle name="Comma 8 2 2 5 4 3 2" xfId="48044" xr:uid="{00000000-0005-0000-0000-0000B38B0000}"/>
    <cellStyle name="Comma 8 2 2 5 4 4" xfId="33545" xr:uid="{00000000-0005-0000-0000-0000B48B0000}"/>
    <cellStyle name="Comma 8 2 2 5 5" xfId="7584" xr:uid="{00000000-0005-0000-0000-0000B58B0000}"/>
    <cellStyle name="Comma 8 2 2 5 5 2" xfId="14856" xr:uid="{00000000-0005-0000-0000-0000B68B0000}"/>
    <cellStyle name="Comma 8 2 2 5 5 2 2" xfId="29390" xr:uid="{00000000-0005-0000-0000-0000B78B0000}"/>
    <cellStyle name="Comma 8 2 2 5 5 2 2 2" xfId="58396" xr:uid="{00000000-0005-0000-0000-0000B88B0000}"/>
    <cellStyle name="Comma 8 2 2 5 5 2 3" xfId="43897" xr:uid="{00000000-0005-0000-0000-0000B98B0000}"/>
    <cellStyle name="Comma 8 2 2 5 5 3" xfId="22142" xr:uid="{00000000-0005-0000-0000-0000BA8B0000}"/>
    <cellStyle name="Comma 8 2 2 5 5 3 2" xfId="51148" xr:uid="{00000000-0005-0000-0000-0000BB8B0000}"/>
    <cellStyle name="Comma 8 2 2 5 5 4" xfId="36649" xr:uid="{00000000-0005-0000-0000-0000BC8B0000}"/>
    <cellStyle name="Comma 8 2 2 5 6" xfId="8648" xr:uid="{00000000-0005-0000-0000-0000BD8B0000}"/>
    <cellStyle name="Comma 8 2 2 5 6 2" xfId="23182" xr:uid="{00000000-0005-0000-0000-0000BE8B0000}"/>
    <cellStyle name="Comma 8 2 2 5 6 2 2" xfId="52188" xr:uid="{00000000-0005-0000-0000-0000BF8B0000}"/>
    <cellStyle name="Comma 8 2 2 5 6 3" xfId="37689" xr:uid="{00000000-0005-0000-0000-0000C08B0000}"/>
    <cellStyle name="Comma 8 2 2 5 7" xfId="15934" xr:uid="{00000000-0005-0000-0000-0000C18B0000}"/>
    <cellStyle name="Comma 8 2 2 5 7 2" xfId="44940" xr:uid="{00000000-0005-0000-0000-0000C28B0000}"/>
    <cellStyle name="Comma 8 2 2 5 8" xfId="30441" xr:uid="{00000000-0005-0000-0000-0000C38B0000}"/>
    <cellStyle name="Comma 8 2 2 6" xfId="1904" xr:uid="{00000000-0005-0000-0000-0000C48B0000}"/>
    <cellStyle name="Comma 8 2 2 6 2" xfId="5008" xr:uid="{00000000-0005-0000-0000-0000C58B0000}"/>
    <cellStyle name="Comma 8 2 2 6 2 2" xfId="12280" xr:uid="{00000000-0005-0000-0000-0000C68B0000}"/>
    <cellStyle name="Comma 8 2 2 6 2 2 2" xfId="26814" xr:uid="{00000000-0005-0000-0000-0000C78B0000}"/>
    <cellStyle name="Comma 8 2 2 6 2 2 2 2" xfId="55820" xr:uid="{00000000-0005-0000-0000-0000C88B0000}"/>
    <cellStyle name="Comma 8 2 2 6 2 2 3" xfId="41321" xr:uid="{00000000-0005-0000-0000-0000C98B0000}"/>
    <cellStyle name="Comma 8 2 2 6 2 3" xfId="19566" xr:uid="{00000000-0005-0000-0000-0000CA8B0000}"/>
    <cellStyle name="Comma 8 2 2 6 2 3 2" xfId="48572" xr:uid="{00000000-0005-0000-0000-0000CB8B0000}"/>
    <cellStyle name="Comma 8 2 2 6 2 4" xfId="34073" xr:uid="{00000000-0005-0000-0000-0000CC8B0000}"/>
    <cellStyle name="Comma 8 2 2 6 3" xfId="9176" xr:uid="{00000000-0005-0000-0000-0000CD8B0000}"/>
    <cellStyle name="Comma 8 2 2 6 3 2" xfId="23710" xr:uid="{00000000-0005-0000-0000-0000CE8B0000}"/>
    <cellStyle name="Comma 8 2 2 6 3 2 2" xfId="52716" xr:uid="{00000000-0005-0000-0000-0000CF8B0000}"/>
    <cellStyle name="Comma 8 2 2 6 3 3" xfId="38217" xr:uid="{00000000-0005-0000-0000-0000D08B0000}"/>
    <cellStyle name="Comma 8 2 2 6 4" xfId="16462" xr:uid="{00000000-0005-0000-0000-0000D18B0000}"/>
    <cellStyle name="Comma 8 2 2 6 4 2" xfId="45468" xr:uid="{00000000-0005-0000-0000-0000D28B0000}"/>
    <cellStyle name="Comma 8 2 2 6 5" xfId="30969" xr:uid="{00000000-0005-0000-0000-0000D38B0000}"/>
    <cellStyle name="Comma 8 2 2 7" xfId="2936" xr:uid="{00000000-0005-0000-0000-0000D48B0000}"/>
    <cellStyle name="Comma 8 2 2 7 2" xfId="6040" xr:uid="{00000000-0005-0000-0000-0000D58B0000}"/>
    <cellStyle name="Comma 8 2 2 7 2 2" xfId="13312" xr:uid="{00000000-0005-0000-0000-0000D68B0000}"/>
    <cellStyle name="Comma 8 2 2 7 2 2 2" xfId="27846" xr:uid="{00000000-0005-0000-0000-0000D78B0000}"/>
    <cellStyle name="Comma 8 2 2 7 2 2 2 2" xfId="56852" xr:uid="{00000000-0005-0000-0000-0000D88B0000}"/>
    <cellStyle name="Comma 8 2 2 7 2 2 3" xfId="42353" xr:uid="{00000000-0005-0000-0000-0000D98B0000}"/>
    <cellStyle name="Comma 8 2 2 7 2 3" xfId="20598" xr:uid="{00000000-0005-0000-0000-0000DA8B0000}"/>
    <cellStyle name="Comma 8 2 2 7 2 3 2" xfId="49604" xr:uid="{00000000-0005-0000-0000-0000DB8B0000}"/>
    <cellStyle name="Comma 8 2 2 7 2 4" xfId="35105" xr:uid="{00000000-0005-0000-0000-0000DC8B0000}"/>
    <cellStyle name="Comma 8 2 2 7 3" xfId="10208" xr:uid="{00000000-0005-0000-0000-0000DD8B0000}"/>
    <cellStyle name="Comma 8 2 2 7 3 2" xfId="24742" xr:uid="{00000000-0005-0000-0000-0000DE8B0000}"/>
    <cellStyle name="Comma 8 2 2 7 3 2 2" xfId="53748" xr:uid="{00000000-0005-0000-0000-0000DF8B0000}"/>
    <cellStyle name="Comma 8 2 2 7 3 3" xfId="39249" xr:uid="{00000000-0005-0000-0000-0000E08B0000}"/>
    <cellStyle name="Comma 8 2 2 7 4" xfId="17494" xr:uid="{00000000-0005-0000-0000-0000E18B0000}"/>
    <cellStyle name="Comma 8 2 2 7 4 2" xfId="46500" xr:uid="{00000000-0005-0000-0000-0000E28B0000}"/>
    <cellStyle name="Comma 8 2 2 7 5" xfId="32001" xr:uid="{00000000-0005-0000-0000-0000E38B0000}"/>
    <cellStyle name="Comma 8 2 2 8" xfId="3968" xr:uid="{00000000-0005-0000-0000-0000E48B0000}"/>
    <cellStyle name="Comma 8 2 2 8 2" xfId="11240" xr:uid="{00000000-0005-0000-0000-0000E58B0000}"/>
    <cellStyle name="Comma 8 2 2 8 2 2" xfId="25774" xr:uid="{00000000-0005-0000-0000-0000E68B0000}"/>
    <cellStyle name="Comma 8 2 2 8 2 2 2" xfId="54780" xr:uid="{00000000-0005-0000-0000-0000E78B0000}"/>
    <cellStyle name="Comma 8 2 2 8 2 3" xfId="40281" xr:uid="{00000000-0005-0000-0000-0000E88B0000}"/>
    <cellStyle name="Comma 8 2 2 8 3" xfId="18526" xr:uid="{00000000-0005-0000-0000-0000E98B0000}"/>
    <cellStyle name="Comma 8 2 2 8 3 2" xfId="47532" xr:uid="{00000000-0005-0000-0000-0000EA8B0000}"/>
    <cellStyle name="Comma 8 2 2 8 4" xfId="33033" xr:uid="{00000000-0005-0000-0000-0000EB8B0000}"/>
    <cellStyle name="Comma 8 2 2 9" xfId="7072" xr:uid="{00000000-0005-0000-0000-0000EC8B0000}"/>
    <cellStyle name="Comma 8 2 2 9 2" xfId="14344" xr:uid="{00000000-0005-0000-0000-0000ED8B0000}"/>
    <cellStyle name="Comma 8 2 2 9 2 2" xfId="28878" xr:uid="{00000000-0005-0000-0000-0000EE8B0000}"/>
    <cellStyle name="Comma 8 2 2 9 2 2 2" xfId="57884" xr:uid="{00000000-0005-0000-0000-0000EF8B0000}"/>
    <cellStyle name="Comma 8 2 2 9 2 3" xfId="43385" xr:uid="{00000000-0005-0000-0000-0000F08B0000}"/>
    <cellStyle name="Comma 8 2 2 9 3" xfId="21630" xr:uid="{00000000-0005-0000-0000-0000F18B0000}"/>
    <cellStyle name="Comma 8 2 2 9 3 2" xfId="50636" xr:uid="{00000000-0005-0000-0000-0000F28B0000}"/>
    <cellStyle name="Comma 8 2 2 9 4" xfId="36137" xr:uid="{00000000-0005-0000-0000-0000F38B0000}"/>
    <cellStyle name="Comma 8 2 3" xfId="936" xr:uid="{00000000-0005-0000-0000-0000F48B0000}"/>
    <cellStyle name="Comma 8 2 3 10" xfId="29980" xr:uid="{00000000-0005-0000-0000-0000F58B0000}"/>
    <cellStyle name="Comma 8 2 3 11" xfId="59543" xr:uid="{00000000-0005-0000-0000-0000F68B0000}"/>
    <cellStyle name="Comma 8 2 3 2" xfId="1210" xr:uid="{00000000-0005-0000-0000-0000F78B0000}"/>
    <cellStyle name="Comma 8 2 3 2 2" xfId="1714" xr:uid="{00000000-0005-0000-0000-0000F88B0000}"/>
    <cellStyle name="Comma 8 2 3 2 2 2" xfId="2773" xr:uid="{00000000-0005-0000-0000-0000F98B0000}"/>
    <cellStyle name="Comma 8 2 3 2 2 2 2" xfId="5877" xr:uid="{00000000-0005-0000-0000-0000FA8B0000}"/>
    <cellStyle name="Comma 8 2 3 2 2 2 2 2" xfId="13149" xr:uid="{00000000-0005-0000-0000-0000FB8B0000}"/>
    <cellStyle name="Comma 8 2 3 2 2 2 2 2 2" xfId="27683" xr:uid="{00000000-0005-0000-0000-0000FC8B0000}"/>
    <cellStyle name="Comma 8 2 3 2 2 2 2 2 2 2" xfId="56689" xr:uid="{00000000-0005-0000-0000-0000FD8B0000}"/>
    <cellStyle name="Comma 8 2 3 2 2 2 2 2 3" xfId="42190" xr:uid="{00000000-0005-0000-0000-0000FE8B0000}"/>
    <cellStyle name="Comma 8 2 3 2 2 2 2 3" xfId="20435" xr:uid="{00000000-0005-0000-0000-0000FF8B0000}"/>
    <cellStyle name="Comma 8 2 3 2 2 2 2 3 2" xfId="49441" xr:uid="{00000000-0005-0000-0000-0000008C0000}"/>
    <cellStyle name="Comma 8 2 3 2 2 2 2 4" xfId="34942" xr:uid="{00000000-0005-0000-0000-0000018C0000}"/>
    <cellStyle name="Comma 8 2 3 2 2 2 3" xfId="10045" xr:uid="{00000000-0005-0000-0000-0000028C0000}"/>
    <cellStyle name="Comma 8 2 3 2 2 2 3 2" xfId="24579" xr:uid="{00000000-0005-0000-0000-0000038C0000}"/>
    <cellStyle name="Comma 8 2 3 2 2 2 3 2 2" xfId="53585" xr:uid="{00000000-0005-0000-0000-0000048C0000}"/>
    <cellStyle name="Comma 8 2 3 2 2 2 3 3" xfId="39086" xr:uid="{00000000-0005-0000-0000-0000058C0000}"/>
    <cellStyle name="Comma 8 2 3 2 2 2 4" xfId="17331" xr:uid="{00000000-0005-0000-0000-0000068C0000}"/>
    <cellStyle name="Comma 8 2 3 2 2 2 4 2" xfId="46337" xr:uid="{00000000-0005-0000-0000-0000078C0000}"/>
    <cellStyle name="Comma 8 2 3 2 2 2 5" xfId="31838" xr:uid="{00000000-0005-0000-0000-0000088C0000}"/>
    <cellStyle name="Comma 8 2 3 2 2 3" xfId="3805" xr:uid="{00000000-0005-0000-0000-0000098C0000}"/>
    <cellStyle name="Comma 8 2 3 2 2 3 2" xfId="6909" xr:uid="{00000000-0005-0000-0000-00000A8C0000}"/>
    <cellStyle name="Comma 8 2 3 2 2 3 2 2" xfId="14181" xr:uid="{00000000-0005-0000-0000-00000B8C0000}"/>
    <cellStyle name="Comma 8 2 3 2 2 3 2 2 2" xfId="28715" xr:uid="{00000000-0005-0000-0000-00000C8C0000}"/>
    <cellStyle name="Comma 8 2 3 2 2 3 2 2 2 2" xfId="57721" xr:uid="{00000000-0005-0000-0000-00000D8C0000}"/>
    <cellStyle name="Comma 8 2 3 2 2 3 2 2 3" xfId="43222" xr:uid="{00000000-0005-0000-0000-00000E8C0000}"/>
    <cellStyle name="Comma 8 2 3 2 2 3 2 3" xfId="21467" xr:uid="{00000000-0005-0000-0000-00000F8C0000}"/>
    <cellStyle name="Comma 8 2 3 2 2 3 2 3 2" xfId="50473" xr:uid="{00000000-0005-0000-0000-0000108C0000}"/>
    <cellStyle name="Comma 8 2 3 2 2 3 2 4" xfId="35974" xr:uid="{00000000-0005-0000-0000-0000118C0000}"/>
    <cellStyle name="Comma 8 2 3 2 2 3 3" xfId="11077" xr:uid="{00000000-0005-0000-0000-0000128C0000}"/>
    <cellStyle name="Comma 8 2 3 2 2 3 3 2" xfId="25611" xr:uid="{00000000-0005-0000-0000-0000138C0000}"/>
    <cellStyle name="Comma 8 2 3 2 2 3 3 2 2" xfId="54617" xr:uid="{00000000-0005-0000-0000-0000148C0000}"/>
    <cellStyle name="Comma 8 2 3 2 2 3 3 3" xfId="40118" xr:uid="{00000000-0005-0000-0000-0000158C0000}"/>
    <cellStyle name="Comma 8 2 3 2 2 3 4" xfId="18363" xr:uid="{00000000-0005-0000-0000-0000168C0000}"/>
    <cellStyle name="Comma 8 2 3 2 2 3 4 2" xfId="47369" xr:uid="{00000000-0005-0000-0000-0000178C0000}"/>
    <cellStyle name="Comma 8 2 3 2 2 3 5" xfId="32870" xr:uid="{00000000-0005-0000-0000-0000188C0000}"/>
    <cellStyle name="Comma 8 2 3 2 2 4" xfId="4837" xr:uid="{00000000-0005-0000-0000-0000198C0000}"/>
    <cellStyle name="Comma 8 2 3 2 2 4 2" xfId="12109" xr:uid="{00000000-0005-0000-0000-00001A8C0000}"/>
    <cellStyle name="Comma 8 2 3 2 2 4 2 2" xfId="26643" xr:uid="{00000000-0005-0000-0000-00001B8C0000}"/>
    <cellStyle name="Comma 8 2 3 2 2 4 2 2 2" xfId="55649" xr:uid="{00000000-0005-0000-0000-00001C8C0000}"/>
    <cellStyle name="Comma 8 2 3 2 2 4 2 3" xfId="41150" xr:uid="{00000000-0005-0000-0000-00001D8C0000}"/>
    <cellStyle name="Comma 8 2 3 2 2 4 3" xfId="19395" xr:uid="{00000000-0005-0000-0000-00001E8C0000}"/>
    <cellStyle name="Comma 8 2 3 2 2 4 3 2" xfId="48401" xr:uid="{00000000-0005-0000-0000-00001F8C0000}"/>
    <cellStyle name="Comma 8 2 3 2 2 4 4" xfId="33902" xr:uid="{00000000-0005-0000-0000-0000208C0000}"/>
    <cellStyle name="Comma 8 2 3 2 2 5" xfId="7941" xr:uid="{00000000-0005-0000-0000-0000218C0000}"/>
    <cellStyle name="Comma 8 2 3 2 2 5 2" xfId="15213" xr:uid="{00000000-0005-0000-0000-0000228C0000}"/>
    <cellStyle name="Comma 8 2 3 2 2 5 2 2" xfId="29747" xr:uid="{00000000-0005-0000-0000-0000238C0000}"/>
    <cellStyle name="Comma 8 2 3 2 2 5 2 2 2" xfId="58753" xr:uid="{00000000-0005-0000-0000-0000248C0000}"/>
    <cellStyle name="Comma 8 2 3 2 2 5 2 3" xfId="44254" xr:uid="{00000000-0005-0000-0000-0000258C0000}"/>
    <cellStyle name="Comma 8 2 3 2 2 5 3" xfId="22499" xr:uid="{00000000-0005-0000-0000-0000268C0000}"/>
    <cellStyle name="Comma 8 2 3 2 2 5 3 2" xfId="51505" xr:uid="{00000000-0005-0000-0000-0000278C0000}"/>
    <cellStyle name="Comma 8 2 3 2 2 5 4" xfId="37006" xr:uid="{00000000-0005-0000-0000-0000288C0000}"/>
    <cellStyle name="Comma 8 2 3 2 2 6" xfId="9005" xr:uid="{00000000-0005-0000-0000-0000298C0000}"/>
    <cellStyle name="Comma 8 2 3 2 2 6 2" xfId="23539" xr:uid="{00000000-0005-0000-0000-00002A8C0000}"/>
    <cellStyle name="Comma 8 2 3 2 2 6 2 2" xfId="52545" xr:uid="{00000000-0005-0000-0000-00002B8C0000}"/>
    <cellStyle name="Comma 8 2 3 2 2 6 3" xfId="38046" xr:uid="{00000000-0005-0000-0000-00002C8C0000}"/>
    <cellStyle name="Comma 8 2 3 2 2 7" xfId="16291" xr:uid="{00000000-0005-0000-0000-00002D8C0000}"/>
    <cellStyle name="Comma 8 2 3 2 2 7 2" xfId="45297" xr:uid="{00000000-0005-0000-0000-00002E8C0000}"/>
    <cellStyle name="Comma 8 2 3 2 2 8" xfId="30798" xr:uid="{00000000-0005-0000-0000-00002F8C0000}"/>
    <cellStyle name="Comma 8 2 3 2 3" xfId="2261" xr:uid="{00000000-0005-0000-0000-0000308C0000}"/>
    <cellStyle name="Comma 8 2 3 2 3 2" xfId="5365" xr:uid="{00000000-0005-0000-0000-0000318C0000}"/>
    <cellStyle name="Comma 8 2 3 2 3 2 2" xfId="12637" xr:uid="{00000000-0005-0000-0000-0000328C0000}"/>
    <cellStyle name="Comma 8 2 3 2 3 2 2 2" xfId="27171" xr:uid="{00000000-0005-0000-0000-0000338C0000}"/>
    <cellStyle name="Comma 8 2 3 2 3 2 2 2 2" xfId="56177" xr:uid="{00000000-0005-0000-0000-0000348C0000}"/>
    <cellStyle name="Comma 8 2 3 2 3 2 2 3" xfId="41678" xr:uid="{00000000-0005-0000-0000-0000358C0000}"/>
    <cellStyle name="Comma 8 2 3 2 3 2 3" xfId="19923" xr:uid="{00000000-0005-0000-0000-0000368C0000}"/>
    <cellStyle name="Comma 8 2 3 2 3 2 3 2" xfId="48929" xr:uid="{00000000-0005-0000-0000-0000378C0000}"/>
    <cellStyle name="Comma 8 2 3 2 3 2 4" xfId="34430" xr:uid="{00000000-0005-0000-0000-0000388C0000}"/>
    <cellStyle name="Comma 8 2 3 2 3 3" xfId="9533" xr:uid="{00000000-0005-0000-0000-0000398C0000}"/>
    <cellStyle name="Comma 8 2 3 2 3 3 2" xfId="24067" xr:uid="{00000000-0005-0000-0000-00003A8C0000}"/>
    <cellStyle name="Comma 8 2 3 2 3 3 2 2" xfId="53073" xr:uid="{00000000-0005-0000-0000-00003B8C0000}"/>
    <cellStyle name="Comma 8 2 3 2 3 3 3" xfId="38574" xr:uid="{00000000-0005-0000-0000-00003C8C0000}"/>
    <cellStyle name="Comma 8 2 3 2 3 4" xfId="16819" xr:uid="{00000000-0005-0000-0000-00003D8C0000}"/>
    <cellStyle name="Comma 8 2 3 2 3 4 2" xfId="45825" xr:uid="{00000000-0005-0000-0000-00003E8C0000}"/>
    <cellStyle name="Comma 8 2 3 2 3 5" xfId="31326" xr:uid="{00000000-0005-0000-0000-00003F8C0000}"/>
    <cellStyle name="Comma 8 2 3 2 4" xfId="3293" xr:uid="{00000000-0005-0000-0000-0000408C0000}"/>
    <cellStyle name="Comma 8 2 3 2 4 2" xfId="6397" xr:uid="{00000000-0005-0000-0000-0000418C0000}"/>
    <cellStyle name="Comma 8 2 3 2 4 2 2" xfId="13669" xr:uid="{00000000-0005-0000-0000-0000428C0000}"/>
    <cellStyle name="Comma 8 2 3 2 4 2 2 2" xfId="28203" xr:uid="{00000000-0005-0000-0000-0000438C0000}"/>
    <cellStyle name="Comma 8 2 3 2 4 2 2 2 2" xfId="57209" xr:uid="{00000000-0005-0000-0000-0000448C0000}"/>
    <cellStyle name="Comma 8 2 3 2 4 2 2 3" xfId="42710" xr:uid="{00000000-0005-0000-0000-0000458C0000}"/>
    <cellStyle name="Comma 8 2 3 2 4 2 3" xfId="20955" xr:uid="{00000000-0005-0000-0000-0000468C0000}"/>
    <cellStyle name="Comma 8 2 3 2 4 2 3 2" xfId="49961" xr:uid="{00000000-0005-0000-0000-0000478C0000}"/>
    <cellStyle name="Comma 8 2 3 2 4 2 4" xfId="35462" xr:uid="{00000000-0005-0000-0000-0000488C0000}"/>
    <cellStyle name="Comma 8 2 3 2 4 3" xfId="10565" xr:uid="{00000000-0005-0000-0000-0000498C0000}"/>
    <cellStyle name="Comma 8 2 3 2 4 3 2" xfId="25099" xr:uid="{00000000-0005-0000-0000-00004A8C0000}"/>
    <cellStyle name="Comma 8 2 3 2 4 3 2 2" xfId="54105" xr:uid="{00000000-0005-0000-0000-00004B8C0000}"/>
    <cellStyle name="Comma 8 2 3 2 4 3 3" xfId="39606" xr:uid="{00000000-0005-0000-0000-00004C8C0000}"/>
    <cellStyle name="Comma 8 2 3 2 4 4" xfId="17851" xr:uid="{00000000-0005-0000-0000-00004D8C0000}"/>
    <cellStyle name="Comma 8 2 3 2 4 4 2" xfId="46857" xr:uid="{00000000-0005-0000-0000-00004E8C0000}"/>
    <cellStyle name="Comma 8 2 3 2 4 5" xfId="32358" xr:uid="{00000000-0005-0000-0000-00004F8C0000}"/>
    <cellStyle name="Comma 8 2 3 2 5" xfId="4325" xr:uid="{00000000-0005-0000-0000-0000508C0000}"/>
    <cellStyle name="Comma 8 2 3 2 5 2" xfId="11597" xr:uid="{00000000-0005-0000-0000-0000518C0000}"/>
    <cellStyle name="Comma 8 2 3 2 5 2 2" xfId="26131" xr:uid="{00000000-0005-0000-0000-0000528C0000}"/>
    <cellStyle name="Comma 8 2 3 2 5 2 2 2" xfId="55137" xr:uid="{00000000-0005-0000-0000-0000538C0000}"/>
    <cellStyle name="Comma 8 2 3 2 5 2 3" xfId="40638" xr:uid="{00000000-0005-0000-0000-0000548C0000}"/>
    <cellStyle name="Comma 8 2 3 2 5 3" xfId="18883" xr:uid="{00000000-0005-0000-0000-0000558C0000}"/>
    <cellStyle name="Comma 8 2 3 2 5 3 2" xfId="47889" xr:uid="{00000000-0005-0000-0000-0000568C0000}"/>
    <cellStyle name="Comma 8 2 3 2 5 4" xfId="33390" xr:uid="{00000000-0005-0000-0000-0000578C0000}"/>
    <cellStyle name="Comma 8 2 3 2 6" xfId="7429" xr:uid="{00000000-0005-0000-0000-0000588C0000}"/>
    <cellStyle name="Comma 8 2 3 2 6 2" xfId="14701" xr:uid="{00000000-0005-0000-0000-0000598C0000}"/>
    <cellStyle name="Comma 8 2 3 2 6 2 2" xfId="29235" xr:uid="{00000000-0005-0000-0000-00005A8C0000}"/>
    <cellStyle name="Comma 8 2 3 2 6 2 2 2" xfId="58241" xr:uid="{00000000-0005-0000-0000-00005B8C0000}"/>
    <cellStyle name="Comma 8 2 3 2 6 2 3" xfId="43742" xr:uid="{00000000-0005-0000-0000-00005C8C0000}"/>
    <cellStyle name="Comma 8 2 3 2 6 3" xfId="21987" xr:uid="{00000000-0005-0000-0000-00005D8C0000}"/>
    <cellStyle name="Comma 8 2 3 2 6 3 2" xfId="50993" xr:uid="{00000000-0005-0000-0000-00005E8C0000}"/>
    <cellStyle name="Comma 8 2 3 2 6 4" xfId="36494" xr:uid="{00000000-0005-0000-0000-00005F8C0000}"/>
    <cellStyle name="Comma 8 2 3 2 7" xfId="8493" xr:uid="{00000000-0005-0000-0000-0000608C0000}"/>
    <cellStyle name="Comma 8 2 3 2 7 2" xfId="23027" xr:uid="{00000000-0005-0000-0000-0000618C0000}"/>
    <cellStyle name="Comma 8 2 3 2 7 2 2" xfId="52033" xr:uid="{00000000-0005-0000-0000-0000628C0000}"/>
    <cellStyle name="Comma 8 2 3 2 7 3" xfId="37534" xr:uid="{00000000-0005-0000-0000-0000638C0000}"/>
    <cellStyle name="Comma 8 2 3 2 8" xfId="15779" xr:uid="{00000000-0005-0000-0000-0000648C0000}"/>
    <cellStyle name="Comma 8 2 3 2 8 2" xfId="44785" xr:uid="{00000000-0005-0000-0000-0000658C0000}"/>
    <cellStyle name="Comma 8 2 3 2 9" xfId="30286" xr:uid="{00000000-0005-0000-0000-0000668C0000}"/>
    <cellStyle name="Comma 8 2 3 3" xfId="1409" xr:uid="{00000000-0005-0000-0000-0000678C0000}"/>
    <cellStyle name="Comma 8 2 3 3 2" xfId="2467" xr:uid="{00000000-0005-0000-0000-0000688C0000}"/>
    <cellStyle name="Comma 8 2 3 3 2 2" xfId="5571" xr:uid="{00000000-0005-0000-0000-0000698C0000}"/>
    <cellStyle name="Comma 8 2 3 3 2 2 2" xfId="12843" xr:uid="{00000000-0005-0000-0000-00006A8C0000}"/>
    <cellStyle name="Comma 8 2 3 3 2 2 2 2" xfId="27377" xr:uid="{00000000-0005-0000-0000-00006B8C0000}"/>
    <cellStyle name="Comma 8 2 3 3 2 2 2 2 2" xfId="56383" xr:uid="{00000000-0005-0000-0000-00006C8C0000}"/>
    <cellStyle name="Comma 8 2 3 3 2 2 2 3" xfId="41884" xr:uid="{00000000-0005-0000-0000-00006D8C0000}"/>
    <cellStyle name="Comma 8 2 3 3 2 2 3" xfId="20129" xr:uid="{00000000-0005-0000-0000-00006E8C0000}"/>
    <cellStyle name="Comma 8 2 3 3 2 2 3 2" xfId="49135" xr:uid="{00000000-0005-0000-0000-00006F8C0000}"/>
    <cellStyle name="Comma 8 2 3 3 2 2 4" xfId="34636" xr:uid="{00000000-0005-0000-0000-0000708C0000}"/>
    <cellStyle name="Comma 8 2 3 3 2 3" xfId="9739" xr:uid="{00000000-0005-0000-0000-0000718C0000}"/>
    <cellStyle name="Comma 8 2 3 3 2 3 2" xfId="24273" xr:uid="{00000000-0005-0000-0000-0000728C0000}"/>
    <cellStyle name="Comma 8 2 3 3 2 3 2 2" xfId="53279" xr:uid="{00000000-0005-0000-0000-0000738C0000}"/>
    <cellStyle name="Comma 8 2 3 3 2 3 3" xfId="38780" xr:uid="{00000000-0005-0000-0000-0000748C0000}"/>
    <cellStyle name="Comma 8 2 3 3 2 4" xfId="17025" xr:uid="{00000000-0005-0000-0000-0000758C0000}"/>
    <cellStyle name="Comma 8 2 3 3 2 4 2" xfId="46031" xr:uid="{00000000-0005-0000-0000-0000768C0000}"/>
    <cellStyle name="Comma 8 2 3 3 2 5" xfId="31532" xr:uid="{00000000-0005-0000-0000-0000778C0000}"/>
    <cellStyle name="Comma 8 2 3 3 3" xfId="3499" xr:uid="{00000000-0005-0000-0000-0000788C0000}"/>
    <cellStyle name="Comma 8 2 3 3 3 2" xfId="6603" xr:uid="{00000000-0005-0000-0000-0000798C0000}"/>
    <cellStyle name="Comma 8 2 3 3 3 2 2" xfId="13875" xr:uid="{00000000-0005-0000-0000-00007A8C0000}"/>
    <cellStyle name="Comma 8 2 3 3 3 2 2 2" xfId="28409" xr:uid="{00000000-0005-0000-0000-00007B8C0000}"/>
    <cellStyle name="Comma 8 2 3 3 3 2 2 2 2" xfId="57415" xr:uid="{00000000-0005-0000-0000-00007C8C0000}"/>
    <cellStyle name="Comma 8 2 3 3 3 2 2 3" xfId="42916" xr:uid="{00000000-0005-0000-0000-00007D8C0000}"/>
    <cellStyle name="Comma 8 2 3 3 3 2 3" xfId="21161" xr:uid="{00000000-0005-0000-0000-00007E8C0000}"/>
    <cellStyle name="Comma 8 2 3 3 3 2 3 2" xfId="50167" xr:uid="{00000000-0005-0000-0000-00007F8C0000}"/>
    <cellStyle name="Comma 8 2 3 3 3 2 4" xfId="35668" xr:uid="{00000000-0005-0000-0000-0000808C0000}"/>
    <cellStyle name="Comma 8 2 3 3 3 3" xfId="10771" xr:uid="{00000000-0005-0000-0000-0000818C0000}"/>
    <cellStyle name="Comma 8 2 3 3 3 3 2" xfId="25305" xr:uid="{00000000-0005-0000-0000-0000828C0000}"/>
    <cellStyle name="Comma 8 2 3 3 3 3 2 2" xfId="54311" xr:uid="{00000000-0005-0000-0000-0000838C0000}"/>
    <cellStyle name="Comma 8 2 3 3 3 3 3" xfId="39812" xr:uid="{00000000-0005-0000-0000-0000848C0000}"/>
    <cellStyle name="Comma 8 2 3 3 3 4" xfId="18057" xr:uid="{00000000-0005-0000-0000-0000858C0000}"/>
    <cellStyle name="Comma 8 2 3 3 3 4 2" xfId="47063" xr:uid="{00000000-0005-0000-0000-0000868C0000}"/>
    <cellStyle name="Comma 8 2 3 3 3 5" xfId="32564" xr:uid="{00000000-0005-0000-0000-0000878C0000}"/>
    <cellStyle name="Comma 8 2 3 3 4" xfId="4531" xr:uid="{00000000-0005-0000-0000-0000888C0000}"/>
    <cellStyle name="Comma 8 2 3 3 4 2" xfId="11803" xr:uid="{00000000-0005-0000-0000-0000898C0000}"/>
    <cellStyle name="Comma 8 2 3 3 4 2 2" xfId="26337" xr:uid="{00000000-0005-0000-0000-00008A8C0000}"/>
    <cellStyle name="Comma 8 2 3 3 4 2 2 2" xfId="55343" xr:uid="{00000000-0005-0000-0000-00008B8C0000}"/>
    <cellStyle name="Comma 8 2 3 3 4 2 3" xfId="40844" xr:uid="{00000000-0005-0000-0000-00008C8C0000}"/>
    <cellStyle name="Comma 8 2 3 3 4 3" xfId="19089" xr:uid="{00000000-0005-0000-0000-00008D8C0000}"/>
    <cellStyle name="Comma 8 2 3 3 4 3 2" xfId="48095" xr:uid="{00000000-0005-0000-0000-00008E8C0000}"/>
    <cellStyle name="Comma 8 2 3 3 4 4" xfId="33596" xr:uid="{00000000-0005-0000-0000-00008F8C0000}"/>
    <cellStyle name="Comma 8 2 3 3 5" xfId="7635" xr:uid="{00000000-0005-0000-0000-0000908C0000}"/>
    <cellStyle name="Comma 8 2 3 3 5 2" xfId="14907" xr:uid="{00000000-0005-0000-0000-0000918C0000}"/>
    <cellStyle name="Comma 8 2 3 3 5 2 2" xfId="29441" xr:uid="{00000000-0005-0000-0000-0000928C0000}"/>
    <cellStyle name="Comma 8 2 3 3 5 2 2 2" xfId="58447" xr:uid="{00000000-0005-0000-0000-0000938C0000}"/>
    <cellStyle name="Comma 8 2 3 3 5 2 3" xfId="43948" xr:uid="{00000000-0005-0000-0000-0000948C0000}"/>
    <cellStyle name="Comma 8 2 3 3 5 3" xfId="22193" xr:uid="{00000000-0005-0000-0000-0000958C0000}"/>
    <cellStyle name="Comma 8 2 3 3 5 3 2" xfId="51199" xr:uid="{00000000-0005-0000-0000-0000968C0000}"/>
    <cellStyle name="Comma 8 2 3 3 5 4" xfId="36700" xr:uid="{00000000-0005-0000-0000-0000978C0000}"/>
    <cellStyle name="Comma 8 2 3 3 6" xfId="8699" xr:uid="{00000000-0005-0000-0000-0000988C0000}"/>
    <cellStyle name="Comma 8 2 3 3 6 2" xfId="23233" xr:uid="{00000000-0005-0000-0000-0000998C0000}"/>
    <cellStyle name="Comma 8 2 3 3 6 2 2" xfId="52239" xr:uid="{00000000-0005-0000-0000-00009A8C0000}"/>
    <cellStyle name="Comma 8 2 3 3 6 3" xfId="37740" xr:uid="{00000000-0005-0000-0000-00009B8C0000}"/>
    <cellStyle name="Comma 8 2 3 3 7" xfId="15985" xr:uid="{00000000-0005-0000-0000-00009C8C0000}"/>
    <cellStyle name="Comma 8 2 3 3 7 2" xfId="44991" xr:uid="{00000000-0005-0000-0000-00009D8C0000}"/>
    <cellStyle name="Comma 8 2 3 3 8" xfId="30492" xr:uid="{00000000-0005-0000-0000-00009E8C0000}"/>
    <cellStyle name="Comma 8 2 3 4" xfId="1955" xr:uid="{00000000-0005-0000-0000-00009F8C0000}"/>
    <cellStyle name="Comma 8 2 3 4 2" xfId="5059" xr:uid="{00000000-0005-0000-0000-0000A08C0000}"/>
    <cellStyle name="Comma 8 2 3 4 2 2" xfId="12331" xr:uid="{00000000-0005-0000-0000-0000A18C0000}"/>
    <cellStyle name="Comma 8 2 3 4 2 2 2" xfId="26865" xr:uid="{00000000-0005-0000-0000-0000A28C0000}"/>
    <cellStyle name="Comma 8 2 3 4 2 2 2 2" xfId="55871" xr:uid="{00000000-0005-0000-0000-0000A38C0000}"/>
    <cellStyle name="Comma 8 2 3 4 2 2 3" xfId="41372" xr:uid="{00000000-0005-0000-0000-0000A48C0000}"/>
    <cellStyle name="Comma 8 2 3 4 2 3" xfId="19617" xr:uid="{00000000-0005-0000-0000-0000A58C0000}"/>
    <cellStyle name="Comma 8 2 3 4 2 3 2" xfId="48623" xr:uid="{00000000-0005-0000-0000-0000A68C0000}"/>
    <cellStyle name="Comma 8 2 3 4 2 4" xfId="34124" xr:uid="{00000000-0005-0000-0000-0000A78C0000}"/>
    <cellStyle name="Comma 8 2 3 4 3" xfId="9227" xr:uid="{00000000-0005-0000-0000-0000A88C0000}"/>
    <cellStyle name="Comma 8 2 3 4 3 2" xfId="23761" xr:uid="{00000000-0005-0000-0000-0000A98C0000}"/>
    <cellStyle name="Comma 8 2 3 4 3 2 2" xfId="52767" xr:uid="{00000000-0005-0000-0000-0000AA8C0000}"/>
    <cellStyle name="Comma 8 2 3 4 3 3" xfId="38268" xr:uid="{00000000-0005-0000-0000-0000AB8C0000}"/>
    <cellStyle name="Comma 8 2 3 4 4" xfId="16513" xr:uid="{00000000-0005-0000-0000-0000AC8C0000}"/>
    <cellStyle name="Comma 8 2 3 4 4 2" xfId="45519" xr:uid="{00000000-0005-0000-0000-0000AD8C0000}"/>
    <cellStyle name="Comma 8 2 3 4 5" xfId="31020" xr:uid="{00000000-0005-0000-0000-0000AE8C0000}"/>
    <cellStyle name="Comma 8 2 3 5" xfId="2987" xr:uid="{00000000-0005-0000-0000-0000AF8C0000}"/>
    <cellStyle name="Comma 8 2 3 5 2" xfId="6091" xr:uid="{00000000-0005-0000-0000-0000B08C0000}"/>
    <cellStyle name="Comma 8 2 3 5 2 2" xfId="13363" xr:uid="{00000000-0005-0000-0000-0000B18C0000}"/>
    <cellStyle name="Comma 8 2 3 5 2 2 2" xfId="27897" xr:uid="{00000000-0005-0000-0000-0000B28C0000}"/>
    <cellStyle name="Comma 8 2 3 5 2 2 2 2" xfId="56903" xr:uid="{00000000-0005-0000-0000-0000B38C0000}"/>
    <cellStyle name="Comma 8 2 3 5 2 2 3" xfId="42404" xr:uid="{00000000-0005-0000-0000-0000B48C0000}"/>
    <cellStyle name="Comma 8 2 3 5 2 3" xfId="20649" xr:uid="{00000000-0005-0000-0000-0000B58C0000}"/>
    <cellStyle name="Comma 8 2 3 5 2 3 2" xfId="49655" xr:uid="{00000000-0005-0000-0000-0000B68C0000}"/>
    <cellStyle name="Comma 8 2 3 5 2 4" xfId="35156" xr:uid="{00000000-0005-0000-0000-0000B78C0000}"/>
    <cellStyle name="Comma 8 2 3 5 3" xfId="10259" xr:uid="{00000000-0005-0000-0000-0000B88C0000}"/>
    <cellStyle name="Comma 8 2 3 5 3 2" xfId="24793" xr:uid="{00000000-0005-0000-0000-0000B98C0000}"/>
    <cellStyle name="Comma 8 2 3 5 3 2 2" xfId="53799" xr:uid="{00000000-0005-0000-0000-0000BA8C0000}"/>
    <cellStyle name="Comma 8 2 3 5 3 3" xfId="39300" xr:uid="{00000000-0005-0000-0000-0000BB8C0000}"/>
    <cellStyle name="Comma 8 2 3 5 4" xfId="17545" xr:uid="{00000000-0005-0000-0000-0000BC8C0000}"/>
    <cellStyle name="Comma 8 2 3 5 4 2" xfId="46551" xr:uid="{00000000-0005-0000-0000-0000BD8C0000}"/>
    <cellStyle name="Comma 8 2 3 5 5" xfId="32052" xr:uid="{00000000-0005-0000-0000-0000BE8C0000}"/>
    <cellStyle name="Comma 8 2 3 6" xfId="4019" xr:uid="{00000000-0005-0000-0000-0000BF8C0000}"/>
    <cellStyle name="Comma 8 2 3 6 2" xfId="11291" xr:uid="{00000000-0005-0000-0000-0000C08C0000}"/>
    <cellStyle name="Comma 8 2 3 6 2 2" xfId="25825" xr:uid="{00000000-0005-0000-0000-0000C18C0000}"/>
    <cellStyle name="Comma 8 2 3 6 2 2 2" xfId="54831" xr:uid="{00000000-0005-0000-0000-0000C28C0000}"/>
    <cellStyle name="Comma 8 2 3 6 2 3" xfId="40332" xr:uid="{00000000-0005-0000-0000-0000C38C0000}"/>
    <cellStyle name="Comma 8 2 3 6 3" xfId="18577" xr:uid="{00000000-0005-0000-0000-0000C48C0000}"/>
    <cellStyle name="Comma 8 2 3 6 3 2" xfId="47583" xr:uid="{00000000-0005-0000-0000-0000C58C0000}"/>
    <cellStyle name="Comma 8 2 3 6 4" xfId="33084" xr:uid="{00000000-0005-0000-0000-0000C68C0000}"/>
    <cellStyle name="Comma 8 2 3 7" xfId="7123" xr:uid="{00000000-0005-0000-0000-0000C78C0000}"/>
    <cellStyle name="Comma 8 2 3 7 2" xfId="14395" xr:uid="{00000000-0005-0000-0000-0000C88C0000}"/>
    <cellStyle name="Comma 8 2 3 7 2 2" xfId="28929" xr:uid="{00000000-0005-0000-0000-0000C98C0000}"/>
    <cellStyle name="Comma 8 2 3 7 2 2 2" xfId="57935" xr:uid="{00000000-0005-0000-0000-0000CA8C0000}"/>
    <cellStyle name="Comma 8 2 3 7 2 3" xfId="43436" xr:uid="{00000000-0005-0000-0000-0000CB8C0000}"/>
    <cellStyle name="Comma 8 2 3 7 3" xfId="21681" xr:uid="{00000000-0005-0000-0000-0000CC8C0000}"/>
    <cellStyle name="Comma 8 2 3 7 3 2" xfId="50687" xr:uid="{00000000-0005-0000-0000-0000CD8C0000}"/>
    <cellStyle name="Comma 8 2 3 7 4" xfId="36188" xr:uid="{00000000-0005-0000-0000-0000CE8C0000}"/>
    <cellStyle name="Comma 8 2 3 8" xfId="8187" xr:uid="{00000000-0005-0000-0000-0000CF8C0000}"/>
    <cellStyle name="Comma 8 2 3 8 2" xfId="22721" xr:uid="{00000000-0005-0000-0000-0000D08C0000}"/>
    <cellStyle name="Comma 8 2 3 8 2 2" xfId="51727" xr:uid="{00000000-0005-0000-0000-0000D18C0000}"/>
    <cellStyle name="Comma 8 2 3 8 3" xfId="37228" xr:uid="{00000000-0005-0000-0000-0000D28C0000}"/>
    <cellStyle name="Comma 8 2 3 9" xfId="15473" xr:uid="{00000000-0005-0000-0000-0000D38C0000}"/>
    <cellStyle name="Comma 8 2 3 9 2" xfId="44479" xr:uid="{00000000-0005-0000-0000-0000D48C0000}"/>
    <cellStyle name="Comma 8 2 4" xfId="1113" xr:uid="{00000000-0005-0000-0000-0000D58C0000}"/>
    <cellStyle name="Comma 8 2 4 2" xfId="1611" xr:uid="{00000000-0005-0000-0000-0000D68C0000}"/>
    <cellStyle name="Comma 8 2 4 2 2" xfId="2670" xr:uid="{00000000-0005-0000-0000-0000D78C0000}"/>
    <cellStyle name="Comma 8 2 4 2 2 2" xfId="5774" xr:uid="{00000000-0005-0000-0000-0000D88C0000}"/>
    <cellStyle name="Comma 8 2 4 2 2 2 2" xfId="13046" xr:uid="{00000000-0005-0000-0000-0000D98C0000}"/>
    <cellStyle name="Comma 8 2 4 2 2 2 2 2" xfId="27580" xr:uid="{00000000-0005-0000-0000-0000DA8C0000}"/>
    <cellStyle name="Comma 8 2 4 2 2 2 2 2 2" xfId="56586" xr:uid="{00000000-0005-0000-0000-0000DB8C0000}"/>
    <cellStyle name="Comma 8 2 4 2 2 2 2 3" xfId="42087" xr:uid="{00000000-0005-0000-0000-0000DC8C0000}"/>
    <cellStyle name="Comma 8 2 4 2 2 2 3" xfId="20332" xr:uid="{00000000-0005-0000-0000-0000DD8C0000}"/>
    <cellStyle name="Comma 8 2 4 2 2 2 3 2" xfId="49338" xr:uid="{00000000-0005-0000-0000-0000DE8C0000}"/>
    <cellStyle name="Comma 8 2 4 2 2 2 4" xfId="34839" xr:uid="{00000000-0005-0000-0000-0000DF8C0000}"/>
    <cellStyle name="Comma 8 2 4 2 2 3" xfId="9942" xr:uid="{00000000-0005-0000-0000-0000E08C0000}"/>
    <cellStyle name="Comma 8 2 4 2 2 3 2" xfId="24476" xr:uid="{00000000-0005-0000-0000-0000E18C0000}"/>
    <cellStyle name="Comma 8 2 4 2 2 3 2 2" xfId="53482" xr:uid="{00000000-0005-0000-0000-0000E28C0000}"/>
    <cellStyle name="Comma 8 2 4 2 2 3 3" xfId="38983" xr:uid="{00000000-0005-0000-0000-0000E38C0000}"/>
    <cellStyle name="Comma 8 2 4 2 2 4" xfId="17228" xr:uid="{00000000-0005-0000-0000-0000E48C0000}"/>
    <cellStyle name="Comma 8 2 4 2 2 4 2" xfId="46234" xr:uid="{00000000-0005-0000-0000-0000E58C0000}"/>
    <cellStyle name="Comma 8 2 4 2 2 5" xfId="31735" xr:uid="{00000000-0005-0000-0000-0000E68C0000}"/>
    <cellStyle name="Comma 8 2 4 2 3" xfId="3702" xr:uid="{00000000-0005-0000-0000-0000E78C0000}"/>
    <cellStyle name="Comma 8 2 4 2 3 2" xfId="6806" xr:uid="{00000000-0005-0000-0000-0000E88C0000}"/>
    <cellStyle name="Comma 8 2 4 2 3 2 2" xfId="14078" xr:uid="{00000000-0005-0000-0000-0000E98C0000}"/>
    <cellStyle name="Comma 8 2 4 2 3 2 2 2" xfId="28612" xr:uid="{00000000-0005-0000-0000-0000EA8C0000}"/>
    <cellStyle name="Comma 8 2 4 2 3 2 2 2 2" xfId="57618" xr:uid="{00000000-0005-0000-0000-0000EB8C0000}"/>
    <cellStyle name="Comma 8 2 4 2 3 2 2 3" xfId="43119" xr:uid="{00000000-0005-0000-0000-0000EC8C0000}"/>
    <cellStyle name="Comma 8 2 4 2 3 2 3" xfId="21364" xr:uid="{00000000-0005-0000-0000-0000ED8C0000}"/>
    <cellStyle name="Comma 8 2 4 2 3 2 3 2" xfId="50370" xr:uid="{00000000-0005-0000-0000-0000EE8C0000}"/>
    <cellStyle name="Comma 8 2 4 2 3 2 4" xfId="35871" xr:uid="{00000000-0005-0000-0000-0000EF8C0000}"/>
    <cellStyle name="Comma 8 2 4 2 3 3" xfId="10974" xr:uid="{00000000-0005-0000-0000-0000F08C0000}"/>
    <cellStyle name="Comma 8 2 4 2 3 3 2" xfId="25508" xr:uid="{00000000-0005-0000-0000-0000F18C0000}"/>
    <cellStyle name="Comma 8 2 4 2 3 3 2 2" xfId="54514" xr:uid="{00000000-0005-0000-0000-0000F28C0000}"/>
    <cellStyle name="Comma 8 2 4 2 3 3 3" xfId="40015" xr:uid="{00000000-0005-0000-0000-0000F38C0000}"/>
    <cellStyle name="Comma 8 2 4 2 3 4" xfId="18260" xr:uid="{00000000-0005-0000-0000-0000F48C0000}"/>
    <cellStyle name="Comma 8 2 4 2 3 4 2" xfId="47266" xr:uid="{00000000-0005-0000-0000-0000F58C0000}"/>
    <cellStyle name="Comma 8 2 4 2 3 5" xfId="32767" xr:uid="{00000000-0005-0000-0000-0000F68C0000}"/>
    <cellStyle name="Comma 8 2 4 2 4" xfId="4734" xr:uid="{00000000-0005-0000-0000-0000F78C0000}"/>
    <cellStyle name="Comma 8 2 4 2 4 2" xfId="12006" xr:uid="{00000000-0005-0000-0000-0000F88C0000}"/>
    <cellStyle name="Comma 8 2 4 2 4 2 2" xfId="26540" xr:uid="{00000000-0005-0000-0000-0000F98C0000}"/>
    <cellStyle name="Comma 8 2 4 2 4 2 2 2" xfId="55546" xr:uid="{00000000-0005-0000-0000-0000FA8C0000}"/>
    <cellStyle name="Comma 8 2 4 2 4 2 3" xfId="41047" xr:uid="{00000000-0005-0000-0000-0000FB8C0000}"/>
    <cellStyle name="Comma 8 2 4 2 4 3" xfId="19292" xr:uid="{00000000-0005-0000-0000-0000FC8C0000}"/>
    <cellStyle name="Comma 8 2 4 2 4 3 2" xfId="48298" xr:uid="{00000000-0005-0000-0000-0000FD8C0000}"/>
    <cellStyle name="Comma 8 2 4 2 4 4" xfId="33799" xr:uid="{00000000-0005-0000-0000-0000FE8C0000}"/>
    <cellStyle name="Comma 8 2 4 2 5" xfId="7838" xr:uid="{00000000-0005-0000-0000-0000FF8C0000}"/>
    <cellStyle name="Comma 8 2 4 2 5 2" xfId="15110" xr:uid="{00000000-0005-0000-0000-0000008D0000}"/>
    <cellStyle name="Comma 8 2 4 2 5 2 2" xfId="29644" xr:uid="{00000000-0005-0000-0000-0000018D0000}"/>
    <cellStyle name="Comma 8 2 4 2 5 2 2 2" xfId="58650" xr:uid="{00000000-0005-0000-0000-0000028D0000}"/>
    <cellStyle name="Comma 8 2 4 2 5 2 3" xfId="44151" xr:uid="{00000000-0005-0000-0000-0000038D0000}"/>
    <cellStyle name="Comma 8 2 4 2 5 3" xfId="22396" xr:uid="{00000000-0005-0000-0000-0000048D0000}"/>
    <cellStyle name="Comma 8 2 4 2 5 3 2" xfId="51402" xr:uid="{00000000-0005-0000-0000-0000058D0000}"/>
    <cellStyle name="Comma 8 2 4 2 5 4" xfId="36903" xr:uid="{00000000-0005-0000-0000-0000068D0000}"/>
    <cellStyle name="Comma 8 2 4 2 6" xfId="8902" xr:uid="{00000000-0005-0000-0000-0000078D0000}"/>
    <cellStyle name="Comma 8 2 4 2 6 2" xfId="23436" xr:uid="{00000000-0005-0000-0000-0000088D0000}"/>
    <cellStyle name="Comma 8 2 4 2 6 2 2" xfId="52442" xr:uid="{00000000-0005-0000-0000-0000098D0000}"/>
    <cellStyle name="Comma 8 2 4 2 6 3" xfId="37943" xr:uid="{00000000-0005-0000-0000-00000A8D0000}"/>
    <cellStyle name="Comma 8 2 4 2 7" xfId="16188" xr:uid="{00000000-0005-0000-0000-00000B8D0000}"/>
    <cellStyle name="Comma 8 2 4 2 7 2" xfId="45194" xr:uid="{00000000-0005-0000-0000-00000C8D0000}"/>
    <cellStyle name="Comma 8 2 4 2 8" xfId="30695" xr:uid="{00000000-0005-0000-0000-00000D8D0000}"/>
    <cellStyle name="Comma 8 2 4 3" xfId="2158" xr:uid="{00000000-0005-0000-0000-00000E8D0000}"/>
    <cellStyle name="Comma 8 2 4 3 2" xfId="5262" xr:uid="{00000000-0005-0000-0000-00000F8D0000}"/>
    <cellStyle name="Comma 8 2 4 3 2 2" xfId="12534" xr:uid="{00000000-0005-0000-0000-0000108D0000}"/>
    <cellStyle name="Comma 8 2 4 3 2 2 2" xfId="27068" xr:uid="{00000000-0005-0000-0000-0000118D0000}"/>
    <cellStyle name="Comma 8 2 4 3 2 2 2 2" xfId="56074" xr:uid="{00000000-0005-0000-0000-0000128D0000}"/>
    <cellStyle name="Comma 8 2 4 3 2 2 3" xfId="41575" xr:uid="{00000000-0005-0000-0000-0000138D0000}"/>
    <cellStyle name="Comma 8 2 4 3 2 3" xfId="19820" xr:uid="{00000000-0005-0000-0000-0000148D0000}"/>
    <cellStyle name="Comma 8 2 4 3 2 3 2" xfId="48826" xr:uid="{00000000-0005-0000-0000-0000158D0000}"/>
    <cellStyle name="Comma 8 2 4 3 2 4" xfId="34327" xr:uid="{00000000-0005-0000-0000-0000168D0000}"/>
    <cellStyle name="Comma 8 2 4 3 3" xfId="9430" xr:uid="{00000000-0005-0000-0000-0000178D0000}"/>
    <cellStyle name="Comma 8 2 4 3 3 2" xfId="23964" xr:uid="{00000000-0005-0000-0000-0000188D0000}"/>
    <cellStyle name="Comma 8 2 4 3 3 2 2" xfId="52970" xr:uid="{00000000-0005-0000-0000-0000198D0000}"/>
    <cellStyle name="Comma 8 2 4 3 3 3" xfId="38471" xr:uid="{00000000-0005-0000-0000-00001A8D0000}"/>
    <cellStyle name="Comma 8 2 4 3 4" xfId="16716" xr:uid="{00000000-0005-0000-0000-00001B8D0000}"/>
    <cellStyle name="Comma 8 2 4 3 4 2" xfId="45722" xr:uid="{00000000-0005-0000-0000-00001C8D0000}"/>
    <cellStyle name="Comma 8 2 4 3 5" xfId="31223" xr:uid="{00000000-0005-0000-0000-00001D8D0000}"/>
    <cellStyle name="Comma 8 2 4 4" xfId="3190" xr:uid="{00000000-0005-0000-0000-00001E8D0000}"/>
    <cellStyle name="Comma 8 2 4 4 2" xfId="6294" xr:uid="{00000000-0005-0000-0000-00001F8D0000}"/>
    <cellStyle name="Comma 8 2 4 4 2 2" xfId="13566" xr:uid="{00000000-0005-0000-0000-0000208D0000}"/>
    <cellStyle name="Comma 8 2 4 4 2 2 2" xfId="28100" xr:uid="{00000000-0005-0000-0000-0000218D0000}"/>
    <cellStyle name="Comma 8 2 4 4 2 2 2 2" xfId="57106" xr:uid="{00000000-0005-0000-0000-0000228D0000}"/>
    <cellStyle name="Comma 8 2 4 4 2 2 3" xfId="42607" xr:uid="{00000000-0005-0000-0000-0000238D0000}"/>
    <cellStyle name="Comma 8 2 4 4 2 3" xfId="20852" xr:uid="{00000000-0005-0000-0000-0000248D0000}"/>
    <cellStyle name="Comma 8 2 4 4 2 3 2" xfId="49858" xr:uid="{00000000-0005-0000-0000-0000258D0000}"/>
    <cellStyle name="Comma 8 2 4 4 2 4" xfId="35359" xr:uid="{00000000-0005-0000-0000-0000268D0000}"/>
    <cellStyle name="Comma 8 2 4 4 3" xfId="10462" xr:uid="{00000000-0005-0000-0000-0000278D0000}"/>
    <cellStyle name="Comma 8 2 4 4 3 2" xfId="24996" xr:uid="{00000000-0005-0000-0000-0000288D0000}"/>
    <cellStyle name="Comma 8 2 4 4 3 2 2" xfId="54002" xr:uid="{00000000-0005-0000-0000-0000298D0000}"/>
    <cellStyle name="Comma 8 2 4 4 3 3" xfId="39503" xr:uid="{00000000-0005-0000-0000-00002A8D0000}"/>
    <cellStyle name="Comma 8 2 4 4 4" xfId="17748" xr:uid="{00000000-0005-0000-0000-00002B8D0000}"/>
    <cellStyle name="Comma 8 2 4 4 4 2" xfId="46754" xr:uid="{00000000-0005-0000-0000-00002C8D0000}"/>
    <cellStyle name="Comma 8 2 4 4 5" xfId="32255" xr:uid="{00000000-0005-0000-0000-00002D8D0000}"/>
    <cellStyle name="Comma 8 2 4 5" xfId="4222" xr:uid="{00000000-0005-0000-0000-00002E8D0000}"/>
    <cellStyle name="Comma 8 2 4 5 2" xfId="11494" xr:uid="{00000000-0005-0000-0000-00002F8D0000}"/>
    <cellStyle name="Comma 8 2 4 5 2 2" xfId="26028" xr:uid="{00000000-0005-0000-0000-0000308D0000}"/>
    <cellStyle name="Comma 8 2 4 5 2 2 2" xfId="55034" xr:uid="{00000000-0005-0000-0000-0000318D0000}"/>
    <cellStyle name="Comma 8 2 4 5 2 3" xfId="40535" xr:uid="{00000000-0005-0000-0000-0000328D0000}"/>
    <cellStyle name="Comma 8 2 4 5 3" xfId="18780" xr:uid="{00000000-0005-0000-0000-0000338D0000}"/>
    <cellStyle name="Comma 8 2 4 5 3 2" xfId="47786" xr:uid="{00000000-0005-0000-0000-0000348D0000}"/>
    <cellStyle name="Comma 8 2 4 5 4" xfId="33287" xr:uid="{00000000-0005-0000-0000-0000358D0000}"/>
    <cellStyle name="Comma 8 2 4 6" xfId="7326" xr:uid="{00000000-0005-0000-0000-0000368D0000}"/>
    <cellStyle name="Comma 8 2 4 6 2" xfId="14598" xr:uid="{00000000-0005-0000-0000-0000378D0000}"/>
    <cellStyle name="Comma 8 2 4 6 2 2" xfId="29132" xr:uid="{00000000-0005-0000-0000-0000388D0000}"/>
    <cellStyle name="Comma 8 2 4 6 2 2 2" xfId="58138" xr:uid="{00000000-0005-0000-0000-0000398D0000}"/>
    <cellStyle name="Comma 8 2 4 6 2 3" xfId="43639" xr:uid="{00000000-0005-0000-0000-00003A8D0000}"/>
    <cellStyle name="Comma 8 2 4 6 3" xfId="21884" xr:uid="{00000000-0005-0000-0000-00003B8D0000}"/>
    <cellStyle name="Comma 8 2 4 6 3 2" xfId="50890" xr:uid="{00000000-0005-0000-0000-00003C8D0000}"/>
    <cellStyle name="Comma 8 2 4 6 4" xfId="36391" xr:uid="{00000000-0005-0000-0000-00003D8D0000}"/>
    <cellStyle name="Comma 8 2 4 7" xfId="8390" xr:uid="{00000000-0005-0000-0000-00003E8D0000}"/>
    <cellStyle name="Comma 8 2 4 7 2" xfId="22924" xr:uid="{00000000-0005-0000-0000-00003F8D0000}"/>
    <cellStyle name="Comma 8 2 4 7 2 2" xfId="51930" xr:uid="{00000000-0005-0000-0000-0000408D0000}"/>
    <cellStyle name="Comma 8 2 4 7 3" xfId="37431" xr:uid="{00000000-0005-0000-0000-0000418D0000}"/>
    <cellStyle name="Comma 8 2 4 8" xfId="15676" xr:uid="{00000000-0005-0000-0000-0000428D0000}"/>
    <cellStyle name="Comma 8 2 4 8 2" xfId="44682" xr:uid="{00000000-0005-0000-0000-0000438D0000}"/>
    <cellStyle name="Comma 8 2 4 9" xfId="30183" xr:uid="{00000000-0005-0000-0000-0000448D0000}"/>
    <cellStyle name="Comma 8 2 5" xfId="1023" xr:uid="{00000000-0005-0000-0000-0000458D0000}"/>
    <cellStyle name="Comma 8 2 5 2" xfId="1512" xr:uid="{00000000-0005-0000-0000-0000468D0000}"/>
    <cellStyle name="Comma 8 2 5 2 2" xfId="2570" xr:uid="{00000000-0005-0000-0000-0000478D0000}"/>
    <cellStyle name="Comma 8 2 5 2 2 2" xfId="5674" xr:uid="{00000000-0005-0000-0000-0000488D0000}"/>
    <cellStyle name="Comma 8 2 5 2 2 2 2" xfId="12946" xr:uid="{00000000-0005-0000-0000-0000498D0000}"/>
    <cellStyle name="Comma 8 2 5 2 2 2 2 2" xfId="27480" xr:uid="{00000000-0005-0000-0000-00004A8D0000}"/>
    <cellStyle name="Comma 8 2 5 2 2 2 2 2 2" xfId="56486" xr:uid="{00000000-0005-0000-0000-00004B8D0000}"/>
    <cellStyle name="Comma 8 2 5 2 2 2 2 3" xfId="41987" xr:uid="{00000000-0005-0000-0000-00004C8D0000}"/>
    <cellStyle name="Comma 8 2 5 2 2 2 3" xfId="20232" xr:uid="{00000000-0005-0000-0000-00004D8D0000}"/>
    <cellStyle name="Comma 8 2 5 2 2 2 3 2" xfId="49238" xr:uid="{00000000-0005-0000-0000-00004E8D0000}"/>
    <cellStyle name="Comma 8 2 5 2 2 2 4" xfId="34739" xr:uid="{00000000-0005-0000-0000-00004F8D0000}"/>
    <cellStyle name="Comma 8 2 5 2 2 3" xfId="9842" xr:uid="{00000000-0005-0000-0000-0000508D0000}"/>
    <cellStyle name="Comma 8 2 5 2 2 3 2" xfId="24376" xr:uid="{00000000-0005-0000-0000-0000518D0000}"/>
    <cellStyle name="Comma 8 2 5 2 2 3 2 2" xfId="53382" xr:uid="{00000000-0005-0000-0000-0000528D0000}"/>
    <cellStyle name="Comma 8 2 5 2 2 3 3" xfId="38883" xr:uid="{00000000-0005-0000-0000-0000538D0000}"/>
    <cellStyle name="Comma 8 2 5 2 2 4" xfId="17128" xr:uid="{00000000-0005-0000-0000-0000548D0000}"/>
    <cellStyle name="Comma 8 2 5 2 2 4 2" xfId="46134" xr:uid="{00000000-0005-0000-0000-0000558D0000}"/>
    <cellStyle name="Comma 8 2 5 2 2 5" xfId="31635" xr:uid="{00000000-0005-0000-0000-0000568D0000}"/>
    <cellStyle name="Comma 8 2 5 2 3" xfId="3602" xr:uid="{00000000-0005-0000-0000-0000578D0000}"/>
    <cellStyle name="Comma 8 2 5 2 3 2" xfId="6706" xr:uid="{00000000-0005-0000-0000-0000588D0000}"/>
    <cellStyle name="Comma 8 2 5 2 3 2 2" xfId="13978" xr:uid="{00000000-0005-0000-0000-0000598D0000}"/>
    <cellStyle name="Comma 8 2 5 2 3 2 2 2" xfId="28512" xr:uid="{00000000-0005-0000-0000-00005A8D0000}"/>
    <cellStyle name="Comma 8 2 5 2 3 2 2 2 2" xfId="57518" xr:uid="{00000000-0005-0000-0000-00005B8D0000}"/>
    <cellStyle name="Comma 8 2 5 2 3 2 2 3" xfId="43019" xr:uid="{00000000-0005-0000-0000-00005C8D0000}"/>
    <cellStyle name="Comma 8 2 5 2 3 2 3" xfId="21264" xr:uid="{00000000-0005-0000-0000-00005D8D0000}"/>
    <cellStyle name="Comma 8 2 5 2 3 2 3 2" xfId="50270" xr:uid="{00000000-0005-0000-0000-00005E8D0000}"/>
    <cellStyle name="Comma 8 2 5 2 3 2 4" xfId="35771" xr:uid="{00000000-0005-0000-0000-00005F8D0000}"/>
    <cellStyle name="Comma 8 2 5 2 3 3" xfId="10874" xr:uid="{00000000-0005-0000-0000-0000608D0000}"/>
    <cellStyle name="Comma 8 2 5 2 3 3 2" xfId="25408" xr:uid="{00000000-0005-0000-0000-0000618D0000}"/>
    <cellStyle name="Comma 8 2 5 2 3 3 2 2" xfId="54414" xr:uid="{00000000-0005-0000-0000-0000628D0000}"/>
    <cellStyle name="Comma 8 2 5 2 3 3 3" xfId="39915" xr:uid="{00000000-0005-0000-0000-0000638D0000}"/>
    <cellStyle name="Comma 8 2 5 2 3 4" xfId="18160" xr:uid="{00000000-0005-0000-0000-0000648D0000}"/>
    <cellStyle name="Comma 8 2 5 2 3 4 2" xfId="47166" xr:uid="{00000000-0005-0000-0000-0000658D0000}"/>
    <cellStyle name="Comma 8 2 5 2 3 5" xfId="32667" xr:uid="{00000000-0005-0000-0000-0000668D0000}"/>
    <cellStyle name="Comma 8 2 5 2 4" xfId="4634" xr:uid="{00000000-0005-0000-0000-0000678D0000}"/>
    <cellStyle name="Comma 8 2 5 2 4 2" xfId="11906" xr:uid="{00000000-0005-0000-0000-0000688D0000}"/>
    <cellStyle name="Comma 8 2 5 2 4 2 2" xfId="26440" xr:uid="{00000000-0005-0000-0000-0000698D0000}"/>
    <cellStyle name="Comma 8 2 5 2 4 2 2 2" xfId="55446" xr:uid="{00000000-0005-0000-0000-00006A8D0000}"/>
    <cellStyle name="Comma 8 2 5 2 4 2 3" xfId="40947" xr:uid="{00000000-0005-0000-0000-00006B8D0000}"/>
    <cellStyle name="Comma 8 2 5 2 4 3" xfId="19192" xr:uid="{00000000-0005-0000-0000-00006C8D0000}"/>
    <cellStyle name="Comma 8 2 5 2 4 3 2" xfId="48198" xr:uid="{00000000-0005-0000-0000-00006D8D0000}"/>
    <cellStyle name="Comma 8 2 5 2 4 4" xfId="33699" xr:uid="{00000000-0005-0000-0000-00006E8D0000}"/>
    <cellStyle name="Comma 8 2 5 2 5" xfId="7738" xr:uid="{00000000-0005-0000-0000-00006F8D0000}"/>
    <cellStyle name="Comma 8 2 5 2 5 2" xfId="15010" xr:uid="{00000000-0005-0000-0000-0000708D0000}"/>
    <cellStyle name="Comma 8 2 5 2 5 2 2" xfId="29544" xr:uid="{00000000-0005-0000-0000-0000718D0000}"/>
    <cellStyle name="Comma 8 2 5 2 5 2 2 2" xfId="58550" xr:uid="{00000000-0005-0000-0000-0000728D0000}"/>
    <cellStyle name="Comma 8 2 5 2 5 2 3" xfId="44051" xr:uid="{00000000-0005-0000-0000-0000738D0000}"/>
    <cellStyle name="Comma 8 2 5 2 5 3" xfId="22296" xr:uid="{00000000-0005-0000-0000-0000748D0000}"/>
    <cellStyle name="Comma 8 2 5 2 5 3 2" xfId="51302" xr:uid="{00000000-0005-0000-0000-0000758D0000}"/>
    <cellStyle name="Comma 8 2 5 2 5 4" xfId="36803" xr:uid="{00000000-0005-0000-0000-0000768D0000}"/>
    <cellStyle name="Comma 8 2 5 2 6" xfId="8802" xr:uid="{00000000-0005-0000-0000-0000778D0000}"/>
    <cellStyle name="Comma 8 2 5 2 6 2" xfId="23336" xr:uid="{00000000-0005-0000-0000-0000788D0000}"/>
    <cellStyle name="Comma 8 2 5 2 6 2 2" xfId="52342" xr:uid="{00000000-0005-0000-0000-0000798D0000}"/>
    <cellStyle name="Comma 8 2 5 2 6 3" xfId="37843" xr:uid="{00000000-0005-0000-0000-00007A8D0000}"/>
    <cellStyle name="Comma 8 2 5 2 7" xfId="16088" xr:uid="{00000000-0005-0000-0000-00007B8D0000}"/>
    <cellStyle name="Comma 8 2 5 2 7 2" xfId="45094" xr:uid="{00000000-0005-0000-0000-00007C8D0000}"/>
    <cellStyle name="Comma 8 2 5 2 8" xfId="30595" xr:uid="{00000000-0005-0000-0000-00007D8D0000}"/>
    <cellStyle name="Comma 8 2 5 3" xfId="2058" xr:uid="{00000000-0005-0000-0000-00007E8D0000}"/>
    <cellStyle name="Comma 8 2 5 3 2" xfId="5162" xr:uid="{00000000-0005-0000-0000-00007F8D0000}"/>
    <cellStyle name="Comma 8 2 5 3 2 2" xfId="12434" xr:uid="{00000000-0005-0000-0000-0000808D0000}"/>
    <cellStyle name="Comma 8 2 5 3 2 2 2" xfId="26968" xr:uid="{00000000-0005-0000-0000-0000818D0000}"/>
    <cellStyle name="Comma 8 2 5 3 2 2 2 2" xfId="55974" xr:uid="{00000000-0005-0000-0000-0000828D0000}"/>
    <cellStyle name="Comma 8 2 5 3 2 2 3" xfId="41475" xr:uid="{00000000-0005-0000-0000-0000838D0000}"/>
    <cellStyle name="Comma 8 2 5 3 2 3" xfId="19720" xr:uid="{00000000-0005-0000-0000-0000848D0000}"/>
    <cellStyle name="Comma 8 2 5 3 2 3 2" xfId="48726" xr:uid="{00000000-0005-0000-0000-0000858D0000}"/>
    <cellStyle name="Comma 8 2 5 3 2 4" xfId="34227" xr:uid="{00000000-0005-0000-0000-0000868D0000}"/>
    <cellStyle name="Comma 8 2 5 3 3" xfId="9330" xr:uid="{00000000-0005-0000-0000-0000878D0000}"/>
    <cellStyle name="Comma 8 2 5 3 3 2" xfId="23864" xr:uid="{00000000-0005-0000-0000-0000888D0000}"/>
    <cellStyle name="Comma 8 2 5 3 3 2 2" xfId="52870" xr:uid="{00000000-0005-0000-0000-0000898D0000}"/>
    <cellStyle name="Comma 8 2 5 3 3 3" xfId="38371" xr:uid="{00000000-0005-0000-0000-00008A8D0000}"/>
    <cellStyle name="Comma 8 2 5 3 4" xfId="16616" xr:uid="{00000000-0005-0000-0000-00008B8D0000}"/>
    <cellStyle name="Comma 8 2 5 3 4 2" xfId="45622" xr:uid="{00000000-0005-0000-0000-00008C8D0000}"/>
    <cellStyle name="Comma 8 2 5 3 5" xfId="31123" xr:uid="{00000000-0005-0000-0000-00008D8D0000}"/>
    <cellStyle name="Comma 8 2 5 4" xfId="3090" xr:uid="{00000000-0005-0000-0000-00008E8D0000}"/>
    <cellStyle name="Comma 8 2 5 4 2" xfId="6194" xr:uid="{00000000-0005-0000-0000-00008F8D0000}"/>
    <cellStyle name="Comma 8 2 5 4 2 2" xfId="13466" xr:uid="{00000000-0005-0000-0000-0000908D0000}"/>
    <cellStyle name="Comma 8 2 5 4 2 2 2" xfId="28000" xr:uid="{00000000-0005-0000-0000-0000918D0000}"/>
    <cellStyle name="Comma 8 2 5 4 2 2 2 2" xfId="57006" xr:uid="{00000000-0005-0000-0000-0000928D0000}"/>
    <cellStyle name="Comma 8 2 5 4 2 2 3" xfId="42507" xr:uid="{00000000-0005-0000-0000-0000938D0000}"/>
    <cellStyle name="Comma 8 2 5 4 2 3" xfId="20752" xr:uid="{00000000-0005-0000-0000-0000948D0000}"/>
    <cellStyle name="Comma 8 2 5 4 2 3 2" xfId="49758" xr:uid="{00000000-0005-0000-0000-0000958D0000}"/>
    <cellStyle name="Comma 8 2 5 4 2 4" xfId="35259" xr:uid="{00000000-0005-0000-0000-0000968D0000}"/>
    <cellStyle name="Comma 8 2 5 4 3" xfId="10362" xr:uid="{00000000-0005-0000-0000-0000978D0000}"/>
    <cellStyle name="Comma 8 2 5 4 3 2" xfId="24896" xr:uid="{00000000-0005-0000-0000-0000988D0000}"/>
    <cellStyle name="Comma 8 2 5 4 3 2 2" xfId="53902" xr:uid="{00000000-0005-0000-0000-0000998D0000}"/>
    <cellStyle name="Comma 8 2 5 4 3 3" xfId="39403" xr:uid="{00000000-0005-0000-0000-00009A8D0000}"/>
    <cellStyle name="Comma 8 2 5 4 4" xfId="17648" xr:uid="{00000000-0005-0000-0000-00009B8D0000}"/>
    <cellStyle name="Comma 8 2 5 4 4 2" xfId="46654" xr:uid="{00000000-0005-0000-0000-00009C8D0000}"/>
    <cellStyle name="Comma 8 2 5 4 5" xfId="32155" xr:uid="{00000000-0005-0000-0000-00009D8D0000}"/>
    <cellStyle name="Comma 8 2 5 5" xfId="4122" xr:uid="{00000000-0005-0000-0000-00009E8D0000}"/>
    <cellStyle name="Comma 8 2 5 5 2" xfId="11394" xr:uid="{00000000-0005-0000-0000-00009F8D0000}"/>
    <cellStyle name="Comma 8 2 5 5 2 2" xfId="25928" xr:uid="{00000000-0005-0000-0000-0000A08D0000}"/>
    <cellStyle name="Comma 8 2 5 5 2 2 2" xfId="54934" xr:uid="{00000000-0005-0000-0000-0000A18D0000}"/>
    <cellStyle name="Comma 8 2 5 5 2 3" xfId="40435" xr:uid="{00000000-0005-0000-0000-0000A28D0000}"/>
    <cellStyle name="Comma 8 2 5 5 3" xfId="18680" xr:uid="{00000000-0005-0000-0000-0000A38D0000}"/>
    <cellStyle name="Comma 8 2 5 5 3 2" xfId="47686" xr:uid="{00000000-0005-0000-0000-0000A48D0000}"/>
    <cellStyle name="Comma 8 2 5 5 4" xfId="33187" xr:uid="{00000000-0005-0000-0000-0000A58D0000}"/>
    <cellStyle name="Comma 8 2 5 6" xfId="7226" xr:uid="{00000000-0005-0000-0000-0000A68D0000}"/>
    <cellStyle name="Comma 8 2 5 6 2" xfId="14498" xr:uid="{00000000-0005-0000-0000-0000A78D0000}"/>
    <cellStyle name="Comma 8 2 5 6 2 2" xfId="29032" xr:uid="{00000000-0005-0000-0000-0000A88D0000}"/>
    <cellStyle name="Comma 8 2 5 6 2 2 2" xfId="58038" xr:uid="{00000000-0005-0000-0000-0000A98D0000}"/>
    <cellStyle name="Comma 8 2 5 6 2 3" xfId="43539" xr:uid="{00000000-0005-0000-0000-0000AA8D0000}"/>
    <cellStyle name="Comma 8 2 5 6 3" xfId="21784" xr:uid="{00000000-0005-0000-0000-0000AB8D0000}"/>
    <cellStyle name="Comma 8 2 5 6 3 2" xfId="50790" xr:uid="{00000000-0005-0000-0000-0000AC8D0000}"/>
    <cellStyle name="Comma 8 2 5 6 4" xfId="36291" xr:uid="{00000000-0005-0000-0000-0000AD8D0000}"/>
    <cellStyle name="Comma 8 2 5 7" xfId="8290" xr:uid="{00000000-0005-0000-0000-0000AE8D0000}"/>
    <cellStyle name="Comma 8 2 5 7 2" xfId="22824" xr:uid="{00000000-0005-0000-0000-0000AF8D0000}"/>
    <cellStyle name="Comma 8 2 5 7 2 2" xfId="51830" xr:uid="{00000000-0005-0000-0000-0000B08D0000}"/>
    <cellStyle name="Comma 8 2 5 7 3" xfId="37331" xr:uid="{00000000-0005-0000-0000-0000B18D0000}"/>
    <cellStyle name="Comma 8 2 5 8" xfId="15576" xr:uid="{00000000-0005-0000-0000-0000B28D0000}"/>
    <cellStyle name="Comma 8 2 5 8 2" xfId="44582" xr:uid="{00000000-0005-0000-0000-0000B38D0000}"/>
    <cellStyle name="Comma 8 2 5 9" xfId="30083" xr:uid="{00000000-0005-0000-0000-0000B48D0000}"/>
    <cellStyle name="Comma 8 2 6" xfId="1307" xr:uid="{00000000-0005-0000-0000-0000B58D0000}"/>
    <cellStyle name="Comma 8 2 6 2" xfId="2364" xr:uid="{00000000-0005-0000-0000-0000B68D0000}"/>
    <cellStyle name="Comma 8 2 6 2 2" xfId="5468" xr:uid="{00000000-0005-0000-0000-0000B78D0000}"/>
    <cellStyle name="Comma 8 2 6 2 2 2" xfId="12740" xr:uid="{00000000-0005-0000-0000-0000B88D0000}"/>
    <cellStyle name="Comma 8 2 6 2 2 2 2" xfId="27274" xr:uid="{00000000-0005-0000-0000-0000B98D0000}"/>
    <cellStyle name="Comma 8 2 6 2 2 2 2 2" xfId="56280" xr:uid="{00000000-0005-0000-0000-0000BA8D0000}"/>
    <cellStyle name="Comma 8 2 6 2 2 2 3" xfId="41781" xr:uid="{00000000-0005-0000-0000-0000BB8D0000}"/>
    <cellStyle name="Comma 8 2 6 2 2 3" xfId="20026" xr:uid="{00000000-0005-0000-0000-0000BC8D0000}"/>
    <cellStyle name="Comma 8 2 6 2 2 3 2" xfId="49032" xr:uid="{00000000-0005-0000-0000-0000BD8D0000}"/>
    <cellStyle name="Comma 8 2 6 2 2 4" xfId="34533" xr:uid="{00000000-0005-0000-0000-0000BE8D0000}"/>
    <cellStyle name="Comma 8 2 6 2 3" xfId="9636" xr:uid="{00000000-0005-0000-0000-0000BF8D0000}"/>
    <cellStyle name="Comma 8 2 6 2 3 2" xfId="24170" xr:uid="{00000000-0005-0000-0000-0000C08D0000}"/>
    <cellStyle name="Comma 8 2 6 2 3 2 2" xfId="53176" xr:uid="{00000000-0005-0000-0000-0000C18D0000}"/>
    <cellStyle name="Comma 8 2 6 2 3 3" xfId="38677" xr:uid="{00000000-0005-0000-0000-0000C28D0000}"/>
    <cellStyle name="Comma 8 2 6 2 4" xfId="16922" xr:uid="{00000000-0005-0000-0000-0000C38D0000}"/>
    <cellStyle name="Comma 8 2 6 2 4 2" xfId="45928" xr:uid="{00000000-0005-0000-0000-0000C48D0000}"/>
    <cellStyle name="Comma 8 2 6 2 5" xfId="31429" xr:uid="{00000000-0005-0000-0000-0000C58D0000}"/>
    <cellStyle name="Comma 8 2 6 3" xfId="3396" xr:uid="{00000000-0005-0000-0000-0000C68D0000}"/>
    <cellStyle name="Comma 8 2 6 3 2" xfId="6500" xr:uid="{00000000-0005-0000-0000-0000C78D0000}"/>
    <cellStyle name="Comma 8 2 6 3 2 2" xfId="13772" xr:uid="{00000000-0005-0000-0000-0000C88D0000}"/>
    <cellStyle name="Comma 8 2 6 3 2 2 2" xfId="28306" xr:uid="{00000000-0005-0000-0000-0000C98D0000}"/>
    <cellStyle name="Comma 8 2 6 3 2 2 2 2" xfId="57312" xr:uid="{00000000-0005-0000-0000-0000CA8D0000}"/>
    <cellStyle name="Comma 8 2 6 3 2 2 3" xfId="42813" xr:uid="{00000000-0005-0000-0000-0000CB8D0000}"/>
    <cellStyle name="Comma 8 2 6 3 2 3" xfId="21058" xr:uid="{00000000-0005-0000-0000-0000CC8D0000}"/>
    <cellStyle name="Comma 8 2 6 3 2 3 2" xfId="50064" xr:uid="{00000000-0005-0000-0000-0000CD8D0000}"/>
    <cellStyle name="Comma 8 2 6 3 2 4" xfId="35565" xr:uid="{00000000-0005-0000-0000-0000CE8D0000}"/>
    <cellStyle name="Comma 8 2 6 3 3" xfId="10668" xr:uid="{00000000-0005-0000-0000-0000CF8D0000}"/>
    <cellStyle name="Comma 8 2 6 3 3 2" xfId="25202" xr:uid="{00000000-0005-0000-0000-0000D08D0000}"/>
    <cellStyle name="Comma 8 2 6 3 3 2 2" xfId="54208" xr:uid="{00000000-0005-0000-0000-0000D18D0000}"/>
    <cellStyle name="Comma 8 2 6 3 3 3" xfId="39709" xr:uid="{00000000-0005-0000-0000-0000D28D0000}"/>
    <cellStyle name="Comma 8 2 6 3 4" xfId="17954" xr:uid="{00000000-0005-0000-0000-0000D38D0000}"/>
    <cellStyle name="Comma 8 2 6 3 4 2" xfId="46960" xr:uid="{00000000-0005-0000-0000-0000D48D0000}"/>
    <cellStyle name="Comma 8 2 6 3 5" xfId="32461" xr:uid="{00000000-0005-0000-0000-0000D58D0000}"/>
    <cellStyle name="Comma 8 2 6 4" xfId="4428" xr:uid="{00000000-0005-0000-0000-0000D68D0000}"/>
    <cellStyle name="Comma 8 2 6 4 2" xfId="11700" xr:uid="{00000000-0005-0000-0000-0000D78D0000}"/>
    <cellStyle name="Comma 8 2 6 4 2 2" xfId="26234" xr:uid="{00000000-0005-0000-0000-0000D88D0000}"/>
    <cellStyle name="Comma 8 2 6 4 2 2 2" xfId="55240" xr:uid="{00000000-0005-0000-0000-0000D98D0000}"/>
    <cellStyle name="Comma 8 2 6 4 2 3" xfId="40741" xr:uid="{00000000-0005-0000-0000-0000DA8D0000}"/>
    <cellStyle name="Comma 8 2 6 4 3" xfId="18986" xr:uid="{00000000-0005-0000-0000-0000DB8D0000}"/>
    <cellStyle name="Comma 8 2 6 4 3 2" xfId="47992" xr:uid="{00000000-0005-0000-0000-0000DC8D0000}"/>
    <cellStyle name="Comma 8 2 6 4 4" xfId="33493" xr:uid="{00000000-0005-0000-0000-0000DD8D0000}"/>
    <cellStyle name="Comma 8 2 6 5" xfId="7532" xr:uid="{00000000-0005-0000-0000-0000DE8D0000}"/>
    <cellStyle name="Comma 8 2 6 5 2" xfId="14804" xr:uid="{00000000-0005-0000-0000-0000DF8D0000}"/>
    <cellStyle name="Comma 8 2 6 5 2 2" xfId="29338" xr:uid="{00000000-0005-0000-0000-0000E08D0000}"/>
    <cellStyle name="Comma 8 2 6 5 2 2 2" xfId="58344" xr:uid="{00000000-0005-0000-0000-0000E18D0000}"/>
    <cellStyle name="Comma 8 2 6 5 2 3" xfId="43845" xr:uid="{00000000-0005-0000-0000-0000E28D0000}"/>
    <cellStyle name="Comma 8 2 6 5 3" xfId="22090" xr:uid="{00000000-0005-0000-0000-0000E38D0000}"/>
    <cellStyle name="Comma 8 2 6 5 3 2" xfId="51096" xr:uid="{00000000-0005-0000-0000-0000E48D0000}"/>
    <cellStyle name="Comma 8 2 6 5 4" xfId="36597" xr:uid="{00000000-0005-0000-0000-0000E58D0000}"/>
    <cellStyle name="Comma 8 2 6 6" xfId="8596" xr:uid="{00000000-0005-0000-0000-0000E68D0000}"/>
    <cellStyle name="Comma 8 2 6 6 2" xfId="23130" xr:uid="{00000000-0005-0000-0000-0000E78D0000}"/>
    <cellStyle name="Comma 8 2 6 6 2 2" xfId="52136" xr:uid="{00000000-0005-0000-0000-0000E88D0000}"/>
    <cellStyle name="Comma 8 2 6 6 3" xfId="37637" xr:uid="{00000000-0005-0000-0000-0000E98D0000}"/>
    <cellStyle name="Comma 8 2 6 7" xfId="15882" xr:uid="{00000000-0005-0000-0000-0000EA8D0000}"/>
    <cellStyle name="Comma 8 2 6 7 2" xfId="44888" xr:uid="{00000000-0005-0000-0000-0000EB8D0000}"/>
    <cellStyle name="Comma 8 2 6 8" xfId="30389" xr:uid="{00000000-0005-0000-0000-0000EC8D0000}"/>
    <cellStyle name="Comma 8 2 7" xfId="1852" xr:uid="{00000000-0005-0000-0000-0000ED8D0000}"/>
    <cellStyle name="Comma 8 2 7 2" xfId="4956" xr:uid="{00000000-0005-0000-0000-0000EE8D0000}"/>
    <cellStyle name="Comma 8 2 7 2 2" xfId="12228" xr:uid="{00000000-0005-0000-0000-0000EF8D0000}"/>
    <cellStyle name="Comma 8 2 7 2 2 2" xfId="26762" xr:uid="{00000000-0005-0000-0000-0000F08D0000}"/>
    <cellStyle name="Comma 8 2 7 2 2 2 2" xfId="55768" xr:uid="{00000000-0005-0000-0000-0000F18D0000}"/>
    <cellStyle name="Comma 8 2 7 2 2 3" xfId="41269" xr:uid="{00000000-0005-0000-0000-0000F28D0000}"/>
    <cellStyle name="Comma 8 2 7 2 3" xfId="19514" xr:uid="{00000000-0005-0000-0000-0000F38D0000}"/>
    <cellStyle name="Comma 8 2 7 2 3 2" xfId="48520" xr:uid="{00000000-0005-0000-0000-0000F48D0000}"/>
    <cellStyle name="Comma 8 2 7 2 4" xfId="34021" xr:uid="{00000000-0005-0000-0000-0000F58D0000}"/>
    <cellStyle name="Comma 8 2 7 3" xfId="9124" xr:uid="{00000000-0005-0000-0000-0000F68D0000}"/>
    <cellStyle name="Comma 8 2 7 3 2" xfId="23658" xr:uid="{00000000-0005-0000-0000-0000F78D0000}"/>
    <cellStyle name="Comma 8 2 7 3 2 2" xfId="52664" xr:uid="{00000000-0005-0000-0000-0000F88D0000}"/>
    <cellStyle name="Comma 8 2 7 3 3" xfId="38165" xr:uid="{00000000-0005-0000-0000-0000F98D0000}"/>
    <cellStyle name="Comma 8 2 7 4" xfId="16410" xr:uid="{00000000-0005-0000-0000-0000FA8D0000}"/>
    <cellStyle name="Comma 8 2 7 4 2" xfId="45416" xr:uid="{00000000-0005-0000-0000-0000FB8D0000}"/>
    <cellStyle name="Comma 8 2 7 5" xfId="30917" xr:uid="{00000000-0005-0000-0000-0000FC8D0000}"/>
    <cellStyle name="Comma 8 2 8" xfId="2884" xr:uid="{00000000-0005-0000-0000-0000FD8D0000}"/>
    <cellStyle name="Comma 8 2 8 2" xfId="5988" xr:uid="{00000000-0005-0000-0000-0000FE8D0000}"/>
    <cellStyle name="Comma 8 2 8 2 2" xfId="13260" xr:uid="{00000000-0005-0000-0000-0000FF8D0000}"/>
    <cellStyle name="Comma 8 2 8 2 2 2" xfId="27794" xr:uid="{00000000-0005-0000-0000-0000008E0000}"/>
    <cellStyle name="Comma 8 2 8 2 2 2 2" xfId="56800" xr:uid="{00000000-0005-0000-0000-0000018E0000}"/>
    <cellStyle name="Comma 8 2 8 2 2 3" xfId="42301" xr:uid="{00000000-0005-0000-0000-0000028E0000}"/>
    <cellStyle name="Comma 8 2 8 2 3" xfId="20546" xr:uid="{00000000-0005-0000-0000-0000038E0000}"/>
    <cellStyle name="Comma 8 2 8 2 3 2" xfId="49552" xr:uid="{00000000-0005-0000-0000-0000048E0000}"/>
    <cellStyle name="Comma 8 2 8 2 4" xfId="35053" xr:uid="{00000000-0005-0000-0000-0000058E0000}"/>
    <cellStyle name="Comma 8 2 8 3" xfId="10156" xr:uid="{00000000-0005-0000-0000-0000068E0000}"/>
    <cellStyle name="Comma 8 2 8 3 2" xfId="24690" xr:uid="{00000000-0005-0000-0000-0000078E0000}"/>
    <cellStyle name="Comma 8 2 8 3 2 2" xfId="53696" xr:uid="{00000000-0005-0000-0000-0000088E0000}"/>
    <cellStyle name="Comma 8 2 8 3 3" xfId="39197" xr:uid="{00000000-0005-0000-0000-0000098E0000}"/>
    <cellStyle name="Comma 8 2 8 4" xfId="17442" xr:uid="{00000000-0005-0000-0000-00000A8E0000}"/>
    <cellStyle name="Comma 8 2 8 4 2" xfId="46448" xr:uid="{00000000-0005-0000-0000-00000B8E0000}"/>
    <cellStyle name="Comma 8 2 8 5" xfId="31949" xr:uid="{00000000-0005-0000-0000-00000C8E0000}"/>
    <cellStyle name="Comma 8 2 9" xfId="3916" xr:uid="{00000000-0005-0000-0000-00000D8E0000}"/>
    <cellStyle name="Comma 8 2 9 2" xfId="11188" xr:uid="{00000000-0005-0000-0000-00000E8E0000}"/>
    <cellStyle name="Comma 8 2 9 2 2" xfId="25722" xr:uid="{00000000-0005-0000-0000-00000F8E0000}"/>
    <cellStyle name="Comma 8 2 9 2 2 2" xfId="54728" xr:uid="{00000000-0005-0000-0000-0000108E0000}"/>
    <cellStyle name="Comma 8 2 9 2 3" xfId="40229" xr:uid="{00000000-0005-0000-0000-0000118E0000}"/>
    <cellStyle name="Comma 8 2 9 3" xfId="18474" xr:uid="{00000000-0005-0000-0000-0000128E0000}"/>
    <cellStyle name="Comma 8 2 9 3 2" xfId="47480" xr:uid="{00000000-0005-0000-0000-0000138E0000}"/>
    <cellStyle name="Comma 8 2 9 4" xfId="32981" xr:uid="{00000000-0005-0000-0000-0000148E0000}"/>
    <cellStyle name="Comma 8 3" xfId="211" xr:uid="{00000000-0005-0000-0000-0000158E0000}"/>
    <cellStyle name="Comma 8 3 10" xfId="8112" xr:uid="{00000000-0005-0000-0000-0000168E0000}"/>
    <cellStyle name="Comma 8 3 10 2" xfId="22646" xr:uid="{00000000-0005-0000-0000-0000178E0000}"/>
    <cellStyle name="Comma 8 3 10 2 2" xfId="51652" xr:uid="{00000000-0005-0000-0000-0000188E0000}"/>
    <cellStyle name="Comma 8 3 10 3" xfId="37153" xr:uid="{00000000-0005-0000-0000-0000198E0000}"/>
    <cellStyle name="Comma 8 3 11" xfId="15398" xr:uid="{00000000-0005-0000-0000-00001A8E0000}"/>
    <cellStyle name="Comma 8 3 11 2" xfId="44404" xr:uid="{00000000-0005-0000-0000-00001B8E0000}"/>
    <cellStyle name="Comma 8 3 12" xfId="879" xr:uid="{00000000-0005-0000-0000-00001C8E0000}"/>
    <cellStyle name="Comma 8 3 12 2" xfId="29905" xr:uid="{00000000-0005-0000-0000-00001D8E0000}"/>
    <cellStyle name="Comma 8 3 13" xfId="58907" xr:uid="{00000000-0005-0000-0000-00001E8E0000}"/>
    <cellStyle name="Comma 8 3 14" xfId="688" xr:uid="{00000000-0005-0000-0000-00001F8E0000}"/>
    <cellStyle name="Comma 8 3 15" xfId="59035" xr:uid="{00000000-0005-0000-0000-0000208E0000}"/>
    <cellStyle name="Comma 8 3 16" xfId="59309" xr:uid="{00000000-0005-0000-0000-0000218E0000}"/>
    <cellStyle name="Comma 8 3 2" xfId="959" xr:uid="{00000000-0005-0000-0000-0000228E0000}"/>
    <cellStyle name="Comma 8 3 2 10" xfId="30008" xr:uid="{00000000-0005-0000-0000-0000238E0000}"/>
    <cellStyle name="Comma 8 3 2 11" xfId="59589" xr:uid="{00000000-0005-0000-0000-0000248E0000}"/>
    <cellStyle name="Comma 8 3 2 2" xfId="1236" xr:uid="{00000000-0005-0000-0000-0000258E0000}"/>
    <cellStyle name="Comma 8 3 2 2 2" xfId="1742" xr:uid="{00000000-0005-0000-0000-0000268E0000}"/>
    <cellStyle name="Comma 8 3 2 2 2 2" xfId="2801" xr:uid="{00000000-0005-0000-0000-0000278E0000}"/>
    <cellStyle name="Comma 8 3 2 2 2 2 2" xfId="5905" xr:uid="{00000000-0005-0000-0000-0000288E0000}"/>
    <cellStyle name="Comma 8 3 2 2 2 2 2 2" xfId="13177" xr:uid="{00000000-0005-0000-0000-0000298E0000}"/>
    <cellStyle name="Comma 8 3 2 2 2 2 2 2 2" xfId="27711" xr:uid="{00000000-0005-0000-0000-00002A8E0000}"/>
    <cellStyle name="Comma 8 3 2 2 2 2 2 2 2 2" xfId="56717" xr:uid="{00000000-0005-0000-0000-00002B8E0000}"/>
    <cellStyle name="Comma 8 3 2 2 2 2 2 2 3" xfId="42218" xr:uid="{00000000-0005-0000-0000-00002C8E0000}"/>
    <cellStyle name="Comma 8 3 2 2 2 2 2 3" xfId="20463" xr:uid="{00000000-0005-0000-0000-00002D8E0000}"/>
    <cellStyle name="Comma 8 3 2 2 2 2 2 3 2" xfId="49469" xr:uid="{00000000-0005-0000-0000-00002E8E0000}"/>
    <cellStyle name="Comma 8 3 2 2 2 2 2 4" xfId="34970" xr:uid="{00000000-0005-0000-0000-00002F8E0000}"/>
    <cellStyle name="Comma 8 3 2 2 2 2 3" xfId="10073" xr:uid="{00000000-0005-0000-0000-0000308E0000}"/>
    <cellStyle name="Comma 8 3 2 2 2 2 3 2" xfId="24607" xr:uid="{00000000-0005-0000-0000-0000318E0000}"/>
    <cellStyle name="Comma 8 3 2 2 2 2 3 2 2" xfId="53613" xr:uid="{00000000-0005-0000-0000-0000328E0000}"/>
    <cellStyle name="Comma 8 3 2 2 2 2 3 3" xfId="39114" xr:uid="{00000000-0005-0000-0000-0000338E0000}"/>
    <cellStyle name="Comma 8 3 2 2 2 2 4" xfId="17359" xr:uid="{00000000-0005-0000-0000-0000348E0000}"/>
    <cellStyle name="Comma 8 3 2 2 2 2 4 2" xfId="46365" xr:uid="{00000000-0005-0000-0000-0000358E0000}"/>
    <cellStyle name="Comma 8 3 2 2 2 2 5" xfId="31866" xr:uid="{00000000-0005-0000-0000-0000368E0000}"/>
    <cellStyle name="Comma 8 3 2 2 2 3" xfId="3833" xr:uid="{00000000-0005-0000-0000-0000378E0000}"/>
    <cellStyle name="Comma 8 3 2 2 2 3 2" xfId="6937" xr:uid="{00000000-0005-0000-0000-0000388E0000}"/>
    <cellStyle name="Comma 8 3 2 2 2 3 2 2" xfId="14209" xr:uid="{00000000-0005-0000-0000-0000398E0000}"/>
    <cellStyle name="Comma 8 3 2 2 2 3 2 2 2" xfId="28743" xr:uid="{00000000-0005-0000-0000-00003A8E0000}"/>
    <cellStyle name="Comma 8 3 2 2 2 3 2 2 2 2" xfId="57749" xr:uid="{00000000-0005-0000-0000-00003B8E0000}"/>
    <cellStyle name="Comma 8 3 2 2 2 3 2 2 3" xfId="43250" xr:uid="{00000000-0005-0000-0000-00003C8E0000}"/>
    <cellStyle name="Comma 8 3 2 2 2 3 2 3" xfId="21495" xr:uid="{00000000-0005-0000-0000-00003D8E0000}"/>
    <cellStyle name="Comma 8 3 2 2 2 3 2 3 2" xfId="50501" xr:uid="{00000000-0005-0000-0000-00003E8E0000}"/>
    <cellStyle name="Comma 8 3 2 2 2 3 2 4" xfId="36002" xr:uid="{00000000-0005-0000-0000-00003F8E0000}"/>
    <cellStyle name="Comma 8 3 2 2 2 3 3" xfId="11105" xr:uid="{00000000-0005-0000-0000-0000408E0000}"/>
    <cellStyle name="Comma 8 3 2 2 2 3 3 2" xfId="25639" xr:uid="{00000000-0005-0000-0000-0000418E0000}"/>
    <cellStyle name="Comma 8 3 2 2 2 3 3 2 2" xfId="54645" xr:uid="{00000000-0005-0000-0000-0000428E0000}"/>
    <cellStyle name="Comma 8 3 2 2 2 3 3 3" xfId="40146" xr:uid="{00000000-0005-0000-0000-0000438E0000}"/>
    <cellStyle name="Comma 8 3 2 2 2 3 4" xfId="18391" xr:uid="{00000000-0005-0000-0000-0000448E0000}"/>
    <cellStyle name="Comma 8 3 2 2 2 3 4 2" xfId="47397" xr:uid="{00000000-0005-0000-0000-0000458E0000}"/>
    <cellStyle name="Comma 8 3 2 2 2 3 5" xfId="32898" xr:uid="{00000000-0005-0000-0000-0000468E0000}"/>
    <cellStyle name="Comma 8 3 2 2 2 4" xfId="4865" xr:uid="{00000000-0005-0000-0000-0000478E0000}"/>
    <cellStyle name="Comma 8 3 2 2 2 4 2" xfId="12137" xr:uid="{00000000-0005-0000-0000-0000488E0000}"/>
    <cellStyle name="Comma 8 3 2 2 2 4 2 2" xfId="26671" xr:uid="{00000000-0005-0000-0000-0000498E0000}"/>
    <cellStyle name="Comma 8 3 2 2 2 4 2 2 2" xfId="55677" xr:uid="{00000000-0005-0000-0000-00004A8E0000}"/>
    <cellStyle name="Comma 8 3 2 2 2 4 2 3" xfId="41178" xr:uid="{00000000-0005-0000-0000-00004B8E0000}"/>
    <cellStyle name="Comma 8 3 2 2 2 4 3" xfId="19423" xr:uid="{00000000-0005-0000-0000-00004C8E0000}"/>
    <cellStyle name="Comma 8 3 2 2 2 4 3 2" xfId="48429" xr:uid="{00000000-0005-0000-0000-00004D8E0000}"/>
    <cellStyle name="Comma 8 3 2 2 2 4 4" xfId="33930" xr:uid="{00000000-0005-0000-0000-00004E8E0000}"/>
    <cellStyle name="Comma 8 3 2 2 2 5" xfId="7969" xr:uid="{00000000-0005-0000-0000-00004F8E0000}"/>
    <cellStyle name="Comma 8 3 2 2 2 5 2" xfId="15241" xr:uid="{00000000-0005-0000-0000-0000508E0000}"/>
    <cellStyle name="Comma 8 3 2 2 2 5 2 2" xfId="29775" xr:uid="{00000000-0005-0000-0000-0000518E0000}"/>
    <cellStyle name="Comma 8 3 2 2 2 5 2 2 2" xfId="58781" xr:uid="{00000000-0005-0000-0000-0000528E0000}"/>
    <cellStyle name="Comma 8 3 2 2 2 5 2 3" xfId="44282" xr:uid="{00000000-0005-0000-0000-0000538E0000}"/>
    <cellStyle name="Comma 8 3 2 2 2 5 3" xfId="22527" xr:uid="{00000000-0005-0000-0000-0000548E0000}"/>
    <cellStyle name="Comma 8 3 2 2 2 5 3 2" xfId="51533" xr:uid="{00000000-0005-0000-0000-0000558E0000}"/>
    <cellStyle name="Comma 8 3 2 2 2 5 4" xfId="37034" xr:uid="{00000000-0005-0000-0000-0000568E0000}"/>
    <cellStyle name="Comma 8 3 2 2 2 6" xfId="9033" xr:uid="{00000000-0005-0000-0000-0000578E0000}"/>
    <cellStyle name="Comma 8 3 2 2 2 6 2" xfId="23567" xr:uid="{00000000-0005-0000-0000-0000588E0000}"/>
    <cellStyle name="Comma 8 3 2 2 2 6 2 2" xfId="52573" xr:uid="{00000000-0005-0000-0000-0000598E0000}"/>
    <cellStyle name="Comma 8 3 2 2 2 6 3" xfId="38074" xr:uid="{00000000-0005-0000-0000-00005A8E0000}"/>
    <cellStyle name="Comma 8 3 2 2 2 7" xfId="16319" xr:uid="{00000000-0005-0000-0000-00005B8E0000}"/>
    <cellStyle name="Comma 8 3 2 2 2 7 2" xfId="45325" xr:uid="{00000000-0005-0000-0000-00005C8E0000}"/>
    <cellStyle name="Comma 8 3 2 2 2 8" xfId="30826" xr:uid="{00000000-0005-0000-0000-00005D8E0000}"/>
    <cellStyle name="Comma 8 3 2 2 3" xfId="2289" xr:uid="{00000000-0005-0000-0000-00005E8E0000}"/>
    <cellStyle name="Comma 8 3 2 2 3 2" xfId="5393" xr:uid="{00000000-0005-0000-0000-00005F8E0000}"/>
    <cellStyle name="Comma 8 3 2 2 3 2 2" xfId="12665" xr:uid="{00000000-0005-0000-0000-0000608E0000}"/>
    <cellStyle name="Comma 8 3 2 2 3 2 2 2" xfId="27199" xr:uid="{00000000-0005-0000-0000-0000618E0000}"/>
    <cellStyle name="Comma 8 3 2 2 3 2 2 2 2" xfId="56205" xr:uid="{00000000-0005-0000-0000-0000628E0000}"/>
    <cellStyle name="Comma 8 3 2 2 3 2 2 3" xfId="41706" xr:uid="{00000000-0005-0000-0000-0000638E0000}"/>
    <cellStyle name="Comma 8 3 2 2 3 2 3" xfId="19951" xr:uid="{00000000-0005-0000-0000-0000648E0000}"/>
    <cellStyle name="Comma 8 3 2 2 3 2 3 2" xfId="48957" xr:uid="{00000000-0005-0000-0000-0000658E0000}"/>
    <cellStyle name="Comma 8 3 2 2 3 2 4" xfId="34458" xr:uid="{00000000-0005-0000-0000-0000668E0000}"/>
    <cellStyle name="Comma 8 3 2 2 3 3" xfId="9561" xr:uid="{00000000-0005-0000-0000-0000678E0000}"/>
    <cellStyle name="Comma 8 3 2 2 3 3 2" xfId="24095" xr:uid="{00000000-0005-0000-0000-0000688E0000}"/>
    <cellStyle name="Comma 8 3 2 2 3 3 2 2" xfId="53101" xr:uid="{00000000-0005-0000-0000-0000698E0000}"/>
    <cellStyle name="Comma 8 3 2 2 3 3 3" xfId="38602" xr:uid="{00000000-0005-0000-0000-00006A8E0000}"/>
    <cellStyle name="Comma 8 3 2 2 3 4" xfId="16847" xr:uid="{00000000-0005-0000-0000-00006B8E0000}"/>
    <cellStyle name="Comma 8 3 2 2 3 4 2" xfId="45853" xr:uid="{00000000-0005-0000-0000-00006C8E0000}"/>
    <cellStyle name="Comma 8 3 2 2 3 5" xfId="31354" xr:uid="{00000000-0005-0000-0000-00006D8E0000}"/>
    <cellStyle name="Comma 8 3 2 2 4" xfId="3321" xr:uid="{00000000-0005-0000-0000-00006E8E0000}"/>
    <cellStyle name="Comma 8 3 2 2 4 2" xfId="6425" xr:uid="{00000000-0005-0000-0000-00006F8E0000}"/>
    <cellStyle name="Comma 8 3 2 2 4 2 2" xfId="13697" xr:uid="{00000000-0005-0000-0000-0000708E0000}"/>
    <cellStyle name="Comma 8 3 2 2 4 2 2 2" xfId="28231" xr:uid="{00000000-0005-0000-0000-0000718E0000}"/>
    <cellStyle name="Comma 8 3 2 2 4 2 2 2 2" xfId="57237" xr:uid="{00000000-0005-0000-0000-0000728E0000}"/>
    <cellStyle name="Comma 8 3 2 2 4 2 2 3" xfId="42738" xr:uid="{00000000-0005-0000-0000-0000738E0000}"/>
    <cellStyle name="Comma 8 3 2 2 4 2 3" xfId="20983" xr:uid="{00000000-0005-0000-0000-0000748E0000}"/>
    <cellStyle name="Comma 8 3 2 2 4 2 3 2" xfId="49989" xr:uid="{00000000-0005-0000-0000-0000758E0000}"/>
    <cellStyle name="Comma 8 3 2 2 4 2 4" xfId="35490" xr:uid="{00000000-0005-0000-0000-0000768E0000}"/>
    <cellStyle name="Comma 8 3 2 2 4 3" xfId="10593" xr:uid="{00000000-0005-0000-0000-0000778E0000}"/>
    <cellStyle name="Comma 8 3 2 2 4 3 2" xfId="25127" xr:uid="{00000000-0005-0000-0000-0000788E0000}"/>
    <cellStyle name="Comma 8 3 2 2 4 3 2 2" xfId="54133" xr:uid="{00000000-0005-0000-0000-0000798E0000}"/>
    <cellStyle name="Comma 8 3 2 2 4 3 3" xfId="39634" xr:uid="{00000000-0005-0000-0000-00007A8E0000}"/>
    <cellStyle name="Comma 8 3 2 2 4 4" xfId="17879" xr:uid="{00000000-0005-0000-0000-00007B8E0000}"/>
    <cellStyle name="Comma 8 3 2 2 4 4 2" xfId="46885" xr:uid="{00000000-0005-0000-0000-00007C8E0000}"/>
    <cellStyle name="Comma 8 3 2 2 4 5" xfId="32386" xr:uid="{00000000-0005-0000-0000-00007D8E0000}"/>
    <cellStyle name="Comma 8 3 2 2 5" xfId="4353" xr:uid="{00000000-0005-0000-0000-00007E8E0000}"/>
    <cellStyle name="Comma 8 3 2 2 5 2" xfId="11625" xr:uid="{00000000-0005-0000-0000-00007F8E0000}"/>
    <cellStyle name="Comma 8 3 2 2 5 2 2" xfId="26159" xr:uid="{00000000-0005-0000-0000-0000808E0000}"/>
    <cellStyle name="Comma 8 3 2 2 5 2 2 2" xfId="55165" xr:uid="{00000000-0005-0000-0000-0000818E0000}"/>
    <cellStyle name="Comma 8 3 2 2 5 2 3" xfId="40666" xr:uid="{00000000-0005-0000-0000-0000828E0000}"/>
    <cellStyle name="Comma 8 3 2 2 5 3" xfId="18911" xr:uid="{00000000-0005-0000-0000-0000838E0000}"/>
    <cellStyle name="Comma 8 3 2 2 5 3 2" xfId="47917" xr:uid="{00000000-0005-0000-0000-0000848E0000}"/>
    <cellStyle name="Comma 8 3 2 2 5 4" xfId="33418" xr:uid="{00000000-0005-0000-0000-0000858E0000}"/>
    <cellStyle name="Comma 8 3 2 2 6" xfId="7457" xr:uid="{00000000-0005-0000-0000-0000868E0000}"/>
    <cellStyle name="Comma 8 3 2 2 6 2" xfId="14729" xr:uid="{00000000-0005-0000-0000-0000878E0000}"/>
    <cellStyle name="Comma 8 3 2 2 6 2 2" xfId="29263" xr:uid="{00000000-0005-0000-0000-0000888E0000}"/>
    <cellStyle name="Comma 8 3 2 2 6 2 2 2" xfId="58269" xr:uid="{00000000-0005-0000-0000-0000898E0000}"/>
    <cellStyle name="Comma 8 3 2 2 6 2 3" xfId="43770" xr:uid="{00000000-0005-0000-0000-00008A8E0000}"/>
    <cellStyle name="Comma 8 3 2 2 6 3" xfId="22015" xr:uid="{00000000-0005-0000-0000-00008B8E0000}"/>
    <cellStyle name="Comma 8 3 2 2 6 3 2" xfId="51021" xr:uid="{00000000-0005-0000-0000-00008C8E0000}"/>
    <cellStyle name="Comma 8 3 2 2 6 4" xfId="36522" xr:uid="{00000000-0005-0000-0000-00008D8E0000}"/>
    <cellStyle name="Comma 8 3 2 2 7" xfId="8521" xr:uid="{00000000-0005-0000-0000-00008E8E0000}"/>
    <cellStyle name="Comma 8 3 2 2 7 2" xfId="23055" xr:uid="{00000000-0005-0000-0000-00008F8E0000}"/>
    <cellStyle name="Comma 8 3 2 2 7 2 2" xfId="52061" xr:uid="{00000000-0005-0000-0000-0000908E0000}"/>
    <cellStyle name="Comma 8 3 2 2 7 3" xfId="37562" xr:uid="{00000000-0005-0000-0000-0000918E0000}"/>
    <cellStyle name="Comma 8 3 2 2 8" xfId="15807" xr:uid="{00000000-0005-0000-0000-0000928E0000}"/>
    <cellStyle name="Comma 8 3 2 2 8 2" xfId="44813" xr:uid="{00000000-0005-0000-0000-0000938E0000}"/>
    <cellStyle name="Comma 8 3 2 2 9" xfId="30314" xr:uid="{00000000-0005-0000-0000-0000948E0000}"/>
    <cellStyle name="Comma 8 3 2 3" xfId="1437" xr:uid="{00000000-0005-0000-0000-0000958E0000}"/>
    <cellStyle name="Comma 8 3 2 3 2" xfId="2495" xr:uid="{00000000-0005-0000-0000-0000968E0000}"/>
    <cellStyle name="Comma 8 3 2 3 2 2" xfId="5599" xr:uid="{00000000-0005-0000-0000-0000978E0000}"/>
    <cellStyle name="Comma 8 3 2 3 2 2 2" xfId="12871" xr:uid="{00000000-0005-0000-0000-0000988E0000}"/>
    <cellStyle name="Comma 8 3 2 3 2 2 2 2" xfId="27405" xr:uid="{00000000-0005-0000-0000-0000998E0000}"/>
    <cellStyle name="Comma 8 3 2 3 2 2 2 2 2" xfId="56411" xr:uid="{00000000-0005-0000-0000-00009A8E0000}"/>
    <cellStyle name="Comma 8 3 2 3 2 2 2 3" xfId="41912" xr:uid="{00000000-0005-0000-0000-00009B8E0000}"/>
    <cellStyle name="Comma 8 3 2 3 2 2 3" xfId="20157" xr:uid="{00000000-0005-0000-0000-00009C8E0000}"/>
    <cellStyle name="Comma 8 3 2 3 2 2 3 2" xfId="49163" xr:uid="{00000000-0005-0000-0000-00009D8E0000}"/>
    <cellStyle name="Comma 8 3 2 3 2 2 4" xfId="34664" xr:uid="{00000000-0005-0000-0000-00009E8E0000}"/>
    <cellStyle name="Comma 8 3 2 3 2 3" xfId="9767" xr:uid="{00000000-0005-0000-0000-00009F8E0000}"/>
    <cellStyle name="Comma 8 3 2 3 2 3 2" xfId="24301" xr:uid="{00000000-0005-0000-0000-0000A08E0000}"/>
    <cellStyle name="Comma 8 3 2 3 2 3 2 2" xfId="53307" xr:uid="{00000000-0005-0000-0000-0000A18E0000}"/>
    <cellStyle name="Comma 8 3 2 3 2 3 3" xfId="38808" xr:uid="{00000000-0005-0000-0000-0000A28E0000}"/>
    <cellStyle name="Comma 8 3 2 3 2 4" xfId="17053" xr:uid="{00000000-0005-0000-0000-0000A38E0000}"/>
    <cellStyle name="Comma 8 3 2 3 2 4 2" xfId="46059" xr:uid="{00000000-0005-0000-0000-0000A48E0000}"/>
    <cellStyle name="Comma 8 3 2 3 2 5" xfId="31560" xr:uid="{00000000-0005-0000-0000-0000A58E0000}"/>
    <cellStyle name="Comma 8 3 2 3 3" xfId="3527" xr:uid="{00000000-0005-0000-0000-0000A68E0000}"/>
    <cellStyle name="Comma 8 3 2 3 3 2" xfId="6631" xr:uid="{00000000-0005-0000-0000-0000A78E0000}"/>
    <cellStyle name="Comma 8 3 2 3 3 2 2" xfId="13903" xr:uid="{00000000-0005-0000-0000-0000A88E0000}"/>
    <cellStyle name="Comma 8 3 2 3 3 2 2 2" xfId="28437" xr:uid="{00000000-0005-0000-0000-0000A98E0000}"/>
    <cellStyle name="Comma 8 3 2 3 3 2 2 2 2" xfId="57443" xr:uid="{00000000-0005-0000-0000-0000AA8E0000}"/>
    <cellStyle name="Comma 8 3 2 3 3 2 2 3" xfId="42944" xr:uid="{00000000-0005-0000-0000-0000AB8E0000}"/>
    <cellStyle name="Comma 8 3 2 3 3 2 3" xfId="21189" xr:uid="{00000000-0005-0000-0000-0000AC8E0000}"/>
    <cellStyle name="Comma 8 3 2 3 3 2 3 2" xfId="50195" xr:uid="{00000000-0005-0000-0000-0000AD8E0000}"/>
    <cellStyle name="Comma 8 3 2 3 3 2 4" xfId="35696" xr:uid="{00000000-0005-0000-0000-0000AE8E0000}"/>
    <cellStyle name="Comma 8 3 2 3 3 3" xfId="10799" xr:uid="{00000000-0005-0000-0000-0000AF8E0000}"/>
    <cellStyle name="Comma 8 3 2 3 3 3 2" xfId="25333" xr:uid="{00000000-0005-0000-0000-0000B08E0000}"/>
    <cellStyle name="Comma 8 3 2 3 3 3 2 2" xfId="54339" xr:uid="{00000000-0005-0000-0000-0000B18E0000}"/>
    <cellStyle name="Comma 8 3 2 3 3 3 3" xfId="39840" xr:uid="{00000000-0005-0000-0000-0000B28E0000}"/>
    <cellStyle name="Comma 8 3 2 3 3 4" xfId="18085" xr:uid="{00000000-0005-0000-0000-0000B38E0000}"/>
    <cellStyle name="Comma 8 3 2 3 3 4 2" xfId="47091" xr:uid="{00000000-0005-0000-0000-0000B48E0000}"/>
    <cellStyle name="Comma 8 3 2 3 3 5" xfId="32592" xr:uid="{00000000-0005-0000-0000-0000B58E0000}"/>
    <cellStyle name="Comma 8 3 2 3 4" xfId="4559" xr:uid="{00000000-0005-0000-0000-0000B68E0000}"/>
    <cellStyle name="Comma 8 3 2 3 4 2" xfId="11831" xr:uid="{00000000-0005-0000-0000-0000B78E0000}"/>
    <cellStyle name="Comma 8 3 2 3 4 2 2" xfId="26365" xr:uid="{00000000-0005-0000-0000-0000B88E0000}"/>
    <cellStyle name="Comma 8 3 2 3 4 2 2 2" xfId="55371" xr:uid="{00000000-0005-0000-0000-0000B98E0000}"/>
    <cellStyle name="Comma 8 3 2 3 4 2 3" xfId="40872" xr:uid="{00000000-0005-0000-0000-0000BA8E0000}"/>
    <cellStyle name="Comma 8 3 2 3 4 3" xfId="19117" xr:uid="{00000000-0005-0000-0000-0000BB8E0000}"/>
    <cellStyle name="Comma 8 3 2 3 4 3 2" xfId="48123" xr:uid="{00000000-0005-0000-0000-0000BC8E0000}"/>
    <cellStyle name="Comma 8 3 2 3 4 4" xfId="33624" xr:uid="{00000000-0005-0000-0000-0000BD8E0000}"/>
    <cellStyle name="Comma 8 3 2 3 5" xfId="7663" xr:uid="{00000000-0005-0000-0000-0000BE8E0000}"/>
    <cellStyle name="Comma 8 3 2 3 5 2" xfId="14935" xr:uid="{00000000-0005-0000-0000-0000BF8E0000}"/>
    <cellStyle name="Comma 8 3 2 3 5 2 2" xfId="29469" xr:uid="{00000000-0005-0000-0000-0000C08E0000}"/>
    <cellStyle name="Comma 8 3 2 3 5 2 2 2" xfId="58475" xr:uid="{00000000-0005-0000-0000-0000C18E0000}"/>
    <cellStyle name="Comma 8 3 2 3 5 2 3" xfId="43976" xr:uid="{00000000-0005-0000-0000-0000C28E0000}"/>
    <cellStyle name="Comma 8 3 2 3 5 3" xfId="22221" xr:uid="{00000000-0005-0000-0000-0000C38E0000}"/>
    <cellStyle name="Comma 8 3 2 3 5 3 2" xfId="51227" xr:uid="{00000000-0005-0000-0000-0000C48E0000}"/>
    <cellStyle name="Comma 8 3 2 3 5 4" xfId="36728" xr:uid="{00000000-0005-0000-0000-0000C58E0000}"/>
    <cellStyle name="Comma 8 3 2 3 6" xfId="8727" xr:uid="{00000000-0005-0000-0000-0000C68E0000}"/>
    <cellStyle name="Comma 8 3 2 3 6 2" xfId="23261" xr:uid="{00000000-0005-0000-0000-0000C78E0000}"/>
    <cellStyle name="Comma 8 3 2 3 6 2 2" xfId="52267" xr:uid="{00000000-0005-0000-0000-0000C88E0000}"/>
    <cellStyle name="Comma 8 3 2 3 6 3" xfId="37768" xr:uid="{00000000-0005-0000-0000-0000C98E0000}"/>
    <cellStyle name="Comma 8 3 2 3 7" xfId="16013" xr:uid="{00000000-0005-0000-0000-0000CA8E0000}"/>
    <cellStyle name="Comma 8 3 2 3 7 2" xfId="45019" xr:uid="{00000000-0005-0000-0000-0000CB8E0000}"/>
    <cellStyle name="Comma 8 3 2 3 8" xfId="30520" xr:uid="{00000000-0005-0000-0000-0000CC8E0000}"/>
    <cellStyle name="Comma 8 3 2 4" xfId="1983" xr:uid="{00000000-0005-0000-0000-0000CD8E0000}"/>
    <cellStyle name="Comma 8 3 2 4 2" xfId="5087" xr:uid="{00000000-0005-0000-0000-0000CE8E0000}"/>
    <cellStyle name="Comma 8 3 2 4 2 2" xfId="12359" xr:uid="{00000000-0005-0000-0000-0000CF8E0000}"/>
    <cellStyle name="Comma 8 3 2 4 2 2 2" xfId="26893" xr:uid="{00000000-0005-0000-0000-0000D08E0000}"/>
    <cellStyle name="Comma 8 3 2 4 2 2 2 2" xfId="55899" xr:uid="{00000000-0005-0000-0000-0000D18E0000}"/>
    <cellStyle name="Comma 8 3 2 4 2 2 3" xfId="41400" xr:uid="{00000000-0005-0000-0000-0000D28E0000}"/>
    <cellStyle name="Comma 8 3 2 4 2 3" xfId="19645" xr:uid="{00000000-0005-0000-0000-0000D38E0000}"/>
    <cellStyle name="Comma 8 3 2 4 2 3 2" xfId="48651" xr:uid="{00000000-0005-0000-0000-0000D48E0000}"/>
    <cellStyle name="Comma 8 3 2 4 2 4" xfId="34152" xr:uid="{00000000-0005-0000-0000-0000D58E0000}"/>
    <cellStyle name="Comma 8 3 2 4 3" xfId="9255" xr:uid="{00000000-0005-0000-0000-0000D68E0000}"/>
    <cellStyle name="Comma 8 3 2 4 3 2" xfId="23789" xr:uid="{00000000-0005-0000-0000-0000D78E0000}"/>
    <cellStyle name="Comma 8 3 2 4 3 2 2" xfId="52795" xr:uid="{00000000-0005-0000-0000-0000D88E0000}"/>
    <cellStyle name="Comma 8 3 2 4 3 3" xfId="38296" xr:uid="{00000000-0005-0000-0000-0000D98E0000}"/>
    <cellStyle name="Comma 8 3 2 4 4" xfId="16541" xr:uid="{00000000-0005-0000-0000-0000DA8E0000}"/>
    <cellStyle name="Comma 8 3 2 4 4 2" xfId="45547" xr:uid="{00000000-0005-0000-0000-0000DB8E0000}"/>
    <cellStyle name="Comma 8 3 2 4 5" xfId="31048" xr:uid="{00000000-0005-0000-0000-0000DC8E0000}"/>
    <cellStyle name="Comma 8 3 2 5" xfId="3015" xr:uid="{00000000-0005-0000-0000-0000DD8E0000}"/>
    <cellStyle name="Comma 8 3 2 5 2" xfId="6119" xr:uid="{00000000-0005-0000-0000-0000DE8E0000}"/>
    <cellStyle name="Comma 8 3 2 5 2 2" xfId="13391" xr:uid="{00000000-0005-0000-0000-0000DF8E0000}"/>
    <cellStyle name="Comma 8 3 2 5 2 2 2" xfId="27925" xr:uid="{00000000-0005-0000-0000-0000E08E0000}"/>
    <cellStyle name="Comma 8 3 2 5 2 2 2 2" xfId="56931" xr:uid="{00000000-0005-0000-0000-0000E18E0000}"/>
    <cellStyle name="Comma 8 3 2 5 2 2 3" xfId="42432" xr:uid="{00000000-0005-0000-0000-0000E28E0000}"/>
    <cellStyle name="Comma 8 3 2 5 2 3" xfId="20677" xr:uid="{00000000-0005-0000-0000-0000E38E0000}"/>
    <cellStyle name="Comma 8 3 2 5 2 3 2" xfId="49683" xr:uid="{00000000-0005-0000-0000-0000E48E0000}"/>
    <cellStyle name="Comma 8 3 2 5 2 4" xfId="35184" xr:uid="{00000000-0005-0000-0000-0000E58E0000}"/>
    <cellStyle name="Comma 8 3 2 5 3" xfId="10287" xr:uid="{00000000-0005-0000-0000-0000E68E0000}"/>
    <cellStyle name="Comma 8 3 2 5 3 2" xfId="24821" xr:uid="{00000000-0005-0000-0000-0000E78E0000}"/>
    <cellStyle name="Comma 8 3 2 5 3 2 2" xfId="53827" xr:uid="{00000000-0005-0000-0000-0000E88E0000}"/>
    <cellStyle name="Comma 8 3 2 5 3 3" xfId="39328" xr:uid="{00000000-0005-0000-0000-0000E98E0000}"/>
    <cellStyle name="Comma 8 3 2 5 4" xfId="17573" xr:uid="{00000000-0005-0000-0000-0000EA8E0000}"/>
    <cellStyle name="Comma 8 3 2 5 4 2" xfId="46579" xr:uid="{00000000-0005-0000-0000-0000EB8E0000}"/>
    <cellStyle name="Comma 8 3 2 5 5" xfId="32080" xr:uid="{00000000-0005-0000-0000-0000EC8E0000}"/>
    <cellStyle name="Comma 8 3 2 6" xfId="4047" xr:uid="{00000000-0005-0000-0000-0000ED8E0000}"/>
    <cellStyle name="Comma 8 3 2 6 2" xfId="11319" xr:uid="{00000000-0005-0000-0000-0000EE8E0000}"/>
    <cellStyle name="Comma 8 3 2 6 2 2" xfId="25853" xr:uid="{00000000-0005-0000-0000-0000EF8E0000}"/>
    <cellStyle name="Comma 8 3 2 6 2 2 2" xfId="54859" xr:uid="{00000000-0005-0000-0000-0000F08E0000}"/>
    <cellStyle name="Comma 8 3 2 6 2 3" xfId="40360" xr:uid="{00000000-0005-0000-0000-0000F18E0000}"/>
    <cellStyle name="Comma 8 3 2 6 3" xfId="18605" xr:uid="{00000000-0005-0000-0000-0000F28E0000}"/>
    <cellStyle name="Comma 8 3 2 6 3 2" xfId="47611" xr:uid="{00000000-0005-0000-0000-0000F38E0000}"/>
    <cellStyle name="Comma 8 3 2 6 4" xfId="33112" xr:uid="{00000000-0005-0000-0000-0000F48E0000}"/>
    <cellStyle name="Comma 8 3 2 7" xfId="7151" xr:uid="{00000000-0005-0000-0000-0000F58E0000}"/>
    <cellStyle name="Comma 8 3 2 7 2" xfId="14423" xr:uid="{00000000-0005-0000-0000-0000F68E0000}"/>
    <cellStyle name="Comma 8 3 2 7 2 2" xfId="28957" xr:uid="{00000000-0005-0000-0000-0000F78E0000}"/>
    <cellStyle name="Comma 8 3 2 7 2 2 2" xfId="57963" xr:uid="{00000000-0005-0000-0000-0000F88E0000}"/>
    <cellStyle name="Comma 8 3 2 7 2 3" xfId="43464" xr:uid="{00000000-0005-0000-0000-0000F98E0000}"/>
    <cellStyle name="Comma 8 3 2 7 3" xfId="21709" xr:uid="{00000000-0005-0000-0000-0000FA8E0000}"/>
    <cellStyle name="Comma 8 3 2 7 3 2" xfId="50715" xr:uid="{00000000-0005-0000-0000-0000FB8E0000}"/>
    <cellStyle name="Comma 8 3 2 7 4" xfId="36216" xr:uid="{00000000-0005-0000-0000-0000FC8E0000}"/>
    <cellStyle name="Comma 8 3 2 8" xfId="8215" xr:uid="{00000000-0005-0000-0000-0000FD8E0000}"/>
    <cellStyle name="Comma 8 3 2 8 2" xfId="22749" xr:uid="{00000000-0005-0000-0000-0000FE8E0000}"/>
    <cellStyle name="Comma 8 3 2 8 2 2" xfId="51755" xr:uid="{00000000-0005-0000-0000-0000FF8E0000}"/>
    <cellStyle name="Comma 8 3 2 8 3" xfId="37256" xr:uid="{00000000-0005-0000-0000-0000008F0000}"/>
    <cellStyle name="Comma 8 3 2 9" xfId="15501" xr:uid="{00000000-0005-0000-0000-0000018F0000}"/>
    <cellStyle name="Comma 8 3 2 9 2" xfId="44507" xr:uid="{00000000-0005-0000-0000-0000028F0000}"/>
    <cellStyle name="Comma 8 3 3" xfId="1140" xr:uid="{00000000-0005-0000-0000-0000038F0000}"/>
    <cellStyle name="Comma 8 3 3 2" xfId="1639" xr:uid="{00000000-0005-0000-0000-0000048F0000}"/>
    <cellStyle name="Comma 8 3 3 2 2" xfId="2698" xr:uid="{00000000-0005-0000-0000-0000058F0000}"/>
    <cellStyle name="Comma 8 3 3 2 2 2" xfId="5802" xr:uid="{00000000-0005-0000-0000-0000068F0000}"/>
    <cellStyle name="Comma 8 3 3 2 2 2 2" xfId="13074" xr:uid="{00000000-0005-0000-0000-0000078F0000}"/>
    <cellStyle name="Comma 8 3 3 2 2 2 2 2" xfId="27608" xr:uid="{00000000-0005-0000-0000-0000088F0000}"/>
    <cellStyle name="Comma 8 3 3 2 2 2 2 2 2" xfId="56614" xr:uid="{00000000-0005-0000-0000-0000098F0000}"/>
    <cellStyle name="Comma 8 3 3 2 2 2 2 3" xfId="42115" xr:uid="{00000000-0005-0000-0000-00000A8F0000}"/>
    <cellStyle name="Comma 8 3 3 2 2 2 3" xfId="20360" xr:uid="{00000000-0005-0000-0000-00000B8F0000}"/>
    <cellStyle name="Comma 8 3 3 2 2 2 3 2" xfId="49366" xr:uid="{00000000-0005-0000-0000-00000C8F0000}"/>
    <cellStyle name="Comma 8 3 3 2 2 2 4" xfId="34867" xr:uid="{00000000-0005-0000-0000-00000D8F0000}"/>
    <cellStyle name="Comma 8 3 3 2 2 3" xfId="9970" xr:uid="{00000000-0005-0000-0000-00000E8F0000}"/>
    <cellStyle name="Comma 8 3 3 2 2 3 2" xfId="24504" xr:uid="{00000000-0005-0000-0000-00000F8F0000}"/>
    <cellStyle name="Comma 8 3 3 2 2 3 2 2" xfId="53510" xr:uid="{00000000-0005-0000-0000-0000108F0000}"/>
    <cellStyle name="Comma 8 3 3 2 2 3 3" xfId="39011" xr:uid="{00000000-0005-0000-0000-0000118F0000}"/>
    <cellStyle name="Comma 8 3 3 2 2 4" xfId="17256" xr:uid="{00000000-0005-0000-0000-0000128F0000}"/>
    <cellStyle name="Comma 8 3 3 2 2 4 2" xfId="46262" xr:uid="{00000000-0005-0000-0000-0000138F0000}"/>
    <cellStyle name="Comma 8 3 3 2 2 5" xfId="31763" xr:uid="{00000000-0005-0000-0000-0000148F0000}"/>
    <cellStyle name="Comma 8 3 3 2 3" xfId="3730" xr:uid="{00000000-0005-0000-0000-0000158F0000}"/>
    <cellStyle name="Comma 8 3 3 2 3 2" xfId="6834" xr:uid="{00000000-0005-0000-0000-0000168F0000}"/>
    <cellStyle name="Comma 8 3 3 2 3 2 2" xfId="14106" xr:uid="{00000000-0005-0000-0000-0000178F0000}"/>
    <cellStyle name="Comma 8 3 3 2 3 2 2 2" xfId="28640" xr:uid="{00000000-0005-0000-0000-0000188F0000}"/>
    <cellStyle name="Comma 8 3 3 2 3 2 2 2 2" xfId="57646" xr:uid="{00000000-0005-0000-0000-0000198F0000}"/>
    <cellStyle name="Comma 8 3 3 2 3 2 2 3" xfId="43147" xr:uid="{00000000-0005-0000-0000-00001A8F0000}"/>
    <cellStyle name="Comma 8 3 3 2 3 2 3" xfId="21392" xr:uid="{00000000-0005-0000-0000-00001B8F0000}"/>
    <cellStyle name="Comma 8 3 3 2 3 2 3 2" xfId="50398" xr:uid="{00000000-0005-0000-0000-00001C8F0000}"/>
    <cellStyle name="Comma 8 3 3 2 3 2 4" xfId="35899" xr:uid="{00000000-0005-0000-0000-00001D8F0000}"/>
    <cellStyle name="Comma 8 3 3 2 3 3" xfId="11002" xr:uid="{00000000-0005-0000-0000-00001E8F0000}"/>
    <cellStyle name="Comma 8 3 3 2 3 3 2" xfId="25536" xr:uid="{00000000-0005-0000-0000-00001F8F0000}"/>
    <cellStyle name="Comma 8 3 3 2 3 3 2 2" xfId="54542" xr:uid="{00000000-0005-0000-0000-0000208F0000}"/>
    <cellStyle name="Comma 8 3 3 2 3 3 3" xfId="40043" xr:uid="{00000000-0005-0000-0000-0000218F0000}"/>
    <cellStyle name="Comma 8 3 3 2 3 4" xfId="18288" xr:uid="{00000000-0005-0000-0000-0000228F0000}"/>
    <cellStyle name="Comma 8 3 3 2 3 4 2" xfId="47294" xr:uid="{00000000-0005-0000-0000-0000238F0000}"/>
    <cellStyle name="Comma 8 3 3 2 3 5" xfId="32795" xr:uid="{00000000-0005-0000-0000-0000248F0000}"/>
    <cellStyle name="Comma 8 3 3 2 4" xfId="4762" xr:uid="{00000000-0005-0000-0000-0000258F0000}"/>
    <cellStyle name="Comma 8 3 3 2 4 2" xfId="12034" xr:uid="{00000000-0005-0000-0000-0000268F0000}"/>
    <cellStyle name="Comma 8 3 3 2 4 2 2" xfId="26568" xr:uid="{00000000-0005-0000-0000-0000278F0000}"/>
    <cellStyle name="Comma 8 3 3 2 4 2 2 2" xfId="55574" xr:uid="{00000000-0005-0000-0000-0000288F0000}"/>
    <cellStyle name="Comma 8 3 3 2 4 2 3" xfId="41075" xr:uid="{00000000-0005-0000-0000-0000298F0000}"/>
    <cellStyle name="Comma 8 3 3 2 4 3" xfId="19320" xr:uid="{00000000-0005-0000-0000-00002A8F0000}"/>
    <cellStyle name="Comma 8 3 3 2 4 3 2" xfId="48326" xr:uid="{00000000-0005-0000-0000-00002B8F0000}"/>
    <cellStyle name="Comma 8 3 3 2 4 4" xfId="33827" xr:uid="{00000000-0005-0000-0000-00002C8F0000}"/>
    <cellStyle name="Comma 8 3 3 2 5" xfId="7866" xr:uid="{00000000-0005-0000-0000-00002D8F0000}"/>
    <cellStyle name="Comma 8 3 3 2 5 2" xfId="15138" xr:uid="{00000000-0005-0000-0000-00002E8F0000}"/>
    <cellStyle name="Comma 8 3 3 2 5 2 2" xfId="29672" xr:uid="{00000000-0005-0000-0000-00002F8F0000}"/>
    <cellStyle name="Comma 8 3 3 2 5 2 2 2" xfId="58678" xr:uid="{00000000-0005-0000-0000-0000308F0000}"/>
    <cellStyle name="Comma 8 3 3 2 5 2 3" xfId="44179" xr:uid="{00000000-0005-0000-0000-0000318F0000}"/>
    <cellStyle name="Comma 8 3 3 2 5 3" xfId="22424" xr:uid="{00000000-0005-0000-0000-0000328F0000}"/>
    <cellStyle name="Comma 8 3 3 2 5 3 2" xfId="51430" xr:uid="{00000000-0005-0000-0000-0000338F0000}"/>
    <cellStyle name="Comma 8 3 3 2 5 4" xfId="36931" xr:uid="{00000000-0005-0000-0000-0000348F0000}"/>
    <cellStyle name="Comma 8 3 3 2 6" xfId="8930" xr:uid="{00000000-0005-0000-0000-0000358F0000}"/>
    <cellStyle name="Comma 8 3 3 2 6 2" xfId="23464" xr:uid="{00000000-0005-0000-0000-0000368F0000}"/>
    <cellStyle name="Comma 8 3 3 2 6 2 2" xfId="52470" xr:uid="{00000000-0005-0000-0000-0000378F0000}"/>
    <cellStyle name="Comma 8 3 3 2 6 3" xfId="37971" xr:uid="{00000000-0005-0000-0000-0000388F0000}"/>
    <cellStyle name="Comma 8 3 3 2 7" xfId="16216" xr:uid="{00000000-0005-0000-0000-0000398F0000}"/>
    <cellStyle name="Comma 8 3 3 2 7 2" xfId="45222" xr:uid="{00000000-0005-0000-0000-00003A8F0000}"/>
    <cellStyle name="Comma 8 3 3 2 8" xfId="30723" xr:uid="{00000000-0005-0000-0000-00003B8F0000}"/>
    <cellStyle name="Comma 8 3 3 3" xfId="2186" xr:uid="{00000000-0005-0000-0000-00003C8F0000}"/>
    <cellStyle name="Comma 8 3 3 3 2" xfId="5290" xr:uid="{00000000-0005-0000-0000-00003D8F0000}"/>
    <cellStyle name="Comma 8 3 3 3 2 2" xfId="12562" xr:uid="{00000000-0005-0000-0000-00003E8F0000}"/>
    <cellStyle name="Comma 8 3 3 3 2 2 2" xfId="27096" xr:uid="{00000000-0005-0000-0000-00003F8F0000}"/>
    <cellStyle name="Comma 8 3 3 3 2 2 2 2" xfId="56102" xr:uid="{00000000-0005-0000-0000-0000408F0000}"/>
    <cellStyle name="Comma 8 3 3 3 2 2 3" xfId="41603" xr:uid="{00000000-0005-0000-0000-0000418F0000}"/>
    <cellStyle name="Comma 8 3 3 3 2 3" xfId="19848" xr:uid="{00000000-0005-0000-0000-0000428F0000}"/>
    <cellStyle name="Comma 8 3 3 3 2 3 2" xfId="48854" xr:uid="{00000000-0005-0000-0000-0000438F0000}"/>
    <cellStyle name="Comma 8 3 3 3 2 4" xfId="34355" xr:uid="{00000000-0005-0000-0000-0000448F0000}"/>
    <cellStyle name="Comma 8 3 3 3 3" xfId="9458" xr:uid="{00000000-0005-0000-0000-0000458F0000}"/>
    <cellStyle name="Comma 8 3 3 3 3 2" xfId="23992" xr:uid="{00000000-0005-0000-0000-0000468F0000}"/>
    <cellStyle name="Comma 8 3 3 3 3 2 2" xfId="52998" xr:uid="{00000000-0005-0000-0000-0000478F0000}"/>
    <cellStyle name="Comma 8 3 3 3 3 3" xfId="38499" xr:uid="{00000000-0005-0000-0000-0000488F0000}"/>
    <cellStyle name="Comma 8 3 3 3 4" xfId="16744" xr:uid="{00000000-0005-0000-0000-0000498F0000}"/>
    <cellStyle name="Comma 8 3 3 3 4 2" xfId="45750" xr:uid="{00000000-0005-0000-0000-00004A8F0000}"/>
    <cellStyle name="Comma 8 3 3 3 5" xfId="31251" xr:uid="{00000000-0005-0000-0000-00004B8F0000}"/>
    <cellStyle name="Comma 8 3 3 4" xfId="3218" xr:uid="{00000000-0005-0000-0000-00004C8F0000}"/>
    <cellStyle name="Comma 8 3 3 4 2" xfId="6322" xr:uid="{00000000-0005-0000-0000-00004D8F0000}"/>
    <cellStyle name="Comma 8 3 3 4 2 2" xfId="13594" xr:uid="{00000000-0005-0000-0000-00004E8F0000}"/>
    <cellStyle name="Comma 8 3 3 4 2 2 2" xfId="28128" xr:uid="{00000000-0005-0000-0000-00004F8F0000}"/>
    <cellStyle name="Comma 8 3 3 4 2 2 2 2" xfId="57134" xr:uid="{00000000-0005-0000-0000-0000508F0000}"/>
    <cellStyle name="Comma 8 3 3 4 2 2 3" xfId="42635" xr:uid="{00000000-0005-0000-0000-0000518F0000}"/>
    <cellStyle name="Comma 8 3 3 4 2 3" xfId="20880" xr:uid="{00000000-0005-0000-0000-0000528F0000}"/>
    <cellStyle name="Comma 8 3 3 4 2 3 2" xfId="49886" xr:uid="{00000000-0005-0000-0000-0000538F0000}"/>
    <cellStyle name="Comma 8 3 3 4 2 4" xfId="35387" xr:uid="{00000000-0005-0000-0000-0000548F0000}"/>
    <cellStyle name="Comma 8 3 3 4 3" xfId="10490" xr:uid="{00000000-0005-0000-0000-0000558F0000}"/>
    <cellStyle name="Comma 8 3 3 4 3 2" xfId="25024" xr:uid="{00000000-0005-0000-0000-0000568F0000}"/>
    <cellStyle name="Comma 8 3 3 4 3 2 2" xfId="54030" xr:uid="{00000000-0005-0000-0000-0000578F0000}"/>
    <cellStyle name="Comma 8 3 3 4 3 3" xfId="39531" xr:uid="{00000000-0005-0000-0000-0000588F0000}"/>
    <cellStyle name="Comma 8 3 3 4 4" xfId="17776" xr:uid="{00000000-0005-0000-0000-0000598F0000}"/>
    <cellStyle name="Comma 8 3 3 4 4 2" xfId="46782" xr:uid="{00000000-0005-0000-0000-00005A8F0000}"/>
    <cellStyle name="Comma 8 3 3 4 5" xfId="32283" xr:uid="{00000000-0005-0000-0000-00005B8F0000}"/>
    <cellStyle name="Comma 8 3 3 5" xfId="4250" xr:uid="{00000000-0005-0000-0000-00005C8F0000}"/>
    <cellStyle name="Comma 8 3 3 5 2" xfId="11522" xr:uid="{00000000-0005-0000-0000-00005D8F0000}"/>
    <cellStyle name="Comma 8 3 3 5 2 2" xfId="26056" xr:uid="{00000000-0005-0000-0000-00005E8F0000}"/>
    <cellStyle name="Comma 8 3 3 5 2 2 2" xfId="55062" xr:uid="{00000000-0005-0000-0000-00005F8F0000}"/>
    <cellStyle name="Comma 8 3 3 5 2 3" xfId="40563" xr:uid="{00000000-0005-0000-0000-0000608F0000}"/>
    <cellStyle name="Comma 8 3 3 5 3" xfId="18808" xr:uid="{00000000-0005-0000-0000-0000618F0000}"/>
    <cellStyle name="Comma 8 3 3 5 3 2" xfId="47814" xr:uid="{00000000-0005-0000-0000-0000628F0000}"/>
    <cellStyle name="Comma 8 3 3 5 4" xfId="33315" xr:uid="{00000000-0005-0000-0000-0000638F0000}"/>
    <cellStyle name="Comma 8 3 3 6" xfId="7354" xr:uid="{00000000-0005-0000-0000-0000648F0000}"/>
    <cellStyle name="Comma 8 3 3 6 2" xfId="14626" xr:uid="{00000000-0005-0000-0000-0000658F0000}"/>
    <cellStyle name="Comma 8 3 3 6 2 2" xfId="29160" xr:uid="{00000000-0005-0000-0000-0000668F0000}"/>
    <cellStyle name="Comma 8 3 3 6 2 2 2" xfId="58166" xr:uid="{00000000-0005-0000-0000-0000678F0000}"/>
    <cellStyle name="Comma 8 3 3 6 2 3" xfId="43667" xr:uid="{00000000-0005-0000-0000-0000688F0000}"/>
    <cellStyle name="Comma 8 3 3 6 3" xfId="21912" xr:uid="{00000000-0005-0000-0000-0000698F0000}"/>
    <cellStyle name="Comma 8 3 3 6 3 2" xfId="50918" xr:uid="{00000000-0005-0000-0000-00006A8F0000}"/>
    <cellStyle name="Comma 8 3 3 6 4" xfId="36419" xr:uid="{00000000-0005-0000-0000-00006B8F0000}"/>
    <cellStyle name="Comma 8 3 3 7" xfId="8418" xr:uid="{00000000-0005-0000-0000-00006C8F0000}"/>
    <cellStyle name="Comma 8 3 3 7 2" xfId="22952" xr:uid="{00000000-0005-0000-0000-00006D8F0000}"/>
    <cellStyle name="Comma 8 3 3 7 2 2" xfId="51958" xr:uid="{00000000-0005-0000-0000-00006E8F0000}"/>
    <cellStyle name="Comma 8 3 3 7 3" xfId="37459" xr:uid="{00000000-0005-0000-0000-00006F8F0000}"/>
    <cellStyle name="Comma 8 3 3 8" xfId="15704" xr:uid="{00000000-0005-0000-0000-0000708F0000}"/>
    <cellStyle name="Comma 8 3 3 8 2" xfId="44710" xr:uid="{00000000-0005-0000-0000-0000718F0000}"/>
    <cellStyle name="Comma 8 3 3 9" xfId="30211" xr:uid="{00000000-0005-0000-0000-0000728F0000}"/>
    <cellStyle name="Comma 8 3 4" xfId="1049" xr:uid="{00000000-0005-0000-0000-0000738F0000}"/>
    <cellStyle name="Comma 8 3 4 2" xfId="1540" xr:uid="{00000000-0005-0000-0000-0000748F0000}"/>
    <cellStyle name="Comma 8 3 4 2 2" xfId="2598" xr:uid="{00000000-0005-0000-0000-0000758F0000}"/>
    <cellStyle name="Comma 8 3 4 2 2 2" xfId="5702" xr:uid="{00000000-0005-0000-0000-0000768F0000}"/>
    <cellStyle name="Comma 8 3 4 2 2 2 2" xfId="12974" xr:uid="{00000000-0005-0000-0000-0000778F0000}"/>
    <cellStyle name="Comma 8 3 4 2 2 2 2 2" xfId="27508" xr:uid="{00000000-0005-0000-0000-0000788F0000}"/>
    <cellStyle name="Comma 8 3 4 2 2 2 2 2 2" xfId="56514" xr:uid="{00000000-0005-0000-0000-0000798F0000}"/>
    <cellStyle name="Comma 8 3 4 2 2 2 2 3" xfId="42015" xr:uid="{00000000-0005-0000-0000-00007A8F0000}"/>
    <cellStyle name="Comma 8 3 4 2 2 2 3" xfId="20260" xr:uid="{00000000-0005-0000-0000-00007B8F0000}"/>
    <cellStyle name="Comma 8 3 4 2 2 2 3 2" xfId="49266" xr:uid="{00000000-0005-0000-0000-00007C8F0000}"/>
    <cellStyle name="Comma 8 3 4 2 2 2 4" xfId="34767" xr:uid="{00000000-0005-0000-0000-00007D8F0000}"/>
    <cellStyle name="Comma 8 3 4 2 2 3" xfId="9870" xr:uid="{00000000-0005-0000-0000-00007E8F0000}"/>
    <cellStyle name="Comma 8 3 4 2 2 3 2" xfId="24404" xr:uid="{00000000-0005-0000-0000-00007F8F0000}"/>
    <cellStyle name="Comma 8 3 4 2 2 3 2 2" xfId="53410" xr:uid="{00000000-0005-0000-0000-0000808F0000}"/>
    <cellStyle name="Comma 8 3 4 2 2 3 3" xfId="38911" xr:uid="{00000000-0005-0000-0000-0000818F0000}"/>
    <cellStyle name="Comma 8 3 4 2 2 4" xfId="17156" xr:uid="{00000000-0005-0000-0000-0000828F0000}"/>
    <cellStyle name="Comma 8 3 4 2 2 4 2" xfId="46162" xr:uid="{00000000-0005-0000-0000-0000838F0000}"/>
    <cellStyle name="Comma 8 3 4 2 2 5" xfId="31663" xr:uid="{00000000-0005-0000-0000-0000848F0000}"/>
    <cellStyle name="Comma 8 3 4 2 3" xfId="3630" xr:uid="{00000000-0005-0000-0000-0000858F0000}"/>
    <cellStyle name="Comma 8 3 4 2 3 2" xfId="6734" xr:uid="{00000000-0005-0000-0000-0000868F0000}"/>
    <cellStyle name="Comma 8 3 4 2 3 2 2" xfId="14006" xr:uid="{00000000-0005-0000-0000-0000878F0000}"/>
    <cellStyle name="Comma 8 3 4 2 3 2 2 2" xfId="28540" xr:uid="{00000000-0005-0000-0000-0000888F0000}"/>
    <cellStyle name="Comma 8 3 4 2 3 2 2 2 2" xfId="57546" xr:uid="{00000000-0005-0000-0000-0000898F0000}"/>
    <cellStyle name="Comma 8 3 4 2 3 2 2 3" xfId="43047" xr:uid="{00000000-0005-0000-0000-00008A8F0000}"/>
    <cellStyle name="Comma 8 3 4 2 3 2 3" xfId="21292" xr:uid="{00000000-0005-0000-0000-00008B8F0000}"/>
    <cellStyle name="Comma 8 3 4 2 3 2 3 2" xfId="50298" xr:uid="{00000000-0005-0000-0000-00008C8F0000}"/>
    <cellStyle name="Comma 8 3 4 2 3 2 4" xfId="35799" xr:uid="{00000000-0005-0000-0000-00008D8F0000}"/>
    <cellStyle name="Comma 8 3 4 2 3 3" xfId="10902" xr:uid="{00000000-0005-0000-0000-00008E8F0000}"/>
    <cellStyle name="Comma 8 3 4 2 3 3 2" xfId="25436" xr:uid="{00000000-0005-0000-0000-00008F8F0000}"/>
    <cellStyle name="Comma 8 3 4 2 3 3 2 2" xfId="54442" xr:uid="{00000000-0005-0000-0000-0000908F0000}"/>
    <cellStyle name="Comma 8 3 4 2 3 3 3" xfId="39943" xr:uid="{00000000-0005-0000-0000-0000918F0000}"/>
    <cellStyle name="Comma 8 3 4 2 3 4" xfId="18188" xr:uid="{00000000-0005-0000-0000-0000928F0000}"/>
    <cellStyle name="Comma 8 3 4 2 3 4 2" xfId="47194" xr:uid="{00000000-0005-0000-0000-0000938F0000}"/>
    <cellStyle name="Comma 8 3 4 2 3 5" xfId="32695" xr:uid="{00000000-0005-0000-0000-0000948F0000}"/>
    <cellStyle name="Comma 8 3 4 2 4" xfId="4662" xr:uid="{00000000-0005-0000-0000-0000958F0000}"/>
    <cellStyle name="Comma 8 3 4 2 4 2" xfId="11934" xr:uid="{00000000-0005-0000-0000-0000968F0000}"/>
    <cellStyle name="Comma 8 3 4 2 4 2 2" xfId="26468" xr:uid="{00000000-0005-0000-0000-0000978F0000}"/>
    <cellStyle name="Comma 8 3 4 2 4 2 2 2" xfId="55474" xr:uid="{00000000-0005-0000-0000-0000988F0000}"/>
    <cellStyle name="Comma 8 3 4 2 4 2 3" xfId="40975" xr:uid="{00000000-0005-0000-0000-0000998F0000}"/>
    <cellStyle name="Comma 8 3 4 2 4 3" xfId="19220" xr:uid="{00000000-0005-0000-0000-00009A8F0000}"/>
    <cellStyle name="Comma 8 3 4 2 4 3 2" xfId="48226" xr:uid="{00000000-0005-0000-0000-00009B8F0000}"/>
    <cellStyle name="Comma 8 3 4 2 4 4" xfId="33727" xr:uid="{00000000-0005-0000-0000-00009C8F0000}"/>
    <cellStyle name="Comma 8 3 4 2 5" xfId="7766" xr:uid="{00000000-0005-0000-0000-00009D8F0000}"/>
    <cellStyle name="Comma 8 3 4 2 5 2" xfId="15038" xr:uid="{00000000-0005-0000-0000-00009E8F0000}"/>
    <cellStyle name="Comma 8 3 4 2 5 2 2" xfId="29572" xr:uid="{00000000-0005-0000-0000-00009F8F0000}"/>
    <cellStyle name="Comma 8 3 4 2 5 2 2 2" xfId="58578" xr:uid="{00000000-0005-0000-0000-0000A08F0000}"/>
    <cellStyle name="Comma 8 3 4 2 5 2 3" xfId="44079" xr:uid="{00000000-0005-0000-0000-0000A18F0000}"/>
    <cellStyle name="Comma 8 3 4 2 5 3" xfId="22324" xr:uid="{00000000-0005-0000-0000-0000A28F0000}"/>
    <cellStyle name="Comma 8 3 4 2 5 3 2" xfId="51330" xr:uid="{00000000-0005-0000-0000-0000A38F0000}"/>
    <cellStyle name="Comma 8 3 4 2 5 4" xfId="36831" xr:uid="{00000000-0005-0000-0000-0000A48F0000}"/>
    <cellStyle name="Comma 8 3 4 2 6" xfId="8830" xr:uid="{00000000-0005-0000-0000-0000A58F0000}"/>
    <cellStyle name="Comma 8 3 4 2 6 2" xfId="23364" xr:uid="{00000000-0005-0000-0000-0000A68F0000}"/>
    <cellStyle name="Comma 8 3 4 2 6 2 2" xfId="52370" xr:uid="{00000000-0005-0000-0000-0000A78F0000}"/>
    <cellStyle name="Comma 8 3 4 2 6 3" xfId="37871" xr:uid="{00000000-0005-0000-0000-0000A88F0000}"/>
    <cellStyle name="Comma 8 3 4 2 7" xfId="16116" xr:uid="{00000000-0005-0000-0000-0000A98F0000}"/>
    <cellStyle name="Comma 8 3 4 2 7 2" xfId="45122" xr:uid="{00000000-0005-0000-0000-0000AA8F0000}"/>
    <cellStyle name="Comma 8 3 4 2 8" xfId="30623" xr:uid="{00000000-0005-0000-0000-0000AB8F0000}"/>
    <cellStyle name="Comma 8 3 4 3" xfId="2086" xr:uid="{00000000-0005-0000-0000-0000AC8F0000}"/>
    <cellStyle name="Comma 8 3 4 3 2" xfId="5190" xr:uid="{00000000-0005-0000-0000-0000AD8F0000}"/>
    <cellStyle name="Comma 8 3 4 3 2 2" xfId="12462" xr:uid="{00000000-0005-0000-0000-0000AE8F0000}"/>
    <cellStyle name="Comma 8 3 4 3 2 2 2" xfId="26996" xr:uid="{00000000-0005-0000-0000-0000AF8F0000}"/>
    <cellStyle name="Comma 8 3 4 3 2 2 2 2" xfId="56002" xr:uid="{00000000-0005-0000-0000-0000B08F0000}"/>
    <cellStyle name="Comma 8 3 4 3 2 2 3" xfId="41503" xr:uid="{00000000-0005-0000-0000-0000B18F0000}"/>
    <cellStyle name="Comma 8 3 4 3 2 3" xfId="19748" xr:uid="{00000000-0005-0000-0000-0000B28F0000}"/>
    <cellStyle name="Comma 8 3 4 3 2 3 2" xfId="48754" xr:uid="{00000000-0005-0000-0000-0000B38F0000}"/>
    <cellStyle name="Comma 8 3 4 3 2 4" xfId="34255" xr:uid="{00000000-0005-0000-0000-0000B48F0000}"/>
    <cellStyle name="Comma 8 3 4 3 3" xfId="9358" xr:uid="{00000000-0005-0000-0000-0000B58F0000}"/>
    <cellStyle name="Comma 8 3 4 3 3 2" xfId="23892" xr:uid="{00000000-0005-0000-0000-0000B68F0000}"/>
    <cellStyle name="Comma 8 3 4 3 3 2 2" xfId="52898" xr:uid="{00000000-0005-0000-0000-0000B78F0000}"/>
    <cellStyle name="Comma 8 3 4 3 3 3" xfId="38399" xr:uid="{00000000-0005-0000-0000-0000B88F0000}"/>
    <cellStyle name="Comma 8 3 4 3 4" xfId="16644" xr:uid="{00000000-0005-0000-0000-0000B98F0000}"/>
    <cellStyle name="Comma 8 3 4 3 4 2" xfId="45650" xr:uid="{00000000-0005-0000-0000-0000BA8F0000}"/>
    <cellStyle name="Comma 8 3 4 3 5" xfId="31151" xr:uid="{00000000-0005-0000-0000-0000BB8F0000}"/>
    <cellStyle name="Comma 8 3 4 4" xfId="3118" xr:uid="{00000000-0005-0000-0000-0000BC8F0000}"/>
    <cellStyle name="Comma 8 3 4 4 2" xfId="6222" xr:uid="{00000000-0005-0000-0000-0000BD8F0000}"/>
    <cellStyle name="Comma 8 3 4 4 2 2" xfId="13494" xr:uid="{00000000-0005-0000-0000-0000BE8F0000}"/>
    <cellStyle name="Comma 8 3 4 4 2 2 2" xfId="28028" xr:uid="{00000000-0005-0000-0000-0000BF8F0000}"/>
    <cellStyle name="Comma 8 3 4 4 2 2 2 2" xfId="57034" xr:uid="{00000000-0005-0000-0000-0000C08F0000}"/>
    <cellStyle name="Comma 8 3 4 4 2 2 3" xfId="42535" xr:uid="{00000000-0005-0000-0000-0000C18F0000}"/>
    <cellStyle name="Comma 8 3 4 4 2 3" xfId="20780" xr:uid="{00000000-0005-0000-0000-0000C28F0000}"/>
    <cellStyle name="Comma 8 3 4 4 2 3 2" xfId="49786" xr:uid="{00000000-0005-0000-0000-0000C38F0000}"/>
    <cellStyle name="Comma 8 3 4 4 2 4" xfId="35287" xr:uid="{00000000-0005-0000-0000-0000C48F0000}"/>
    <cellStyle name="Comma 8 3 4 4 3" xfId="10390" xr:uid="{00000000-0005-0000-0000-0000C58F0000}"/>
    <cellStyle name="Comma 8 3 4 4 3 2" xfId="24924" xr:uid="{00000000-0005-0000-0000-0000C68F0000}"/>
    <cellStyle name="Comma 8 3 4 4 3 2 2" xfId="53930" xr:uid="{00000000-0005-0000-0000-0000C78F0000}"/>
    <cellStyle name="Comma 8 3 4 4 3 3" xfId="39431" xr:uid="{00000000-0005-0000-0000-0000C88F0000}"/>
    <cellStyle name="Comma 8 3 4 4 4" xfId="17676" xr:uid="{00000000-0005-0000-0000-0000C98F0000}"/>
    <cellStyle name="Comma 8 3 4 4 4 2" xfId="46682" xr:uid="{00000000-0005-0000-0000-0000CA8F0000}"/>
    <cellStyle name="Comma 8 3 4 4 5" xfId="32183" xr:uid="{00000000-0005-0000-0000-0000CB8F0000}"/>
    <cellStyle name="Comma 8 3 4 5" xfId="4150" xr:uid="{00000000-0005-0000-0000-0000CC8F0000}"/>
    <cellStyle name="Comma 8 3 4 5 2" xfId="11422" xr:uid="{00000000-0005-0000-0000-0000CD8F0000}"/>
    <cellStyle name="Comma 8 3 4 5 2 2" xfId="25956" xr:uid="{00000000-0005-0000-0000-0000CE8F0000}"/>
    <cellStyle name="Comma 8 3 4 5 2 2 2" xfId="54962" xr:uid="{00000000-0005-0000-0000-0000CF8F0000}"/>
    <cellStyle name="Comma 8 3 4 5 2 3" xfId="40463" xr:uid="{00000000-0005-0000-0000-0000D08F0000}"/>
    <cellStyle name="Comma 8 3 4 5 3" xfId="18708" xr:uid="{00000000-0005-0000-0000-0000D18F0000}"/>
    <cellStyle name="Comma 8 3 4 5 3 2" xfId="47714" xr:uid="{00000000-0005-0000-0000-0000D28F0000}"/>
    <cellStyle name="Comma 8 3 4 5 4" xfId="33215" xr:uid="{00000000-0005-0000-0000-0000D38F0000}"/>
    <cellStyle name="Comma 8 3 4 6" xfId="7254" xr:uid="{00000000-0005-0000-0000-0000D48F0000}"/>
    <cellStyle name="Comma 8 3 4 6 2" xfId="14526" xr:uid="{00000000-0005-0000-0000-0000D58F0000}"/>
    <cellStyle name="Comma 8 3 4 6 2 2" xfId="29060" xr:uid="{00000000-0005-0000-0000-0000D68F0000}"/>
    <cellStyle name="Comma 8 3 4 6 2 2 2" xfId="58066" xr:uid="{00000000-0005-0000-0000-0000D78F0000}"/>
    <cellStyle name="Comma 8 3 4 6 2 3" xfId="43567" xr:uid="{00000000-0005-0000-0000-0000D88F0000}"/>
    <cellStyle name="Comma 8 3 4 6 3" xfId="21812" xr:uid="{00000000-0005-0000-0000-0000D98F0000}"/>
    <cellStyle name="Comma 8 3 4 6 3 2" xfId="50818" xr:uid="{00000000-0005-0000-0000-0000DA8F0000}"/>
    <cellStyle name="Comma 8 3 4 6 4" xfId="36319" xr:uid="{00000000-0005-0000-0000-0000DB8F0000}"/>
    <cellStyle name="Comma 8 3 4 7" xfId="8318" xr:uid="{00000000-0005-0000-0000-0000DC8F0000}"/>
    <cellStyle name="Comma 8 3 4 7 2" xfId="22852" xr:uid="{00000000-0005-0000-0000-0000DD8F0000}"/>
    <cellStyle name="Comma 8 3 4 7 2 2" xfId="51858" xr:uid="{00000000-0005-0000-0000-0000DE8F0000}"/>
    <cellStyle name="Comma 8 3 4 7 3" xfId="37359" xr:uid="{00000000-0005-0000-0000-0000DF8F0000}"/>
    <cellStyle name="Comma 8 3 4 8" xfId="15604" xr:uid="{00000000-0005-0000-0000-0000E08F0000}"/>
    <cellStyle name="Comma 8 3 4 8 2" xfId="44610" xr:uid="{00000000-0005-0000-0000-0000E18F0000}"/>
    <cellStyle name="Comma 8 3 4 9" xfId="30111" xr:uid="{00000000-0005-0000-0000-0000E28F0000}"/>
    <cellStyle name="Comma 8 3 5" xfId="1335" xr:uid="{00000000-0005-0000-0000-0000E38F0000}"/>
    <cellStyle name="Comma 8 3 5 2" xfId="2392" xr:uid="{00000000-0005-0000-0000-0000E48F0000}"/>
    <cellStyle name="Comma 8 3 5 2 2" xfId="5496" xr:uid="{00000000-0005-0000-0000-0000E58F0000}"/>
    <cellStyle name="Comma 8 3 5 2 2 2" xfId="12768" xr:uid="{00000000-0005-0000-0000-0000E68F0000}"/>
    <cellStyle name="Comma 8 3 5 2 2 2 2" xfId="27302" xr:uid="{00000000-0005-0000-0000-0000E78F0000}"/>
    <cellStyle name="Comma 8 3 5 2 2 2 2 2" xfId="56308" xr:uid="{00000000-0005-0000-0000-0000E88F0000}"/>
    <cellStyle name="Comma 8 3 5 2 2 2 3" xfId="41809" xr:uid="{00000000-0005-0000-0000-0000E98F0000}"/>
    <cellStyle name="Comma 8 3 5 2 2 3" xfId="20054" xr:uid="{00000000-0005-0000-0000-0000EA8F0000}"/>
    <cellStyle name="Comma 8 3 5 2 2 3 2" xfId="49060" xr:uid="{00000000-0005-0000-0000-0000EB8F0000}"/>
    <cellStyle name="Comma 8 3 5 2 2 4" xfId="34561" xr:uid="{00000000-0005-0000-0000-0000EC8F0000}"/>
    <cellStyle name="Comma 8 3 5 2 3" xfId="9664" xr:uid="{00000000-0005-0000-0000-0000ED8F0000}"/>
    <cellStyle name="Comma 8 3 5 2 3 2" xfId="24198" xr:uid="{00000000-0005-0000-0000-0000EE8F0000}"/>
    <cellStyle name="Comma 8 3 5 2 3 2 2" xfId="53204" xr:uid="{00000000-0005-0000-0000-0000EF8F0000}"/>
    <cellStyle name="Comma 8 3 5 2 3 3" xfId="38705" xr:uid="{00000000-0005-0000-0000-0000F08F0000}"/>
    <cellStyle name="Comma 8 3 5 2 4" xfId="16950" xr:uid="{00000000-0005-0000-0000-0000F18F0000}"/>
    <cellStyle name="Comma 8 3 5 2 4 2" xfId="45956" xr:uid="{00000000-0005-0000-0000-0000F28F0000}"/>
    <cellStyle name="Comma 8 3 5 2 5" xfId="31457" xr:uid="{00000000-0005-0000-0000-0000F38F0000}"/>
    <cellStyle name="Comma 8 3 5 3" xfId="3424" xr:uid="{00000000-0005-0000-0000-0000F48F0000}"/>
    <cellStyle name="Comma 8 3 5 3 2" xfId="6528" xr:uid="{00000000-0005-0000-0000-0000F58F0000}"/>
    <cellStyle name="Comma 8 3 5 3 2 2" xfId="13800" xr:uid="{00000000-0005-0000-0000-0000F68F0000}"/>
    <cellStyle name="Comma 8 3 5 3 2 2 2" xfId="28334" xr:uid="{00000000-0005-0000-0000-0000F78F0000}"/>
    <cellStyle name="Comma 8 3 5 3 2 2 2 2" xfId="57340" xr:uid="{00000000-0005-0000-0000-0000F88F0000}"/>
    <cellStyle name="Comma 8 3 5 3 2 2 3" xfId="42841" xr:uid="{00000000-0005-0000-0000-0000F98F0000}"/>
    <cellStyle name="Comma 8 3 5 3 2 3" xfId="21086" xr:uid="{00000000-0005-0000-0000-0000FA8F0000}"/>
    <cellStyle name="Comma 8 3 5 3 2 3 2" xfId="50092" xr:uid="{00000000-0005-0000-0000-0000FB8F0000}"/>
    <cellStyle name="Comma 8 3 5 3 2 4" xfId="35593" xr:uid="{00000000-0005-0000-0000-0000FC8F0000}"/>
    <cellStyle name="Comma 8 3 5 3 3" xfId="10696" xr:uid="{00000000-0005-0000-0000-0000FD8F0000}"/>
    <cellStyle name="Comma 8 3 5 3 3 2" xfId="25230" xr:uid="{00000000-0005-0000-0000-0000FE8F0000}"/>
    <cellStyle name="Comma 8 3 5 3 3 2 2" xfId="54236" xr:uid="{00000000-0005-0000-0000-0000FF8F0000}"/>
    <cellStyle name="Comma 8 3 5 3 3 3" xfId="39737" xr:uid="{00000000-0005-0000-0000-000000900000}"/>
    <cellStyle name="Comma 8 3 5 3 4" xfId="17982" xr:uid="{00000000-0005-0000-0000-000001900000}"/>
    <cellStyle name="Comma 8 3 5 3 4 2" xfId="46988" xr:uid="{00000000-0005-0000-0000-000002900000}"/>
    <cellStyle name="Comma 8 3 5 3 5" xfId="32489" xr:uid="{00000000-0005-0000-0000-000003900000}"/>
    <cellStyle name="Comma 8 3 5 4" xfId="4456" xr:uid="{00000000-0005-0000-0000-000004900000}"/>
    <cellStyle name="Comma 8 3 5 4 2" xfId="11728" xr:uid="{00000000-0005-0000-0000-000005900000}"/>
    <cellStyle name="Comma 8 3 5 4 2 2" xfId="26262" xr:uid="{00000000-0005-0000-0000-000006900000}"/>
    <cellStyle name="Comma 8 3 5 4 2 2 2" xfId="55268" xr:uid="{00000000-0005-0000-0000-000007900000}"/>
    <cellStyle name="Comma 8 3 5 4 2 3" xfId="40769" xr:uid="{00000000-0005-0000-0000-000008900000}"/>
    <cellStyle name="Comma 8 3 5 4 3" xfId="19014" xr:uid="{00000000-0005-0000-0000-000009900000}"/>
    <cellStyle name="Comma 8 3 5 4 3 2" xfId="48020" xr:uid="{00000000-0005-0000-0000-00000A900000}"/>
    <cellStyle name="Comma 8 3 5 4 4" xfId="33521" xr:uid="{00000000-0005-0000-0000-00000B900000}"/>
    <cellStyle name="Comma 8 3 5 5" xfId="7560" xr:uid="{00000000-0005-0000-0000-00000C900000}"/>
    <cellStyle name="Comma 8 3 5 5 2" xfId="14832" xr:uid="{00000000-0005-0000-0000-00000D900000}"/>
    <cellStyle name="Comma 8 3 5 5 2 2" xfId="29366" xr:uid="{00000000-0005-0000-0000-00000E900000}"/>
    <cellStyle name="Comma 8 3 5 5 2 2 2" xfId="58372" xr:uid="{00000000-0005-0000-0000-00000F900000}"/>
    <cellStyle name="Comma 8 3 5 5 2 3" xfId="43873" xr:uid="{00000000-0005-0000-0000-000010900000}"/>
    <cellStyle name="Comma 8 3 5 5 3" xfId="22118" xr:uid="{00000000-0005-0000-0000-000011900000}"/>
    <cellStyle name="Comma 8 3 5 5 3 2" xfId="51124" xr:uid="{00000000-0005-0000-0000-000012900000}"/>
    <cellStyle name="Comma 8 3 5 5 4" xfId="36625" xr:uid="{00000000-0005-0000-0000-000013900000}"/>
    <cellStyle name="Comma 8 3 5 6" xfId="8624" xr:uid="{00000000-0005-0000-0000-000014900000}"/>
    <cellStyle name="Comma 8 3 5 6 2" xfId="23158" xr:uid="{00000000-0005-0000-0000-000015900000}"/>
    <cellStyle name="Comma 8 3 5 6 2 2" xfId="52164" xr:uid="{00000000-0005-0000-0000-000016900000}"/>
    <cellStyle name="Comma 8 3 5 6 3" xfId="37665" xr:uid="{00000000-0005-0000-0000-000017900000}"/>
    <cellStyle name="Comma 8 3 5 7" xfId="15910" xr:uid="{00000000-0005-0000-0000-000018900000}"/>
    <cellStyle name="Comma 8 3 5 7 2" xfId="44916" xr:uid="{00000000-0005-0000-0000-000019900000}"/>
    <cellStyle name="Comma 8 3 5 8" xfId="30417" xr:uid="{00000000-0005-0000-0000-00001A900000}"/>
    <cellStyle name="Comma 8 3 6" xfId="1880" xr:uid="{00000000-0005-0000-0000-00001B900000}"/>
    <cellStyle name="Comma 8 3 6 2" xfId="4984" xr:uid="{00000000-0005-0000-0000-00001C900000}"/>
    <cellStyle name="Comma 8 3 6 2 2" xfId="12256" xr:uid="{00000000-0005-0000-0000-00001D900000}"/>
    <cellStyle name="Comma 8 3 6 2 2 2" xfId="26790" xr:uid="{00000000-0005-0000-0000-00001E900000}"/>
    <cellStyle name="Comma 8 3 6 2 2 2 2" xfId="55796" xr:uid="{00000000-0005-0000-0000-00001F900000}"/>
    <cellStyle name="Comma 8 3 6 2 2 3" xfId="41297" xr:uid="{00000000-0005-0000-0000-000020900000}"/>
    <cellStyle name="Comma 8 3 6 2 3" xfId="19542" xr:uid="{00000000-0005-0000-0000-000021900000}"/>
    <cellStyle name="Comma 8 3 6 2 3 2" xfId="48548" xr:uid="{00000000-0005-0000-0000-000022900000}"/>
    <cellStyle name="Comma 8 3 6 2 4" xfId="34049" xr:uid="{00000000-0005-0000-0000-000023900000}"/>
    <cellStyle name="Comma 8 3 6 3" xfId="9152" xr:uid="{00000000-0005-0000-0000-000024900000}"/>
    <cellStyle name="Comma 8 3 6 3 2" xfId="23686" xr:uid="{00000000-0005-0000-0000-000025900000}"/>
    <cellStyle name="Comma 8 3 6 3 2 2" xfId="52692" xr:uid="{00000000-0005-0000-0000-000026900000}"/>
    <cellStyle name="Comma 8 3 6 3 3" xfId="38193" xr:uid="{00000000-0005-0000-0000-000027900000}"/>
    <cellStyle name="Comma 8 3 6 4" xfId="16438" xr:uid="{00000000-0005-0000-0000-000028900000}"/>
    <cellStyle name="Comma 8 3 6 4 2" xfId="45444" xr:uid="{00000000-0005-0000-0000-000029900000}"/>
    <cellStyle name="Comma 8 3 6 5" xfId="30945" xr:uid="{00000000-0005-0000-0000-00002A900000}"/>
    <cellStyle name="Comma 8 3 7" xfId="2912" xr:uid="{00000000-0005-0000-0000-00002B900000}"/>
    <cellStyle name="Comma 8 3 7 2" xfId="6016" xr:uid="{00000000-0005-0000-0000-00002C900000}"/>
    <cellStyle name="Comma 8 3 7 2 2" xfId="13288" xr:uid="{00000000-0005-0000-0000-00002D900000}"/>
    <cellStyle name="Comma 8 3 7 2 2 2" xfId="27822" xr:uid="{00000000-0005-0000-0000-00002E900000}"/>
    <cellStyle name="Comma 8 3 7 2 2 2 2" xfId="56828" xr:uid="{00000000-0005-0000-0000-00002F900000}"/>
    <cellStyle name="Comma 8 3 7 2 2 3" xfId="42329" xr:uid="{00000000-0005-0000-0000-000030900000}"/>
    <cellStyle name="Comma 8 3 7 2 3" xfId="20574" xr:uid="{00000000-0005-0000-0000-000031900000}"/>
    <cellStyle name="Comma 8 3 7 2 3 2" xfId="49580" xr:uid="{00000000-0005-0000-0000-000032900000}"/>
    <cellStyle name="Comma 8 3 7 2 4" xfId="35081" xr:uid="{00000000-0005-0000-0000-000033900000}"/>
    <cellStyle name="Comma 8 3 7 3" xfId="10184" xr:uid="{00000000-0005-0000-0000-000034900000}"/>
    <cellStyle name="Comma 8 3 7 3 2" xfId="24718" xr:uid="{00000000-0005-0000-0000-000035900000}"/>
    <cellStyle name="Comma 8 3 7 3 2 2" xfId="53724" xr:uid="{00000000-0005-0000-0000-000036900000}"/>
    <cellStyle name="Comma 8 3 7 3 3" xfId="39225" xr:uid="{00000000-0005-0000-0000-000037900000}"/>
    <cellStyle name="Comma 8 3 7 4" xfId="17470" xr:uid="{00000000-0005-0000-0000-000038900000}"/>
    <cellStyle name="Comma 8 3 7 4 2" xfId="46476" xr:uid="{00000000-0005-0000-0000-000039900000}"/>
    <cellStyle name="Comma 8 3 7 5" xfId="31977" xr:uid="{00000000-0005-0000-0000-00003A900000}"/>
    <cellStyle name="Comma 8 3 8" xfId="3944" xr:uid="{00000000-0005-0000-0000-00003B900000}"/>
    <cellStyle name="Comma 8 3 8 2" xfId="11216" xr:uid="{00000000-0005-0000-0000-00003C900000}"/>
    <cellStyle name="Comma 8 3 8 2 2" xfId="25750" xr:uid="{00000000-0005-0000-0000-00003D900000}"/>
    <cellStyle name="Comma 8 3 8 2 2 2" xfId="54756" xr:uid="{00000000-0005-0000-0000-00003E900000}"/>
    <cellStyle name="Comma 8 3 8 2 3" xfId="40257" xr:uid="{00000000-0005-0000-0000-00003F900000}"/>
    <cellStyle name="Comma 8 3 8 3" xfId="18502" xr:uid="{00000000-0005-0000-0000-000040900000}"/>
    <cellStyle name="Comma 8 3 8 3 2" xfId="47508" xr:uid="{00000000-0005-0000-0000-000041900000}"/>
    <cellStyle name="Comma 8 3 8 4" xfId="33009" xr:uid="{00000000-0005-0000-0000-000042900000}"/>
    <cellStyle name="Comma 8 3 9" xfId="7048" xr:uid="{00000000-0005-0000-0000-000043900000}"/>
    <cellStyle name="Comma 8 3 9 2" xfId="14320" xr:uid="{00000000-0005-0000-0000-000044900000}"/>
    <cellStyle name="Comma 8 3 9 2 2" xfId="28854" xr:uid="{00000000-0005-0000-0000-000045900000}"/>
    <cellStyle name="Comma 8 3 9 2 2 2" xfId="57860" xr:uid="{00000000-0005-0000-0000-000046900000}"/>
    <cellStyle name="Comma 8 3 9 2 3" xfId="43361" xr:uid="{00000000-0005-0000-0000-000047900000}"/>
    <cellStyle name="Comma 8 3 9 3" xfId="21606" xr:uid="{00000000-0005-0000-0000-000048900000}"/>
    <cellStyle name="Comma 8 3 9 3 2" xfId="50612" xr:uid="{00000000-0005-0000-0000-000049900000}"/>
    <cellStyle name="Comma 8 3 9 4" xfId="36113" xr:uid="{00000000-0005-0000-0000-00004A900000}"/>
    <cellStyle name="Comma 8 4" xfId="607" xr:uid="{00000000-0005-0000-0000-00004B900000}"/>
    <cellStyle name="Comma 8 4 10" xfId="29956" xr:uid="{00000000-0005-0000-0000-00004C900000}"/>
    <cellStyle name="Comma 8 4 11" xfId="59468" xr:uid="{00000000-0005-0000-0000-00004D900000}"/>
    <cellStyle name="Comma 8 4 2" xfId="1187" xr:uid="{00000000-0005-0000-0000-00004E900000}"/>
    <cellStyle name="Comma 8 4 2 2" xfId="1690" xr:uid="{00000000-0005-0000-0000-00004F900000}"/>
    <cellStyle name="Comma 8 4 2 2 2" xfId="2749" xr:uid="{00000000-0005-0000-0000-000050900000}"/>
    <cellStyle name="Comma 8 4 2 2 2 2" xfId="5853" xr:uid="{00000000-0005-0000-0000-000051900000}"/>
    <cellStyle name="Comma 8 4 2 2 2 2 2" xfId="13125" xr:uid="{00000000-0005-0000-0000-000052900000}"/>
    <cellStyle name="Comma 8 4 2 2 2 2 2 2" xfId="27659" xr:uid="{00000000-0005-0000-0000-000053900000}"/>
    <cellStyle name="Comma 8 4 2 2 2 2 2 2 2" xfId="56665" xr:uid="{00000000-0005-0000-0000-000054900000}"/>
    <cellStyle name="Comma 8 4 2 2 2 2 2 3" xfId="42166" xr:uid="{00000000-0005-0000-0000-000055900000}"/>
    <cellStyle name="Comma 8 4 2 2 2 2 3" xfId="20411" xr:uid="{00000000-0005-0000-0000-000056900000}"/>
    <cellStyle name="Comma 8 4 2 2 2 2 3 2" xfId="49417" xr:uid="{00000000-0005-0000-0000-000057900000}"/>
    <cellStyle name="Comma 8 4 2 2 2 2 4" xfId="34918" xr:uid="{00000000-0005-0000-0000-000058900000}"/>
    <cellStyle name="Comma 8 4 2 2 2 3" xfId="10021" xr:uid="{00000000-0005-0000-0000-000059900000}"/>
    <cellStyle name="Comma 8 4 2 2 2 3 2" xfId="24555" xr:uid="{00000000-0005-0000-0000-00005A900000}"/>
    <cellStyle name="Comma 8 4 2 2 2 3 2 2" xfId="53561" xr:uid="{00000000-0005-0000-0000-00005B900000}"/>
    <cellStyle name="Comma 8 4 2 2 2 3 3" xfId="39062" xr:uid="{00000000-0005-0000-0000-00005C900000}"/>
    <cellStyle name="Comma 8 4 2 2 2 4" xfId="17307" xr:uid="{00000000-0005-0000-0000-00005D900000}"/>
    <cellStyle name="Comma 8 4 2 2 2 4 2" xfId="46313" xr:uid="{00000000-0005-0000-0000-00005E900000}"/>
    <cellStyle name="Comma 8 4 2 2 2 5" xfId="31814" xr:uid="{00000000-0005-0000-0000-00005F900000}"/>
    <cellStyle name="Comma 8 4 2 2 3" xfId="3781" xr:uid="{00000000-0005-0000-0000-000060900000}"/>
    <cellStyle name="Comma 8 4 2 2 3 2" xfId="6885" xr:uid="{00000000-0005-0000-0000-000061900000}"/>
    <cellStyle name="Comma 8 4 2 2 3 2 2" xfId="14157" xr:uid="{00000000-0005-0000-0000-000062900000}"/>
    <cellStyle name="Comma 8 4 2 2 3 2 2 2" xfId="28691" xr:uid="{00000000-0005-0000-0000-000063900000}"/>
    <cellStyle name="Comma 8 4 2 2 3 2 2 2 2" xfId="57697" xr:uid="{00000000-0005-0000-0000-000064900000}"/>
    <cellStyle name="Comma 8 4 2 2 3 2 2 3" xfId="43198" xr:uid="{00000000-0005-0000-0000-000065900000}"/>
    <cellStyle name="Comma 8 4 2 2 3 2 3" xfId="21443" xr:uid="{00000000-0005-0000-0000-000066900000}"/>
    <cellStyle name="Comma 8 4 2 2 3 2 3 2" xfId="50449" xr:uid="{00000000-0005-0000-0000-000067900000}"/>
    <cellStyle name="Comma 8 4 2 2 3 2 4" xfId="35950" xr:uid="{00000000-0005-0000-0000-000068900000}"/>
    <cellStyle name="Comma 8 4 2 2 3 3" xfId="11053" xr:uid="{00000000-0005-0000-0000-000069900000}"/>
    <cellStyle name="Comma 8 4 2 2 3 3 2" xfId="25587" xr:uid="{00000000-0005-0000-0000-00006A900000}"/>
    <cellStyle name="Comma 8 4 2 2 3 3 2 2" xfId="54593" xr:uid="{00000000-0005-0000-0000-00006B900000}"/>
    <cellStyle name="Comma 8 4 2 2 3 3 3" xfId="40094" xr:uid="{00000000-0005-0000-0000-00006C900000}"/>
    <cellStyle name="Comma 8 4 2 2 3 4" xfId="18339" xr:uid="{00000000-0005-0000-0000-00006D900000}"/>
    <cellStyle name="Comma 8 4 2 2 3 4 2" xfId="47345" xr:uid="{00000000-0005-0000-0000-00006E900000}"/>
    <cellStyle name="Comma 8 4 2 2 3 5" xfId="32846" xr:uid="{00000000-0005-0000-0000-00006F900000}"/>
    <cellStyle name="Comma 8 4 2 2 4" xfId="4813" xr:uid="{00000000-0005-0000-0000-000070900000}"/>
    <cellStyle name="Comma 8 4 2 2 4 2" xfId="12085" xr:uid="{00000000-0005-0000-0000-000071900000}"/>
    <cellStyle name="Comma 8 4 2 2 4 2 2" xfId="26619" xr:uid="{00000000-0005-0000-0000-000072900000}"/>
    <cellStyle name="Comma 8 4 2 2 4 2 2 2" xfId="55625" xr:uid="{00000000-0005-0000-0000-000073900000}"/>
    <cellStyle name="Comma 8 4 2 2 4 2 3" xfId="41126" xr:uid="{00000000-0005-0000-0000-000074900000}"/>
    <cellStyle name="Comma 8 4 2 2 4 3" xfId="19371" xr:uid="{00000000-0005-0000-0000-000075900000}"/>
    <cellStyle name="Comma 8 4 2 2 4 3 2" xfId="48377" xr:uid="{00000000-0005-0000-0000-000076900000}"/>
    <cellStyle name="Comma 8 4 2 2 4 4" xfId="33878" xr:uid="{00000000-0005-0000-0000-000077900000}"/>
    <cellStyle name="Comma 8 4 2 2 5" xfId="7917" xr:uid="{00000000-0005-0000-0000-000078900000}"/>
    <cellStyle name="Comma 8 4 2 2 5 2" xfId="15189" xr:uid="{00000000-0005-0000-0000-000079900000}"/>
    <cellStyle name="Comma 8 4 2 2 5 2 2" xfId="29723" xr:uid="{00000000-0005-0000-0000-00007A900000}"/>
    <cellStyle name="Comma 8 4 2 2 5 2 2 2" xfId="58729" xr:uid="{00000000-0005-0000-0000-00007B900000}"/>
    <cellStyle name="Comma 8 4 2 2 5 2 3" xfId="44230" xr:uid="{00000000-0005-0000-0000-00007C900000}"/>
    <cellStyle name="Comma 8 4 2 2 5 3" xfId="22475" xr:uid="{00000000-0005-0000-0000-00007D900000}"/>
    <cellStyle name="Comma 8 4 2 2 5 3 2" xfId="51481" xr:uid="{00000000-0005-0000-0000-00007E900000}"/>
    <cellStyle name="Comma 8 4 2 2 5 4" xfId="36982" xr:uid="{00000000-0005-0000-0000-00007F900000}"/>
    <cellStyle name="Comma 8 4 2 2 6" xfId="8981" xr:uid="{00000000-0005-0000-0000-000080900000}"/>
    <cellStyle name="Comma 8 4 2 2 6 2" xfId="23515" xr:uid="{00000000-0005-0000-0000-000081900000}"/>
    <cellStyle name="Comma 8 4 2 2 6 2 2" xfId="52521" xr:uid="{00000000-0005-0000-0000-000082900000}"/>
    <cellStyle name="Comma 8 4 2 2 6 3" xfId="38022" xr:uid="{00000000-0005-0000-0000-000083900000}"/>
    <cellStyle name="Comma 8 4 2 2 7" xfId="16267" xr:uid="{00000000-0005-0000-0000-000084900000}"/>
    <cellStyle name="Comma 8 4 2 2 7 2" xfId="45273" xr:uid="{00000000-0005-0000-0000-000085900000}"/>
    <cellStyle name="Comma 8 4 2 2 8" xfId="30774" xr:uid="{00000000-0005-0000-0000-000086900000}"/>
    <cellStyle name="Comma 8 4 2 3" xfId="2237" xr:uid="{00000000-0005-0000-0000-000087900000}"/>
    <cellStyle name="Comma 8 4 2 3 2" xfId="5341" xr:uid="{00000000-0005-0000-0000-000088900000}"/>
    <cellStyle name="Comma 8 4 2 3 2 2" xfId="12613" xr:uid="{00000000-0005-0000-0000-000089900000}"/>
    <cellStyle name="Comma 8 4 2 3 2 2 2" xfId="27147" xr:uid="{00000000-0005-0000-0000-00008A900000}"/>
    <cellStyle name="Comma 8 4 2 3 2 2 2 2" xfId="56153" xr:uid="{00000000-0005-0000-0000-00008B900000}"/>
    <cellStyle name="Comma 8 4 2 3 2 2 3" xfId="41654" xr:uid="{00000000-0005-0000-0000-00008C900000}"/>
    <cellStyle name="Comma 8 4 2 3 2 3" xfId="19899" xr:uid="{00000000-0005-0000-0000-00008D900000}"/>
    <cellStyle name="Comma 8 4 2 3 2 3 2" xfId="48905" xr:uid="{00000000-0005-0000-0000-00008E900000}"/>
    <cellStyle name="Comma 8 4 2 3 2 4" xfId="34406" xr:uid="{00000000-0005-0000-0000-00008F900000}"/>
    <cellStyle name="Comma 8 4 2 3 3" xfId="9509" xr:uid="{00000000-0005-0000-0000-000090900000}"/>
    <cellStyle name="Comma 8 4 2 3 3 2" xfId="24043" xr:uid="{00000000-0005-0000-0000-000091900000}"/>
    <cellStyle name="Comma 8 4 2 3 3 2 2" xfId="53049" xr:uid="{00000000-0005-0000-0000-000092900000}"/>
    <cellStyle name="Comma 8 4 2 3 3 3" xfId="38550" xr:uid="{00000000-0005-0000-0000-000093900000}"/>
    <cellStyle name="Comma 8 4 2 3 4" xfId="16795" xr:uid="{00000000-0005-0000-0000-000094900000}"/>
    <cellStyle name="Comma 8 4 2 3 4 2" xfId="45801" xr:uid="{00000000-0005-0000-0000-000095900000}"/>
    <cellStyle name="Comma 8 4 2 3 5" xfId="31302" xr:uid="{00000000-0005-0000-0000-000096900000}"/>
    <cellStyle name="Comma 8 4 2 4" xfId="3269" xr:uid="{00000000-0005-0000-0000-000097900000}"/>
    <cellStyle name="Comma 8 4 2 4 2" xfId="6373" xr:uid="{00000000-0005-0000-0000-000098900000}"/>
    <cellStyle name="Comma 8 4 2 4 2 2" xfId="13645" xr:uid="{00000000-0005-0000-0000-000099900000}"/>
    <cellStyle name="Comma 8 4 2 4 2 2 2" xfId="28179" xr:uid="{00000000-0005-0000-0000-00009A900000}"/>
    <cellStyle name="Comma 8 4 2 4 2 2 2 2" xfId="57185" xr:uid="{00000000-0005-0000-0000-00009B900000}"/>
    <cellStyle name="Comma 8 4 2 4 2 2 3" xfId="42686" xr:uid="{00000000-0005-0000-0000-00009C900000}"/>
    <cellStyle name="Comma 8 4 2 4 2 3" xfId="20931" xr:uid="{00000000-0005-0000-0000-00009D900000}"/>
    <cellStyle name="Comma 8 4 2 4 2 3 2" xfId="49937" xr:uid="{00000000-0005-0000-0000-00009E900000}"/>
    <cellStyle name="Comma 8 4 2 4 2 4" xfId="35438" xr:uid="{00000000-0005-0000-0000-00009F900000}"/>
    <cellStyle name="Comma 8 4 2 4 3" xfId="10541" xr:uid="{00000000-0005-0000-0000-0000A0900000}"/>
    <cellStyle name="Comma 8 4 2 4 3 2" xfId="25075" xr:uid="{00000000-0005-0000-0000-0000A1900000}"/>
    <cellStyle name="Comma 8 4 2 4 3 2 2" xfId="54081" xr:uid="{00000000-0005-0000-0000-0000A2900000}"/>
    <cellStyle name="Comma 8 4 2 4 3 3" xfId="39582" xr:uid="{00000000-0005-0000-0000-0000A3900000}"/>
    <cellStyle name="Comma 8 4 2 4 4" xfId="17827" xr:uid="{00000000-0005-0000-0000-0000A4900000}"/>
    <cellStyle name="Comma 8 4 2 4 4 2" xfId="46833" xr:uid="{00000000-0005-0000-0000-0000A5900000}"/>
    <cellStyle name="Comma 8 4 2 4 5" xfId="32334" xr:uid="{00000000-0005-0000-0000-0000A6900000}"/>
    <cellStyle name="Comma 8 4 2 5" xfId="4301" xr:uid="{00000000-0005-0000-0000-0000A7900000}"/>
    <cellStyle name="Comma 8 4 2 5 2" xfId="11573" xr:uid="{00000000-0005-0000-0000-0000A8900000}"/>
    <cellStyle name="Comma 8 4 2 5 2 2" xfId="26107" xr:uid="{00000000-0005-0000-0000-0000A9900000}"/>
    <cellStyle name="Comma 8 4 2 5 2 2 2" xfId="55113" xr:uid="{00000000-0005-0000-0000-0000AA900000}"/>
    <cellStyle name="Comma 8 4 2 5 2 3" xfId="40614" xr:uid="{00000000-0005-0000-0000-0000AB900000}"/>
    <cellStyle name="Comma 8 4 2 5 3" xfId="18859" xr:uid="{00000000-0005-0000-0000-0000AC900000}"/>
    <cellStyle name="Comma 8 4 2 5 3 2" xfId="47865" xr:uid="{00000000-0005-0000-0000-0000AD900000}"/>
    <cellStyle name="Comma 8 4 2 5 4" xfId="33366" xr:uid="{00000000-0005-0000-0000-0000AE900000}"/>
    <cellStyle name="Comma 8 4 2 6" xfId="7405" xr:uid="{00000000-0005-0000-0000-0000AF900000}"/>
    <cellStyle name="Comma 8 4 2 6 2" xfId="14677" xr:uid="{00000000-0005-0000-0000-0000B0900000}"/>
    <cellStyle name="Comma 8 4 2 6 2 2" xfId="29211" xr:uid="{00000000-0005-0000-0000-0000B1900000}"/>
    <cellStyle name="Comma 8 4 2 6 2 2 2" xfId="58217" xr:uid="{00000000-0005-0000-0000-0000B2900000}"/>
    <cellStyle name="Comma 8 4 2 6 2 3" xfId="43718" xr:uid="{00000000-0005-0000-0000-0000B3900000}"/>
    <cellStyle name="Comma 8 4 2 6 3" xfId="21963" xr:uid="{00000000-0005-0000-0000-0000B4900000}"/>
    <cellStyle name="Comma 8 4 2 6 3 2" xfId="50969" xr:uid="{00000000-0005-0000-0000-0000B5900000}"/>
    <cellStyle name="Comma 8 4 2 6 4" xfId="36470" xr:uid="{00000000-0005-0000-0000-0000B6900000}"/>
    <cellStyle name="Comma 8 4 2 7" xfId="8469" xr:uid="{00000000-0005-0000-0000-0000B7900000}"/>
    <cellStyle name="Comma 8 4 2 7 2" xfId="23003" xr:uid="{00000000-0005-0000-0000-0000B8900000}"/>
    <cellStyle name="Comma 8 4 2 7 2 2" xfId="52009" xr:uid="{00000000-0005-0000-0000-0000B9900000}"/>
    <cellStyle name="Comma 8 4 2 7 3" xfId="37510" xr:uid="{00000000-0005-0000-0000-0000BA900000}"/>
    <cellStyle name="Comma 8 4 2 8" xfId="15755" xr:uid="{00000000-0005-0000-0000-0000BB900000}"/>
    <cellStyle name="Comma 8 4 2 8 2" xfId="44761" xr:uid="{00000000-0005-0000-0000-0000BC900000}"/>
    <cellStyle name="Comma 8 4 2 9" xfId="30262" xr:uid="{00000000-0005-0000-0000-0000BD900000}"/>
    <cellStyle name="Comma 8 4 3" xfId="1385" xr:uid="{00000000-0005-0000-0000-0000BE900000}"/>
    <cellStyle name="Comma 8 4 3 2" xfId="2443" xr:uid="{00000000-0005-0000-0000-0000BF900000}"/>
    <cellStyle name="Comma 8 4 3 2 2" xfId="5547" xr:uid="{00000000-0005-0000-0000-0000C0900000}"/>
    <cellStyle name="Comma 8 4 3 2 2 2" xfId="12819" xr:uid="{00000000-0005-0000-0000-0000C1900000}"/>
    <cellStyle name="Comma 8 4 3 2 2 2 2" xfId="27353" xr:uid="{00000000-0005-0000-0000-0000C2900000}"/>
    <cellStyle name="Comma 8 4 3 2 2 2 2 2" xfId="56359" xr:uid="{00000000-0005-0000-0000-0000C3900000}"/>
    <cellStyle name="Comma 8 4 3 2 2 2 3" xfId="41860" xr:uid="{00000000-0005-0000-0000-0000C4900000}"/>
    <cellStyle name="Comma 8 4 3 2 2 3" xfId="20105" xr:uid="{00000000-0005-0000-0000-0000C5900000}"/>
    <cellStyle name="Comma 8 4 3 2 2 3 2" xfId="49111" xr:uid="{00000000-0005-0000-0000-0000C6900000}"/>
    <cellStyle name="Comma 8 4 3 2 2 4" xfId="34612" xr:uid="{00000000-0005-0000-0000-0000C7900000}"/>
    <cellStyle name="Comma 8 4 3 2 3" xfId="9715" xr:uid="{00000000-0005-0000-0000-0000C8900000}"/>
    <cellStyle name="Comma 8 4 3 2 3 2" xfId="24249" xr:uid="{00000000-0005-0000-0000-0000C9900000}"/>
    <cellStyle name="Comma 8 4 3 2 3 2 2" xfId="53255" xr:uid="{00000000-0005-0000-0000-0000CA900000}"/>
    <cellStyle name="Comma 8 4 3 2 3 3" xfId="38756" xr:uid="{00000000-0005-0000-0000-0000CB900000}"/>
    <cellStyle name="Comma 8 4 3 2 4" xfId="17001" xr:uid="{00000000-0005-0000-0000-0000CC900000}"/>
    <cellStyle name="Comma 8 4 3 2 4 2" xfId="46007" xr:uid="{00000000-0005-0000-0000-0000CD900000}"/>
    <cellStyle name="Comma 8 4 3 2 5" xfId="31508" xr:uid="{00000000-0005-0000-0000-0000CE900000}"/>
    <cellStyle name="Comma 8 4 3 3" xfId="3475" xr:uid="{00000000-0005-0000-0000-0000CF900000}"/>
    <cellStyle name="Comma 8 4 3 3 2" xfId="6579" xr:uid="{00000000-0005-0000-0000-0000D0900000}"/>
    <cellStyle name="Comma 8 4 3 3 2 2" xfId="13851" xr:uid="{00000000-0005-0000-0000-0000D1900000}"/>
    <cellStyle name="Comma 8 4 3 3 2 2 2" xfId="28385" xr:uid="{00000000-0005-0000-0000-0000D2900000}"/>
    <cellStyle name="Comma 8 4 3 3 2 2 2 2" xfId="57391" xr:uid="{00000000-0005-0000-0000-0000D3900000}"/>
    <cellStyle name="Comma 8 4 3 3 2 2 3" xfId="42892" xr:uid="{00000000-0005-0000-0000-0000D4900000}"/>
    <cellStyle name="Comma 8 4 3 3 2 3" xfId="21137" xr:uid="{00000000-0005-0000-0000-0000D5900000}"/>
    <cellStyle name="Comma 8 4 3 3 2 3 2" xfId="50143" xr:uid="{00000000-0005-0000-0000-0000D6900000}"/>
    <cellStyle name="Comma 8 4 3 3 2 4" xfId="35644" xr:uid="{00000000-0005-0000-0000-0000D7900000}"/>
    <cellStyle name="Comma 8 4 3 3 3" xfId="10747" xr:uid="{00000000-0005-0000-0000-0000D8900000}"/>
    <cellStyle name="Comma 8 4 3 3 3 2" xfId="25281" xr:uid="{00000000-0005-0000-0000-0000D9900000}"/>
    <cellStyle name="Comma 8 4 3 3 3 2 2" xfId="54287" xr:uid="{00000000-0005-0000-0000-0000DA900000}"/>
    <cellStyle name="Comma 8 4 3 3 3 3" xfId="39788" xr:uid="{00000000-0005-0000-0000-0000DB900000}"/>
    <cellStyle name="Comma 8 4 3 3 4" xfId="18033" xr:uid="{00000000-0005-0000-0000-0000DC900000}"/>
    <cellStyle name="Comma 8 4 3 3 4 2" xfId="47039" xr:uid="{00000000-0005-0000-0000-0000DD900000}"/>
    <cellStyle name="Comma 8 4 3 3 5" xfId="32540" xr:uid="{00000000-0005-0000-0000-0000DE900000}"/>
    <cellStyle name="Comma 8 4 3 4" xfId="4507" xr:uid="{00000000-0005-0000-0000-0000DF900000}"/>
    <cellStyle name="Comma 8 4 3 4 2" xfId="11779" xr:uid="{00000000-0005-0000-0000-0000E0900000}"/>
    <cellStyle name="Comma 8 4 3 4 2 2" xfId="26313" xr:uid="{00000000-0005-0000-0000-0000E1900000}"/>
    <cellStyle name="Comma 8 4 3 4 2 2 2" xfId="55319" xr:uid="{00000000-0005-0000-0000-0000E2900000}"/>
    <cellStyle name="Comma 8 4 3 4 2 3" xfId="40820" xr:uid="{00000000-0005-0000-0000-0000E3900000}"/>
    <cellStyle name="Comma 8 4 3 4 3" xfId="19065" xr:uid="{00000000-0005-0000-0000-0000E4900000}"/>
    <cellStyle name="Comma 8 4 3 4 3 2" xfId="48071" xr:uid="{00000000-0005-0000-0000-0000E5900000}"/>
    <cellStyle name="Comma 8 4 3 4 4" xfId="33572" xr:uid="{00000000-0005-0000-0000-0000E6900000}"/>
    <cellStyle name="Comma 8 4 3 5" xfId="7611" xr:uid="{00000000-0005-0000-0000-0000E7900000}"/>
    <cellStyle name="Comma 8 4 3 5 2" xfId="14883" xr:uid="{00000000-0005-0000-0000-0000E8900000}"/>
    <cellStyle name="Comma 8 4 3 5 2 2" xfId="29417" xr:uid="{00000000-0005-0000-0000-0000E9900000}"/>
    <cellStyle name="Comma 8 4 3 5 2 2 2" xfId="58423" xr:uid="{00000000-0005-0000-0000-0000EA900000}"/>
    <cellStyle name="Comma 8 4 3 5 2 3" xfId="43924" xr:uid="{00000000-0005-0000-0000-0000EB900000}"/>
    <cellStyle name="Comma 8 4 3 5 3" xfId="22169" xr:uid="{00000000-0005-0000-0000-0000EC900000}"/>
    <cellStyle name="Comma 8 4 3 5 3 2" xfId="51175" xr:uid="{00000000-0005-0000-0000-0000ED900000}"/>
    <cellStyle name="Comma 8 4 3 5 4" xfId="36676" xr:uid="{00000000-0005-0000-0000-0000EE900000}"/>
    <cellStyle name="Comma 8 4 3 6" xfId="8675" xr:uid="{00000000-0005-0000-0000-0000EF900000}"/>
    <cellStyle name="Comma 8 4 3 6 2" xfId="23209" xr:uid="{00000000-0005-0000-0000-0000F0900000}"/>
    <cellStyle name="Comma 8 4 3 6 2 2" xfId="52215" xr:uid="{00000000-0005-0000-0000-0000F1900000}"/>
    <cellStyle name="Comma 8 4 3 6 3" xfId="37716" xr:uid="{00000000-0005-0000-0000-0000F2900000}"/>
    <cellStyle name="Comma 8 4 3 7" xfId="15961" xr:uid="{00000000-0005-0000-0000-0000F3900000}"/>
    <cellStyle name="Comma 8 4 3 7 2" xfId="44967" xr:uid="{00000000-0005-0000-0000-0000F4900000}"/>
    <cellStyle name="Comma 8 4 3 8" xfId="30468" xr:uid="{00000000-0005-0000-0000-0000F5900000}"/>
    <cellStyle name="Comma 8 4 4" xfId="1931" xr:uid="{00000000-0005-0000-0000-0000F6900000}"/>
    <cellStyle name="Comma 8 4 4 2" xfId="5035" xr:uid="{00000000-0005-0000-0000-0000F7900000}"/>
    <cellStyle name="Comma 8 4 4 2 2" xfId="12307" xr:uid="{00000000-0005-0000-0000-0000F8900000}"/>
    <cellStyle name="Comma 8 4 4 2 2 2" xfId="26841" xr:uid="{00000000-0005-0000-0000-0000F9900000}"/>
    <cellStyle name="Comma 8 4 4 2 2 2 2" xfId="55847" xr:uid="{00000000-0005-0000-0000-0000FA900000}"/>
    <cellStyle name="Comma 8 4 4 2 2 3" xfId="41348" xr:uid="{00000000-0005-0000-0000-0000FB900000}"/>
    <cellStyle name="Comma 8 4 4 2 3" xfId="19593" xr:uid="{00000000-0005-0000-0000-0000FC900000}"/>
    <cellStyle name="Comma 8 4 4 2 3 2" xfId="48599" xr:uid="{00000000-0005-0000-0000-0000FD900000}"/>
    <cellStyle name="Comma 8 4 4 2 4" xfId="34100" xr:uid="{00000000-0005-0000-0000-0000FE900000}"/>
    <cellStyle name="Comma 8 4 4 3" xfId="9203" xr:uid="{00000000-0005-0000-0000-0000FF900000}"/>
    <cellStyle name="Comma 8 4 4 3 2" xfId="23737" xr:uid="{00000000-0005-0000-0000-000000910000}"/>
    <cellStyle name="Comma 8 4 4 3 2 2" xfId="52743" xr:uid="{00000000-0005-0000-0000-000001910000}"/>
    <cellStyle name="Comma 8 4 4 3 3" xfId="38244" xr:uid="{00000000-0005-0000-0000-000002910000}"/>
    <cellStyle name="Comma 8 4 4 4" xfId="16489" xr:uid="{00000000-0005-0000-0000-000003910000}"/>
    <cellStyle name="Comma 8 4 4 4 2" xfId="45495" xr:uid="{00000000-0005-0000-0000-000004910000}"/>
    <cellStyle name="Comma 8 4 4 5" xfId="30996" xr:uid="{00000000-0005-0000-0000-000005910000}"/>
    <cellStyle name="Comma 8 4 5" xfId="2963" xr:uid="{00000000-0005-0000-0000-000006910000}"/>
    <cellStyle name="Comma 8 4 5 2" xfId="6067" xr:uid="{00000000-0005-0000-0000-000007910000}"/>
    <cellStyle name="Comma 8 4 5 2 2" xfId="13339" xr:uid="{00000000-0005-0000-0000-000008910000}"/>
    <cellStyle name="Comma 8 4 5 2 2 2" xfId="27873" xr:uid="{00000000-0005-0000-0000-000009910000}"/>
    <cellStyle name="Comma 8 4 5 2 2 2 2" xfId="56879" xr:uid="{00000000-0005-0000-0000-00000A910000}"/>
    <cellStyle name="Comma 8 4 5 2 2 3" xfId="42380" xr:uid="{00000000-0005-0000-0000-00000B910000}"/>
    <cellStyle name="Comma 8 4 5 2 3" xfId="20625" xr:uid="{00000000-0005-0000-0000-00000C910000}"/>
    <cellStyle name="Comma 8 4 5 2 3 2" xfId="49631" xr:uid="{00000000-0005-0000-0000-00000D910000}"/>
    <cellStyle name="Comma 8 4 5 2 4" xfId="35132" xr:uid="{00000000-0005-0000-0000-00000E910000}"/>
    <cellStyle name="Comma 8 4 5 3" xfId="10235" xr:uid="{00000000-0005-0000-0000-00000F910000}"/>
    <cellStyle name="Comma 8 4 5 3 2" xfId="24769" xr:uid="{00000000-0005-0000-0000-000010910000}"/>
    <cellStyle name="Comma 8 4 5 3 2 2" xfId="53775" xr:uid="{00000000-0005-0000-0000-000011910000}"/>
    <cellStyle name="Comma 8 4 5 3 3" xfId="39276" xr:uid="{00000000-0005-0000-0000-000012910000}"/>
    <cellStyle name="Comma 8 4 5 4" xfId="17521" xr:uid="{00000000-0005-0000-0000-000013910000}"/>
    <cellStyle name="Comma 8 4 5 4 2" xfId="46527" xr:uid="{00000000-0005-0000-0000-000014910000}"/>
    <cellStyle name="Comma 8 4 5 5" xfId="32028" xr:uid="{00000000-0005-0000-0000-000015910000}"/>
    <cellStyle name="Comma 8 4 6" xfId="3995" xr:uid="{00000000-0005-0000-0000-000016910000}"/>
    <cellStyle name="Comma 8 4 6 2" xfId="11267" xr:uid="{00000000-0005-0000-0000-000017910000}"/>
    <cellStyle name="Comma 8 4 6 2 2" xfId="25801" xr:uid="{00000000-0005-0000-0000-000018910000}"/>
    <cellStyle name="Comma 8 4 6 2 2 2" xfId="54807" xr:uid="{00000000-0005-0000-0000-000019910000}"/>
    <cellStyle name="Comma 8 4 6 2 3" xfId="40308" xr:uid="{00000000-0005-0000-0000-00001A910000}"/>
    <cellStyle name="Comma 8 4 6 3" xfId="18553" xr:uid="{00000000-0005-0000-0000-00001B910000}"/>
    <cellStyle name="Comma 8 4 6 3 2" xfId="47559" xr:uid="{00000000-0005-0000-0000-00001C910000}"/>
    <cellStyle name="Comma 8 4 6 4" xfId="33060" xr:uid="{00000000-0005-0000-0000-00001D910000}"/>
    <cellStyle name="Comma 8 4 7" xfId="7099" xr:uid="{00000000-0005-0000-0000-00001E910000}"/>
    <cellStyle name="Comma 8 4 7 2" xfId="14371" xr:uid="{00000000-0005-0000-0000-00001F910000}"/>
    <cellStyle name="Comma 8 4 7 2 2" xfId="28905" xr:uid="{00000000-0005-0000-0000-000020910000}"/>
    <cellStyle name="Comma 8 4 7 2 2 2" xfId="57911" xr:uid="{00000000-0005-0000-0000-000021910000}"/>
    <cellStyle name="Comma 8 4 7 2 3" xfId="43412" xr:uid="{00000000-0005-0000-0000-000022910000}"/>
    <cellStyle name="Comma 8 4 7 3" xfId="21657" xr:uid="{00000000-0005-0000-0000-000023910000}"/>
    <cellStyle name="Comma 8 4 7 3 2" xfId="50663" xr:uid="{00000000-0005-0000-0000-000024910000}"/>
    <cellStyle name="Comma 8 4 7 4" xfId="36164" xr:uid="{00000000-0005-0000-0000-000025910000}"/>
    <cellStyle name="Comma 8 4 8" xfId="8163" xr:uid="{00000000-0005-0000-0000-000026910000}"/>
    <cellStyle name="Comma 8 4 8 2" xfId="22697" xr:uid="{00000000-0005-0000-0000-000027910000}"/>
    <cellStyle name="Comma 8 4 8 2 2" xfId="51703" xr:uid="{00000000-0005-0000-0000-000028910000}"/>
    <cellStyle name="Comma 8 4 8 3" xfId="37204" xr:uid="{00000000-0005-0000-0000-000029910000}"/>
    <cellStyle name="Comma 8 4 9" xfId="15449" xr:uid="{00000000-0005-0000-0000-00002A910000}"/>
    <cellStyle name="Comma 8 4 9 2" xfId="44455" xr:uid="{00000000-0005-0000-0000-00002B910000}"/>
    <cellStyle name="Comma 8 5" xfId="337" xr:uid="{00000000-0005-0000-0000-00002C910000}"/>
    <cellStyle name="Comma 8 5 10" xfId="59185" xr:uid="{00000000-0005-0000-0000-00002D910000}"/>
    <cellStyle name="Comma 8 5 2" xfId="1587" xr:uid="{00000000-0005-0000-0000-00002E910000}"/>
    <cellStyle name="Comma 8 5 2 2" xfId="2646" xr:uid="{00000000-0005-0000-0000-00002F910000}"/>
    <cellStyle name="Comma 8 5 2 2 2" xfId="5750" xr:uid="{00000000-0005-0000-0000-000030910000}"/>
    <cellStyle name="Comma 8 5 2 2 2 2" xfId="13022" xr:uid="{00000000-0005-0000-0000-000031910000}"/>
    <cellStyle name="Comma 8 5 2 2 2 2 2" xfId="27556" xr:uid="{00000000-0005-0000-0000-000032910000}"/>
    <cellStyle name="Comma 8 5 2 2 2 2 2 2" xfId="56562" xr:uid="{00000000-0005-0000-0000-000033910000}"/>
    <cellStyle name="Comma 8 5 2 2 2 2 3" xfId="42063" xr:uid="{00000000-0005-0000-0000-000034910000}"/>
    <cellStyle name="Comma 8 5 2 2 2 3" xfId="20308" xr:uid="{00000000-0005-0000-0000-000035910000}"/>
    <cellStyle name="Comma 8 5 2 2 2 3 2" xfId="49314" xr:uid="{00000000-0005-0000-0000-000036910000}"/>
    <cellStyle name="Comma 8 5 2 2 2 4" xfId="34815" xr:uid="{00000000-0005-0000-0000-000037910000}"/>
    <cellStyle name="Comma 8 5 2 2 3" xfId="9918" xr:uid="{00000000-0005-0000-0000-000038910000}"/>
    <cellStyle name="Comma 8 5 2 2 3 2" xfId="24452" xr:uid="{00000000-0005-0000-0000-000039910000}"/>
    <cellStyle name="Comma 8 5 2 2 3 2 2" xfId="53458" xr:uid="{00000000-0005-0000-0000-00003A910000}"/>
    <cellStyle name="Comma 8 5 2 2 3 3" xfId="38959" xr:uid="{00000000-0005-0000-0000-00003B910000}"/>
    <cellStyle name="Comma 8 5 2 2 4" xfId="17204" xr:uid="{00000000-0005-0000-0000-00003C910000}"/>
    <cellStyle name="Comma 8 5 2 2 4 2" xfId="46210" xr:uid="{00000000-0005-0000-0000-00003D910000}"/>
    <cellStyle name="Comma 8 5 2 2 5" xfId="31711" xr:uid="{00000000-0005-0000-0000-00003E910000}"/>
    <cellStyle name="Comma 8 5 2 3" xfId="3678" xr:uid="{00000000-0005-0000-0000-00003F910000}"/>
    <cellStyle name="Comma 8 5 2 3 2" xfId="6782" xr:uid="{00000000-0005-0000-0000-000040910000}"/>
    <cellStyle name="Comma 8 5 2 3 2 2" xfId="14054" xr:uid="{00000000-0005-0000-0000-000041910000}"/>
    <cellStyle name="Comma 8 5 2 3 2 2 2" xfId="28588" xr:uid="{00000000-0005-0000-0000-000042910000}"/>
    <cellStyle name="Comma 8 5 2 3 2 2 2 2" xfId="57594" xr:uid="{00000000-0005-0000-0000-000043910000}"/>
    <cellStyle name="Comma 8 5 2 3 2 2 3" xfId="43095" xr:uid="{00000000-0005-0000-0000-000044910000}"/>
    <cellStyle name="Comma 8 5 2 3 2 3" xfId="21340" xr:uid="{00000000-0005-0000-0000-000045910000}"/>
    <cellStyle name="Comma 8 5 2 3 2 3 2" xfId="50346" xr:uid="{00000000-0005-0000-0000-000046910000}"/>
    <cellStyle name="Comma 8 5 2 3 2 4" xfId="35847" xr:uid="{00000000-0005-0000-0000-000047910000}"/>
    <cellStyle name="Comma 8 5 2 3 3" xfId="10950" xr:uid="{00000000-0005-0000-0000-000048910000}"/>
    <cellStyle name="Comma 8 5 2 3 3 2" xfId="25484" xr:uid="{00000000-0005-0000-0000-000049910000}"/>
    <cellStyle name="Comma 8 5 2 3 3 2 2" xfId="54490" xr:uid="{00000000-0005-0000-0000-00004A910000}"/>
    <cellStyle name="Comma 8 5 2 3 3 3" xfId="39991" xr:uid="{00000000-0005-0000-0000-00004B910000}"/>
    <cellStyle name="Comma 8 5 2 3 4" xfId="18236" xr:uid="{00000000-0005-0000-0000-00004C910000}"/>
    <cellStyle name="Comma 8 5 2 3 4 2" xfId="47242" xr:uid="{00000000-0005-0000-0000-00004D910000}"/>
    <cellStyle name="Comma 8 5 2 3 5" xfId="32743" xr:uid="{00000000-0005-0000-0000-00004E910000}"/>
    <cellStyle name="Comma 8 5 2 4" xfId="4710" xr:uid="{00000000-0005-0000-0000-00004F910000}"/>
    <cellStyle name="Comma 8 5 2 4 2" xfId="11982" xr:uid="{00000000-0005-0000-0000-000050910000}"/>
    <cellStyle name="Comma 8 5 2 4 2 2" xfId="26516" xr:uid="{00000000-0005-0000-0000-000051910000}"/>
    <cellStyle name="Comma 8 5 2 4 2 2 2" xfId="55522" xr:uid="{00000000-0005-0000-0000-000052910000}"/>
    <cellStyle name="Comma 8 5 2 4 2 3" xfId="41023" xr:uid="{00000000-0005-0000-0000-000053910000}"/>
    <cellStyle name="Comma 8 5 2 4 3" xfId="19268" xr:uid="{00000000-0005-0000-0000-000054910000}"/>
    <cellStyle name="Comma 8 5 2 4 3 2" xfId="48274" xr:uid="{00000000-0005-0000-0000-000055910000}"/>
    <cellStyle name="Comma 8 5 2 4 4" xfId="33775" xr:uid="{00000000-0005-0000-0000-000056910000}"/>
    <cellStyle name="Comma 8 5 2 5" xfId="7814" xr:uid="{00000000-0005-0000-0000-000057910000}"/>
    <cellStyle name="Comma 8 5 2 5 2" xfId="15086" xr:uid="{00000000-0005-0000-0000-000058910000}"/>
    <cellStyle name="Comma 8 5 2 5 2 2" xfId="29620" xr:uid="{00000000-0005-0000-0000-000059910000}"/>
    <cellStyle name="Comma 8 5 2 5 2 2 2" xfId="58626" xr:uid="{00000000-0005-0000-0000-00005A910000}"/>
    <cellStyle name="Comma 8 5 2 5 2 3" xfId="44127" xr:uid="{00000000-0005-0000-0000-00005B910000}"/>
    <cellStyle name="Comma 8 5 2 5 3" xfId="22372" xr:uid="{00000000-0005-0000-0000-00005C910000}"/>
    <cellStyle name="Comma 8 5 2 5 3 2" xfId="51378" xr:uid="{00000000-0005-0000-0000-00005D910000}"/>
    <cellStyle name="Comma 8 5 2 5 4" xfId="36879" xr:uid="{00000000-0005-0000-0000-00005E910000}"/>
    <cellStyle name="Comma 8 5 2 6" xfId="8878" xr:uid="{00000000-0005-0000-0000-00005F910000}"/>
    <cellStyle name="Comma 8 5 2 6 2" xfId="23412" xr:uid="{00000000-0005-0000-0000-000060910000}"/>
    <cellStyle name="Comma 8 5 2 6 2 2" xfId="52418" xr:uid="{00000000-0005-0000-0000-000061910000}"/>
    <cellStyle name="Comma 8 5 2 6 3" xfId="37919" xr:uid="{00000000-0005-0000-0000-000062910000}"/>
    <cellStyle name="Comma 8 5 2 7" xfId="16164" xr:uid="{00000000-0005-0000-0000-000063910000}"/>
    <cellStyle name="Comma 8 5 2 7 2" xfId="45170" xr:uid="{00000000-0005-0000-0000-000064910000}"/>
    <cellStyle name="Comma 8 5 2 8" xfId="30671" xr:uid="{00000000-0005-0000-0000-000065910000}"/>
    <cellStyle name="Comma 8 5 3" xfId="2134" xr:uid="{00000000-0005-0000-0000-000066910000}"/>
    <cellStyle name="Comma 8 5 3 2" xfId="5238" xr:uid="{00000000-0005-0000-0000-000067910000}"/>
    <cellStyle name="Comma 8 5 3 2 2" xfId="12510" xr:uid="{00000000-0005-0000-0000-000068910000}"/>
    <cellStyle name="Comma 8 5 3 2 2 2" xfId="27044" xr:uid="{00000000-0005-0000-0000-000069910000}"/>
    <cellStyle name="Comma 8 5 3 2 2 2 2" xfId="56050" xr:uid="{00000000-0005-0000-0000-00006A910000}"/>
    <cellStyle name="Comma 8 5 3 2 2 3" xfId="41551" xr:uid="{00000000-0005-0000-0000-00006B910000}"/>
    <cellStyle name="Comma 8 5 3 2 3" xfId="19796" xr:uid="{00000000-0005-0000-0000-00006C910000}"/>
    <cellStyle name="Comma 8 5 3 2 3 2" xfId="48802" xr:uid="{00000000-0005-0000-0000-00006D910000}"/>
    <cellStyle name="Comma 8 5 3 2 4" xfId="34303" xr:uid="{00000000-0005-0000-0000-00006E910000}"/>
    <cellStyle name="Comma 8 5 3 3" xfId="9406" xr:uid="{00000000-0005-0000-0000-00006F910000}"/>
    <cellStyle name="Comma 8 5 3 3 2" xfId="23940" xr:uid="{00000000-0005-0000-0000-000070910000}"/>
    <cellStyle name="Comma 8 5 3 3 2 2" xfId="52946" xr:uid="{00000000-0005-0000-0000-000071910000}"/>
    <cellStyle name="Comma 8 5 3 3 3" xfId="38447" xr:uid="{00000000-0005-0000-0000-000072910000}"/>
    <cellStyle name="Comma 8 5 3 4" xfId="16692" xr:uid="{00000000-0005-0000-0000-000073910000}"/>
    <cellStyle name="Comma 8 5 3 4 2" xfId="45698" xr:uid="{00000000-0005-0000-0000-000074910000}"/>
    <cellStyle name="Comma 8 5 3 5" xfId="31199" xr:uid="{00000000-0005-0000-0000-000075910000}"/>
    <cellStyle name="Comma 8 5 4" xfId="3166" xr:uid="{00000000-0005-0000-0000-000076910000}"/>
    <cellStyle name="Comma 8 5 4 2" xfId="6270" xr:uid="{00000000-0005-0000-0000-000077910000}"/>
    <cellStyle name="Comma 8 5 4 2 2" xfId="13542" xr:uid="{00000000-0005-0000-0000-000078910000}"/>
    <cellStyle name="Comma 8 5 4 2 2 2" xfId="28076" xr:uid="{00000000-0005-0000-0000-000079910000}"/>
    <cellStyle name="Comma 8 5 4 2 2 2 2" xfId="57082" xr:uid="{00000000-0005-0000-0000-00007A910000}"/>
    <cellStyle name="Comma 8 5 4 2 2 3" xfId="42583" xr:uid="{00000000-0005-0000-0000-00007B910000}"/>
    <cellStyle name="Comma 8 5 4 2 3" xfId="20828" xr:uid="{00000000-0005-0000-0000-00007C910000}"/>
    <cellStyle name="Comma 8 5 4 2 3 2" xfId="49834" xr:uid="{00000000-0005-0000-0000-00007D910000}"/>
    <cellStyle name="Comma 8 5 4 2 4" xfId="35335" xr:uid="{00000000-0005-0000-0000-00007E910000}"/>
    <cellStyle name="Comma 8 5 4 3" xfId="10438" xr:uid="{00000000-0005-0000-0000-00007F910000}"/>
    <cellStyle name="Comma 8 5 4 3 2" xfId="24972" xr:uid="{00000000-0005-0000-0000-000080910000}"/>
    <cellStyle name="Comma 8 5 4 3 2 2" xfId="53978" xr:uid="{00000000-0005-0000-0000-000081910000}"/>
    <cellStyle name="Comma 8 5 4 3 3" xfId="39479" xr:uid="{00000000-0005-0000-0000-000082910000}"/>
    <cellStyle name="Comma 8 5 4 4" xfId="17724" xr:uid="{00000000-0005-0000-0000-000083910000}"/>
    <cellStyle name="Comma 8 5 4 4 2" xfId="46730" xr:uid="{00000000-0005-0000-0000-000084910000}"/>
    <cellStyle name="Comma 8 5 4 5" xfId="32231" xr:uid="{00000000-0005-0000-0000-000085910000}"/>
    <cellStyle name="Comma 8 5 5" xfId="4198" xr:uid="{00000000-0005-0000-0000-000086910000}"/>
    <cellStyle name="Comma 8 5 5 2" xfId="11470" xr:uid="{00000000-0005-0000-0000-000087910000}"/>
    <cellStyle name="Comma 8 5 5 2 2" xfId="26004" xr:uid="{00000000-0005-0000-0000-000088910000}"/>
    <cellStyle name="Comma 8 5 5 2 2 2" xfId="55010" xr:uid="{00000000-0005-0000-0000-000089910000}"/>
    <cellStyle name="Comma 8 5 5 2 3" xfId="40511" xr:uid="{00000000-0005-0000-0000-00008A910000}"/>
    <cellStyle name="Comma 8 5 5 3" xfId="18756" xr:uid="{00000000-0005-0000-0000-00008B910000}"/>
    <cellStyle name="Comma 8 5 5 3 2" xfId="47762" xr:uid="{00000000-0005-0000-0000-00008C910000}"/>
    <cellStyle name="Comma 8 5 5 4" xfId="33263" xr:uid="{00000000-0005-0000-0000-00008D910000}"/>
    <cellStyle name="Comma 8 5 6" xfId="7302" xr:uid="{00000000-0005-0000-0000-00008E910000}"/>
    <cellStyle name="Comma 8 5 6 2" xfId="14574" xr:uid="{00000000-0005-0000-0000-00008F910000}"/>
    <cellStyle name="Comma 8 5 6 2 2" xfId="29108" xr:uid="{00000000-0005-0000-0000-000090910000}"/>
    <cellStyle name="Comma 8 5 6 2 2 2" xfId="58114" xr:uid="{00000000-0005-0000-0000-000091910000}"/>
    <cellStyle name="Comma 8 5 6 2 3" xfId="43615" xr:uid="{00000000-0005-0000-0000-000092910000}"/>
    <cellStyle name="Comma 8 5 6 3" xfId="21860" xr:uid="{00000000-0005-0000-0000-000093910000}"/>
    <cellStyle name="Comma 8 5 6 3 2" xfId="50866" xr:uid="{00000000-0005-0000-0000-000094910000}"/>
    <cellStyle name="Comma 8 5 6 4" xfId="36367" xr:uid="{00000000-0005-0000-0000-000095910000}"/>
    <cellStyle name="Comma 8 5 7" xfId="8366" xr:uid="{00000000-0005-0000-0000-000096910000}"/>
    <cellStyle name="Comma 8 5 7 2" xfId="22900" xr:uid="{00000000-0005-0000-0000-000097910000}"/>
    <cellStyle name="Comma 8 5 7 2 2" xfId="51906" xr:uid="{00000000-0005-0000-0000-000098910000}"/>
    <cellStyle name="Comma 8 5 7 3" xfId="37407" xr:uid="{00000000-0005-0000-0000-000099910000}"/>
    <cellStyle name="Comma 8 5 8" xfId="15652" xr:uid="{00000000-0005-0000-0000-00009A910000}"/>
    <cellStyle name="Comma 8 5 8 2" xfId="44658" xr:uid="{00000000-0005-0000-0000-00009B910000}"/>
    <cellStyle name="Comma 8 5 9" xfId="30159" xr:uid="{00000000-0005-0000-0000-00009C910000}"/>
    <cellStyle name="Comma 8 6" xfId="1000" xr:uid="{00000000-0005-0000-0000-00009D910000}"/>
    <cellStyle name="Comma 8 6 10" xfId="59517" xr:uid="{00000000-0005-0000-0000-00009E910000}"/>
    <cellStyle name="Comma 8 6 2" xfId="1488" xr:uid="{00000000-0005-0000-0000-00009F910000}"/>
    <cellStyle name="Comma 8 6 2 2" xfId="2546" xr:uid="{00000000-0005-0000-0000-0000A0910000}"/>
    <cellStyle name="Comma 8 6 2 2 2" xfId="5650" xr:uid="{00000000-0005-0000-0000-0000A1910000}"/>
    <cellStyle name="Comma 8 6 2 2 2 2" xfId="12922" xr:uid="{00000000-0005-0000-0000-0000A2910000}"/>
    <cellStyle name="Comma 8 6 2 2 2 2 2" xfId="27456" xr:uid="{00000000-0005-0000-0000-0000A3910000}"/>
    <cellStyle name="Comma 8 6 2 2 2 2 2 2" xfId="56462" xr:uid="{00000000-0005-0000-0000-0000A4910000}"/>
    <cellStyle name="Comma 8 6 2 2 2 2 3" xfId="41963" xr:uid="{00000000-0005-0000-0000-0000A5910000}"/>
    <cellStyle name="Comma 8 6 2 2 2 3" xfId="20208" xr:uid="{00000000-0005-0000-0000-0000A6910000}"/>
    <cellStyle name="Comma 8 6 2 2 2 3 2" xfId="49214" xr:uid="{00000000-0005-0000-0000-0000A7910000}"/>
    <cellStyle name="Comma 8 6 2 2 2 4" xfId="34715" xr:uid="{00000000-0005-0000-0000-0000A8910000}"/>
    <cellStyle name="Comma 8 6 2 2 3" xfId="9818" xr:uid="{00000000-0005-0000-0000-0000A9910000}"/>
    <cellStyle name="Comma 8 6 2 2 3 2" xfId="24352" xr:uid="{00000000-0005-0000-0000-0000AA910000}"/>
    <cellStyle name="Comma 8 6 2 2 3 2 2" xfId="53358" xr:uid="{00000000-0005-0000-0000-0000AB910000}"/>
    <cellStyle name="Comma 8 6 2 2 3 3" xfId="38859" xr:uid="{00000000-0005-0000-0000-0000AC910000}"/>
    <cellStyle name="Comma 8 6 2 2 4" xfId="17104" xr:uid="{00000000-0005-0000-0000-0000AD910000}"/>
    <cellStyle name="Comma 8 6 2 2 4 2" xfId="46110" xr:uid="{00000000-0005-0000-0000-0000AE910000}"/>
    <cellStyle name="Comma 8 6 2 2 5" xfId="31611" xr:uid="{00000000-0005-0000-0000-0000AF910000}"/>
    <cellStyle name="Comma 8 6 2 3" xfId="3578" xr:uid="{00000000-0005-0000-0000-0000B0910000}"/>
    <cellStyle name="Comma 8 6 2 3 2" xfId="6682" xr:uid="{00000000-0005-0000-0000-0000B1910000}"/>
    <cellStyle name="Comma 8 6 2 3 2 2" xfId="13954" xr:uid="{00000000-0005-0000-0000-0000B2910000}"/>
    <cellStyle name="Comma 8 6 2 3 2 2 2" xfId="28488" xr:uid="{00000000-0005-0000-0000-0000B3910000}"/>
    <cellStyle name="Comma 8 6 2 3 2 2 2 2" xfId="57494" xr:uid="{00000000-0005-0000-0000-0000B4910000}"/>
    <cellStyle name="Comma 8 6 2 3 2 2 3" xfId="42995" xr:uid="{00000000-0005-0000-0000-0000B5910000}"/>
    <cellStyle name="Comma 8 6 2 3 2 3" xfId="21240" xr:uid="{00000000-0005-0000-0000-0000B6910000}"/>
    <cellStyle name="Comma 8 6 2 3 2 3 2" xfId="50246" xr:uid="{00000000-0005-0000-0000-0000B7910000}"/>
    <cellStyle name="Comma 8 6 2 3 2 4" xfId="35747" xr:uid="{00000000-0005-0000-0000-0000B8910000}"/>
    <cellStyle name="Comma 8 6 2 3 3" xfId="10850" xr:uid="{00000000-0005-0000-0000-0000B9910000}"/>
    <cellStyle name="Comma 8 6 2 3 3 2" xfId="25384" xr:uid="{00000000-0005-0000-0000-0000BA910000}"/>
    <cellStyle name="Comma 8 6 2 3 3 2 2" xfId="54390" xr:uid="{00000000-0005-0000-0000-0000BB910000}"/>
    <cellStyle name="Comma 8 6 2 3 3 3" xfId="39891" xr:uid="{00000000-0005-0000-0000-0000BC910000}"/>
    <cellStyle name="Comma 8 6 2 3 4" xfId="18136" xr:uid="{00000000-0005-0000-0000-0000BD910000}"/>
    <cellStyle name="Comma 8 6 2 3 4 2" xfId="47142" xr:uid="{00000000-0005-0000-0000-0000BE910000}"/>
    <cellStyle name="Comma 8 6 2 3 5" xfId="32643" xr:uid="{00000000-0005-0000-0000-0000BF910000}"/>
    <cellStyle name="Comma 8 6 2 4" xfId="4610" xr:uid="{00000000-0005-0000-0000-0000C0910000}"/>
    <cellStyle name="Comma 8 6 2 4 2" xfId="11882" xr:uid="{00000000-0005-0000-0000-0000C1910000}"/>
    <cellStyle name="Comma 8 6 2 4 2 2" xfId="26416" xr:uid="{00000000-0005-0000-0000-0000C2910000}"/>
    <cellStyle name="Comma 8 6 2 4 2 2 2" xfId="55422" xr:uid="{00000000-0005-0000-0000-0000C3910000}"/>
    <cellStyle name="Comma 8 6 2 4 2 3" xfId="40923" xr:uid="{00000000-0005-0000-0000-0000C4910000}"/>
    <cellStyle name="Comma 8 6 2 4 3" xfId="19168" xr:uid="{00000000-0005-0000-0000-0000C5910000}"/>
    <cellStyle name="Comma 8 6 2 4 3 2" xfId="48174" xr:uid="{00000000-0005-0000-0000-0000C6910000}"/>
    <cellStyle name="Comma 8 6 2 4 4" xfId="33675" xr:uid="{00000000-0005-0000-0000-0000C7910000}"/>
    <cellStyle name="Comma 8 6 2 5" xfId="7714" xr:uid="{00000000-0005-0000-0000-0000C8910000}"/>
    <cellStyle name="Comma 8 6 2 5 2" xfId="14986" xr:uid="{00000000-0005-0000-0000-0000C9910000}"/>
    <cellStyle name="Comma 8 6 2 5 2 2" xfId="29520" xr:uid="{00000000-0005-0000-0000-0000CA910000}"/>
    <cellStyle name="Comma 8 6 2 5 2 2 2" xfId="58526" xr:uid="{00000000-0005-0000-0000-0000CB910000}"/>
    <cellStyle name="Comma 8 6 2 5 2 3" xfId="44027" xr:uid="{00000000-0005-0000-0000-0000CC910000}"/>
    <cellStyle name="Comma 8 6 2 5 3" xfId="22272" xr:uid="{00000000-0005-0000-0000-0000CD910000}"/>
    <cellStyle name="Comma 8 6 2 5 3 2" xfId="51278" xr:uid="{00000000-0005-0000-0000-0000CE910000}"/>
    <cellStyle name="Comma 8 6 2 5 4" xfId="36779" xr:uid="{00000000-0005-0000-0000-0000CF910000}"/>
    <cellStyle name="Comma 8 6 2 6" xfId="8778" xr:uid="{00000000-0005-0000-0000-0000D0910000}"/>
    <cellStyle name="Comma 8 6 2 6 2" xfId="23312" xr:uid="{00000000-0005-0000-0000-0000D1910000}"/>
    <cellStyle name="Comma 8 6 2 6 2 2" xfId="52318" xr:uid="{00000000-0005-0000-0000-0000D2910000}"/>
    <cellStyle name="Comma 8 6 2 6 3" xfId="37819" xr:uid="{00000000-0005-0000-0000-0000D3910000}"/>
    <cellStyle name="Comma 8 6 2 7" xfId="16064" xr:uid="{00000000-0005-0000-0000-0000D4910000}"/>
    <cellStyle name="Comma 8 6 2 7 2" xfId="45070" xr:uid="{00000000-0005-0000-0000-0000D5910000}"/>
    <cellStyle name="Comma 8 6 2 8" xfId="30571" xr:uid="{00000000-0005-0000-0000-0000D6910000}"/>
    <cellStyle name="Comma 8 6 3" xfId="2034" xr:uid="{00000000-0005-0000-0000-0000D7910000}"/>
    <cellStyle name="Comma 8 6 3 2" xfId="5138" xr:uid="{00000000-0005-0000-0000-0000D8910000}"/>
    <cellStyle name="Comma 8 6 3 2 2" xfId="12410" xr:uid="{00000000-0005-0000-0000-0000D9910000}"/>
    <cellStyle name="Comma 8 6 3 2 2 2" xfId="26944" xr:uid="{00000000-0005-0000-0000-0000DA910000}"/>
    <cellStyle name="Comma 8 6 3 2 2 2 2" xfId="55950" xr:uid="{00000000-0005-0000-0000-0000DB910000}"/>
    <cellStyle name="Comma 8 6 3 2 2 3" xfId="41451" xr:uid="{00000000-0005-0000-0000-0000DC910000}"/>
    <cellStyle name="Comma 8 6 3 2 3" xfId="19696" xr:uid="{00000000-0005-0000-0000-0000DD910000}"/>
    <cellStyle name="Comma 8 6 3 2 3 2" xfId="48702" xr:uid="{00000000-0005-0000-0000-0000DE910000}"/>
    <cellStyle name="Comma 8 6 3 2 4" xfId="34203" xr:uid="{00000000-0005-0000-0000-0000DF910000}"/>
    <cellStyle name="Comma 8 6 3 3" xfId="9306" xr:uid="{00000000-0005-0000-0000-0000E0910000}"/>
    <cellStyle name="Comma 8 6 3 3 2" xfId="23840" xr:uid="{00000000-0005-0000-0000-0000E1910000}"/>
    <cellStyle name="Comma 8 6 3 3 2 2" xfId="52846" xr:uid="{00000000-0005-0000-0000-0000E2910000}"/>
    <cellStyle name="Comma 8 6 3 3 3" xfId="38347" xr:uid="{00000000-0005-0000-0000-0000E3910000}"/>
    <cellStyle name="Comma 8 6 3 4" xfId="16592" xr:uid="{00000000-0005-0000-0000-0000E4910000}"/>
    <cellStyle name="Comma 8 6 3 4 2" xfId="45598" xr:uid="{00000000-0005-0000-0000-0000E5910000}"/>
    <cellStyle name="Comma 8 6 3 5" xfId="31099" xr:uid="{00000000-0005-0000-0000-0000E6910000}"/>
    <cellStyle name="Comma 8 6 4" xfId="3066" xr:uid="{00000000-0005-0000-0000-0000E7910000}"/>
    <cellStyle name="Comma 8 6 4 2" xfId="6170" xr:uid="{00000000-0005-0000-0000-0000E8910000}"/>
    <cellStyle name="Comma 8 6 4 2 2" xfId="13442" xr:uid="{00000000-0005-0000-0000-0000E9910000}"/>
    <cellStyle name="Comma 8 6 4 2 2 2" xfId="27976" xr:uid="{00000000-0005-0000-0000-0000EA910000}"/>
    <cellStyle name="Comma 8 6 4 2 2 2 2" xfId="56982" xr:uid="{00000000-0005-0000-0000-0000EB910000}"/>
    <cellStyle name="Comma 8 6 4 2 2 3" xfId="42483" xr:uid="{00000000-0005-0000-0000-0000EC910000}"/>
    <cellStyle name="Comma 8 6 4 2 3" xfId="20728" xr:uid="{00000000-0005-0000-0000-0000ED910000}"/>
    <cellStyle name="Comma 8 6 4 2 3 2" xfId="49734" xr:uid="{00000000-0005-0000-0000-0000EE910000}"/>
    <cellStyle name="Comma 8 6 4 2 4" xfId="35235" xr:uid="{00000000-0005-0000-0000-0000EF910000}"/>
    <cellStyle name="Comma 8 6 4 3" xfId="10338" xr:uid="{00000000-0005-0000-0000-0000F0910000}"/>
    <cellStyle name="Comma 8 6 4 3 2" xfId="24872" xr:uid="{00000000-0005-0000-0000-0000F1910000}"/>
    <cellStyle name="Comma 8 6 4 3 2 2" xfId="53878" xr:uid="{00000000-0005-0000-0000-0000F2910000}"/>
    <cellStyle name="Comma 8 6 4 3 3" xfId="39379" xr:uid="{00000000-0005-0000-0000-0000F3910000}"/>
    <cellStyle name="Comma 8 6 4 4" xfId="17624" xr:uid="{00000000-0005-0000-0000-0000F4910000}"/>
    <cellStyle name="Comma 8 6 4 4 2" xfId="46630" xr:uid="{00000000-0005-0000-0000-0000F5910000}"/>
    <cellStyle name="Comma 8 6 4 5" xfId="32131" xr:uid="{00000000-0005-0000-0000-0000F6910000}"/>
    <cellStyle name="Comma 8 6 5" xfId="4098" xr:uid="{00000000-0005-0000-0000-0000F7910000}"/>
    <cellStyle name="Comma 8 6 5 2" xfId="11370" xr:uid="{00000000-0005-0000-0000-0000F8910000}"/>
    <cellStyle name="Comma 8 6 5 2 2" xfId="25904" xr:uid="{00000000-0005-0000-0000-0000F9910000}"/>
    <cellStyle name="Comma 8 6 5 2 2 2" xfId="54910" xr:uid="{00000000-0005-0000-0000-0000FA910000}"/>
    <cellStyle name="Comma 8 6 5 2 3" xfId="40411" xr:uid="{00000000-0005-0000-0000-0000FB910000}"/>
    <cellStyle name="Comma 8 6 5 3" xfId="18656" xr:uid="{00000000-0005-0000-0000-0000FC910000}"/>
    <cellStyle name="Comma 8 6 5 3 2" xfId="47662" xr:uid="{00000000-0005-0000-0000-0000FD910000}"/>
    <cellStyle name="Comma 8 6 5 4" xfId="33163" xr:uid="{00000000-0005-0000-0000-0000FE910000}"/>
    <cellStyle name="Comma 8 6 6" xfId="7202" xr:uid="{00000000-0005-0000-0000-0000FF910000}"/>
    <cellStyle name="Comma 8 6 6 2" xfId="14474" xr:uid="{00000000-0005-0000-0000-000000920000}"/>
    <cellStyle name="Comma 8 6 6 2 2" xfId="29008" xr:uid="{00000000-0005-0000-0000-000001920000}"/>
    <cellStyle name="Comma 8 6 6 2 2 2" xfId="58014" xr:uid="{00000000-0005-0000-0000-000002920000}"/>
    <cellStyle name="Comma 8 6 6 2 3" xfId="43515" xr:uid="{00000000-0005-0000-0000-000003920000}"/>
    <cellStyle name="Comma 8 6 6 3" xfId="21760" xr:uid="{00000000-0005-0000-0000-000004920000}"/>
    <cellStyle name="Comma 8 6 6 3 2" xfId="50766" xr:uid="{00000000-0005-0000-0000-000005920000}"/>
    <cellStyle name="Comma 8 6 6 4" xfId="36267" xr:uid="{00000000-0005-0000-0000-000006920000}"/>
    <cellStyle name="Comma 8 6 7" xfId="8266" xr:uid="{00000000-0005-0000-0000-000007920000}"/>
    <cellStyle name="Comma 8 6 7 2" xfId="22800" xr:uid="{00000000-0005-0000-0000-000008920000}"/>
    <cellStyle name="Comma 8 6 7 2 2" xfId="51806" xr:uid="{00000000-0005-0000-0000-000009920000}"/>
    <cellStyle name="Comma 8 6 7 3" xfId="37307" xr:uid="{00000000-0005-0000-0000-00000A920000}"/>
    <cellStyle name="Comma 8 6 8" xfId="15552" xr:uid="{00000000-0005-0000-0000-00000B920000}"/>
    <cellStyle name="Comma 8 6 8 2" xfId="44558" xr:uid="{00000000-0005-0000-0000-00000C920000}"/>
    <cellStyle name="Comma 8 6 9" xfId="30059" xr:uid="{00000000-0005-0000-0000-00000D920000}"/>
    <cellStyle name="Comma 8 7" xfId="1284" xr:uid="{00000000-0005-0000-0000-00000E920000}"/>
    <cellStyle name="Comma 8 7 2" xfId="2340" xr:uid="{00000000-0005-0000-0000-00000F920000}"/>
    <cellStyle name="Comma 8 7 2 2" xfId="5444" xr:uid="{00000000-0005-0000-0000-000010920000}"/>
    <cellStyle name="Comma 8 7 2 2 2" xfId="12716" xr:uid="{00000000-0005-0000-0000-000011920000}"/>
    <cellStyle name="Comma 8 7 2 2 2 2" xfId="27250" xr:uid="{00000000-0005-0000-0000-000012920000}"/>
    <cellStyle name="Comma 8 7 2 2 2 2 2" xfId="56256" xr:uid="{00000000-0005-0000-0000-000013920000}"/>
    <cellStyle name="Comma 8 7 2 2 2 3" xfId="41757" xr:uid="{00000000-0005-0000-0000-000014920000}"/>
    <cellStyle name="Comma 8 7 2 2 3" xfId="20002" xr:uid="{00000000-0005-0000-0000-000015920000}"/>
    <cellStyle name="Comma 8 7 2 2 3 2" xfId="49008" xr:uid="{00000000-0005-0000-0000-000016920000}"/>
    <cellStyle name="Comma 8 7 2 2 4" xfId="34509" xr:uid="{00000000-0005-0000-0000-000017920000}"/>
    <cellStyle name="Comma 8 7 2 3" xfId="9612" xr:uid="{00000000-0005-0000-0000-000018920000}"/>
    <cellStyle name="Comma 8 7 2 3 2" xfId="24146" xr:uid="{00000000-0005-0000-0000-000019920000}"/>
    <cellStyle name="Comma 8 7 2 3 2 2" xfId="53152" xr:uid="{00000000-0005-0000-0000-00001A920000}"/>
    <cellStyle name="Comma 8 7 2 3 3" xfId="38653" xr:uid="{00000000-0005-0000-0000-00001B920000}"/>
    <cellStyle name="Comma 8 7 2 4" xfId="16898" xr:uid="{00000000-0005-0000-0000-00001C920000}"/>
    <cellStyle name="Comma 8 7 2 4 2" xfId="45904" xr:uid="{00000000-0005-0000-0000-00001D920000}"/>
    <cellStyle name="Comma 8 7 2 5" xfId="31405" xr:uid="{00000000-0005-0000-0000-00001E920000}"/>
    <cellStyle name="Comma 8 7 3" xfId="3372" xr:uid="{00000000-0005-0000-0000-00001F920000}"/>
    <cellStyle name="Comma 8 7 3 2" xfId="6476" xr:uid="{00000000-0005-0000-0000-000020920000}"/>
    <cellStyle name="Comma 8 7 3 2 2" xfId="13748" xr:uid="{00000000-0005-0000-0000-000021920000}"/>
    <cellStyle name="Comma 8 7 3 2 2 2" xfId="28282" xr:uid="{00000000-0005-0000-0000-000022920000}"/>
    <cellStyle name="Comma 8 7 3 2 2 2 2" xfId="57288" xr:uid="{00000000-0005-0000-0000-000023920000}"/>
    <cellStyle name="Comma 8 7 3 2 2 3" xfId="42789" xr:uid="{00000000-0005-0000-0000-000024920000}"/>
    <cellStyle name="Comma 8 7 3 2 3" xfId="21034" xr:uid="{00000000-0005-0000-0000-000025920000}"/>
    <cellStyle name="Comma 8 7 3 2 3 2" xfId="50040" xr:uid="{00000000-0005-0000-0000-000026920000}"/>
    <cellStyle name="Comma 8 7 3 2 4" xfId="35541" xr:uid="{00000000-0005-0000-0000-000027920000}"/>
    <cellStyle name="Comma 8 7 3 3" xfId="10644" xr:uid="{00000000-0005-0000-0000-000028920000}"/>
    <cellStyle name="Comma 8 7 3 3 2" xfId="25178" xr:uid="{00000000-0005-0000-0000-000029920000}"/>
    <cellStyle name="Comma 8 7 3 3 2 2" xfId="54184" xr:uid="{00000000-0005-0000-0000-00002A920000}"/>
    <cellStyle name="Comma 8 7 3 3 3" xfId="39685" xr:uid="{00000000-0005-0000-0000-00002B920000}"/>
    <cellStyle name="Comma 8 7 3 4" xfId="17930" xr:uid="{00000000-0005-0000-0000-00002C920000}"/>
    <cellStyle name="Comma 8 7 3 4 2" xfId="46936" xr:uid="{00000000-0005-0000-0000-00002D920000}"/>
    <cellStyle name="Comma 8 7 3 5" xfId="32437" xr:uid="{00000000-0005-0000-0000-00002E920000}"/>
    <cellStyle name="Comma 8 7 4" xfId="4404" xr:uid="{00000000-0005-0000-0000-00002F920000}"/>
    <cellStyle name="Comma 8 7 4 2" xfId="11676" xr:uid="{00000000-0005-0000-0000-000030920000}"/>
    <cellStyle name="Comma 8 7 4 2 2" xfId="26210" xr:uid="{00000000-0005-0000-0000-000031920000}"/>
    <cellStyle name="Comma 8 7 4 2 2 2" xfId="55216" xr:uid="{00000000-0005-0000-0000-000032920000}"/>
    <cellStyle name="Comma 8 7 4 2 3" xfId="40717" xr:uid="{00000000-0005-0000-0000-000033920000}"/>
    <cellStyle name="Comma 8 7 4 3" xfId="18962" xr:uid="{00000000-0005-0000-0000-000034920000}"/>
    <cellStyle name="Comma 8 7 4 3 2" xfId="47968" xr:uid="{00000000-0005-0000-0000-000035920000}"/>
    <cellStyle name="Comma 8 7 4 4" xfId="33469" xr:uid="{00000000-0005-0000-0000-000036920000}"/>
    <cellStyle name="Comma 8 7 5" xfId="7508" xr:uid="{00000000-0005-0000-0000-000037920000}"/>
    <cellStyle name="Comma 8 7 5 2" xfId="14780" xr:uid="{00000000-0005-0000-0000-000038920000}"/>
    <cellStyle name="Comma 8 7 5 2 2" xfId="29314" xr:uid="{00000000-0005-0000-0000-000039920000}"/>
    <cellStyle name="Comma 8 7 5 2 2 2" xfId="58320" xr:uid="{00000000-0005-0000-0000-00003A920000}"/>
    <cellStyle name="Comma 8 7 5 2 3" xfId="43821" xr:uid="{00000000-0005-0000-0000-00003B920000}"/>
    <cellStyle name="Comma 8 7 5 3" xfId="22066" xr:uid="{00000000-0005-0000-0000-00003C920000}"/>
    <cellStyle name="Comma 8 7 5 3 2" xfId="51072" xr:uid="{00000000-0005-0000-0000-00003D920000}"/>
    <cellStyle name="Comma 8 7 5 4" xfId="36573" xr:uid="{00000000-0005-0000-0000-00003E920000}"/>
    <cellStyle name="Comma 8 7 6" xfId="8572" xr:uid="{00000000-0005-0000-0000-00003F920000}"/>
    <cellStyle name="Comma 8 7 6 2" xfId="23106" xr:uid="{00000000-0005-0000-0000-000040920000}"/>
    <cellStyle name="Comma 8 7 6 2 2" xfId="52112" xr:uid="{00000000-0005-0000-0000-000041920000}"/>
    <cellStyle name="Comma 8 7 6 3" xfId="37613" xr:uid="{00000000-0005-0000-0000-000042920000}"/>
    <cellStyle name="Comma 8 7 7" xfId="15858" xr:uid="{00000000-0005-0000-0000-000043920000}"/>
    <cellStyle name="Comma 8 7 7 2" xfId="44864" xr:uid="{00000000-0005-0000-0000-000044920000}"/>
    <cellStyle name="Comma 8 7 8" xfId="30365" xr:uid="{00000000-0005-0000-0000-000045920000}"/>
    <cellStyle name="Comma 8 8" xfId="1791" xr:uid="{00000000-0005-0000-0000-000046920000}"/>
    <cellStyle name="Comma 8 9" xfId="1828" xr:uid="{00000000-0005-0000-0000-000047920000}"/>
    <cellStyle name="Comma 8 9 2" xfId="4932" xr:uid="{00000000-0005-0000-0000-000048920000}"/>
    <cellStyle name="Comma 8 9 2 2" xfId="12204" xr:uid="{00000000-0005-0000-0000-000049920000}"/>
    <cellStyle name="Comma 8 9 2 2 2" xfId="26738" xr:uid="{00000000-0005-0000-0000-00004A920000}"/>
    <cellStyle name="Comma 8 9 2 2 2 2" xfId="55744" xr:uid="{00000000-0005-0000-0000-00004B920000}"/>
    <cellStyle name="Comma 8 9 2 2 3" xfId="41245" xr:uid="{00000000-0005-0000-0000-00004C920000}"/>
    <cellStyle name="Comma 8 9 2 3" xfId="19490" xr:uid="{00000000-0005-0000-0000-00004D920000}"/>
    <cellStyle name="Comma 8 9 2 3 2" xfId="48496" xr:uid="{00000000-0005-0000-0000-00004E920000}"/>
    <cellStyle name="Comma 8 9 2 4" xfId="33997" xr:uid="{00000000-0005-0000-0000-00004F920000}"/>
    <cellStyle name="Comma 8 9 3" xfId="9100" xr:uid="{00000000-0005-0000-0000-000050920000}"/>
    <cellStyle name="Comma 8 9 3 2" xfId="23634" xr:uid="{00000000-0005-0000-0000-000051920000}"/>
    <cellStyle name="Comma 8 9 3 2 2" xfId="52640" xr:uid="{00000000-0005-0000-0000-000052920000}"/>
    <cellStyle name="Comma 8 9 3 3" xfId="38141" xr:uid="{00000000-0005-0000-0000-000053920000}"/>
    <cellStyle name="Comma 8 9 4" xfId="16386" xr:uid="{00000000-0005-0000-0000-000054920000}"/>
    <cellStyle name="Comma 8 9 4 2" xfId="45392" xr:uid="{00000000-0005-0000-0000-000055920000}"/>
    <cellStyle name="Comma 8 9 5" xfId="30893" xr:uid="{00000000-0005-0000-0000-000056920000}"/>
    <cellStyle name="Comma 9" xfId="611" xr:uid="{00000000-0005-0000-0000-000057920000}"/>
    <cellStyle name="Comma 9 2" xfId="821" xr:uid="{00000000-0005-0000-0000-000058920000}"/>
    <cellStyle name="Comma 9 3" xfId="59471" xr:uid="{00000000-0005-0000-0000-000059920000}"/>
    <cellStyle name="Currency" xfId="2" builtinId="4"/>
    <cellStyle name="Currency 10" xfId="1119" xr:uid="{00000000-0005-0000-0000-00005B920000}"/>
    <cellStyle name="Currency 11" xfId="1788" xr:uid="{00000000-0005-0000-0000-00005C920000}"/>
    <cellStyle name="Currency 11 2" xfId="2833" xr:uid="{00000000-0005-0000-0000-00005D920000}"/>
    <cellStyle name="Currency 11 2 2" xfId="5937" xr:uid="{00000000-0005-0000-0000-00005E920000}"/>
    <cellStyle name="Currency 11 2 2 2" xfId="13209" xr:uid="{00000000-0005-0000-0000-00005F920000}"/>
    <cellStyle name="Currency 11 2 2 2 2" xfId="27743" xr:uid="{00000000-0005-0000-0000-000060920000}"/>
    <cellStyle name="Currency 11 2 2 2 2 2" xfId="56749" xr:uid="{00000000-0005-0000-0000-000061920000}"/>
    <cellStyle name="Currency 11 2 2 2 3" xfId="42250" xr:uid="{00000000-0005-0000-0000-000062920000}"/>
    <cellStyle name="Currency 11 2 2 3" xfId="20495" xr:uid="{00000000-0005-0000-0000-000063920000}"/>
    <cellStyle name="Currency 11 2 2 3 2" xfId="49501" xr:uid="{00000000-0005-0000-0000-000064920000}"/>
    <cellStyle name="Currency 11 2 2 4" xfId="35002" xr:uid="{00000000-0005-0000-0000-000065920000}"/>
    <cellStyle name="Currency 11 2 3" xfId="10105" xr:uid="{00000000-0005-0000-0000-000066920000}"/>
    <cellStyle name="Currency 11 2 3 2" xfId="24639" xr:uid="{00000000-0005-0000-0000-000067920000}"/>
    <cellStyle name="Currency 11 2 3 2 2" xfId="53645" xr:uid="{00000000-0005-0000-0000-000068920000}"/>
    <cellStyle name="Currency 11 2 3 3" xfId="39146" xr:uid="{00000000-0005-0000-0000-000069920000}"/>
    <cellStyle name="Currency 11 2 4" xfId="17391" xr:uid="{00000000-0005-0000-0000-00006A920000}"/>
    <cellStyle name="Currency 11 2 4 2" xfId="46397" xr:uid="{00000000-0005-0000-0000-00006B920000}"/>
    <cellStyle name="Currency 11 2 5" xfId="31898" xr:uid="{00000000-0005-0000-0000-00006C920000}"/>
    <cellStyle name="Currency 11 3" xfId="3865" xr:uid="{00000000-0005-0000-0000-00006D920000}"/>
    <cellStyle name="Currency 11 3 2" xfId="6969" xr:uid="{00000000-0005-0000-0000-00006E920000}"/>
    <cellStyle name="Currency 11 3 2 2" xfId="14241" xr:uid="{00000000-0005-0000-0000-00006F920000}"/>
    <cellStyle name="Currency 11 3 2 2 2" xfId="28775" xr:uid="{00000000-0005-0000-0000-000070920000}"/>
    <cellStyle name="Currency 11 3 2 2 2 2" xfId="57781" xr:uid="{00000000-0005-0000-0000-000071920000}"/>
    <cellStyle name="Currency 11 3 2 2 3" xfId="43282" xr:uid="{00000000-0005-0000-0000-000072920000}"/>
    <cellStyle name="Currency 11 3 2 3" xfId="21527" xr:uid="{00000000-0005-0000-0000-000073920000}"/>
    <cellStyle name="Currency 11 3 2 3 2" xfId="50533" xr:uid="{00000000-0005-0000-0000-000074920000}"/>
    <cellStyle name="Currency 11 3 2 4" xfId="36034" xr:uid="{00000000-0005-0000-0000-000075920000}"/>
    <cellStyle name="Currency 11 3 3" xfId="11137" xr:uid="{00000000-0005-0000-0000-000076920000}"/>
    <cellStyle name="Currency 11 3 3 2" xfId="25671" xr:uid="{00000000-0005-0000-0000-000077920000}"/>
    <cellStyle name="Currency 11 3 3 2 2" xfId="54677" xr:uid="{00000000-0005-0000-0000-000078920000}"/>
    <cellStyle name="Currency 11 3 3 3" xfId="40178" xr:uid="{00000000-0005-0000-0000-000079920000}"/>
    <cellStyle name="Currency 11 3 4" xfId="18423" xr:uid="{00000000-0005-0000-0000-00007A920000}"/>
    <cellStyle name="Currency 11 3 4 2" xfId="47429" xr:uid="{00000000-0005-0000-0000-00007B920000}"/>
    <cellStyle name="Currency 11 3 5" xfId="32930" xr:uid="{00000000-0005-0000-0000-00007C920000}"/>
    <cellStyle name="Currency 11 4" xfId="4897" xr:uid="{00000000-0005-0000-0000-00007D920000}"/>
    <cellStyle name="Currency 11 4 2" xfId="12169" xr:uid="{00000000-0005-0000-0000-00007E920000}"/>
    <cellStyle name="Currency 11 4 2 2" xfId="26703" xr:uid="{00000000-0005-0000-0000-00007F920000}"/>
    <cellStyle name="Currency 11 4 2 2 2" xfId="55709" xr:uid="{00000000-0005-0000-0000-000080920000}"/>
    <cellStyle name="Currency 11 4 2 3" xfId="41210" xr:uid="{00000000-0005-0000-0000-000081920000}"/>
    <cellStyle name="Currency 11 4 3" xfId="19455" xr:uid="{00000000-0005-0000-0000-000082920000}"/>
    <cellStyle name="Currency 11 4 3 2" xfId="48461" xr:uid="{00000000-0005-0000-0000-000083920000}"/>
    <cellStyle name="Currency 11 4 4" xfId="33962" xr:uid="{00000000-0005-0000-0000-000084920000}"/>
    <cellStyle name="Currency 11 5" xfId="8001" xr:uid="{00000000-0005-0000-0000-000085920000}"/>
    <cellStyle name="Currency 11 5 2" xfId="15273" xr:uid="{00000000-0005-0000-0000-000086920000}"/>
    <cellStyle name="Currency 11 5 2 2" xfId="29807" xr:uid="{00000000-0005-0000-0000-000087920000}"/>
    <cellStyle name="Currency 11 5 2 2 2" xfId="58813" xr:uid="{00000000-0005-0000-0000-000088920000}"/>
    <cellStyle name="Currency 11 5 2 3" xfId="44314" xr:uid="{00000000-0005-0000-0000-000089920000}"/>
    <cellStyle name="Currency 11 5 3" xfId="22559" xr:uid="{00000000-0005-0000-0000-00008A920000}"/>
    <cellStyle name="Currency 11 5 3 2" xfId="51565" xr:uid="{00000000-0005-0000-0000-00008B920000}"/>
    <cellStyle name="Currency 11 5 4" xfId="37066" xr:uid="{00000000-0005-0000-0000-00008C920000}"/>
    <cellStyle name="Currency 11 6" xfId="9065" xr:uid="{00000000-0005-0000-0000-00008D920000}"/>
    <cellStyle name="Currency 11 6 2" xfId="23599" xr:uid="{00000000-0005-0000-0000-00008E920000}"/>
    <cellStyle name="Currency 11 6 2 2" xfId="52605" xr:uid="{00000000-0005-0000-0000-00008F920000}"/>
    <cellStyle name="Currency 11 6 3" xfId="38106" xr:uid="{00000000-0005-0000-0000-000090920000}"/>
    <cellStyle name="Currency 11 7" xfId="16351" xr:uid="{00000000-0005-0000-0000-000091920000}"/>
    <cellStyle name="Currency 11 7 2" xfId="45357" xr:uid="{00000000-0005-0000-0000-000092920000}"/>
    <cellStyle name="Currency 11 8" xfId="30858" xr:uid="{00000000-0005-0000-0000-000093920000}"/>
    <cellStyle name="Currency 12" xfId="1801" xr:uid="{00000000-0005-0000-0000-000094920000}"/>
    <cellStyle name="Currency 12 2" xfId="4905" xr:uid="{00000000-0005-0000-0000-000095920000}"/>
    <cellStyle name="Currency 12 2 2" xfId="12177" xr:uid="{00000000-0005-0000-0000-000096920000}"/>
    <cellStyle name="Currency 12 2 2 2" xfId="26711" xr:uid="{00000000-0005-0000-0000-000097920000}"/>
    <cellStyle name="Currency 12 2 2 2 2" xfId="55717" xr:uid="{00000000-0005-0000-0000-000098920000}"/>
    <cellStyle name="Currency 12 2 2 3" xfId="41218" xr:uid="{00000000-0005-0000-0000-000099920000}"/>
    <cellStyle name="Currency 12 2 3" xfId="19463" xr:uid="{00000000-0005-0000-0000-00009A920000}"/>
    <cellStyle name="Currency 12 2 3 2" xfId="48469" xr:uid="{00000000-0005-0000-0000-00009B920000}"/>
    <cellStyle name="Currency 12 2 4" xfId="33970" xr:uid="{00000000-0005-0000-0000-00009C920000}"/>
    <cellStyle name="Currency 12 3" xfId="9073" xr:uid="{00000000-0005-0000-0000-00009D920000}"/>
    <cellStyle name="Currency 12 3 2" xfId="23607" xr:uid="{00000000-0005-0000-0000-00009E920000}"/>
    <cellStyle name="Currency 12 3 2 2" xfId="52613" xr:uid="{00000000-0005-0000-0000-00009F920000}"/>
    <cellStyle name="Currency 12 3 3" xfId="38114" xr:uid="{00000000-0005-0000-0000-0000A0920000}"/>
    <cellStyle name="Currency 12 4" xfId="16359" xr:uid="{00000000-0005-0000-0000-0000A1920000}"/>
    <cellStyle name="Currency 12 4 2" xfId="45365" xr:uid="{00000000-0005-0000-0000-0000A2920000}"/>
    <cellStyle name="Currency 12 5" xfId="30866" xr:uid="{00000000-0005-0000-0000-0000A3920000}"/>
    <cellStyle name="Currency 13" xfId="862" xr:uid="{00000000-0005-0000-0000-0000A4920000}"/>
    <cellStyle name="Currency 13 2" xfId="15281" xr:uid="{00000000-0005-0000-0000-0000A5920000}"/>
    <cellStyle name="Currency 13 2 2" xfId="29815" xr:uid="{00000000-0005-0000-0000-0000A6920000}"/>
    <cellStyle name="Currency 13 2 2 2" xfId="58821" xr:uid="{00000000-0005-0000-0000-0000A7920000}"/>
    <cellStyle name="Currency 13 2 3" xfId="44322" xr:uid="{00000000-0005-0000-0000-0000A8920000}"/>
    <cellStyle name="Currency 13 3" xfId="8033" xr:uid="{00000000-0005-0000-0000-0000A9920000}"/>
    <cellStyle name="Currency 13 3 2" xfId="22567" xr:uid="{00000000-0005-0000-0000-0000AA920000}"/>
    <cellStyle name="Currency 13 3 2 2" xfId="51573" xr:uid="{00000000-0005-0000-0000-0000AB920000}"/>
    <cellStyle name="Currency 13 3 3" xfId="37074" xr:uid="{00000000-0005-0000-0000-0000AC920000}"/>
    <cellStyle name="Currency 14" xfId="58854" xr:uid="{00000000-0005-0000-0000-0000AD920000}"/>
    <cellStyle name="Currency 15" xfId="58858" xr:uid="{00000000-0005-0000-0000-0000AE920000}"/>
    <cellStyle name="Currency 2" xfId="11" xr:uid="{00000000-0005-0000-0000-0000AF920000}"/>
    <cellStyle name="Currency 2 10" xfId="59070" xr:uid="{00000000-0005-0000-0000-0000B0920000}"/>
    <cellStyle name="Currency 2 11" xfId="88" xr:uid="{00000000-0005-0000-0000-0000B1920000}"/>
    <cellStyle name="Currency 2 2" xfId="97" xr:uid="{00000000-0005-0000-0000-0000B2920000}"/>
    <cellStyle name="Currency 2 2 2" xfId="745" xr:uid="{00000000-0005-0000-0000-0000B3920000}"/>
    <cellStyle name="Currency 2 2 3" xfId="744" xr:uid="{00000000-0005-0000-0000-0000B4920000}"/>
    <cellStyle name="Currency 2 3" xfId="125" xr:uid="{00000000-0005-0000-0000-0000B5920000}"/>
    <cellStyle name="Currency 2 3 2" xfId="150" xr:uid="{00000000-0005-0000-0000-0000B6920000}"/>
    <cellStyle name="Currency 2 3 2 2" xfId="224" xr:uid="{00000000-0005-0000-0000-0000B7920000}"/>
    <cellStyle name="Currency 2 3 2 2 2" xfId="547" xr:uid="{00000000-0005-0000-0000-0000B8920000}"/>
    <cellStyle name="Currency 2 3 2 2 2 2" xfId="59408" xr:uid="{00000000-0005-0000-0000-0000B9920000}"/>
    <cellStyle name="Currency 2 3 2 2 3" xfId="59048" xr:uid="{00000000-0005-0000-0000-0000BA920000}"/>
    <cellStyle name="Currency 2 3 2 2 3 2" xfId="59600" xr:uid="{00000000-0005-0000-0000-0000BB920000}"/>
    <cellStyle name="Currency 2 3 2 2 4" xfId="59127" xr:uid="{00000000-0005-0000-0000-0000BC920000}"/>
    <cellStyle name="Currency 2 3 2 3" xfId="476" xr:uid="{00000000-0005-0000-0000-0000BD920000}"/>
    <cellStyle name="Currency 2 3 2 3 2" xfId="59335" xr:uid="{00000000-0005-0000-0000-0000BE920000}"/>
    <cellStyle name="Currency 2 3 2 4" xfId="746" xr:uid="{00000000-0005-0000-0000-0000BF920000}"/>
    <cellStyle name="Currency 2 3 2 4 2" xfId="59529" xr:uid="{00000000-0005-0000-0000-0000C0920000}"/>
    <cellStyle name="Currency 2 3 2 5" xfId="58974" xr:uid="{00000000-0005-0000-0000-0000C1920000}"/>
    <cellStyle name="Currency 2 3 2 6" xfId="59098" xr:uid="{00000000-0005-0000-0000-0000C2920000}"/>
    <cellStyle name="Currency 2 3 3" xfId="200" xr:uid="{00000000-0005-0000-0000-0000C3920000}"/>
    <cellStyle name="Currency 2 3 3 2" xfId="519" xr:uid="{00000000-0005-0000-0000-0000C4920000}"/>
    <cellStyle name="Currency 2 3 3 2 2" xfId="59378" xr:uid="{00000000-0005-0000-0000-0000C5920000}"/>
    <cellStyle name="Currency 2 3 3 3" xfId="59024" xr:uid="{00000000-0005-0000-0000-0000C6920000}"/>
    <cellStyle name="Currency 2 3 3 3 2" xfId="59578" xr:uid="{00000000-0005-0000-0000-0000C7920000}"/>
    <cellStyle name="Currency 2 3 3 4" xfId="59113" xr:uid="{00000000-0005-0000-0000-0000C8920000}"/>
    <cellStyle name="Currency 2 3 4" xfId="447" xr:uid="{00000000-0005-0000-0000-0000C9920000}"/>
    <cellStyle name="Currency 2 3 4 2" xfId="59303" xr:uid="{00000000-0005-0000-0000-0000CA920000}"/>
    <cellStyle name="Currency 2 3 5" xfId="596" xr:uid="{00000000-0005-0000-0000-0000CB920000}"/>
    <cellStyle name="Currency 2 3 5 2" xfId="59457" xr:uid="{00000000-0005-0000-0000-0000CC920000}"/>
    <cellStyle name="Currency 2 3 6" xfId="331" xr:uid="{00000000-0005-0000-0000-0000CD920000}"/>
    <cellStyle name="Currency 2 3 6 2" xfId="59179" xr:uid="{00000000-0005-0000-0000-0000CE920000}"/>
    <cellStyle name="Currency 2 3 7" xfId="626" xr:uid="{00000000-0005-0000-0000-0000CF920000}"/>
    <cellStyle name="Currency 2 3 7 2" xfId="59506" xr:uid="{00000000-0005-0000-0000-0000D0920000}"/>
    <cellStyle name="Currency 2 3 8" xfId="58950" xr:uid="{00000000-0005-0000-0000-0000D1920000}"/>
    <cellStyle name="Currency 2 3 9" xfId="59084" xr:uid="{00000000-0005-0000-0000-0000D2920000}"/>
    <cellStyle name="Currency 2 4" xfId="138" xr:uid="{00000000-0005-0000-0000-0000D3920000}"/>
    <cellStyle name="Currency 2 4 2" xfId="278" xr:uid="{00000000-0005-0000-0000-0000D4920000}"/>
    <cellStyle name="Currency 2 4 2 2" xfId="526" xr:uid="{00000000-0005-0000-0000-0000D5920000}"/>
    <cellStyle name="Currency 2 4 2 2 2" xfId="59388" xr:uid="{00000000-0005-0000-0000-0000D6920000}"/>
    <cellStyle name="Currency 2 4 2 3" xfId="394" xr:uid="{00000000-0005-0000-0000-0000D7920000}"/>
    <cellStyle name="Currency 2 4 2 4" xfId="59248" xr:uid="{00000000-0005-0000-0000-0000D8920000}"/>
    <cellStyle name="Currency 2 4 3" xfId="454" xr:uid="{00000000-0005-0000-0000-0000D9920000}"/>
    <cellStyle name="Currency 2 4 3 2" xfId="58880" xr:uid="{00000000-0005-0000-0000-0000DA920000}"/>
    <cellStyle name="Currency 2 4 3 3" xfId="59313" xr:uid="{00000000-0005-0000-0000-0000DB920000}"/>
    <cellStyle name="Currency 2 4 4" xfId="609" xr:uid="{00000000-0005-0000-0000-0000DC920000}"/>
    <cellStyle name="Currency 2 4 5" xfId="344" xr:uid="{00000000-0005-0000-0000-0000DD920000}"/>
    <cellStyle name="Currency 2 4 5 2" xfId="59189" xr:uid="{00000000-0005-0000-0000-0000DE920000}"/>
    <cellStyle name="Currency 2 4 6" xfId="310" xr:uid="{00000000-0005-0000-0000-0000DF920000}"/>
    <cellStyle name="Currency 2 4 7" xfId="59081" xr:uid="{00000000-0005-0000-0000-0000E0920000}"/>
    <cellStyle name="Currency 2 5" xfId="169" xr:uid="{00000000-0005-0000-0000-0000E1920000}"/>
    <cellStyle name="Currency 2 5 2" xfId="495" xr:uid="{00000000-0005-0000-0000-0000E2920000}"/>
    <cellStyle name="Currency 2 5 2 2" xfId="59354" xr:uid="{00000000-0005-0000-0000-0000E3920000}"/>
    <cellStyle name="Currency 2 5 3" xfId="370" xr:uid="{00000000-0005-0000-0000-0000E4920000}"/>
    <cellStyle name="Currency 2 5 3 2" xfId="59216" xr:uid="{00000000-0005-0000-0000-0000E5920000}"/>
    <cellStyle name="Currency 2 5 4" xfId="58993" xr:uid="{00000000-0005-0000-0000-0000E6920000}"/>
    <cellStyle name="Currency 2 5 4 2" xfId="59547" xr:uid="{00000000-0005-0000-0000-0000E7920000}"/>
    <cellStyle name="Currency 2 5 5" xfId="59142" xr:uid="{00000000-0005-0000-0000-0000E8920000}"/>
    <cellStyle name="Currency 2 6" xfId="247" xr:uid="{00000000-0005-0000-0000-0000E9920000}"/>
    <cellStyle name="Currency 2 6 2" xfId="423" xr:uid="{00000000-0005-0000-0000-0000EA920000}"/>
    <cellStyle name="Currency 2 6 2 2" xfId="59279" xr:uid="{00000000-0005-0000-0000-0000EB920000}"/>
    <cellStyle name="Currency 2 6 3" xfId="255" xr:uid="{00000000-0005-0000-0000-0000EC920000}"/>
    <cellStyle name="Currency 2 6 4" xfId="59148" xr:uid="{00000000-0005-0000-0000-0000ED920000}"/>
    <cellStyle name="Currency 2 7" xfId="565" xr:uid="{00000000-0005-0000-0000-0000EE920000}"/>
    <cellStyle name="Currency 2 7 2" xfId="59426" xr:uid="{00000000-0005-0000-0000-0000EF920000}"/>
    <cellStyle name="Currency 2 8" xfId="167" xr:uid="{00000000-0005-0000-0000-0000F0920000}"/>
    <cellStyle name="Currency 2 8 2" xfId="59155" xr:uid="{00000000-0005-0000-0000-0000F1920000}"/>
    <cellStyle name="Currency 2 9" xfId="58918" xr:uid="{00000000-0005-0000-0000-0000F2920000}"/>
    <cellStyle name="Currency 2 9 2" xfId="59475" xr:uid="{00000000-0005-0000-0000-0000F3920000}"/>
    <cellStyle name="Currency 3" xfId="14" xr:uid="{00000000-0005-0000-0000-0000F4920000}"/>
    <cellStyle name="Currency 3 10" xfId="58923" xr:uid="{00000000-0005-0000-0000-0000F5920000}"/>
    <cellStyle name="Currency 3 11" xfId="94" xr:uid="{00000000-0005-0000-0000-0000F6920000}"/>
    <cellStyle name="Currency 3 2" xfId="129" xr:uid="{00000000-0005-0000-0000-0000F7920000}"/>
    <cellStyle name="Currency 3 2 2" xfId="154" xr:uid="{00000000-0005-0000-0000-0000F8920000}"/>
    <cellStyle name="Currency 3 2 2 2" xfId="228" xr:uid="{00000000-0005-0000-0000-0000F9920000}"/>
    <cellStyle name="Currency 3 2 2 2 2" xfId="553" xr:uid="{00000000-0005-0000-0000-0000FA920000}"/>
    <cellStyle name="Currency 3 2 2 2 2 2" xfId="59414" xr:uid="{00000000-0005-0000-0000-0000FB920000}"/>
    <cellStyle name="Currency 3 2 2 2 3" xfId="59052" xr:uid="{00000000-0005-0000-0000-0000FC920000}"/>
    <cellStyle name="Currency 3 2 2 2 3 2" xfId="59604" xr:uid="{00000000-0005-0000-0000-0000FD920000}"/>
    <cellStyle name="Currency 3 2 2 2 4" xfId="59131" xr:uid="{00000000-0005-0000-0000-0000FE920000}"/>
    <cellStyle name="Currency 3 2 2 3" xfId="482" xr:uid="{00000000-0005-0000-0000-0000FF920000}"/>
    <cellStyle name="Currency 3 2 2 3 2" xfId="59341" xr:uid="{00000000-0005-0000-0000-000000930000}"/>
    <cellStyle name="Currency 3 2 2 4" xfId="58978" xr:uid="{00000000-0005-0000-0000-000001930000}"/>
    <cellStyle name="Currency 3 2 2 4 2" xfId="59533" xr:uid="{00000000-0005-0000-0000-000002930000}"/>
    <cellStyle name="Currency 3 2 2 5" xfId="59102" xr:uid="{00000000-0005-0000-0000-000003930000}"/>
    <cellStyle name="Currency 3 2 3" xfId="204" xr:uid="{00000000-0005-0000-0000-000004930000}"/>
    <cellStyle name="Currency 3 2 3 2" xfId="523" xr:uid="{00000000-0005-0000-0000-000005930000}"/>
    <cellStyle name="Currency 3 2 3 2 2" xfId="59382" xr:uid="{00000000-0005-0000-0000-000006930000}"/>
    <cellStyle name="Currency 3 2 3 3" xfId="59028" xr:uid="{00000000-0005-0000-0000-000007930000}"/>
    <cellStyle name="Currency 3 2 3 3 2" xfId="59582" xr:uid="{00000000-0005-0000-0000-000008930000}"/>
    <cellStyle name="Currency 3 2 3 4" xfId="59116" xr:uid="{00000000-0005-0000-0000-000009930000}"/>
    <cellStyle name="Currency 3 2 4" xfId="451" xr:uid="{00000000-0005-0000-0000-00000A930000}"/>
    <cellStyle name="Currency 3 2 4 2" xfId="59307" xr:uid="{00000000-0005-0000-0000-00000B930000}"/>
    <cellStyle name="Currency 3 2 5" xfId="600" xr:uid="{00000000-0005-0000-0000-00000C930000}"/>
    <cellStyle name="Currency 3 2 5 2" xfId="59461" xr:uid="{00000000-0005-0000-0000-00000D930000}"/>
    <cellStyle name="Currency 3 2 6" xfId="335" xr:uid="{00000000-0005-0000-0000-00000E930000}"/>
    <cellStyle name="Currency 3 2 6 2" xfId="59183" xr:uid="{00000000-0005-0000-0000-00000F930000}"/>
    <cellStyle name="Currency 3 2 7" xfId="1775" xr:uid="{00000000-0005-0000-0000-000010930000}"/>
    <cellStyle name="Currency 3 2 7 2" xfId="59510" xr:uid="{00000000-0005-0000-0000-000011930000}"/>
    <cellStyle name="Currency 3 2 8" xfId="58954" xr:uid="{00000000-0005-0000-0000-000012930000}"/>
    <cellStyle name="Currency 3 2 9" xfId="59087" xr:uid="{00000000-0005-0000-0000-000013930000}"/>
    <cellStyle name="Currency 3 3" xfId="113" xr:uid="{00000000-0005-0000-0000-000014930000}"/>
    <cellStyle name="Currency 3 3 2" xfId="192" xr:uid="{00000000-0005-0000-0000-000015930000}"/>
    <cellStyle name="Currency 3 3 2 2" xfId="555" xr:uid="{00000000-0005-0000-0000-000016930000}"/>
    <cellStyle name="Currency 3 3 2 2 2" xfId="59416" xr:uid="{00000000-0005-0000-0000-000017930000}"/>
    <cellStyle name="Currency 3 3 2 3" xfId="59016" xr:uid="{00000000-0005-0000-0000-000018930000}"/>
    <cellStyle name="Currency 3 3 2 3 2" xfId="59570" xr:uid="{00000000-0005-0000-0000-000019930000}"/>
    <cellStyle name="Currency 3 3 2 4" xfId="59120" xr:uid="{00000000-0005-0000-0000-00001A930000}"/>
    <cellStyle name="Currency 3 3 3" xfId="485" xr:uid="{00000000-0005-0000-0000-00001B930000}"/>
    <cellStyle name="Currency 3 3 3 2" xfId="59344" xr:uid="{00000000-0005-0000-0000-00001C930000}"/>
    <cellStyle name="Currency 3 3 4" xfId="588" xr:uid="{00000000-0005-0000-0000-00001D930000}"/>
    <cellStyle name="Currency 3 3 4 2" xfId="59449" xr:uid="{00000000-0005-0000-0000-00001E930000}"/>
    <cellStyle name="Currency 3 3 5" xfId="363" xr:uid="{00000000-0005-0000-0000-00001F930000}"/>
    <cellStyle name="Currency 3 3 5 2" xfId="59213" xr:uid="{00000000-0005-0000-0000-000020930000}"/>
    <cellStyle name="Currency 3 3 6" xfId="729" xr:uid="{00000000-0005-0000-0000-000021930000}"/>
    <cellStyle name="Currency 3 3 6 2" xfId="59498" xr:uid="{00000000-0005-0000-0000-000022930000}"/>
    <cellStyle name="Currency 3 3 7" xfId="58942" xr:uid="{00000000-0005-0000-0000-000023930000}"/>
    <cellStyle name="Currency 3 3 8" xfId="59091" xr:uid="{00000000-0005-0000-0000-000024930000}"/>
    <cellStyle name="Currency 3 4" xfId="142" xr:uid="{00000000-0005-0000-0000-000025930000}"/>
    <cellStyle name="Currency 3 4 2" xfId="216" xr:uid="{00000000-0005-0000-0000-000026930000}"/>
    <cellStyle name="Currency 3 4 2 2" xfId="531" xr:uid="{00000000-0005-0000-0000-000027930000}"/>
    <cellStyle name="Currency 3 4 2 2 2" xfId="59393" xr:uid="{00000000-0005-0000-0000-000028930000}"/>
    <cellStyle name="Currency 3 4 2 3" xfId="59040" xr:uid="{00000000-0005-0000-0000-000029930000}"/>
    <cellStyle name="Currency 3 4 2 3 2" xfId="59592" xr:uid="{00000000-0005-0000-0000-00002A930000}"/>
    <cellStyle name="Currency 3 4 2 4" xfId="59110" xr:uid="{00000000-0005-0000-0000-00002B930000}"/>
    <cellStyle name="Currency 3 4 3" xfId="459" xr:uid="{00000000-0005-0000-0000-00002C930000}"/>
    <cellStyle name="Currency 3 4 3 2" xfId="59318" xr:uid="{00000000-0005-0000-0000-00002D930000}"/>
    <cellStyle name="Currency 3 4 4" xfId="349" xr:uid="{00000000-0005-0000-0000-00002E930000}"/>
    <cellStyle name="Currency 3 4 4 2" xfId="59194" xr:uid="{00000000-0005-0000-0000-00002F930000}"/>
    <cellStyle name="Currency 3 4 5" xfId="627" xr:uid="{00000000-0005-0000-0000-000030930000}"/>
    <cellStyle name="Currency 3 4 5 2" xfId="59521" xr:uid="{00000000-0005-0000-0000-000031930000}"/>
    <cellStyle name="Currency 3 4 6" xfId="58966" xr:uid="{00000000-0005-0000-0000-000032930000}"/>
    <cellStyle name="Currency 3 4 7" xfId="59080" xr:uid="{00000000-0005-0000-0000-000033930000}"/>
    <cellStyle name="Currency 3 5" xfId="174" xr:uid="{00000000-0005-0000-0000-000034930000}"/>
    <cellStyle name="Currency 3 5 2" xfId="501" xr:uid="{00000000-0005-0000-0000-000035930000}"/>
    <cellStyle name="Currency 3 5 2 2" xfId="59360" xr:uid="{00000000-0005-0000-0000-000036930000}"/>
    <cellStyle name="Currency 3 5 3" xfId="376" xr:uid="{00000000-0005-0000-0000-000037930000}"/>
    <cellStyle name="Currency 3 5 3 2" xfId="59222" xr:uid="{00000000-0005-0000-0000-000038930000}"/>
    <cellStyle name="Currency 3 5 4" xfId="58998" xr:uid="{00000000-0005-0000-0000-000039930000}"/>
    <cellStyle name="Currency 3 5 4 2" xfId="59552" xr:uid="{00000000-0005-0000-0000-00003A930000}"/>
    <cellStyle name="Currency 3 5 5" xfId="59152" xr:uid="{00000000-0005-0000-0000-00003B930000}"/>
    <cellStyle name="Currency 3 6" xfId="271" xr:uid="{00000000-0005-0000-0000-00003C930000}"/>
    <cellStyle name="Currency 3 6 2" xfId="429" xr:uid="{00000000-0005-0000-0000-00003D930000}"/>
    <cellStyle name="Currency 3 6 3" xfId="59285" xr:uid="{00000000-0005-0000-0000-00003E930000}"/>
    <cellStyle name="Currency 3 7" xfId="570" xr:uid="{00000000-0005-0000-0000-00003F930000}"/>
    <cellStyle name="Currency 3 7 2" xfId="59431" xr:uid="{00000000-0005-0000-0000-000040930000}"/>
    <cellStyle name="Currency 3 8" xfId="287" xr:uid="{00000000-0005-0000-0000-000041930000}"/>
    <cellStyle name="Currency 3 8 2" xfId="59161" xr:uid="{00000000-0005-0000-0000-000042930000}"/>
    <cellStyle name="Currency 3 9" xfId="362" xr:uid="{00000000-0005-0000-0000-000043930000}"/>
    <cellStyle name="Currency 3 9 2" xfId="59480" xr:uid="{00000000-0005-0000-0000-000044930000}"/>
    <cellStyle name="Currency 4" xfId="31" xr:uid="{00000000-0005-0000-0000-000045930000}"/>
    <cellStyle name="Currency 4 10" xfId="59073" xr:uid="{00000000-0005-0000-0000-000046930000}"/>
    <cellStyle name="Currency 4 2" xfId="117" xr:uid="{00000000-0005-0000-0000-000047930000}"/>
    <cellStyle name="Currency 4 2 2" xfId="196" xr:uid="{00000000-0005-0000-0000-000048930000}"/>
    <cellStyle name="Currency 4 2 2 2" xfId="558" xr:uid="{00000000-0005-0000-0000-000049930000}"/>
    <cellStyle name="Currency 4 2 2 2 2" xfId="59419" xr:uid="{00000000-0005-0000-0000-00004A930000}"/>
    <cellStyle name="Currency 4 2 2 3" xfId="59020" xr:uid="{00000000-0005-0000-0000-00004B930000}"/>
    <cellStyle name="Currency 4 2 2 3 2" xfId="59574" xr:uid="{00000000-0005-0000-0000-00004C930000}"/>
    <cellStyle name="Currency 4 2 2 4" xfId="59271" xr:uid="{00000000-0005-0000-0000-00004D930000}"/>
    <cellStyle name="Currency 4 2 3" xfId="488" xr:uid="{00000000-0005-0000-0000-00004E930000}"/>
    <cellStyle name="Currency 4 2 3 2" xfId="59347" xr:uid="{00000000-0005-0000-0000-00004F930000}"/>
    <cellStyle name="Currency 4 2 4" xfId="592" xr:uid="{00000000-0005-0000-0000-000050930000}"/>
    <cellStyle name="Currency 4 2 4 2" xfId="59453" xr:uid="{00000000-0005-0000-0000-000051930000}"/>
    <cellStyle name="Currency 4 2 5" xfId="734" xr:uid="{00000000-0005-0000-0000-000052930000}"/>
    <cellStyle name="Currency 4 2 5 2" xfId="59502" xr:uid="{00000000-0005-0000-0000-000053930000}"/>
    <cellStyle name="Currency 4 2 6" xfId="58946" xr:uid="{00000000-0005-0000-0000-000054930000}"/>
    <cellStyle name="Currency 4 2 7" xfId="59105" xr:uid="{00000000-0005-0000-0000-000055930000}"/>
    <cellStyle name="Currency 4 3" xfId="146" xr:uid="{00000000-0005-0000-0000-000056930000}"/>
    <cellStyle name="Currency 4 3 2" xfId="220" xr:uid="{00000000-0005-0000-0000-000057930000}"/>
    <cellStyle name="Currency 4 3 2 2" xfId="537" xr:uid="{00000000-0005-0000-0000-000058930000}"/>
    <cellStyle name="Currency 4 3 2 2 2" xfId="59399" xr:uid="{00000000-0005-0000-0000-000059930000}"/>
    <cellStyle name="Currency 4 3 2 3" xfId="59044" xr:uid="{00000000-0005-0000-0000-00005A930000}"/>
    <cellStyle name="Currency 4 3 2 3 2" xfId="59596" xr:uid="{00000000-0005-0000-0000-00005B930000}"/>
    <cellStyle name="Currency 4 3 2 4" xfId="59256" xr:uid="{00000000-0005-0000-0000-00005C930000}"/>
    <cellStyle name="Currency 4 3 3" xfId="465" xr:uid="{00000000-0005-0000-0000-00005D930000}"/>
    <cellStyle name="Currency 4 3 3 2" xfId="59324" xr:uid="{00000000-0005-0000-0000-00005E930000}"/>
    <cellStyle name="Currency 4 3 4" xfId="809" xr:uid="{00000000-0005-0000-0000-00005F930000}"/>
    <cellStyle name="Currency 4 3 4 2" xfId="59525" xr:uid="{00000000-0005-0000-0000-000060930000}"/>
    <cellStyle name="Currency 4 3 5" xfId="58970" xr:uid="{00000000-0005-0000-0000-000061930000}"/>
    <cellStyle name="Currency 4 3 6" xfId="59200" xr:uid="{00000000-0005-0000-0000-000062930000}"/>
    <cellStyle name="Currency 4 4" xfId="180" xr:uid="{00000000-0005-0000-0000-000063930000}"/>
    <cellStyle name="Currency 4 4 2" xfId="507" xr:uid="{00000000-0005-0000-0000-000064930000}"/>
    <cellStyle name="Currency 4 4 2 2" xfId="59366" xr:uid="{00000000-0005-0000-0000-000065930000}"/>
    <cellStyle name="Currency 4 4 3" xfId="731" xr:uid="{00000000-0005-0000-0000-000066930000}"/>
    <cellStyle name="Currency 4 4 3 2" xfId="59558" xr:uid="{00000000-0005-0000-0000-000067930000}"/>
    <cellStyle name="Currency 4 4 4" xfId="59004" xr:uid="{00000000-0005-0000-0000-000068930000}"/>
    <cellStyle name="Currency 4 4 5" xfId="59228" xr:uid="{00000000-0005-0000-0000-000069930000}"/>
    <cellStyle name="Currency 4 5" xfId="435" xr:uid="{00000000-0005-0000-0000-00006A930000}"/>
    <cellStyle name="Currency 4 5 2" xfId="628" xr:uid="{00000000-0005-0000-0000-00006B930000}"/>
    <cellStyle name="Currency 4 5 3" xfId="59291" xr:uid="{00000000-0005-0000-0000-00006C930000}"/>
    <cellStyle name="Currency 4 6" xfId="576" xr:uid="{00000000-0005-0000-0000-00006D930000}"/>
    <cellStyle name="Currency 4 6 2" xfId="59437" xr:uid="{00000000-0005-0000-0000-00006E930000}"/>
    <cellStyle name="Currency 4 7" xfId="313" xr:uid="{00000000-0005-0000-0000-00006F930000}"/>
    <cellStyle name="Currency 4 7 2" xfId="59167" xr:uid="{00000000-0005-0000-0000-000070930000}"/>
    <cellStyle name="Currency 4 8" xfId="403" xr:uid="{00000000-0005-0000-0000-000071930000}"/>
    <cellStyle name="Currency 4 8 2" xfId="59486" xr:uid="{00000000-0005-0000-0000-000072930000}"/>
    <cellStyle name="Currency 4 9" xfId="58929" xr:uid="{00000000-0005-0000-0000-000073930000}"/>
    <cellStyle name="Currency 5" xfId="39" xr:uid="{00000000-0005-0000-0000-000074930000}"/>
    <cellStyle name="Currency 5 10" xfId="1808" xr:uid="{00000000-0005-0000-0000-000075930000}"/>
    <cellStyle name="Currency 5 10 2" xfId="4912" xr:uid="{00000000-0005-0000-0000-000076930000}"/>
    <cellStyle name="Currency 5 10 2 2" xfId="12184" xr:uid="{00000000-0005-0000-0000-000077930000}"/>
    <cellStyle name="Currency 5 10 2 2 2" xfId="26718" xr:uid="{00000000-0005-0000-0000-000078930000}"/>
    <cellStyle name="Currency 5 10 2 2 2 2" xfId="55724" xr:uid="{00000000-0005-0000-0000-000079930000}"/>
    <cellStyle name="Currency 5 10 2 2 3" xfId="41225" xr:uid="{00000000-0005-0000-0000-00007A930000}"/>
    <cellStyle name="Currency 5 10 2 3" xfId="19470" xr:uid="{00000000-0005-0000-0000-00007B930000}"/>
    <cellStyle name="Currency 5 10 2 3 2" xfId="48476" xr:uid="{00000000-0005-0000-0000-00007C930000}"/>
    <cellStyle name="Currency 5 10 2 4" xfId="33977" xr:uid="{00000000-0005-0000-0000-00007D930000}"/>
    <cellStyle name="Currency 5 10 3" xfId="9080" xr:uid="{00000000-0005-0000-0000-00007E930000}"/>
    <cellStyle name="Currency 5 10 3 2" xfId="23614" xr:uid="{00000000-0005-0000-0000-00007F930000}"/>
    <cellStyle name="Currency 5 10 3 2 2" xfId="52620" xr:uid="{00000000-0005-0000-0000-000080930000}"/>
    <cellStyle name="Currency 5 10 3 3" xfId="38121" xr:uid="{00000000-0005-0000-0000-000081930000}"/>
    <cellStyle name="Currency 5 10 4" xfId="16366" xr:uid="{00000000-0005-0000-0000-000082930000}"/>
    <cellStyle name="Currency 5 10 4 2" xfId="45372" xr:uid="{00000000-0005-0000-0000-000083930000}"/>
    <cellStyle name="Currency 5 10 5" xfId="30873" xr:uid="{00000000-0005-0000-0000-000084930000}"/>
    <cellStyle name="Currency 5 11" xfId="2840" xr:uid="{00000000-0005-0000-0000-000085930000}"/>
    <cellStyle name="Currency 5 11 2" xfId="5944" xr:uid="{00000000-0005-0000-0000-000086930000}"/>
    <cellStyle name="Currency 5 11 2 2" xfId="13216" xr:uid="{00000000-0005-0000-0000-000087930000}"/>
    <cellStyle name="Currency 5 11 2 2 2" xfId="27750" xr:uid="{00000000-0005-0000-0000-000088930000}"/>
    <cellStyle name="Currency 5 11 2 2 2 2" xfId="56756" xr:uid="{00000000-0005-0000-0000-000089930000}"/>
    <cellStyle name="Currency 5 11 2 2 3" xfId="42257" xr:uid="{00000000-0005-0000-0000-00008A930000}"/>
    <cellStyle name="Currency 5 11 2 3" xfId="20502" xr:uid="{00000000-0005-0000-0000-00008B930000}"/>
    <cellStyle name="Currency 5 11 2 3 2" xfId="49508" xr:uid="{00000000-0005-0000-0000-00008C930000}"/>
    <cellStyle name="Currency 5 11 2 4" xfId="35009" xr:uid="{00000000-0005-0000-0000-00008D930000}"/>
    <cellStyle name="Currency 5 11 3" xfId="10112" xr:uid="{00000000-0005-0000-0000-00008E930000}"/>
    <cellStyle name="Currency 5 11 3 2" xfId="24646" xr:uid="{00000000-0005-0000-0000-00008F930000}"/>
    <cellStyle name="Currency 5 11 3 2 2" xfId="53652" xr:uid="{00000000-0005-0000-0000-000090930000}"/>
    <cellStyle name="Currency 5 11 3 3" xfId="39153" xr:uid="{00000000-0005-0000-0000-000091930000}"/>
    <cellStyle name="Currency 5 11 4" xfId="17398" xr:uid="{00000000-0005-0000-0000-000092930000}"/>
    <cellStyle name="Currency 5 11 4 2" xfId="46404" xr:uid="{00000000-0005-0000-0000-000093930000}"/>
    <cellStyle name="Currency 5 11 5" xfId="31905" xr:uid="{00000000-0005-0000-0000-000094930000}"/>
    <cellStyle name="Currency 5 12" xfId="3872" xr:uid="{00000000-0005-0000-0000-000095930000}"/>
    <cellStyle name="Currency 5 12 2" xfId="11144" xr:uid="{00000000-0005-0000-0000-000096930000}"/>
    <cellStyle name="Currency 5 12 2 2" xfId="25678" xr:uid="{00000000-0005-0000-0000-000097930000}"/>
    <cellStyle name="Currency 5 12 2 2 2" xfId="54684" xr:uid="{00000000-0005-0000-0000-000098930000}"/>
    <cellStyle name="Currency 5 12 2 3" xfId="40185" xr:uid="{00000000-0005-0000-0000-000099930000}"/>
    <cellStyle name="Currency 5 12 3" xfId="18430" xr:uid="{00000000-0005-0000-0000-00009A930000}"/>
    <cellStyle name="Currency 5 12 3 2" xfId="47436" xr:uid="{00000000-0005-0000-0000-00009B930000}"/>
    <cellStyle name="Currency 5 12 4" xfId="32937" xr:uid="{00000000-0005-0000-0000-00009C930000}"/>
    <cellStyle name="Currency 5 13" xfId="6976" xr:uid="{00000000-0005-0000-0000-00009D930000}"/>
    <cellStyle name="Currency 5 13 2" xfId="14248" xr:uid="{00000000-0005-0000-0000-00009E930000}"/>
    <cellStyle name="Currency 5 13 2 2" xfId="28782" xr:uid="{00000000-0005-0000-0000-00009F930000}"/>
    <cellStyle name="Currency 5 13 2 2 2" xfId="57788" xr:uid="{00000000-0005-0000-0000-0000A0930000}"/>
    <cellStyle name="Currency 5 13 2 3" xfId="43289" xr:uid="{00000000-0005-0000-0000-0000A1930000}"/>
    <cellStyle name="Currency 5 13 3" xfId="21534" xr:uid="{00000000-0005-0000-0000-0000A2930000}"/>
    <cellStyle name="Currency 5 13 3 2" xfId="50540" xr:uid="{00000000-0005-0000-0000-0000A3930000}"/>
    <cellStyle name="Currency 5 13 4" xfId="36041" xr:uid="{00000000-0005-0000-0000-0000A4930000}"/>
    <cellStyle name="Currency 5 14" xfId="8037" xr:uid="{00000000-0005-0000-0000-0000A5930000}"/>
    <cellStyle name="Currency 5 14 2" xfId="15285" xr:uid="{00000000-0005-0000-0000-0000A6930000}"/>
    <cellStyle name="Currency 5 14 2 2" xfId="29819" xr:uid="{00000000-0005-0000-0000-0000A7930000}"/>
    <cellStyle name="Currency 5 14 2 2 2" xfId="58825" xr:uid="{00000000-0005-0000-0000-0000A8930000}"/>
    <cellStyle name="Currency 5 14 2 3" xfId="44326" xr:uid="{00000000-0005-0000-0000-0000A9930000}"/>
    <cellStyle name="Currency 5 14 3" xfId="22571" xr:uid="{00000000-0005-0000-0000-0000AA930000}"/>
    <cellStyle name="Currency 5 14 3 2" xfId="51577" xr:uid="{00000000-0005-0000-0000-0000AB930000}"/>
    <cellStyle name="Currency 5 14 4" xfId="37078" xr:uid="{00000000-0005-0000-0000-0000AC930000}"/>
    <cellStyle name="Currency 5 15" xfId="8040" xr:uid="{00000000-0005-0000-0000-0000AD930000}"/>
    <cellStyle name="Currency 5 15 2" xfId="22574" xr:uid="{00000000-0005-0000-0000-0000AE930000}"/>
    <cellStyle name="Currency 5 15 2 2" xfId="51580" xr:uid="{00000000-0005-0000-0000-0000AF930000}"/>
    <cellStyle name="Currency 5 15 3" xfId="37081" xr:uid="{00000000-0005-0000-0000-0000B0930000}"/>
    <cellStyle name="Currency 5 16" xfId="15338" xr:uid="{00000000-0005-0000-0000-0000B1930000}"/>
    <cellStyle name="Currency 5 16 2" xfId="44344" xr:uid="{00000000-0005-0000-0000-0000B2930000}"/>
    <cellStyle name="Currency 5 17" xfId="783" xr:uid="{00000000-0005-0000-0000-0000B3930000}"/>
    <cellStyle name="Currency 5 17 2" xfId="29845" xr:uid="{00000000-0005-0000-0000-0000B4930000}"/>
    <cellStyle name="Currency 5 18" xfId="58847" xr:uid="{00000000-0005-0000-0000-0000B5930000}"/>
    <cellStyle name="Currency 5 19" xfId="58867" xr:uid="{00000000-0005-0000-0000-0000B6930000}"/>
    <cellStyle name="Currency 5 2" xfId="133" xr:uid="{00000000-0005-0000-0000-0000B7930000}"/>
    <cellStyle name="Currency 5 2 10" xfId="7000" xr:uid="{00000000-0005-0000-0000-0000B8930000}"/>
    <cellStyle name="Currency 5 2 10 2" xfId="14272" xr:uid="{00000000-0005-0000-0000-0000B9930000}"/>
    <cellStyle name="Currency 5 2 10 2 2" xfId="28806" xr:uid="{00000000-0005-0000-0000-0000BA930000}"/>
    <cellStyle name="Currency 5 2 10 2 2 2" xfId="57812" xr:uid="{00000000-0005-0000-0000-0000BB930000}"/>
    <cellStyle name="Currency 5 2 10 2 3" xfId="43313" xr:uid="{00000000-0005-0000-0000-0000BC930000}"/>
    <cellStyle name="Currency 5 2 10 3" xfId="21558" xr:uid="{00000000-0005-0000-0000-0000BD930000}"/>
    <cellStyle name="Currency 5 2 10 3 2" xfId="50564" xr:uid="{00000000-0005-0000-0000-0000BE930000}"/>
    <cellStyle name="Currency 5 2 10 4" xfId="36065" xr:uid="{00000000-0005-0000-0000-0000BF930000}"/>
    <cellStyle name="Currency 5 2 11" xfId="8064" xr:uid="{00000000-0005-0000-0000-0000C0930000}"/>
    <cellStyle name="Currency 5 2 11 2" xfId="22598" xr:uid="{00000000-0005-0000-0000-0000C1930000}"/>
    <cellStyle name="Currency 5 2 11 2 2" xfId="51604" xr:uid="{00000000-0005-0000-0000-0000C2930000}"/>
    <cellStyle name="Currency 5 2 11 3" xfId="37105" xr:uid="{00000000-0005-0000-0000-0000C3930000}"/>
    <cellStyle name="Currency 5 2 12" xfId="15350" xr:uid="{00000000-0005-0000-0000-0000C4930000}"/>
    <cellStyle name="Currency 5 2 12 2" xfId="44356" xr:uid="{00000000-0005-0000-0000-0000C5930000}"/>
    <cellStyle name="Currency 5 2 13" xfId="839" xr:uid="{00000000-0005-0000-0000-0000C6930000}"/>
    <cellStyle name="Currency 5 2 13 2" xfId="29857" xr:uid="{00000000-0005-0000-0000-0000C7930000}"/>
    <cellStyle name="Currency 5 2 14" xfId="58876" xr:uid="{00000000-0005-0000-0000-0000C8930000}"/>
    <cellStyle name="Currency 5 2 15" xfId="630" xr:uid="{00000000-0005-0000-0000-0000C9930000}"/>
    <cellStyle name="Currency 5 2 16" xfId="58958" xr:uid="{00000000-0005-0000-0000-0000CA930000}"/>
    <cellStyle name="Currency 5 2 17" xfId="59204" xr:uid="{00000000-0005-0000-0000-0000CB930000}"/>
    <cellStyle name="Currency 5 2 2" xfId="208" xr:uid="{00000000-0005-0000-0000-0000CC930000}"/>
    <cellStyle name="Currency 5 2 2 10" xfId="8116" xr:uid="{00000000-0005-0000-0000-0000CD930000}"/>
    <cellStyle name="Currency 5 2 2 10 2" xfId="22650" xr:uid="{00000000-0005-0000-0000-0000CE930000}"/>
    <cellStyle name="Currency 5 2 2 10 2 2" xfId="51656" xr:uid="{00000000-0005-0000-0000-0000CF930000}"/>
    <cellStyle name="Currency 5 2 2 10 3" xfId="37157" xr:uid="{00000000-0005-0000-0000-0000D0930000}"/>
    <cellStyle name="Currency 5 2 2 11" xfId="15402" xr:uid="{00000000-0005-0000-0000-0000D1930000}"/>
    <cellStyle name="Currency 5 2 2 11 2" xfId="44408" xr:uid="{00000000-0005-0000-0000-0000D2930000}"/>
    <cellStyle name="Currency 5 2 2 12" xfId="29909" xr:uid="{00000000-0005-0000-0000-0000D3930000}"/>
    <cellStyle name="Currency 5 2 2 13" xfId="58904" xr:uid="{00000000-0005-0000-0000-0000D4930000}"/>
    <cellStyle name="Currency 5 2 2 14" xfId="59032" xr:uid="{00000000-0005-0000-0000-0000D5930000}"/>
    <cellStyle name="Currency 5 2 2 15" xfId="59258" xr:uid="{00000000-0005-0000-0000-0000D6930000}"/>
    <cellStyle name="Currency 5 2 2 2" xfId="540" xr:uid="{00000000-0005-0000-0000-0000D7930000}"/>
    <cellStyle name="Currency 5 2 2 2 10" xfId="30012" xr:uid="{00000000-0005-0000-0000-0000D8930000}"/>
    <cellStyle name="Currency 5 2 2 2 11" xfId="59401" xr:uid="{00000000-0005-0000-0000-0000D9930000}"/>
    <cellStyle name="Currency 5 2 2 2 2" xfId="1240" xr:uid="{00000000-0005-0000-0000-0000DA930000}"/>
    <cellStyle name="Currency 5 2 2 2 2 2" xfId="1746" xr:uid="{00000000-0005-0000-0000-0000DB930000}"/>
    <cellStyle name="Currency 5 2 2 2 2 2 2" xfId="2805" xr:uid="{00000000-0005-0000-0000-0000DC930000}"/>
    <cellStyle name="Currency 5 2 2 2 2 2 2 2" xfId="5909" xr:uid="{00000000-0005-0000-0000-0000DD930000}"/>
    <cellStyle name="Currency 5 2 2 2 2 2 2 2 2" xfId="13181" xr:uid="{00000000-0005-0000-0000-0000DE930000}"/>
    <cellStyle name="Currency 5 2 2 2 2 2 2 2 2 2" xfId="27715" xr:uid="{00000000-0005-0000-0000-0000DF930000}"/>
    <cellStyle name="Currency 5 2 2 2 2 2 2 2 2 2 2" xfId="56721" xr:uid="{00000000-0005-0000-0000-0000E0930000}"/>
    <cellStyle name="Currency 5 2 2 2 2 2 2 2 2 3" xfId="42222" xr:uid="{00000000-0005-0000-0000-0000E1930000}"/>
    <cellStyle name="Currency 5 2 2 2 2 2 2 2 3" xfId="20467" xr:uid="{00000000-0005-0000-0000-0000E2930000}"/>
    <cellStyle name="Currency 5 2 2 2 2 2 2 2 3 2" xfId="49473" xr:uid="{00000000-0005-0000-0000-0000E3930000}"/>
    <cellStyle name="Currency 5 2 2 2 2 2 2 2 4" xfId="34974" xr:uid="{00000000-0005-0000-0000-0000E4930000}"/>
    <cellStyle name="Currency 5 2 2 2 2 2 2 3" xfId="10077" xr:uid="{00000000-0005-0000-0000-0000E5930000}"/>
    <cellStyle name="Currency 5 2 2 2 2 2 2 3 2" xfId="24611" xr:uid="{00000000-0005-0000-0000-0000E6930000}"/>
    <cellStyle name="Currency 5 2 2 2 2 2 2 3 2 2" xfId="53617" xr:uid="{00000000-0005-0000-0000-0000E7930000}"/>
    <cellStyle name="Currency 5 2 2 2 2 2 2 3 3" xfId="39118" xr:uid="{00000000-0005-0000-0000-0000E8930000}"/>
    <cellStyle name="Currency 5 2 2 2 2 2 2 4" xfId="17363" xr:uid="{00000000-0005-0000-0000-0000E9930000}"/>
    <cellStyle name="Currency 5 2 2 2 2 2 2 4 2" xfId="46369" xr:uid="{00000000-0005-0000-0000-0000EA930000}"/>
    <cellStyle name="Currency 5 2 2 2 2 2 2 5" xfId="31870" xr:uid="{00000000-0005-0000-0000-0000EB930000}"/>
    <cellStyle name="Currency 5 2 2 2 2 2 3" xfId="3837" xr:uid="{00000000-0005-0000-0000-0000EC930000}"/>
    <cellStyle name="Currency 5 2 2 2 2 2 3 2" xfId="6941" xr:uid="{00000000-0005-0000-0000-0000ED930000}"/>
    <cellStyle name="Currency 5 2 2 2 2 2 3 2 2" xfId="14213" xr:uid="{00000000-0005-0000-0000-0000EE930000}"/>
    <cellStyle name="Currency 5 2 2 2 2 2 3 2 2 2" xfId="28747" xr:uid="{00000000-0005-0000-0000-0000EF930000}"/>
    <cellStyle name="Currency 5 2 2 2 2 2 3 2 2 2 2" xfId="57753" xr:uid="{00000000-0005-0000-0000-0000F0930000}"/>
    <cellStyle name="Currency 5 2 2 2 2 2 3 2 2 3" xfId="43254" xr:uid="{00000000-0005-0000-0000-0000F1930000}"/>
    <cellStyle name="Currency 5 2 2 2 2 2 3 2 3" xfId="21499" xr:uid="{00000000-0005-0000-0000-0000F2930000}"/>
    <cellStyle name="Currency 5 2 2 2 2 2 3 2 3 2" xfId="50505" xr:uid="{00000000-0005-0000-0000-0000F3930000}"/>
    <cellStyle name="Currency 5 2 2 2 2 2 3 2 4" xfId="36006" xr:uid="{00000000-0005-0000-0000-0000F4930000}"/>
    <cellStyle name="Currency 5 2 2 2 2 2 3 3" xfId="11109" xr:uid="{00000000-0005-0000-0000-0000F5930000}"/>
    <cellStyle name="Currency 5 2 2 2 2 2 3 3 2" xfId="25643" xr:uid="{00000000-0005-0000-0000-0000F6930000}"/>
    <cellStyle name="Currency 5 2 2 2 2 2 3 3 2 2" xfId="54649" xr:uid="{00000000-0005-0000-0000-0000F7930000}"/>
    <cellStyle name="Currency 5 2 2 2 2 2 3 3 3" xfId="40150" xr:uid="{00000000-0005-0000-0000-0000F8930000}"/>
    <cellStyle name="Currency 5 2 2 2 2 2 3 4" xfId="18395" xr:uid="{00000000-0005-0000-0000-0000F9930000}"/>
    <cellStyle name="Currency 5 2 2 2 2 2 3 4 2" xfId="47401" xr:uid="{00000000-0005-0000-0000-0000FA930000}"/>
    <cellStyle name="Currency 5 2 2 2 2 2 3 5" xfId="32902" xr:uid="{00000000-0005-0000-0000-0000FB930000}"/>
    <cellStyle name="Currency 5 2 2 2 2 2 4" xfId="4869" xr:uid="{00000000-0005-0000-0000-0000FC930000}"/>
    <cellStyle name="Currency 5 2 2 2 2 2 4 2" xfId="12141" xr:uid="{00000000-0005-0000-0000-0000FD930000}"/>
    <cellStyle name="Currency 5 2 2 2 2 2 4 2 2" xfId="26675" xr:uid="{00000000-0005-0000-0000-0000FE930000}"/>
    <cellStyle name="Currency 5 2 2 2 2 2 4 2 2 2" xfId="55681" xr:uid="{00000000-0005-0000-0000-0000FF930000}"/>
    <cellStyle name="Currency 5 2 2 2 2 2 4 2 3" xfId="41182" xr:uid="{00000000-0005-0000-0000-000000940000}"/>
    <cellStyle name="Currency 5 2 2 2 2 2 4 3" xfId="19427" xr:uid="{00000000-0005-0000-0000-000001940000}"/>
    <cellStyle name="Currency 5 2 2 2 2 2 4 3 2" xfId="48433" xr:uid="{00000000-0005-0000-0000-000002940000}"/>
    <cellStyle name="Currency 5 2 2 2 2 2 4 4" xfId="33934" xr:uid="{00000000-0005-0000-0000-000003940000}"/>
    <cellStyle name="Currency 5 2 2 2 2 2 5" xfId="7973" xr:uid="{00000000-0005-0000-0000-000004940000}"/>
    <cellStyle name="Currency 5 2 2 2 2 2 5 2" xfId="15245" xr:uid="{00000000-0005-0000-0000-000005940000}"/>
    <cellStyle name="Currency 5 2 2 2 2 2 5 2 2" xfId="29779" xr:uid="{00000000-0005-0000-0000-000006940000}"/>
    <cellStyle name="Currency 5 2 2 2 2 2 5 2 2 2" xfId="58785" xr:uid="{00000000-0005-0000-0000-000007940000}"/>
    <cellStyle name="Currency 5 2 2 2 2 2 5 2 3" xfId="44286" xr:uid="{00000000-0005-0000-0000-000008940000}"/>
    <cellStyle name="Currency 5 2 2 2 2 2 5 3" xfId="22531" xr:uid="{00000000-0005-0000-0000-000009940000}"/>
    <cellStyle name="Currency 5 2 2 2 2 2 5 3 2" xfId="51537" xr:uid="{00000000-0005-0000-0000-00000A940000}"/>
    <cellStyle name="Currency 5 2 2 2 2 2 5 4" xfId="37038" xr:uid="{00000000-0005-0000-0000-00000B940000}"/>
    <cellStyle name="Currency 5 2 2 2 2 2 6" xfId="9037" xr:uid="{00000000-0005-0000-0000-00000C940000}"/>
    <cellStyle name="Currency 5 2 2 2 2 2 6 2" xfId="23571" xr:uid="{00000000-0005-0000-0000-00000D940000}"/>
    <cellStyle name="Currency 5 2 2 2 2 2 6 2 2" xfId="52577" xr:uid="{00000000-0005-0000-0000-00000E940000}"/>
    <cellStyle name="Currency 5 2 2 2 2 2 6 3" xfId="38078" xr:uid="{00000000-0005-0000-0000-00000F940000}"/>
    <cellStyle name="Currency 5 2 2 2 2 2 7" xfId="16323" xr:uid="{00000000-0005-0000-0000-000010940000}"/>
    <cellStyle name="Currency 5 2 2 2 2 2 7 2" xfId="45329" xr:uid="{00000000-0005-0000-0000-000011940000}"/>
    <cellStyle name="Currency 5 2 2 2 2 2 8" xfId="30830" xr:uid="{00000000-0005-0000-0000-000012940000}"/>
    <cellStyle name="Currency 5 2 2 2 2 3" xfId="2293" xr:uid="{00000000-0005-0000-0000-000013940000}"/>
    <cellStyle name="Currency 5 2 2 2 2 3 2" xfId="5397" xr:uid="{00000000-0005-0000-0000-000014940000}"/>
    <cellStyle name="Currency 5 2 2 2 2 3 2 2" xfId="12669" xr:uid="{00000000-0005-0000-0000-000015940000}"/>
    <cellStyle name="Currency 5 2 2 2 2 3 2 2 2" xfId="27203" xr:uid="{00000000-0005-0000-0000-000016940000}"/>
    <cellStyle name="Currency 5 2 2 2 2 3 2 2 2 2" xfId="56209" xr:uid="{00000000-0005-0000-0000-000017940000}"/>
    <cellStyle name="Currency 5 2 2 2 2 3 2 2 3" xfId="41710" xr:uid="{00000000-0005-0000-0000-000018940000}"/>
    <cellStyle name="Currency 5 2 2 2 2 3 2 3" xfId="19955" xr:uid="{00000000-0005-0000-0000-000019940000}"/>
    <cellStyle name="Currency 5 2 2 2 2 3 2 3 2" xfId="48961" xr:uid="{00000000-0005-0000-0000-00001A940000}"/>
    <cellStyle name="Currency 5 2 2 2 2 3 2 4" xfId="34462" xr:uid="{00000000-0005-0000-0000-00001B940000}"/>
    <cellStyle name="Currency 5 2 2 2 2 3 3" xfId="9565" xr:uid="{00000000-0005-0000-0000-00001C940000}"/>
    <cellStyle name="Currency 5 2 2 2 2 3 3 2" xfId="24099" xr:uid="{00000000-0005-0000-0000-00001D940000}"/>
    <cellStyle name="Currency 5 2 2 2 2 3 3 2 2" xfId="53105" xr:uid="{00000000-0005-0000-0000-00001E940000}"/>
    <cellStyle name="Currency 5 2 2 2 2 3 3 3" xfId="38606" xr:uid="{00000000-0005-0000-0000-00001F940000}"/>
    <cellStyle name="Currency 5 2 2 2 2 3 4" xfId="16851" xr:uid="{00000000-0005-0000-0000-000020940000}"/>
    <cellStyle name="Currency 5 2 2 2 2 3 4 2" xfId="45857" xr:uid="{00000000-0005-0000-0000-000021940000}"/>
    <cellStyle name="Currency 5 2 2 2 2 3 5" xfId="31358" xr:uid="{00000000-0005-0000-0000-000022940000}"/>
    <cellStyle name="Currency 5 2 2 2 2 4" xfId="3325" xr:uid="{00000000-0005-0000-0000-000023940000}"/>
    <cellStyle name="Currency 5 2 2 2 2 4 2" xfId="6429" xr:uid="{00000000-0005-0000-0000-000024940000}"/>
    <cellStyle name="Currency 5 2 2 2 2 4 2 2" xfId="13701" xr:uid="{00000000-0005-0000-0000-000025940000}"/>
    <cellStyle name="Currency 5 2 2 2 2 4 2 2 2" xfId="28235" xr:uid="{00000000-0005-0000-0000-000026940000}"/>
    <cellStyle name="Currency 5 2 2 2 2 4 2 2 2 2" xfId="57241" xr:uid="{00000000-0005-0000-0000-000027940000}"/>
    <cellStyle name="Currency 5 2 2 2 2 4 2 2 3" xfId="42742" xr:uid="{00000000-0005-0000-0000-000028940000}"/>
    <cellStyle name="Currency 5 2 2 2 2 4 2 3" xfId="20987" xr:uid="{00000000-0005-0000-0000-000029940000}"/>
    <cellStyle name="Currency 5 2 2 2 2 4 2 3 2" xfId="49993" xr:uid="{00000000-0005-0000-0000-00002A940000}"/>
    <cellStyle name="Currency 5 2 2 2 2 4 2 4" xfId="35494" xr:uid="{00000000-0005-0000-0000-00002B940000}"/>
    <cellStyle name="Currency 5 2 2 2 2 4 3" xfId="10597" xr:uid="{00000000-0005-0000-0000-00002C940000}"/>
    <cellStyle name="Currency 5 2 2 2 2 4 3 2" xfId="25131" xr:uid="{00000000-0005-0000-0000-00002D940000}"/>
    <cellStyle name="Currency 5 2 2 2 2 4 3 2 2" xfId="54137" xr:uid="{00000000-0005-0000-0000-00002E940000}"/>
    <cellStyle name="Currency 5 2 2 2 2 4 3 3" xfId="39638" xr:uid="{00000000-0005-0000-0000-00002F940000}"/>
    <cellStyle name="Currency 5 2 2 2 2 4 4" xfId="17883" xr:uid="{00000000-0005-0000-0000-000030940000}"/>
    <cellStyle name="Currency 5 2 2 2 2 4 4 2" xfId="46889" xr:uid="{00000000-0005-0000-0000-000031940000}"/>
    <cellStyle name="Currency 5 2 2 2 2 4 5" xfId="32390" xr:uid="{00000000-0005-0000-0000-000032940000}"/>
    <cellStyle name="Currency 5 2 2 2 2 5" xfId="4357" xr:uid="{00000000-0005-0000-0000-000033940000}"/>
    <cellStyle name="Currency 5 2 2 2 2 5 2" xfId="11629" xr:uid="{00000000-0005-0000-0000-000034940000}"/>
    <cellStyle name="Currency 5 2 2 2 2 5 2 2" xfId="26163" xr:uid="{00000000-0005-0000-0000-000035940000}"/>
    <cellStyle name="Currency 5 2 2 2 2 5 2 2 2" xfId="55169" xr:uid="{00000000-0005-0000-0000-000036940000}"/>
    <cellStyle name="Currency 5 2 2 2 2 5 2 3" xfId="40670" xr:uid="{00000000-0005-0000-0000-000037940000}"/>
    <cellStyle name="Currency 5 2 2 2 2 5 3" xfId="18915" xr:uid="{00000000-0005-0000-0000-000038940000}"/>
    <cellStyle name="Currency 5 2 2 2 2 5 3 2" xfId="47921" xr:uid="{00000000-0005-0000-0000-000039940000}"/>
    <cellStyle name="Currency 5 2 2 2 2 5 4" xfId="33422" xr:uid="{00000000-0005-0000-0000-00003A940000}"/>
    <cellStyle name="Currency 5 2 2 2 2 6" xfId="7461" xr:uid="{00000000-0005-0000-0000-00003B940000}"/>
    <cellStyle name="Currency 5 2 2 2 2 6 2" xfId="14733" xr:uid="{00000000-0005-0000-0000-00003C940000}"/>
    <cellStyle name="Currency 5 2 2 2 2 6 2 2" xfId="29267" xr:uid="{00000000-0005-0000-0000-00003D940000}"/>
    <cellStyle name="Currency 5 2 2 2 2 6 2 2 2" xfId="58273" xr:uid="{00000000-0005-0000-0000-00003E940000}"/>
    <cellStyle name="Currency 5 2 2 2 2 6 2 3" xfId="43774" xr:uid="{00000000-0005-0000-0000-00003F940000}"/>
    <cellStyle name="Currency 5 2 2 2 2 6 3" xfId="22019" xr:uid="{00000000-0005-0000-0000-000040940000}"/>
    <cellStyle name="Currency 5 2 2 2 2 6 3 2" xfId="51025" xr:uid="{00000000-0005-0000-0000-000041940000}"/>
    <cellStyle name="Currency 5 2 2 2 2 6 4" xfId="36526" xr:uid="{00000000-0005-0000-0000-000042940000}"/>
    <cellStyle name="Currency 5 2 2 2 2 7" xfId="8525" xr:uid="{00000000-0005-0000-0000-000043940000}"/>
    <cellStyle name="Currency 5 2 2 2 2 7 2" xfId="23059" xr:uid="{00000000-0005-0000-0000-000044940000}"/>
    <cellStyle name="Currency 5 2 2 2 2 7 2 2" xfId="52065" xr:uid="{00000000-0005-0000-0000-000045940000}"/>
    <cellStyle name="Currency 5 2 2 2 2 7 3" xfId="37566" xr:uid="{00000000-0005-0000-0000-000046940000}"/>
    <cellStyle name="Currency 5 2 2 2 2 8" xfId="15811" xr:uid="{00000000-0005-0000-0000-000047940000}"/>
    <cellStyle name="Currency 5 2 2 2 2 8 2" xfId="44817" xr:uid="{00000000-0005-0000-0000-000048940000}"/>
    <cellStyle name="Currency 5 2 2 2 2 9" xfId="30318" xr:uid="{00000000-0005-0000-0000-000049940000}"/>
    <cellStyle name="Currency 5 2 2 2 3" xfId="1441" xr:uid="{00000000-0005-0000-0000-00004A940000}"/>
    <cellStyle name="Currency 5 2 2 2 3 2" xfId="2499" xr:uid="{00000000-0005-0000-0000-00004B940000}"/>
    <cellStyle name="Currency 5 2 2 2 3 2 2" xfId="5603" xr:uid="{00000000-0005-0000-0000-00004C940000}"/>
    <cellStyle name="Currency 5 2 2 2 3 2 2 2" xfId="12875" xr:uid="{00000000-0005-0000-0000-00004D940000}"/>
    <cellStyle name="Currency 5 2 2 2 3 2 2 2 2" xfId="27409" xr:uid="{00000000-0005-0000-0000-00004E940000}"/>
    <cellStyle name="Currency 5 2 2 2 3 2 2 2 2 2" xfId="56415" xr:uid="{00000000-0005-0000-0000-00004F940000}"/>
    <cellStyle name="Currency 5 2 2 2 3 2 2 2 3" xfId="41916" xr:uid="{00000000-0005-0000-0000-000050940000}"/>
    <cellStyle name="Currency 5 2 2 2 3 2 2 3" xfId="20161" xr:uid="{00000000-0005-0000-0000-000051940000}"/>
    <cellStyle name="Currency 5 2 2 2 3 2 2 3 2" xfId="49167" xr:uid="{00000000-0005-0000-0000-000052940000}"/>
    <cellStyle name="Currency 5 2 2 2 3 2 2 4" xfId="34668" xr:uid="{00000000-0005-0000-0000-000053940000}"/>
    <cellStyle name="Currency 5 2 2 2 3 2 3" xfId="9771" xr:uid="{00000000-0005-0000-0000-000054940000}"/>
    <cellStyle name="Currency 5 2 2 2 3 2 3 2" xfId="24305" xr:uid="{00000000-0005-0000-0000-000055940000}"/>
    <cellStyle name="Currency 5 2 2 2 3 2 3 2 2" xfId="53311" xr:uid="{00000000-0005-0000-0000-000056940000}"/>
    <cellStyle name="Currency 5 2 2 2 3 2 3 3" xfId="38812" xr:uid="{00000000-0005-0000-0000-000057940000}"/>
    <cellStyle name="Currency 5 2 2 2 3 2 4" xfId="17057" xr:uid="{00000000-0005-0000-0000-000058940000}"/>
    <cellStyle name="Currency 5 2 2 2 3 2 4 2" xfId="46063" xr:uid="{00000000-0005-0000-0000-000059940000}"/>
    <cellStyle name="Currency 5 2 2 2 3 2 5" xfId="31564" xr:uid="{00000000-0005-0000-0000-00005A940000}"/>
    <cellStyle name="Currency 5 2 2 2 3 3" xfId="3531" xr:uid="{00000000-0005-0000-0000-00005B940000}"/>
    <cellStyle name="Currency 5 2 2 2 3 3 2" xfId="6635" xr:uid="{00000000-0005-0000-0000-00005C940000}"/>
    <cellStyle name="Currency 5 2 2 2 3 3 2 2" xfId="13907" xr:uid="{00000000-0005-0000-0000-00005D940000}"/>
    <cellStyle name="Currency 5 2 2 2 3 3 2 2 2" xfId="28441" xr:uid="{00000000-0005-0000-0000-00005E940000}"/>
    <cellStyle name="Currency 5 2 2 2 3 3 2 2 2 2" xfId="57447" xr:uid="{00000000-0005-0000-0000-00005F940000}"/>
    <cellStyle name="Currency 5 2 2 2 3 3 2 2 3" xfId="42948" xr:uid="{00000000-0005-0000-0000-000060940000}"/>
    <cellStyle name="Currency 5 2 2 2 3 3 2 3" xfId="21193" xr:uid="{00000000-0005-0000-0000-000061940000}"/>
    <cellStyle name="Currency 5 2 2 2 3 3 2 3 2" xfId="50199" xr:uid="{00000000-0005-0000-0000-000062940000}"/>
    <cellStyle name="Currency 5 2 2 2 3 3 2 4" xfId="35700" xr:uid="{00000000-0005-0000-0000-000063940000}"/>
    <cellStyle name="Currency 5 2 2 2 3 3 3" xfId="10803" xr:uid="{00000000-0005-0000-0000-000064940000}"/>
    <cellStyle name="Currency 5 2 2 2 3 3 3 2" xfId="25337" xr:uid="{00000000-0005-0000-0000-000065940000}"/>
    <cellStyle name="Currency 5 2 2 2 3 3 3 2 2" xfId="54343" xr:uid="{00000000-0005-0000-0000-000066940000}"/>
    <cellStyle name="Currency 5 2 2 2 3 3 3 3" xfId="39844" xr:uid="{00000000-0005-0000-0000-000067940000}"/>
    <cellStyle name="Currency 5 2 2 2 3 3 4" xfId="18089" xr:uid="{00000000-0005-0000-0000-000068940000}"/>
    <cellStyle name="Currency 5 2 2 2 3 3 4 2" xfId="47095" xr:uid="{00000000-0005-0000-0000-000069940000}"/>
    <cellStyle name="Currency 5 2 2 2 3 3 5" xfId="32596" xr:uid="{00000000-0005-0000-0000-00006A940000}"/>
    <cellStyle name="Currency 5 2 2 2 3 4" xfId="4563" xr:uid="{00000000-0005-0000-0000-00006B940000}"/>
    <cellStyle name="Currency 5 2 2 2 3 4 2" xfId="11835" xr:uid="{00000000-0005-0000-0000-00006C940000}"/>
    <cellStyle name="Currency 5 2 2 2 3 4 2 2" xfId="26369" xr:uid="{00000000-0005-0000-0000-00006D940000}"/>
    <cellStyle name="Currency 5 2 2 2 3 4 2 2 2" xfId="55375" xr:uid="{00000000-0005-0000-0000-00006E940000}"/>
    <cellStyle name="Currency 5 2 2 2 3 4 2 3" xfId="40876" xr:uid="{00000000-0005-0000-0000-00006F940000}"/>
    <cellStyle name="Currency 5 2 2 2 3 4 3" xfId="19121" xr:uid="{00000000-0005-0000-0000-000070940000}"/>
    <cellStyle name="Currency 5 2 2 2 3 4 3 2" xfId="48127" xr:uid="{00000000-0005-0000-0000-000071940000}"/>
    <cellStyle name="Currency 5 2 2 2 3 4 4" xfId="33628" xr:uid="{00000000-0005-0000-0000-000072940000}"/>
    <cellStyle name="Currency 5 2 2 2 3 5" xfId="7667" xr:uid="{00000000-0005-0000-0000-000073940000}"/>
    <cellStyle name="Currency 5 2 2 2 3 5 2" xfId="14939" xr:uid="{00000000-0005-0000-0000-000074940000}"/>
    <cellStyle name="Currency 5 2 2 2 3 5 2 2" xfId="29473" xr:uid="{00000000-0005-0000-0000-000075940000}"/>
    <cellStyle name="Currency 5 2 2 2 3 5 2 2 2" xfId="58479" xr:uid="{00000000-0005-0000-0000-000076940000}"/>
    <cellStyle name="Currency 5 2 2 2 3 5 2 3" xfId="43980" xr:uid="{00000000-0005-0000-0000-000077940000}"/>
    <cellStyle name="Currency 5 2 2 2 3 5 3" xfId="22225" xr:uid="{00000000-0005-0000-0000-000078940000}"/>
    <cellStyle name="Currency 5 2 2 2 3 5 3 2" xfId="51231" xr:uid="{00000000-0005-0000-0000-000079940000}"/>
    <cellStyle name="Currency 5 2 2 2 3 5 4" xfId="36732" xr:uid="{00000000-0005-0000-0000-00007A940000}"/>
    <cellStyle name="Currency 5 2 2 2 3 6" xfId="8731" xr:uid="{00000000-0005-0000-0000-00007B940000}"/>
    <cellStyle name="Currency 5 2 2 2 3 6 2" xfId="23265" xr:uid="{00000000-0005-0000-0000-00007C940000}"/>
    <cellStyle name="Currency 5 2 2 2 3 6 2 2" xfId="52271" xr:uid="{00000000-0005-0000-0000-00007D940000}"/>
    <cellStyle name="Currency 5 2 2 2 3 6 3" xfId="37772" xr:uid="{00000000-0005-0000-0000-00007E940000}"/>
    <cellStyle name="Currency 5 2 2 2 3 7" xfId="16017" xr:uid="{00000000-0005-0000-0000-00007F940000}"/>
    <cellStyle name="Currency 5 2 2 2 3 7 2" xfId="45023" xr:uid="{00000000-0005-0000-0000-000080940000}"/>
    <cellStyle name="Currency 5 2 2 2 3 8" xfId="30524" xr:uid="{00000000-0005-0000-0000-000081940000}"/>
    <cellStyle name="Currency 5 2 2 2 4" xfId="1987" xr:uid="{00000000-0005-0000-0000-000082940000}"/>
    <cellStyle name="Currency 5 2 2 2 4 2" xfId="5091" xr:uid="{00000000-0005-0000-0000-000083940000}"/>
    <cellStyle name="Currency 5 2 2 2 4 2 2" xfId="12363" xr:uid="{00000000-0005-0000-0000-000084940000}"/>
    <cellStyle name="Currency 5 2 2 2 4 2 2 2" xfId="26897" xr:uid="{00000000-0005-0000-0000-000085940000}"/>
    <cellStyle name="Currency 5 2 2 2 4 2 2 2 2" xfId="55903" xr:uid="{00000000-0005-0000-0000-000086940000}"/>
    <cellStyle name="Currency 5 2 2 2 4 2 2 3" xfId="41404" xr:uid="{00000000-0005-0000-0000-000087940000}"/>
    <cellStyle name="Currency 5 2 2 2 4 2 3" xfId="19649" xr:uid="{00000000-0005-0000-0000-000088940000}"/>
    <cellStyle name="Currency 5 2 2 2 4 2 3 2" xfId="48655" xr:uid="{00000000-0005-0000-0000-000089940000}"/>
    <cellStyle name="Currency 5 2 2 2 4 2 4" xfId="34156" xr:uid="{00000000-0005-0000-0000-00008A940000}"/>
    <cellStyle name="Currency 5 2 2 2 4 3" xfId="9259" xr:uid="{00000000-0005-0000-0000-00008B940000}"/>
    <cellStyle name="Currency 5 2 2 2 4 3 2" xfId="23793" xr:uid="{00000000-0005-0000-0000-00008C940000}"/>
    <cellStyle name="Currency 5 2 2 2 4 3 2 2" xfId="52799" xr:uid="{00000000-0005-0000-0000-00008D940000}"/>
    <cellStyle name="Currency 5 2 2 2 4 3 3" xfId="38300" xr:uid="{00000000-0005-0000-0000-00008E940000}"/>
    <cellStyle name="Currency 5 2 2 2 4 4" xfId="16545" xr:uid="{00000000-0005-0000-0000-00008F940000}"/>
    <cellStyle name="Currency 5 2 2 2 4 4 2" xfId="45551" xr:uid="{00000000-0005-0000-0000-000090940000}"/>
    <cellStyle name="Currency 5 2 2 2 4 5" xfId="31052" xr:uid="{00000000-0005-0000-0000-000091940000}"/>
    <cellStyle name="Currency 5 2 2 2 5" xfId="3019" xr:uid="{00000000-0005-0000-0000-000092940000}"/>
    <cellStyle name="Currency 5 2 2 2 5 2" xfId="6123" xr:uid="{00000000-0005-0000-0000-000093940000}"/>
    <cellStyle name="Currency 5 2 2 2 5 2 2" xfId="13395" xr:uid="{00000000-0005-0000-0000-000094940000}"/>
    <cellStyle name="Currency 5 2 2 2 5 2 2 2" xfId="27929" xr:uid="{00000000-0005-0000-0000-000095940000}"/>
    <cellStyle name="Currency 5 2 2 2 5 2 2 2 2" xfId="56935" xr:uid="{00000000-0005-0000-0000-000096940000}"/>
    <cellStyle name="Currency 5 2 2 2 5 2 2 3" xfId="42436" xr:uid="{00000000-0005-0000-0000-000097940000}"/>
    <cellStyle name="Currency 5 2 2 2 5 2 3" xfId="20681" xr:uid="{00000000-0005-0000-0000-000098940000}"/>
    <cellStyle name="Currency 5 2 2 2 5 2 3 2" xfId="49687" xr:uid="{00000000-0005-0000-0000-000099940000}"/>
    <cellStyle name="Currency 5 2 2 2 5 2 4" xfId="35188" xr:uid="{00000000-0005-0000-0000-00009A940000}"/>
    <cellStyle name="Currency 5 2 2 2 5 3" xfId="10291" xr:uid="{00000000-0005-0000-0000-00009B940000}"/>
    <cellStyle name="Currency 5 2 2 2 5 3 2" xfId="24825" xr:uid="{00000000-0005-0000-0000-00009C940000}"/>
    <cellStyle name="Currency 5 2 2 2 5 3 2 2" xfId="53831" xr:uid="{00000000-0005-0000-0000-00009D940000}"/>
    <cellStyle name="Currency 5 2 2 2 5 3 3" xfId="39332" xr:uid="{00000000-0005-0000-0000-00009E940000}"/>
    <cellStyle name="Currency 5 2 2 2 5 4" xfId="17577" xr:uid="{00000000-0005-0000-0000-00009F940000}"/>
    <cellStyle name="Currency 5 2 2 2 5 4 2" xfId="46583" xr:uid="{00000000-0005-0000-0000-0000A0940000}"/>
    <cellStyle name="Currency 5 2 2 2 5 5" xfId="32084" xr:uid="{00000000-0005-0000-0000-0000A1940000}"/>
    <cellStyle name="Currency 5 2 2 2 6" xfId="4051" xr:uid="{00000000-0005-0000-0000-0000A2940000}"/>
    <cellStyle name="Currency 5 2 2 2 6 2" xfId="11323" xr:uid="{00000000-0005-0000-0000-0000A3940000}"/>
    <cellStyle name="Currency 5 2 2 2 6 2 2" xfId="25857" xr:uid="{00000000-0005-0000-0000-0000A4940000}"/>
    <cellStyle name="Currency 5 2 2 2 6 2 2 2" xfId="54863" xr:uid="{00000000-0005-0000-0000-0000A5940000}"/>
    <cellStyle name="Currency 5 2 2 2 6 2 3" xfId="40364" xr:uid="{00000000-0005-0000-0000-0000A6940000}"/>
    <cellStyle name="Currency 5 2 2 2 6 3" xfId="18609" xr:uid="{00000000-0005-0000-0000-0000A7940000}"/>
    <cellStyle name="Currency 5 2 2 2 6 3 2" xfId="47615" xr:uid="{00000000-0005-0000-0000-0000A8940000}"/>
    <cellStyle name="Currency 5 2 2 2 6 4" xfId="33116" xr:uid="{00000000-0005-0000-0000-0000A9940000}"/>
    <cellStyle name="Currency 5 2 2 2 7" xfId="7155" xr:uid="{00000000-0005-0000-0000-0000AA940000}"/>
    <cellStyle name="Currency 5 2 2 2 7 2" xfId="14427" xr:uid="{00000000-0005-0000-0000-0000AB940000}"/>
    <cellStyle name="Currency 5 2 2 2 7 2 2" xfId="28961" xr:uid="{00000000-0005-0000-0000-0000AC940000}"/>
    <cellStyle name="Currency 5 2 2 2 7 2 2 2" xfId="57967" xr:uid="{00000000-0005-0000-0000-0000AD940000}"/>
    <cellStyle name="Currency 5 2 2 2 7 2 3" xfId="43468" xr:uid="{00000000-0005-0000-0000-0000AE940000}"/>
    <cellStyle name="Currency 5 2 2 2 7 3" xfId="21713" xr:uid="{00000000-0005-0000-0000-0000AF940000}"/>
    <cellStyle name="Currency 5 2 2 2 7 3 2" xfId="50719" xr:uid="{00000000-0005-0000-0000-0000B0940000}"/>
    <cellStyle name="Currency 5 2 2 2 7 4" xfId="36220" xr:uid="{00000000-0005-0000-0000-0000B1940000}"/>
    <cellStyle name="Currency 5 2 2 2 8" xfId="8219" xr:uid="{00000000-0005-0000-0000-0000B2940000}"/>
    <cellStyle name="Currency 5 2 2 2 8 2" xfId="22753" xr:uid="{00000000-0005-0000-0000-0000B3940000}"/>
    <cellStyle name="Currency 5 2 2 2 8 2 2" xfId="51759" xr:uid="{00000000-0005-0000-0000-0000B4940000}"/>
    <cellStyle name="Currency 5 2 2 2 8 3" xfId="37260" xr:uid="{00000000-0005-0000-0000-0000B5940000}"/>
    <cellStyle name="Currency 5 2 2 2 9" xfId="15505" xr:uid="{00000000-0005-0000-0000-0000B6940000}"/>
    <cellStyle name="Currency 5 2 2 2 9 2" xfId="44511" xr:uid="{00000000-0005-0000-0000-0000B7940000}"/>
    <cellStyle name="Currency 5 2 2 3" xfId="1144" xr:uid="{00000000-0005-0000-0000-0000B8940000}"/>
    <cellStyle name="Currency 5 2 2 3 10" xfId="59586" xr:uid="{00000000-0005-0000-0000-0000B9940000}"/>
    <cellStyle name="Currency 5 2 2 3 2" xfId="1643" xr:uid="{00000000-0005-0000-0000-0000BA940000}"/>
    <cellStyle name="Currency 5 2 2 3 2 2" xfId="2702" xr:uid="{00000000-0005-0000-0000-0000BB940000}"/>
    <cellStyle name="Currency 5 2 2 3 2 2 2" xfId="5806" xr:uid="{00000000-0005-0000-0000-0000BC940000}"/>
    <cellStyle name="Currency 5 2 2 3 2 2 2 2" xfId="13078" xr:uid="{00000000-0005-0000-0000-0000BD940000}"/>
    <cellStyle name="Currency 5 2 2 3 2 2 2 2 2" xfId="27612" xr:uid="{00000000-0005-0000-0000-0000BE940000}"/>
    <cellStyle name="Currency 5 2 2 3 2 2 2 2 2 2" xfId="56618" xr:uid="{00000000-0005-0000-0000-0000BF940000}"/>
    <cellStyle name="Currency 5 2 2 3 2 2 2 2 3" xfId="42119" xr:uid="{00000000-0005-0000-0000-0000C0940000}"/>
    <cellStyle name="Currency 5 2 2 3 2 2 2 3" xfId="20364" xr:uid="{00000000-0005-0000-0000-0000C1940000}"/>
    <cellStyle name="Currency 5 2 2 3 2 2 2 3 2" xfId="49370" xr:uid="{00000000-0005-0000-0000-0000C2940000}"/>
    <cellStyle name="Currency 5 2 2 3 2 2 2 4" xfId="34871" xr:uid="{00000000-0005-0000-0000-0000C3940000}"/>
    <cellStyle name="Currency 5 2 2 3 2 2 3" xfId="9974" xr:uid="{00000000-0005-0000-0000-0000C4940000}"/>
    <cellStyle name="Currency 5 2 2 3 2 2 3 2" xfId="24508" xr:uid="{00000000-0005-0000-0000-0000C5940000}"/>
    <cellStyle name="Currency 5 2 2 3 2 2 3 2 2" xfId="53514" xr:uid="{00000000-0005-0000-0000-0000C6940000}"/>
    <cellStyle name="Currency 5 2 2 3 2 2 3 3" xfId="39015" xr:uid="{00000000-0005-0000-0000-0000C7940000}"/>
    <cellStyle name="Currency 5 2 2 3 2 2 4" xfId="17260" xr:uid="{00000000-0005-0000-0000-0000C8940000}"/>
    <cellStyle name="Currency 5 2 2 3 2 2 4 2" xfId="46266" xr:uid="{00000000-0005-0000-0000-0000C9940000}"/>
    <cellStyle name="Currency 5 2 2 3 2 2 5" xfId="31767" xr:uid="{00000000-0005-0000-0000-0000CA940000}"/>
    <cellStyle name="Currency 5 2 2 3 2 3" xfId="3734" xr:uid="{00000000-0005-0000-0000-0000CB940000}"/>
    <cellStyle name="Currency 5 2 2 3 2 3 2" xfId="6838" xr:uid="{00000000-0005-0000-0000-0000CC940000}"/>
    <cellStyle name="Currency 5 2 2 3 2 3 2 2" xfId="14110" xr:uid="{00000000-0005-0000-0000-0000CD940000}"/>
    <cellStyle name="Currency 5 2 2 3 2 3 2 2 2" xfId="28644" xr:uid="{00000000-0005-0000-0000-0000CE940000}"/>
    <cellStyle name="Currency 5 2 2 3 2 3 2 2 2 2" xfId="57650" xr:uid="{00000000-0005-0000-0000-0000CF940000}"/>
    <cellStyle name="Currency 5 2 2 3 2 3 2 2 3" xfId="43151" xr:uid="{00000000-0005-0000-0000-0000D0940000}"/>
    <cellStyle name="Currency 5 2 2 3 2 3 2 3" xfId="21396" xr:uid="{00000000-0005-0000-0000-0000D1940000}"/>
    <cellStyle name="Currency 5 2 2 3 2 3 2 3 2" xfId="50402" xr:uid="{00000000-0005-0000-0000-0000D2940000}"/>
    <cellStyle name="Currency 5 2 2 3 2 3 2 4" xfId="35903" xr:uid="{00000000-0005-0000-0000-0000D3940000}"/>
    <cellStyle name="Currency 5 2 2 3 2 3 3" xfId="11006" xr:uid="{00000000-0005-0000-0000-0000D4940000}"/>
    <cellStyle name="Currency 5 2 2 3 2 3 3 2" xfId="25540" xr:uid="{00000000-0005-0000-0000-0000D5940000}"/>
    <cellStyle name="Currency 5 2 2 3 2 3 3 2 2" xfId="54546" xr:uid="{00000000-0005-0000-0000-0000D6940000}"/>
    <cellStyle name="Currency 5 2 2 3 2 3 3 3" xfId="40047" xr:uid="{00000000-0005-0000-0000-0000D7940000}"/>
    <cellStyle name="Currency 5 2 2 3 2 3 4" xfId="18292" xr:uid="{00000000-0005-0000-0000-0000D8940000}"/>
    <cellStyle name="Currency 5 2 2 3 2 3 4 2" xfId="47298" xr:uid="{00000000-0005-0000-0000-0000D9940000}"/>
    <cellStyle name="Currency 5 2 2 3 2 3 5" xfId="32799" xr:uid="{00000000-0005-0000-0000-0000DA940000}"/>
    <cellStyle name="Currency 5 2 2 3 2 4" xfId="4766" xr:uid="{00000000-0005-0000-0000-0000DB940000}"/>
    <cellStyle name="Currency 5 2 2 3 2 4 2" xfId="12038" xr:uid="{00000000-0005-0000-0000-0000DC940000}"/>
    <cellStyle name="Currency 5 2 2 3 2 4 2 2" xfId="26572" xr:uid="{00000000-0005-0000-0000-0000DD940000}"/>
    <cellStyle name="Currency 5 2 2 3 2 4 2 2 2" xfId="55578" xr:uid="{00000000-0005-0000-0000-0000DE940000}"/>
    <cellStyle name="Currency 5 2 2 3 2 4 2 3" xfId="41079" xr:uid="{00000000-0005-0000-0000-0000DF940000}"/>
    <cellStyle name="Currency 5 2 2 3 2 4 3" xfId="19324" xr:uid="{00000000-0005-0000-0000-0000E0940000}"/>
    <cellStyle name="Currency 5 2 2 3 2 4 3 2" xfId="48330" xr:uid="{00000000-0005-0000-0000-0000E1940000}"/>
    <cellStyle name="Currency 5 2 2 3 2 4 4" xfId="33831" xr:uid="{00000000-0005-0000-0000-0000E2940000}"/>
    <cellStyle name="Currency 5 2 2 3 2 5" xfId="7870" xr:uid="{00000000-0005-0000-0000-0000E3940000}"/>
    <cellStyle name="Currency 5 2 2 3 2 5 2" xfId="15142" xr:uid="{00000000-0005-0000-0000-0000E4940000}"/>
    <cellStyle name="Currency 5 2 2 3 2 5 2 2" xfId="29676" xr:uid="{00000000-0005-0000-0000-0000E5940000}"/>
    <cellStyle name="Currency 5 2 2 3 2 5 2 2 2" xfId="58682" xr:uid="{00000000-0005-0000-0000-0000E6940000}"/>
    <cellStyle name="Currency 5 2 2 3 2 5 2 3" xfId="44183" xr:uid="{00000000-0005-0000-0000-0000E7940000}"/>
    <cellStyle name="Currency 5 2 2 3 2 5 3" xfId="22428" xr:uid="{00000000-0005-0000-0000-0000E8940000}"/>
    <cellStyle name="Currency 5 2 2 3 2 5 3 2" xfId="51434" xr:uid="{00000000-0005-0000-0000-0000E9940000}"/>
    <cellStyle name="Currency 5 2 2 3 2 5 4" xfId="36935" xr:uid="{00000000-0005-0000-0000-0000EA940000}"/>
    <cellStyle name="Currency 5 2 2 3 2 6" xfId="8934" xr:uid="{00000000-0005-0000-0000-0000EB940000}"/>
    <cellStyle name="Currency 5 2 2 3 2 6 2" xfId="23468" xr:uid="{00000000-0005-0000-0000-0000EC940000}"/>
    <cellStyle name="Currency 5 2 2 3 2 6 2 2" xfId="52474" xr:uid="{00000000-0005-0000-0000-0000ED940000}"/>
    <cellStyle name="Currency 5 2 2 3 2 6 3" xfId="37975" xr:uid="{00000000-0005-0000-0000-0000EE940000}"/>
    <cellStyle name="Currency 5 2 2 3 2 7" xfId="16220" xr:uid="{00000000-0005-0000-0000-0000EF940000}"/>
    <cellStyle name="Currency 5 2 2 3 2 7 2" xfId="45226" xr:uid="{00000000-0005-0000-0000-0000F0940000}"/>
    <cellStyle name="Currency 5 2 2 3 2 8" xfId="30727" xr:uid="{00000000-0005-0000-0000-0000F1940000}"/>
    <cellStyle name="Currency 5 2 2 3 3" xfId="2190" xr:uid="{00000000-0005-0000-0000-0000F2940000}"/>
    <cellStyle name="Currency 5 2 2 3 3 2" xfId="5294" xr:uid="{00000000-0005-0000-0000-0000F3940000}"/>
    <cellStyle name="Currency 5 2 2 3 3 2 2" xfId="12566" xr:uid="{00000000-0005-0000-0000-0000F4940000}"/>
    <cellStyle name="Currency 5 2 2 3 3 2 2 2" xfId="27100" xr:uid="{00000000-0005-0000-0000-0000F5940000}"/>
    <cellStyle name="Currency 5 2 2 3 3 2 2 2 2" xfId="56106" xr:uid="{00000000-0005-0000-0000-0000F6940000}"/>
    <cellStyle name="Currency 5 2 2 3 3 2 2 3" xfId="41607" xr:uid="{00000000-0005-0000-0000-0000F7940000}"/>
    <cellStyle name="Currency 5 2 2 3 3 2 3" xfId="19852" xr:uid="{00000000-0005-0000-0000-0000F8940000}"/>
    <cellStyle name="Currency 5 2 2 3 3 2 3 2" xfId="48858" xr:uid="{00000000-0005-0000-0000-0000F9940000}"/>
    <cellStyle name="Currency 5 2 2 3 3 2 4" xfId="34359" xr:uid="{00000000-0005-0000-0000-0000FA940000}"/>
    <cellStyle name="Currency 5 2 2 3 3 3" xfId="9462" xr:uid="{00000000-0005-0000-0000-0000FB940000}"/>
    <cellStyle name="Currency 5 2 2 3 3 3 2" xfId="23996" xr:uid="{00000000-0005-0000-0000-0000FC940000}"/>
    <cellStyle name="Currency 5 2 2 3 3 3 2 2" xfId="53002" xr:uid="{00000000-0005-0000-0000-0000FD940000}"/>
    <cellStyle name="Currency 5 2 2 3 3 3 3" xfId="38503" xr:uid="{00000000-0005-0000-0000-0000FE940000}"/>
    <cellStyle name="Currency 5 2 2 3 3 4" xfId="16748" xr:uid="{00000000-0005-0000-0000-0000FF940000}"/>
    <cellStyle name="Currency 5 2 2 3 3 4 2" xfId="45754" xr:uid="{00000000-0005-0000-0000-000000950000}"/>
    <cellStyle name="Currency 5 2 2 3 3 5" xfId="31255" xr:uid="{00000000-0005-0000-0000-000001950000}"/>
    <cellStyle name="Currency 5 2 2 3 4" xfId="3222" xr:uid="{00000000-0005-0000-0000-000002950000}"/>
    <cellStyle name="Currency 5 2 2 3 4 2" xfId="6326" xr:uid="{00000000-0005-0000-0000-000003950000}"/>
    <cellStyle name="Currency 5 2 2 3 4 2 2" xfId="13598" xr:uid="{00000000-0005-0000-0000-000004950000}"/>
    <cellStyle name="Currency 5 2 2 3 4 2 2 2" xfId="28132" xr:uid="{00000000-0005-0000-0000-000005950000}"/>
    <cellStyle name="Currency 5 2 2 3 4 2 2 2 2" xfId="57138" xr:uid="{00000000-0005-0000-0000-000006950000}"/>
    <cellStyle name="Currency 5 2 2 3 4 2 2 3" xfId="42639" xr:uid="{00000000-0005-0000-0000-000007950000}"/>
    <cellStyle name="Currency 5 2 2 3 4 2 3" xfId="20884" xr:uid="{00000000-0005-0000-0000-000008950000}"/>
    <cellStyle name="Currency 5 2 2 3 4 2 3 2" xfId="49890" xr:uid="{00000000-0005-0000-0000-000009950000}"/>
    <cellStyle name="Currency 5 2 2 3 4 2 4" xfId="35391" xr:uid="{00000000-0005-0000-0000-00000A950000}"/>
    <cellStyle name="Currency 5 2 2 3 4 3" xfId="10494" xr:uid="{00000000-0005-0000-0000-00000B950000}"/>
    <cellStyle name="Currency 5 2 2 3 4 3 2" xfId="25028" xr:uid="{00000000-0005-0000-0000-00000C950000}"/>
    <cellStyle name="Currency 5 2 2 3 4 3 2 2" xfId="54034" xr:uid="{00000000-0005-0000-0000-00000D950000}"/>
    <cellStyle name="Currency 5 2 2 3 4 3 3" xfId="39535" xr:uid="{00000000-0005-0000-0000-00000E950000}"/>
    <cellStyle name="Currency 5 2 2 3 4 4" xfId="17780" xr:uid="{00000000-0005-0000-0000-00000F950000}"/>
    <cellStyle name="Currency 5 2 2 3 4 4 2" xfId="46786" xr:uid="{00000000-0005-0000-0000-000010950000}"/>
    <cellStyle name="Currency 5 2 2 3 4 5" xfId="32287" xr:uid="{00000000-0005-0000-0000-000011950000}"/>
    <cellStyle name="Currency 5 2 2 3 5" xfId="4254" xr:uid="{00000000-0005-0000-0000-000012950000}"/>
    <cellStyle name="Currency 5 2 2 3 5 2" xfId="11526" xr:uid="{00000000-0005-0000-0000-000013950000}"/>
    <cellStyle name="Currency 5 2 2 3 5 2 2" xfId="26060" xr:uid="{00000000-0005-0000-0000-000014950000}"/>
    <cellStyle name="Currency 5 2 2 3 5 2 2 2" xfId="55066" xr:uid="{00000000-0005-0000-0000-000015950000}"/>
    <cellStyle name="Currency 5 2 2 3 5 2 3" xfId="40567" xr:uid="{00000000-0005-0000-0000-000016950000}"/>
    <cellStyle name="Currency 5 2 2 3 5 3" xfId="18812" xr:uid="{00000000-0005-0000-0000-000017950000}"/>
    <cellStyle name="Currency 5 2 2 3 5 3 2" xfId="47818" xr:uid="{00000000-0005-0000-0000-000018950000}"/>
    <cellStyle name="Currency 5 2 2 3 5 4" xfId="33319" xr:uid="{00000000-0005-0000-0000-000019950000}"/>
    <cellStyle name="Currency 5 2 2 3 6" xfId="7358" xr:uid="{00000000-0005-0000-0000-00001A950000}"/>
    <cellStyle name="Currency 5 2 2 3 6 2" xfId="14630" xr:uid="{00000000-0005-0000-0000-00001B950000}"/>
    <cellStyle name="Currency 5 2 2 3 6 2 2" xfId="29164" xr:uid="{00000000-0005-0000-0000-00001C950000}"/>
    <cellStyle name="Currency 5 2 2 3 6 2 2 2" xfId="58170" xr:uid="{00000000-0005-0000-0000-00001D950000}"/>
    <cellStyle name="Currency 5 2 2 3 6 2 3" xfId="43671" xr:uid="{00000000-0005-0000-0000-00001E950000}"/>
    <cellStyle name="Currency 5 2 2 3 6 3" xfId="21916" xr:uid="{00000000-0005-0000-0000-00001F950000}"/>
    <cellStyle name="Currency 5 2 2 3 6 3 2" xfId="50922" xr:uid="{00000000-0005-0000-0000-000020950000}"/>
    <cellStyle name="Currency 5 2 2 3 6 4" xfId="36423" xr:uid="{00000000-0005-0000-0000-000021950000}"/>
    <cellStyle name="Currency 5 2 2 3 7" xfId="8422" xr:uid="{00000000-0005-0000-0000-000022950000}"/>
    <cellStyle name="Currency 5 2 2 3 7 2" xfId="22956" xr:uid="{00000000-0005-0000-0000-000023950000}"/>
    <cellStyle name="Currency 5 2 2 3 7 2 2" xfId="51962" xr:uid="{00000000-0005-0000-0000-000024950000}"/>
    <cellStyle name="Currency 5 2 2 3 7 3" xfId="37463" xr:uid="{00000000-0005-0000-0000-000025950000}"/>
    <cellStyle name="Currency 5 2 2 3 8" xfId="15708" xr:uid="{00000000-0005-0000-0000-000026950000}"/>
    <cellStyle name="Currency 5 2 2 3 8 2" xfId="44714" xr:uid="{00000000-0005-0000-0000-000027950000}"/>
    <cellStyle name="Currency 5 2 2 3 9" xfId="30215" xr:uid="{00000000-0005-0000-0000-000028950000}"/>
    <cellStyle name="Currency 5 2 2 4" xfId="1053" xr:uid="{00000000-0005-0000-0000-000029950000}"/>
    <cellStyle name="Currency 5 2 2 4 2" xfId="1544" xr:uid="{00000000-0005-0000-0000-00002A950000}"/>
    <cellStyle name="Currency 5 2 2 4 2 2" xfId="2602" xr:uid="{00000000-0005-0000-0000-00002B950000}"/>
    <cellStyle name="Currency 5 2 2 4 2 2 2" xfId="5706" xr:uid="{00000000-0005-0000-0000-00002C950000}"/>
    <cellStyle name="Currency 5 2 2 4 2 2 2 2" xfId="12978" xr:uid="{00000000-0005-0000-0000-00002D950000}"/>
    <cellStyle name="Currency 5 2 2 4 2 2 2 2 2" xfId="27512" xr:uid="{00000000-0005-0000-0000-00002E950000}"/>
    <cellStyle name="Currency 5 2 2 4 2 2 2 2 2 2" xfId="56518" xr:uid="{00000000-0005-0000-0000-00002F950000}"/>
    <cellStyle name="Currency 5 2 2 4 2 2 2 2 3" xfId="42019" xr:uid="{00000000-0005-0000-0000-000030950000}"/>
    <cellStyle name="Currency 5 2 2 4 2 2 2 3" xfId="20264" xr:uid="{00000000-0005-0000-0000-000031950000}"/>
    <cellStyle name="Currency 5 2 2 4 2 2 2 3 2" xfId="49270" xr:uid="{00000000-0005-0000-0000-000032950000}"/>
    <cellStyle name="Currency 5 2 2 4 2 2 2 4" xfId="34771" xr:uid="{00000000-0005-0000-0000-000033950000}"/>
    <cellStyle name="Currency 5 2 2 4 2 2 3" xfId="9874" xr:uid="{00000000-0005-0000-0000-000034950000}"/>
    <cellStyle name="Currency 5 2 2 4 2 2 3 2" xfId="24408" xr:uid="{00000000-0005-0000-0000-000035950000}"/>
    <cellStyle name="Currency 5 2 2 4 2 2 3 2 2" xfId="53414" xr:uid="{00000000-0005-0000-0000-000036950000}"/>
    <cellStyle name="Currency 5 2 2 4 2 2 3 3" xfId="38915" xr:uid="{00000000-0005-0000-0000-000037950000}"/>
    <cellStyle name="Currency 5 2 2 4 2 2 4" xfId="17160" xr:uid="{00000000-0005-0000-0000-000038950000}"/>
    <cellStyle name="Currency 5 2 2 4 2 2 4 2" xfId="46166" xr:uid="{00000000-0005-0000-0000-000039950000}"/>
    <cellStyle name="Currency 5 2 2 4 2 2 5" xfId="31667" xr:uid="{00000000-0005-0000-0000-00003A950000}"/>
    <cellStyle name="Currency 5 2 2 4 2 3" xfId="3634" xr:uid="{00000000-0005-0000-0000-00003B950000}"/>
    <cellStyle name="Currency 5 2 2 4 2 3 2" xfId="6738" xr:uid="{00000000-0005-0000-0000-00003C950000}"/>
    <cellStyle name="Currency 5 2 2 4 2 3 2 2" xfId="14010" xr:uid="{00000000-0005-0000-0000-00003D950000}"/>
    <cellStyle name="Currency 5 2 2 4 2 3 2 2 2" xfId="28544" xr:uid="{00000000-0005-0000-0000-00003E950000}"/>
    <cellStyle name="Currency 5 2 2 4 2 3 2 2 2 2" xfId="57550" xr:uid="{00000000-0005-0000-0000-00003F950000}"/>
    <cellStyle name="Currency 5 2 2 4 2 3 2 2 3" xfId="43051" xr:uid="{00000000-0005-0000-0000-000040950000}"/>
    <cellStyle name="Currency 5 2 2 4 2 3 2 3" xfId="21296" xr:uid="{00000000-0005-0000-0000-000041950000}"/>
    <cellStyle name="Currency 5 2 2 4 2 3 2 3 2" xfId="50302" xr:uid="{00000000-0005-0000-0000-000042950000}"/>
    <cellStyle name="Currency 5 2 2 4 2 3 2 4" xfId="35803" xr:uid="{00000000-0005-0000-0000-000043950000}"/>
    <cellStyle name="Currency 5 2 2 4 2 3 3" xfId="10906" xr:uid="{00000000-0005-0000-0000-000044950000}"/>
    <cellStyle name="Currency 5 2 2 4 2 3 3 2" xfId="25440" xr:uid="{00000000-0005-0000-0000-000045950000}"/>
    <cellStyle name="Currency 5 2 2 4 2 3 3 2 2" xfId="54446" xr:uid="{00000000-0005-0000-0000-000046950000}"/>
    <cellStyle name="Currency 5 2 2 4 2 3 3 3" xfId="39947" xr:uid="{00000000-0005-0000-0000-000047950000}"/>
    <cellStyle name="Currency 5 2 2 4 2 3 4" xfId="18192" xr:uid="{00000000-0005-0000-0000-000048950000}"/>
    <cellStyle name="Currency 5 2 2 4 2 3 4 2" xfId="47198" xr:uid="{00000000-0005-0000-0000-000049950000}"/>
    <cellStyle name="Currency 5 2 2 4 2 3 5" xfId="32699" xr:uid="{00000000-0005-0000-0000-00004A950000}"/>
    <cellStyle name="Currency 5 2 2 4 2 4" xfId="4666" xr:uid="{00000000-0005-0000-0000-00004B950000}"/>
    <cellStyle name="Currency 5 2 2 4 2 4 2" xfId="11938" xr:uid="{00000000-0005-0000-0000-00004C950000}"/>
    <cellStyle name="Currency 5 2 2 4 2 4 2 2" xfId="26472" xr:uid="{00000000-0005-0000-0000-00004D950000}"/>
    <cellStyle name="Currency 5 2 2 4 2 4 2 2 2" xfId="55478" xr:uid="{00000000-0005-0000-0000-00004E950000}"/>
    <cellStyle name="Currency 5 2 2 4 2 4 2 3" xfId="40979" xr:uid="{00000000-0005-0000-0000-00004F950000}"/>
    <cellStyle name="Currency 5 2 2 4 2 4 3" xfId="19224" xr:uid="{00000000-0005-0000-0000-000050950000}"/>
    <cellStyle name="Currency 5 2 2 4 2 4 3 2" xfId="48230" xr:uid="{00000000-0005-0000-0000-000051950000}"/>
    <cellStyle name="Currency 5 2 2 4 2 4 4" xfId="33731" xr:uid="{00000000-0005-0000-0000-000052950000}"/>
    <cellStyle name="Currency 5 2 2 4 2 5" xfId="7770" xr:uid="{00000000-0005-0000-0000-000053950000}"/>
    <cellStyle name="Currency 5 2 2 4 2 5 2" xfId="15042" xr:uid="{00000000-0005-0000-0000-000054950000}"/>
    <cellStyle name="Currency 5 2 2 4 2 5 2 2" xfId="29576" xr:uid="{00000000-0005-0000-0000-000055950000}"/>
    <cellStyle name="Currency 5 2 2 4 2 5 2 2 2" xfId="58582" xr:uid="{00000000-0005-0000-0000-000056950000}"/>
    <cellStyle name="Currency 5 2 2 4 2 5 2 3" xfId="44083" xr:uid="{00000000-0005-0000-0000-000057950000}"/>
    <cellStyle name="Currency 5 2 2 4 2 5 3" xfId="22328" xr:uid="{00000000-0005-0000-0000-000058950000}"/>
    <cellStyle name="Currency 5 2 2 4 2 5 3 2" xfId="51334" xr:uid="{00000000-0005-0000-0000-000059950000}"/>
    <cellStyle name="Currency 5 2 2 4 2 5 4" xfId="36835" xr:uid="{00000000-0005-0000-0000-00005A950000}"/>
    <cellStyle name="Currency 5 2 2 4 2 6" xfId="8834" xr:uid="{00000000-0005-0000-0000-00005B950000}"/>
    <cellStyle name="Currency 5 2 2 4 2 6 2" xfId="23368" xr:uid="{00000000-0005-0000-0000-00005C950000}"/>
    <cellStyle name="Currency 5 2 2 4 2 6 2 2" xfId="52374" xr:uid="{00000000-0005-0000-0000-00005D950000}"/>
    <cellStyle name="Currency 5 2 2 4 2 6 3" xfId="37875" xr:uid="{00000000-0005-0000-0000-00005E950000}"/>
    <cellStyle name="Currency 5 2 2 4 2 7" xfId="16120" xr:uid="{00000000-0005-0000-0000-00005F950000}"/>
    <cellStyle name="Currency 5 2 2 4 2 7 2" xfId="45126" xr:uid="{00000000-0005-0000-0000-000060950000}"/>
    <cellStyle name="Currency 5 2 2 4 2 8" xfId="30627" xr:uid="{00000000-0005-0000-0000-000061950000}"/>
    <cellStyle name="Currency 5 2 2 4 3" xfId="2090" xr:uid="{00000000-0005-0000-0000-000062950000}"/>
    <cellStyle name="Currency 5 2 2 4 3 2" xfId="5194" xr:uid="{00000000-0005-0000-0000-000063950000}"/>
    <cellStyle name="Currency 5 2 2 4 3 2 2" xfId="12466" xr:uid="{00000000-0005-0000-0000-000064950000}"/>
    <cellStyle name="Currency 5 2 2 4 3 2 2 2" xfId="27000" xr:uid="{00000000-0005-0000-0000-000065950000}"/>
    <cellStyle name="Currency 5 2 2 4 3 2 2 2 2" xfId="56006" xr:uid="{00000000-0005-0000-0000-000066950000}"/>
    <cellStyle name="Currency 5 2 2 4 3 2 2 3" xfId="41507" xr:uid="{00000000-0005-0000-0000-000067950000}"/>
    <cellStyle name="Currency 5 2 2 4 3 2 3" xfId="19752" xr:uid="{00000000-0005-0000-0000-000068950000}"/>
    <cellStyle name="Currency 5 2 2 4 3 2 3 2" xfId="48758" xr:uid="{00000000-0005-0000-0000-000069950000}"/>
    <cellStyle name="Currency 5 2 2 4 3 2 4" xfId="34259" xr:uid="{00000000-0005-0000-0000-00006A950000}"/>
    <cellStyle name="Currency 5 2 2 4 3 3" xfId="9362" xr:uid="{00000000-0005-0000-0000-00006B950000}"/>
    <cellStyle name="Currency 5 2 2 4 3 3 2" xfId="23896" xr:uid="{00000000-0005-0000-0000-00006C950000}"/>
    <cellStyle name="Currency 5 2 2 4 3 3 2 2" xfId="52902" xr:uid="{00000000-0005-0000-0000-00006D950000}"/>
    <cellStyle name="Currency 5 2 2 4 3 3 3" xfId="38403" xr:uid="{00000000-0005-0000-0000-00006E950000}"/>
    <cellStyle name="Currency 5 2 2 4 3 4" xfId="16648" xr:uid="{00000000-0005-0000-0000-00006F950000}"/>
    <cellStyle name="Currency 5 2 2 4 3 4 2" xfId="45654" xr:uid="{00000000-0005-0000-0000-000070950000}"/>
    <cellStyle name="Currency 5 2 2 4 3 5" xfId="31155" xr:uid="{00000000-0005-0000-0000-000071950000}"/>
    <cellStyle name="Currency 5 2 2 4 4" xfId="3122" xr:uid="{00000000-0005-0000-0000-000072950000}"/>
    <cellStyle name="Currency 5 2 2 4 4 2" xfId="6226" xr:uid="{00000000-0005-0000-0000-000073950000}"/>
    <cellStyle name="Currency 5 2 2 4 4 2 2" xfId="13498" xr:uid="{00000000-0005-0000-0000-000074950000}"/>
    <cellStyle name="Currency 5 2 2 4 4 2 2 2" xfId="28032" xr:uid="{00000000-0005-0000-0000-000075950000}"/>
    <cellStyle name="Currency 5 2 2 4 4 2 2 2 2" xfId="57038" xr:uid="{00000000-0005-0000-0000-000076950000}"/>
    <cellStyle name="Currency 5 2 2 4 4 2 2 3" xfId="42539" xr:uid="{00000000-0005-0000-0000-000077950000}"/>
    <cellStyle name="Currency 5 2 2 4 4 2 3" xfId="20784" xr:uid="{00000000-0005-0000-0000-000078950000}"/>
    <cellStyle name="Currency 5 2 2 4 4 2 3 2" xfId="49790" xr:uid="{00000000-0005-0000-0000-000079950000}"/>
    <cellStyle name="Currency 5 2 2 4 4 2 4" xfId="35291" xr:uid="{00000000-0005-0000-0000-00007A950000}"/>
    <cellStyle name="Currency 5 2 2 4 4 3" xfId="10394" xr:uid="{00000000-0005-0000-0000-00007B950000}"/>
    <cellStyle name="Currency 5 2 2 4 4 3 2" xfId="24928" xr:uid="{00000000-0005-0000-0000-00007C950000}"/>
    <cellStyle name="Currency 5 2 2 4 4 3 2 2" xfId="53934" xr:uid="{00000000-0005-0000-0000-00007D950000}"/>
    <cellStyle name="Currency 5 2 2 4 4 3 3" xfId="39435" xr:uid="{00000000-0005-0000-0000-00007E950000}"/>
    <cellStyle name="Currency 5 2 2 4 4 4" xfId="17680" xr:uid="{00000000-0005-0000-0000-00007F950000}"/>
    <cellStyle name="Currency 5 2 2 4 4 4 2" xfId="46686" xr:uid="{00000000-0005-0000-0000-000080950000}"/>
    <cellStyle name="Currency 5 2 2 4 4 5" xfId="32187" xr:uid="{00000000-0005-0000-0000-000081950000}"/>
    <cellStyle name="Currency 5 2 2 4 5" xfId="4154" xr:uid="{00000000-0005-0000-0000-000082950000}"/>
    <cellStyle name="Currency 5 2 2 4 5 2" xfId="11426" xr:uid="{00000000-0005-0000-0000-000083950000}"/>
    <cellStyle name="Currency 5 2 2 4 5 2 2" xfId="25960" xr:uid="{00000000-0005-0000-0000-000084950000}"/>
    <cellStyle name="Currency 5 2 2 4 5 2 2 2" xfId="54966" xr:uid="{00000000-0005-0000-0000-000085950000}"/>
    <cellStyle name="Currency 5 2 2 4 5 2 3" xfId="40467" xr:uid="{00000000-0005-0000-0000-000086950000}"/>
    <cellStyle name="Currency 5 2 2 4 5 3" xfId="18712" xr:uid="{00000000-0005-0000-0000-000087950000}"/>
    <cellStyle name="Currency 5 2 2 4 5 3 2" xfId="47718" xr:uid="{00000000-0005-0000-0000-000088950000}"/>
    <cellStyle name="Currency 5 2 2 4 5 4" xfId="33219" xr:uid="{00000000-0005-0000-0000-000089950000}"/>
    <cellStyle name="Currency 5 2 2 4 6" xfId="7258" xr:uid="{00000000-0005-0000-0000-00008A950000}"/>
    <cellStyle name="Currency 5 2 2 4 6 2" xfId="14530" xr:uid="{00000000-0005-0000-0000-00008B950000}"/>
    <cellStyle name="Currency 5 2 2 4 6 2 2" xfId="29064" xr:uid="{00000000-0005-0000-0000-00008C950000}"/>
    <cellStyle name="Currency 5 2 2 4 6 2 2 2" xfId="58070" xr:uid="{00000000-0005-0000-0000-00008D950000}"/>
    <cellStyle name="Currency 5 2 2 4 6 2 3" xfId="43571" xr:uid="{00000000-0005-0000-0000-00008E950000}"/>
    <cellStyle name="Currency 5 2 2 4 6 3" xfId="21816" xr:uid="{00000000-0005-0000-0000-00008F950000}"/>
    <cellStyle name="Currency 5 2 2 4 6 3 2" xfId="50822" xr:uid="{00000000-0005-0000-0000-000090950000}"/>
    <cellStyle name="Currency 5 2 2 4 6 4" xfId="36323" xr:uid="{00000000-0005-0000-0000-000091950000}"/>
    <cellStyle name="Currency 5 2 2 4 7" xfId="8322" xr:uid="{00000000-0005-0000-0000-000092950000}"/>
    <cellStyle name="Currency 5 2 2 4 7 2" xfId="22856" xr:uid="{00000000-0005-0000-0000-000093950000}"/>
    <cellStyle name="Currency 5 2 2 4 7 2 2" xfId="51862" xr:uid="{00000000-0005-0000-0000-000094950000}"/>
    <cellStyle name="Currency 5 2 2 4 7 3" xfId="37363" xr:uid="{00000000-0005-0000-0000-000095950000}"/>
    <cellStyle name="Currency 5 2 2 4 8" xfId="15608" xr:uid="{00000000-0005-0000-0000-000096950000}"/>
    <cellStyle name="Currency 5 2 2 4 8 2" xfId="44614" xr:uid="{00000000-0005-0000-0000-000097950000}"/>
    <cellStyle name="Currency 5 2 2 4 9" xfId="30115" xr:uid="{00000000-0005-0000-0000-000098950000}"/>
    <cellStyle name="Currency 5 2 2 5" xfId="1339" xr:uid="{00000000-0005-0000-0000-000099950000}"/>
    <cellStyle name="Currency 5 2 2 5 2" xfId="2396" xr:uid="{00000000-0005-0000-0000-00009A950000}"/>
    <cellStyle name="Currency 5 2 2 5 2 2" xfId="5500" xr:uid="{00000000-0005-0000-0000-00009B950000}"/>
    <cellStyle name="Currency 5 2 2 5 2 2 2" xfId="12772" xr:uid="{00000000-0005-0000-0000-00009C950000}"/>
    <cellStyle name="Currency 5 2 2 5 2 2 2 2" xfId="27306" xr:uid="{00000000-0005-0000-0000-00009D950000}"/>
    <cellStyle name="Currency 5 2 2 5 2 2 2 2 2" xfId="56312" xr:uid="{00000000-0005-0000-0000-00009E950000}"/>
    <cellStyle name="Currency 5 2 2 5 2 2 2 3" xfId="41813" xr:uid="{00000000-0005-0000-0000-00009F950000}"/>
    <cellStyle name="Currency 5 2 2 5 2 2 3" xfId="20058" xr:uid="{00000000-0005-0000-0000-0000A0950000}"/>
    <cellStyle name="Currency 5 2 2 5 2 2 3 2" xfId="49064" xr:uid="{00000000-0005-0000-0000-0000A1950000}"/>
    <cellStyle name="Currency 5 2 2 5 2 2 4" xfId="34565" xr:uid="{00000000-0005-0000-0000-0000A2950000}"/>
    <cellStyle name="Currency 5 2 2 5 2 3" xfId="9668" xr:uid="{00000000-0005-0000-0000-0000A3950000}"/>
    <cellStyle name="Currency 5 2 2 5 2 3 2" xfId="24202" xr:uid="{00000000-0005-0000-0000-0000A4950000}"/>
    <cellStyle name="Currency 5 2 2 5 2 3 2 2" xfId="53208" xr:uid="{00000000-0005-0000-0000-0000A5950000}"/>
    <cellStyle name="Currency 5 2 2 5 2 3 3" xfId="38709" xr:uid="{00000000-0005-0000-0000-0000A6950000}"/>
    <cellStyle name="Currency 5 2 2 5 2 4" xfId="16954" xr:uid="{00000000-0005-0000-0000-0000A7950000}"/>
    <cellStyle name="Currency 5 2 2 5 2 4 2" xfId="45960" xr:uid="{00000000-0005-0000-0000-0000A8950000}"/>
    <cellStyle name="Currency 5 2 2 5 2 5" xfId="31461" xr:uid="{00000000-0005-0000-0000-0000A9950000}"/>
    <cellStyle name="Currency 5 2 2 5 3" xfId="3428" xr:uid="{00000000-0005-0000-0000-0000AA950000}"/>
    <cellStyle name="Currency 5 2 2 5 3 2" xfId="6532" xr:uid="{00000000-0005-0000-0000-0000AB950000}"/>
    <cellStyle name="Currency 5 2 2 5 3 2 2" xfId="13804" xr:uid="{00000000-0005-0000-0000-0000AC950000}"/>
    <cellStyle name="Currency 5 2 2 5 3 2 2 2" xfId="28338" xr:uid="{00000000-0005-0000-0000-0000AD950000}"/>
    <cellStyle name="Currency 5 2 2 5 3 2 2 2 2" xfId="57344" xr:uid="{00000000-0005-0000-0000-0000AE950000}"/>
    <cellStyle name="Currency 5 2 2 5 3 2 2 3" xfId="42845" xr:uid="{00000000-0005-0000-0000-0000AF950000}"/>
    <cellStyle name="Currency 5 2 2 5 3 2 3" xfId="21090" xr:uid="{00000000-0005-0000-0000-0000B0950000}"/>
    <cellStyle name="Currency 5 2 2 5 3 2 3 2" xfId="50096" xr:uid="{00000000-0005-0000-0000-0000B1950000}"/>
    <cellStyle name="Currency 5 2 2 5 3 2 4" xfId="35597" xr:uid="{00000000-0005-0000-0000-0000B2950000}"/>
    <cellStyle name="Currency 5 2 2 5 3 3" xfId="10700" xr:uid="{00000000-0005-0000-0000-0000B3950000}"/>
    <cellStyle name="Currency 5 2 2 5 3 3 2" xfId="25234" xr:uid="{00000000-0005-0000-0000-0000B4950000}"/>
    <cellStyle name="Currency 5 2 2 5 3 3 2 2" xfId="54240" xr:uid="{00000000-0005-0000-0000-0000B5950000}"/>
    <cellStyle name="Currency 5 2 2 5 3 3 3" xfId="39741" xr:uid="{00000000-0005-0000-0000-0000B6950000}"/>
    <cellStyle name="Currency 5 2 2 5 3 4" xfId="17986" xr:uid="{00000000-0005-0000-0000-0000B7950000}"/>
    <cellStyle name="Currency 5 2 2 5 3 4 2" xfId="46992" xr:uid="{00000000-0005-0000-0000-0000B8950000}"/>
    <cellStyle name="Currency 5 2 2 5 3 5" xfId="32493" xr:uid="{00000000-0005-0000-0000-0000B9950000}"/>
    <cellStyle name="Currency 5 2 2 5 4" xfId="4460" xr:uid="{00000000-0005-0000-0000-0000BA950000}"/>
    <cellStyle name="Currency 5 2 2 5 4 2" xfId="11732" xr:uid="{00000000-0005-0000-0000-0000BB950000}"/>
    <cellStyle name="Currency 5 2 2 5 4 2 2" xfId="26266" xr:uid="{00000000-0005-0000-0000-0000BC950000}"/>
    <cellStyle name="Currency 5 2 2 5 4 2 2 2" xfId="55272" xr:uid="{00000000-0005-0000-0000-0000BD950000}"/>
    <cellStyle name="Currency 5 2 2 5 4 2 3" xfId="40773" xr:uid="{00000000-0005-0000-0000-0000BE950000}"/>
    <cellStyle name="Currency 5 2 2 5 4 3" xfId="19018" xr:uid="{00000000-0005-0000-0000-0000BF950000}"/>
    <cellStyle name="Currency 5 2 2 5 4 3 2" xfId="48024" xr:uid="{00000000-0005-0000-0000-0000C0950000}"/>
    <cellStyle name="Currency 5 2 2 5 4 4" xfId="33525" xr:uid="{00000000-0005-0000-0000-0000C1950000}"/>
    <cellStyle name="Currency 5 2 2 5 5" xfId="7564" xr:uid="{00000000-0005-0000-0000-0000C2950000}"/>
    <cellStyle name="Currency 5 2 2 5 5 2" xfId="14836" xr:uid="{00000000-0005-0000-0000-0000C3950000}"/>
    <cellStyle name="Currency 5 2 2 5 5 2 2" xfId="29370" xr:uid="{00000000-0005-0000-0000-0000C4950000}"/>
    <cellStyle name="Currency 5 2 2 5 5 2 2 2" xfId="58376" xr:uid="{00000000-0005-0000-0000-0000C5950000}"/>
    <cellStyle name="Currency 5 2 2 5 5 2 3" xfId="43877" xr:uid="{00000000-0005-0000-0000-0000C6950000}"/>
    <cellStyle name="Currency 5 2 2 5 5 3" xfId="22122" xr:uid="{00000000-0005-0000-0000-0000C7950000}"/>
    <cellStyle name="Currency 5 2 2 5 5 3 2" xfId="51128" xr:uid="{00000000-0005-0000-0000-0000C8950000}"/>
    <cellStyle name="Currency 5 2 2 5 5 4" xfId="36629" xr:uid="{00000000-0005-0000-0000-0000C9950000}"/>
    <cellStyle name="Currency 5 2 2 5 6" xfId="8628" xr:uid="{00000000-0005-0000-0000-0000CA950000}"/>
    <cellStyle name="Currency 5 2 2 5 6 2" xfId="23162" xr:uid="{00000000-0005-0000-0000-0000CB950000}"/>
    <cellStyle name="Currency 5 2 2 5 6 2 2" xfId="52168" xr:uid="{00000000-0005-0000-0000-0000CC950000}"/>
    <cellStyle name="Currency 5 2 2 5 6 3" xfId="37669" xr:uid="{00000000-0005-0000-0000-0000CD950000}"/>
    <cellStyle name="Currency 5 2 2 5 7" xfId="15914" xr:uid="{00000000-0005-0000-0000-0000CE950000}"/>
    <cellStyle name="Currency 5 2 2 5 7 2" xfId="44920" xr:uid="{00000000-0005-0000-0000-0000CF950000}"/>
    <cellStyle name="Currency 5 2 2 5 8" xfId="30421" xr:uid="{00000000-0005-0000-0000-0000D0950000}"/>
    <cellStyle name="Currency 5 2 2 6" xfId="1884" xr:uid="{00000000-0005-0000-0000-0000D1950000}"/>
    <cellStyle name="Currency 5 2 2 6 2" xfId="4988" xr:uid="{00000000-0005-0000-0000-0000D2950000}"/>
    <cellStyle name="Currency 5 2 2 6 2 2" xfId="12260" xr:uid="{00000000-0005-0000-0000-0000D3950000}"/>
    <cellStyle name="Currency 5 2 2 6 2 2 2" xfId="26794" xr:uid="{00000000-0005-0000-0000-0000D4950000}"/>
    <cellStyle name="Currency 5 2 2 6 2 2 2 2" xfId="55800" xr:uid="{00000000-0005-0000-0000-0000D5950000}"/>
    <cellStyle name="Currency 5 2 2 6 2 2 3" xfId="41301" xr:uid="{00000000-0005-0000-0000-0000D6950000}"/>
    <cellStyle name="Currency 5 2 2 6 2 3" xfId="19546" xr:uid="{00000000-0005-0000-0000-0000D7950000}"/>
    <cellStyle name="Currency 5 2 2 6 2 3 2" xfId="48552" xr:uid="{00000000-0005-0000-0000-0000D8950000}"/>
    <cellStyle name="Currency 5 2 2 6 2 4" xfId="34053" xr:uid="{00000000-0005-0000-0000-0000D9950000}"/>
    <cellStyle name="Currency 5 2 2 6 3" xfId="9156" xr:uid="{00000000-0005-0000-0000-0000DA950000}"/>
    <cellStyle name="Currency 5 2 2 6 3 2" xfId="23690" xr:uid="{00000000-0005-0000-0000-0000DB950000}"/>
    <cellStyle name="Currency 5 2 2 6 3 2 2" xfId="52696" xr:uid="{00000000-0005-0000-0000-0000DC950000}"/>
    <cellStyle name="Currency 5 2 2 6 3 3" xfId="38197" xr:uid="{00000000-0005-0000-0000-0000DD950000}"/>
    <cellStyle name="Currency 5 2 2 6 4" xfId="16442" xr:uid="{00000000-0005-0000-0000-0000DE950000}"/>
    <cellStyle name="Currency 5 2 2 6 4 2" xfId="45448" xr:uid="{00000000-0005-0000-0000-0000DF950000}"/>
    <cellStyle name="Currency 5 2 2 6 5" xfId="30949" xr:uid="{00000000-0005-0000-0000-0000E0950000}"/>
    <cellStyle name="Currency 5 2 2 7" xfId="2916" xr:uid="{00000000-0005-0000-0000-0000E1950000}"/>
    <cellStyle name="Currency 5 2 2 7 2" xfId="6020" xr:uid="{00000000-0005-0000-0000-0000E2950000}"/>
    <cellStyle name="Currency 5 2 2 7 2 2" xfId="13292" xr:uid="{00000000-0005-0000-0000-0000E3950000}"/>
    <cellStyle name="Currency 5 2 2 7 2 2 2" xfId="27826" xr:uid="{00000000-0005-0000-0000-0000E4950000}"/>
    <cellStyle name="Currency 5 2 2 7 2 2 2 2" xfId="56832" xr:uid="{00000000-0005-0000-0000-0000E5950000}"/>
    <cellStyle name="Currency 5 2 2 7 2 2 3" xfId="42333" xr:uid="{00000000-0005-0000-0000-0000E6950000}"/>
    <cellStyle name="Currency 5 2 2 7 2 3" xfId="20578" xr:uid="{00000000-0005-0000-0000-0000E7950000}"/>
    <cellStyle name="Currency 5 2 2 7 2 3 2" xfId="49584" xr:uid="{00000000-0005-0000-0000-0000E8950000}"/>
    <cellStyle name="Currency 5 2 2 7 2 4" xfId="35085" xr:uid="{00000000-0005-0000-0000-0000E9950000}"/>
    <cellStyle name="Currency 5 2 2 7 3" xfId="10188" xr:uid="{00000000-0005-0000-0000-0000EA950000}"/>
    <cellStyle name="Currency 5 2 2 7 3 2" xfId="24722" xr:uid="{00000000-0005-0000-0000-0000EB950000}"/>
    <cellStyle name="Currency 5 2 2 7 3 2 2" xfId="53728" xr:uid="{00000000-0005-0000-0000-0000EC950000}"/>
    <cellStyle name="Currency 5 2 2 7 3 3" xfId="39229" xr:uid="{00000000-0005-0000-0000-0000ED950000}"/>
    <cellStyle name="Currency 5 2 2 7 4" xfId="17474" xr:uid="{00000000-0005-0000-0000-0000EE950000}"/>
    <cellStyle name="Currency 5 2 2 7 4 2" xfId="46480" xr:uid="{00000000-0005-0000-0000-0000EF950000}"/>
    <cellStyle name="Currency 5 2 2 7 5" xfId="31981" xr:uid="{00000000-0005-0000-0000-0000F0950000}"/>
    <cellStyle name="Currency 5 2 2 8" xfId="3948" xr:uid="{00000000-0005-0000-0000-0000F1950000}"/>
    <cellStyle name="Currency 5 2 2 8 2" xfId="11220" xr:uid="{00000000-0005-0000-0000-0000F2950000}"/>
    <cellStyle name="Currency 5 2 2 8 2 2" xfId="25754" xr:uid="{00000000-0005-0000-0000-0000F3950000}"/>
    <cellStyle name="Currency 5 2 2 8 2 2 2" xfId="54760" xr:uid="{00000000-0005-0000-0000-0000F4950000}"/>
    <cellStyle name="Currency 5 2 2 8 2 3" xfId="40261" xr:uid="{00000000-0005-0000-0000-0000F5950000}"/>
    <cellStyle name="Currency 5 2 2 8 3" xfId="18506" xr:uid="{00000000-0005-0000-0000-0000F6950000}"/>
    <cellStyle name="Currency 5 2 2 8 3 2" xfId="47512" xr:uid="{00000000-0005-0000-0000-0000F7950000}"/>
    <cellStyle name="Currency 5 2 2 8 4" xfId="33013" xr:uid="{00000000-0005-0000-0000-0000F8950000}"/>
    <cellStyle name="Currency 5 2 2 9" xfId="7052" xr:uid="{00000000-0005-0000-0000-0000F9950000}"/>
    <cellStyle name="Currency 5 2 2 9 2" xfId="14324" xr:uid="{00000000-0005-0000-0000-0000FA950000}"/>
    <cellStyle name="Currency 5 2 2 9 2 2" xfId="28858" xr:uid="{00000000-0005-0000-0000-0000FB950000}"/>
    <cellStyle name="Currency 5 2 2 9 2 2 2" xfId="57864" xr:uid="{00000000-0005-0000-0000-0000FC950000}"/>
    <cellStyle name="Currency 5 2 2 9 2 3" xfId="43365" xr:uid="{00000000-0005-0000-0000-0000FD950000}"/>
    <cellStyle name="Currency 5 2 2 9 3" xfId="21610" xr:uid="{00000000-0005-0000-0000-0000FE950000}"/>
    <cellStyle name="Currency 5 2 2 9 3 2" xfId="50616" xr:uid="{00000000-0005-0000-0000-0000FF950000}"/>
    <cellStyle name="Currency 5 2 2 9 4" xfId="36117" xr:uid="{00000000-0005-0000-0000-000000960000}"/>
    <cellStyle name="Currency 5 2 3" xfId="469" xr:uid="{00000000-0005-0000-0000-000001960000}"/>
    <cellStyle name="Currency 5 2 3 10" xfId="29960" xr:uid="{00000000-0005-0000-0000-000002960000}"/>
    <cellStyle name="Currency 5 2 3 11" xfId="59328" xr:uid="{00000000-0005-0000-0000-000003960000}"/>
    <cellStyle name="Currency 5 2 3 2" xfId="1191" xr:uid="{00000000-0005-0000-0000-000004960000}"/>
    <cellStyle name="Currency 5 2 3 2 2" xfId="1694" xr:uid="{00000000-0005-0000-0000-000005960000}"/>
    <cellStyle name="Currency 5 2 3 2 2 2" xfId="2753" xr:uid="{00000000-0005-0000-0000-000006960000}"/>
    <cellStyle name="Currency 5 2 3 2 2 2 2" xfId="5857" xr:uid="{00000000-0005-0000-0000-000007960000}"/>
    <cellStyle name="Currency 5 2 3 2 2 2 2 2" xfId="13129" xr:uid="{00000000-0005-0000-0000-000008960000}"/>
    <cellStyle name="Currency 5 2 3 2 2 2 2 2 2" xfId="27663" xr:uid="{00000000-0005-0000-0000-000009960000}"/>
    <cellStyle name="Currency 5 2 3 2 2 2 2 2 2 2" xfId="56669" xr:uid="{00000000-0005-0000-0000-00000A960000}"/>
    <cellStyle name="Currency 5 2 3 2 2 2 2 2 3" xfId="42170" xr:uid="{00000000-0005-0000-0000-00000B960000}"/>
    <cellStyle name="Currency 5 2 3 2 2 2 2 3" xfId="20415" xr:uid="{00000000-0005-0000-0000-00000C960000}"/>
    <cellStyle name="Currency 5 2 3 2 2 2 2 3 2" xfId="49421" xr:uid="{00000000-0005-0000-0000-00000D960000}"/>
    <cellStyle name="Currency 5 2 3 2 2 2 2 4" xfId="34922" xr:uid="{00000000-0005-0000-0000-00000E960000}"/>
    <cellStyle name="Currency 5 2 3 2 2 2 3" xfId="10025" xr:uid="{00000000-0005-0000-0000-00000F960000}"/>
    <cellStyle name="Currency 5 2 3 2 2 2 3 2" xfId="24559" xr:uid="{00000000-0005-0000-0000-000010960000}"/>
    <cellStyle name="Currency 5 2 3 2 2 2 3 2 2" xfId="53565" xr:uid="{00000000-0005-0000-0000-000011960000}"/>
    <cellStyle name="Currency 5 2 3 2 2 2 3 3" xfId="39066" xr:uid="{00000000-0005-0000-0000-000012960000}"/>
    <cellStyle name="Currency 5 2 3 2 2 2 4" xfId="17311" xr:uid="{00000000-0005-0000-0000-000013960000}"/>
    <cellStyle name="Currency 5 2 3 2 2 2 4 2" xfId="46317" xr:uid="{00000000-0005-0000-0000-000014960000}"/>
    <cellStyle name="Currency 5 2 3 2 2 2 5" xfId="31818" xr:uid="{00000000-0005-0000-0000-000015960000}"/>
    <cellStyle name="Currency 5 2 3 2 2 3" xfId="3785" xr:uid="{00000000-0005-0000-0000-000016960000}"/>
    <cellStyle name="Currency 5 2 3 2 2 3 2" xfId="6889" xr:uid="{00000000-0005-0000-0000-000017960000}"/>
    <cellStyle name="Currency 5 2 3 2 2 3 2 2" xfId="14161" xr:uid="{00000000-0005-0000-0000-000018960000}"/>
    <cellStyle name="Currency 5 2 3 2 2 3 2 2 2" xfId="28695" xr:uid="{00000000-0005-0000-0000-000019960000}"/>
    <cellStyle name="Currency 5 2 3 2 2 3 2 2 2 2" xfId="57701" xr:uid="{00000000-0005-0000-0000-00001A960000}"/>
    <cellStyle name="Currency 5 2 3 2 2 3 2 2 3" xfId="43202" xr:uid="{00000000-0005-0000-0000-00001B960000}"/>
    <cellStyle name="Currency 5 2 3 2 2 3 2 3" xfId="21447" xr:uid="{00000000-0005-0000-0000-00001C960000}"/>
    <cellStyle name="Currency 5 2 3 2 2 3 2 3 2" xfId="50453" xr:uid="{00000000-0005-0000-0000-00001D960000}"/>
    <cellStyle name="Currency 5 2 3 2 2 3 2 4" xfId="35954" xr:uid="{00000000-0005-0000-0000-00001E960000}"/>
    <cellStyle name="Currency 5 2 3 2 2 3 3" xfId="11057" xr:uid="{00000000-0005-0000-0000-00001F960000}"/>
    <cellStyle name="Currency 5 2 3 2 2 3 3 2" xfId="25591" xr:uid="{00000000-0005-0000-0000-000020960000}"/>
    <cellStyle name="Currency 5 2 3 2 2 3 3 2 2" xfId="54597" xr:uid="{00000000-0005-0000-0000-000021960000}"/>
    <cellStyle name="Currency 5 2 3 2 2 3 3 3" xfId="40098" xr:uid="{00000000-0005-0000-0000-000022960000}"/>
    <cellStyle name="Currency 5 2 3 2 2 3 4" xfId="18343" xr:uid="{00000000-0005-0000-0000-000023960000}"/>
    <cellStyle name="Currency 5 2 3 2 2 3 4 2" xfId="47349" xr:uid="{00000000-0005-0000-0000-000024960000}"/>
    <cellStyle name="Currency 5 2 3 2 2 3 5" xfId="32850" xr:uid="{00000000-0005-0000-0000-000025960000}"/>
    <cellStyle name="Currency 5 2 3 2 2 4" xfId="4817" xr:uid="{00000000-0005-0000-0000-000026960000}"/>
    <cellStyle name="Currency 5 2 3 2 2 4 2" xfId="12089" xr:uid="{00000000-0005-0000-0000-000027960000}"/>
    <cellStyle name="Currency 5 2 3 2 2 4 2 2" xfId="26623" xr:uid="{00000000-0005-0000-0000-000028960000}"/>
    <cellStyle name="Currency 5 2 3 2 2 4 2 2 2" xfId="55629" xr:uid="{00000000-0005-0000-0000-000029960000}"/>
    <cellStyle name="Currency 5 2 3 2 2 4 2 3" xfId="41130" xr:uid="{00000000-0005-0000-0000-00002A960000}"/>
    <cellStyle name="Currency 5 2 3 2 2 4 3" xfId="19375" xr:uid="{00000000-0005-0000-0000-00002B960000}"/>
    <cellStyle name="Currency 5 2 3 2 2 4 3 2" xfId="48381" xr:uid="{00000000-0005-0000-0000-00002C960000}"/>
    <cellStyle name="Currency 5 2 3 2 2 4 4" xfId="33882" xr:uid="{00000000-0005-0000-0000-00002D960000}"/>
    <cellStyle name="Currency 5 2 3 2 2 5" xfId="7921" xr:uid="{00000000-0005-0000-0000-00002E960000}"/>
    <cellStyle name="Currency 5 2 3 2 2 5 2" xfId="15193" xr:uid="{00000000-0005-0000-0000-00002F960000}"/>
    <cellStyle name="Currency 5 2 3 2 2 5 2 2" xfId="29727" xr:uid="{00000000-0005-0000-0000-000030960000}"/>
    <cellStyle name="Currency 5 2 3 2 2 5 2 2 2" xfId="58733" xr:uid="{00000000-0005-0000-0000-000031960000}"/>
    <cellStyle name="Currency 5 2 3 2 2 5 2 3" xfId="44234" xr:uid="{00000000-0005-0000-0000-000032960000}"/>
    <cellStyle name="Currency 5 2 3 2 2 5 3" xfId="22479" xr:uid="{00000000-0005-0000-0000-000033960000}"/>
    <cellStyle name="Currency 5 2 3 2 2 5 3 2" xfId="51485" xr:uid="{00000000-0005-0000-0000-000034960000}"/>
    <cellStyle name="Currency 5 2 3 2 2 5 4" xfId="36986" xr:uid="{00000000-0005-0000-0000-000035960000}"/>
    <cellStyle name="Currency 5 2 3 2 2 6" xfId="8985" xr:uid="{00000000-0005-0000-0000-000036960000}"/>
    <cellStyle name="Currency 5 2 3 2 2 6 2" xfId="23519" xr:uid="{00000000-0005-0000-0000-000037960000}"/>
    <cellStyle name="Currency 5 2 3 2 2 6 2 2" xfId="52525" xr:uid="{00000000-0005-0000-0000-000038960000}"/>
    <cellStyle name="Currency 5 2 3 2 2 6 3" xfId="38026" xr:uid="{00000000-0005-0000-0000-000039960000}"/>
    <cellStyle name="Currency 5 2 3 2 2 7" xfId="16271" xr:uid="{00000000-0005-0000-0000-00003A960000}"/>
    <cellStyle name="Currency 5 2 3 2 2 7 2" xfId="45277" xr:uid="{00000000-0005-0000-0000-00003B960000}"/>
    <cellStyle name="Currency 5 2 3 2 2 8" xfId="30778" xr:uid="{00000000-0005-0000-0000-00003C960000}"/>
    <cellStyle name="Currency 5 2 3 2 3" xfId="2241" xr:uid="{00000000-0005-0000-0000-00003D960000}"/>
    <cellStyle name="Currency 5 2 3 2 3 2" xfId="5345" xr:uid="{00000000-0005-0000-0000-00003E960000}"/>
    <cellStyle name="Currency 5 2 3 2 3 2 2" xfId="12617" xr:uid="{00000000-0005-0000-0000-00003F960000}"/>
    <cellStyle name="Currency 5 2 3 2 3 2 2 2" xfId="27151" xr:uid="{00000000-0005-0000-0000-000040960000}"/>
    <cellStyle name="Currency 5 2 3 2 3 2 2 2 2" xfId="56157" xr:uid="{00000000-0005-0000-0000-000041960000}"/>
    <cellStyle name="Currency 5 2 3 2 3 2 2 3" xfId="41658" xr:uid="{00000000-0005-0000-0000-000042960000}"/>
    <cellStyle name="Currency 5 2 3 2 3 2 3" xfId="19903" xr:uid="{00000000-0005-0000-0000-000043960000}"/>
    <cellStyle name="Currency 5 2 3 2 3 2 3 2" xfId="48909" xr:uid="{00000000-0005-0000-0000-000044960000}"/>
    <cellStyle name="Currency 5 2 3 2 3 2 4" xfId="34410" xr:uid="{00000000-0005-0000-0000-000045960000}"/>
    <cellStyle name="Currency 5 2 3 2 3 3" xfId="9513" xr:uid="{00000000-0005-0000-0000-000046960000}"/>
    <cellStyle name="Currency 5 2 3 2 3 3 2" xfId="24047" xr:uid="{00000000-0005-0000-0000-000047960000}"/>
    <cellStyle name="Currency 5 2 3 2 3 3 2 2" xfId="53053" xr:uid="{00000000-0005-0000-0000-000048960000}"/>
    <cellStyle name="Currency 5 2 3 2 3 3 3" xfId="38554" xr:uid="{00000000-0005-0000-0000-000049960000}"/>
    <cellStyle name="Currency 5 2 3 2 3 4" xfId="16799" xr:uid="{00000000-0005-0000-0000-00004A960000}"/>
    <cellStyle name="Currency 5 2 3 2 3 4 2" xfId="45805" xr:uid="{00000000-0005-0000-0000-00004B960000}"/>
    <cellStyle name="Currency 5 2 3 2 3 5" xfId="31306" xr:uid="{00000000-0005-0000-0000-00004C960000}"/>
    <cellStyle name="Currency 5 2 3 2 4" xfId="3273" xr:uid="{00000000-0005-0000-0000-00004D960000}"/>
    <cellStyle name="Currency 5 2 3 2 4 2" xfId="6377" xr:uid="{00000000-0005-0000-0000-00004E960000}"/>
    <cellStyle name="Currency 5 2 3 2 4 2 2" xfId="13649" xr:uid="{00000000-0005-0000-0000-00004F960000}"/>
    <cellStyle name="Currency 5 2 3 2 4 2 2 2" xfId="28183" xr:uid="{00000000-0005-0000-0000-000050960000}"/>
    <cellStyle name="Currency 5 2 3 2 4 2 2 2 2" xfId="57189" xr:uid="{00000000-0005-0000-0000-000051960000}"/>
    <cellStyle name="Currency 5 2 3 2 4 2 2 3" xfId="42690" xr:uid="{00000000-0005-0000-0000-000052960000}"/>
    <cellStyle name="Currency 5 2 3 2 4 2 3" xfId="20935" xr:uid="{00000000-0005-0000-0000-000053960000}"/>
    <cellStyle name="Currency 5 2 3 2 4 2 3 2" xfId="49941" xr:uid="{00000000-0005-0000-0000-000054960000}"/>
    <cellStyle name="Currency 5 2 3 2 4 2 4" xfId="35442" xr:uid="{00000000-0005-0000-0000-000055960000}"/>
    <cellStyle name="Currency 5 2 3 2 4 3" xfId="10545" xr:uid="{00000000-0005-0000-0000-000056960000}"/>
    <cellStyle name="Currency 5 2 3 2 4 3 2" xfId="25079" xr:uid="{00000000-0005-0000-0000-000057960000}"/>
    <cellStyle name="Currency 5 2 3 2 4 3 2 2" xfId="54085" xr:uid="{00000000-0005-0000-0000-000058960000}"/>
    <cellStyle name="Currency 5 2 3 2 4 3 3" xfId="39586" xr:uid="{00000000-0005-0000-0000-000059960000}"/>
    <cellStyle name="Currency 5 2 3 2 4 4" xfId="17831" xr:uid="{00000000-0005-0000-0000-00005A960000}"/>
    <cellStyle name="Currency 5 2 3 2 4 4 2" xfId="46837" xr:uid="{00000000-0005-0000-0000-00005B960000}"/>
    <cellStyle name="Currency 5 2 3 2 4 5" xfId="32338" xr:uid="{00000000-0005-0000-0000-00005C960000}"/>
    <cellStyle name="Currency 5 2 3 2 5" xfId="4305" xr:uid="{00000000-0005-0000-0000-00005D960000}"/>
    <cellStyle name="Currency 5 2 3 2 5 2" xfId="11577" xr:uid="{00000000-0005-0000-0000-00005E960000}"/>
    <cellStyle name="Currency 5 2 3 2 5 2 2" xfId="26111" xr:uid="{00000000-0005-0000-0000-00005F960000}"/>
    <cellStyle name="Currency 5 2 3 2 5 2 2 2" xfId="55117" xr:uid="{00000000-0005-0000-0000-000060960000}"/>
    <cellStyle name="Currency 5 2 3 2 5 2 3" xfId="40618" xr:uid="{00000000-0005-0000-0000-000061960000}"/>
    <cellStyle name="Currency 5 2 3 2 5 3" xfId="18863" xr:uid="{00000000-0005-0000-0000-000062960000}"/>
    <cellStyle name="Currency 5 2 3 2 5 3 2" xfId="47869" xr:uid="{00000000-0005-0000-0000-000063960000}"/>
    <cellStyle name="Currency 5 2 3 2 5 4" xfId="33370" xr:uid="{00000000-0005-0000-0000-000064960000}"/>
    <cellStyle name="Currency 5 2 3 2 6" xfId="7409" xr:uid="{00000000-0005-0000-0000-000065960000}"/>
    <cellStyle name="Currency 5 2 3 2 6 2" xfId="14681" xr:uid="{00000000-0005-0000-0000-000066960000}"/>
    <cellStyle name="Currency 5 2 3 2 6 2 2" xfId="29215" xr:uid="{00000000-0005-0000-0000-000067960000}"/>
    <cellStyle name="Currency 5 2 3 2 6 2 2 2" xfId="58221" xr:uid="{00000000-0005-0000-0000-000068960000}"/>
    <cellStyle name="Currency 5 2 3 2 6 2 3" xfId="43722" xr:uid="{00000000-0005-0000-0000-000069960000}"/>
    <cellStyle name="Currency 5 2 3 2 6 3" xfId="21967" xr:uid="{00000000-0005-0000-0000-00006A960000}"/>
    <cellStyle name="Currency 5 2 3 2 6 3 2" xfId="50973" xr:uid="{00000000-0005-0000-0000-00006B960000}"/>
    <cellStyle name="Currency 5 2 3 2 6 4" xfId="36474" xr:uid="{00000000-0005-0000-0000-00006C960000}"/>
    <cellStyle name="Currency 5 2 3 2 7" xfId="8473" xr:uid="{00000000-0005-0000-0000-00006D960000}"/>
    <cellStyle name="Currency 5 2 3 2 7 2" xfId="23007" xr:uid="{00000000-0005-0000-0000-00006E960000}"/>
    <cellStyle name="Currency 5 2 3 2 7 2 2" xfId="52013" xr:uid="{00000000-0005-0000-0000-00006F960000}"/>
    <cellStyle name="Currency 5 2 3 2 7 3" xfId="37514" xr:uid="{00000000-0005-0000-0000-000070960000}"/>
    <cellStyle name="Currency 5 2 3 2 8" xfId="15759" xr:uid="{00000000-0005-0000-0000-000071960000}"/>
    <cellStyle name="Currency 5 2 3 2 8 2" xfId="44765" xr:uid="{00000000-0005-0000-0000-000072960000}"/>
    <cellStyle name="Currency 5 2 3 2 9" xfId="30266" xr:uid="{00000000-0005-0000-0000-000073960000}"/>
    <cellStyle name="Currency 5 2 3 3" xfId="1389" xr:uid="{00000000-0005-0000-0000-000074960000}"/>
    <cellStyle name="Currency 5 2 3 3 2" xfId="2447" xr:uid="{00000000-0005-0000-0000-000075960000}"/>
    <cellStyle name="Currency 5 2 3 3 2 2" xfId="5551" xr:uid="{00000000-0005-0000-0000-000076960000}"/>
    <cellStyle name="Currency 5 2 3 3 2 2 2" xfId="12823" xr:uid="{00000000-0005-0000-0000-000077960000}"/>
    <cellStyle name="Currency 5 2 3 3 2 2 2 2" xfId="27357" xr:uid="{00000000-0005-0000-0000-000078960000}"/>
    <cellStyle name="Currency 5 2 3 3 2 2 2 2 2" xfId="56363" xr:uid="{00000000-0005-0000-0000-000079960000}"/>
    <cellStyle name="Currency 5 2 3 3 2 2 2 3" xfId="41864" xr:uid="{00000000-0005-0000-0000-00007A960000}"/>
    <cellStyle name="Currency 5 2 3 3 2 2 3" xfId="20109" xr:uid="{00000000-0005-0000-0000-00007B960000}"/>
    <cellStyle name="Currency 5 2 3 3 2 2 3 2" xfId="49115" xr:uid="{00000000-0005-0000-0000-00007C960000}"/>
    <cellStyle name="Currency 5 2 3 3 2 2 4" xfId="34616" xr:uid="{00000000-0005-0000-0000-00007D960000}"/>
    <cellStyle name="Currency 5 2 3 3 2 3" xfId="9719" xr:uid="{00000000-0005-0000-0000-00007E960000}"/>
    <cellStyle name="Currency 5 2 3 3 2 3 2" xfId="24253" xr:uid="{00000000-0005-0000-0000-00007F960000}"/>
    <cellStyle name="Currency 5 2 3 3 2 3 2 2" xfId="53259" xr:uid="{00000000-0005-0000-0000-000080960000}"/>
    <cellStyle name="Currency 5 2 3 3 2 3 3" xfId="38760" xr:uid="{00000000-0005-0000-0000-000081960000}"/>
    <cellStyle name="Currency 5 2 3 3 2 4" xfId="17005" xr:uid="{00000000-0005-0000-0000-000082960000}"/>
    <cellStyle name="Currency 5 2 3 3 2 4 2" xfId="46011" xr:uid="{00000000-0005-0000-0000-000083960000}"/>
    <cellStyle name="Currency 5 2 3 3 2 5" xfId="31512" xr:uid="{00000000-0005-0000-0000-000084960000}"/>
    <cellStyle name="Currency 5 2 3 3 3" xfId="3479" xr:uid="{00000000-0005-0000-0000-000085960000}"/>
    <cellStyle name="Currency 5 2 3 3 3 2" xfId="6583" xr:uid="{00000000-0005-0000-0000-000086960000}"/>
    <cellStyle name="Currency 5 2 3 3 3 2 2" xfId="13855" xr:uid="{00000000-0005-0000-0000-000087960000}"/>
    <cellStyle name="Currency 5 2 3 3 3 2 2 2" xfId="28389" xr:uid="{00000000-0005-0000-0000-000088960000}"/>
    <cellStyle name="Currency 5 2 3 3 3 2 2 2 2" xfId="57395" xr:uid="{00000000-0005-0000-0000-000089960000}"/>
    <cellStyle name="Currency 5 2 3 3 3 2 2 3" xfId="42896" xr:uid="{00000000-0005-0000-0000-00008A960000}"/>
    <cellStyle name="Currency 5 2 3 3 3 2 3" xfId="21141" xr:uid="{00000000-0005-0000-0000-00008B960000}"/>
    <cellStyle name="Currency 5 2 3 3 3 2 3 2" xfId="50147" xr:uid="{00000000-0005-0000-0000-00008C960000}"/>
    <cellStyle name="Currency 5 2 3 3 3 2 4" xfId="35648" xr:uid="{00000000-0005-0000-0000-00008D960000}"/>
    <cellStyle name="Currency 5 2 3 3 3 3" xfId="10751" xr:uid="{00000000-0005-0000-0000-00008E960000}"/>
    <cellStyle name="Currency 5 2 3 3 3 3 2" xfId="25285" xr:uid="{00000000-0005-0000-0000-00008F960000}"/>
    <cellStyle name="Currency 5 2 3 3 3 3 2 2" xfId="54291" xr:uid="{00000000-0005-0000-0000-000090960000}"/>
    <cellStyle name="Currency 5 2 3 3 3 3 3" xfId="39792" xr:uid="{00000000-0005-0000-0000-000091960000}"/>
    <cellStyle name="Currency 5 2 3 3 3 4" xfId="18037" xr:uid="{00000000-0005-0000-0000-000092960000}"/>
    <cellStyle name="Currency 5 2 3 3 3 4 2" xfId="47043" xr:uid="{00000000-0005-0000-0000-000093960000}"/>
    <cellStyle name="Currency 5 2 3 3 3 5" xfId="32544" xr:uid="{00000000-0005-0000-0000-000094960000}"/>
    <cellStyle name="Currency 5 2 3 3 4" xfId="4511" xr:uid="{00000000-0005-0000-0000-000095960000}"/>
    <cellStyle name="Currency 5 2 3 3 4 2" xfId="11783" xr:uid="{00000000-0005-0000-0000-000096960000}"/>
    <cellStyle name="Currency 5 2 3 3 4 2 2" xfId="26317" xr:uid="{00000000-0005-0000-0000-000097960000}"/>
    <cellStyle name="Currency 5 2 3 3 4 2 2 2" xfId="55323" xr:uid="{00000000-0005-0000-0000-000098960000}"/>
    <cellStyle name="Currency 5 2 3 3 4 2 3" xfId="40824" xr:uid="{00000000-0005-0000-0000-000099960000}"/>
    <cellStyle name="Currency 5 2 3 3 4 3" xfId="19069" xr:uid="{00000000-0005-0000-0000-00009A960000}"/>
    <cellStyle name="Currency 5 2 3 3 4 3 2" xfId="48075" xr:uid="{00000000-0005-0000-0000-00009B960000}"/>
    <cellStyle name="Currency 5 2 3 3 4 4" xfId="33576" xr:uid="{00000000-0005-0000-0000-00009C960000}"/>
    <cellStyle name="Currency 5 2 3 3 5" xfId="7615" xr:uid="{00000000-0005-0000-0000-00009D960000}"/>
    <cellStyle name="Currency 5 2 3 3 5 2" xfId="14887" xr:uid="{00000000-0005-0000-0000-00009E960000}"/>
    <cellStyle name="Currency 5 2 3 3 5 2 2" xfId="29421" xr:uid="{00000000-0005-0000-0000-00009F960000}"/>
    <cellStyle name="Currency 5 2 3 3 5 2 2 2" xfId="58427" xr:uid="{00000000-0005-0000-0000-0000A0960000}"/>
    <cellStyle name="Currency 5 2 3 3 5 2 3" xfId="43928" xr:uid="{00000000-0005-0000-0000-0000A1960000}"/>
    <cellStyle name="Currency 5 2 3 3 5 3" xfId="22173" xr:uid="{00000000-0005-0000-0000-0000A2960000}"/>
    <cellStyle name="Currency 5 2 3 3 5 3 2" xfId="51179" xr:uid="{00000000-0005-0000-0000-0000A3960000}"/>
    <cellStyle name="Currency 5 2 3 3 5 4" xfId="36680" xr:uid="{00000000-0005-0000-0000-0000A4960000}"/>
    <cellStyle name="Currency 5 2 3 3 6" xfId="8679" xr:uid="{00000000-0005-0000-0000-0000A5960000}"/>
    <cellStyle name="Currency 5 2 3 3 6 2" xfId="23213" xr:uid="{00000000-0005-0000-0000-0000A6960000}"/>
    <cellStyle name="Currency 5 2 3 3 6 2 2" xfId="52219" xr:uid="{00000000-0005-0000-0000-0000A7960000}"/>
    <cellStyle name="Currency 5 2 3 3 6 3" xfId="37720" xr:uid="{00000000-0005-0000-0000-0000A8960000}"/>
    <cellStyle name="Currency 5 2 3 3 7" xfId="15965" xr:uid="{00000000-0005-0000-0000-0000A9960000}"/>
    <cellStyle name="Currency 5 2 3 3 7 2" xfId="44971" xr:uid="{00000000-0005-0000-0000-0000AA960000}"/>
    <cellStyle name="Currency 5 2 3 3 8" xfId="30472" xr:uid="{00000000-0005-0000-0000-0000AB960000}"/>
    <cellStyle name="Currency 5 2 3 4" xfId="1935" xr:uid="{00000000-0005-0000-0000-0000AC960000}"/>
    <cellStyle name="Currency 5 2 3 4 2" xfId="5039" xr:uid="{00000000-0005-0000-0000-0000AD960000}"/>
    <cellStyle name="Currency 5 2 3 4 2 2" xfId="12311" xr:uid="{00000000-0005-0000-0000-0000AE960000}"/>
    <cellStyle name="Currency 5 2 3 4 2 2 2" xfId="26845" xr:uid="{00000000-0005-0000-0000-0000AF960000}"/>
    <cellStyle name="Currency 5 2 3 4 2 2 2 2" xfId="55851" xr:uid="{00000000-0005-0000-0000-0000B0960000}"/>
    <cellStyle name="Currency 5 2 3 4 2 2 3" xfId="41352" xr:uid="{00000000-0005-0000-0000-0000B1960000}"/>
    <cellStyle name="Currency 5 2 3 4 2 3" xfId="19597" xr:uid="{00000000-0005-0000-0000-0000B2960000}"/>
    <cellStyle name="Currency 5 2 3 4 2 3 2" xfId="48603" xr:uid="{00000000-0005-0000-0000-0000B3960000}"/>
    <cellStyle name="Currency 5 2 3 4 2 4" xfId="34104" xr:uid="{00000000-0005-0000-0000-0000B4960000}"/>
    <cellStyle name="Currency 5 2 3 4 3" xfId="9207" xr:uid="{00000000-0005-0000-0000-0000B5960000}"/>
    <cellStyle name="Currency 5 2 3 4 3 2" xfId="23741" xr:uid="{00000000-0005-0000-0000-0000B6960000}"/>
    <cellStyle name="Currency 5 2 3 4 3 2 2" xfId="52747" xr:uid="{00000000-0005-0000-0000-0000B7960000}"/>
    <cellStyle name="Currency 5 2 3 4 3 3" xfId="38248" xr:uid="{00000000-0005-0000-0000-0000B8960000}"/>
    <cellStyle name="Currency 5 2 3 4 4" xfId="16493" xr:uid="{00000000-0005-0000-0000-0000B9960000}"/>
    <cellStyle name="Currency 5 2 3 4 4 2" xfId="45499" xr:uid="{00000000-0005-0000-0000-0000BA960000}"/>
    <cellStyle name="Currency 5 2 3 4 5" xfId="31000" xr:uid="{00000000-0005-0000-0000-0000BB960000}"/>
    <cellStyle name="Currency 5 2 3 5" xfId="2967" xr:uid="{00000000-0005-0000-0000-0000BC960000}"/>
    <cellStyle name="Currency 5 2 3 5 2" xfId="6071" xr:uid="{00000000-0005-0000-0000-0000BD960000}"/>
    <cellStyle name="Currency 5 2 3 5 2 2" xfId="13343" xr:uid="{00000000-0005-0000-0000-0000BE960000}"/>
    <cellStyle name="Currency 5 2 3 5 2 2 2" xfId="27877" xr:uid="{00000000-0005-0000-0000-0000BF960000}"/>
    <cellStyle name="Currency 5 2 3 5 2 2 2 2" xfId="56883" xr:uid="{00000000-0005-0000-0000-0000C0960000}"/>
    <cellStyle name="Currency 5 2 3 5 2 2 3" xfId="42384" xr:uid="{00000000-0005-0000-0000-0000C1960000}"/>
    <cellStyle name="Currency 5 2 3 5 2 3" xfId="20629" xr:uid="{00000000-0005-0000-0000-0000C2960000}"/>
    <cellStyle name="Currency 5 2 3 5 2 3 2" xfId="49635" xr:uid="{00000000-0005-0000-0000-0000C3960000}"/>
    <cellStyle name="Currency 5 2 3 5 2 4" xfId="35136" xr:uid="{00000000-0005-0000-0000-0000C4960000}"/>
    <cellStyle name="Currency 5 2 3 5 3" xfId="10239" xr:uid="{00000000-0005-0000-0000-0000C5960000}"/>
    <cellStyle name="Currency 5 2 3 5 3 2" xfId="24773" xr:uid="{00000000-0005-0000-0000-0000C6960000}"/>
    <cellStyle name="Currency 5 2 3 5 3 2 2" xfId="53779" xr:uid="{00000000-0005-0000-0000-0000C7960000}"/>
    <cellStyle name="Currency 5 2 3 5 3 3" xfId="39280" xr:uid="{00000000-0005-0000-0000-0000C8960000}"/>
    <cellStyle name="Currency 5 2 3 5 4" xfId="17525" xr:uid="{00000000-0005-0000-0000-0000C9960000}"/>
    <cellStyle name="Currency 5 2 3 5 4 2" xfId="46531" xr:uid="{00000000-0005-0000-0000-0000CA960000}"/>
    <cellStyle name="Currency 5 2 3 5 5" xfId="32032" xr:uid="{00000000-0005-0000-0000-0000CB960000}"/>
    <cellStyle name="Currency 5 2 3 6" xfId="3999" xr:uid="{00000000-0005-0000-0000-0000CC960000}"/>
    <cellStyle name="Currency 5 2 3 6 2" xfId="11271" xr:uid="{00000000-0005-0000-0000-0000CD960000}"/>
    <cellStyle name="Currency 5 2 3 6 2 2" xfId="25805" xr:uid="{00000000-0005-0000-0000-0000CE960000}"/>
    <cellStyle name="Currency 5 2 3 6 2 2 2" xfId="54811" xr:uid="{00000000-0005-0000-0000-0000CF960000}"/>
    <cellStyle name="Currency 5 2 3 6 2 3" xfId="40312" xr:uid="{00000000-0005-0000-0000-0000D0960000}"/>
    <cellStyle name="Currency 5 2 3 6 3" xfId="18557" xr:uid="{00000000-0005-0000-0000-0000D1960000}"/>
    <cellStyle name="Currency 5 2 3 6 3 2" xfId="47563" xr:uid="{00000000-0005-0000-0000-0000D2960000}"/>
    <cellStyle name="Currency 5 2 3 6 4" xfId="33064" xr:uid="{00000000-0005-0000-0000-0000D3960000}"/>
    <cellStyle name="Currency 5 2 3 7" xfId="7103" xr:uid="{00000000-0005-0000-0000-0000D4960000}"/>
    <cellStyle name="Currency 5 2 3 7 2" xfId="14375" xr:uid="{00000000-0005-0000-0000-0000D5960000}"/>
    <cellStyle name="Currency 5 2 3 7 2 2" xfId="28909" xr:uid="{00000000-0005-0000-0000-0000D6960000}"/>
    <cellStyle name="Currency 5 2 3 7 2 2 2" xfId="57915" xr:uid="{00000000-0005-0000-0000-0000D7960000}"/>
    <cellStyle name="Currency 5 2 3 7 2 3" xfId="43416" xr:uid="{00000000-0005-0000-0000-0000D8960000}"/>
    <cellStyle name="Currency 5 2 3 7 3" xfId="21661" xr:uid="{00000000-0005-0000-0000-0000D9960000}"/>
    <cellStyle name="Currency 5 2 3 7 3 2" xfId="50667" xr:uid="{00000000-0005-0000-0000-0000DA960000}"/>
    <cellStyle name="Currency 5 2 3 7 4" xfId="36168" xr:uid="{00000000-0005-0000-0000-0000DB960000}"/>
    <cellStyle name="Currency 5 2 3 8" xfId="8167" xr:uid="{00000000-0005-0000-0000-0000DC960000}"/>
    <cellStyle name="Currency 5 2 3 8 2" xfId="22701" xr:uid="{00000000-0005-0000-0000-0000DD960000}"/>
    <cellStyle name="Currency 5 2 3 8 2 2" xfId="51707" xr:uid="{00000000-0005-0000-0000-0000DE960000}"/>
    <cellStyle name="Currency 5 2 3 8 3" xfId="37208" xr:uid="{00000000-0005-0000-0000-0000DF960000}"/>
    <cellStyle name="Currency 5 2 3 9" xfId="15453" xr:uid="{00000000-0005-0000-0000-0000E0960000}"/>
    <cellStyle name="Currency 5 2 3 9 2" xfId="44459" xr:uid="{00000000-0005-0000-0000-0000E1960000}"/>
    <cellStyle name="Currency 5 2 4" xfId="604" xr:uid="{00000000-0005-0000-0000-0000E2960000}"/>
    <cellStyle name="Currency 5 2 4 10" xfId="59465" xr:uid="{00000000-0005-0000-0000-0000E3960000}"/>
    <cellStyle name="Currency 5 2 4 2" xfId="1591" xr:uid="{00000000-0005-0000-0000-0000E4960000}"/>
    <cellStyle name="Currency 5 2 4 2 2" xfId="2650" xr:uid="{00000000-0005-0000-0000-0000E5960000}"/>
    <cellStyle name="Currency 5 2 4 2 2 2" xfId="5754" xr:uid="{00000000-0005-0000-0000-0000E6960000}"/>
    <cellStyle name="Currency 5 2 4 2 2 2 2" xfId="13026" xr:uid="{00000000-0005-0000-0000-0000E7960000}"/>
    <cellStyle name="Currency 5 2 4 2 2 2 2 2" xfId="27560" xr:uid="{00000000-0005-0000-0000-0000E8960000}"/>
    <cellStyle name="Currency 5 2 4 2 2 2 2 2 2" xfId="56566" xr:uid="{00000000-0005-0000-0000-0000E9960000}"/>
    <cellStyle name="Currency 5 2 4 2 2 2 2 3" xfId="42067" xr:uid="{00000000-0005-0000-0000-0000EA960000}"/>
    <cellStyle name="Currency 5 2 4 2 2 2 3" xfId="20312" xr:uid="{00000000-0005-0000-0000-0000EB960000}"/>
    <cellStyle name="Currency 5 2 4 2 2 2 3 2" xfId="49318" xr:uid="{00000000-0005-0000-0000-0000EC960000}"/>
    <cellStyle name="Currency 5 2 4 2 2 2 4" xfId="34819" xr:uid="{00000000-0005-0000-0000-0000ED960000}"/>
    <cellStyle name="Currency 5 2 4 2 2 3" xfId="9922" xr:uid="{00000000-0005-0000-0000-0000EE960000}"/>
    <cellStyle name="Currency 5 2 4 2 2 3 2" xfId="24456" xr:uid="{00000000-0005-0000-0000-0000EF960000}"/>
    <cellStyle name="Currency 5 2 4 2 2 3 2 2" xfId="53462" xr:uid="{00000000-0005-0000-0000-0000F0960000}"/>
    <cellStyle name="Currency 5 2 4 2 2 3 3" xfId="38963" xr:uid="{00000000-0005-0000-0000-0000F1960000}"/>
    <cellStyle name="Currency 5 2 4 2 2 4" xfId="17208" xr:uid="{00000000-0005-0000-0000-0000F2960000}"/>
    <cellStyle name="Currency 5 2 4 2 2 4 2" xfId="46214" xr:uid="{00000000-0005-0000-0000-0000F3960000}"/>
    <cellStyle name="Currency 5 2 4 2 2 5" xfId="31715" xr:uid="{00000000-0005-0000-0000-0000F4960000}"/>
    <cellStyle name="Currency 5 2 4 2 3" xfId="3682" xr:uid="{00000000-0005-0000-0000-0000F5960000}"/>
    <cellStyle name="Currency 5 2 4 2 3 2" xfId="6786" xr:uid="{00000000-0005-0000-0000-0000F6960000}"/>
    <cellStyle name="Currency 5 2 4 2 3 2 2" xfId="14058" xr:uid="{00000000-0005-0000-0000-0000F7960000}"/>
    <cellStyle name="Currency 5 2 4 2 3 2 2 2" xfId="28592" xr:uid="{00000000-0005-0000-0000-0000F8960000}"/>
    <cellStyle name="Currency 5 2 4 2 3 2 2 2 2" xfId="57598" xr:uid="{00000000-0005-0000-0000-0000F9960000}"/>
    <cellStyle name="Currency 5 2 4 2 3 2 2 3" xfId="43099" xr:uid="{00000000-0005-0000-0000-0000FA960000}"/>
    <cellStyle name="Currency 5 2 4 2 3 2 3" xfId="21344" xr:uid="{00000000-0005-0000-0000-0000FB960000}"/>
    <cellStyle name="Currency 5 2 4 2 3 2 3 2" xfId="50350" xr:uid="{00000000-0005-0000-0000-0000FC960000}"/>
    <cellStyle name="Currency 5 2 4 2 3 2 4" xfId="35851" xr:uid="{00000000-0005-0000-0000-0000FD960000}"/>
    <cellStyle name="Currency 5 2 4 2 3 3" xfId="10954" xr:uid="{00000000-0005-0000-0000-0000FE960000}"/>
    <cellStyle name="Currency 5 2 4 2 3 3 2" xfId="25488" xr:uid="{00000000-0005-0000-0000-0000FF960000}"/>
    <cellStyle name="Currency 5 2 4 2 3 3 2 2" xfId="54494" xr:uid="{00000000-0005-0000-0000-000000970000}"/>
    <cellStyle name="Currency 5 2 4 2 3 3 3" xfId="39995" xr:uid="{00000000-0005-0000-0000-000001970000}"/>
    <cellStyle name="Currency 5 2 4 2 3 4" xfId="18240" xr:uid="{00000000-0005-0000-0000-000002970000}"/>
    <cellStyle name="Currency 5 2 4 2 3 4 2" xfId="47246" xr:uid="{00000000-0005-0000-0000-000003970000}"/>
    <cellStyle name="Currency 5 2 4 2 3 5" xfId="32747" xr:uid="{00000000-0005-0000-0000-000004970000}"/>
    <cellStyle name="Currency 5 2 4 2 4" xfId="4714" xr:uid="{00000000-0005-0000-0000-000005970000}"/>
    <cellStyle name="Currency 5 2 4 2 4 2" xfId="11986" xr:uid="{00000000-0005-0000-0000-000006970000}"/>
    <cellStyle name="Currency 5 2 4 2 4 2 2" xfId="26520" xr:uid="{00000000-0005-0000-0000-000007970000}"/>
    <cellStyle name="Currency 5 2 4 2 4 2 2 2" xfId="55526" xr:uid="{00000000-0005-0000-0000-000008970000}"/>
    <cellStyle name="Currency 5 2 4 2 4 2 3" xfId="41027" xr:uid="{00000000-0005-0000-0000-000009970000}"/>
    <cellStyle name="Currency 5 2 4 2 4 3" xfId="19272" xr:uid="{00000000-0005-0000-0000-00000A970000}"/>
    <cellStyle name="Currency 5 2 4 2 4 3 2" xfId="48278" xr:uid="{00000000-0005-0000-0000-00000B970000}"/>
    <cellStyle name="Currency 5 2 4 2 4 4" xfId="33779" xr:uid="{00000000-0005-0000-0000-00000C970000}"/>
    <cellStyle name="Currency 5 2 4 2 5" xfId="7818" xr:uid="{00000000-0005-0000-0000-00000D970000}"/>
    <cellStyle name="Currency 5 2 4 2 5 2" xfId="15090" xr:uid="{00000000-0005-0000-0000-00000E970000}"/>
    <cellStyle name="Currency 5 2 4 2 5 2 2" xfId="29624" xr:uid="{00000000-0005-0000-0000-00000F970000}"/>
    <cellStyle name="Currency 5 2 4 2 5 2 2 2" xfId="58630" xr:uid="{00000000-0005-0000-0000-000010970000}"/>
    <cellStyle name="Currency 5 2 4 2 5 2 3" xfId="44131" xr:uid="{00000000-0005-0000-0000-000011970000}"/>
    <cellStyle name="Currency 5 2 4 2 5 3" xfId="22376" xr:uid="{00000000-0005-0000-0000-000012970000}"/>
    <cellStyle name="Currency 5 2 4 2 5 3 2" xfId="51382" xr:uid="{00000000-0005-0000-0000-000013970000}"/>
    <cellStyle name="Currency 5 2 4 2 5 4" xfId="36883" xr:uid="{00000000-0005-0000-0000-000014970000}"/>
    <cellStyle name="Currency 5 2 4 2 6" xfId="8882" xr:uid="{00000000-0005-0000-0000-000015970000}"/>
    <cellStyle name="Currency 5 2 4 2 6 2" xfId="23416" xr:uid="{00000000-0005-0000-0000-000016970000}"/>
    <cellStyle name="Currency 5 2 4 2 6 2 2" xfId="52422" xr:uid="{00000000-0005-0000-0000-000017970000}"/>
    <cellStyle name="Currency 5 2 4 2 6 3" xfId="37923" xr:uid="{00000000-0005-0000-0000-000018970000}"/>
    <cellStyle name="Currency 5 2 4 2 7" xfId="16168" xr:uid="{00000000-0005-0000-0000-000019970000}"/>
    <cellStyle name="Currency 5 2 4 2 7 2" xfId="45174" xr:uid="{00000000-0005-0000-0000-00001A970000}"/>
    <cellStyle name="Currency 5 2 4 2 8" xfId="30675" xr:uid="{00000000-0005-0000-0000-00001B970000}"/>
    <cellStyle name="Currency 5 2 4 3" xfId="2138" xr:uid="{00000000-0005-0000-0000-00001C970000}"/>
    <cellStyle name="Currency 5 2 4 3 2" xfId="5242" xr:uid="{00000000-0005-0000-0000-00001D970000}"/>
    <cellStyle name="Currency 5 2 4 3 2 2" xfId="12514" xr:uid="{00000000-0005-0000-0000-00001E970000}"/>
    <cellStyle name="Currency 5 2 4 3 2 2 2" xfId="27048" xr:uid="{00000000-0005-0000-0000-00001F970000}"/>
    <cellStyle name="Currency 5 2 4 3 2 2 2 2" xfId="56054" xr:uid="{00000000-0005-0000-0000-000020970000}"/>
    <cellStyle name="Currency 5 2 4 3 2 2 3" xfId="41555" xr:uid="{00000000-0005-0000-0000-000021970000}"/>
    <cellStyle name="Currency 5 2 4 3 2 3" xfId="19800" xr:uid="{00000000-0005-0000-0000-000022970000}"/>
    <cellStyle name="Currency 5 2 4 3 2 3 2" xfId="48806" xr:uid="{00000000-0005-0000-0000-000023970000}"/>
    <cellStyle name="Currency 5 2 4 3 2 4" xfId="34307" xr:uid="{00000000-0005-0000-0000-000024970000}"/>
    <cellStyle name="Currency 5 2 4 3 3" xfId="9410" xr:uid="{00000000-0005-0000-0000-000025970000}"/>
    <cellStyle name="Currency 5 2 4 3 3 2" xfId="23944" xr:uid="{00000000-0005-0000-0000-000026970000}"/>
    <cellStyle name="Currency 5 2 4 3 3 2 2" xfId="52950" xr:uid="{00000000-0005-0000-0000-000027970000}"/>
    <cellStyle name="Currency 5 2 4 3 3 3" xfId="38451" xr:uid="{00000000-0005-0000-0000-000028970000}"/>
    <cellStyle name="Currency 5 2 4 3 4" xfId="16696" xr:uid="{00000000-0005-0000-0000-000029970000}"/>
    <cellStyle name="Currency 5 2 4 3 4 2" xfId="45702" xr:uid="{00000000-0005-0000-0000-00002A970000}"/>
    <cellStyle name="Currency 5 2 4 3 5" xfId="31203" xr:uid="{00000000-0005-0000-0000-00002B970000}"/>
    <cellStyle name="Currency 5 2 4 4" xfId="3170" xr:uid="{00000000-0005-0000-0000-00002C970000}"/>
    <cellStyle name="Currency 5 2 4 4 2" xfId="6274" xr:uid="{00000000-0005-0000-0000-00002D970000}"/>
    <cellStyle name="Currency 5 2 4 4 2 2" xfId="13546" xr:uid="{00000000-0005-0000-0000-00002E970000}"/>
    <cellStyle name="Currency 5 2 4 4 2 2 2" xfId="28080" xr:uid="{00000000-0005-0000-0000-00002F970000}"/>
    <cellStyle name="Currency 5 2 4 4 2 2 2 2" xfId="57086" xr:uid="{00000000-0005-0000-0000-000030970000}"/>
    <cellStyle name="Currency 5 2 4 4 2 2 3" xfId="42587" xr:uid="{00000000-0005-0000-0000-000031970000}"/>
    <cellStyle name="Currency 5 2 4 4 2 3" xfId="20832" xr:uid="{00000000-0005-0000-0000-000032970000}"/>
    <cellStyle name="Currency 5 2 4 4 2 3 2" xfId="49838" xr:uid="{00000000-0005-0000-0000-000033970000}"/>
    <cellStyle name="Currency 5 2 4 4 2 4" xfId="35339" xr:uid="{00000000-0005-0000-0000-000034970000}"/>
    <cellStyle name="Currency 5 2 4 4 3" xfId="10442" xr:uid="{00000000-0005-0000-0000-000035970000}"/>
    <cellStyle name="Currency 5 2 4 4 3 2" xfId="24976" xr:uid="{00000000-0005-0000-0000-000036970000}"/>
    <cellStyle name="Currency 5 2 4 4 3 2 2" xfId="53982" xr:uid="{00000000-0005-0000-0000-000037970000}"/>
    <cellStyle name="Currency 5 2 4 4 3 3" xfId="39483" xr:uid="{00000000-0005-0000-0000-000038970000}"/>
    <cellStyle name="Currency 5 2 4 4 4" xfId="17728" xr:uid="{00000000-0005-0000-0000-000039970000}"/>
    <cellStyle name="Currency 5 2 4 4 4 2" xfId="46734" xr:uid="{00000000-0005-0000-0000-00003A970000}"/>
    <cellStyle name="Currency 5 2 4 4 5" xfId="32235" xr:uid="{00000000-0005-0000-0000-00003B970000}"/>
    <cellStyle name="Currency 5 2 4 5" xfId="4202" xr:uid="{00000000-0005-0000-0000-00003C970000}"/>
    <cellStyle name="Currency 5 2 4 5 2" xfId="11474" xr:uid="{00000000-0005-0000-0000-00003D970000}"/>
    <cellStyle name="Currency 5 2 4 5 2 2" xfId="26008" xr:uid="{00000000-0005-0000-0000-00003E970000}"/>
    <cellStyle name="Currency 5 2 4 5 2 2 2" xfId="55014" xr:uid="{00000000-0005-0000-0000-00003F970000}"/>
    <cellStyle name="Currency 5 2 4 5 2 3" xfId="40515" xr:uid="{00000000-0005-0000-0000-000040970000}"/>
    <cellStyle name="Currency 5 2 4 5 3" xfId="18760" xr:uid="{00000000-0005-0000-0000-000041970000}"/>
    <cellStyle name="Currency 5 2 4 5 3 2" xfId="47766" xr:uid="{00000000-0005-0000-0000-000042970000}"/>
    <cellStyle name="Currency 5 2 4 5 4" xfId="33267" xr:uid="{00000000-0005-0000-0000-000043970000}"/>
    <cellStyle name="Currency 5 2 4 6" xfId="7306" xr:uid="{00000000-0005-0000-0000-000044970000}"/>
    <cellStyle name="Currency 5 2 4 6 2" xfId="14578" xr:uid="{00000000-0005-0000-0000-000045970000}"/>
    <cellStyle name="Currency 5 2 4 6 2 2" xfId="29112" xr:uid="{00000000-0005-0000-0000-000046970000}"/>
    <cellStyle name="Currency 5 2 4 6 2 2 2" xfId="58118" xr:uid="{00000000-0005-0000-0000-000047970000}"/>
    <cellStyle name="Currency 5 2 4 6 2 3" xfId="43619" xr:uid="{00000000-0005-0000-0000-000048970000}"/>
    <cellStyle name="Currency 5 2 4 6 3" xfId="21864" xr:uid="{00000000-0005-0000-0000-000049970000}"/>
    <cellStyle name="Currency 5 2 4 6 3 2" xfId="50870" xr:uid="{00000000-0005-0000-0000-00004A970000}"/>
    <cellStyle name="Currency 5 2 4 6 4" xfId="36371" xr:uid="{00000000-0005-0000-0000-00004B970000}"/>
    <cellStyle name="Currency 5 2 4 7" xfId="8370" xr:uid="{00000000-0005-0000-0000-00004C970000}"/>
    <cellStyle name="Currency 5 2 4 7 2" xfId="22904" xr:uid="{00000000-0005-0000-0000-00004D970000}"/>
    <cellStyle name="Currency 5 2 4 7 2 2" xfId="51910" xr:uid="{00000000-0005-0000-0000-00004E970000}"/>
    <cellStyle name="Currency 5 2 4 7 3" xfId="37411" xr:uid="{00000000-0005-0000-0000-00004F970000}"/>
    <cellStyle name="Currency 5 2 4 8" xfId="15656" xr:uid="{00000000-0005-0000-0000-000050970000}"/>
    <cellStyle name="Currency 5 2 4 8 2" xfId="44662" xr:uid="{00000000-0005-0000-0000-000051970000}"/>
    <cellStyle name="Currency 5 2 4 9" xfId="30163" xr:uid="{00000000-0005-0000-0000-000052970000}"/>
    <cellStyle name="Currency 5 2 5" xfId="1004" xr:uid="{00000000-0005-0000-0000-000053970000}"/>
    <cellStyle name="Currency 5 2 5 10" xfId="59514" xr:uid="{00000000-0005-0000-0000-000054970000}"/>
    <cellStyle name="Currency 5 2 5 2" xfId="1492" xr:uid="{00000000-0005-0000-0000-000055970000}"/>
    <cellStyle name="Currency 5 2 5 2 2" xfId="2550" xr:uid="{00000000-0005-0000-0000-000056970000}"/>
    <cellStyle name="Currency 5 2 5 2 2 2" xfId="5654" xr:uid="{00000000-0005-0000-0000-000057970000}"/>
    <cellStyle name="Currency 5 2 5 2 2 2 2" xfId="12926" xr:uid="{00000000-0005-0000-0000-000058970000}"/>
    <cellStyle name="Currency 5 2 5 2 2 2 2 2" xfId="27460" xr:uid="{00000000-0005-0000-0000-000059970000}"/>
    <cellStyle name="Currency 5 2 5 2 2 2 2 2 2" xfId="56466" xr:uid="{00000000-0005-0000-0000-00005A970000}"/>
    <cellStyle name="Currency 5 2 5 2 2 2 2 3" xfId="41967" xr:uid="{00000000-0005-0000-0000-00005B970000}"/>
    <cellStyle name="Currency 5 2 5 2 2 2 3" xfId="20212" xr:uid="{00000000-0005-0000-0000-00005C970000}"/>
    <cellStyle name="Currency 5 2 5 2 2 2 3 2" xfId="49218" xr:uid="{00000000-0005-0000-0000-00005D970000}"/>
    <cellStyle name="Currency 5 2 5 2 2 2 4" xfId="34719" xr:uid="{00000000-0005-0000-0000-00005E970000}"/>
    <cellStyle name="Currency 5 2 5 2 2 3" xfId="9822" xr:uid="{00000000-0005-0000-0000-00005F970000}"/>
    <cellStyle name="Currency 5 2 5 2 2 3 2" xfId="24356" xr:uid="{00000000-0005-0000-0000-000060970000}"/>
    <cellStyle name="Currency 5 2 5 2 2 3 2 2" xfId="53362" xr:uid="{00000000-0005-0000-0000-000061970000}"/>
    <cellStyle name="Currency 5 2 5 2 2 3 3" xfId="38863" xr:uid="{00000000-0005-0000-0000-000062970000}"/>
    <cellStyle name="Currency 5 2 5 2 2 4" xfId="17108" xr:uid="{00000000-0005-0000-0000-000063970000}"/>
    <cellStyle name="Currency 5 2 5 2 2 4 2" xfId="46114" xr:uid="{00000000-0005-0000-0000-000064970000}"/>
    <cellStyle name="Currency 5 2 5 2 2 5" xfId="31615" xr:uid="{00000000-0005-0000-0000-000065970000}"/>
    <cellStyle name="Currency 5 2 5 2 3" xfId="3582" xr:uid="{00000000-0005-0000-0000-000066970000}"/>
    <cellStyle name="Currency 5 2 5 2 3 2" xfId="6686" xr:uid="{00000000-0005-0000-0000-000067970000}"/>
    <cellStyle name="Currency 5 2 5 2 3 2 2" xfId="13958" xr:uid="{00000000-0005-0000-0000-000068970000}"/>
    <cellStyle name="Currency 5 2 5 2 3 2 2 2" xfId="28492" xr:uid="{00000000-0005-0000-0000-000069970000}"/>
    <cellStyle name="Currency 5 2 5 2 3 2 2 2 2" xfId="57498" xr:uid="{00000000-0005-0000-0000-00006A970000}"/>
    <cellStyle name="Currency 5 2 5 2 3 2 2 3" xfId="42999" xr:uid="{00000000-0005-0000-0000-00006B970000}"/>
    <cellStyle name="Currency 5 2 5 2 3 2 3" xfId="21244" xr:uid="{00000000-0005-0000-0000-00006C970000}"/>
    <cellStyle name="Currency 5 2 5 2 3 2 3 2" xfId="50250" xr:uid="{00000000-0005-0000-0000-00006D970000}"/>
    <cellStyle name="Currency 5 2 5 2 3 2 4" xfId="35751" xr:uid="{00000000-0005-0000-0000-00006E970000}"/>
    <cellStyle name="Currency 5 2 5 2 3 3" xfId="10854" xr:uid="{00000000-0005-0000-0000-00006F970000}"/>
    <cellStyle name="Currency 5 2 5 2 3 3 2" xfId="25388" xr:uid="{00000000-0005-0000-0000-000070970000}"/>
    <cellStyle name="Currency 5 2 5 2 3 3 2 2" xfId="54394" xr:uid="{00000000-0005-0000-0000-000071970000}"/>
    <cellStyle name="Currency 5 2 5 2 3 3 3" xfId="39895" xr:uid="{00000000-0005-0000-0000-000072970000}"/>
    <cellStyle name="Currency 5 2 5 2 3 4" xfId="18140" xr:uid="{00000000-0005-0000-0000-000073970000}"/>
    <cellStyle name="Currency 5 2 5 2 3 4 2" xfId="47146" xr:uid="{00000000-0005-0000-0000-000074970000}"/>
    <cellStyle name="Currency 5 2 5 2 3 5" xfId="32647" xr:uid="{00000000-0005-0000-0000-000075970000}"/>
    <cellStyle name="Currency 5 2 5 2 4" xfId="4614" xr:uid="{00000000-0005-0000-0000-000076970000}"/>
    <cellStyle name="Currency 5 2 5 2 4 2" xfId="11886" xr:uid="{00000000-0005-0000-0000-000077970000}"/>
    <cellStyle name="Currency 5 2 5 2 4 2 2" xfId="26420" xr:uid="{00000000-0005-0000-0000-000078970000}"/>
    <cellStyle name="Currency 5 2 5 2 4 2 2 2" xfId="55426" xr:uid="{00000000-0005-0000-0000-000079970000}"/>
    <cellStyle name="Currency 5 2 5 2 4 2 3" xfId="40927" xr:uid="{00000000-0005-0000-0000-00007A970000}"/>
    <cellStyle name="Currency 5 2 5 2 4 3" xfId="19172" xr:uid="{00000000-0005-0000-0000-00007B970000}"/>
    <cellStyle name="Currency 5 2 5 2 4 3 2" xfId="48178" xr:uid="{00000000-0005-0000-0000-00007C970000}"/>
    <cellStyle name="Currency 5 2 5 2 4 4" xfId="33679" xr:uid="{00000000-0005-0000-0000-00007D970000}"/>
    <cellStyle name="Currency 5 2 5 2 5" xfId="7718" xr:uid="{00000000-0005-0000-0000-00007E970000}"/>
    <cellStyle name="Currency 5 2 5 2 5 2" xfId="14990" xr:uid="{00000000-0005-0000-0000-00007F970000}"/>
    <cellStyle name="Currency 5 2 5 2 5 2 2" xfId="29524" xr:uid="{00000000-0005-0000-0000-000080970000}"/>
    <cellStyle name="Currency 5 2 5 2 5 2 2 2" xfId="58530" xr:uid="{00000000-0005-0000-0000-000081970000}"/>
    <cellStyle name="Currency 5 2 5 2 5 2 3" xfId="44031" xr:uid="{00000000-0005-0000-0000-000082970000}"/>
    <cellStyle name="Currency 5 2 5 2 5 3" xfId="22276" xr:uid="{00000000-0005-0000-0000-000083970000}"/>
    <cellStyle name="Currency 5 2 5 2 5 3 2" xfId="51282" xr:uid="{00000000-0005-0000-0000-000084970000}"/>
    <cellStyle name="Currency 5 2 5 2 5 4" xfId="36783" xr:uid="{00000000-0005-0000-0000-000085970000}"/>
    <cellStyle name="Currency 5 2 5 2 6" xfId="8782" xr:uid="{00000000-0005-0000-0000-000086970000}"/>
    <cellStyle name="Currency 5 2 5 2 6 2" xfId="23316" xr:uid="{00000000-0005-0000-0000-000087970000}"/>
    <cellStyle name="Currency 5 2 5 2 6 2 2" xfId="52322" xr:uid="{00000000-0005-0000-0000-000088970000}"/>
    <cellStyle name="Currency 5 2 5 2 6 3" xfId="37823" xr:uid="{00000000-0005-0000-0000-000089970000}"/>
    <cellStyle name="Currency 5 2 5 2 7" xfId="16068" xr:uid="{00000000-0005-0000-0000-00008A970000}"/>
    <cellStyle name="Currency 5 2 5 2 7 2" xfId="45074" xr:uid="{00000000-0005-0000-0000-00008B970000}"/>
    <cellStyle name="Currency 5 2 5 2 8" xfId="30575" xr:uid="{00000000-0005-0000-0000-00008C970000}"/>
    <cellStyle name="Currency 5 2 5 3" xfId="2038" xr:uid="{00000000-0005-0000-0000-00008D970000}"/>
    <cellStyle name="Currency 5 2 5 3 2" xfId="5142" xr:uid="{00000000-0005-0000-0000-00008E970000}"/>
    <cellStyle name="Currency 5 2 5 3 2 2" xfId="12414" xr:uid="{00000000-0005-0000-0000-00008F970000}"/>
    <cellStyle name="Currency 5 2 5 3 2 2 2" xfId="26948" xr:uid="{00000000-0005-0000-0000-000090970000}"/>
    <cellStyle name="Currency 5 2 5 3 2 2 2 2" xfId="55954" xr:uid="{00000000-0005-0000-0000-000091970000}"/>
    <cellStyle name="Currency 5 2 5 3 2 2 3" xfId="41455" xr:uid="{00000000-0005-0000-0000-000092970000}"/>
    <cellStyle name="Currency 5 2 5 3 2 3" xfId="19700" xr:uid="{00000000-0005-0000-0000-000093970000}"/>
    <cellStyle name="Currency 5 2 5 3 2 3 2" xfId="48706" xr:uid="{00000000-0005-0000-0000-000094970000}"/>
    <cellStyle name="Currency 5 2 5 3 2 4" xfId="34207" xr:uid="{00000000-0005-0000-0000-000095970000}"/>
    <cellStyle name="Currency 5 2 5 3 3" xfId="9310" xr:uid="{00000000-0005-0000-0000-000096970000}"/>
    <cellStyle name="Currency 5 2 5 3 3 2" xfId="23844" xr:uid="{00000000-0005-0000-0000-000097970000}"/>
    <cellStyle name="Currency 5 2 5 3 3 2 2" xfId="52850" xr:uid="{00000000-0005-0000-0000-000098970000}"/>
    <cellStyle name="Currency 5 2 5 3 3 3" xfId="38351" xr:uid="{00000000-0005-0000-0000-000099970000}"/>
    <cellStyle name="Currency 5 2 5 3 4" xfId="16596" xr:uid="{00000000-0005-0000-0000-00009A970000}"/>
    <cellStyle name="Currency 5 2 5 3 4 2" xfId="45602" xr:uid="{00000000-0005-0000-0000-00009B970000}"/>
    <cellStyle name="Currency 5 2 5 3 5" xfId="31103" xr:uid="{00000000-0005-0000-0000-00009C970000}"/>
    <cellStyle name="Currency 5 2 5 4" xfId="3070" xr:uid="{00000000-0005-0000-0000-00009D970000}"/>
    <cellStyle name="Currency 5 2 5 4 2" xfId="6174" xr:uid="{00000000-0005-0000-0000-00009E970000}"/>
    <cellStyle name="Currency 5 2 5 4 2 2" xfId="13446" xr:uid="{00000000-0005-0000-0000-00009F970000}"/>
    <cellStyle name="Currency 5 2 5 4 2 2 2" xfId="27980" xr:uid="{00000000-0005-0000-0000-0000A0970000}"/>
    <cellStyle name="Currency 5 2 5 4 2 2 2 2" xfId="56986" xr:uid="{00000000-0005-0000-0000-0000A1970000}"/>
    <cellStyle name="Currency 5 2 5 4 2 2 3" xfId="42487" xr:uid="{00000000-0005-0000-0000-0000A2970000}"/>
    <cellStyle name="Currency 5 2 5 4 2 3" xfId="20732" xr:uid="{00000000-0005-0000-0000-0000A3970000}"/>
    <cellStyle name="Currency 5 2 5 4 2 3 2" xfId="49738" xr:uid="{00000000-0005-0000-0000-0000A4970000}"/>
    <cellStyle name="Currency 5 2 5 4 2 4" xfId="35239" xr:uid="{00000000-0005-0000-0000-0000A5970000}"/>
    <cellStyle name="Currency 5 2 5 4 3" xfId="10342" xr:uid="{00000000-0005-0000-0000-0000A6970000}"/>
    <cellStyle name="Currency 5 2 5 4 3 2" xfId="24876" xr:uid="{00000000-0005-0000-0000-0000A7970000}"/>
    <cellStyle name="Currency 5 2 5 4 3 2 2" xfId="53882" xr:uid="{00000000-0005-0000-0000-0000A8970000}"/>
    <cellStyle name="Currency 5 2 5 4 3 3" xfId="39383" xr:uid="{00000000-0005-0000-0000-0000A9970000}"/>
    <cellStyle name="Currency 5 2 5 4 4" xfId="17628" xr:uid="{00000000-0005-0000-0000-0000AA970000}"/>
    <cellStyle name="Currency 5 2 5 4 4 2" xfId="46634" xr:uid="{00000000-0005-0000-0000-0000AB970000}"/>
    <cellStyle name="Currency 5 2 5 4 5" xfId="32135" xr:uid="{00000000-0005-0000-0000-0000AC970000}"/>
    <cellStyle name="Currency 5 2 5 5" xfId="4102" xr:uid="{00000000-0005-0000-0000-0000AD970000}"/>
    <cellStyle name="Currency 5 2 5 5 2" xfId="11374" xr:uid="{00000000-0005-0000-0000-0000AE970000}"/>
    <cellStyle name="Currency 5 2 5 5 2 2" xfId="25908" xr:uid="{00000000-0005-0000-0000-0000AF970000}"/>
    <cellStyle name="Currency 5 2 5 5 2 2 2" xfId="54914" xr:uid="{00000000-0005-0000-0000-0000B0970000}"/>
    <cellStyle name="Currency 5 2 5 5 2 3" xfId="40415" xr:uid="{00000000-0005-0000-0000-0000B1970000}"/>
    <cellStyle name="Currency 5 2 5 5 3" xfId="18660" xr:uid="{00000000-0005-0000-0000-0000B2970000}"/>
    <cellStyle name="Currency 5 2 5 5 3 2" xfId="47666" xr:uid="{00000000-0005-0000-0000-0000B3970000}"/>
    <cellStyle name="Currency 5 2 5 5 4" xfId="33167" xr:uid="{00000000-0005-0000-0000-0000B4970000}"/>
    <cellStyle name="Currency 5 2 5 6" xfId="7206" xr:uid="{00000000-0005-0000-0000-0000B5970000}"/>
    <cellStyle name="Currency 5 2 5 6 2" xfId="14478" xr:uid="{00000000-0005-0000-0000-0000B6970000}"/>
    <cellStyle name="Currency 5 2 5 6 2 2" xfId="29012" xr:uid="{00000000-0005-0000-0000-0000B7970000}"/>
    <cellStyle name="Currency 5 2 5 6 2 2 2" xfId="58018" xr:uid="{00000000-0005-0000-0000-0000B8970000}"/>
    <cellStyle name="Currency 5 2 5 6 2 3" xfId="43519" xr:uid="{00000000-0005-0000-0000-0000B9970000}"/>
    <cellStyle name="Currency 5 2 5 6 3" xfId="21764" xr:uid="{00000000-0005-0000-0000-0000BA970000}"/>
    <cellStyle name="Currency 5 2 5 6 3 2" xfId="50770" xr:uid="{00000000-0005-0000-0000-0000BB970000}"/>
    <cellStyle name="Currency 5 2 5 6 4" xfId="36271" xr:uid="{00000000-0005-0000-0000-0000BC970000}"/>
    <cellStyle name="Currency 5 2 5 7" xfId="8270" xr:uid="{00000000-0005-0000-0000-0000BD970000}"/>
    <cellStyle name="Currency 5 2 5 7 2" xfId="22804" xr:uid="{00000000-0005-0000-0000-0000BE970000}"/>
    <cellStyle name="Currency 5 2 5 7 2 2" xfId="51810" xr:uid="{00000000-0005-0000-0000-0000BF970000}"/>
    <cellStyle name="Currency 5 2 5 7 3" xfId="37311" xr:uid="{00000000-0005-0000-0000-0000C0970000}"/>
    <cellStyle name="Currency 5 2 5 8" xfId="15556" xr:uid="{00000000-0005-0000-0000-0000C1970000}"/>
    <cellStyle name="Currency 5 2 5 8 2" xfId="44562" xr:uid="{00000000-0005-0000-0000-0000C2970000}"/>
    <cellStyle name="Currency 5 2 5 9" xfId="30063" xr:uid="{00000000-0005-0000-0000-0000C3970000}"/>
    <cellStyle name="Currency 5 2 6" xfId="1288" xr:uid="{00000000-0005-0000-0000-0000C4970000}"/>
    <cellStyle name="Currency 5 2 6 2" xfId="2344" xr:uid="{00000000-0005-0000-0000-0000C5970000}"/>
    <cellStyle name="Currency 5 2 6 2 2" xfId="5448" xr:uid="{00000000-0005-0000-0000-0000C6970000}"/>
    <cellStyle name="Currency 5 2 6 2 2 2" xfId="12720" xr:uid="{00000000-0005-0000-0000-0000C7970000}"/>
    <cellStyle name="Currency 5 2 6 2 2 2 2" xfId="27254" xr:uid="{00000000-0005-0000-0000-0000C8970000}"/>
    <cellStyle name="Currency 5 2 6 2 2 2 2 2" xfId="56260" xr:uid="{00000000-0005-0000-0000-0000C9970000}"/>
    <cellStyle name="Currency 5 2 6 2 2 2 3" xfId="41761" xr:uid="{00000000-0005-0000-0000-0000CA970000}"/>
    <cellStyle name="Currency 5 2 6 2 2 3" xfId="20006" xr:uid="{00000000-0005-0000-0000-0000CB970000}"/>
    <cellStyle name="Currency 5 2 6 2 2 3 2" xfId="49012" xr:uid="{00000000-0005-0000-0000-0000CC970000}"/>
    <cellStyle name="Currency 5 2 6 2 2 4" xfId="34513" xr:uid="{00000000-0005-0000-0000-0000CD970000}"/>
    <cellStyle name="Currency 5 2 6 2 3" xfId="9616" xr:uid="{00000000-0005-0000-0000-0000CE970000}"/>
    <cellStyle name="Currency 5 2 6 2 3 2" xfId="24150" xr:uid="{00000000-0005-0000-0000-0000CF970000}"/>
    <cellStyle name="Currency 5 2 6 2 3 2 2" xfId="53156" xr:uid="{00000000-0005-0000-0000-0000D0970000}"/>
    <cellStyle name="Currency 5 2 6 2 3 3" xfId="38657" xr:uid="{00000000-0005-0000-0000-0000D1970000}"/>
    <cellStyle name="Currency 5 2 6 2 4" xfId="16902" xr:uid="{00000000-0005-0000-0000-0000D2970000}"/>
    <cellStyle name="Currency 5 2 6 2 4 2" xfId="45908" xr:uid="{00000000-0005-0000-0000-0000D3970000}"/>
    <cellStyle name="Currency 5 2 6 2 5" xfId="31409" xr:uid="{00000000-0005-0000-0000-0000D4970000}"/>
    <cellStyle name="Currency 5 2 6 3" xfId="3376" xr:uid="{00000000-0005-0000-0000-0000D5970000}"/>
    <cellStyle name="Currency 5 2 6 3 2" xfId="6480" xr:uid="{00000000-0005-0000-0000-0000D6970000}"/>
    <cellStyle name="Currency 5 2 6 3 2 2" xfId="13752" xr:uid="{00000000-0005-0000-0000-0000D7970000}"/>
    <cellStyle name="Currency 5 2 6 3 2 2 2" xfId="28286" xr:uid="{00000000-0005-0000-0000-0000D8970000}"/>
    <cellStyle name="Currency 5 2 6 3 2 2 2 2" xfId="57292" xr:uid="{00000000-0005-0000-0000-0000D9970000}"/>
    <cellStyle name="Currency 5 2 6 3 2 2 3" xfId="42793" xr:uid="{00000000-0005-0000-0000-0000DA970000}"/>
    <cellStyle name="Currency 5 2 6 3 2 3" xfId="21038" xr:uid="{00000000-0005-0000-0000-0000DB970000}"/>
    <cellStyle name="Currency 5 2 6 3 2 3 2" xfId="50044" xr:uid="{00000000-0005-0000-0000-0000DC970000}"/>
    <cellStyle name="Currency 5 2 6 3 2 4" xfId="35545" xr:uid="{00000000-0005-0000-0000-0000DD970000}"/>
    <cellStyle name="Currency 5 2 6 3 3" xfId="10648" xr:uid="{00000000-0005-0000-0000-0000DE970000}"/>
    <cellStyle name="Currency 5 2 6 3 3 2" xfId="25182" xr:uid="{00000000-0005-0000-0000-0000DF970000}"/>
    <cellStyle name="Currency 5 2 6 3 3 2 2" xfId="54188" xr:uid="{00000000-0005-0000-0000-0000E0970000}"/>
    <cellStyle name="Currency 5 2 6 3 3 3" xfId="39689" xr:uid="{00000000-0005-0000-0000-0000E1970000}"/>
    <cellStyle name="Currency 5 2 6 3 4" xfId="17934" xr:uid="{00000000-0005-0000-0000-0000E2970000}"/>
    <cellStyle name="Currency 5 2 6 3 4 2" xfId="46940" xr:uid="{00000000-0005-0000-0000-0000E3970000}"/>
    <cellStyle name="Currency 5 2 6 3 5" xfId="32441" xr:uid="{00000000-0005-0000-0000-0000E4970000}"/>
    <cellStyle name="Currency 5 2 6 4" xfId="4408" xr:uid="{00000000-0005-0000-0000-0000E5970000}"/>
    <cellStyle name="Currency 5 2 6 4 2" xfId="11680" xr:uid="{00000000-0005-0000-0000-0000E6970000}"/>
    <cellStyle name="Currency 5 2 6 4 2 2" xfId="26214" xr:uid="{00000000-0005-0000-0000-0000E7970000}"/>
    <cellStyle name="Currency 5 2 6 4 2 2 2" xfId="55220" xr:uid="{00000000-0005-0000-0000-0000E8970000}"/>
    <cellStyle name="Currency 5 2 6 4 2 3" xfId="40721" xr:uid="{00000000-0005-0000-0000-0000E9970000}"/>
    <cellStyle name="Currency 5 2 6 4 3" xfId="18966" xr:uid="{00000000-0005-0000-0000-0000EA970000}"/>
    <cellStyle name="Currency 5 2 6 4 3 2" xfId="47972" xr:uid="{00000000-0005-0000-0000-0000EB970000}"/>
    <cellStyle name="Currency 5 2 6 4 4" xfId="33473" xr:uid="{00000000-0005-0000-0000-0000EC970000}"/>
    <cellStyle name="Currency 5 2 6 5" xfId="7512" xr:uid="{00000000-0005-0000-0000-0000ED970000}"/>
    <cellStyle name="Currency 5 2 6 5 2" xfId="14784" xr:uid="{00000000-0005-0000-0000-0000EE970000}"/>
    <cellStyle name="Currency 5 2 6 5 2 2" xfId="29318" xr:uid="{00000000-0005-0000-0000-0000EF970000}"/>
    <cellStyle name="Currency 5 2 6 5 2 2 2" xfId="58324" xr:uid="{00000000-0005-0000-0000-0000F0970000}"/>
    <cellStyle name="Currency 5 2 6 5 2 3" xfId="43825" xr:uid="{00000000-0005-0000-0000-0000F1970000}"/>
    <cellStyle name="Currency 5 2 6 5 3" xfId="22070" xr:uid="{00000000-0005-0000-0000-0000F2970000}"/>
    <cellStyle name="Currency 5 2 6 5 3 2" xfId="51076" xr:uid="{00000000-0005-0000-0000-0000F3970000}"/>
    <cellStyle name="Currency 5 2 6 5 4" xfId="36577" xr:uid="{00000000-0005-0000-0000-0000F4970000}"/>
    <cellStyle name="Currency 5 2 6 6" xfId="8576" xr:uid="{00000000-0005-0000-0000-0000F5970000}"/>
    <cellStyle name="Currency 5 2 6 6 2" xfId="23110" xr:uid="{00000000-0005-0000-0000-0000F6970000}"/>
    <cellStyle name="Currency 5 2 6 6 2 2" xfId="52116" xr:uid="{00000000-0005-0000-0000-0000F7970000}"/>
    <cellStyle name="Currency 5 2 6 6 3" xfId="37617" xr:uid="{00000000-0005-0000-0000-0000F8970000}"/>
    <cellStyle name="Currency 5 2 6 7" xfId="15862" xr:uid="{00000000-0005-0000-0000-0000F9970000}"/>
    <cellStyle name="Currency 5 2 6 7 2" xfId="44868" xr:uid="{00000000-0005-0000-0000-0000FA970000}"/>
    <cellStyle name="Currency 5 2 6 8" xfId="30369" xr:uid="{00000000-0005-0000-0000-0000FB970000}"/>
    <cellStyle name="Currency 5 2 7" xfId="1832" xr:uid="{00000000-0005-0000-0000-0000FC970000}"/>
    <cellStyle name="Currency 5 2 7 2" xfId="4936" xr:uid="{00000000-0005-0000-0000-0000FD970000}"/>
    <cellStyle name="Currency 5 2 7 2 2" xfId="12208" xr:uid="{00000000-0005-0000-0000-0000FE970000}"/>
    <cellStyle name="Currency 5 2 7 2 2 2" xfId="26742" xr:uid="{00000000-0005-0000-0000-0000FF970000}"/>
    <cellStyle name="Currency 5 2 7 2 2 2 2" xfId="55748" xr:uid="{00000000-0005-0000-0000-000000980000}"/>
    <cellStyle name="Currency 5 2 7 2 2 3" xfId="41249" xr:uid="{00000000-0005-0000-0000-000001980000}"/>
    <cellStyle name="Currency 5 2 7 2 3" xfId="19494" xr:uid="{00000000-0005-0000-0000-000002980000}"/>
    <cellStyle name="Currency 5 2 7 2 3 2" xfId="48500" xr:uid="{00000000-0005-0000-0000-000003980000}"/>
    <cellStyle name="Currency 5 2 7 2 4" xfId="34001" xr:uid="{00000000-0005-0000-0000-000004980000}"/>
    <cellStyle name="Currency 5 2 7 3" xfId="9104" xr:uid="{00000000-0005-0000-0000-000005980000}"/>
    <cellStyle name="Currency 5 2 7 3 2" xfId="23638" xr:uid="{00000000-0005-0000-0000-000006980000}"/>
    <cellStyle name="Currency 5 2 7 3 2 2" xfId="52644" xr:uid="{00000000-0005-0000-0000-000007980000}"/>
    <cellStyle name="Currency 5 2 7 3 3" xfId="38145" xr:uid="{00000000-0005-0000-0000-000008980000}"/>
    <cellStyle name="Currency 5 2 7 4" xfId="16390" xr:uid="{00000000-0005-0000-0000-000009980000}"/>
    <cellStyle name="Currency 5 2 7 4 2" xfId="45396" xr:uid="{00000000-0005-0000-0000-00000A980000}"/>
    <cellStyle name="Currency 5 2 7 5" xfId="30897" xr:uid="{00000000-0005-0000-0000-00000B980000}"/>
    <cellStyle name="Currency 5 2 8" xfId="2864" xr:uid="{00000000-0005-0000-0000-00000C980000}"/>
    <cellStyle name="Currency 5 2 8 2" xfId="5968" xr:uid="{00000000-0005-0000-0000-00000D980000}"/>
    <cellStyle name="Currency 5 2 8 2 2" xfId="13240" xr:uid="{00000000-0005-0000-0000-00000E980000}"/>
    <cellStyle name="Currency 5 2 8 2 2 2" xfId="27774" xr:uid="{00000000-0005-0000-0000-00000F980000}"/>
    <cellStyle name="Currency 5 2 8 2 2 2 2" xfId="56780" xr:uid="{00000000-0005-0000-0000-000010980000}"/>
    <cellStyle name="Currency 5 2 8 2 2 3" xfId="42281" xr:uid="{00000000-0005-0000-0000-000011980000}"/>
    <cellStyle name="Currency 5 2 8 2 3" xfId="20526" xr:uid="{00000000-0005-0000-0000-000012980000}"/>
    <cellStyle name="Currency 5 2 8 2 3 2" xfId="49532" xr:uid="{00000000-0005-0000-0000-000013980000}"/>
    <cellStyle name="Currency 5 2 8 2 4" xfId="35033" xr:uid="{00000000-0005-0000-0000-000014980000}"/>
    <cellStyle name="Currency 5 2 8 3" xfId="10136" xr:uid="{00000000-0005-0000-0000-000015980000}"/>
    <cellStyle name="Currency 5 2 8 3 2" xfId="24670" xr:uid="{00000000-0005-0000-0000-000016980000}"/>
    <cellStyle name="Currency 5 2 8 3 2 2" xfId="53676" xr:uid="{00000000-0005-0000-0000-000017980000}"/>
    <cellStyle name="Currency 5 2 8 3 3" xfId="39177" xr:uid="{00000000-0005-0000-0000-000018980000}"/>
    <cellStyle name="Currency 5 2 8 4" xfId="17422" xr:uid="{00000000-0005-0000-0000-000019980000}"/>
    <cellStyle name="Currency 5 2 8 4 2" xfId="46428" xr:uid="{00000000-0005-0000-0000-00001A980000}"/>
    <cellStyle name="Currency 5 2 8 5" xfId="31929" xr:uid="{00000000-0005-0000-0000-00001B980000}"/>
    <cellStyle name="Currency 5 2 9" xfId="3896" xr:uid="{00000000-0005-0000-0000-00001C980000}"/>
    <cellStyle name="Currency 5 2 9 2" xfId="11168" xr:uid="{00000000-0005-0000-0000-00001D980000}"/>
    <cellStyle name="Currency 5 2 9 2 2" xfId="25702" xr:uid="{00000000-0005-0000-0000-00001E980000}"/>
    <cellStyle name="Currency 5 2 9 2 2 2" xfId="54708" xr:uid="{00000000-0005-0000-0000-00001F980000}"/>
    <cellStyle name="Currency 5 2 9 2 3" xfId="40209" xr:uid="{00000000-0005-0000-0000-000020980000}"/>
    <cellStyle name="Currency 5 2 9 3" xfId="18454" xr:uid="{00000000-0005-0000-0000-000021980000}"/>
    <cellStyle name="Currency 5 2 9 3 2" xfId="47460" xr:uid="{00000000-0005-0000-0000-000022980000}"/>
    <cellStyle name="Currency 5 2 9 4" xfId="32961" xr:uid="{00000000-0005-0000-0000-000023980000}"/>
    <cellStyle name="Currency 5 20" xfId="629" xr:uid="{00000000-0005-0000-0000-000024980000}"/>
    <cellStyle name="Currency 5 21" xfId="58931" xr:uid="{00000000-0005-0000-0000-000025980000}"/>
    <cellStyle name="Currency 5 22" xfId="59133" xr:uid="{00000000-0005-0000-0000-000026980000}"/>
    <cellStyle name="Currency 5 3" xfId="158" xr:uid="{00000000-0005-0000-0000-000027980000}"/>
    <cellStyle name="Currency 5 3 10" xfId="8092" xr:uid="{00000000-0005-0000-0000-000028980000}"/>
    <cellStyle name="Currency 5 3 10 2" xfId="22626" xr:uid="{00000000-0005-0000-0000-000029980000}"/>
    <cellStyle name="Currency 5 3 10 2 2" xfId="51632" xr:uid="{00000000-0005-0000-0000-00002A980000}"/>
    <cellStyle name="Currency 5 3 10 3" xfId="37133" xr:uid="{00000000-0005-0000-0000-00002B980000}"/>
    <cellStyle name="Currency 5 3 11" xfId="15378" xr:uid="{00000000-0005-0000-0000-00002C980000}"/>
    <cellStyle name="Currency 5 3 11 2" xfId="44384" xr:uid="{00000000-0005-0000-0000-00002D980000}"/>
    <cellStyle name="Currency 5 3 12" xfId="29885" xr:uid="{00000000-0005-0000-0000-00002E980000}"/>
    <cellStyle name="Currency 5 3 13" xfId="58889" xr:uid="{00000000-0005-0000-0000-00002F980000}"/>
    <cellStyle name="Currency 5 3 14" xfId="58982" xr:uid="{00000000-0005-0000-0000-000030980000}"/>
    <cellStyle name="Currency 5 3 2" xfId="232" xr:uid="{00000000-0005-0000-0000-000031980000}"/>
    <cellStyle name="Currency 5 3 2 10" xfId="29988" xr:uid="{00000000-0005-0000-0000-000032980000}"/>
    <cellStyle name="Currency 5 3 2 11" xfId="58910" xr:uid="{00000000-0005-0000-0000-000033980000}"/>
    <cellStyle name="Currency 5 3 2 12" xfId="59056" xr:uid="{00000000-0005-0000-0000-000034980000}"/>
    <cellStyle name="Currency 5 3 2 13" xfId="59608" xr:uid="{00000000-0005-0000-0000-000035980000}"/>
    <cellStyle name="Currency 5 3 2 2" xfId="1217" xr:uid="{00000000-0005-0000-0000-000036980000}"/>
    <cellStyle name="Currency 5 3 2 2 2" xfId="1722" xr:uid="{00000000-0005-0000-0000-000037980000}"/>
    <cellStyle name="Currency 5 3 2 2 2 2" xfId="2781" xr:uid="{00000000-0005-0000-0000-000038980000}"/>
    <cellStyle name="Currency 5 3 2 2 2 2 2" xfId="5885" xr:uid="{00000000-0005-0000-0000-000039980000}"/>
    <cellStyle name="Currency 5 3 2 2 2 2 2 2" xfId="13157" xr:uid="{00000000-0005-0000-0000-00003A980000}"/>
    <cellStyle name="Currency 5 3 2 2 2 2 2 2 2" xfId="27691" xr:uid="{00000000-0005-0000-0000-00003B980000}"/>
    <cellStyle name="Currency 5 3 2 2 2 2 2 2 2 2" xfId="56697" xr:uid="{00000000-0005-0000-0000-00003C980000}"/>
    <cellStyle name="Currency 5 3 2 2 2 2 2 2 3" xfId="42198" xr:uid="{00000000-0005-0000-0000-00003D980000}"/>
    <cellStyle name="Currency 5 3 2 2 2 2 2 3" xfId="20443" xr:uid="{00000000-0005-0000-0000-00003E980000}"/>
    <cellStyle name="Currency 5 3 2 2 2 2 2 3 2" xfId="49449" xr:uid="{00000000-0005-0000-0000-00003F980000}"/>
    <cellStyle name="Currency 5 3 2 2 2 2 2 4" xfId="34950" xr:uid="{00000000-0005-0000-0000-000040980000}"/>
    <cellStyle name="Currency 5 3 2 2 2 2 3" xfId="10053" xr:uid="{00000000-0005-0000-0000-000041980000}"/>
    <cellStyle name="Currency 5 3 2 2 2 2 3 2" xfId="24587" xr:uid="{00000000-0005-0000-0000-000042980000}"/>
    <cellStyle name="Currency 5 3 2 2 2 2 3 2 2" xfId="53593" xr:uid="{00000000-0005-0000-0000-000043980000}"/>
    <cellStyle name="Currency 5 3 2 2 2 2 3 3" xfId="39094" xr:uid="{00000000-0005-0000-0000-000044980000}"/>
    <cellStyle name="Currency 5 3 2 2 2 2 4" xfId="17339" xr:uid="{00000000-0005-0000-0000-000045980000}"/>
    <cellStyle name="Currency 5 3 2 2 2 2 4 2" xfId="46345" xr:uid="{00000000-0005-0000-0000-000046980000}"/>
    <cellStyle name="Currency 5 3 2 2 2 2 5" xfId="31846" xr:uid="{00000000-0005-0000-0000-000047980000}"/>
    <cellStyle name="Currency 5 3 2 2 2 3" xfId="3813" xr:uid="{00000000-0005-0000-0000-000048980000}"/>
    <cellStyle name="Currency 5 3 2 2 2 3 2" xfId="6917" xr:uid="{00000000-0005-0000-0000-000049980000}"/>
    <cellStyle name="Currency 5 3 2 2 2 3 2 2" xfId="14189" xr:uid="{00000000-0005-0000-0000-00004A980000}"/>
    <cellStyle name="Currency 5 3 2 2 2 3 2 2 2" xfId="28723" xr:uid="{00000000-0005-0000-0000-00004B980000}"/>
    <cellStyle name="Currency 5 3 2 2 2 3 2 2 2 2" xfId="57729" xr:uid="{00000000-0005-0000-0000-00004C980000}"/>
    <cellStyle name="Currency 5 3 2 2 2 3 2 2 3" xfId="43230" xr:uid="{00000000-0005-0000-0000-00004D980000}"/>
    <cellStyle name="Currency 5 3 2 2 2 3 2 3" xfId="21475" xr:uid="{00000000-0005-0000-0000-00004E980000}"/>
    <cellStyle name="Currency 5 3 2 2 2 3 2 3 2" xfId="50481" xr:uid="{00000000-0005-0000-0000-00004F980000}"/>
    <cellStyle name="Currency 5 3 2 2 2 3 2 4" xfId="35982" xr:uid="{00000000-0005-0000-0000-000050980000}"/>
    <cellStyle name="Currency 5 3 2 2 2 3 3" xfId="11085" xr:uid="{00000000-0005-0000-0000-000051980000}"/>
    <cellStyle name="Currency 5 3 2 2 2 3 3 2" xfId="25619" xr:uid="{00000000-0005-0000-0000-000052980000}"/>
    <cellStyle name="Currency 5 3 2 2 2 3 3 2 2" xfId="54625" xr:uid="{00000000-0005-0000-0000-000053980000}"/>
    <cellStyle name="Currency 5 3 2 2 2 3 3 3" xfId="40126" xr:uid="{00000000-0005-0000-0000-000054980000}"/>
    <cellStyle name="Currency 5 3 2 2 2 3 4" xfId="18371" xr:uid="{00000000-0005-0000-0000-000055980000}"/>
    <cellStyle name="Currency 5 3 2 2 2 3 4 2" xfId="47377" xr:uid="{00000000-0005-0000-0000-000056980000}"/>
    <cellStyle name="Currency 5 3 2 2 2 3 5" xfId="32878" xr:uid="{00000000-0005-0000-0000-000057980000}"/>
    <cellStyle name="Currency 5 3 2 2 2 4" xfId="4845" xr:uid="{00000000-0005-0000-0000-000058980000}"/>
    <cellStyle name="Currency 5 3 2 2 2 4 2" xfId="12117" xr:uid="{00000000-0005-0000-0000-000059980000}"/>
    <cellStyle name="Currency 5 3 2 2 2 4 2 2" xfId="26651" xr:uid="{00000000-0005-0000-0000-00005A980000}"/>
    <cellStyle name="Currency 5 3 2 2 2 4 2 2 2" xfId="55657" xr:uid="{00000000-0005-0000-0000-00005B980000}"/>
    <cellStyle name="Currency 5 3 2 2 2 4 2 3" xfId="41158" xr:uid="{00000000-0005-0000-0000-00005C980000}"/>
    <cellStyle name="Currency 5 3 2 2 2 4 3" xfId="19403" xr:uid="{00000000-0005-0000-0000-00005D980000}"/>
    <cellStyle name="Currency 5 3 2 2 2 4 3 2" xfId="48409" xr:uid="{00000000-0005-0000-0000-00005E980000}"/>
    <cellStyle name="Currency 5 3 2 2 2 4 4" xfId="33910" xr:uid="{00000000-0005-0000-0000-00005F980000}"/>
    <cellStyle name="Currency 5 3 2 2 2 5" xfId="7949" xr:uid="{00000000-0005-0000-0000-000060980000}"/>
    <cellStyle name="Currency 5 3 2 2 2 5 2" xfId="15221" xr:uid="{00000000-0005-0000-0000-000061980000}"/>
    <cellStyle name="Currency 5 3 2 2 2 5 2 2" xfId="29755" xr:uid="{00000000-0005-0000-0000-000062980000}"/>
    <cellStyle name="Currency 5 3 2 2 2 5 2 2 2" xfId="58761" xr:uid="{00000000-0005-0000-0000-000063980000}"/>
    <cellStyle name="Currency 5 3 2 2 2 5 2 3" xfId="44262" xr:uid="{00000000-0005-0000-0000-000064980000}"/>
    <cellStyle name="Currency 5 3 2 2 2 5 3" xfId="22507" xr:uid="{00000000-0005-0000-0000-000065980000}"/>
    <cellStyle name="Currency 5 3 2 2 2 5 3 2" xfId="51513" xr:uid="{00000000-0005-0000-0000-000066980000}"/>
    <cellStyle name="Currency 5 3 2 2 2 5 4" xfId="37014" xr:uid="{00000000-0005-0000-0000-000067980000}"/>
    <cellStyle name="Currency 5 3 2 2 2 6" xfId="9013" xr:uid="{00000000-0005-0000-0000-000068980000}"/>
    <cellStyle name="Currency 5 3 2 2 2 6 2" xfId="23547" xr:uid="{00000000-0005-0000-0000-000069980000}"/>
    <cellStyle name="Currency 5 3 2 2 2 6 2 2" xfId="52553" xr:uid="{00000000-0005-0000-0000-00006A980000}"/>
    <cellStyle name="Currency 5 3 2 2 2 6 3" xfId="38054" xr:uid="{00000000-0005-0000-0000-00006B980000}"/>
    <cellStyle name="Currency 5 3 2 2 2 7" xfId="16299" xr:uid="{00000000-0005-0000-0000-00006C980000}"/>
    <cellStyle name="Currency 5 3 2 2 2 7 2" xfId="45305" xr:uid="{00000000-0005-0000-0000-00006D980000}"/>
    <cellStyle name="Currency 5 3 2 2 2 8" xfId="30806" xr:uid="{00000000-0005-0000-0000-00006E980000}"/>
    <cellStyle name="Currency 5 3 2 2 3" xfId="2269" xr:uid="{00000000-0005-0000-0000-00006F980000}"/>
    <cellStyle name="Currency 5 3 2 2 3 2" xfId="5373" xr:uid="{00000000-0005-0000-0000-000070980000}"/>
    <cellStyle name="Currency 5 3 2 2 3 2 2" xfId="12645" xr:uid="{00000000-0005-0000-0000-000071980000}"/>
    <cellStyle name="Currency 5 3 2 2 3 2 2 2" xfId="27179" xr:uid="{00000000-0005-0000-0000-000072980000}"/>
    <cellStyle name="Currency 5 3 2 2 3 2 2 2 2" xfId="56185" xr:uid="{00000000-0005-0000-0000-000073980000}"/>
    <cellStyle name="Currency 5 3 2 2 3 2 2 3" xfId="41686" xr:uid="{00000000-0005-0000-0000-000074980000}"/>
    <cellStyle name="Currency 5 3 2 2 3 2 3" xfId="19931" xr:uid="{00000000-0005-0000-0000-000075980000}"/>
    <cellStyle name="Currency 5 3 2 2 3 2 3 2" xfId="48937" xr:uid="{00000000-0005-0000-0000-000076980000}"/>
    <cellStyle name="Currency 5 3 2 2 3 2 4" xfId="34438" xr:uid="{00000000-0005-0000-0000-000077980000}"/>
    <cellStyle name="Currency 5 3 2 2 3 3" xfId="9541" xr:uid="{00000000-0005-0000-0000-000078980000}"/>
    <cellStyle name="Currency 5 3 2 2 3 3 2" xfId="24075" xr:uid="{00000000-0005-0000-0000-000079980000}"/>
    <cellStyle name="Currency 5 3 2 2 3 3 2 2" xfId="53081" xr:uid="{00000000-0005-0000-0000-00007A980000}"/>
    <cellStyle name="Currency 5 3 2 2 3 3 3" xfId="38582" xr:uid="{00000000-0005-0000-0000-00007B980000}"/>
    <cellStyle name="Currency 5 3 2 2 3 4" xfId="16827" xr:uid="{00000000-0005-0000-0000-00007C980000}"/>
    <cellStyle name="Currency 5 3 2 2 3 4 2" xfId="45833" xr:uid="{00000000-0005-0000-0000-00007D980000}"/>
    <cellStyle name="Currency 5 3 2 2 3 5" xfId="31334" xr:uid="{00000000-0005-0000-0000-00007E980000}"/>
    <cellStyle name="Currency 5 3 2 2 4" xfId="3301" xr:uid="{00000000-0005-0000-0000-00007F980000}"/>
    <cellStyle name="Currency 5 3 2 2 4 2" xfId="6405" xr:uid="{00000000-0005-0000-0000-000080980000}"/>
    <cellStyle name="Currency 5 3 2 2 4 2 2" xfId="13677" xr:uid="{00000000-0005-0000-0000-000081980000}"/>
    <cellStyle name="Currency 5 3 2 2 4 2 2 2" xfId="28211" xr:uid="{00000000-0005-0000-0000-000082980000}"/>
    <cellStyle name="Currency 5 3 2 2 4 2 2 2 2" xfId="57217" xr:uid="{00000000-0005-0000-0000-000083980000}"/>
    <cellStyle name="Currency 5 3 2 2 4 2 2 3" xfId="42718" xr:uid="{00000000-0005-0000-0000-000084980000}"/>
    <cellStyle name="Currency 5 3 2 2 4 2 3" xfId="20963" xr:uid="{00000000-0005-0000-0000-000085980000}"/>
    <cellStyle name="Currency 5 3 2 2 4 2 3 2" xfId="49969" xr:uid="{00000000-0005-0000-0000-000086980000}"/>
    <cellStyle name="Currency 5 3 2 2 4 2 4" xfId="35470" xr:uid="{00000000-0005-0000-0000-000087980000}"/>
    <cellStyle name="Currency 5 3 2 2 4 3" xfId="10573" xr:uid="{00000000-0005-0000-0000-000088980000}"/>
    <cellStyle name="Currency 5 3 2 2 4 3 2" xfId="25107" xr:uid="{00000000-0005-0000-0000-000089980000}"/>
    <cellStyle name="Currency 5 3 2 2 4 3 2 2" xfId="54113" xr:uid="{00000000-0005-0000-0000-00008A980000}"/>
    <cellStyle name="Currency 5 3 2 2 4 3 3" xfId="39614" xr:uid="{00000000-0005-0000-0000-00008B980000}"/>
    <cellStyle name="Currency 5 3 2 2 4 4" xfId="17859" xr:uid="{00000000-0005-0000-0000-00008C980000}"/>
    <cellStyle name="Currency 5 3 2 2 4 4 2" xfId="46865" xr:uid="{00000000-0005-0000-0000-00008D980000}"/>
    <cellStyle name="Currency 5 3 2 2 4 5" xfId="32366" xr:uid="{00000000-0005-0000-0000-00008E980000}"/>
    <cellStyle name="Currency 5 3 2 2 5" xfId="4333" xr:uid="{00000000-0005-0000-0000-00008F980000}"/>
    <cellStyle name="Currency 5 3 2 2 5 2" xfId="11605" xr:uid="{00000000-0005-0000-0000-000090980000}"/>
    <cellStyle name="Currency 5 3 2 2 5 2 2" xfId="26139" xr:uid="{00000000-0005-0000-0000-000091980000}"/>
    <cellStyle name="Currency 5 3 2 2 5 2 2 2" xfId="55145" xr:uid="{00000000-0005-0000-0000-000092980000}"/>
    <cellStyle name="Currency 5 3 2 2 5 2 3" xfId="40646" xr:uid="{00000000-0005-0000-0000-000093980000}"/>
    <cellStyle name="Currency 5 3 2 2 5 3" xfId="18891" xr:uid="{00000000-0005-0000-0000-000094980000}"/>
    <cellStyle name="Currency 5 3 2 2 5 3 2" xfId="47897" xr:uid="{00000000-0005-0000-0000-000095980000}"/>
    <cellStyle name="Currency 5 3 2 2 5 4" xfId="33398" xr:uid="{00000000-0005-0000-0000-000096980000}"/>
    <cellStyle name="Currency 5 3 2 2 6" xfId="7437" xr:uid="{00000000-0005-0000-0000-000097980000}"/>
    <cellStyle name="Currency 5 3 2 2 6 2" xfId="14709" xr:uid="{00000000-0005-0000-0000-000098980000}"/>
    <cellStyle name="Currency 5 3 2 2 6 2 2" xfId="29243" xr:uid="{00000000-0005-0000-0000-000099980000}"/>
    <cellStyle name="Currency 5 3 2 2 6 2 2 2" xfId="58249" xr:uid="{00000000-0005-0000-0000-00009A980000}"/>
    <cellStyle name="Currency 5 3 2 2 6 2 3" xfId="43750" xr:uid="{00000000-0005-0000-0000-00009B980000}"/>
    <cellStyle name="Currency 5 3 2 2 6 3" xfId="21995" xr:uid="{00000000-0005-0000-0000-00009C980000}"/>
    <cellStyle name="Currency 5 3 2 2 6 3 2" xfId="51001" xr:uid="{00000000-0005-0000-0000-00009D980000}"/>
    <cellStyle name="Currency 5 3 2 2 6 4" xfId="36502" xr:uid="{00000000-0005-0000-0000-00009E980000}"/>
    <cellStyle name="Currency 5 3 2 2 7" xfId="8501" xr:uid="{00000000-0005-0000-0000-00009F980000}"/>
    <cellStyle name="Currency 5 3 2 2 7 2" xfId="23035" xr:uid="{00000000-0005-0000-0000-0000A0980000}"/>
    <cellStyle name="Currency 5 3 2 2 7 2 2" xfId="52041" xr:uid="{00000000-0005-0000-0000-0000A1980000}"/>
    <cellStyle name="Currency 5 3 2 2 7 3" xfId="37542" xr:uid="{00000000-0005-0000-0000-0000A2980000}"/>
    <cellStyle name="Currency 5 3 2 2 8" xfId="15787" xr:uid="{00000000-0005-0000-0000-0000A3980000}"/>
    <cellStyle name="Currency 5 3 2 2 8 2" xfId="44793" xr:uid="{00000000-0005-0000-0000-0000A4980000}"/>
    <cellStyle name="Currency 5 3 2 2 9" xfId="30294" xr:uid="{00000000-0005-0000-0000-0000A5980000}"/>
    <cellStyle name="Currency 5 3 2 3" xfId="1417" xr:uid="{00000000-0005-0000-0000-0000A6980000}"/>
    <cellStyle name="Currency 5 3 2 3 2" xfId="2475" xr:uid="{00000000-0005-0000-0000-0000A7980000}"/>
    <cellStyle name="Currency 5 3 2 3 2 2" xfId="5579" xr:uid="{00000000-0005-0000-0000-0000A8980000}"/>
    <cellStyle name="Currency 5 3 2 3 2 2 2" xfId="12851" xr:uid="{00000000-0005-0000-0000-0000A9980000}"/>
    <cellStyle name="Currency 5 3 2 3 2 2 2 2" xfId="27385" xr:uid="{00000000-0005-0000-0000-0000AA980000}"/>
    <cellStyle name="Currency 5 3 2 3 2 2 2 2 2" xfId="56391" xr:uid="{00000000-0005-0000-0000-0000AB980000}"/>
    <cellStyle name="Currency 5 3 2 3 2 2 2 3" xfId="41892" xr:uid="{00000000-0005-0000-0000-0000AC980000}"/>
    <cellStyle name="Currency 5 3 2 3 2 2 3" xfId="20137" xr:uid="{00000000-0005-0000-0000-0000AD980000}"/>
    <cellStyle name="Currency 5 3 2 3 2 2 3 2" xfId="49143" xr:uid="{00000000-0005-0000-0000-0000AE980000}"/>
    <cellStyle name="Currency 5 3 2 3 2 2 4" xfId="34644" xr:uid="{00000000-0005-0000-0000-0000AF980000}"/>
    <cellStyle name="Currency 5 3 2 3 2 3" xfId="9747" xr:uid="{00000000-0005-0000-0000-0000B0980000}"/>
    <cellStyle name="Currency 5 3 2 3 2 3 2" xfId="24281" xr:uid="{00000000-0005-0000-0000-0000B1980000}"/>
    <cellStyle name="Currency 5 3 2 3 2 3 2 2" xfId="53287" xr:uid="{00000000-0005-0000-0000-0000B2980000}"/>
    <cellStyle name="Currency 5 3 2 3 2 3 3" xfId="38788" xr:uid="{00000000-0005-0000-0000-0000B3980000}"/>
    <cellStyle name="Currency 5 3 2 3 2 4" xfId="17033" xr:uid="{00000000-0005-0000-0000-0000B4980000}"/>
    <cellStyle name="Currency 5 3 2 3 2 4 2" xfId="46039" xr:uid="{00000000-0005-0000-0000-0000B5980000}"/>
    <cellStyle name="Currency 5 3 2 3 2 5" xfId="31540" xr:uid="{00000000-0005-0000-0000-0000B6980000}"/>
    <cellStyle name="Currency 5 3 2 3 3" xfId="3507" xr:uid="{00000000-0005-0000-0000-0000B7980000}"/>
    <cellStyle name="Currency 5 3 2 3 3 2" xfId="6611" xr:uid="{00000000-0005-0000-0000-0000B8980000}"/>
    <cellStyle name="Currency 5 3 2 3 3 2 2" xfId="13883" xr:uid="{00000000-0005-0000-0000-0000B9980000}"/>
    <cellStyle name="Currency 5 3 2 3 3 2 2 2" xfId="28417" xr:uid="{00000000-0005-0000-0000-0000BA980000}"/>
    <cellStyle name="Currency 5 3 2 3 3 2 2 2 2" xfId="57423" xr:uid="{00000000-0005-0000-0000-0000BB980000}"/>
    <cellStyle name="Currency 5 3 2 3 3 2 2 3" xfId="42924" xr:uid="{00000000-0005-0000-0000-0000BC980000}"/>
    <cellStyle name="Currency 5 3 2 3 3 2 3" xfId="21169" xr:uid="{00000000-0005-0000-0000-0000BD980000}"/>
    <cellStyle name="Currency 5 3 2 3 3 2 3 2" xfId="50175" xr:uid="{00000000-0005-0000-0000-0000BE980000}"/>
    <cellStyle name="Currency 5 3 2 3 3 2 4" xfId="35676" xr:uid="{00000000-0005-0000-0000-0000BF980000}"/>
    <cellStyle name="Currency 5 3 2 3 3 3" xfId="10779" xr:uid="{00000000-0005-0000-0000-0000C0980000}"/>
    <cellStyle name="Currency 5 3 2 3 3 3 2" xfId="25313" xr:uid="{00000000-0005-0000-0000-0000C1980000}"/>
    <cellStyle name="Currency 5 3 2 3 3 3 2 2" xfId="54319" xr:uid="{00000000-0005-0000-0000-0000C2980000}"/>
    <cellStyle name="Currency 5 3 2 3 3 3 3" xfId="39820" xr:uid="{00000000-0005-0000-0000-0000C3980000}"/>
    <cellStyle name="Currency 5 3 2 3 3 4" xfId="18065" xr:uid="{00000000-0005-0000-0000-0000C4980000}"/>
    <cellStyle name="Currency 5 3 2 3 3 4 2" xfId="47071" xr:uid="{00000000-0005-0000-0000-0000C5980000}"/>
    <cellStyle name="Currency 5 3 2 3 3 5" xfId="32572" xr:uid="{00000000-0005-0000-0000-0000C6980000}"/>
    <cellStyle name="Currency 5 3 2 3 4" xfId="4539" xr:uid="{00000000-0005-0000-0000-0000C7980000}"/>
    <cellStyle name="Currency 5 3 2 3 4 2" xfId="11811" xr:uid="{00000000-0005-0000-0000-0000C8980000}"/>
    <cellStyle name="Currency 5 3 2 3 4 2 2" xfId="26345" xr:uid="{00000000-0005-0000-0000-0000C9980000}"/>
    <cellStyle name="Currency 5 3 2 3 4 2 2 2" xfId="55351" xr:uid="{00000000-0005-0000-0000-0000CA980000}"/>
    <cellStyle name="Currency 5 3 2 3 4 2 3" xfId="40852" xr:uid="{00000000-0005-0000-0000-0000CB980000}"/>
    <cellStyle name="Currency 5 3 2 3 4 3" xfId="19097" xr:uid="{00000000-0005-0000-0000-0000CC980000}"/>
    <cellStyle name="Currency 5 3 2 3 4 3 2" xfId="48103" xr:uid="{00000000-0005-0000-0000-0000CD980000}"/>
    <cellStyle name="Currency 5 3 2 3 4 4" xfId="33604" xr:uid="{00000000-0005-0000-0000-0000CE980000}"/>
    <cellStyle name="Currency 5 3 2 3 5" xfId="7643" xr:uid="{00000000-0005-0000-0000-0000CF980000}"/>
    <cellStyle name="Currency 5 3 2 3 5 2" xfId="14915" xr:uid="{00000000-0005-0000-0000-0000D0980000}"/>
    <cellStyle name="Currency 5 3 2 3 5 2 2" xfId="29449" xr:uid="{00000000-0005-0000-0000-0000D1980000}"/>
    <cellStyle name="Currency 5 3 2 3 5 2 2 2" xfId="58455" xr:uid="{00000000-0005-0000-0000-0000D2980000}"/>
    <cellStyle name="Currency 5 3 2 3 5 2 3" xfId="43956" xr:uid="{00000000-0005-0000-0000-0000D3980000}"/>
    <cellStyle name="Currency 5 3 2 3 5 3" xfId="22201" xr:uid="{00000000-0005-0000-0000-0000D4980000}"/>
    <cellStyle name="Currency 5 3 2 3 5 3 2" xfId="51207" xr:uid="{00000000-0005-0000-0000-0000D5980000}"/>
    <cellStyle name="Currency 5 3 2 3 5 4" xfId="36708" xr:uid="{00000000-0005-0000-0000-0000D6980000}"/>
    <cellStyle name="Currency 5 3 2 3 6" xfId="8707" xr:uid="{00000000-0005-0000-0000-0000D7980000}"/>
    <cellStyle name="Currency 5 3 2 3 6 2" xfId="23241" xr:uid="{00000000-0005-0000-0000-0000D8980000}"/>
    <cellStyle name="Currency 5 3 2 3 6 2 2" xfId="52247" xr:uid="{00000000-0005-0000-0000-0000D9980000}"/>
    <cellStyle name="Currency 5 3 2 3 6 3" xfId="37748" xr:uid="{00000000-0005-0000-0000-0000DA980000}"/>
    <cellStyle name="Currency 5 3 2 3 7" xfId="15993" xr:uid="{00000000-0005-0000-0000-0000DB980000}"/>
    <cellStyle name="Currency 5 3 2 3 7 2" xfId="44999" xr:uid="{00000000-0005-0000-0000-0000DC980000}"/>
    <cellStyle name="Currency 5 3 2 3 8" xfId="30500" xr:uid="{00000000-0005-0000-0000-0000DD980000}"/>
    <cellStyle name="Currency 5 3 2 4" xfId="1963" xr:uid="{00000000-0005-0000-0000-0000DE980000}"/>
    <cellStyle name="Currency 5 3 2 4 2" xfId="5067" xr:uid="{00000000-0005-0000-0000-0000DF980000}"/>
    <cellStyle name="Currency 5 3 2 4 2 2" xfId="12339" xr:uid="{00000000-0005-0000-0000-0000E0980000}"/>
    <cellStyle name="Currency 5 3 2 4 2 2 2" xfId="26873" xr:uid="{00000000-0005-0000-0000-0000E1980000}"/>
    <cellStyle name="Currency 5 3 2 4 2 2 2 2" xfId="55879" xr:uid="{00000000-0005-0000-0000-0000E2980000}"/>
    <cellStyle name="Currency 5 3 2 4 2 2 3" xfId="41380" xr:uid="{00000000-0005-0000-0000-0000E3980000}"/>
    <cellStyle name="Currency 5 3 2 4 2 3" xfId="19625" xr:uid="{00000000-0005-0000-0000-0000E4980000}"/>
    <cellStyle name="Currency 5 3 2 4 2 3 2" xfId="48631" xr:uid="{00000000-0005-0000-0000-0000E5980000}"/>
    <cellStyle name="Currency 5 3 2 4 2 4" xfId="34132" xr:uid="{00000000-0005-0000-0000-0000E6980000}"/>
    <cellStyle name="Currency 5 3 2 4 3" xfId="9235" xr:uid="{00000000-0005-0000-0000-0000E7980000}"/>
    <cellStyle name="Currency 5 3 2 4 3 2" xfId="23769" xr:uid="{00000000-0005-0000-0000-0000E8980000}"/>
    <cellStyle name="Currency 5 3 2 4 3 2 2" xfId="52775" xr:uid="{00000000-0005-0000-0000-0000E9980000}"/>
    <cellStyle name="Currency 5 3 2 4 3 3" xfId="38276" xr:uid="{00000000-0005-0000-0000-0000EA980000}"/>
    <cellStyle name="Currency 5 3 2 4 4" xfId="16521" xr:uid="{00000000-0005-0000-0000-0000EB980000}"/>
    <cellStyle name="Currency 5 3 2 4 4 2" xfId="45527" xr:uid="{00000000-0005-0000-0000-0000EC980000}"/>
    <cellStyle name="Currency 5 3 2 4 5" xfId="31028" xr:uid="{00000000-0005-0000-0000-0000ED980000}"/>
    <cellStyle name="Currency 5 3 2 5" xfId="2995" xr:uid="{00000000-0005-0000-0000-0000EE980000}"/>
    <cellStyle name="Currency 5 3 2 5 2" xfId="6099" xr:uid="{00000000-0005-0000-0000-0000EF980000}"/>
    <cellStyle name="Currency 5 3 2 5 2 2" xfId="13371" xr:uid="{00000000-0005-0000-0000-0000F0980000}"/>
    <cellStyle name="Currency 5 3 2 5 2 2 2" xfId="27905" xr:uid="{00000000-0005-0000-0000-0000F1980000}"/>
    <cellStyle name="Currency 5 3 2 5 2 2 2 2" xfId="56911" xr:uid="{00000000-0005-0000-0000-0000F2980000}"/>
    <cellStyle name="Currency 5 3 2 5 2 2 3" xfId="42412" xr:uid="{00000000-0005-0000-0000-0000F3980000}"/>
    <cellStyle name="Currency 5 3 2 5 2 3" xfId="20657" xr:uid="{00000000-0005-0000-0000-0000F4980000}"/>
    <cellStyle name="Currency 5 3 2 5 2 3 2" xfId="49663" xr:uid="{00000000-0005-0000-0000-0000F5980000}"/>
    <cellStyle name="Currency 5 3 2 5 2 4" xfId="35164" xr:uid="{00000000-0005-0000-0000-0000F6980000}"/>
    <cellStyle name="Currency 5 3 2 5 3" xfId="10267" xr:uid="{00000000-0005-0000-0000-0000F7980000}"/>
    <cellStyle name="Currency 5 3 2 5 3 2" xfId="24801" xr:uid="{00000000-0005-0000-0000-0000F8980000}"/>
    <cellStyle name="Currency 5 3 2 5 3 2 2" xfId="53807" xr:uid="{00000000-0005-0000-0000-0000F9980000}"/>
    <cellStyle name="Currency 5 3 2 5 3 3" xfId="39308" xr:uid="{00000000-0005-0000-0000-0000FA980000}"/>
    <cellStyle name="Currency 5 3 2 5 4" xfId="17553" xr:uid="{00000000-0005-0000-0000-0000FB980000}"/>
    <cellStyle name="Currency 5 3 2 5 4 2" xfId="46559" xr:uid="{00000000-0005-0000-0000-0000FC980000}"/>
    <cellStyle name="Currency 5 3 2 5 5" xfId="32060" xr:uid="{00000000-0005-0000-0000-0000FD980000}"/>
    <cellStyle name="Currency 5 3 2 6" xfId="4027" xr:uid="{00000000-0005-0000-0000-0000FE980000}"/>
    <cellStyle name="Currency 5 3 2 6 2" xfId="11299" xr:uid="{00000000-0005-0000-0000-0000FF980000}"/>
    <cellStyle name="Currency 5 3 2 6 2 2" xfId="25833" xr:uid="{00000000-0005-0000-0000-000000990000}"/>
    <cellStyle name="Currency 5 3 2 6 2 2 2" xfId="54839" xr:uid="{00000000-0005-0000-0000-000001990000}"/>
    <cellStyle name="Currency 5 3 2 6 2 3" xfId="40340" xr:uid="{00000000-0005-0000-0000-000002990000}"/>
    <cellStyle name="Currency 5 3 2 6 3" xfId="18585" xr:uid="{00000000-0005-0000-0000-000003990000}"/>
    <cellStyle name="Currency 5 3 2 6 3 2" xfId="47591" xr:uid="{00000000-0005-0000-0000-000004990000}"/>
    <cellStyle name="Currency 5 3 2 6 4" xfId="33092" xr:uid="{00000000-0005-0000-0000-000005990000}"/>
    <cellStyle name="Currency 5 3 2 7" xfId="7131" xr:uid="{00000000-0005-0000-0000-000006990000}"/>
    <cellStyle name="Currency 5 3 2 7 2" xfId="14403" xr:uid="{00000000-0005-0000-0000-000007990000}"/>
    <cellStyle name="Currency 5 3 2 7 2 2" xfId="28937" xr:uid="{00000000-0005-0000-0000-000008990000}"/>
    <cellStyle name="Currency 5 3 2 7 2 2 2" xfId="57943" xr:uid="{00000000-0005-0000-0000-000009990000}"/>
    <cellStyle name="Currency 5 3 2 7 2 3" xfId="43444" xr:uid="{00000000-0005-0000-0000-00000A990000}"/>
    <cellStyle name="Currency 5 3 2 7 3" xfId="21689" xr:uid="{00000000-0005-0000-0000-00000B990000}"/>
    <cellStyle name="Currency 5 3 2 7 3 2" xfId="50695" xr:uid="{00000000-0005-0000-0000-00000C990000}"/>
    <cellStyle name="Currency 5 3 2 7 4" xfId="36196" xr:uid="{00000000-0005-0000-0000-00000D990000}"/>
    <cellStyle name="Currency 5 3 2 8" xfId="8195" xr:uid="{00000000-0005-0000-0000-00000E990000}"/>
    <cellStyle name="Currency 5 3 2 8 2" xfId="22729" xr:uid="{00000000-0005-0000-0000-00000F990000}"/>
    <cellStyle name="Currency 5 3 2 8 2 2" xfId="51735" xr:uid="{00000000-0005-0000-0000-000010990000}"/>
    <cellStyle name="Currency 5 3 2 8 3" xfId="37236" xr:uid="{00000000-0005-0000-0000-000011990000}"/>
    <cellStyle name="Currency 5 3 2 9" xfId="15481" xr:uid="{00000000-0005-0000-0000-000012990000}"/>
    <cellStyle name="Currency 5 3 2 9 2" xfId="44487" xr:uid="{00000000-0005-0000-0000-000013990000}"/>
    <cellStyle name="Currency 5 3 3" xfId="340" xr:uid="{00000000-0005-0000-0000-000014990000}"/>
    <cellStyle name="Currency 5 3 3 10" xfId="1121" xr:uid="{00000000-0005-0000-0000-000015990000}"/>
    <cellStyle name="Currency 5 3 3 11" xfId="59537" xr:uid="{00000000-0005-0000-0000-000016990000}"/>
    <cellStyle name="Currency 5 3 3 2" xfId="1619" xr:uid="{00000000-0005-0000-0000-000017990000}"/>
    <cellStyle name="Currency 5 3 3 2 2" xfId="2678" xr:uid="{00000000-0005-0000-0000-000018990000}"/>
    <cellStyle name="Currency 5 3 3 2 2 2" xfId="5782" xr:uid="{00000000-0005-0000-0000-000019990000}"/>
    <cellStyle name="Currency 5 3 3 2 2 2 2" xfId="13054" xr:uid="{00000000-0005-0000-0000-00001A990000}"/>
    <cellStyle name="Currency 5 3 3 2 2 2 2 2" xfId="27588" xr:uid="{00000000-0005-0000-0000-00001B990000}"/>
    <cellStyle name="Currency 5 3 3 2 2 2 2 2 2" xfId="56594" xr:uid="{00000000-0005-0000-0000-00001C990000}"/>
    <cellStyle name="Currency 5 3 3 2 2 2 2 3" xfId="42095" xr:uid="{00000000-0005-0000-0000-00001D990000}"/>
    <cellStyle name="Currency 5 3 3 2 2 2 3" xfId="20340" xr:uid="{00000000-0005-0000-0000-00001E990000}"/>
    <cellStyle name="Currency 5 3 3 2 2 2 3 2" xfId="49346" xr:uid="{00000000-0005-0000-0000-00001F990000}"/>
    <cellStyle name="Currency 5 3 3 2 2 2 4" xfId="34847" xr:uid="{00000000-0005-0000-0000-000020990000}"/>
    <cellStyle name="Currency 5 3 3 2 2 3" xfId="9950" xr:uid="{00000000-0005-0000-0000-000021990000}"/>
    <cellStyle name="Currency 5 3 3 2 2 3 2" xfId="24484" xr:uid="{00000000-0005-0000-0000-000022990000}"/>
    <cellStyle name="Currency 5 3 3 2 2 3 2 2" xfId="53490" xr:uid="{00000000-0005-0000-0000-000023990000}"/>
    <cellStyle name="Currency 5 3 3 2 2 3 3" xfId="38991" xr:uid="{00000000-0005-0000-0000-000024990000}"/>
    <cellStyle name="Currency 5 3 3 2 2 4" xfId="17236" xr:uid="{00000000-0005-0000-0000-000025990000}"/>
    <cellStyle name="Currency 5 3 3 2 2 4 2" xfId="46242" xr:uid="{00000000-0005-0000-0000-000026990000}"/>
    <cellStyle name="Currency 5 3 3 2 2 5" xfId="31743" xr:uid="{00000000-0005-0000-0000-000027990000}"/>
    <cellStyle name="Currency 5 3 3 2 3" xfId="3710" xr:uid="{00000000-0005-0000-0000-000028990000}"/>
    <cellStyle name="Currency 5 3 3 2 3 2" xfId="6814" xr:uid="{00000000-0005-0000-0000-000029990000}"/>
    <cellStyle name="Currency 5 3 3 2 3 2 2" xfId="14086" xr:uid="{00000000-0005-0000-0000-00002A990000}"/>
    <cellStyle name="Currency 5 3 3 2 3 2 2 2" xfId="28620" xr:uid="{00000000-0005-0000-0000-00002B990000}"/>
    <cellStyle name="Currency 5 3 3 2 3 2 2 2 2" xfId="57626" xr:uid="{00000000-0005-0000-0000-00002C990000}"/>
    <cellStyle name="Currency 5 3 3 2 3 2 2 3" xfId="43127" xr:uid="{00000000-0005-0000-0000-00002D990000}"/>
    <cellStyle name="Currency 5 3 3 2 3 2 3" xfId="21372" xr:uid="{00000000-0005-0000-0000-00002E990000}"/>
    <cellStyle name="Currency 5 3 3 2 3 2 3 2" xfId="50378" xr:uid="{00000000-0005-0000-0000-00002F990000}"/>
    <cellStyle name="Currency 5 3 3 2 3 2 4" xfId="35879" xr:uid="{00000000-0005-0000-0000-000030990000}"/>
    <cellStyle name="Currency 5 3 3 2 3 3" xfId="10982" xr:uid="{00000000-0005-0000-0000-000031990000}"/>
    <cellStyle name="Currency 5 3 3 2 3 3 2" xfId="25516" xr:uid="{00000000-0005-0000-0000-000032990000}"/>
    <cellStyle name="Currency 5 3 3 2 3 3 2 2" xfId="54522" xr:uid="{00000000-0005-0000-0000-000033990000}"/>
    <cellStyle name="Currency 5 3 3 2 3 3 3" xfId="40023" xr:uid="{00000000-0005-0000-0000-000034990000}"/>
    <cellStyle name="Currency 5 3 3 2 3 4" xfId="18268" xr:uid="{00000000-0005-0000-0000-000035990000}"/>
    <cellStyle name="Currency 5 3 3 2 3 4 2" xfId="47274" xr:uid="{00000000-0005-0000-0000-000036990000}"/>
    <cellStyle name="Currency 5 3 3 2 3 5" xfId="32775" xr:uid="{00000000-0005-0000-0000-000037990000}"/>
    <cellStyle name="Currency 5 3 3 2 4" xfId="4742" xr:uid="{00000000-0005-0000-0000-000038990000}"/>
    <cellStyle name="Currency 5 3 3 2 4 2" xfId="12014" xr:uid="{00000000-0005-0000-0000-000039990000}"/>
    <cellStyle name="Currency 5 3 3 2 4 2 2" xfId="26548" xr:uid="{00000000-0005-0000-0000-00003A990000}"/>
    <cellStyle name="Currency 5 3 3 2 4 2 2 2" xfId="55554" xr:uid="{00000000-0005-0000-0000-00003B990000}"/>
    <cellStyle name="Currency 5 3 3 2 4 2 3" xfId="41055" xr:uid="{00000000-0005-0000-0000-00003C990000}"/>
    <cellStyle name="Currency 5 3 3 2 4 3" xfId="19300" xr:uid="{00000000-0005-0000-0000-00003D990000}"/>
    <cellStyle name="Currency 5 3 3 2 4 3 2" xfId="48306" xr:uid="{00000000-0005-0000-0000-00003E990000}"/>
    <cellStyle name="Currency 5 3 3 2 4 4" xfId="33807" xr:uid="{00000000-0005-0000-0000-00003F990000}"/>
    <cellStyle name="Currency 5 3 3 2 5" xfId="7846" xr:uid="{00000000-0005-0000-0000-000040990000}"/>
    <cellStyle name="Currency 5 3 3 2 5 2" xfId="15118" xr:uid="{00000000-0005-0000-0000-000041990000}"/>
    <cellStyle name="Currency 5 3 3 2 5 2 2" xfId="29652" xr:uid="{00000000-0005-0000-0000-000042990000}"/>
    <cellStyle name="Currency 5 3 3 2 5 2 2 2" xfId="58658" xr:uid="{00000000-0005-0000-0000-000043990000}"/>
    <cellStyle name="Currency 5 3 3 2 5 2 3" xfId="44159" xr:uid="{00000000-0005-0000-0000-000044990000}"/>
    <cellStyle name="Currency 5 3 3 2 5 3" xfId="22404" xr:uid="{00000000-0005-0000-0000-000045990000}"/>
    <cellStyle name="Currency 5 3 3 2 5 3 2" xfId="51410" xr:uid="{00000000-0005-0000-0000-000046990000}"/>
    <cellStyle name="Currency 5 3 3 2 5 4" xfId="36911" xr:uid="{00000000-0005-0000-0000-000047990000}"/>
    <cellStyle name="Currency 5 3 3 2 6" xfId="8910" xr:uid="{00000000-0005-0000-0000-000048990000}"/>
    <cellStyle name="Currency 5 3 3 2 6 2" xfId="23444" xr:uid="{00000000-0005-0000-0000-000049990000}"/>
    <cellStyle name="Currency 5 3 3 2 6 2 2" xfId="52450" xr:uid="{00000000-0005-0000-0000-00004A990000}"/>
    <cellStyle name="Currency 5 3 3 2 6 3" xfId="37951" xr:uid="{00000000-0005-0000-0000-00004B990000}"/>
    <cellStyle name="Currency 5 3 3 2 7" xfId="16196" xr:uid="{00000000-0005-0000-0000-00004C990000}"/>
    <cellStyle name="Currency 5 3 3 2 7 2" xfId="45202" xr:uid="{00000000-0005-0000-0000-00004D990000}"/>
    <cellStyle name="Currency 5 3 3 2 8" xfId="30703" xr:uid="{00000000-0005-0000-0000-00004E990000}"/>
    <cellStyle name="Currency 5 3 3 3" xfId="2166" xr:uid="{00000000-0005-0000-0000-00004F990000}"/>
    <cellStyle name="Currency 5 3 3 3 2" xfId="5270" xr:uid="{00000000-0005-0000-0000-000050990000}"/>
    <cellStyle name="Currency 5 3 3 3 2 2" xfId="12542" xr:uid="{00000000-0005-0000-0000-000051990000}"/>
    <cellStyle name="Currency 5 3 3 3 2 2 2" xfId="27076" xr:uid="{00000000-0005-0000-0000-000052990000}"/>
    <cellStyle name="Currency 5 3 3 3 2 2 2 2" xfId="56082" xr:uid="{00000000-0005-0000-0000-000053990000}"/>
    <cellStyle name="Currency 5 3 3 3 2 2 3" xfId="41583" xr:uid="{00000000-0005-0000-0000-000054990000}"/>
    <cellStyle name="Currency 5 3 3 3 2 3" xfId="19828" xr:uid="{00000000-0005-0000-0000-000055990000}"/>
    <cellStyle name="Currency 5 3 3 3 2 3 2" xfId="48834" xr:uid="{00000000-0005-0000-0000-000056990000}"/>
    <cellStyle name="Currency 5 3 3 3 2 4" xfId="34335" xr:uid="{00000000-0005-0000-0000-000057990000}"/>
    <cellStyle name="Currency 5 3 3 3 3" xfId="9438" xr:uid="{00000000-0005-0000-0000-000058990000}"/>
    <cellStyle name="Currency 5 3 3 3 3 2" xfId="23972" xr:uid="{00000000-0005-0000-0000-000059990000}"/>
    <cellStyle name="Currency 5 3 3 3 3 2 2" xfId="52978" xr:uid="{00000000-0005-0000-0000-00005A990000}"/>
    <cellStyle name="Currency 5 3 3 3 3 3" xfId="38479" xr:uid="{00000000-0005-0000-0000-00005B990000}"/>
    <cellStyle name="Currency 5 3 3 3 4" xfId="16724" xr:uid="{00000000-0005-0000-0000-00005C990000}"/>
    <cellStyle name="Currency 5 3 3 3 4 2" xfId="45730" xr:uid="{00000000-0005-0000-0000-00005D990000}"/>
    <cellStyle name="Currency 5 3 3 3 5" xfId="31231" xr:uid="{00000000-0005-0000-0000-00005E990000}"/>
    <cellStyle name="Currency 5 3 3 4" xfId="3198" xr:uid="{00000000-0005-0000-0000-00005F990000}"/>
    <cellStyle name="Currency 5 3 3 4 2" xfId="6302" xr:uid="{00000000-0005-0000-0000-000060990000}"/>
    <cellStyle name="Currency 5 3 3 4 2 2" xfId="13574" xr:uid="{00000000-0005-0000-0000-000061990000}"/>
    <cellStyle name="Currency 5 3 3 4 2 2 2" xfId="28108" xr:uid="{00000000-0005-0000-0000-000062990000}"/>
    <cellStyle name="Currency 5 3 3 4 2 2 2 2" xfId="57114" xr:uid="{00000000-0005-0000-0000-000063990000}"/>
    <cellStyle name="Currency 5 3 3 4 2 2 3" xfId="42615" xr:uid="{00000000-0005-0000-0000-000064990000}"/>
    <cellStyle name="Currency 5 3 3 4 2 3" xfId="20860" xr:uid="{00000000-0005-0000-0000-000065990000}"/>
    <cellStyle name="Currency 5 3 3 4 2 3 2" xfId="49866" xr:uid="{00000000-0005-0000-0000-000066990000}"/>
    <cellStyle name="Currency 5 3 3 4 2 4" xfId="35367" xr:uid="{00000000-0005-0000-0000-000067990000}"/>
    <cellStyle name="Currency 5 3 3 4 3" xfId="10470" xr:uid="{00000000-0005-0000-0000-000068990000}"/>
    <cellStyle name="Currency 5 3 3 4 3 2" xfId="25004" xr:uid="{00000000-0005-0000-0000-000069990000}"/>
    <cellStyle name="Currency 5 3 3 4 3 2 2" xfId="54010" xr:uid="{00000000-0005-0000-0000-00006A990000}"/>
    <cellStyle name="Currency 5 3 3 4 3 3" xfId="39511" xr:uid="{00000000-0005-0000-0000-00006B990000}"/>
    <cellStyle name="Currency 5 3 3 4 4" xfId="17756" xr:uid="{00000000-0005-0000-0000-00006C990000}"/>
    <cellStyle name="Currency 5 3 3 4 4 2" xfId="46762" xr:uid="{00000000-0005-0000-0000-00006D990000}"/>
    <cellStyle name="Currency 5 3 3 4 5" xfId="32263" xr:uid="{00000000-0005-0000-0000-00006E990000}"/>
    <cellStyle name="Currency 5 3 3 5" xfId="4230" xr:uid="{00000000-0005-0000-0000-00006F990000}"/>
    <cellStyle name="Currency 5 3 3 5 2" xfId="11502" xr:uid="{00000000-0005-0000-0000-000070990000}"/>
    <cellStyle name="Currency 5 3 3 5 2 2" xfId="26036" xr:uid="{00000000-0005-0000-0000-000071990000}"/>
    <cellStyle name="Currency 5 3 3 5 2 2 2" xfId="55042" xr:uid="{00000000-0005-0000-0000-000072990000}"/>
    <cellStyle name="Currency 5 3 3 5 2 3" xfId="40543" xr:uid="{00000000-0005-0000-0000-000073990000}"/>
    <cellStyle name="Currency 5 3 3 5 3" xfId="18788" xr:uid="{00000000-0005-0000-0000-000074990000}"/>
    <cellStyle name="Currency 5 3 3 5 3 2" xfId="47794" xr:uid="{00000000-0005-0000-0000-000075990000}"/>
    <cellStyle name="Currency 5 3 3 5 4" xfId="33295" xr:uid="{00000000-0005-0000-0000-000076990000}"/>
    <cellStyle name="Currency 5 3 3 6" xfId="7334" xr:uid="{00000000-0005-0000-0000-000077990000}"/>
    <cellStyle name="Currency 5 3 3 6 2" xfId="14606" xr:uid="{00000000-0005-0000-0000-000078990000}"/>
    <cellStyle name="Currency 5 3 3 6 2 2" xfId="29140" xr:uid="{00000000-0005-0000-0000-000079990000}"/>
    <cellStyle name="Currency 5 3 3 6 2 2 2" xfId="58146" xr:uid="{00000000-0005-0000-0000-00007A990000}"/>
    <cellStyle name="Currency 5 3 3 6 2 3" xfId="43647" xr:uid="{00000000-0005-0000-0000-00007B990000}"/>
    <cellStyle name="Currency 5 3 3 6 3" xfId="21892" xr:uid="{00000000-0005-0000-0000-00007C990000}"/>
    <cellStyle name="Currency 5 3 3 6 3 2" xfId="50898" xr:uid="{00000000-0005-0000-0000-00007D990000}"/>
    <cellStyle name="Currency 5 3 3 6 4" xfId="36399" xr:uid="{00000000-0005-0000-0000-00007E990000}"/>
    <cellStyle name="Currency 5 3 3 7" xfId="8398" xr:uid="{00000000-0005-0000-0000-00007F990000}"/>
    <cellStyle name="Currency 5 3 3 7 2" xfId="22932" xr:uid="{00000000-0005-0000-0000-000080990000}"/>
    <cellStyle name="Currency 5 3 3 7 2 2" xfId="51938" xr:uid="{00000000-0005-0000-0000-000081990000}"/>
    <cellStyle name="Currency 5 3 3 7 3" xfId="37439" xr:uid="{00000000-0005-0000-0000-000082990000}"/>
    <cellStyle name="Currency 5 3 3 8" xfId="15684" xr:uid="{00000000-0005-0000-0000-000083990000}"/>
    <cellStyle name="Currency 5 3 3 8 2" xfId="44690" xr:uid="{00000000-0005-0000-0000-000084990000}"/>
    <cellStyle name="Currency 5 3 3 9" xfId="30191" xr:uid="{00000000-0005-0000-0000-000085990000}"/>
    <cellStyle name="Currency 5 3 4" xfId="1030" xr:uid="{00000000-0005-0000-0000-000086990000}"/>
    <cellStyle name="Currency 5 3 4 2" xfId="1520" xr:uid="{00000000-0005-0000-0000-000087990000}"/>
    <cellStyle name="Currency 5 3 4 2 2" xfId="2578" xr:uid="{00000000-0005-0000-0000-000088990000}"/>
    <cellStyle name="Currency 5 3 4 2 2 2" xfId="5682" xr:uid="{00000000-0005-0000-0000-000089990000}"/>
    <cellStyle name="Currency 5 3 4 2 2 2 2" xfId="12954" xr:uid="{00000000-0005-0000-0000-00008A990000}"/>
    <cellStyle name="Currency 5 3 4 2 2 2 2 2" xfId="27488" xr:uid="{00000000-0005-0000-0000-00008B990000}"/>
    <cellStyle name="Currency 5 3 4 2 2 2 2 2 2" xfId="56494" xr:uid="{00000000-0005-0000-0000-00008C990000}"/>
    <cellStyle name="Currency 5 3 4 2 2 2 2 3" xfId="41995" xr:uid="{00000000-0005-0000-0000-00008D990000}"/>
    <cellStyle name="Currency 5 3 4 2 2 2 3" xfId="20240" xr:uid="{00000000-0005-0000-0000-00008E990000}"/>
    <cellStyle name="Currency 5 3 4 2 2 2 3 2" xfId="49246" xr:uid="{00000000-0005-0000-0000-00008F990000}"/>
    <cellStyle name="Currency 5 3 4 2 2 2 4" xfId="34747" xr:uid="{00000000-0005-0000-0000-000090990000}"/>
    <cellStyle name="Currency 5 3 4 2 2 3" xfId="9850" xr:uid="{00000000-0005-0000-0000-000091990000}"/>
    <cellStyle name="Currency 5 3 4 2 2 3 2" xfId="24384" xr:uid="{00000000-0005-0000-0000-000092990000}"/>
    <cellStyle name="Currency 5 3 4 2 2 3 2 2" xfId="53390" xr:uid="{00000000-0005-0000-0000-000093990000}"/>
    <cellStyle name="Currency 5 3 4 2 2 3 3" xfId="38891" xr:uid="{00000000-0005-0000-0000-000094990000}"/>
    <cellStyle name="Currency 5 3 4 2 2 4" xfId="17136" xr:uid="{00000000-0005-0000-0000-000095990000}"/>
    <cellStyle name="Currency 5 3 4 2 2 4 2" xfId="46142" xr:uid="{00000000-0005-0000-0000-000096990000}"/>
    <cellStyle name="Currency 5 3 4 2 2 5" xfId="31643" xr:uid="{00000000-0005-0000-0000-000097990000}"/>
    <cellStyle name="Currency 5 3 4 2 3" xfId="3610" xr:uid="{00000000-0005-0000-0000-000098990000}"/>
    <cellStyle name="Currency 5 3 4 2 3 2" xfId="6714" xr:uid="{00000000-0005-0000-0000-000099990000}"/>
    <cellStyle name="Currency 5 3 4 2 3 2 2" xfId="13986" xr:uid="{00000000-0005-0000-0000-00009A990000}"/>
    <cellStyle name="Currency 5 3 4 2 3 2 2 2" xfId="28520" xr:uid="{00000000-0005-0000-0000-00009B990000}"/>
    <cellStyle name="Currency 5 3 4 2 3 2 2 2 2" xfId="57526" xr:uid="{00000000-0005-0000-0000-00009C990000}"/>
    <cellStyle name="Currency 5 3 4 2 3 2 2 3" xfId="43027" xr:uid="{00000000-0005-0000-0000-00009D990000}"/>
    <cellStyle name="Currency 5 3 4 2 3 2 3" xfId="21272" xr:uid="{00000000-0005-0000-0000-00009E990000}"/>
    <cellStyle name="Currency 5 3 4 2 3 2 3 2" xfId="50278" xr:uid="{00000000-0005-0000-0000-00009F990000}"/>
    <cellStyle name="Currency 5 3 4 2 3 2 4" xfId="35779" xr:uid="{00000000-0005-0000-0000-0000A0990000}"/>
    <cellStyle name="Currency 5 3 4 2 3 3" xfId="10882" xr:uid="{00000000-0005-0000-0000-0000A1990000}"/>
    <cellStyle name="Currency 5 3 4 2 3 3 2" xfId="25416" xr:uid="{00000000-0005-0000-0000-0000A2990000}"/>
    <cellStyle name="Currency 5 3 4 2 3 3 2 2" xfId="54422" xr:uid="{00000000-0005-0000-0000-0000A3990000}"/>
    <cellStyle name="Currency 5 3 4 2 3 3 3" xfId="39923" xr:uid="{00000000-0005-0000-0000-0000A4990000}"/>
    <cellStyle name="Currency 5 3 4 2 3 4" xfId="18168" xr:uid="{00000000-0005-0000-0000-0000A5990000}"/>
    <cellStyle name="Currency 5 3 4 2 3 4 2" xfId="47174" xr:uid="{00000000-0005-0000-0000-0000A6990000}"/>
    <cellStyle name="Currency 5 3 4 2 3 5" xfId="32675" xr:uid="{00000000-0005-0000-0000-0000A7990000}"/>
    <cellStyle name="Currency 5 3 4 2 4" xfId="4642" xr:uid="{00000000-0005-0000-0000-0000A8990000}"/>
    <cellStyle name="Currency 5 3 4 2 4 2" xfId="11914" xr:uid="{00000000-0005-0000-0000-0000A9990000}"/>
    <cellStyle name="Currency 5 3 4 2 4 2 2" xfId="26448" xr:uid="{00000000-0005-0000-0000-0000AA990000}"/>
    <cellStyle name="Currency 5 3 4 2 4 2 2 2" xfId="55454" xr:uid="{00000000-0005-0000-0000-0000AB990000}"/>
    <cellStyle name="Currency 5 3 4 2 4 2 3" xfId="40955" xr:uid="{00000000-0005-0000-0000-0000AC990000}"/>
    <cellStyle name="Currency 5 3 4 2 4 3" xfId="19200" xr:uid="{00000000-0005-0000-0000-0000AD990000}"/>
    <cellStyle name="Currency 5 3 4 2 4 3 2" xfId="48206" xr:uid="{00000000-0005-0000-0000-0000AE990000}"/>
    <cellStyle name="Currency 5 3 4 2 4 4" xfId="33707" xr:uid="{00000000-0005-0000-0000-0000AF990000}"/>
    <cellStyle name="Currency 5 3 4 2 5" xfId="7746" xr:uid="{00000000-0005-0000-0000-0000B0990000}"/>
    <cellStyle name="Currency 5 3 4 2 5 2" xfId="15018" xr:uid="{00000000-0005-0000-0000-0000B1990000}"/>
    <cellStyle name="Currency 5 3 4 2 5 2 2" xfId="29552" xr:uid="{00000000-0005-0000-0000-0000B2990000}"/>
    <cellStyle name="Currency 5 3 4 2 5 2 2 2" xfId="58558" xr:uid="{00000000-0005-0000-0000-0000B3990000}"/>
    <cellStyle name="Currency 5 3 4 2 5 2 3" xfId="44059" xr:uid="{00000000-0005-0000-0000-0000B4990000}"/>
    <cellStyle name="Currency 5 3 4 2 5 3" xfId="22304" xr:uid="{00000000-0005-0000-0000-0000B5990000}"/>
    <cellStyle name="Currency 5 3 4 2 5 3 2" xfId="51310" xr:uid="{00000000-0005-0000-0000-0000B6990000}"/>
    <cellStyle name="Currency 5 3 4 2 5 4" xfId="36811" xr:uid="{00000000-0005-0000-0000-0000B7990000}"/>
    <cellStyle name="Currency 5 3 4 2 6" xfId="8810" xr:uid="{00000000-0005-0000-0000-0000B8990000}"/>
    <cellStyle name="Currency 5 3 4 2 6 2" xfId="23344" xr:uid="{00000000-0005-0000-0000-0000B9990000}"/>
    <cellStyle name="Currency 5 3 4 2 6 2 2" xfId="52350" xr:uid="{00000000-0005-0000-0000-0000BA990000}"/>
    <cellStyle name="Currency 5 3 4 2 6 3" xfId="37851" xr:uid="{00000000-0005-0000-0000-0000BB990000}"/>
    <cellStyle name="Currency 5 3 4 2 7" xfId="16096" xr:uid="{00000000-0005-0000-0000-0000BC990000}"/>
    <cellStyle name="Currency 5 3 4 2 7 2" xfId="45102" xr:uid="{00000000-0005-0000-0000-0000BD990000}"/>
    <cellStyle name="Currency 5 3 4 2 8" xfId="30603" xr:uid="{00000000-0005-0000-0000-0000BE990000}"/>
    <cellStyle name="Currency 5 3 4 3" xfId="2066" xr:uid="{00000000-0005-0000-0000-0000BF990000}"/>
    <cellStyle name="Currency 5 3 4 3 2" xfId="5170" xr:uid="{00000000-0005-0000-0000-0000C0990000}"/>
    <cellStyle name="Currency 5 3 4 3 2 2" xfId="12442" xr:uid="{00000000-0005-0000-0000-0000C1990000}"/>
    <cellStyle name="Currency 5 3 4 3 2 2 2" xfId="26976" xr:uid="{00000000-0005-0000-0000-0000C2990000}"/>
    <cellStyle name="Currency 5 3 4 3 2 2 2 2" xfId="55982" xr:uid="{00000000-0005-0000-0000-0000C3990000}"/>
    <cellStyle name="Currency 5 3 4 3 2 2 3" xfId="41483" xr:uid="{00000000-0005-0000-0000-0000C4990000}"/>
    <cellStyle name="Currency 5 3 4 3 2 3" xfId="19728" xr:uid="{00000000-0005-0000-0000-0000C5990000}"/>
    <cellStyle name="Currency 5 3 4 3 2 3 2" xfId="48734" xr:uid="{00000000-0005-0000-0000-0000C6990000}"/>
    <cellStyle name="Currency 5 3 4 3 2 4" xfId="34235" xr:uid="{00000000-0005-0000-0000-0000C7990000}"/>
    <cellStyle name="Currency 5 3 4 3 3" xfId="9338" xr:uid="{00000000-0005-0000-0000-0000C8990000}"/>
    <cellStyle name="Currency 5 3 4 3 3 2" xfId="23872" xr:uid="{00000000-0005-0000-0000-0000C9990000}"/>
    <cellStyle name="Currency 5 3 4 3 3 2 2" xfId="52878" xr:uid="{00000000-0005-0000-0000-0000CA990000}"/>
    <cellStyle name="Currency 5 3 4 3 3 3" xfId="38379" xr:uid="{00000000-0005-0000-0000-0000CB990000}"/>
    <cellStyle name="Currency 5 3 4 3 4" xfId="16624" xr:uid="{00000000-0005-0000-0000-0000CC990000}"/>
    <cellStyle name="Currency 5 3 4 3 4 2" xfId="45630" xr:uid="{00000000-0005-0000-0000-0000CD990000}"/>
    <cellStyle name="Currency 5 3 4 3 5" xfId="31131" xr:uid="{00000000-0005-0000-0000-0000CE990000}"/>
    <cellStyle name="Currency 5 3 4 4" xfId="3098" xr:uid="{00000000-0005-0000-0000-0000CF990000}"/>
    <cellStyle name="Currency 5 3 4 4 2" xfId="6202" xr:uid="{00000000-0005-0000-0000-0000D0990000}"/>
    <cellStyle name="Currency 5 3 4 4 2 2" xfId="13474" xr:uid="{00000000-0005-0000-0000-0000D1990000}"/>
    <cellStyle name="Currency 5 3 4 4 2 2 2" xfId="28008" xr:uid="{00000000-0005-0000-0000-0000D2990000}"/>
    <cellStyle name="Currency 5 3 4 4 2 2 2 2" xfId="57014" xr:uid="{00000000-0005-0000-0000-0000D3990000}"/>
    <cellStyle name="Currency 5 3 4 4 2 2 3" xfId="42515" xr:uid="{00000000-0005-0000-0000-0000D4990000}"/>
    <cellStyle name="Currency 5 3 4 4 2 3" xfId="20760" xr:uid="{00000000-0005-0000-0000-0000D5990000}"/>
    <cellStyle name="Currency 5 3 4 4 2 3 2" xfId="49766" xr:uid="{00000000-0005-0000-0000-0000D6990000}"/>
    <cellStyle name="Currency 5 3 4 4 2 4" xfId="35267" xr:uid="{00000000-0005-0000-0000-0000D7990000}"/>
    <cellStyle name="Currency 5 3 4 4 3" xfId="10370" xr:uid="{00000000-0005-0000-0000-0000D8990000}"/>
    <cellStyle name="Currency 5 3 4 4 3 2" xfId="24904" xr:uid="{00000000-0005-0000-0000-0000D9990000}"/>
    <cellStyle name="Currency 5 3 4 4 3 2 2" xfId="53910" xr:uid="{00000000-0005-0000-0000-0000DA990000}"/>
    <cellStyle name="Currency 5 3 4 4 3 3" xfId="39411" xr:uid="{00000000-0005-0000-0000-0000DB990000}"/>
    <cellStyle name="Currency 5 3 4 4 4" xfId="17656" xr:uid="{00000000-0005-0000-0000-0000DC990000}"/>
    <cellStyle name="Currency 5 3 4 4 4 2" xfId="46662" xr:uid="{00000000-0005-0000-0000-0000DD990000}"/>
    <cellStyle name="Currency 5 3 4 4 5" xfId="32163" xr:uid="{00000000-0005-0000-0000-0000DE990000}"/>
    <cellStyle name="Currency 5 3 4 5" xfId="4130" xr:uid="{00000000-0005-0000-0000-0000DF990000}"/>
    <cellStyle name="Currency 5 3 4 5 2" xfId="11402" xr:uid="{00000000-0005-0000-0000-0000E0990000}"/>
    <cellStyle name="Currency 5 3 4 5 2 2" xfId="25936" xr:uid="{00000000-0005-0000-0000-0000E1990000}"/>
    <cellStyle name="Currency 5 3 4 5 2 2 2" xfId="54942" xr:uid="{00000000-0005-0000-0000-0000E2990000}"/>
    <cellStyle name="Currency 5 3 4 5 2 3" xfId="40443" xr:uid="{00000000-0005-0000-0000-0000E3990000}"/>
    <cellStyle name="Currency 5 3 4 5 3" xfId="18688" xr:uid="{00000000-0005-0000-0000-0000E4990000}"/>
    <cellStyle name="Currency 5 3 4 5 3 2" xfId="47694" xr:uid="{00000000-0005-0000-0000-0000E5990000}"/>
    <cellStyle name="Currency 5 3 4 5 4" xfId="33195" xr:uid="{00000000-0005-0000-0000-0000E6990000}"/>
    <cellStyle name="Currency 5 3 4 6" xfId="7234" xr:uid="{00000000-0005-0000-0000-0000E7990000}"/>
    <cellStyle name="Currency 5 3 4 6 2" xfId="14506" xr:uid="{00000000-0005-0000-0000-0000E8990000}"/>
    <cellStyle name="Currency 5 3 4 6 2 2" xfId="29040" xr:uid="{00000000-0005-0000-0000-0000E9990000}"/>
    <cellStyle name="Currency 5 3 4 6 2 2 2" xfId="58046" xr:uid="{00000000-0005-0000-0000-0000EA990000}"/>
    <cellStyle name="Currency 5 3 4 6 2 3" xfId="43547" xr:uid="{00000000-0005-0000-0000-0000EB990000}"/>
    <cellStyle name="Currency 5 3 4 6 3" xfId="21792" xr:uid="{00000000-0005-0000-0000-0000EC990000}"/>
    <cellStyle name="Currency 5 3 4 6 3 2" xfId="50798" xr:uid="{00000000-0005-0000-0000-0000ED990000}"/>
    <cellStyle name="Currency 5 3 4 6 4" xfId="36299" xr:uid="{00000000-0005-0000-0000-0000EE990000}"/>
    <cellStyle name="Currency 5 3 4 7" xfId="8298" xr:uid="{00000000-0005-0000-0000-0000EF990000}"/>
    <cellStyle name="Currency 5 3 4 7 2" xfId="22832" xr:uid="{00000000-0005-0000-0000-0000F0990000}"/>
    <cellStyle name="Currency 5 3 4 7 2 2" xfId="51838" xr:uid="{00000000-0005-0000-0000-0000F1990000}"/>
    <cellStyle name="Currency 5 3 4 7 3" xfId="37339" xr:uid="{00000000-0005-0000-0000-0000F2990000}"/>
    <cellStyle name="Currency 5 3 4 8" xfId="15584" xr:uid="{00000000-0005-0000-0000-0000F3990000}"/>
    <cellStyle name="Currency 5 3 4 8 2" xfId="44590" xr:uid="{00000000-0005-0000-0000-0000F4990000}"/>
    <cellStyle name="Currency 5 3 4 9" xfId="30091" xr:uid="{00000000-0005-0000-0000-0000F5990000}"/>
    <cellStyle name="Currency 5 3 5" xfId="1315" xr:uid="{00000000-0005-0000-0000-0000F6990000}"/>
    <cellStyle name="Currency 5 3 5 2" xfId="2372" xr:uid="{00000000-0005-0000-0000-0000F7990000}"/>
    <cellStyle name="Currency 5 3 5 2 2" xfId="5476" xr:uid="{00000000-0005-0000-0000-0000F8990000}"/>
    <cellStyle name="Currency 5 3 5 2 2 2" xfId="12748" xr:uid="{00000000-0005-0000-0000-0000F9990000}"/>
    <cellStyle name="Currency 5 3 5 2 2 2 2" xfId="27282" xr:uid="{00000000-0005-0000-0000-0000FA990000}"/>
    <cellStyle name="Currency 5 3 5 2 2 2 2 2" xfId="56288" xr:uid="{00000000-0005-0000-0000-0000FB990000}"/>
    <cellStyle name="Currency 5 3 5 2 2 2 3" xfId="41789" xr:uid="{00000000-0005-0000-0000-0000FC990000}"/>
    <cellStyle name="Currency 5 3 5 2 2 3" xfId="20034" xr:uid="{00000000-0005-0000-0000-0000FD990000}"/>
    <cellStyle name="Currency 5 3 5 2 2 3 2" xfId="49040" xr:uid="{00000000-0005-0000-0000-0000FE990000}"/>
    <cellStyle name="Currency 5 3 5 2 2 4" xfId="34541" xr:uid="{00000000-0005-0000-0000-0000FF990000}"/>
    <cellStyle name="Currency 5 3 5 2 3" xfId="9644" xr:uid="{00000000-0005-0000-0000-0000009A0000}"/>
    <cellStyle name="Currency 5 3 5 2 3 2" xfId="24178" xr:uid="{00000000-0005-0000-0000-0000019A0000}"/>
    <cellStyle name="Currency 5 3 5 2 3 2 2" xfId="53184" xr:uid="{00000000-0005-0000-0000-0000029A0000}"/>
    <cellStyle name="Currency 5 3 5 2 3 3" xfId="38685" xr:uid="{00000000-0005-0000-0000-0000039A0000}"/>
    <cellStyle name="Currency 5 3 5 2 4" xfId="16930" xr:uid="{00000000-0005-0000-0000-0000049A0000}"/>
    <cellStyle name="Currency 5 3 5 2 4 2" xfId="45936" xr:uid="{00000000-0005-0000-0000-0000059A0000}"/>
    <cellStyle name="Currency 5 3 5 2 5" xfId="31437" xr:uid="{00000000-0005-0000-0000-0000069A0000}"/>
    <cellStyle name="Currency 5 3 5 3" xfId="3404" xr:uid="{00000000-0005-0000-0000-0000079A0000}"/>
    <cellStyle name="Currency 5 3 5 3 2" xfId="6508" xr:uid="{00000000-0005-0000-0000-0000089A0000}"/>
    <cellStyle name="Currency 5 3 5 3 2 2" xfId="13780" xr:uid="{00000000-0005-0000-0000-0000099A0000}"/>
    <cellStyle name="Currency 5 3 5 3 2 2 2" xfId="28314" xr:uid="{00000000-0005-0000-0000-00000A9A0000}"/>
    <cellStyle name="Currency 5 3 5 3 2 2 2 2" xfId="57320" xr:uid="{00000000-0005-0000-0000-00000B9A0000}"/>
    <cellStyle name="Currency 5 3 5 3 2 2 3" xfId="42821" xr:uid="{00000000-0005-0000-0000-00000C9A0000}"/>
    <cellStyle name="Currency 5 3 5 3 2 3" xfId="21066" xr:uid="{00000000-0005-0000-0000-00000D9A0000}"/>
    <cellStyle name="Currency 5 3 5 3 2 3 2" xfId="50072" xr:uid="{00000000-0005-0000-0000-00000E9A0000}"/>
    <cellStyle name="Currency 5 3 5 3 2 4" xfId="35573" xr:uid="{00000000-0005-0000-0000-00000F9A0000}"/>
    <cellStyle name="Currency 5 3 5 3 3" xfId="10676" xr:uid="{00000000-0005-0000-0000-0000109A0000}"/>
    <cellStyle name="Currency 5 3 5 3 3 2" xfId="25210" xr:uid="{00000000-0005-0000-0000-0000119A0000}"/>
    <cellStyle name="Currency 5 3 5 3 3 2 2" xfId="54216" xr:uid="{00000000-0005-0000-0000-0000129A0000}"/>
    <cellStyle name="Currency 5 3 5 3 3 3" xfId="39717" xr:uid="{00000000-0005-0000-0000-0000139A0000}"/>
    <cellStyle name="Currency 5 3 5 3 4" xfId="17962" xr:uid="{00000000-0005-0000-0000-0000149A0000}"/>
    <cellStyle name="Currency 5 3 5 3 4 2" xfId="46968" xr:uid="{00000000-0005-0000-0000-0000159A0000}"/>
    <cellStyle name="Currency 5 3 5 3 5" xfId="32469" xr:uid="{00000000-0005-0000-0000-0000169A0000}"/>
    <cellStyle name="Currency 5 3 5 4" xfId="4436" xr:uid="{00000000-0005-0000-0000-0000179A0000}"/>
    <cellStyle name="Currency 5 3 5 4 2" xfId="11708" xr:uid="{00000000-0005-0000-0000-0000189A0000}"/>
    <cellStyle name="Currency 5 3 5 4 2 2" xfId="26242" xr:uid="{00000000-0005-0000-0000-0000199A0000}"/>
    <cellStyle name="Currency 5 3 5 4 2 2 2" xfId="55248" xr:uid="{00000000-0005-0000-0000-00001A9A0000}"/>
    <cellStyle name="Currency 5 3 5 4 2 3" xfId="40749" xr:uid="{00000000-0005-0000-0000-00001B9A0000}"/>
    <cellStyle name="Currency 5 3 5 4 3" xfId="18994" xr:uid="{00000000-0005-0000-0000-00001C9A0000}"/>
    <cellStyle name="Currency 5 3 5 4 3 2" xfId="48000" xr:uid="{00000000-0005-0000-0000-00001D9A0000}"/>
    <cellStyle name="Currency 5 3 5 4 4" xfId="33501" xr:uid="{00000000-0005-0000-0000-00001E9A0000}"/>
    <cellStyle name="Currency 5 3 5 5" xfId="7540" xr:uid="{00000000-0005-0000-0000-00001F9A0000}"/>
    <cellStyle name="Currency 5 3 5 5 2" xfId="14812" xr:uid="{00000000-0005-0000-0000-0000209A0000}"/>
    <cellStyle name="Currency 5 3 5 5 2 2" xfId="29346" xr:uid="{00000000-0005-0000-0000-0000219A0000}"/>
    <cellStyle name="Currency 5 3 5 5 2 2 2" xfId="58352" xr:uid="{00000000-0005-0000-0000-0000229A0000}"/>
    <cellStyle name="Currency 5 3 5 5 2 3" xfId="43853" xr:uid="{00000000-0005-0000-0000-0000239A0000}"/>
    <cellStyle name="Currency 5 3 5 5 3" xfId="22098" xr:uid="{00000000-0005-0000-0000-0000249A0000}"/>
    <cellStyle name="Currency 5 3 5 5 3 2" xfId="51104" xr:uid="{00000000-0005-0000-0000-0000259A0000}"/>
    <cellStyle name="Currency 5 3 5 5 4" xfId="36605" xr:uid="{00000000-0005-0000-0000-0000269A0000}"/>
    <cellStyle name="Currency 5 3 5 6" xfId="8604" xr:uid="{00000000-0005-0000-0000-0000279A0000}"/>
    <cellStyle name="Currency 5 3 5 6 2" xfId="23138" xr:uid="{00000000-0005-0000-0000-0000289A0000}"/>
    <cellStyle name="Currency 5 3 5 6 2 2" xfId="52144" xr:uid="{00000000-0005-0000-0000-0000299A0000}"/>
    <cellStyle name="Currency 5 3 5 6 3" xfId="37645" xr:uid="{00000000-0005-0000-0000-00002A9A0000}"/>
    <cellStyle name="Currency 5 3 5 7" xfId="15890" xr:uid="{00000000-0005-0000-0000-00002B9A0000}"/>
    <cellStyle name="Currency 5 3 5 7 2" xfId="44896" xr:uid="{00000000-0005-0000-0000-00002C9A0000}"/>
    <cellStyle name="Currency 5 3 5 8" xfId="30397" xr:uid="{00000000-0005-0000-0000-00002D9A0000}"/>
    <cellStyle name="Currency 5 3 6" xfId="1860" xr:uid="{00000000-0005-0000-0000-00002E9A0000}"/>
    <cellStyle name="Currency 5 3 6 2" xfId="4964" xr:uid="{00000000-0005-0000-0000-00002F9A0000}"/>
    <cellStyle name="Currency 5 3 6 2 2" xfId="12236" xr:uid="{00000000-0005-0000-0000-0000309A0000}"/>
    <cellStyle name="Currency 5 3 6 2 2 2" xfId="26770" xr:uid="{00000000-0005-0000-0000-0000319A0000}"/>
    <cellStyle name="Currency 5 3 6 2 2 2 2" xfId="55776" xr:uid="{00000000-0005-0000-0000-0000329A0000}"/>
    <cellStyle name="Currency 5 3 6 2 2 3" xfId="41277" xr:uid="{00000000-0005-0000-0000-0000339A0000}"/>
    <cellStyle name="Currency 5 3 6 2 3" xfId="19522" xr:uid="{00000000-0005-0000-0000-0000349A0000}"/>
    <cellStyle name="Currency 5 3 6 2 3 2" xfId="48528" xr:uid="{00000000-0005-0000-0000-0000359A0000}"/>
    <cellStyle name="Currency 5 3 6 2 4" xfId="34029" xr:uid="{00000000-0005-0000-0000-0000369A0000}"/>
    <cellStyle name="Currency 5 3 6 3" xfId="9132" xr:uid="{00000000-0005-0000-0000-0000379A0000}"/>
    <cellStyle name="Currency 5 3 6 3 2" xfId="23666" xr:uid="{00000000-0005-0000-0000-0000389A0000}"/>
    <cellStyle name="Currency 5 3 6 3 2 2" xfId="52672" xr:uid="{00000000-0005-0000-0000-0000399A0000}"/>
    <cellStyle name="Currency 5 3 6 3 3" xfId="38173" xr:uid="{00000000-0005-0000-0000-00003A9A0000}"/>
    <cellStyle name="Currency 5 3 6 4" xfId="16418" xr:uid="{00000000-0005-0000-0000-00003B9A0000}"/>
    <cellStyle name="Currency 5 3 6 4 2" xfId="45424" xr:uid="{00000000-0005-0000-0000-00003C9A0000}"/>
    <cellStyle name="Currency 5 3 6 5" xfId="30925" xr:uid="{00000000-0005-0000-0000-00003D9A0000}"/>
    <cellStyle name="Currency 5 3 7" xfId="2892" xr:uid="{00000000-0005-0000-0000-00003E9A0000}"/>
    <cellStyle name="Currency 5 3 7 2" xfId="5996" xr:uid="{00000000-0005-0000-0000-00003F9A0000}"/>
    <cellStyle name="Currency 5 3 7 2 2" xfId="13268" xr:uid="{00000000-0005-0000-0000-0000409A0000}"/>
    <cellStyle name="Currency 5 3 7 2 2 2" xfId="27802" xr:uid="{00000000-0005-0000-0000-0000419A0000}"/>
    <cellStyle name="Currency 5 3 7 2 2 2 2" xfId="56808" xr:uid="{00000000-0005-0000-0000-0000429A0000}"/>
    <cellStyle name="Currency 5 3 7 2 2 3" xfId="42309" xr:uid="{00000000-0005-0000-0000-0000439A0000}"/>
    <cellStyle name="Currency 5 3 7 2 3" xfId="20554" xr:uid="{00000000-0005-0000-0000-0000449A0000}"/>
    <cellStyle name="Currency 5 3 7 2 3 2" xfId="49560" xr:uid="{00000000-0005-0000-0000-0000459A0000}"/>
    <cellStyle name="Currency 5 3 7 2 4" xfId="35061" xr:uid="{00000000-0005-0000-0000-0000469A0000}"/>
    <cellStyle name="Currency 5 3 7 3" xfId="10164" xr:uid="{00000000-0005-0000-0000-0000479A0000}"/>
    <cellStyle name="Currency 5 3 7 3 2" xfId="24698" xr:uid="{00000000-0005-0000-0000-0000489A0000}"/>
    <cellStyle name="Currency 5 3 7 3 2 2" xfId="53704" xr:uid="{00000000-0005-0000-0000-0000499A0000}"/>
    <cellStyle name="Currency 5 3 7 3 3" xfId="39205" xr:uid="{00000000-0005-0000-0000-00004A9A0000}"/>
    <cellStyle name="Currency 5 3 7 4" xfId="17450" xr:uid="{00000000-0005-0000-0000-00004B9A0000}"/>
    <cellStyle name="Currency 5 3 7 4 2" xfId="46456" xr:uid="{00000000-0005-0000-0000-00004C9A0000}"/>
    <cellStyle name="Currency 5 3 7 5" xfId="31957" xr:uid="{00000000-0005-0000-0000-00004D9A0000}"/>
    <cellStyle name="Currency 5 3 8" xfId="3924" xr:uid="{00000000-0005-0000-0000-00004E9A0000}"/>
    <cellStyle name="Currency 5 3 8 2" xfId="11196" xr:uid="{00000000-0005-0000-0000-00004F9A0000}"/>
    <cellStyle name="Currency 5 3 8 2 2" xfId="25730" xr:uid="{00000000-0005-0000-0000-0000509A0000}"/>
    <cellStyle name="Currency 5 3 8 2 2 2" xfId="54736" xr:uid="{00000000-0005-0000-0000-0000519A0000}"/>
    <cellStyle name="Currency 5 3 8 2 3" xfId="40237" xr:uid="{00000000-0005-0000-0000-0000529A0000}"/>
    <cellStyle name="Currency 5 3 8 3" xfId="18482" xr:uid="{00000000-0005-0000-0000-0000539A0000}"/>
    <cellStyle name="Currency 5 3 8 3 2" xfId="47488" xr:uid="{00000000-0005-0000-0000-0000549A0000}"/>
    <cellStyle name="Currency 5 3 8 4" xfId="32989" xr:uid="{00000000-0005-0000-0000-0000559A0000}"/>
    <cellStyle name="Currency 5 3 9" xfId="7028" xr:uid="{00000000-0005-0000-0000-0000569A0000}"/>
    <cellStyle name="Currency 5 3 9 2" xfId="14300" xr:uid="{00000000-0005-0000-0000-0000579A0000}"/>
    <cellStyle name="Currency 5 3 9 2 2" xfId="28834" xr:uid="{00000000-0005-0000-0000-0000589A0000}"/>
    <cellStyle name="Currency 5 3 9 2 2 2" xfId="57840" xr:uid="{00000000-0005-0000-0000-0000599A0000}"/>
    <cellStyle name="Currency 5 3 9 2 3" xfId="43341" xr:uid="{00000000-0005-0000-0000-00005A9A0000}"/>
    <cellStyle name="Currency 5 3 9 3" xfId="21586" xr:uid="{00000000-0005-0000-0000-00005B9A0000}"/>
    <cellStyle name="Currency 5 3 9 3 2" xfId="50592" xr:uid="{00000000-0005-0000-0000-00005C9A0000}"/>
    <cellStyle name="Currency 5 3 9 4" xfId="36093" xr:uid="{00000000-0005-0000-0000-00005D9A0000}"/>
    <cellStyle name="Currency 5 4" xfId="182" xr:uid="{00000000-0005-0000-0000-00005E9A0000}"/>
    <cellStyle name="Currency 5 4 10" xfId="29936" xr:uid="{00000000-0005-0000-0000-00005F9A0000}"/>
    <cellStyle name="Currency 5 4 11" xfId="58897" xr:uid="{00000000-0005-0000-0000-0000609A0000}"/>
    <cellStyle name="Currency 5 4 12" xfId="59006" xr:uid="{00000000-0005-0000-0000-0000619A0000}"/>
    <cellStyle name="Currency 5 4 13" xfId="59230" xr:uid="{00000000-0005-0000-0000-0000629A0000}"/>
    <cellStyle name="Currency 5 4 2" xfId="509" xr:uid="{00000000-0005-0000-0000-0000639A0000}"/>
    <cellStyle name="Currency 5 4 2 10" xfId="59368" xr:uid="{00000000-0005-0000-0000-0000649A0000}"/>
    <cellStyle name="Currency 5 4 2 2" xfId="1670" xr:uid="{00000000-0005-0000-0000-0000659A0000}"/>
    <cellStyle name="Currency 5 4 2 2 2" xfId="2729" xr:uid="{00000000-0005-0000-0000-0000669A0000}"/>
    <cellStyle name="Currency 5 4 2 2 2 2" xfId="5833" xr:uid="{00000000-0005-0000-0000-0000679A0000}"/>
    <cellStyle name="Currency 5 4 2 2 2 2 2" xfId="13105" xr:uid="{00000000-0005-0000-0000-0000689A0000}"/>
    <cellStyle name="Currency 5 4 2 2 2 2 2 2" xfId="27639" xr:uid="{00000000-0005-0000-0000-0000699A0000}"/>
    <cellStyle name="Currency 5 4 2 2 2 2 2 2 2" xfId="56645" xr:uid="{00000000-0005-0000-0000-00006A9A0000}"/>
    <cellStyle name="Currency 5 4 2 2 2 2 2 3" xfId="42146" xr:uid="{00000000-0005-0000-0000-00006B9A0000}"/>
    <cellStyle name="Currency 5 4 2 2 2 2 3" xfId="20391" xr:uid="{00000000-0005-0000-0000-00006C9A0000}"/>
    <cellStyle name="Currency 5 4 2 2 2 2 3 2" xfId="49397" xr:uid="{00000000-0005-0000-0000-00006D9A0000}"/>
    <cellStyle name="Currency 5 4 2 2 2 2 4" xfId="34898" xr:uid="{00000000-0005-0000-0000-00006E9A0000}"/>
    <cellStyle name="Currency 5 4 2 2 2 3" xfId="10001" xr:uid="{00000000-0005-0000-0000-00006F9A0000}"/>
    <cellStyle name="Currency 5 4 2 2 2 3 2" xfId="24535" xr:uid="{00000000-0005-0000-0000-0000709A0000}"/>
    <cellStyle name="Currency 5 4 2 2 2 3 2 2" xfId="53541" xr:uid="{00000000-0005-0000-0000-0000719A0000}"/>
    <cellStyle name="Currency 5 4 2 2 2 3 3" xfId="39042" xr:uid="{00000000-0005-0000-0000-0000729A0000}"/>
    <cellStyle name="Currency 5 4 2 2 2 4" xfId="17287" xr:uid="{00000000-0005-0000-0000-0000739A0000}"/>
    <cellStyle name="Currency 5 4 2 2 2 4 2" xfId="46293" xr:uid="{00000000-0005-0000-0000-0000749A0000}"/>
    <cellStyle name="Currency 5 4 2 2 2 5" xfId="31794" xr:uid="{00000000-0005-0000-0000-0000759A0000}"/>
    <cellStyle name="Currency 5 4 2 2 3" xfId="3761" xr:uid="{00000000-0005-0000-0000-0000769A0000}"/>
    <cellStyle name="Currency 5 4 2 2 3 2" xfId="6865" xr:uid="{00000000-0005-0000-0000-0000779A0000}"/>
    <cellStyle name="Currency 5 4 2 2 3 2 2" xfId="14137" xr:uid="{00000000-0005-0000-0000-0000789A0000}"/>
    <cellStyle name="Currency 5 4 2 2 3 2 2 2" xfId="28671" xr:uid="{00000000-0005-0000-0000-0000799A0000}"/>
    <cellStyle name="Currency 5 4 2 2 3 2 2 2 2" xfId="57677" xr:uid="{00000000-0005-0000-0000-00007A9A0000}"/>
    <cellStyle name="Currency 5 4 2 2 3 2 2 3" xfId="43178" xr:uid="{00000000-0005-0000-0000-00007B9A0000}"/>
    <cellStyle name="Currency 5 4 2 2 3 2 3" xfId="21423" xr:uid="{00000000-0005-0000-0000-00007C9A0000}"/>
    <cellStyle name="Currency 5 4 2 2 3 2 3 2" xfId="50429" xr:uid="{00000000-0005-0000-0000-00007D9A0000}"/>
    <cellStyle name="Currency 5 4 2 2 3 2 4" xfId="35930" xr:uid="{00000000-0005-0000-0000-00007E9A0000}"/>
    <cellStyle name="Currency 5 4 2 2 3 3" xfId="11033" xr:uid="{00000000-0005-0000-0000-00007F9A0000}"/>
    <cellStyle name="Currency 5 4 2 2 3 3 2" xfId="25567" xr:uid="{00000000-0005-0000-0000-0000809A0000}"/>
    <cellStyle name="Currency 5 4 2 2 3 3 2 2" xfId="54573" xr:uid="{00000000-0005-0000-0000-0000819A0000}"/>
    <cellStyle name="Currency 5 4 2 2 3 3 3" xfId="40074" xr:uid="{00000000-0005-0000-0000-0000829A0000}"/>
    <cellStyle name="Currency 5 4 2 2 3 4" xfId="18319" xr:uid="{00000000-0005-0000-0000-0000839A0000}"/>
    <cellStyle name="Currency 5 4 2 2 3 4 2" xfId="47325" xr:uid="{00000000-0005-0000-0000-0000849A0000}"/>
    <cellStyle name="Currency 5 4 2 2 3 5" xfId="32826" xr:uid="{00000000-0005-0000-0000-0000859A0000}"/>
    <cellStyle name="Currency 5 4 2 2 4" xfId="4793" xr:uid="{00000000-0005-0000-0000-0000869A0000}"/>
    <cellStyle name="Currency 5 4 2 2 4 2" xfId="12065" xr:uid="{00000000-0005-0000-0000-0000879A0000}"/>
    <cellStyle name="Currency 5 4 2 2 4 2 2" xfId="26599" xr:uid="{00000000-0005-0000-0000-0000889A0000}"/>
    <cellStyle name="Currency 5 4 2 2 4 2 2 2" xfId="55605" xr:uid="{00000000-0005-0000-0000-0000899A0000}"/>
    <cellStyle name="Currency 5 4 2 2 4 2 3" xfId="41106" xr:uid="{00000000-0005-0000-0000-00008A9A0000}"/>
    <cellStyle name="Currency 5 4 2 2 4 3" xfId="19351" xr:uid="{00000000-0005-0000-0000-00008B9A0000}"/>
    <cellStyle name="Currency 5 4 2 2 4 3 2" xfId="48357" xr:uid="{00000000-0005-0000-0000-00008C9A0000}"/>
    <cellStyle name="Currency 5 4 2 2 4 4" xfId="33858" xr:uid="{00000000-0005-0000-0000-00008D9A0000}"/>
    <cellStyle name="Currency 5 4 2 2 5" xfId="7897" xr:uid="{00000000-0005-0000-0000-00008E9A0000}"/>
    <cellStyle name="Currency 5 4 2 2 5 2" xfId="15169" xr:uid="{00000000-0005-0000-0000-00008F9A0000}"/>
    <cellStyle name="Currency 5 4 2 2 5 2 2" xfId="29703" xr:uid="{00000000-0005-0000-0000-0000909A0000}"/>
    <cellStyle name="Currency 5 4 2 2 5 2 2 2" xfId="58709" xr:uid="{00000000-0005-0000-0000-0000919A0000}"/>
    <cellStyle name="Currency 5 4 2 2 5 2 3" xfId="44210" xr:uid="{00000000-0005-0000-0000-0000929A0000}"/>
    <cellStyle name="Currency 5 4 2 2 5 3" xfId="22455" xr:uid="{00000000-0005-0000-0000-0000939A0000}"/>
    <cellStyle name="Currency 5 4 2 2 5 3 2" xfId="51461" xr:uid="{00000000-0005-0000-0000-0000949A0000}"/>
    <cellStyle name="Currency 5 4 2 2 5 4" xfId="36962" xr:uid="{00000000-0005-0000-0000-0000959A0000}"/>
    <cellStyle name="Currency 5 4 2 2 6" xfId="8961" xr:uid="{00000000-0005-0000-0000-0000969A0000}"/>
    <cellStyle name="Currency 5 4 2 2 6 2" xfId="23495" xr:uid="{00000000-0005-0000-0000-0000979A0000}"/>
    <cellStyle name="Currency 5 4 2 2 6 2 2" xfId="52501" xr:uid="{00000000-0005-0000-0000-0000989A0000}"/>
    <cellStyle name="Currency 5 4 2 2 6 3" xfId="38002" xr:uid="{00000000-0005-0000-0000-0000999A0000}"/>
    <cellStyle name="Currency 5 4 2 2 7" xfId="16247" xr:uid="{00000000-0005-0000-0000-00009A9A0000}"/>
    <cellStyle name="Currency 5 4 2 2 7 2" xfId="45253" xr:uid="{00000000-0005-0000-0000-00009B9A0000}"/>
    <cellStyle name="Currency 5 4 2 2 8" xfId="30754" xr:uid="{00000000-0005-0000-0000-00009C9A0000}"/>
    <cellStyle name="Currency 5 4 2 3" xfId="2217" xr:uid="{00000000-0005-0000-0000-00009D9A0000}"/>
    <cellStyle name="Currency 5 4 2 3 2" xfId="5321" xr:uid="{00000000-0005-0000-0000-00009E9A0000}"/>
    <cellStyle name="Currency 5 4 2 3 2 2" xfId="12593" xr:uid="{00000000-0005-0000-0000-00009F9A0000}"/>
    <cellStyle name="Currency 5 4 2 3 2 2 2" xfId="27127" xr:uid="{00000000-0005-0000-0000-0000A09A0000}"/>
    <cellStyle name="Currency 5 4 2 3 2 2 2 2" xfId="56133" xr:uid="{00000000-0005-0000-0000-0000A19A0000}"/>
    <cellStyle name="Currency 5 4 2 3 2 2 3" xfId="41634" xr:uid="{00000000-0005-0000-0000-0000A29A0000}"/>
    <cellStyle name="Currency 5 4 2 3 2 3" xfId="19879" xr:uid="{00000000-0005-0000-0000-0000A39A0000}"/>
    <cellStyle name="Currency 5 4 2 3 2 3 2" xfId="48885" xr:uid="{00000000-0005-0000-0000-0000A49A0000}"/>
    <cellStyle name="Currency 5 4 2 3 2 4" xfId="34386" xr:uid="{00000000-0005-0000-0000-0000A59A0000}"/>
    <cellStyle name="Currency 5 4 2 3 3" xfId="9489" xr:uid="{00000000-0005-0000-0000-0000A69A0000}"/>
    <cellStyle name="Currency 5 4 2 3 3 2" xfId="24023" xr:uid="{00000000-0005-0000-0000-0000A79A0000}"/>
    <cellStyle name="Currency 5 4 2 3 3 2 2" xfId="53029" xr:uid="{00000000-0005-0000-0000-0000A89A0000}"/>
    <cellStyle name="Currency 5 4 2 3 3 3" xfId="38530" xr:uid="{00000000-0005-0000-0000-0000A99A0000}"/>
    <cellStyle name="Currency 5 4 2 3 4" xfId="16775" xr:uid="{00000000-0005-0000-0000-0000AA9A0000}"/>
    <cellStyle name="Currency 5 4 2 3 4 2" xfId="45781" xr:uid="{00000000-0005-0000-0000-0000AB9A0000}"/>
    <cellStyle name="Currency 5 4 2 3 5" xfId="31282" xr:uid="{00000000-0005-0000-0000-0000AC9A0000}"/>
    <cellStyle name="Currency 5 4 2 4" xfId="3249" xr:uid="{00000000-0005-0000-0000-0000AD9A0000}"/>
    <cellStyle name="Currency 5 4 2 4 2" xfId="6353" xr:uid="{00000000-0005-0000-0000-0000AE9A0000}"/>
    <cellStyle name="Currency 5 4 2 4 2 2" xfId="13625" xr:uid="{00000000-0005-0000-0000-0000AF9A0000}"/>
    <cellStyle name="Currency 5 4 2 4 2 2 2" xfId="28159" xr:uid="{00000000-0005-0000-0000-0000B09A0000}"/>
    <cellStyle name="Currency 5 4 2 4 2 2 2 2" xfId="57165" xr:uid="{00000000-0005-0000-0000-0000B19A0000}"/>
    <cellStyle name="Currency 5 4 2 4 2 2 3" xfId="42666" xr:uid="{00000000-0005-0000-0000-0000B29A0000}"/>
    <cellStyle name="Currency 5 4 2 4 2 3" xfId="20911" xr:uid="{00000000-0005-0000-0000-0000B39A0000}"/>
    <cellStyle name="Currency 5 4 2 4 2 3 2" xfId="49917" xr:uid="{00000000-0005-0000-0000-0000B49A0000}"/>
    <cellStyle name="Currency 5 4 2 4 2 4" xfId="35418" xr:uid="{00000000-0005-0000-0000-0000B59A0000}"/>
    <cellStyle name="Currency 5 4 2 4 3" xfId="10521" xr:uid="{00000000-0005-0000-0000-0000B69A0000}"/>
    <cellStyle name="Currency 5 4 2 4 3 2" xfId="25055" xr:uid="{00000000-0005-0000-0000-0000B79A0000}"/>
    <cellStyle name="Currency 5 4 2 4 3 2 2" xfId="54061" xr:uid="{00000000-0005-0000-0000-0000B89A0000}"/>
    <cellStyle name="Currency 5 4 2 4 3 3" xfId="39562" xr:uid="{00000000-0005-0000-0000-0000B99A0000}"/>
    <cellStyle name="Currency 5 4 2 4 4" xfId="17807" xr:uid="{00000000-0005-0000-0000-0000BA9A0000}"/>
    <cellStyle name="Currency 5 4 2 4 4 2" xfId="46813" xr:uid="{00000000-0005-0000-0000-0000BB9A0000}"/>
    <cellStyle name="Currency 5 4 2 4 5" xfId="32314" xr:uid="{00000000-0005-0000-0000-0000BC9A0000}"/>
    <cellStyle name="Currency 5 4 2 5" xfId="4281" xr:uid="{00000000-0005-0000-0000-0000BD9A0000}"/>
    <cellStyle name="Currency 5 4 2 5 2" xfId="11553" xr:uid="{00000000-0005-0000-0000-0000BE9A0000}"/>
    <cellStyle name="Currency 5 4 2 5 2 2" xfId="26087" xr:uid="{00000000-0005-0000-0000-0000BF9A0000}"/>
    <cellStyle name="Currency 5 4 2 5 2 2 2" xfId="55093" xr:uid="{00000000-0005-0000-0000-0000C09A0000}"/>
    <cellStyle name="Currency 5 4 2 5 2 3" xfId="40594" xr:uid="{00000000-0005-0000-0000-0000C19A0000}"/>
    <cellStyle name="Currency 5 4 2 5 3" xfId="18839" xr:uid="{00000000-0005-0000-0000-0000C29A0000}"/>
    <cellStyle name="Currency 5 4 2 5 3 2" xfId="47845" xr:uid="{00000000-0005-0000-0000-0000C39A0000}"/>
    <cellStyle name="Currency 5 4 2 5 4" xfId="33346" xr:uid="{00000000-0005-0000-0000-0000C49A0000}"/>
    <cellStyle name="Currency 5 4 2 6" xfId="7385" xr:uid="{00000000-0005-0000-0000-0000C59A0000}"/>
    <cellStyle name="Currency 5 4 2 6 2" xfId="14657" xr:uid="{00000000-0005-0000-0000-0000C69A0000}"/>
    <cellStyle name="Currency 5 4 2 6 2 2" xfId="29191" xr:uid="{00000000-0005-0000-0000-0000C79A0000}"/>
    <cellStyle name="Currency 5 4 2 6 2 2 2" xfId="58197" xr:uid="{00000000-0005-0000-0000-0000C89A0000}"/>
    <cellStyle name="Currency 5 4 2 6 2 3" xfId="43698" xr:uid="{00000000-0005-0000-0000-0000C99A0000}"/>
    <cellStyle name="Currency 5 4 2 6 3" xfId="21943" xr:uid="{00000000-0005-0000-0000-0000CA9A0000}"/>
    <cellStyle name="Currency 5 4 2 6 3 2" xfId="50949" xr:uid="{00000000-0005-0000-0000-0000CB9A0000}"/>
    <cellStyle name="Currency 5 4 2 6 4" xfId="36450" xr:uid="{00000000-0005-0000-0000-0000CC9A0000}"/>
    <cellStyle name="Currency 5 4 2 7" xfId="8449" xr:uid="{00000000-0005-0000-0000-0000CD9A0000}"/>
    <cellStyle name="Currency 5 4 2 7 2" xfId="22983" xr:uid="{00000000-0005-0000-0000-0000CE9A0000}"/>
    <cellStyle name="Currency 5 4 2 7 2 2" xfId="51989" xr:uid="{00000000-0005-0000-0000-0000CF9A0000}"/>
    <cellStyle name="Currency 5 4 2 7 3" xfId="37490" xr:uid="{00000000-0005-0000-0000-0000D09A0000}"/>
    <cellStyle name="Currency 5 4 2 8" xfId="15735" xr:uid="{00000000-0005-0000-0000-0000D19A0000}"/>
    <cellStyle name="Currency 5 4 2 8 2" xfId="44741" xr:uid="{00000000-0005-0000-0000-0000D29A0000}"/>
    <cellStyle name="Currency 5 4 2 9" xfId="30242" xr:uid="{00000000-0005-0000-0000-0000D39A0000}"/>
    <cellStyle name="Currency 5 4 3" xfId="1366" xr:uid="{00000000-0005-0000-0000-0000D49A0000}"/>
    <cellStyle name="Currency 5 4 3 2" xfId="2423" xr:uid="{00000000-0005-0000-0000-0000D59A0000}"/>
    <cellStyle name="Currency 5 4 3 2 2" xfId="5527" xr:uid="{00000000-0005-0000-0000-0000D69A0000}"/>
    <cellStyle name="Currency 5 4 3 2 2 2" xfId="12799" xr:uid="{00000000-0005-0000-0000-0000D79A0000}"/>
    <cellStyle name="Currency 5 4 3 2 2 2 2" xfId="27333" xr:uid="{00000000-0005-0000-0000-0000D89A0000}"/>
    <cellStyle name="Currency 5 4 3 2 2 2 2 2" xfId="56339" xr:uid="{00000000-0005-0000-0000-0000D99A0000}"/>
    <cellStyle name="Currency 5 4 3 2 2 2 3" xfId="41840" xr:uid="{00000000-0005-0000-0000-0000DA9A0000}"/>
    <cellStyle name="Currency 5 4 3 2 2 3" xfId="20085" xr:uid="{00000000-0005-0000-0000-0000DB9A0000}"/>
    <cellStyle name="Currency 5 4 3 2 2 3 2" xfId="49091" xr:uid="{00000000-0005-0000-0000-0000DC9A0000}"/>
    <cellStyle name="Currency 5 4 3 2 2 4" xfId="34592" xr:uid="{00000000-0005-0000-0000-0000DD9A0000}"/>
    <cellStyle name="Currency 5 4 3 2 3" xfId="9695" xr:uid="{00000000-0005-0000-0000-0000DE9A0000}"/>
    <cellStyle name="Currency 5 4 3 2 3 2" xfId="24229" xr:uid="{00000000-0005-0000-0000-0000DF9A0000}"/>
    <cellStyle name="Currency 5 4 3 2 3 2 2" xfId="53235" xr:uid="{00000000-0005-0000-0000-0000E09A0000}"/>
    <cellStyle name="Currency 5 4 3 2 3 3" xfId="38736" xr:uid="{00000000-0005-0000-0000-0000E19A0000}"/>
    <cellStyle name="Currency 5 4 3 2 4" xfId="16981" xr:uid="{00000000-0005-0000-0000-0000E29A0000}"/>
    <cellStyle name="Currency 5 4 3 2 4 2" xfId="45987" xr:uid="{00000000-0005-0000-0000-0000E39A0000}"/>
    <cellStyle name="Currency 5 4 3 2 5" xfId="31488" xr:uid="{00000000-0005-0000-0000-0000E49A0000}"/>
    <cellStyle name="Currency 5 4 3 3" xfId="3455" xr:uid="{00000000-0005-0000-0000-0000E59A0000}"/>
    <cellStyle name="Currency 5 4 3 3 2" xfId="6559" xr:uid="{00000000-0005-0000-0000-0000E69A0000}"/>
    <cellStyle name="Currency 5 4 3 3 2 2" xfId="13831" xr:uid="{00000000-0005-0000-0000-0000E79A0000}"/>
    <cellStyle name="Currency 5 4 3 3 2 2 2" xfId="28365" xr:uid="{00000000-0005-0000-0000-0000E89A0000}"/>
    <cellStyle name="Currency 5 4 3 3 2 2 2 2" xfId="57371" xr:uid="{00000000-0005-0000-0000-0000E99A0000}"/>
    <cellStyle name="Currency 5 4 3 3 2 2 3" xfId="42872" xr:uid="{00000000-0005-0000-0000-0000EA9A0000}"/>
    <cellStyle name="Currency 5 4 3 3 2 3" xfId="21117" xr:uid="{00000000-0005-0000-0000-0000EB9A0000}"/>
    <cellStyle name="Currency 5 4 3 3 2 3 2" xfId="50123" xr:uid="{00000000-0005-0000-0000-0000EC9A0000}"/>
    <cellStyle name="Currency 5 4 3 3 2 4" xfId="35624" xr:uid="{00000000-0005-0000-0000-0000ED9A0000}"/>
    <cellStyle name="Currency 5 4 3 3 3" xfId="10727" xr:uid="{00000000-0005-0000-0000-0000EE9A0000}"/>
    <cellStyle name="Currency 5 4 3 3 3 2" xfId="25261" xr:uid="{00000000-0005-0000-0000-0000EF9A0000}"/>
    <cellStyle name="Currency 5 4 3 3 3 2 2" xfId="54267" xr:uid="{00000000-0005-0000-0000-0000F09A0000}"/>
    <cellStyle name="Currency 5 4 3 3 3 3" xfId="39768" xr:uid="{00000000-0005-0000-0000-0000F19A0000}"/>
    <cellStyle name="Currency 5 4 3 3 4" xfId="18013" xr:uid="{00000000-0005-0000-0000-0000F29A0000}"/>
    <cellStyle name="Currency 5 4 3 3 4 2" xfId="47019" xr:uid="{00000000-0005-0000-0000-0000F39A0000}"/>
    <cellStyle name="Currency 5 4 3 3 5" xfId="32520" xr:uid="{00000000-0005-0000-0000-0000F49A0000}"/>
    <cellStyle name="Currency 5 4 3 4" xfId="4487" xr:uid="{00000000-0005-0000-0000-0000F59A0000}"/>
    <cellStyle name="Currency 5 4 3 4 2" xfId="11759" xr:uid="{00000000-0005-0000-0000-0000F69A0000}"/>
    <cellStyle name="Currency 5 4 3 4 2 2" xfId="26293" xr:uid="{00000000-0005-0000-0000-0000F79A0000}"/>
    <cellStyle name="Currency 5 4 3 4 2 2 2" xfId="55299" xr:uid="{00000000-0005-0000-0000-0000F89A0000}"/>
    <cellStyle name="Currency 5 4 3 4 2 3" xfId="40800" xr:uid="{00000000-0005-0000-0000-0000F99A0000}"/>
    <cellStyle name="Currency 5 4 3 4 3" xfId="19045" xr:uid="{00000000-0005-0000-0000-0000FA9A0000}"/>
    <cellStyle name="Currency 5 4 3 4 3 2" xfId="48051" xr:uid="{00000000-0005-0000-0000-0000FB9A0000}"/>
    <cellStyle name="Currency 5 4 3 4 4" xfId="33552" xr:uid="{00000000-0005-0000-0000-0000FC9A0000}"/>
    <cellStyle name="Currency 5 4 3 5" xfId="7591" xr:uid="{00000000-0005-0000-0000-0000FD9A0000}"/>
    <cellStyle name="Currency 5 4 3 5 2" xfId="14863" xr:uid="{00000000-0005-0000-0000-0000FE9A0000}"/>
    <cellStyle name="Currency 5 4 3 5 2 2" xfId="29397" xr:uid="{00000000-0005-0000-0000-0000FF9A0000}"/>
    <cellStyle name="Currency 5 4 3 5 2 2 2" xfId="58403" xr:uid="{00000000-0005-0000-0000-0000009B0000}"/>
    <cellStyle name="Currency 5 4 3 5 2 3" xfId="43904" xr:uid="{00000000-0005-0000-0000-0000019B0000}"/>
    <cellStyle name="Currency 5 4 3 5 3" xfId="22149" xr:uid="{00000000-0005-0000-0000-0000029B0000}"/>
    <cellStyle name="Currency 5 4 3 5 3 2" xfId="51155" xr:uid="{00000000-0005-0000-0000-0000039B0000}"/>
    <cellStyle name="Currency 5 4 3 5 4" xfId="36656" xr:uid="{00000000-0005-0000-0000-0000049B0000}"/>
    <cellStyle name="Currency 5 4 3 6" xfId="8655" xr:uid="{00000000-0005-0000-0000-0000059B0000}"/>
    <cellStyle name="Currency 5 4 3 6 2" xfId="23189" xr:uid="{00000000-0005-0000-0000-0000069B0000}"/>
    <cellStyle name="Currency 5 4 3 6 2 2" xfId="52195" xr:uid="{00000000-0005-0000-0000-0000079B0000}"/>
    <cellStyle name="Currency 5 4 3 6 3" xfId="37696" xr:uid="{00000000-0005-0000-0000-0000089B0000}"/>
    <cellStyle name="Currency 5 4 3 7" xfId="15941" xr:uid="{00000000-0005-0000-0000-0000099B0000}"/>
    <cellStyle name="Currency 5 4 3 7 2" xfId="44947" xr:uid="{00000000-0005-0000-0000-00000A9B0000}"/>
    <cellStyle name="Currency 5 4 3 8" xfId="30448" xr:uid="{00000000-0005-0000-0000-00000B9B0000}"/>
    <cellStyle name="Currency 5 4 3 9" xfId="59560" xr:uid="{00000000-0005-0000-0000-00000C9B0000}"/>
    <cellStyle name="Currency 5 4 4" xfId="1911" xr:uid="{00000000-0005-0000-0000-00000D9B0000}"/>
    <cellStyle name="Currency 5 4 4 2" xfId="5015" xr:uid="{00000000-0005-0000-0000-00000E9B0000}"/>
    <cellStyle name="Currency 5 4 4 2 2" xfId="12287" xr:uid="{00000000-0005-0000-0000-00000F9B0000}"/>
    <cellStyle name="Currency 5 4 4 2 2 2" xfId="26821" xr:uid="{00000000-0005-0000-0000-0000109B0000}"/>
    <cellStyle name="Currency 5 4 4 2 2 2 2" xfId="55827" xr:uid="{00000000-0005-0000-0000-0000119B0000}"/>
    <cellStyle name="Currency 5 4 4 2 2 3" xfId="41328" xr:uid="{00000000-0005-0000-0000-0000129B0000}"/>
    <cellStyle name="Currency 5 4 4 2 3" xfId="19573" xr:uid="{00000000-0005-0000-0000-0000139B0000}"/>
    <cellStyle name="Currency 5 4 4 2 3 2" xfId="48579" xr:uid="{00000000-0005-0000-0000-0000149B0000}"/>
    <cellStyle name="Currency 5 4 4 2 4" xfId="34080" xr:uid="{00000000-0005-0000-0000-0000159B0000}"/>
    <cellStyle name="Currency 5 4 4 3" xfId="9183" xr:uid="{00000000-0005-0000-0000-0000169B0000}"/>
    <cellStyle name="Currency 5 4 4 3 2" xfId="23717" xr:uid="{00000000-0005-0000-0000-0000179B0000}"/>
    <cellStyle name="Currency 5 4 4 3 2 2" xfId="52723" xr:uid="{00000000-0005-0000-0000-0000189B0000}"/>
    <cellStyle name="Currency 5 4 4 3 3" xfId="38224" xr:uid="{00000000-0005-0000-0000-0000199B0000}"/>
    <cellStyle name="Currency 5 4 4 4" xfId="16469" xr:uid="{00000000-0005-0000-0000-00001A9B0000}"/>
    <cellStyle name="Currency 5 4 4 4 2" xfId="45475" xr:uid="{00000000-0005-0000-0000-00001B9B0000}"/>
    <cellStyle name="Currency 5 4 4 5" xfId="30976" xr:uid="{00000000-0005-0000-0000-00001C9B0000}"/>
    <cellStyle name="Currency 5 4 5" xfId="2943" xr:uid="{00000000-0005-0000-0000-00001D9B0000}"/>
    <cellStyle name="Currency 5 4 5 2" xfId="6047" xr:uid="{00000000-0005-0000-0000-00001E9B0000}"/>
    <cellStyle name="Currency 5 4 5 2 2" xfId="13319" xr:uid="{00000000-0005-0000-0000-00001F9B0000}"/>
    <cellStyle name="Currency 5 4 5 2 2 2" xfId="27853" xr:uid="{00000000-0005-0000-0000-0000209B0000}"/>
    <cellStyle name="Currency 5 4 5 2 2 2 2" xfId="56859" xr:uid="{00000000-0005-0000-0000-0000219B0000}"/>
    <cellStyle name="Currency 5 4 5 2 2 3" xfId="42360" xr:uid="{00000000-0005-0000-0000-0000229B0000}"/>
    <cellStyle name="Currency 5 4 5 2 3" xfId="20605" xr:uid="{00000000-0005-0000-0000-0000239B0000}"/>
    <cellStyle name="Currency 5 4 5 2 3 2" xfId="49611" xr:uid="{00000000-0005-0000-0000-0000249B0000}"/>
    <cellStyle name="Currency 5 4 5 2 4" xfId="35112" xr:uid="{00000000-0005-0000-0000-0000259B0000}"/>
    <cellStyle name="Currency 5 4 5 3" xfId="10215" xr:uid="{00000000-0005-0000-0000-0000269B0000}"/>
    <cellStyle name="Currency 5 4 5 3 2" xfId="24749" xr:uid="{00000000-0005-0000-0000-0000279B0000}"/>
    <cellStyle name="Currency 5 4 5 3 2 2" xfId="53755" xr:uid="{00000000-0005-0000-0000-0000289B0000}"/>
    <cellStyle name="Currency 5 4 5 3 3" xfId="39256" xr:uid="{00000000-0005-0000-0000-0000299B0000}"/>
    <cellStyle name="Currency 5 4 5 4" xfId="17501" xr:uid="{00000000-0005-0000-0000-00002A9B0000}"/>
    <cellStyle name="Currency 5 4 5 4 2" xfId="46507" xr:uid="{00000000-0005-0000-0000-00002B9B0000}"/>
    <cellStyle name="Currency 5 4 5 5" xfId="32008" xr:uid="{00000000-0005-0000-0000-00002C9B0000}"/>
    <cellStyle name="Currency 5 4 6" xfId="3975" xr:uid="{00000000-0005-0000-0000-00002D9B0000}"/>
    <cellStyle name="Currency 5 4 6 2" xfId="11247" xr:uid="{00000000-0005-0000-0000-00002E9B0000}"/>
    <cellStyle name="Currency 5 4 6 2 2" xfId="25781" xr:uid="{00000000-0005-0000-0000-00002F9B0000}"/>
    <cellStyle name="Currency 5 4 6 2 2 2" xfId="54787" xr:uid="{00000000-0005-0000-0000-0000309B0000}"/>
    <cellStyle name="Currency 5 4 6 2 3" xfId="40288" xr:uid="{00000000-0005-0000-0000-0000319B0000}"/>
    <cellStyle name="Currency 5 4 6 3" xfId="18533" xr:uid="{00000000-0005-0000-0000-0000329B0000}"/>
    <cellStyle name="Currency 5 4 6 3 2" xfId="47539" xr:uid="{00000000-0005-0000-0000-0000339B0000}"/>
    <cellStyle name="Currency 5 4 6 4" xfId="33040" xr:uid="{00000000-0005-0000-0000-0000349B0000}"/>
    <cellStyle name="Currency 5 4 7" xfId="7079" xr:uid="{00000000-0005-0000-0000-0000359B0000}"/>
    <cellStyle name="Currency 5 4 7 2" xfId="14351" xr:uid="{00000000-0005-0000-0000-0000369B0000}"/>
    <cellStyle name="Currency 5 4 7 2 2" xfId="28885" xr:uid="{00000000-0005-0000-0000-0000379B0000}"/>
    <cellStyle name="Currency 5 4 7 2 2 2" xfId="57891" xr:uid="{00000000-0005-0000-0000-0000389B0000}"/>
    <cellStyle name="Currency 5 4 7 2 3" xfId="43392" xr:uid="{00000000-0005-0000-0000-0000399B0000}"/>
    <cellStyle name="Currency 5 4 7 3" xfId="21637" xr:uid="{00000000-0005-0000-0000-00003A9B0000}"/>
    <cellStyle name="Currency 5 4 7 3 2" xfId="50643" xr:uid="{00000000-0005-0000-0000-00003B9B0000}"/>
    <cellStyle name="Currency 5 4 7 4" xfId="36144" xr:uid="{00000000-0005-0000-0000-00003C9B0000}"/>
    <cellStyle name="Currency 5 4 8" xfId="8143" xr:uid="{00000000-0005-0000-0000-00003D9B0000}"/>
    <cellStyle name="Currency 5 4 8 2" xfId="22677" xr:uid="{00000000-0005-0000-0000-00003E9B0000}"/>
    <cellStyle name="Currency 5 4 8 2 2" xfId="51683" xr:uid="{00000000-0005-0000-0000-00003F9B0000}"/>
    <cellStyle name="Currency 5 4 8 3" xfId="37184" xr:uid="{00000000-0005-0000-0000-0000409B0000}"/>
    <cellStyle name="Currency 5 4 9" xfId="15429" xr:uid="{00000000-0005-0000-0000-0000419B0000}"/>
    <cellStyle name="Currency 5 4 9 2" xfId="44435" xr:uid="{00000000-0005-0000-0000-0000429B0000}"/>
    <cellStyle name="Currency 5 5" xfId="259" xr:uid="{00000000-0005-0000-0000-0000439B0000}"/>
    <cellStyle name="Currency 5 5 10" xfId="59293" xr:uid="{00000000-0005-0000-0000-0000449B0000}"/>
    <cellStyle name="Currency 5 5 2" xfId="437" xr:uid="{00000000-0005-0000-0000-0000459B0000}"/>
    <cellStyle name="Currency 5 5 2 2" xfId="2626" xr:uid="{00000000-0005-0000-0000-0000469B0000}"/>
    <cellStyle name="Currency 5 5 2 2 2" xfId="5730" xr:uid="{00000000-0005-0000-0000-0000479B0000}"/>
    <cellStyle name="Currency 5 5 2 2 2 2" xfId="13002" xr:uid="{00000000-0005-0000-0000-0000489B0000}"/>
    <cellStyle name="Currency 5 5 2 2 2 2 2" xfId="27536" xr:uid="{00000000-0005-0000-0000-0000499B0000}"/>
    <cellStyle name="Currency 5 5 2 2 2 2 2 2" xfId="56542" xr:uid="{00000000-0005-0000-0000-00004A9B0000}"/>
    <cellStyle name="Currency 5 5 2 2 2 2 3" xfId="42043" xr:uid="{00000000-0005-0000-0000-00004B9B0000}"/>
    <cellStyle name="Currency 5 5 2 2 2 3" xfId="20288" xr:uid="{00000000-0005-0000-0000-00004C9B0000}"/>
    <cellStyle name="Currency 5 5 2 2 2 3 2" xfId="49294" xr:uid="{00000000-0005-0000-0000-00004D9B0000}"/>
    <cellStyle name="Currency 5 5 2 2 2 4" xfId="34795" xr:uid="{00000000-0005-0000-0000-00004E9B0000}"/>
    <cellStyle name="Currency 5 5 2 2 3" xfId="9898" xr:uid="{00000000-0005-0000-0000-00004F9B0000}"/>
    <cellStyle name="Currency 5 5 2 2 3 2" xfId="24432" xr:uid="{00000000-0005-0000-0000-0000509B0000}"/>
    <cellStyle name="Currency 5 5 2 2 3 2 2" xfId="53438" xr:uid="{00000000-0005-0000-0000-0000519B0000}"/>
    <cellStyle name="Currency 5 5 2 2 3 3" xfId="38939" xr:uid="{00000000-0005-0000-0000-0000529B0000}"/>
    <cellStyle name="Currency 5 5 2 2 4" xfId="17184" xr:uid="{00000000-0005-0000-0000-0000539B0000}"/>
    <cellStyle name="Currency 5 5 2 2 4 2" xfId="46190" xr:uid="{00000000-0005-0000-0000-0000549B0000}"/>
    <cellStyle name="Currency 5 5 2 2 5" xfId="31691" xr:uid="{00000000-0005-0000-0000-0000559B0000}"/>
    <cellStyle name="Currency 5 5 2 3" xfId="3658" xr:uid="{00000000-0005-0000-0000-0000569B0000}"/>
    <cellStyle name="Currency 5 5 2 3 2" xfId="6762" xr:uid="{00000000-0005-0000-0000-0000579B0000}"/>
    <cellStyle name="Currency 5 5 2 3 2 2" xfId="14034" xr:uid="{00000000-0005-0000-0000-0000589B0000}"/>
    <cellStyle name="Currency 5 5 2 3 2 2 2" xfId="28568" xr:uid="{00000000-0005-0000-0000-0000599B0000}"/>
    <cellStyle name="Currency 5 5 2 3 2 2 2 2" xfId="57574" xr:uid="{00000000-0005-0000-0000-00005A9B0000}"/>
    <cellStyle name="Currency 5 5 2 3 2 2 3" xfId="43075" xr:uid="{00000000-0005-0000-0000-00005B9B0000}"/>
    <cellStyle name="Currency 5 5 2 3 2 3" xfId="21320" xr:uid="{00000000-0005-0000-0000-00005C9B0000}"/>
    <cellStyle name="Currency 5 5 2 3 2 3 2" xfId="50326" xr:uid="{00000000-0005-0000-0000-00005D9B0000}"/>
    <cellStyle name="Currency 5 5 2 3 2 4" xfId="35827" xr:uid="{00000000-0005-0000-0000-00005E9B0000}"/>
    <cellStyle name="Currency 5 5 2 3 3" xfId="10930" xr:uid="{00000000-0005-0000-0000-00005F9B0000}"/>
    <cellStyle name="Currency 5 5 2 3 3 2" xfId="25464" xr:uid="{00000000-0005-0000-0000-0000609B0000}"/>
    <cellStyle name="Currency 5 5 2 3 3 2 2" xfId="54470" xr:uid="{00000000-0005-0000-0000-0000619B0000}"/>
    <cellStyle name="Currency 5 5 2 3 3 3" xfId="39971" xr:uid="{00000000-0005-0000-0000-0000629B0000}"/>
    <cellStyle name="Currency 5 5 2 3 4" xfId="18216" xr:uid="{00000000-0005-0000-0000-0000639B0000}"/>
    <cellStyle name="Currency 5 5 2 3 4 2" xfId="47222" xr:uid="{00000000-0005-0000-0000-0000649B0000}"/>
    <cellStyle name="Currency 5 5 2 3 5" xfId="32723" xr:uid="{00000000-0005-0000-0000-0000659B0000}"/>
    <cellStyle name="Currency 5 5 2 4" xfId="4690" xr:uid="{00000000-0005-0000-0000-0000669B0000}"/>
    <cellStyle name="Currency 5 5 2 4 2" xfId="11962" xr:uid="{00000000-0005-0000-0000-0000679B0000}"/>
    <cellStyle name="Currency 5 5 2 4 2 2" xfId="26496" xr:uid="{00000000-0005-0000-0000-0000689B0000}"/>
    <cellStyle name="Currency 5 5 2 4 2 2 2" xfId="55502" xr:uid="{00000000-0005-0000-0000-0000699B0000}"/>
    <cellStyle name="Currency 5 5 2 4 2 3" xfId="41003" xr:uid="{00000000-0005-0000-0000-00006A9B0000}"/>
    <cellStyle name="Currency 5 5 2 4 3" xfId="19248" xr:uid="{00000000-0005-0000-0000-00006B9B0000}"/>
    <cellStyle name="Currency 5 5 2 4 3 2" xfId="48254" xr:uid="{00000000-0005-0000-0000-00006C9B0000}"/>
    <cellStyle name="Currency 5 5 2 4 4" xfId="33755" xr:uid="{00000000-0005-0000-0000-00006D9B0000}"/>
    <cellStyle name="Currency 5 5 2 5" xfId="7794" xr:uid="{00000000-0005-0000-0000-00006E9B0000}"/>
    <cellStyle name="Currency 5 5 2 5 2" xfId="15066" xr:uid="{00000000-0005-0000-0000-00006F9B0000}"/>
    <cellStyle name="Currency 5 5 2 5 2 2" xfId="29600" xr:uid="{00000000-0005-0000-0000-0000709B0000}"/>
    <cellStyle name="Currency 5 5 2 5 2 2 2" xfId="58606" xr:uid="{00000000-0005-0000-0000-0000719B0000}"/>
    <cellStyle name="Currency 5 5 2 5 2 3" xfId="44107" xr:uid="{00000000-0005-0000-0000-0000729B0000}"/>
    <cellStyle name="Currency 5 5 2 5 3" xfId="22352" xr:uid="{00000000-0005-0000-0000-0000739B0000}"/>
    <cellStyle name="Currency 5 5 2 5 3 2" xfId="51358" xr:uid="{00000000-0005-0000-0000-0000749B0000}"/>
    <cellStyle name="Currency 5 5 2 5 4" xfId="36859" xr:uid="{00000000-0005-0000-0000-0000759B0000}"/>
    <cellStyle name="Currency 5 5 2 6" xfId="8858" xr:uid="{00000000-0005-0000-0000-0000769B0000}"/>
    <cellStyle name="Currency 5 5 2 6 2" xfId="23392" xr:uid="{00000000-0005-0000-0000-0000779B0000}"/>
    <cellStyle name="Currency 5 5 2 6 2 2" xfId="52398" xr:uid="{00000000-0005-0000-0000-0000789B0000}"/>
    <cellStyle name="Currency 5 5 2 6 3" xfId="37899" xr:uid="{00000000-0005-0000-0000-0000799B0000}"/>
    <cellStyle name="Currency 5 5 2 7" xfId="16144" xr:uid="{00000000-0005-0000-0000-00007A9B0000}"/>
    <cellStyle name="Currency 5 5 2 7 2" xfId="45150" xr:uid="{00000000-0005-0000-0000-00007B9B0000}"/>
    <cellStyle name="Currency 5 5 2 8" xfId="30651" xr:uid="{00000000-0005-0000-0000-00007C9B0000}"/>
    <cellStyle name="Currency 5 5 3" xfId="2114" xr:uid="{00000000-0005-0000-0000-00007D9B0000}"/>
    <cellStyle name="Currency 5 5 3 2" xfId="5218" xr:uid="{00000000-0005-0000-0000-00007E9B0000}"/>
    <cellStyle name="Currency 5 5 3 2 2" xfId="12490" xr:uid="{00000000-0005-0000-0000-00007F9B0000}"/>
    <cellStyle name="Currency 5 5 3 2 2 2" xfId="27024" xr:uid="{00000000-0005-0000-0000-0000809B0000}"/>
    <cellStyle name="Currency 5 5 3 2 2 2 2" xfId="56030" xr:uid="{00000000-0005-0000-0000-0000819B0000}"/>
    <cellStyle name="Currency 5 5 3 2 2 3" xfId="41531" xr:uid="{00000000-0005-0000-0000-0000829B0000}"/>
    <cellStyle name="Currency 5 5 3 2 3" xfId="19776" xr:uid="{00000000-0005-0000-0000-0000839B0000}"/>
    <cellStyle name="Currency 5 5 3 2 3 2" xfId="48782" xr:uid="{00000000-0005-0000-0000-0000849B0000}"/>
    <cellStyle name="Currency 5 5 3 2 4" xfId="34283" xr:uid="{00000000-0005-0000-0000-0000859B0000}"/>
    <cellStyle name="Currency 5 5 3 3" xfId="9386" xr:uid="{00000000-0005-0000-0000-0000869B0000}"/>
    <cellStyle name="Currency 5 5 3 3 2" xfId="23920" xr:uid="{00000000-0005-0000-0000-0000879B0000}"/>
    <cellStyle name="Currency 5 5 3 3 2 2" xfId="52926" xr:uid="{00000000-0005-0000-0000-0000889B0000}"/>
    <cellStyle name="Currency 5 5 3 3 3" xfId="38427" xr:uid="{00000000-0005-0000-0000-0000899B0000}"/>
    <cellStyle name="Currency 5 5 3 4" xfId="16672" xr:uid="{00000000-0005-0000-0000-00008A9B0000}"/>
    <cellStyle name="Currency 5 5 3 4 2" xfId="45678" xr:uid="{00000000-0005-0000-0000-00008B9B0000}"/>
    <cellStyle name="Currency 5 5 3 5" xfId="31179" xr:uid="{00000000-0005-0000-0000-00008C9B0000}"/>
    <cellStyle name="Currency 5 5 4" xfId="3146" xr:uid="{00000000-0005-0000-0000-00008D9B0000}"/>
    <cellStyle name="Currency 5 5 4 2" xfId="6250" xr:uid="{00000000-0005-0000-0000-00008E9B0000}"/>
    <cellStyle name="Currency 5 5 4 2 2" xfId="13522" xr:uid="{00000000-0005-0000-0000-00008F9B0000}"/>
    <cellStyle name="Currency 5 5 4 2 2 2" xfId="28056" xr:uid="{00000000-0005-0000-0000-0000909B0000}"/>
    <cellStyle name="Currency 5 5 4 2 2 2 2" xfId="57062" xr:uid="{00000000-0005-0000-0000-0000919B0000}"/>
    <cellStyle name="Currency 5 5 4 2 2 3" xfId="42563" xr:uid="{00000000-0005-0000-0000-0000929B0000}"/>
    <cellStyle name="Currency 5 5 4 2 3" xfId="20808" xr:uid="{00000000-0005-0000-0000-0000939B0000}"/>
    <cellStyle name="Currency 5 5 4 2 3 2" xfId="49814" xr:uid="{00000000-0005-0000-0000-0000949B0000}"/>
    <cellStyle name="Currency 5 5 4 2 4" xfId="35315" xr:uid="{00000000-0005-0000-0000-0000959B0000}"/>
    <cellStyle name="Currency 5 5 4 3" xfId="10418" xr:uid="{00000000-0005-0000-0000-0000969B0000}"/>
    <cellStyle name="Currency 5 5 4 3 2" xfId="24952" xr:uid="{00000000-0005-0000-0000-0000979B0000}"/>
    <cellStyle name="Currency 5 5 4 3 2 2" xfId="53958" xr:uid="{00000000-0005-0000-0000-0000989B0000}"/>
    <cellStyle name="Currency 5 5 4 3 3" xfId="39459" xr:uid="{00000000-0005-0000-0000-0000999B0000}"/>
    <cellStyle name="Currency 5 5 4 4" xfId="17704" xr:uid="{00000000-0005-0000-0000-00009A9B0000}"/>
    <cellStyle name="Currency 5 5 4 4 2" xfId="46710" xr:uid="{00000000-0005-0000-0000-00009B9B0000}"/>
    <cellStyle name="Currency 5 5 4 5" xfId="32211" xr:uid="{00000000-0005-0000-0000-00009C9B0000}"/>
    <cellStyle name="Currency 5 5 5" xfId="4178" xr:uid="{00000000-0005-0000-0000-00009D9B0000}"/>
    <cellStyle name="Currency 5 5 5 2" xfId="11450" xr:uid="{00000000-0005-0000-0000-00009E9B0000}"/>
    <cellStyle name="Currency 5 5 5 2 2" xfId="25984" xr:uid="{00000000-0005-0000-0000-00009F9B0000}"/>
    <cellStyle name="Currency 5 5 5 2 2 2" xfId="54990" xr:uid="{00000000-0005-0000-0000-0000A09B0000}"/>
    <cellStyle name="Currency 5 5 5 2 3" xfId="40491" xr:uid="{00000000-0005-0000-0000-0000A19B0000}"/>
    <cellStyle name="Currency 5 5 5 3" xfId="18736" xr:uid="{00000000-0005-0000-0000-0000A29B0000}"/>
    <cellStyle name="Currency 5 5 5 3 2" xfId="47742" xr:uid="{00000000-0005-0000-0000-0000A39B0000}"/>
    <cellStyle name="Currency 5 5 5 4" xfId="33243" xr:uid="{00000000-0005-0000-0000-0000A49B0000}"/>
    <cellStyle name="Currency 5 5 6" xfId="7282" xr:uid="{00000000-0005-0000-0000-0000A59B0000}"/>
    <cellStyle name="Currency 5 5 6 2" xfId="14554" xr:uid="{00000000-0005-0000-0000-0000A69B0000}"/>
    <cellStyle name="Currency 5 5 6 2 2" xfId="29088" xr:uid="{00000000-0005-0000-0000-0000A79B0000}"/>
    <cellStyle name="Currency 5 5 6 2 2 2" xfId="58094" xr:uid="{00000000-0005-0000-0000-0000A89B0000}"/>
    <cellStyle name="Currency 5 5 6 2 3" xfId="43595" xr:uid="{00000000-0005-0000-0000-0000A99B0000}"/>
    <cellStyle name="Currency 5 5 6 3" xfId="21840" xr:uid="{00000000-0005-0000-0000-0000AA9B0000}"/>
    <cellStyle name="Currency 5 5 6 3 2" xfId="50846" xr:uid="{00000000-0005-0000-0000-0000AB9B0000}"/>
    <cellStyle name="Currency 5 5 6 4" xfId="36347" xr:uid="{00000000-0005-0000-0000-0000AC9B0000}"/>
    <cellStyle name="Currency 5 5 7" xfId="8346" xr:uid="{00000000-0005-0000-0000-0000AD9B0000}"/>
    <cellStyle name="Currency 5 5 7 2" xfId="22880" xr:uid="{00000000-0005-0000-0000-0000AE9B0000}"/>
    <cellStyle name="Currency 5 5 7 2 2" xfId="51886" xr:uid="{00000000-0005-0000-0000-0000AF9B0000}"/>
    <cellStyle name="Currency 5 5 7 3" xfId="37387" xr:uid="{00000000-0005-0000-0000-0000B09B0000}"/>
    <cellStyle name="Currency 5 5 8" xfId="15632" xr:uid="{00000000-0005-0000-0000-0000B19B0000}"/>
    <cellStyle name="Currency 5 5 8 2" xfId="44638" xr:uid="{00000000-0005-0000-0000-0000B29B0000}"/>
    <cellStyle name="Currency 5 5 9" xfId="30139" xr:uid="{00000000-0005-0000-0000-0000B39B0000}"/>
    <cellStyle name="Currency 5 6" xfId="578" xr:uid="{00000000-0005-0000-0000-0000B49B0000}"/>
    <cellStyle name="Currency 5 6 10" xfId="59439" xr:uid="{00000000-0005-0000-0000-0000B59B0000}"/>
    <cellStyle name="Currency 5 6 2" xfId="1468" xr:uid="{00000000-0005-0000-0000-0000B69B0000}"/>
    <cellStyle name="Currency 5 6 2 2" xfId="2526" xr:uid="{00000000-0005-0000-0000-0000B79B0000}"/>
    <cellStyle name="Currency 5 6 2 2 2" xfId="5630" xr:uid="{00000000-0005-0000-0000-0000B89B0000}"/>
    <cellStyle name="Currency 5 6 2 2 2 2" xfId="12902" xr:uid="{00000000-0005-0000-0000-0000B99B0000}"/>
    <cellStyle name="Currency 5 6 2 2 2 2 2" xfId="27436" xr:uid="{00000000-0005-0000-0000-0000BA9B0000}"/>
    <cellStyle name="Currency 5 6 2 2 2 2 2 2" xfId="56442" xr:uid="{00000000-0005-0000-0000-0000BB9B0000}"/>
    <cellStyle name="Currency 5 6 2 2 2 2 3" xfId="41943" xr:uid="{00000000-0005-0000-0000-0000BC9B0000}"/>
    <cellStyle name="Currency 5 6 2 2 2 3" xfId="20188" xr:uid="{00000000-0005-0000-0000-0000BD9B0000}"/>
    <cellStyle name="Currency 5 6 2 2 2 3 2" xfId="49194" xr:uid="{00000000-0005-0000-0000-0000BE9B0000}"/>
    <cellStyle name="Currency 5 6 2 2 2 4" xfId="34695" xr:uid="{00000000-0005-0000-0000-0000BF9B0000}"/>
    <cellStyle name="Currency 5 6 2 2 3" xfId="9798" xr:uid="{00000000-0005-0000-0000-0000C09B0000}"/>
    <cellStyle name="Currency 5 6 2 2 3 2" xfId="24332" xr:uid="{00000000-0005-0000-0000-0000C19B0000}"/>
    <cellStyle name="Currency 5 6 2 2 3 2 2" xfId="53338" xr:uid="{00000000-0005-0000-0000-0000C29B0000}"/>
    <cellStyle name="Currency 5 6 2 2 3 3" xfId="38839" xr:uid="{00000000-0005-0000-0000-0000C39B0000}"/>
    <cellStyle name="Currency 5 6 2 2 4" xfId="17084" xr:uid="{00000000-0005-0000-0000-0000C49B0000}"/>
    <cellStyle name="Currency 5 6 2 2 4 2" xfId="46090" xr:uid="{00000000-0005-0000-0000-0000C59B0000}"/>
    <cellStyle name="Currency 5 6 2 2 5" xfId="31591" xr:uid="{00000000-0005-0000-0000-0000C69B0000}"/>
    <cellStyle name="Currency 5 6 2 3" xfId="3558" xr:uid="{00000000-0005-0000-0000-0000C79B0000}"/>
    <cellStyle name="Currency 5 6 2 3 2" xfId="6662" xr:uid="{00000000-0005-0000-0000-0000C89B0000}"/>
    <cellStyle name="Currency 5 6 2 3 2 2" xfId="13934" xr:uid="{00000000-0005-0000-0000-0000C99B0000}"/>
    <cellStyle name="Currency 5 6 2 3 2 2 2" xfId="28468" xr:uid="{00000000-0005-0000-0000-0000CA9B0000}"/>
    <cellStyle name="Currency 5 6 2 3 2 2 2 2" xfId="57474" xr:uid="{00000000-0005-0000-0000-0000CB9B0000}"/>
    <cellStyle name="Currency 5 6 2 3 2 2 3" xfId="42975" xr:uid="{00000000-0005-0000-0000-0000CC9B0000}"/>
    <cellStyle name="Currency 5 6 2 3 2 3" xfId="21220" xr:uid="{00000000-0005-0000-0000-0000CD9B0000}"/>
    <cellStyle name="Currency 5 6 2 3 2 3 2" xfId="50226" xr:uid="{00000000-0005-0000-0000-0000CE9B0000}"/>
    <cellStyle name="Currency 5 6 2 3 2 4" xfId="35727" xr:uid="{00000000-0005-0000-0000-0000CF9B0000}"/>
    <cellStyle name="Currency 5 6 2 3 3" xfId="10830" xr:uid="{00000000-0005-0000-0000-0000D09B0000}"/>
    <cellStyle name="Currency 5 6 2 3 3 2" xfId="25364" xr:uid="{00000000-0005-0000-0000-0000D19B0000}"/>
    <cellStyle name="Currency 5 6 2 3 3 2 2" xfId="54370" xr:uid="{00000000-0005-0000-0000-0000D29B0000}"/>
    <cellStyle name="Currency 5 6 2 3 3 3" xfId="39871" xr:uid="{00000000-0005-0000-0000-0000D39B0000}"/>
    <cellStyle name="Currency 5 6 2 3 4" xfId="18116" xr:uid="{00000000-0005-0000-0000-0000D49B0000}"/>
    <cellStyle name="Currency 5 6 2 3 4 2" xfId="47122" xr:uid="{00000000-0005-0000-0000-0000D59B0000}"/>
    <cellStyle name="Currency 5 6 2 3 5" xfId="32623" xr:uid="{00000000-0005-0000-0000-0000D69B0000}"/>
    <cellStyle name="Currency 5 6 2 4" xfId="4590" xr:uid="{00000000-0005-0000-0000-0000D79B0000}"/>
    <cellStyle name="Currency 5 6 2 4 2" xfId="11862" xr:uid="{00000000-0005-0000-0000-0000D89B0000}"/>
    <cellStyle name="Currency 5 6 2 4 2 2" xfId="26396" xr:uid="{00000000-0005-0000-0000-0000D99B0000}"/>
    <cellStyle name="Currency 5 6 2 4 2 2 2" xfId="55402" xr:uid="{00000000-0005-0000-0000-0000DA9B0000}"/>
    <cellStyle name="Currency 5 6 2 4 2 3" xfId="40903" xr:uid="{00000000-0005-0000-0000-0000DB9B0000}"/>
    <cellStyle name="Currency 5 6 2 4 3" xfId="19148" xr:uid="{00000000-0005-0000-0000-0000DC9B0000}"/>
    <cellStyle name="Currency 5 6 2 4 3 2" xfId="48154" xr:uid="{00000000-0005-0000-0000-0000DD9B0000}"/>
    <cellStyle name="Currency 5 6 2 4 4" xfId="33655" xr:uid="{00000000-0005-0000-0000-0000DE9B0000}"/>
    <cellStyle name="Currency 5 6 2 5" xfId="7694" xr:uid="{00000000-0005-0000-0000-0000DF9B0000}"/>
    <cellStyle name="Currency 5 6 2 5 2" xfId="14966" xr:uid="{00000000-0005-0000-0000-0000E09B0000}"/>
    <cellStyle name="Currency 5 6 2 5 2 2" xfId="29500" xr:uid="{00000000-0005-0000-0000-0000E19B0000}"/>
    <cellStyle name="Currency 5 6 2 5 2 2 2" xfId="58506" xr:uid="{00000000-0005-0000-0000-0000E29B0000}"/>
    <cellStyle name="Currency 5 6 2 5 2 3" xfId="44007" xr:uid="{00000000-0005-0000-0000-0000E39B0000}"/>
    <cellStyle name="Currency 5 6 2 5 3" xfId="22252" xr:uid="{00000000-0005-0000-0000-0000E49B0000}"/>
    <cellStyle name="Currency 5 6 2 5 3 2" xfId="51258" xr:uid="{00000000-0005-0000-0000-0000E59B0000}"/>
    <cellStyle name="Currency 5 6 2 5 4" xfId="36759" xr:uid="{00000000-0005-0000-0000-0000E69B0000}"/>
    <cellStyle name="Currency 5 6 2 6" xfId="8758" xr:uid="{00000000-0005-0000-0000-0000E79B0000}"/>
    <cellStyle name="Currency 5 6 2 6 2" xfId="23292" xr:uid="{00000000-0005-0000-0000-0000E89B0000}"/>
    <cellStyle name="Currency 5 6 2 6 2 2" xfId="52298" xr:uid="{00000000-0005-0000-0000-0000E99B0000}"/>
    <cellStyle name="Currency 5 6 2 6 3" xfId="37799" xr:uid="{00000000-0005-0000-0000-0000EA9B0000}"/>
    <cellStyle name="Currency 5 6 2 7" xfId="16044" xr:uid="{00000000-0005-0000-0000-0000EB9B0000}"/>
    <cellStyle name="Currency 5 6 2 7 2" xfId="45050" xr:uid="{00000000-0005-0000-0000-0000EC9B0000}"/>
    <cellStyle name="Currency 5 6 2 8" xfId="30551" xr:uid="{00000000-0005-0000-0000-0000ED9B0000}"/>
    <cellStyle name="Currency 5 6 3" xfId="2014" xr:uid="{00000000-0005-0000-0000-0000EE9B0000}"/>
    <cellStyle name="Currency 5 6 3 2" xfId="5118" xr:uid="{00000000-0005-0000-0000-0000EF9B0000}"/>
    <cellStyle name="Currency 5 6 3 2 2" xfId="12390" xr:uid="{00000000-0005-0000-0000-0000F09B0000}"/>
    <cellStyle name="Currency 5 6 3 2 2 2" xfId="26924" xr:uid="{00000000-0005-0000-0000-0000F19B0000}"/>
    <cellStyle name="Currency 5 6 3 2 2 2 2" xfId="55930" xr:uid="{00000000-0005-0000-0000-0000F29B0000}"/>
    <cellStyle name="Currency 5 6 3 2 2 3" xfId="41431" xr:uid="{00000000-0005-0000-0000-0000F39B0000}"/>
    <cellStyle name="Currency 5 6 3 2 3" xfId="19676" xr:uid="{00000000-0005-0000-0000-0000F49B0000}"/>
    <cellStyle name="Currency 5 6 3 2 3 2" xfId="48682" xr:uid="{00000000-0005-0000-0000-0000F59B0000}"/>
    <cellStyle name="Currency 5 6 3 2 4" xfId="34183" xr:uid="{00000000-0005-0000-0000-0000F69B0000}"/>
    <cellStyle name="Currency 5 6 3 3" xfId="9286" xr:uid="{00000000-0005-0000-0000-0000F79B0000}"/>
    <cellStyle name="Currency 5 6 3 3 2" xfId="23820" xr:uid="{00000000-0005-0000-0000-0000F89B0000}"/>
    <cellStyle name="Currency 5 6 3 3 2 2" xfId="52826" xr:uid="{00000000-0005-0000-0000-0000F99B0000}"/>
    <cellStyle name="Currency 5 6 3 3 3" xfId="38327" xr:uid="{00000000-0005-0000-0000-0000FA9B0000}"/>
    <cellStyle name="Currency 5 6 3 4" xfId="16572" xr:uid="{00000000-0005-0000-0000-0000FB9B0000}"/>
    <cellStyle name="Currency 5 6 3 4 2" xfId="45578" xr:uid="{00000000-0005-0000-0000-0000FC9B0000}"/>
    <cellStyle name="Currency 5 6 3 5" xfId="31079" xr:uid="{00000000-0005-0000-0000-0000FD9B0000}"/>
    <cellStyle name="Currency 5 6 4" xfId="3046" xr:uid="{00000000-0005-0000-0000-0000FE9B0000}"/>
    <cellStyle name="Currency 5 6 4 2" xfId="6150" xr:uid="{00000000-0005-0000-0000-0000FF9B0000}"/>
    <cellStyle name="Currency 5 6 4 2 2" xfId="13422" xr:uid="{00000000-0005-0000-0000-0000009C0000}"/>
    <cellStyle name="Currency 5 6 4 2 2 2" xfId="27956" xr:uid="{00000000-0005-0000-0000-0000019C0000}"/>
    <cellStyle name="Currency 5 6 4 2 2 2 2" xfId="56962" xr:uid="{00000000-0005-0000-0000-0000029C0000}"/>
    <cellStyle name="Currency 5 6 4 2 2 3" xfId="42463" xr:uid="{00000000-0005-0000-0000-0000039C0000}"/>
    <cellStyle name="Currency 5 6 4 2 3" xfId="20708" xr:uid="{00000000-0005-0000-0000-0000049C0000}"/>
    <cellStyle name="Currency 5 6 4 2 3 2" xfId="49714" xr:uid="{00000000-0005-0000-0000-0000059C0000}"/>
    <cellStyle name="Currency 5 6 4 2 4" xfId="35215" xr:uid="{00000000-0005-0000-0000-0000069C0000}"/>
    <cellStyle name="Currency 5 6 4 3" xfId="10318" xr:uid="{00000000-0005-0000-0000-0000079C0000}"/>
    <cellStyle name="Currency 5 6 4 3 2" xfId="24852" xr:uid="{00000000-0005-0000-0000-0000089C0000}"/>
    <cellStyle name="Currency 5 6 4 3 2 2" xfId="53858" xr:uid="{00000000-0005-0000-0000-0000099C0000}"/>
    <cellStyle name="Currency 5 6 4 3 3" xfId="39359" xr:uid="{00000000-0005-0000-0000-00000A9C0000}"/>
    <cellStyle name="Currency 5 6 4 4" xfId="17604" xr:uid="{00000000-0005-0000-0000-00000B9C0000}"/>
    <cellStyle name="Currency 5 6 4 4 2" xfId="46610" xr:uid="{00000000-0005-0000-0000-00000C9C0000}"/>
    <cellStyle name="Currency 5 6 4 5" xfId="32111" xr:uid="{00000000-0005-0000-0000-00000D9C0000}"/>
    <cellStyle name="Currency 5 6 5" xfId="4078" xr:uid="{00000000-0005-0000-0000-00000E9C0000}"/>
    <cellStyle name="Currency 5 6 5 2" xfId="11350" xr:uid="{00000000-0005-0000-0000-00000F9C0000}"/>
    <cellStyle name="Currency 5 6 5 2 2" xfId="25884" xr:uid="{00000000-0005-0000-0000-0000109C0000}"/>
    <cellStyle name="Currency 5 6 5 2 2 2" xfId="54890" xr:uid="{00000000-0005-0000-0000-0000119C0000}"/>
    <cellStyle name="Currency 5 6 5 2 3" xfId="40391" xr:uid="{00000000-0005-0000-0000-0000129C0000}"/>
    <cellStyle name="Currency 5 6 5 3" xfId="18636" xr:uid="{00000000-0005-0000-0000-0000139C0000}"/>
    <cellStyle name="Currency 5 6 5 3 2" xfId="47642" xr:uid="{00000000-0005-0000-0000-0000149C0000}"/>
    <cellStyle name="Currency 5 6 5 4" xfId="33143" xr:uid="{00000000-0005-0000-0000-0000159C0000}"/>
    <cellStyle name="Currency 5 6 6" xfId="7182" xr:uid="{00000000-0005-0000-0000-0000169C0000}"/>
    <cellStyle name="Currency 5 6 6 2" xfId="14454" xr:uid="{00000000-0005-0000-0000-0000179C0000}"/>
    <cellStyle name="Currency 5 6 6 2 2" xfId="28988" xr:uid="{00000000-0005-0000-0000-0000189C0000}"/>
    <cellStyle name="Currency 5 6 6 2 2 2" xfId="57994" xr:uid="{00000000-0005-0000-0000-0000199C0000}"/>
    <cellStyle name="Currency 5 6 6 2 3" xfId="43495" xr:uid="{00000000-0005-0000-0000-00001A9C0000}"/>
    <cellStyle name="Currency 5 6 6 3" xfId="21740" xr:uid="{00000000-0005-0000-0000-00001B9C0000}"/>
    <cellStyle name="Currency 5 6 6 3 2" xfId="50746" xr:uid="{00000000-0005-0000-0000-00001C9C0000}"/>
    <cellStyle name="Currency 5 6 6 4" xfId="36247" xr:uid="{00000000-0005-0000-0000-00001D9C0000}"/>
    <cellStyle name="Currency 5 6 7" xfId="8246" xr:uid="{00000000-0005-0000-0000-00001E9C0000}"/>
    <cellStyle name="Currency 5 6 7 2" xfId="22780" xr:uid="{00000000-0005-0000-0000-00001F9C0000}"/>
    <cellStyle name="Currency 5 6 7 2 2" xfId="51786" xr:uid="{00000000-0005-0000-0000-0000209C0000}"/>
    <cellStyle name="Currency 5 6 7 3" xfId="37287" xr:uid="{00000000-0005-0000-0000-0000219C0000}"/>
    <cellStyle name="Currency 5 6 8" xfId="15532" xr:uid="{00000000-0005-0000-0000-0000229C0000}"/>
    <cellStyle name="Currency 5 6 8 2" xfId="44538" xr:uid="{00000000-0005-0000-0000-0000239C0000}"/>
    <cellStyle name="Currency 5 6 9" xfId="30039" xr:uid="{00000000-0005-0000-0000-0000249C0000}"/>
    <cellStyle name="Currency 5 7" xfId="321" xr:uid="{00000000-0005-0000-0000-0000259C0000}"/>
    <cellStyle name="Currency 5 7 2" xfId="2320" xr:uid="{00000000-0005-0000-0000-0000269C0000}"/>
    <cellStyle name="Currency 5 7 2 2" xfId="5424" xr:uid="{00000000-0005-0000-0000-0000279C0000}"/>
    <cellStyle name="Currency 5 7 2 2 2" xfId="12696" xr:uid="{00000000-0005-0000-0000-0000289C0000}"/>
    <cellStyle name="Currency 5 7 2 2 2 2" xfId="27230" xr:uid="{00000000-0005-0000-0000-0000299C0000}"/>
    <cellStyle name="Currency 5 7 2 2 2 2 2" xfId="56236" xr:uid="{00000000-0005-0000-0000-00002A9C0000}"/>
    <cellStyle name="Currency 5 7 2 2 2 3" xfId="41737" xr:uid="{00000000-0005-0000-0000-00002B9C0000}"/>
    <cellStyle name="Currency 5 7 2 2 3" xfId="19982" xr:uid="{00000000-0005-0000-0000-00002C9C0000}"/>
    <cellStyle name="Currency 5 7 2 2 3 2" xfId="48988" xr:uid="{00000000-0005-0000-0000-00002D9C0000}"/>
    <cellStyle name="Currency 5 7 2 2 4" xfId="34489" xr:uid="{00000000-0005-0000-0000-00002E9C0000}"/>
    <cellStyle name="Currency 5 7 2 3" xfId="9592" xr:uid="{00000000-0005-0000-0000-00002F9C0000}"/>
    <cellStyle name="Currency 5 7 2 3 2" xfId="24126" xr:uid="{00000000-0005-0000-0000-0000309C0000}"/>
    <cellStyle name="Currency 5 7 2 3 2 2" xfId="53132" xr:uid="{00000000-0005-0000-0000-0000319C0000}"/>
    <cellStyle name="Currency 5 7 2 3 3" xfId="38633" xr:uid="{00000000-0005-0000-0000-0000329C0000}"/>
    <cellStyle name="Currency 5 7 2 4" xfId="16878" xr:uid="{00000000-0005-0000-0000-0000339C0000}"/>
    <cellStyle name="Currency 5 7 2 4 2" xfId="45884" xr:uid="{00000000-0005-0000-0000-0000349C0000}"/>
    <cellStyle name="Currency 5 7 2 5" xfId="31385" xr:uid="{00000000-0005-0000-0000-0000359C0000}"/>
    <cellStyle name="Currency 5 7 3" xfId="3352" xr:uid="{00000000-0005-0000-0000-0000369C0000}"/>
    <cellStyle name="Currency 5 7 3 2" xfId="6456" xr:uid="{00000000-0005-0000-0000-0000379C0000}"/>
    <cellStyle name="Currency 5 7 3 2 2" xfId="13728" xr:uid="{00000000-0005-0000-0000-0000389C0000}"/>
    <cellStyle name="Currency 5 7 3 2 2 2" xfId="28262" xr:uid="{00000000-0005-0000-0000-0000399C0000}"/>
    <cellStyle name="Currency 5 7 3 2 2 2 2" xfId="57268" xr:uid="{00000000-0005-0000-0000-00003A9C0000}"/>
    <cellStyle name="Currency 5 7 3 2 2 3" xfId="42769" xr:uid="{00000000-0005-0000-0000-00003B9C0000}"/>
    <cellStyle name="Currency 5 7 3 2 3" xfId="21014" xr:uid="{00000000-0005-0000-0000-00003C9C0000}"/>
    <cellStyle name="Currency 5 7 3 2 3 2" xfId="50020" xr:uid="{00000000-0005-0000-0000-00003D9C0000}"/>
    <cellStyle name="Currency 5 7 3 2 4" xfId="35521" xr:uid="{00000000-0005-0000-0000-00003E9C0000}"/>
    <cellStyle name="Currency 5 7 3 3" xfId="10624" xr:uid="{00000000-0005-0000-0000-00003F9C0000}"/>
    <cellStyle name="Currency 5 7 3 3 2" xfId="25158" xr:uid="{00000000-0005-0000-0000-0000409C0000}"/>
    <cellStyle name="Currency 5 7 3 3 2 2" xfId="54164" xr:uid="{00000000-0005-0000-0000-0000419C0000}"/>
    <cellStyle name="Currency 5 7 3 3 3" xfId="39665" xr:uid="{00000000-0005-0000-0000-0000429C0000}"/>
    <cellStyle name="Currency 5 7 3 4" xfId="17910" xr:uid="{00000000-0005-0000-0000-0000439C0000}"/>
    <cellStyle name="Currency 5 7 3 4 2" xfId="46916" xr:uid="{00000000-0005-0000-0000-0000449C0000}"/>
    <cellStyle name="Currency 5 7 3 5" xfId="32417" xr:uid="{00000000-0005-0000-0000-0000459C0000}"/>
    <cellStyle name="Currency 5 7 4" xfId="4384" xr:uid="{00000000-0005-0000-0000-0000469C0000}"/>
    <cellStyle name="Currency 5 7 4 2" xfId="11656" xr:uid="{00000000-0005-0000-0000-0000479C0000}"/>
    <cellStyle name="Currency 5 7 4 2 2" xfId="26190" xr:uid="{00000000-0005-0000-0000-0000489C0000}"/>
    <cellStyle name="Currency 5 7 4 2 2 2" xfId="55196" xr:uid="{00000000-0005-0000-0000-0000499C0000}"/>
    <cellStyle name="Currency 5 7 4 2 3" xfId="40697" xr:uid="{00000000-0005-0000-0000-00004A9C0000}"/>
    <cellStyle name="Currency 5 7 4 3" xfId="18942" xr:uid="{00000000-0005-0000-0000-00004B9C0000}"/>
    <cellStyle name="Currency 5 7 4 3 2" xfId="47948" xr:uid="{00000000-0005-0000-0000-00004C9C0000}"/>
    <cellStyle name="Currency 5 7 4 4" xfId="33449" xr:uid="{00000000-0005-0000-0000-00004D9C0000}"/>
    <cellStyle name="Currency 5 7 5" xfId="7488" xr:uid="{00000000-0005-0000-0000-00004E9C0000}"/>
    <cellStyle name="Currency 5 7 5 2" xfId="14760" xr:uid="{00000000-0005-0000-0000-00004F9C0000}"/>
    <cellStyle name="Currency 5 7 5 2 2" xfId="29294" xr:uid="{00000000-0005-0000-0000-0000509C0000}"/>
    <cellStyle name="Currency 5 7 5 2 2 2" xfId="58300" xr:uid="{00000000-0005-0000-0000-0000519C0000}"/>
    <cellStyle name="Currency 5 7 5 2 3" xfId="43801" xr:uid="{00000000-0005-0000-0000-0000529C0000}"/>
    <cellStyle name="Currency 5 7 5 3" xfId="22046" xr:uid="{00000000-0005-0000-0000-0000539C0000}"/>
    <cellStyle name="Currency 5 7 5 3 2" xfId="51052" xr:uid="{00000000-0005-0000-0000-0000549C0000}"/>
    <cellStyle name="Currency 5 7 5 4" xfId="36553" xr:uid="{00000000-0005-0000-0000-0000559C0000}"/>
    <cellStyle name="Currency 5 7 6" xfId="8552" xr:uid="{00000000-0005-0000-0000-0000569C0000}"/>
    <cellStyle name="Currency 5 7 6 2" xfId="23086" xr:uid="{00000000-0005-0000-0000-0000579C0000}"/>
    <cellStyle name="Currency 5 7 6 2 2" xfId="52092" xr:uid="{00000000-0005-0000-0000-0000589C0000}"/>
    <cellStyle name="Currency 5 7 6 3" xfId="37593" xr:uid="{00000000-0005-0000-0000-0000599C0000}"/>
    <cellStyle name="Currency 5 7 7" xfId="15838" xr:uid="{00000000-0005-0000-0000-00005A9C0000}"/>
    <cellStyle name="Currency 5 7 7 2" xfId="44844" xr:uid="{00000000-0005-0000-0000-00005B9C0000}"/>
    <cellStyle name="Currency 5 7 8" xfId="30345" xr:uid="{00000000-0005-0000-0000-00005C9C0000}"/>
    <cellStyle name="Currency 5 7 9" xfId="59169" xr:uid="{00000000-0005-0000-0000-00005D9C0000}"/>
    <cellStyle name="Currency 5 8" xfId="1795" xr:uid="{00000000-0005-0000-0000-00005E9C0000}"/>
    <cellStyle name="Currency 5 8 2" xfId="2837" xr:uid="{00000000-0005-0000-0000-00005F9C0000}"/>
    <cellStyle name="Currency 5 8 2 2" xfId="5941" xr:uid="{00000000-0005-0000-0000-0000609C0000}"/>
    <cellStyle name="Currency 5 8 2 2 2" xfId="13213" xr:uid="{00000000-0005-0000-0000-0000619C0000}"/>
    <cellStyle name="Currency 5 8 2 2 2 2" xfId="27747" xr:uid="{00000000-0005-0000-0000-0000629C0000}"/>
    <cellStyle name="Currency 5 8 2 2 2 2 2" xfId="56753" xr:uid="{00000000-0005-0000-0000-0000639C0000}"/>
    <cellStyle name="Currency 5 8 2 2 2 3" xfId="42254" xr:uid="{00000000-0005-0000-0000-0000649C0000}"/>
    <cellStyle name="Currency 5 8 2 2 3" xfId="20499" xr:uid="{00000000-0005-0000-0000-0000659C0000}"/>
    <cellStyle name="Currency 5 8 2 2 3 2" xfId="49505" xr:uid="{00000000-0005-0000-0000-0000669C0000}"/>
    <cellStyle name="Currency 5 8 2 2 4" xfId="35006" xr:uid="{00000000-0005-0000-0000-0000679C0000}"/>
    <cellStyle name="Currency 5 8 2 3" xfId="10109" xr:uid="{00000000-0005-0000-0000-0000689C0000}"/>
    <cellStyle name="Currency 5 8 2 3 2" xfId="24643" xr:uid="{00000000-0005-0000-0000-0000699C0000}"/>
    <cellStyle name="Currency 5 8 2 3 2 2" xfId="53649" xr:uid="{00000000-0005-0000-0000-00006A9C0000}"/>
    <cellStyle name="Currency 5 8 2 3 3" xfId="39150" xr:uid="{00000000-0005-0000-0000-00006B9C0000}"/>
    <cellStyle name="Currency 5 8 2 4" xfId="17395" xr:uid="{00000000-0005-0000-0000-00006C9C0000}"/>
    <cellStyle name="Currency 5 8 2 4 2" xfId="46401" xr:uid="{00000000-0005-0000-0000-00006D9C0000}"/>
    <cellStyle name="Currency 5 8 2 5" xfId="31902" xr:uid="{00000000-0005-0000-0000-00006E9C0000}"/>
    <cellStyle name="Currency 5 8 3" xfId="3869" xr:uid="{00000000-0005-0000-0000-00006F9C0000}"/>
    <cellStyle name="Currency 5 8 3 2" xfId="6973" xr:uid="{00000000-0005-0000-0000-0000709C0000}"/>
    <cellStyle name="Currency 5 8 3 2 2" xfId="14245" xr:uid="{00000000-0005-0000-0000-0000719C0000}"/>
    <cellStyle name="Currency 5 8 3 2 2 2" xfId="28779" xr:uid="{00000000-0005-0000-0000-0000729C0000}"/>
    <cellStyle name="Currency 5 8 3 2 2 2 2" xfId="57785" xr:uid="{00000000-0005-0000-0000-0000739C0000}"/>
    <cellStyle name="Currency 5 8 3 2 2 3" xfId="43286" xr:uid="{00000000-0005-0000-0000-0000749C0000}"/>
    <cellStyle name="Currency 5 8 3 2 3" xfId="21531" xr:uid="{00000000-0005-0000-0000-0000759C0000}"/>
    <cellStyle name="Currency 5 8 3 2 3 2" xfId="50537" xr:uid="{00000000-0005-0000-0000-0000769C0000}"/>
    <cellStyle name="Currency 5 8 3 2 4" xfId="36038" xr:uid="{00000000-0005-0000-0000-0000779C0000}"/>
    <cellStyle name="Currency 5 8 3 3" xfId="11141" xr:uid="{00000000-0005-0000-0000-0000789C0000}"/>
    <cellStyle name="Currency 5 8 3 3 2" xfId="25675" xr:uid="{00000000-0005-0000-0000-0000799C0000}"/>
    <cellStyle name="Currency 5 8 3 3 2 2" xfId="54681" xr:uid="{00000000-0005-0000-0000-00007A9C0000}"/>
    <cellStyle name="Currency 5 8 3 3 3" xfId="40182" xr:uid="{00000000-0005-0000-0000-00007B9C0000}"/>
    <cellStyle name="Currency 5 8 3 4" xfId="18427" xr:uid="{00000000-0005-0000-0000-00007C9C0000}"/>
    <cellStyle name="Currency 5 8 3 4 2" xfId="47433" xr:uid="{00000000-0005-0000-0000-00007D9C0000}"/>
    <cellStyle name="Currency 5 8 3 5" xfId="32934" xr:uid="{00000000-0005-0000-0000-00007E9C0000}"/>
    <cellStyle name="Currency 5 8 4" xfId="4901" xr:uid="{00000000-0005-0000-0000-00007F9C0000}"/>
    <cellStyle name="Currency 5 8 4 2" xfId="12173" xr:uid="{00000000-0005-0000-0000-0000809C0000}"/>
    <cellStyle name="Currency 5 8 4 2 2" xfId="26707" xr:uid="{00000000-0005-0000-0000-0000819C0000}"/>
    <cellStyle name="Currency 5 8 4 2 2 2" xfId="55713" xr:uid="{00000000-0005-0000-0000-0000829C0000}"/>
    <cellStyle name="Currency 5 8 4 2 3" xfId="41214" xr:uid="{00000000-0005-0000-0000-0000839C0000}"/>
    <cellStyle name="Currency 5 8 4 3" xfId="19459" xr:uid="{00000000-0005-0000-0000-0000849C0000}"/>
    <cellStyle name="Currency 5 8 4 3 2" xfId="48465" xr:uid="{00000000-0005-0000-0000-0000859C0000}"/>
    <cellStyle name="Currency 5 8 4 4" xfId="33966" xr:uid="{00000000-0005-0000-0000-0000869C0000}"/>
    <cellStyle name="Currency 5 8 5" xfId="8005" xr:uid="{00000000-0005-0000-0000-0000879C0000}"/>
    <cellStyle name="Currency 5 8 5 2" xfId="15277" xr:uid="{00000000-0005-0000-0000-0000889C0000}"/>
    <cellStyle name="Currency 5 8 5 2 2" xfId="29811" xr:uid="{00000000-0005-0000-0000-0000899C0000}"/>
    <cellStyle name="Currency 5 8 5 2 2 2" xfId="58817" xr:uid="{00000000-0005-0000-0000-00008A9C0000}"/>
    <cellStyle name="Currency 5 8 5 2 3" xfId="44318" xr:uid="{00000000-0005-0000-0000-00008B9C0000}"/>
    <cellStyle name="Currency 5 8 5 3" xfId="22563" xr:uid="{00000000-0005-0000-0000-00008C9C0000}"/>
    <cellStyle name="Currency 5 8 5 3 2" xfId="51569" xr:uid="{00000000-0005-0000-0000-00008D9C0000}"/>
    <cellStyle name="Currency 5 8 5 4" xfId="37070" xr:uid="{00000000-0005-0000-0000-00008E9C0000}"/>
    <cellStyle name="Currency 5 8 6" xfId="9069" xr:uid="{00000000-0005-0000-0000-00008F9C0000}"/>
    <cellStyle name="Currency 5 8 6 2" xfId="23603" xr:uid="{00000000-0005-0000-0000-0000909C0000}"/>
    <cellStyle name="Currency 5 8 6 2 2" xfId="52609" xr:uid="{00000000-0005-0000-0000-0000919C0000}"/>
    <cellStyle name="Currency 5 8 6 3" xfId="38110" xr:uid="{00000000-0005-0000-0000-0000929C0000}"/>
    <cellStyle name="Currency 5 8 7" xfId="16355" xr:uid="{00000000-0005-0000-0000-0000939C0000}"/>
    <cellStyle name="Currency 5 8 7 2" xfId="45361" xr:uid="{00000000-0005-0000-0000-0000949C0000}"/>
    <cellStyle name="Currency 5 8 8" xfId="30862" xr:uid="{00000000-0005-0000-0000-0000959C0000}"/>
    <cellStyle name="Currency 5 8 9" xfId="59488" xr:uid="{00000000-0005-0000-0000-0000969C0000}"/>
    <cellStyle name="Currency 5 9" xfId="1805" xr:uid="{00000000-0005-0000-0000-0000979C0000}"/>
    <cellStyle name="Currency 5 9 2" xfId="4909" xr:uid="{00000000-0005-0000-0000-0000989C0000}"/>
    <cellStyle name="Currency 5 9 2 2" xfId="12181" xr:uid="{00000000-0005-0000-0000-0000999C0000}"/>
    <cellStyle name="Currency 5 9 2 2 2" xfId="26715" xr:uid="{00000000-0005-0000-0000-00009A9C0000}"/>
    <cellStyle name="Currency 5 9 2 2 2 2" xfId="55721" xr:uid="{00000000-0005-0000-0000-00009B9C0000}"/>
    <cellStyle name="Currency 5 9 2 2 3" xfId="41222" xr:uid="{00000000-0005-0000-0000-00009C9C0000}"/>
    <cellStyle name="Currency 5 9 2 3" xfId="19467" xr:uid="{00000000-0005-0000-0000-00009D9C0000}"/>
    <cellStyle name="Currency 5 9 2 3 2" xfId="48473" xr:uid="{00000000-0005-0000-0000-00009E9C0000}"/>
    <cellStyle name="Currency 5 9 2 4" xfId="33974" xr:uid="{00000000-0005-0000-0000-00009F9C0000}"/>
    <cellStyle name="Currency 5 9 3" xfId="9077" xr:uid="{00000000-0005-0000-0000-0000A09C0000}"/>
    <cellStyle name="Currency 5 9 3 2" xfId="23611" xr:uid="{00000000-0005-0000-0000-0000A19C0000}"/>
    <cellStyle name="Currency 5 9 3 2 2" xfId="52617" xr:uid="{00000000-0005-0000-0000-0000A29C0000}"/>
    <cellStyle name="Currency 5 9 3 3" xfId="38118" xr:uid="{00000000-0005-0000-0000-0000A39C0000}"/>
    <cellStyle name="Currency 5 9 4" xfId="16363" xr:uid="{00000000-0005-0000-0000-0000A49C0000}"/>
    <cellStyle name="Currency 5 9 4 2" xfId="45369" xr:uid="{00000000-0005-0000-0000-0000A59C0000}"/>
    <cellStyle name="Currency 5 9 5" xfId="30870" xr:uid="{00000000-0005-0000-0000-0000A69C0000}"/>
    <cellStyle name="Currency 6" xfId="104" xr:uid="{00000000-0005-0000-0000-0000A79C0000}"/>
    <cellStyle name="Currency 6 10" xfId="3890" xr:uid="{00000000-0005-0000-0000-0000A89C0000}"/>
    <cellStyle name="Currency 6 10 2" xfId="11162" xr:uid="{00000000-0005-0000-0000-0000A99C0000}"/>
    <cellStyle name="Currency 6 10 2 2" xfId="25696" xr:uid="{00000000-0005-0000-0000-0000AA9C0000}"/>
    <cellStyle name="Currency 6 10 2 2 2" xfId="54702" xr:uid="{00000000-0005-0000-0000-0000AB9C0000}"/>
    <cellStyle name="Currency 6 10 2 3" xfId="40203" xr:uid="{00000000-0005-0000-0000-0000AC9C0000}"/>
    <cellStyle name="Currency 6 10 3" xfId="18448" xr:uid="{00000000-0005-0000-0000-0000AD9C0000}"/>
    <cellStyle name="Currency 6 10 3 2" xfId="47454" xr:uid="{00000000-0005-0000-0000-0000AE9C0000}"/>
    <cellStyle name="Currency 6 10 4" xfId="32955" xr:uid="{00000000-0005-0000-0000-0000AF9C0000}"/>
    <cellStyle name="Currency 6 11" xfId="6994" xr:uid="{00000000-0005-0000-0000-0000B09C0000}"/>
    <cellStyle name="Currency 6 11 2" xfId="14266" xr:uid="{00000000-0005-0000-0000-0000B19C0000}"/>
    <cellStyle name="Currency 6 11 2 2" xfId="28800" xr:uid="{00000000-0005-0000-0000-0000B29C0000}"/>
    <cellStyle name="Currency 6 11 2 2 2" xfId="57806" xr:uid="{00000000-0005-0000-0000-0000B39C0000}"/>
    <cellStyle name="Currency 6 11 2 3" xfId="43307" xr:uid="{00000000-0005-0000-0000-0000B49C0000}"/>
    <cellStyle name="Currency 6 11 3" xfId="21552" xr:uid="{00000000-0005-0000-0000-0000B59C0000}"/>
    <cellStyle name="Currency 6 11 3 2" xfId="50558" xr:uid="{00000000-0005-0000-0000-0000B69C0000}"/>
    <cellStyle name="Currency 6 11 4" xfId="36059" xr:uid="{00000000-0005-0000-0000-0000B79C0000}"/>
    <cellStyle name="Currency 6 12" xfId="8058" xr:uid="{00000000-0005-0000-0000-0000B89C0000}"/>
    <cellStyle name="Currency 6 12 2" xfId="22592" xr:uid="{00000000-0005-0000-0000-0000B99C0000}"/>
    <cellStyle name="Currency 6 12 2 2" xfId="51598" xr:uid="{00000000-0005-0000-0000-0000BA9C0000}"/>
    <cellStyle name="Currency 6 12 3" xfId="37099" xr:uid="{00000000-0005-0000-0000-0000BB9C0000}"/>
    <cellStyle name="Currency 6 13" xfId="15344" xr:uid="{00000000-0005-0000-0000-0000BC9C0000}"/>
    <cellStyle name="Currency 6 13 2" xfId="44350" xr:uid="{00000000-0005-0000-0000-0000BD9C0000}"/>
    <cellStyle name="Currency 6 14" xfId="29851" xr:uid="{00000000-0005-0000-0000-0000BE9C0000}"/>
    <cellStyle name="Currency 6 15" xfId="58849" xr:uid="{00000000-0005-0000-0000-0000BF9C0000}"/>
    <cellStyle name="Currency 6 16" xfId="58870" xr:uid="{00000000-0005-0000-0000-0000C09C0000}"/>
    <cellStyle name="Currency 6 17" xfId="58935" xr:uid="{00000000-0005-0000-0000-0000C19C0000}"/>
    <cellStyle name="Currency 6 18" xfId="59136" xr:uid="{00000000-0005-0000-0000-0000C29C0000}"/>
    <cellStyle name="Currency 6 2" xfId="162" xr:uid="{00000000-0005-0000-0000-0000C39C0000}"/>
    <cellStyle name="Currency 6 2 10" xfId="7018" xr:uid="{00000000-0005-0000-0000-0000C49C0000}"/>
    <cellStyle name="Currency 6 2 10 2" xfId="14290" xr:uid="{00000000-0005-0000-0000-0000C59C0000}"/>
    <cellStyle name="Currency 6 2 10 2 2" xfId="28824" xr:uid="{00000000-0005-0000-0000-0000C69C0000}"/>
    <cellStyle name="Currency 6 2 10 2 2 2" xfId="57830" xr:uid="{00000000-0005-0000-0000-0000C79C0000}"/>
    <cellStyle name="Currency 6 2 10 2 3" xfId="43331" xr:uid="{00000000-0005-0000-0000-0000C89C0000}"/>
    <cellStyle name="Currency 6 2 10 3" xfId="21576" xr:uid="{00000000-0005-0000-0000-0000C99C0000}"/>
    <cellStyle name="Currency 6 2 10 3 2" xfId="50582" xr:uid="{00000000-0005-0000-0000-0000CA9C0000}"/>
    <cellStyle name="Currency 6 2 10 4" xfId="36083" xr:uid="{00000000-0005-0000-0000-0000CB9C0000}"/>
    <cellStyle name="Currency 6 2 11" xfId="8082" xr:uid="{00000000-0005-0000-0000-0000CC9C0000}"/>
    <cellStyle name="Currency 6 2 11 2" xfId="22616" xr:uid="{00000000-0005-0000-0000-0000CD9C0000}"/>
    <cellStyle name="Currency 6 2 11 2 2" xfId="51622" xr:uid="{00000000-0005-0000-0000-0000CE9C0000}"/>
    <cellStyle name="Currency 6 2 11 3" xfId="37123" xr:uid="{00000000-0005-0000-0000-0000CF9C0000}"/>
    <cellStyle name="Currency 6 2 12" xfId="15368" xr:uid="{00000000-0005-0000-0000-0000D09C0000}"/>
    <cellStyle name="Currency 6 2 12 2" xfId="44374" xr:uid="{00000000-0005-0000-0000-0000D19C0000}"/>
    <cellStyle name="Currency 6 2 13" xfId="29875" xr:uid="{00000000-0005-0000-0000-0000D29C0000}"/>
    <cellStyle name="Currency 6 2 14" xfId="58892" xr:uid="{00000000-0005-0000-0000-0000D39C0000}"/>
    <cellStyle name="Currency 6 2 15" xfId="58986" xr:uid="{00000000-0005-0000-0000-0000D49C0000}"/>
    <cellStyle name="Currency 6 2 16" xfId="59208" xr:uid="{00000000-0005-0000-0000-0000D59C0000}"/>
    <cellStyle name="Currency 6 2 2" xfId="236" xr:uid="{00000000-0005-0000-0000-0000D69C0000}"/>
    <cellStyle name="Currency 6 2 2 10" xfId="8134" xr:uid="{00000000-0005-0000-0000-0000D79C0000}"/>
    <cellStyle name="Currency 6 2 2 10 2" xfId="22668" xr:uid="{00000000-0005-0000-0000-0000D89C0000}"/>
    <cellStyle name="Currency 6 2 2 10 2 2" xfId="51674" xr:uid="{00000000-0005-0000-0000-0000D99C0000}"/>
    <cellStyle name="Currency 6 2 2 10 3" xfId="37175" xr:uid="{00000000-0005-0000-0000-0000DA9C0000}"/>
    <cellStyle name="Currency 6 2 2 11" xfId="15420" xr:uid="{00000000-0005-0000-0000-0000DB9C0000}"/>
    <cellStyle name="Currency 6 2 2 11 2" xfId="44426" xr:uid="{00000000-0005-0000-0000-0000DC9C0000}"/>
    <cellStyle name="Currency 6 2 2 12" xfId="29927" xr:uid="{00000000-0005-0000-0000-0000DD9C0000}"/>
    <cellStyle name="Currency 6 2 2 13" xfId="58912" xr:uid="{00000000-0005-0000-0000-0000DE9C0000}"/>
    <cellStyle name="Currency 6 2 2 14" xfId="59060" xr:uid="{00000000-0005-0000-0000-0000DF9C0000}"/>
    <cellStyle name="Currency 6 2 2 15" xfId="59262" xr:uid="{00000000-0005-0000-0000-0000E09C0000}"/>
    <cellStyle name="Currency 6 2 2 2" xfId="544" xr:uid="{00000000-0005-0000-0000-0000E19C0000}"/>
    <cellStyle name="Currency 6 2 2 2 10" xfId="30030" xr:uid="{00000000-0005-0000-0000-0000E29C0000}"/>
    <cellStyle name="Currency 6 2 2 2 11" xfId="59405" xr:uid="{00000000-0005-0000-0000-0000E39C0000}"/>
    <cellStyle name="Currency 6 2 2 2 2" xfId="1258" xr:uid="{00000000-0005-0000-0000-0000E49C0000}"/>
    <cellStyle name="Currency 6 2 2 2 2 2" xfId="1764" xr:uid="{00000000-0005-0000-0000-0000E59C0000}"/>
    <cellStyle name="Currency 6 2 2 2 2 2 2" xfId="2823" xr:uid="{00000000-0005-0000-0000-0000E69C0000}"/>
    <cellStyle name="Currency 6 2 2 2 2 2 2 2" xfId="5927" xr:uid="{00000000-0005-0000-0000-0000E79C0000}"/>
    <cellStyle name="Currency 6 2 2 2 2 2 2 2 2" xfId="13199" xr:uid="{00000000-0005-0000-0000-0000E89C0000}"/>
    <cellStyle name="Currency 6 2 2 2 2 2 2 2 2 2" xfId="27733" xr:uid="{00000000-0005-0000-0000-0000E99C0000}"/>
    <cellStyle name="Currency 6 2 2 2 2 2 2 2 2 2 2" xfId="56739" xr:uid="{00000000-0005-0000-0000-0000EA9C0000}"/>
    <cellStyle name="Currency 6 2 2 2 2 2 2 2 2 3" xfId="42240" xr:uid="{00000000-0005-0000-0000-0000EB9C0000}"/>
    <cellStyle name="Currency 6 2 2 2 2 2 2 2 3" xfId="20485" xr:uid="{00000000-0005-0000-0000-0000EC9C0000}"/>
    <cellStyle name="Currency 6 2 2 2 2 2 2 2 3 2" xfId="49491" xr:uid="{00000000-0005-0000-0000-0000ED9C0000}"/>
    <cellStyle name="Currency 6 2 2 2 2 2 2 2 4" xfId="34992" xr:uid="{00000000-0005-0000-0000-0000EE9C0000}"/>
    <cellStyle name="Currency 6 2 2 2 2 2 2 3" xfId="10095" xr:uid="{00000000-0005-0000-0000-0000EF9C0000}"/>
    <cellStyle name="Currency 6 2 2 2 2 2 2 3 2" xfId="24629" xr:uid="{00000000-0005-0000-0000-0000F09C0000}"/>
    <cellStyle name="Currency 6 2 2 2 2 2 2 3 2 2" xfId="53635" xr:uid="{00000000-0005-0000-0000-0000F19C0000}"/>
    <cellStyle name="Currency 6 2 2 2 2 2 2 3 3" xfId="39136" xr:uid="{00000000-0005-0000-0000-0000F29C0000}"/>
    <cellStyle name="Currency 6 2 2 2 2 2 2 4" xfId="17381" xr:uid="{00000000-0005-0000-0000-0000F39C0000}"/>
    <cellStyle name="Currency 6 2 2 2 2 2 2 4 2" xfId="46387" xr:uid="{00000000-0005-0000-0000-0000F49C0000}"/>
    <cellStyle name="Currency 6 2 2 2 2 2 2 5" xfId="31888" xr:uid="{00000000-0005-0000-0000-0000F59C0000}"/>
    <cellStyle name="Currency 6 2 2 2 2 2 3" xfId="3855" xr:uid="{00000000-0005-0000-0000-0000F69C0000}"/>
    <cellStyle name="Currency 6 2 2 2 2 2 3 2" xfId="6959" xr:uid="{00000000-0005-0000-0000-0000F79C0000}"/>
    <cellStyle name="Currency 6 2 2 2 2 2 3 2 2" xfId="14231" xr:uid="{00000000-0005-0000-0000-0000F89C0000}"/>
    <cellStyle name="Currency 6 2 2 2 2 2 3 2 2 2" xfId="28765" xr:uid="{00000000-0005-0000-0000-0000F99C0000}"/>
    <cellStyle name="Currency 6 2 2 2 2 2 3 2 2 2 2" xfId="57771" xr:uid="{00000000-0005-0000-0000-0000FA9C0000}"/>
    <cellStyle name="Currency 6 2 2 2 2 2 3 2 2 3" xfId="43272" xr:uid="{00000000-0005-0000-0000-0000FB9C0000}"/>
    <cellStyle name="Currency 6 2 2 2 2 2 3 2 3" xfId="21517" xr:uid="{00000000-0005-0000-0000-0000FC9C0000}"/>
    <cellStyle name="Currency 6 2 2 2 2 2 3 2 3 2" xfId="50523" xr:uid="{00000000-0005-0000-0000-0000FD9C0000}"/>
    <cellStyle name="Currency 6 2 2 2 2 2 3 2 4" xfId="36024" xr:uid="{00000000-0005-0000-0000-0000FE9C0000}"/>
    <cellStyle name="Currency 6 2 2 2 2 2 3 3" xfId="11127" xr:uid="{00000000-0005-0000-0000-0000FF9C0000}"/>
    <cellStyle name="Currency 6 2 2 2 2 2 3 3 2" xfId="25661" xr:uid="{00000000-0005-0000-0000-0000009D0000}"/>
    <cellStyle name="Currency 6 2 2 2 2 2 3 3 2 2" xfId="54667" xr:uid="{00000000-0005-0000-0000-0000019D0000}"/>
    <cellStyle name="Currency 6 2 2 2 2 2 3 3 3" xfId="40168" xr:uid="{00000000-0005-0000-0000-0000029D0000}"/>
    <cellStyle name="Currency 6 2 2 2 2 2 3 4" xfId="18413" xr:uid="{00000000-0005-0000-0000-0000039D0000}"/>
    <cellStyle name="Currency 6 2 2 2 2 2 3 4 2" xfId="47419" xr:uid="{00000000-0005-0000-0000-0000049D0000}"/>
    <cellStyle name="Currency 6 2 2 2 2 2 3 5" xfId="32920" xr:uid="{00000000-0005-0000-0000-0000059D0000}"/>
    <cellStyle name="Currency 6 2 2 2 2 2 4" xfId="4887" xr:uid="{00000000-0005-0000-0000-0000069D0000}"/>
    <cellStyle name="Currency 6 2 2 2 2 2 4 2" xfId="12159" xr:uid="{00000000-0005-0000-0000-0000079D0000}"/>
    <cellStyle name="Currency 6 2 2 2 2 2 4 2 2" xfId="26693" xr:uid="{00000000-0005-0000-0000-0000089D0000}"/>
    <cellStyle name="Currency 6 2 2 2 2 2 4 2 2 2" xfId="55699" xr:uid="{00000000-0005-0000-0000-0000099D0000}"/>
    <cellStyle name="Currency 6 2 2 2 2 2 4 2 3" xfId="41200" xr:uid="{00000000-0005-0000-0000-00000A9D0000}"/>
    <cellStyle name="Currency 6 2 2 2 2 2 4 3" xfId="19445" xr:uid="{00000000-0005-0000-0000-00000B9D0000}"/>
    <cellStyle name="Currency 6 2 2 2 2 2 4 3 2" xfId="48451" xr:uid="{00000000-0005-0000-0000-00000C9D0000}"/>
    <cellStyle name="Currency 6 2 2 2 2 2 4 4" xfId="33952" xr:uid="{00000000-0005-0000-0000-00000D9D0000}"/>
    <cellStyle name="Currency 6 2 2 2 2 2 5" xfId="7991" xr:uid="{00000000-0005-0000-0000-00000E9D0000}"/>
    <cellStyle name="Currency 6 2 2 2 2 2 5 2" xfId="15263" xr:uid="{00000000-0005-0000-0000-00000F9D0000}"/>
    <cellStyle name="Currency 6 2 2 2 2 2 5 2 2" xfId="29797" xr:uid="{00000000-0005-0000-0000-0000109D0000}"/>
    <cellStyle name="Currency 6 2 2 2 2 2 5 2 2 2" xfId="58803" xr:uid="{00000000-0005-0000-0000-0000119D0000}"/>
    <cellStyle name="Currency 6 2 2 2 2 2 5 2 3" xfId="44304" xr:uid="{00000000-0005-0000-0000-0000129D0000}"/>
    <cellStyle name="Currency 6 2 2 2 2 2 5 3" xfId="22549" xr:uid="{00000000-0005-0000-0000-0000139D0000}"/>
    <cellStyle name="Currency 6 2 2 2 2 2 5 3 2" xfId="51555" xr:uid="{00000000-0005-0000-0000-0000149D0000}"/>
    <cellStyle name="Currency 6 2 2 2 2 2 5 4" xfId="37056" xr:uid="{00000000-0005-0000-0000-0000159D0000}"/>
    <cellStyle name="Currency 6 2 2 2 2 2 6" xfId="9055" xr:uid="{00000000-0005-0000-0000-0000169D0000}"/>
    <cellStyle name="Currency 6 2 2 2 2 2 6 2" xfId="23589" xr:uid="{00000000-0005-0000-0000-0000179D0000}"/>
    <cellStyle name="Currency 6 2 2 2 2 2 6 2 2" xfId="52595" xr:uid="{00000000-0005-0000-0000-0000189D0000}"/>
    <cellStyle name="Currency 6 2 2 2 2 2 6 3" xfId="38096" xr:uid="{00000000-0005-0000-0000-0000199D0000}"/>
    <cellStyle name="Currency 6 2 2 2 2 2 7" xfId="16341" xr:uid="{00000000-0005-0000-0000-00001A9D0000}"/>
    <cellStyle name="Currency 6 2 2 2 2 2 7 2" xfId="45347" xr:uid="{00000000-0005-0000-0000-00001B9D0000}"/>
    <cellStyle name="Currency 6 2 2 2 2 2 8" xfId="30848" xr:uid="{00000000-0005-0000-0000-00001C9D0000}"/>
    <cellStyle name="Currency 6 2 2 2 2 3" xfId="2311" xr:uid="{00000000-0005-0000-0000-00001D9D0000}"/>
    <cellStyle name="Currency 6 2 2 2 2 3 2" xfId="5415" xr:uid="{00000000-0005-0000-0000-00001E9D0000}"/>
    <cellStyle name="Currency 6 2 2 2 2 3 2 2" xfId="12687" xr:uid="{00000000-0005-0000-0000-00001F9D0000}"/>
    <cellStyle name="Currency 6 2 2 2 2 3 2 2 2" xfId="27221" xr:uid="{00000000-0005-0000-0000-0000209D0000}"/>
    <cellStyle name="Currency 6 2 2 2 2 3 2 2 2 2" xfId="56227" xr:uid="{00000000-0005-0000-0000-0000219D0000}"/>
    <cellStyle name="Currency 6 2 2 2 2 3 2 2 3" xfId="41728" xr:uid="{00000000-0005-0000-0000-0000229D0000}"/>
    <cellStyle name="Currency 6 2 2 2 2 3 2 3" xfId="19973" xr:uid="{00000000-0005-0000-0000-0000239D0000}"/>
    <cellStyle name="Currency 6 2 2 2 2 3 2 3 2" xfId="48979" xr:uid="{00000000-0005-0000-0000-0000249D0000}"/>
    <cellStyle name="Currency 6 2 2 2 2 3 2 4" xfId="34480" xr:uid="{00000000-0005-0000-0000-0000259D0000}"/>
    <cellStyle name="Currency 6 2 2 2 2 3 3" xfId="9583" xr:uid="{00000000-0005-0000-0000-0000269D0000}"/>
    <cellStyle name="Currency 6 2 2 2 2 3 3 2" xfId="24117" xr:uid="{00000000-0005-0000-0000-0000279D0000}"/>
    <cellStyle name="Currency 6 2 2 2 2 3 3 2 2" xfId="53123" xr:uid="{00000000-0005-0000-0000-0000289D0000}"/>
    <cellStyle name="Currency 6 2 2 2 2 3 3 3" xfId="38624" xr:uid="{00000000-0005-0000-0000-0000299D0000}"/>
    <cellStyle name="Currency 6 2 2 2 2 3 4" xfId="16869" xr:uid="{00000000-0005-0000-0000-00002A9D0000}"/>
    <cellStyle name="Currency 6 2 2 2 2 3 4 2" xfId="45875" xr:uid="{00000000-0005-0000-0000-00002B9D0000}"/>
    <cellStyle name="Currency 6 2 2 2 2 3 5" xfId="31376" xr:uid="{00000000-0005-0000-0000-00002C9D0000}"/>
    <cellStyle name="Currency 6 2 2 2 2 4" xfId="3343" xr:uid="{00000000-0005-0000-0000-00002D9D0000}"/>
    <cellStyle name="Currency 6 2 2 2 2 4 2" xfId="6447" xr:uid="{00000000-0005-0000-0000-00002E9D0000}"/>
    <cellStyle name="Currency 6 2 2 2 2 4 2 2" xfId="13719" xr:uid="{00000000-0005-0000-0000-00002F9D0000}"/>
    <cellStyle name="Currency 6 2 2 2 2 4 2 2 2" xfId="28253" xr:uid="{00000000-0005-0000-0000-0000309D0000}"/>
    <cellStyle name="Currency 6 2 2 2 2 4 2 2 2 2" xfId="57259" xr:uid="{00000000-0005-0000-0000-0000319D0000}"/>
    <cellStyle name="Currency 6 2 2 2 2 4 2 2 3" xfId="42760" xr:uid="{00000000-0005-0000-0000-0000329D0000}"/>
    <cellStyle name="Currency 6 2 2 2 2 4 2 3" xfId="21005" xr:uid="{00000000-0005-0000-0000-0000339D0000}"/>
    <cellStyle name="Currency 6 2 2 2 2 4 2 3 2" xfId="50011" xr:uid="{00000000-0005-0000-0000-0000349D0000}"/>
    <cellStyle name="Currency 6 2 2 2 2 4 2 4" xfId="35512" xr:uid="{00000000-0005-0000-0000-0000359D0000}"/>
    <cellStyle name="Currency 6 2 2 2 2 4 3" xfId="10615" xr:uid="{00000000-0005-0000-0000-0000369D0000}"/>
    <cellStyle name="Currency 6 2 2 2 2 4 3 2" xfId="25149" xr:uid="{00000000-0005-0000-0000-0000379D0000}"/>
    <cellStyle name="Currency 6 2 2 2 2 4 3 2 2" xfId="54155" xr:uid="{00000000-0005-0000-0000-0000389D0000}"/>
    <cellStyle name="Currency 6 2 2 2 2 4 3 3" xfId="39656" xr:uid="{00000000-0005-0000-0000-0000399D0000}"/>
    <cellStyle name="Currency 6 2 2 2 2 4 4" xfId="17901" xr:uid="{00000000-0005-0000-0000-00003A9D0000}"/>
    <cellStyle name="Currency 6 2 2 2 2 4 4 2" xfId="46907" xr:uid="{00000000-0005-0000-0000-00003B9D0000}"/>
    <cellStyle name="Currency 6 2 2 2 2 4 5" xfId="32408" xr:uid="{00000000-0005-0000-0000-00003C9D0000}"/>
    <cellStyle name="Currency 6 2 2 2 2 5" xfId="4375" xr:uid="{00000000-0005-0000-0000-00003D9D0000}"/>
    <cellStyle name="Currency 6 2 2 2 2 5 2" xfId="11647" xr:uid="{00000000-0005-0000-0000-00003E9D0000}"/>
    <cellStyle name="Currency 6 2 2 2 2 5 2 2" xfId="26181" xr:uid="{00000000-0005-0000-0000-00003F9D0000}"/>
    <cellStyle name="Currency 6 2 2 2 2 5 2 2 2" xfId="55187" xr:uid="{00000000-0005-0000-0000-0000409D0000}"/>
    <cellStyle name="Currency 6 2 2 2 2 5 2 3" xfId="40688" xr:uid="{00000000-0005-0000-0000-0000419D0000}"/>
    <cellStyle name="Currency 6 2 2 2 2 5 3" xfId="18933" xr:uid="{00000000-0005-0000-0000-0000429D0000}"/>
    <cellStyle name="Currency 6 2 2 2 2 5 3 2" xfId="47939" xr:uid="{00000000-0005-0000-0000-0000439D0000}"/>
    <cellStyle name="Currency 6 2 2 2 2 5 4" xfId="33440" xr:uid="{00000000-0005-0000-0000-0000449D0000}"/>
    <cellStyle name="Currency 6 2 2 2 2 6" xfId="7479" xr:uid="{00000000-0005-0000-0000-0000459D0000}"/>
    <cellStyle name="Currency 6 2 2 2 2 6 2" xfId="14751" xr:uid="{00000000-0005-0000-0000-0000469D0000}"/>
    <cellStyle name="Currency 6 2 2 2 2 6 2 2" xfId="29285" xr:uid="{00000000-0005-0000-0000-0000479D0000}"/>
    <cellStyle name="Currency 6 2 2 2 2 6 2 2 2" xfId="58291" xr:uid="{00000000-0005-0000-0000-0000489D0000}"/>
    <cellStyle name="Currency 6 2 2 2 2 6 2 3" xfId="43792" xr:uid="{00000000-0005-0000-0000-0000499D0000}"/>
    <cellStyle name="Currency 6 2 2 2 2 6 3" xfId="22037" xr:uid="{00000000-0005-0000-0000-00004A9D0000}"/>
    <cellStyle name="Currency 6 2 2 2 2 6 3 2" xfId="51043" xr:uid="{00000000-0005-0000-0000-00004B9D0000}"/>
    <cellStyle name="Currency 6 2 2 2 2 6 4" xfId="36544" xr:uid="{00000000-0005-0000-0000-00004C9D0000}"/>
    <cellStyle name="Currency 6 2 2 2 2 7" xfId="8543" xr:uid="{00000000-0005-0000-0000-00004D9D0000}"/>
    <cellStyle name="Currency 6 2 2 2 2 7 2" xfId="23077" xr:uid="{00000000-0005-0000-0000-00004E9D0000}"/>
    <cellStyle name="Currency 6 2 2 2 2 7 2 2" xfId="52083" xr:uid="{00000000-0005-0000-0000-00004F9D0000}"/>
    <cellStyle name="Currency 6 2 2 2 2 7 3" xfId="37584" xr:uid="{00000000-0005-0000-0000-0000509D0000}"/>
    <cellStyle name="Currency 6 2 2 2 2 8" xfId="15829" xr:uid="{00000000-0005-0000-0000-0000519D0000}"/>
    <cellStyle name="Currency 6 2 2 2 2 8 2" xfId="44835" xr:uid="{00000000-0005-0000-0000-0000529D0000}"/>
    <cellStyle name="Currency 6 2 2 2 2 9" xfId="30336" xr:uid="{00000000-0005-0000-0000-0000539D0000}"/>
    <cellStyle name="Currency 6 2 2 2 3" xfId="1459" xr:uid="{00000000-0005-0000-0000-0000549D0000}"/>
    <cellStyle name="Currency 6 2 2 2 3 2" xfId="2517" xr:uid="{00000000-0005-0000-0000-0000559D0000}"/>
    <cellStyle name="Currency 6 2 2 2 3 2 2" xfId="5621" xr:uid="{00000000-0005-0000-0000-0000569D0000}"/>
    <cellStyle name="Currency 6 2 2 2 3 2 2 2" xfId="12893" xr:uid="{00000000-0005-0000-0000-0000579D0000}"/>
    <cellStyle name="Currency 6 2 2 2 3 2 2 2 2" xfId="27427" xr:uid="{00000000-0005-0000-0000-0000589D0000}"/>
    <cellStyle name="Currency 6 2 2 2 3 2 2 2 2 2" xfId="56433" xr:uid="{00000000-0005-0000-0000-0000599D0000}"/>
    <cellStyle name="Currency 6 2 2 2 3 2 2 2 3" xfId="41934" xr:uid="{00000000-0005-0000-0000-00005A9D0000}"/>
    <cellStyle name="Currency 6 2 2 2 3 2 2 3" xfId="20179" xr:uid="{00000000-0005-0000-0000-00005B9D0000}"/>
    <cellStyle name="Currency 6 2 2 2 3 2 2 3 2" xfId="49185" xr:uid="{00000000-0005-0000-0000-00005C9D0000}"/>
    <cellStyle name="Currency 6 2 2 2 3 2 2 4" xfId="34686" xr:uid="{00000000-0005-0000-0000-00005D9D0000}"/>
    <cellStyle name="Currency 6 2 2 2 3 2 3" xfId="9789" xr:uid="{00000000-0005-0000-0000-00005E9D0000}"/>
    <cellStyle name="Currency 6 2 2 2 3 2 3 2" xfId="24323" xr:uid="{00000000-0005-0000-0000-00005F9D0000}"/>
    <cellStyle name="Currency 6 2 2 2 3 2 3 2 2" xfId="53329" xr:uid="{00000000-0005-0000-0000-0000609D0000}"/>
    <cellStyle name="Currency 6 2 2 2 3 2 3 3" xfId="38830" xr:uid="{00000000-0005-0000-0000-0000619D0000}"/>
    <cellStyle name="Currency 6 2 2 2 3 2 4" xfId="17075" xr:uid="{00000000-0005-0000-0000-0000629D0000}"/>
    <cellStyle name="Currency 6 2 2 2 3 2 4 2" xfId="46081" xr:uid="{00000000-0005-0000-0000-0000639D0000}"/>
    <cellStyle name="Currency 6 2 2 2 3 2 5" xfId="31582" xr:uid="{00000000-0005-0000-0000-0000649D0000}"/>
    <cellStyle name="Currency 6 2 2 2 3 3" xfId="3549" xr:uid="{00000000-0005-0000-0000-0000659D0000}"/>
    <cellStyle name="Currency 6 2 2 2 3 3 2" xfId="6653" xr:uid="{00000000-0005-0000-0000-0000669D0000}"/>
    <cellStyle name="Currency 6 2 2 2 3 3 2 2" xfId="13925" xr:uid="{00000000-0005-0000-0000-0000679D0000}"/>
    <cellStyle name="Currency 6 2 2 2 3 3 2 2 2" xfId="28459" xr:uid="{00000000-0005-0000-0000-0000689D0000}"/>
    <cellStyle name="Currency 6 2 2 2 3 3 2 2 2 2" xfId="57465" xr:uid="{00000000-0005-0000-0000-0000699D0000}"/>
    <cellStyle name="Currency 6 2 2 2 3 3 2 2 3" xfId="42966" xr:uid="{00000000-0005-0000-0000-00006A9D0000}"/>
    <cellStyle name="Currency 6 2 2 2 3 3 2 3" xfId="21211" xr:uid="{00000000-0005-0000-0000-00006B9D0000}"/>
    <cellStyle name="Currency 6 2 2 2 3 3 2 3 2" xfId="50217" xr:uid="{00000000-0005-0000-0000-00006C9D0000}"/>
    <cellStyle name="Currency 6 2 2 2 3 3 2 4" xfId="35718" xr:uid="{00000000-0005-0000-0000-00006D9D0000}"/>
    <cellStyle name="Currency 6 2 2 2 3 3 3" xfId="10821" xr:uid="{00000000-0005-0000-0000-00006E9D0000}"/>
    <cellStyle name="Currency 6 2 2 2 3 3 3 2" xfId="25355" xr:uid="{00000000-0005-0000-0000-00006F9D0000}"/>
    <cellStyle name="Currency 6 2 2 2 3 3 3 2 2" xfId="54361" xr:uid="{00000000-0005-0000-0000-0000709D0000}"/>
    <cellStyle name="Currency 6 2 2 2 3 3 3 3" xfId="39862" xr:uid="{00000000-0005-0000-0000-0000719D0000}"/>
    <cellStyle name="Currency 6 2 2 2 3 3 4" xfId="18107" xr:uid="{00000000-0005-0000-0000-0000729D0000}"/>
    <cellStyle name="Currency 6 2 2 2 3 3 4 2" xfId="47113" xr:uid="{00000000-0005-0000-0000-0000739D0000}"/>
    <cellStyle name="Currency 6 2 2 2 3 3 5" xfId="32614" xr:uid="{00000000-0005-0000-0000-0000749D0000}"/>
    <cellStyle name="Currency 6 2 2 2 3 4" xfId="4581" xr:uid="{00000000-0005-0000-0000-0000759D0000}"/>
    <cellStyle name="Currency 6 2 2 2 3 4 2" xfId="11853" xr:uid="{00000000-0005-0000-0000-0000769D0000}"/>
    <cellStyle name="Currency 6 2 2 2 3 4 2 2" xfId="26387" xr:uid="{00000000-0005-0000-0000-0000779D0000}"/>
    <cellStyle name="Currency 6 2 2 2 3 4 2 2 2" xfId="55393" xr:uid="{00000000-0005-0000-0000-0000789D0000}"/>
    <cellStyle name="Currency 6 2 2 2 3 4 2 3" xfId="40894" xr:uid="{00000000-0005-0000-0000-0000799D0000}"/>
    <cellStyle name="Currency 6 2 2 2 3 4 3" xfId="19139" xr:uid="{00000000-0005-0000-0000-00007A9D0000}"/>
    <cellStyle name="Currency 6 2 2 2 3 4 3 2" xfId="48145" xr:uid="{00000000-0005-0000-0000-00007B9D0000}"/>
    <cellStyle name="Currency 6 2 2 2 3 4 4" xfId="33646" xr:uid="{00000000-0005-0000-0000-00007C9D0000}"/>
    <cellStyle name="Currency 6 2 2 2 3 5" xfId="7685" xr:uid="{00000000-0005-0000-0000-00007D9D0000}"/>
    <cellStyle name="Currency 6 2 2 2 3 5 2" xfId="14957" xr:uid="{00000000-0005-0000-0000-00007E9D0000}"/>
    <cellStyle name="Currency 6 2 2 2 3 5 2 2" xfId="29491" xr:uid="{00000000-0005-0000-0000-00007F9D0000}"/>
    <cellStyle name="Currency 6 2 2 2 3 5 2 2 2" xfId="58497" xr:uid="{00000000-0005-0000-0000-0000809D0000}"/>
    <cellStyle name="Currency 6 2 2 2 3 5 2 3" xfId="43998" xr:uid="{00000000-0005-0000-0000-0000819D0000}"/>
    <cellStyle name="Currency 6 2 2 2 3 5 3" xfId="22243" xr:uid="{00000000-0005-0000-0000-0000829D0000}"/>
    <cellStyle name="Currency 6 2 2 2 3 5 3 2" xfId="51249" xr:uid="{00000000-0005-0000-0000-0000839D0000}"/>
    <cellStyle name="Currency 6 2 2 2 3 5 4" xfId="36750" xr:uid="{00000000-0005-0000-0000-0000849D0000}"/>
    <cellStyle name="Currency 6 2 2 2 3 6" xfId="8749" xr:uid="{00000000-0005-0000-0000-0000859D0000}"/>
    <cellStyle name="Currency 6 2 2 2 3 6 2" xfId="23283" xr:uid="{00000000-0005-0000-0000-0000869D0000}"/>
    <cellStyle name="Currency 6 2 2 2 3 6 2 2" xfId="52289" xr:uid="{00000000-0005-0000-0000-0000879D0000}"/>
    <cellStyle name="Currency 6 2 2 2 3 6 3" xfId="37790" xr:uid="{00000000-0005-0000-0000-0000889D0000}"/>
    <cellStyle name="Currency 6 2 2 2 3 7" xfId="16035" xr:uid="{00000000-0005-0000-0000-0000899D0000}"/>
    <cellStyle name="Currency 6 2 2 2 3 7 2" xfId="45041" xr:uid="{00000000-0005-0000-0000-00008A9D0000}"/>
    <cellStyle name="Currency 6 2 2 2 3 8" xfId="30542" xr:uid="{00000000-0005-0000-0000-00008B9D0000}"/>
    <cellStyle name="Currency 6 2 2 2 4" xfId="2005" xr:uid="{00000000-0005-0000-0000-00008C9D0000}"/>
    <cellStyle name="Currency 6 2 2 2 4 2" xfId="5109" xr:uid="{00000000-0005-0000-0000-00008D9D0000}"/>
    <cellStyle name="Currency 6 2 2 2 4 2 2" xfId="12381" xr:uid="{00000000-0005-0000-0000-00008E9D0000}"/>
    <cellStyle name="Currency 6 2 2 2 4 2 2 2" xfId="26915" xr:uid="{00000000-0005-0000-0000-00008F9D0000}"/>
    <cellStyle name="Currency 6 2 2 2 4 2 2 2 2" xfId="55921" xr:uid="{00000000-0005-0000-0000-0000909D0000}"/>
    <cellStyle name="Currency 6 2 2 2 4 2 2 3" xfId="41422" xr:uid="{00000000-0005-0000-0000-0000919D0000}"/>
    <cellStyle name="Currency 6 2 2 2 4 2 3" xfId="19667" xr:uid="{00000000-0005-0000-0000-0000929D0000}"/>
    <cellStyle name="Currency 6 2 2 2 4 2 3 2" xfId="48673" xr:uid="{00000000-0005-0000-0000-0000939D0000}"/>
    <cellStyle name="Currency 6 2 2 2 4 2 4" xfId="34174" xr:uid="{00000000-0005-0000-0000-0000949D0000}"/>
    <cellStyle name="Currency 6 2 2 2 4 3" xfId="9277" xr:uid="{00000000-0005-0000-0000-0000959D0000}"/>
    <cellStyle name="Currency 6 2 2 2 4 3 2" xfId="23811" xr:uid="{00000000-0005-0000-0000-0000969D0000}"/>
    <cellStyle name="Currency 6 2 2 2 4 3 2 2" xfId="52817" xr:uid="{00000000-0005-0000-0000-0000979D0000}"/>
    <cellStyle name="Currency 6 2 2 2 4 3 3" xfId="38318" xr:uid="{00000000-0005-0000-0000-0000989D0000}"/>
    <cellStyle name="Currency 6 2 2 2 4 4" xfId="16563" xr:uid="{00000000-0005-0000-0000-0000999D0000}"/>
    <cellStyle name="Currency 6 2 2 2 4 4 2" xfId="45569" xr:uid="{00000000-0005-0000-0000-00009A9D0000}"/>
    <cellStyle name="Currency 6 2 2 2 4 5" xfId="31070" xr:uid="{00000000-0005-0000-0000-00009B9D0000}"/>
    <cellStyle name="Currency 6 2 2 2 5" xfId="3037" xr:uid="{00000000-0005-0000-0000-00009C9D0000}"/>
    <cellStyle name="Currency 6 2 2 2 5 2" xfId="6141" xr:uid="{00000000-0005-0000-0000-00009D9D0000}"/>
    <cellStyle name="Currency 6 2 2 2 5 2 2" xfId="13413" xr:uid="{00000000-0005-0000-0000-00009E9D0000}"/>
    <cellStyle name="Currency 6 2 2 2 5 2 2 2" xfId="27947" xr:uid="{00000000-0005-0000-0000-00009F9D0000}"/>
    <cellStyle name="Currency 6 2 2 2 5 2 2 2 2" xfId="56953" xr:uid="{00000000-0005-0000-0000-0000A09D0000}"/>
    <cellStyle name="Currency 6 2 2 2 5 2 2 3" xfId="42454" xr:uid="{00000000-0005-0000-0000-0000A19D0000}"/>
    <cellStyle name="Currency 6 2 2 2 5 2 3" xfId="20699" xr:uid="{00000000-0005-0000-0000-0000A29D0000}"/>
    <cellStyle name="Currency 6 2 2 2 5 2 3 2" xfId="49705" xr:uid="{00000000-0005-0000-0000-0000A39D0000}"/>
    <cellStyle name="Currency 6 2 2 2 5 2 4" xfId="35206" xr:uid="{00000000-0005-0000-0000-0000A49D0000}"/>
    <cellStyle name="Currency 6 2 2 2 5 3" xfId="10309" xr:uid="{00000000-0005-0000-0000-0000A59D0000}"/>
    <cellStyle name="Currency 6 2 2 2 5 3 2" xfId="24843" xr:uid="{00000000-0005-0000-0000-0000A69D0000}"/>
    <cellStyle name="Currency 6 2 2 2 5 3 2 2" xfId="53849" xr:uid="{00000000-0005-0000-0000-0000A79D0000}"/>
    <cellStyle name="Currency 6 2 2 2 5 3 3" xfId="39350" xr:uid="{00000000-0005-0000-0000-0000A89D0000}"/>
    <cellStyle name="Currency 6 2 2 2 5 4" xfId="17595" xr:uid="{00000000-0005-0000-0000-0000A99D0000}"/>
    <cellStyle name="Currency 6 2 2 2 5 4 2" xfId="46601" xr:uid="{00000000-0005-0000-0000-0000AA9D0000}"/>
    <cellStyle name="Currency 6 2 2 2 5 5" xfId="32102" xr:uid="{00000000-0005-0000-0000-0000AB9D0000}"/>
    <cellStyle name="Currency 6 2 2 2 6" xfId="4069" xr:uid="{00000000-0005-0000-0000-0000AC9D0000}"/>
    <cellStyle name="Currency 6 2 2 2 6 2" xfId="11341" xr:uid="{00000000-0005-0000-0000-0000AD9D0000}"/>
    <cellStyle name="Currency 6 2 2 2 6 2 2" xfId="25875" xr:uid="{00000000-0005-0000-0000-0000AE9D0000}"/>
    <cellStyle name="Currency 6 2 2 2 6 2 2 2" xfId="54881" xr:uid="{00000000-0005-0000-0000-0000AF9D0000}"/>
    <cellStyle name="Currency 6 2 2 2 6 2 3" xfId="40382" xr:uid="{00000000-0005-0000-0000-0000B09D0000}"/>
    <cellStyle name="Currency 6 2 2 2 6 3" xfId="18627" xr:uid="{00000000-0005-0000-0000-0000B19D0000}"/>
    <cellStyle name="Currency 6 2 2 2 6 3 2" xfId="47633" xr:uid="{00000000-0005-0000-0000-0000B29D0000}"/>
    <cellStyle name="Currency 6 2 2 2 6 4" xfId="33134" xr:uid="{00000000-0005-0000-0000-0000B39D0000}"/>
    <cellStyle name="Currency 6 2 2 2 7" xfId="7173" xr:uid="{00000000-0005-0000-0000-0000B49D0000}"/>
    <cellStyle name="Currency 6 2 2 2 7 2" xfId="14445" xr:uid="{00000000-0005-0000-0000-0000B59D0000}"/>
    <cellStyle name="Currency 6 2 2 2 7 2 2" xfId="28979" xr:uid="{00000000-0005-0000-0000-0000B69D0000}"/>
    <cellStyle name="Currency 6 2 2 2 7 2 2 2" xfId="57985" xr:uid="{00000000-0005-0000-0000-0000B79D0000}"/>
    <cellStyle name="Currency 6 2 2 2 7 2 3" xfId="43486" xr:uid="{00000000-0005-0000-0000-0000B89D0000}"/>
    <cellStyle name="Currency 6 2 2 2 7 3" xfId="21731" xr:uid="{00000000-0005-0000-0000-0000B99D0000}"/>
    <cellStyle name="Currency 6 2 2 2 7 3 2" xfId="50737" xr:uid="{00000000-0005-0000-0000-0000BA9D0000}"/>
    <cellStyle name="Currency 6 2 2 2 7 4" xfId="36238" xr:uid="{00000000-0005-0000-0000-0000BB9D0000}"/>
    <cellStyle name="Currency 6 2 2 2 8" xfId="8237" xr:uid="{00000000-0005-0000-0000-0000BC9D0000}"/>
    <cellStyle name="Currency 6 2 2 2 8 2" xfId="22771" xr:uid="{00000000-0005-0000-0000-0000BD9D0000}"/>
    <cellStyle name="Currency 6 2 2 2 8 2 2" xfId="51777" xr:uid="{00000000-0005-0000-0000-0000BE9D0000}"/>
    <cellStyle name="Currency 6 2 2 2 8 3" xfId="37278" xr:uid="{00000000-0005-0000-0000-0000BF9D0000}"/>
    <cellStyle name="Currency 6 2 2 2 9" xfId="15523" xr:uid="{00000000-0005-0000-0000-0000C09D0000}"/>
    <cellStyle name="Currency 6 2 2 2 9 2" xfId="44529" xr:uid="{00000000-0005-0000-0000-0000C19D0000}"/>
    <cellStyle name="Currency 6 2 2 3" xfId="1162" xr:uid="{00000000-0005-0000-0000-0000C29D0000}"/>
    <cellStyle name="Currency 6 2 2 3 10" xfId="59612" xr:uid="{00000000-0005-0000-0000-0000C39D0000}"/>
    <cellStyle name="Currency 6 2 2 3 2" xfId="1661" xr:uid="{00000000-0005-0000-0000-0000C49D0000}"/>
    <cellStyle name="Currency 6 2 2 3 2 2" xfId="2720" xr:uid="{00000000-0005-0000-0000-0000C59D0000}"/>
    <cellStyle name="Currency 6 2 2 3 2 2 2" xfId="5824" xr:uid="{00000000-0005-0000-0000-0000C69D0000}"/>
    <cellStyle name="Currency 6 2 2 3 2 2 2 2" xfId="13096" xr:uid="{00000000-0005-0000-0000-0000C79D0000}"/>
    <cellStyle name="Currency 6 2 2 3 2 2 2 2 2" xfId="27630" xr:uid="{00000000-0005-0000-0000-0000C89D0000}"/>
    <cellStyle name="Currency 6 2 2 3 2 2 2 2 2 2" xfId="56636" xr:uid="{00000000-0005-0000-0000-0000C99D0000}"/>
    <cellStyle name="Currency 6 2 2 3 2 2 2 2 3" xfId="42137" xr:uid="{00000000-0005-0000-0000-0000CA9D0000}"/>
    <cellStyle name="Currency 6 2 2 3 2 2 2 3" xfId="20382" xr:uid="{00000000-0005-0000-0000-0000CB9D0000}"/>
    <cellStyle name="Currency 6 2 2 3 2 2 2 3 2" xfId="49388" xr:uid="{00000000-0005-0000-0000-0000CC9D0000}"/>
    <cellStyle name="Currency 6 2 2 3 2 2 2 4" xfId="34889" xr:uid="{00000000-0005-0000-0000-0000CD9D0000}"/>
    <cellStyle name="Currency 6 2 2 3 2 2 3" xfId="9992" xr:uid="{00000000-0005-0000-0000-0000CE9D0000}"/>
    <cellStyle name="Currency 6 2 2 3 2 2 3 2" xfId="24526" xr:uid="{00000000-0005-0000-0000-0000CF9D0000}"/>
    <cellStyle name="Currency 6 2 2 3 2 2 3 2 2" xfId="53532" xr:uid="{00000000-0005-0000-0000-0000D09D0000}"/>
    <cellStyle name="Currency 6 2 2 3 2 2 3 3" xfId="39033" xr:uid="{00000000-0005-0000-0000-0000D19D0000}"/>
    <cellStyle name="Currency 6 2 2 3 2 2 4" xfId="17278" xr:uid="{00000000-0005-0000-0000-0000D29D0000}"/>
    <cellStyle name="Currency 6 2 2 3 2 2 4 2" xfId="46284" xr:uid="{00000000-0005-0000-0000-0000D39D0000}"/>
    <cellStyle name="Currency 6 2 2 3 2 2 5" xfId="31785" xr:uid="{00000000-0005-0000-0000-0000D49D0000}"/>
    <cellStyle name="Currency 6 2 2 3 2 3" xfId="3752" xr:uid="{00000000-0005-0000-0000-0000D59D0000}"/>
    <cellStyle name="Currency 6 2 2 3 2 3 2" xfId="6856" xr:uid="{00000000-0005-0000-0000-0000D69D0000}"/>
    <cellStyle name="Currency 6 2 2 3 2 3 2 2" xfId="14128" xr:uid="{00000000-0005-0000-0000-0000D79D0000}"/>
    <cellStyle name="Currency 6 2 2 3 2 3 2 2 2" xfId="28662" xr:uid="{00000000-0005-0000-0000-0000D89D0000}"/>
    <cellStyle name="Currency 6 2 2 3 2 3 2 2 2 2" xfId="57668" xr:uid="{00000000-0005-0000-0000-0000D99D0000}"/>
    <cellStyle name="Currency 6 2 2 3 2 3 2 2 3" xfId="43169" xr:uid="{00000000-0005-0000-0000-0000DA9D0000}"/>
    <cellStyle name="Currency 6 2 2 3 2 3 2 3" xfId="21414" xr:uid="{00000000-0005-0000-0000-0000DB9D0000}"/>
    <cellStyle name="Currency 6 2 2 3 2 3 2 3 2" xfId="50420" xr:uid="{00000000-0005-0000-0000-0000DC9D0000}"/>
    <cellStyle name="Currency 6 2 2 3 2 3 2 4" xfId="35921" xr:uid="{00000000-0005-0000-0000-0000DD9D0000}"/>
    <cellStyle name="Currency 6 2 2 3 2 3 3" xfId="11024" xr:uid="{00000000-0005-0000-0000-0000DE9D0000}"/>
    <cellStyle name="Currency 6 2 2 3 2 3 3 2" xfId="25558" xr:uid="{00000000-0005-0000-0000-0000DF9D0000}"/>
    <cellStyle name="Currency 6 2 2 3 2 3 3 2 2" xfId="54564" xr:uid="{00000000-0005-0000-0000-0000E09D0000}"/>
    <cellStyle name="Currency 6 2 2 3 2 3 3 3" xfId="40065" xr:uid="{00000000-0005-0000-0000-0000E19D0000}"/>
    <cellStyle name="Currency 6 2 2 3 2 3 4" xfId="18310" xr:uid="{00000000-0005-0000-0000-0000E29D0000}"/>
    <cellStyle name="Currency 6 2 2 3 2 3 4 2" xfId="47316" xr:uid="{00000000-0005-0000-0000-0000E39D0000}"/>
    <cellStyle name="Currency 6 2 2 3 2 3 5" xfId="32817" xr:uid="{00000000-0005-0000-0000-0000E49D0000}"/>
    <cellStyle name="Currency 6 2 2 3 2 4" xfId="4784" xr:uid="{00000000-0005-0000-0000-0000E59D0000}"/>
    <cellStyle name="Currency 6 2 2 3 2 4 2" xfId="12056" xr:uid="{00000000-0005-0000-0000-0000E69D0000}"/>
    <cellStyle name="Currency 6 2 2 3 2 4 2 2" xfId="26590" xr:uid="{00000000-0005-0000-0000-0000E79D0000}"/>
    <cellStyle name="Currency 6 2 2 3 2 4 2 2 2" xfId="55596" xr:uid="{00000000-0005-0000-0000-0000E89D0000}"/>
    <cellStyle name="Currency 6 2 2 3 2 4 2 3" xfId="41097" xr:uid="{00000000-0005-0000-0000-0000E99D0000}"/>
    <cellStyle name="Currency 6 2 2 3 2 4 3" xfId="19342" xr:uid="{00000000-0005-0000-0000-0000EA9D0000}"/>
    <cellStyle name="Currency 6 2 2 3 2 4 3 2" xfId="48348" xr:uid="{00000000-0005-0000-0000-0000EB9D0000}"/>
    <cellStyle name="Currency 6 2 2 3 2 4 4" xfId="33849" xr:uid="{00000000-0005-0000-0000-0000EC9D0000}"/>
    <cellStyle name="Currency 6 2 2 3 2 5" xfId="7888" xr:uid="{00000000-0005-0000-0000-0000ED9D0000}"/>
    <cellStyle name="Currency 6 2 2 3 2 5 2" xfId="15160" xr:uid="{00000000-0005-0000-0000-0000EE9D0000}"/>
    <cellStyle name="Currency 6 2 2 3 2 5 2 2" xfId="29694" xr:uid="{00000000-0005-0000-0000-0000EF9D0000}"/>
    <cellStyle name="Currency 6 2 2 3 2 5 2 2 2" xfId="58700" xr:uid="{00000000-0005-0000-0000-0000F09D0000}"/>
    <cellStyle name="Currency 6 2 2 3 2 5 2 3" xfId="44201" xr:uid="{00000000-0005-0000-0000-0000F19D0000}"/>
    <cellStyle name="Currency 6 2 2 3 2 5 3" xfId="22446" xr:uid="{00000000-0005-0000-0000-0000F29D0000}"/>
    <cellStyle name="Currency 6 2 2 3 2 5 3 2" xfId="51452" xr:uid="{00000000-0005-0000-0000-0000F39D0000}"/>
    <cellStyle name="Currency 6 2 2 3 2 5 4" xfId="36953" xr:uid="{00000000-0005-0000-0000-0000F49D0000}"/>
    <cellStyle name="Currency 6 2 2 3 2 6" xfId="8952" xr:uid="{00000000-0005-0000-0000-0000F59D0000}"/>
    <cellStyle name="Currency 6 2 2 3 2 6 2" xfId="23486" xr:uid="{00000000-0005-0000-0000-0000F69D0000}"/>
    <cellStyle name="Currency 6 2 2 3 2 6 2 2" xfId="52492" xr:uid="{00000000-0005-0000-0000-0000F79D0000}"/>
    <cellStyle name="Currency 6 2 2 3 2 6 3" xfId="37993" xr:uid="{00000000-0005-0000-0000-0000F89D0000}"/>
    <cellStyle name="Currency 6 2 2 3 2 7" xfId="16238" xr:uid="{00000000-0005-0000-0000-0000F99D0000}"/>
    <cellStyle name="Currency 6 2 2 3 2 7 2" xfId="45244" xr:uid="{00000000-0005-0000-0000-0000FA9D0000}"/>
    <cellStyle name="Currency 6 2 2 3 2 8" xfId="30745" xr:uid="{00000000-0005-0000-0000-0000FB9D0000}"/>
    <cellStyle name="Currency 6 2 2 3 3" xfId="2208" xr:uid="{00000000-0005-0000-0000-0000FC9D0000}"/>
    <cellStyle name="Currency 6 2 2 3 3 2" xfId="5312" xr:uid="{00000000-0005-0000-0000-0000FD9D0000}"/>
    <cellStyle name="Currency 6 2 2 3 3 2 2" xfId="12584" xr:uid="{00000000-0005-0000-0000-0000FE9D0000}"/>
    <cellStyle name="Currency 6 2 2 3 3 2 2 2" xfId="27118" xr:uid="{00000000-0005-0000-0000-0000FF9D0000}"/>
    <cellStyle name="Currency 6 2 2 3 3 2 2 2 2" xfId="56124" xr:uid="{00000000-0005-0000-0000-0000009E0000}"/>
    <cellStyle name="Currency 6 2 2 3 3 2 2 3" xfId="41625" xr:uid="{00000000-0005-0000-0000-0000019E0000}"/>
    <cellStyle name="Currency 6 2 2 3 3 2 3" xfId="19870" xr:uid="{00000000-0005-0000-0000-0000029E0000}"/>
    <cellStyle name="Currency 6 2 2 3 3 2 3 2" xfId="48876" xr:uid="{00000000-0005-0000-0000-0000039E0000}"/>
    <cellStyle name="Currency 6 2 2 3 3 2 4" xfId="34377" xr:uid="{00000000-0005-0000-0000-0000049E0000}"/>
    <cellStyle name="Currency 6 2 2 3 3 3" xfId="9480" xr:uid="{00000000-0005-0000-0000-0000059E0000}"/>
    <cellStyle name="Currency 6 2 2 3 3 3 2" xfId="24014" xr:uid="{00000000-0005-0000-0000-0000069E0000}"/>
    <cellStyle name="Currency 6 2 2 3 3 3 2 2" xfId="53020" xr:uid="{00000000-0005-0000-0000-0000079E0000}"/>
    <cellStyle name="Currency 6 2 2 3 3 3 3" xfId="38521" xr:uid="{00000000-0005-0000-0000-0000089E0000}"/>
    <cellStyle name="Currency 6 2 2 3 3 4" xfId="16766" xr:uid="{00000000-0005-0000-0000-0000099E0000}"/>
    <cellStyle name="Currency 6 2 2 3 3 4 2" xfId="45772" xr:uid="{00000000-0005-0000-0000-00000A9E0000}"/>
    <cellStyle name="Currency 6 2 2 3 3 5" xfId="31273" xr:uid="{00000000-0005-0000-0000-00000B9E0000}"/>
    <cellStyle name="Currency 6 2 2 3 4" xfId="3240" xr:uid="{00000000-0005-0000-0000-00000C9E0000}"/>
    <cellStyle name="Currency 6 2 2 3 4 2" xfId="6344" xr:uid="{00000000-0005-0000-0000-00000D9E0000}"/>
    <cellStyle name="Currency 6 2 2 3 4 2 2" xfId="13616" xr:uid="{00000000-0005-0000-0000-00000E9E0000}"/>
    <cellStyle name="Currency 6 2 2 3 4 2 2 2" xfId="28150" xr:uid="{00000000-0005-0000-0000-00000F9E0000}"/>
    <cellStyle name="Currency 6 2 2 3 4 2 2 2 2" xfId="57156" xr:uid="{00000000-0005-0000-0000-0000109E0000}"/>
    <cellStyle name="Currency 6 2 2 3 4 2 2 3" xfId="42657" xr:uid="{00000000-0005-0000-0000-0000119E0000}"/>
    <cellStyle name="Currency 6 2 2 3 4 2 3" xfId="20902" xr:uid="{00000000-0005-0000-0000-0000129E0000}"/>
    <cellStyle name="Currency 6 2 2 3 4 2 3 2" xfId="49908" xr:uid="{00000000-0005-0000-0000-0000139E0000}"/>
    <cellStyle name="Currency 6 2 2 3 4 2 4" xfId="35409" xr:uid="{00000000-0005-0000-0000-0000149E0000}"/>
    <cellStyle name="Currency 6 2 2 3 4 3" xfId="10512" xr:uid="{00000000-0005-0000-0000-0000159E0000}"/>
    <cellStyle name="Currency 6 2 2 3 4 3 2" xfId="25046" xr:uid="{00000000-0005-0000-0000-0000169E0000}"/>
    <cellStyle name="Currency 6 2 2 3 4 3 2 2" xfId="54052" xr:uid="{00000000-0005-0000-0000-0000179E0000}"/>
    <cellStyle name="Currency 6 2 2 3 4 3 3" xfId="39553" xr:uid="{00000000-0005-0000-0000-0000189E0000}"/>
    <cellStyle name="Currency 6 2 2 3 4 4" xfId="17798" xr:uid="{00000000-0005-0000-0000-0000199E0000}"/>
    <cellStyle name="Currency 6 2 2 3 4 4 2" xfId="46804" xr:uid="{00000000-0005-0000-0000-00001A9E0000}"/>
    <cellStyle name="Currency 6 2 2 3 4 5" xfId="32305" xr:uid="{00000000-0005-0000-0000-00001B9E0000}"/>
    <cellStyle name="Currency 6 2 2 3 5" xfId="4272" xr:uid="{00000000-0005-0000-0000-00001C9E0000}"/>
    <cellStyle name="Currency 6 2 2 3 5 2" xfId="11544" xr:uid="{00000000-0005-0000-0000-00001D9E0000}"/>
    <cellStyle name="Currency 6 2 2 3 5 2 2" xfId="26078" xr:uid="{00000000-0005-0000-0000-00001E9E0000}"/>
    <cellStyle name="Currency 6 2 2 3 5 2 2 2" xfId="55084" xr:uid="{00000000-0005-0000-0000-00001F9E0000}"/>
    <cellStyle name="Currency 6 2 2 3 5 2 3" xfId="40585" xr:uid="{00000000-0005-0000-0000-0000209E0000}"/>
    <cellStyle name="Currency 6 2 2 3 5 3" xfId="18830" xr:uid="{00000000-0005-0000-0000-0000219E0000}"/>
    <cellStyle name="Currency 6 2 2 3 5 3 2" xfId="47836" xr:uid="{00000000-0005-0000-0000-0000229E0000}"/>
    <cellStyle name="Currency 6 2 2 3 5 4" xfId="33337" xr:uid="{00000000-0005-0000-0000-0000239E0000}"/>
    <cellStyle name="Currency 6 2 2 3 6" xfId="7376" xr:uid="{00000000-0005-0000-0000-0000249E0000}"/>
    <cellStyle name="Currency 6 2 2 3 6 2" xfId="14648" xr:uid="{00000000-0005-0000-0000-0000259E0000}"/>
    <cellStyle name="Currency 6 2 2 3 6 2 2" xfId="29182" xr:uid="{00000000-0005-0000-0000-0000269E0000}"/>
    <cellStyle name="Currency 6 2 2 3 6 2 2 2" xfId="58188" xr:uid="{00000000-0005-0000-0000-0000279E0000}"/>
    <cellStyle name="Currency 6 2 2 3 6 2 3" xfId="43689" xr:uid="{00000000-0005-0000-0000-0000289E0000}"/>
    <cellStyle name="Currency 6 2 2 3 6 3" xfId="21934" xr:uid="{00000000-0005-0000-0000-0000299E0000}"/>
    <cellStyle name="Currency 6 2 2 3 6 3 2" xfId="50940" xr:uid="{00000000-0005-0000-0000-00002A9E0000}"/>
    <cellStyle name="Currency 6 2 2 3 6 4" xfId="36441" xr:uid="{00000000-0005-0000-0000-00002B9E0000}"/>
    <cellStyle name="Currency 6 2 2 3 7" xfId="8440" xr:uid="{00000000-0005-0000-0000-00002C9E0000}"/>
    <cellStyle name="Currency 6 2 2 3 7 2" xfId="22974" xr:uid="{00000000-0005-0000-0000-00002D9E0000}"/>
    <cellStyle name="Currency 6 2 2 3 7 2 2" xfId="51980" xr:uid="{00000000-0005-0000-0000-00002E9E0000}"/>
    <cellStyle name="Currency 6 2 2 3 7 3" xfId="37481" xr:uid="{00000000-0005-0000-0000-00002F9E0000}"/>
    <cellStyle name="Currency 6 2 2 3 8" xfId="15726" xr:uid="{00000000-0005-0000-0000-0000309E0000}"/>
    <cellStyle name="Currency 6 2 2 3 8 2" xfId="44732" xr:uid="{00000000-0005-0000-0000-0000319E0000}"/>
    <cellStyle name="Currency 6 2 2 3 9" xfId="30233" xr:uid="{00000000-0005-0000-0000-0000329E0000}"/>
    <cellStyle name="Currency 6 2 2 4" xfId="1071" xr:uid="{00000000-0005-0000-0000-0000339E0000}"/>
    <cellStyle name="Currency 6 2 2 4 2" xfId="1562" xr:uid="{00000000-0005-0000-0000-0000349E0000}"/>
    <cellStyle name="Currency 6 2 2 4 2 2" xfId="2620" xr:uid="{00000000-0005-0000-0000-0000359E0000}"/>
    <cellStyle name="Currency 6 2 2 4 2 2 2" xfId="5724" xr:uid="{00000000-0005-0000-0000-0000369E0000}"/>
    <cellStyle name="Currency 6 2 2 4 2 2 2 2" xfId="12996" xr:uid="{00000000-0005-0000-0000-0000379E0000}"/>
    <cellStyle name="Currency 6 2 2 4 2 2 2 2 2" xfId="27530" xr:uid="{00000000-0005-0000-0000-0000389E0000}"/>
    <cellStyle name="Currency 6 2 2 4 2 2 2 2 2 2" xfId="56536" xr:uid="{00000000-0005-0000-0000-0000399E0000}"/>
    <cellStyle name="Currency 6 2 2 4 2 2 2 2 3" xfId="42037" xr:uid="{00000000-0005-0000-0000-00003A9E0000}"/>
    <cellStyle name="Currency 6 2 2 4 2 2 2 3" xfId="20282" xr:uid="{00000000-0005-0000-0000-00003B9E0000}"/>
    <cellStyle name="Currency 6 2 2 4 2 2 2 3 2" xfId="49288" xr:uid="{00000000-0005-0000-0000-00003C9E0000}"/>
    <cellStyle name="Currency 6 2 2 4 2 2 2 4" xfId="34789" xr:uid="{00000000-0005-0000-0000-00003D9E0000}"/>
    <cellStyle name="Currency 6 2 2 4 2 2 3" xfId="9892" xr:uid="{00000000-0005-0000-0000-00003E9E0000}"/>
    <cellStyle name="Currency 6 2 2 4 2 2 3 2" xfId="24426" xr:uid="{00000000-0005-0000-0000-00003F9E0000}"/>
    <cellStyle name="Currency 6 2 2 4 2 2 3 2 2" xfId="53432" xr:uid="{00000000-0005-0000-0000-0000409E0000}"/>
    <cellStyle name="Currency 6 2 2 4 2 2 3 3" xfId="38933" xr:uid="{00000000-0005-0000-0000-0000419E0000}"/>
    <cellStyle name="Currency 6 2 2 4 2 2 4" xfId="17178" xr:uid="{00000000-0005-0000-0000-0000429E0000}"/>
    <cellStyle name="Currency 6 2 2 4 2 2 4 2" xfId="46184" xr:uid="{00000000-0005-0000-0000-0000439E0000}"/>
    <cellStyle name="Currency 6 2 2 4 2 2 5" xfId="31685" xr:uid="{00000000-0005-0000-0000-0000449E0000}"/>
    <cellStyle name="Currency 6 2 2 4 2 3" xfId="3652" xr:uid="{00000000-0005-0000-0000-0000459E0000}"/>
    <cellStyle name="Currency 6 2 2 4 2 3 2" xfId="6756" xr:uid="{00000000-0005-0000-0000-0000469E0000}"/>
    <cellStyle name="Currency 6 2 2 4 2 3 2 2" xfId="14028" xr:uid="{00000000-0005-0000-0000-0000479E0000}"/>
    <cellStyle name="Currency 6 2 2 4 2 3 2 2 2" xfId="28562" xr:uid="{00000000-0005-0000-0000-0000489E0000}"/>
    <cellStyle name="Currency 6 2 2 4 2 3 2 2 2 2" xfId="57568" xr:uid="{00000000-0005-0000-0000-0000499E0000}"/>
    <cellStyle name="Currency 6 2 2 4 2 3 2 2 3" xfId="43069" xr:uid="{00000000-0005-0000-0000-00004A9E0000}"/>
    <cellStyle name="Currency 6 2 2 4 2 3 2 3" xfId="21314" xr:uid="{00000000-0005-0000-0000-00004B9E0000}"/>
    <cellStyle name="Currency 6 2 2 4 2 3 2 3 2" xfId="50320" xr:uid="{00000000-0005-0000-0000-00004C9E0000}"/>
    <cellStyle name="Currency 6 2 2 4 2 3 2 4" xfId="35821" xr:uid="{00000000-0005-0000-0000-00004D9E0000}"/>
    <cellStyle name="Currency 6 2 2 4 2 3 3" xfId="10924" xr:uid="{00000000-0005-0000-0000-00004E9E0000}"/>
    <cellStyle name="Currency 6 2 2 4 2 3 3 2" xfId="25458" xr:uid="{00000000-0005-0000-0000-00004F9E0000}"/>
    <cellStyle name="Currency 6 2 2 4 2 3 3 2 2" xfId="54464" xr:uid="{00000000-0005-0000-0000-0000509E0000}"/>
    <cellStyle name="Currency 6 2 2 4 2 3 3 3" xfId="39965" xr:uid="{00000000-0005-0000-0000-0000519E0000}"/>
    <cellStyle name="Currency 6 2 2 4 2 3 4" xfId="18210" xr:uid="{00000000-0005-0000-0000-0000529E0000}"/>
    <cellStyle name="Currency 6 2 2 4 2 3 4 2" xfId="47216" xr:uid="{00000000-0005-0000-0000-0000539E0000}"/>
    <cellStyle name="Currency 6 2 2 4 2 3 5" xfId="32717" xr:uid="{00000000-0005-0000-0000-0000549E0000}"/>
    <cellStyle name="Currency 6 2 2 4 2 4" xfId="4684" xr:uid="{00000000-0005-0000-0000-0000559E0000}"/>
    <cellStyle name="Currency 6 2 2 4 2 4 2" xfId="11956" xr:uid="{00000000-0005-0000-0000-0000569E0000}"/>
    <cellStyle name="Currency 6 2 2 4 2 4 2 2" xfId="26490" xr:uid="{00000000-0005-0000-0000-0000579E0000}"/>
    <cellStyle name="Currency 6 2 2 4 2 4 2 2 2" xfId="55496" xr:uid="{00000000-0005-0000-0000-0000589E0000}"/>
    <cellStyle name="Currency 6 2 2 4 2 4 2 3" xfId="40997" xr:uid="{00000000-0005-0000-0000-0000599E0000}"/>
    <cellStyle name="Currency 6 2 2 4 2 4 3" xfId="19242" xr:uid="{00000000-0005-0000-0000-00005A9E0000}"/>
    <cellStyle name="Currency 6 2 2 4 2 4 3 2" xfId="48248" xr:uid="{00000000-0005-0000-0000-00005B9E0000}"/>
    <cellStyle name="Currency 6 2 2 4 2 4 4" xfId="33749" xr:uid="{00000000-0005-0000-0000-00005C9E0000}"/>
    <cellStyle name="Currency 6 2 2 4 2 5" xfId="7788" xr:uid="{00000000-0005-0000-0000-00005D9E0000}"/>
    <cellStyle name="Currency 6 2 2 4 2 5 2" xfId="15060" xr:uid="{00000000-0005-0000-0000-00005E9E0000}"/>
    <cellStyle name="Currency 6 2 2 4 2 5 2 2" xfId="29594" xr:uid="{00000000-0005-0000-0000-00005F9E0000}"/>
    <cellStyle name="Currency 6 2 2 4 2 5 2 2 2" xfId="58600" xr:uid="{00000000-0005-0000-0000-0000609E0000}"/>
    <cellStyle name="Currency 6 2 2 4 2 5 2 3" xfId="44101" xr:uid="{00000000-0005-0000-0000-0000619E0000}"/>
    <cellStyle name="Currency 6 2 2 4 2 5 3" xfId="22346" xr:uid="{00000000-0005-0000-0000-0000629E0000}"/>
    <cellStyle name="Currency 6 2 2 4 2 5 3 2" xfId="51352" xr:uid="{00000000-0005-0000-0000-0000639E0000}"/>
    <cellStyle name="Currency 6 2 2 4 2 5 4" xfId="36853" xr:uid="{00000000-0005-0000-0000-0000649E0000}"/>
    <cellStyle name="Currency 6 2 2 4 2 6" xfId="8852" xr:uid="{00000000-0005-0000-0000-0000659E0000}"/>
    <cellStyle name="Currency 6 2 2 4 2 6 2" xfId="23386" xr:uid="{00000000-0005-0000-0000-0000669E0000}"/>
    <cellStyle name="Currency 6 2 2 4 2 6 2 2" xfId="52392" xr:uid="{00000000-0005-0000-0000-0000679E0000}"/>
    <cellStyle name="Currency 6 2 2 4 2 6 3" xfId="37893" xr:uid="{00000000-0005-0000-0000-0000689E0000}"/>
    <cellStyle name="Currency 6 2 2 4 2 7" xfId="16138" xr:uid="{00000000-0005-0000-0000-0000699E0000}"/>
    <cellStyle name="Currency 6 2 2 4 2 7 2" xfId="45144" xr:uid="{00000000-0005-0000-0000-00006A9E0000}"/>
    <cellStyle name="Currency 6 2 2 4 2 8" xfId="30645" xr:uid="{00000000-0005-0000-0000-00006B9E0000}"/>
    <cellStyle name="Currency 6 2 2 4 3" xfId="2108" xr:uid="{00000000-0005-0000-0000-00006C9E0000}"/>
    <cellStyle name="Currency 6 2 2 4 3 2" xfId="5212" xr:uid="{00000000-0005-0000-0000-00006D9E0000}"/>
    <cellStyle name="Currency 6 2 2 4 3 2 2" xfId="12484" xr:uid="{00000000-0005-0000-0000-00006E9E0000}"/>
    <cellStyle name="Currency 6 2 2 4 3 2 2 2" xfId="27018" xr:uid="{00000000-0005-0000-0000-00006F9E0000}"/>
    <cellStyle name="Currency 6 2 2 4 3 2 2 2 2" xfId="56024" xr:uid="{00000000-0005-0000-0000-0000709E0000}"/>
    <cellStyle name="Currency 6 2 2 4 3 2 2 3" xfId="41525" xr:uid="{00000000-0005-0000-0000-0000719E0000}"/>
    <cellStyle name="Currency 6 2 2 4 3 2 3" xfId="19770" xr:uid="{00000000-0005-0000-0000-0000729E0000}"/>
    <cellStyle name="Currency 6 2 2 4 3 2 3 2" xfId="48776" xr:uid="{00000000-0005-0000-0000-0000739E0000}"/>
    <cellStyle name="Currency 6 2 2 4 3 2 4" xfId="34277" xr:uid="{00000000-0005-0000-0000-0000749E0000}"/>
    <cellStyle name="Currency 6 2 2 4 3 3" xfId="9380" xr:uid="{00000000-0005-0000-0000-0000759E0000}"/>
    <cellStyle name="Currency 6 2 2 4 3 3 2" xfId="23914" xr:uid="{00000000-0005-0000-0000-0000769E0000}"/>
    <cellStyle name="Currency 6 2 2 4 3 3 2 2" xfId="52920" xr:uid="{00000000-0005-0000-0000-0000779E0000}"/>
    <cellStyle name="Currency 6 2 2 4 3 3 3" xfId="38421" xr:uid="{00000000-0005-0000-0000-0000789E0000}"/>
    <cellStyle name="Currency 6 2 2 4 3 4" xfId="16666" xr:uid="{00000000-0005-0000-0000-0000799E0000}"/>
    <cellStyle name="Currency 6 2 2 4 3 4 2" xfId="45672" xr:uid="{00000000-0005-0000-0000-00007A9E0000}"/>
    <cellStyle name="Currency 6 2 2 4 3 5" xfId="31173" xr:uid="{00000000-0005-0000-0000-00007B9E0000}"/>
    <cellStyle name="Currency 6 2 2 4 4" xfId="3140" xr:uid="{00000000-0005-0000-0000-00007C9E0000}"/>
    <cellStyle name="Currency 6 2 2 4 4 2" xfId="6244" xr:uid="{00000000-0005-0000-0000-00007D9E0000}"/>
    <cellStyle name="Currency 6 2 2 4 4 2 2" xfId="13516" xr:uid="{00000000-0005-0000-0000-00007E9E0000}"/>
    <cellStyle name="Currency 6 2 2 4 4 2 2 2" xfId="28050" xr:uid="{00000000-0005-0000-0000-00007F9E0000}"/>
    <cellStyle name="Currency 6 2 2 4 4 2 2 2 2" xfId="57056" xr:uid="{00000000-0005-0000-0000-0000809E0000}"/>
    <cellStyle name="Currency 6 2 2 4 4 2 2 3" xfId="42557" xr:uid="{00000000-0005-0000-0000-0000819E0000}"/>
    <cellStyle name="Currency 6 2 2 4 4 2 3" xfId="20802" xr:uid="{00000000-0005-0000-0000-0000829E0000}"/>
    <cellStyle name="Currency 6 2 2 4 4 2 3 2" xfId="49808" xr:uid="{00000000-0005-0000-0000-0000839E0000}"/>
    <cellStyle name="Currency 6 2 2 4 4 2 4" xfId="35309" xr:uid="{00000000-0005-0000-0000-0000849E0000}"/>
    <cellStyle name="Currency 6 2 2 4 4 3" xfId="10412" xr:uid="{00000000-0005-0000-0000-0000859E0000}"/>
    <cellStyle name="Currency 6 2 2 4 4 3 2" xfId="24946" xr:uid="{00000000-0005-0000-0000-0000869E0000}"/>
    <cellStyle name="Currency 6 2 2 4 4 3 2 2" xfId="53952" xr:uid="{00000000-0005-0000-0000-0000879E0000}"/>
    <cellStyle name="Currency 6 2 2 4 4 3 3" xfId="39453" xr:uid="{00000000-0005-0000-0000-0000889E0000}"/>
    <cellStyle name="Currency 6 2 2 4 4 4" xfId="17698" xr:uid="{00000000-0005-0000-0000-0000899E0000}"/>
    <cellStyle name="Currency 6 2 2 4 4 4 2" xfId="46704" xr:uid="{00000000-0005-0000-0000-00008A9E0000}"/>
    <cellStyle name="Currency 6 2 2 4 4 5" xfId="32205" xr:uid="{00000000-0005-0000-0000-00008B9E0000}"/>
    <cellStyle name="Currency 6 2 2 4 5" xfId="4172" xr:uid="{00000000-0005-0000-0000-00008C9E0000}"/>
    <cellStyle name="Currency 6 2 2 4 5 2" xfId="11444" xr:uid="{00000000-0005-0000-0000-00008D9E0000}"/>
    <cellStyle name="Currency 6 2 2 4 5 2 2" xfId="25978" xr:uid="{00000000-0005-0000-0000-00008E9E0000}"/>
    <cellStyle name="Currency 6 2 2 4 5 2 2 2" xfId="54984" xr:uid="{00000000-0005-0000-0000-00008F9E0000}"/>
    <cellStyle name="Currency 6 2 2 4 5 2 3" xfId="40485" xr:uid="{00000000-0005-0000-0000-0000909E0000}"/>
    <cellStyle name="Currency 6 2 2 4 5 3" xfId="18730" xr:uid="{00000000-0005-0000-0000-0000919E0000}"/>
    <cellStyle name="Currency 6 2 2 4 5 3 2" xfId="47736" xr:uid="{00000000-0005-0000-0000-0000929E0000}"/>
    <cellStyle name="Currency 6 2 2 4 5 4" xfId="33237" xr:uid="{00000000-0005-0000-0000-0000939E0000}"/>
    <cellStyle name="Currency 6 2 2 4 6" xfId="7276" xr:uid="{00000000-0005-0000-0000-0000949E0000}"/>
    <cellStyle name="Currency 6 2 2 4 6 2" xfId="14548" xr:uid="{00000000-0005-0000-0000-0000959E0000}"/>
    <cellStyle name="Currency 6 2 2 4 6 2 2" xfId="29082" xr:uid="{00000000-0005-0000-0000-0000969E0000}"/>
    <cellStyle name="Currency 6 2 2 4 6 2 2 2" xfId="58088" xr:uid="{00000000-0005-0000-0000-0000979E0000}"/>
    <cellStyle name="Currency 6 2 2 4 6 2 3" xfId="43589" xr:uid="{00000000-0005-0000-0000-0000989E0000}"/>
    <cellStyle name="Currency 6 2 2 4 6 3" xfId="21834" xr:uid="{00000000-0005-0000-0000-0000999E0000}"/>
    <cellStyle name="Currency 6 2 2 4 6 3 2" xfId="50840" xr:uid="{00000000-0005-0000-0000-00009A9E0000}"/>
    <cellStyle name="Currency 6 2 2 4 6 4" xfId="36341" xr:uid="{00000000-0005-0000-0000-00009B9E0000}"/>
    <cellStyle name="Currency 6 2 2 4 7" xfId="8340" xr:uid="{00000000-0005-0000-0000-00009C9E0000}"/>
    <cellStyle name="Currency 6 2 2 4 7 2" xfId="22874" xr:uid="{00000000-0005-0000-0000-00009D9E0000}"/>
    <cellStyle name="Currency 6 2 2 4 7 2 2" xfId="51880" xr:uid="{00000000-0005-0000-0000-00009E9E0000}"/>
    <cellStyle name="Currency 6 2 2 4 7 3" xfId="37381" xr:uid="{00000000-0005-0000-0000-00009F9E0000}"/>
    <cellStyle name="Currency 6 2 2 4 8" xfId="15626" xr:uid="{00000000-0005-0000-0000-0000A09E0000}"/>
    <cellStyle name="Currency 6 2 2 4 8 2" xfId="44632" xr:uid="{00000000-0005-0000-0000-0000A19E0000}"/>
    <cellStyle name="Currency 6 2 2 4 9" xfId="30133" xr:uid="{00000000-0005-0000-0000-0000A29E0000}"/>
    <cellStyle name="Currency 6 2 2 5" xfId="1357" xr:uid="{00000000-0005-0000-0000-0000A39E0000}"/>
    <cellStyle name="Currency 6 2 2 5 2" xfId="2414" xr:uid="{00000000-0005-0000-0000-0000A49E0000}"/>
    <cellStyle name="Currency 6 2 2 5 2 2" xfId="5518" xr:uid="{00000000-0005-0000-0000-0000A59E0000}"/>
    <cellStyle name="Currency 6 2 2 5 2 2 2" xfId="12790" xr:uid="{00000000-0005-0000-0000-0000A69E0000}"/>
    <cellStyle name="Currency 6 2 2 5 2 2 2 2" xfId="27324" xr:uid="{00000000-0005-0000-0000-0000A79E0000}"/>
    <cellStyle name="Currency 6 2 2 5 2 2 2 2 2" xfId="56330" xr:uid="{00000000-0005-0000-0000-0000A89E0000}"/>
    <cellStyle name="Currency 6 2 2 5 2 2 2 3" xfId="41831" xr:uid="{00000000-0005-0000-0000-0000A99E0000}"/>
    <cellStyle name="Currency 6 2 2 5 2 2 3" xfId="20076" xr:uid="{00000000-0005-0000-0000-0000AA9E0000}"/>
    <cellStyle name="Currency 6 2 2 5 2 2 3 2" xfId="49082" xr:uid="{00000000-0005-0000-0000-0000AB9E0000}"/>
    <cellStyle name="Currency 6 2 2 5 2 2 4" xfId="34583" xr:uid="{00000000-0005-0000-0000-0000AC9E0000}"/>
    <cellStyle name="Currency 6 2 2 5 2 3" xfId="9686" xr:uid="{00000000-0005-0000-0000-0000AD9E0000}"/>
    <cellStyle name="Currency 6 2 2 5 2 3 2" xfId="24220" xr:uid="{00000000-0005-0000-0000-0000AE9E0000}"/>
    <cellStyle name="Currency 6 2 2 5 2 3 2 2" xfId="53226" xr:uid="{00000000-0005-0000-0000-0000AF9E0000}"/>
    <cellStyle name="Currency 6 2 2 5 2 3 3" xfId="38727" xr:uid="{00000000-0005-0000-0000-0000B09E0000}"/>
    <cellStyle name="Currency 6 2 2 5 2 4" xfId="16972" xr:uid="{00000000-0005-0000-0000-0000B19E0000}"/>
    <cellStyle name="Currency 6 2 2 5 2 4 2" xfId="45978" xr:uid="{00000000-0005-0000-0000-0000B29E0000}"/>
    <cellStyle name="Currency 6 2 2 5 2 5" xfId="31479" xr:uid="{00000000-0005-0000-0000-0000B39E0000}"/>
    <cellStyle name="Currency 6 2 2 5 3" xfId="3446" xr:uid="{00000000-0005-0000-0000-0000B49E0000}"/>
    <cellStyle name="Currency 6 2 2 5 3 2" xfId="6550" xr:uid="{00000000-0005-0000-0000-0000B59E0000}"/>
    <cellStyle name="Currency 6 2 2 5 3 2 2" xfId="13822" xr:uid="{00000000-0005-0000-0000-0000B69E0000}"/>
    <cellStyle name="Currency 6 2 2 5 3 2 2 2" xfId="28356" xr:uid="{00000000-0005-0000-0000-0000B79E0000}"/>
    <cellStyle name="Currency 6 2 2 5 3 2 2 2 2" xfId="57362" xr:uid="{00000000-0005-0000-0000-0000B89E0000}"/>
    <cellStyle name="Currency 6 2 2 5 3 2 2 3" xfId="42863" xr:uid="{00000000-0005-0000-0000-0000B99E0000}"/>
    <cellStyle name="Currency 6 2 2 5 3 2 3" xfId="21108" xr:uid="{00000000-0005-0000-0000-0000BA9E0000}"/>
    <cellStyle name="Currency 6 2 2 5 3 2 3 2" xfId="50114" xr:uid="{00000000-0005-0000-0000-0000BB9E0000}"/>
    <cellStyle name="Currency 6 2 2 5 3 2 4" xfId="35615" xr:uid="{00000000-0005-0000-0000-0000BC9E0000}"/>
    <cellStyle name="Currency 6 2 2 5 3 3" xfId="10718" xr:uid="{00000000-0005-0000-0000-0000BD9E0000}"/>
    <cellStyle name="Currency 6 2 2 5 3 3 2" xfId="25252" xr:uid="{00000000-0005-0000-0000-0000BE9E0000}"/>
    <cellStyle name="Currency 6 2 2 5 3 3 2 2" xfId="54258" xr:uid="{00000000-0005-0000-0000-0000BF9E0000}"/>
    <cellStyle name="Currency 6 2 2 5 3 3 3" xfId="39759" xr:uid="{00000000-0005-0000-0000-0000C09E0000}"/>
    <cellStyle name="Currency 6 2 2 5 3 4" xfId="18004" xr:uid="{00000000-0005-0000-0000-0000C19E0000}"/>
    <cellStyle name="Currency 6 2 2 5 3 4 2" xfId="47010" xr:uid="{00000000-0005-0000-0000-0000C29E0000}"/>
    <cellStyle name="Currency 6 2 2 5 3 5" xfId="32511" xr:uid="{00000000-0005-0000-0000-0000C39E0000}"/>
    <cellStyle name="Currency 6 2 2 5 4" xfId="4478" xr:uid="{00000000-0005-0000-0000-0000C49E0000}"/>
    <cellStyle name="Currency 6 2 2 5 4 2" xfId="11750" xr:uid="{00000000-0005-0000-0000-0000C59E0000}"/>
    <cellStyle name="Currency 6 2 2 5 4 2 2" xfId="26284" xr:uid="{00000000-0005-0000-0000-0000C69E0000}"/>
    <cellStyle name="Currency 6 2 2 5 4 2 2 2" xfId="55290" xr:uid="{00000000-0005-0000-0000-0000C79E0000}"/>
    <cellStyle name="Currency 6 2 2 5 4 2 3" xfId="40791" xr:uid="{00000000-0005-0000-0000-0000C89E0000}"/>
    <cellStyle name="Currency 6 2 2 5 4 3" xfId="19036" xr:uid="{00000000-0005-0000-0000-0000C99E0000}"/>
    <cellStyle name="Currency 6 2 2 5 4 3 2" xfId="48042" xr:uid="{00000000-0005-0000-0000-0000CA9E0000}"/>
    <cellStyle name="Currency 6 2 2 5 4 4" xfId="33543" xr:uid="{00000000-0005-0000-0000-0000CB9E0000}"/>
    <cellStyle name="Currency 6 2 2 5 5" xfId="7582" xr:uid="{00000000-0005-0000-0000-0000CC9E0000}"/>
    <cellStyle name="Currency 6 2 2 5 5 2" xfId="14854" xr:uid="{00000000-0005-0000-0000-0000CD9E0000}"/>
    <cellStyle name="Currency 6 2 2 5 5 2 2" xfId="29388" xr:uid="{00000000-0005-0000-0000-0000CE9E0000}"/>
    <cellStyle name="Currency 6 2 2 5 5 2 2 2" xfId="58394" xr:uid="{00000000-0005-0000-0000-0000CF9E0000}"/>
    <cellStyle name="Currency 6 2 2 5 5 2 3" xfId="43895" xr:uid="{00000000-0005-0000-0000-0000D09E0000}"/>
    <cellStyle name="Currency 6 2 2 5 5 3" xfId="22140" xr:uid="{00000000-0005-0000-0000-0000D19E0000}"/>
    <cellStyle name="Currency 6 2 2 5 5 3 2" xfId="51146" xr:uid="{00000000-0005-0000-0000-0000D29E0000}"/>
    <cellStyle name="Currency 6 2 2 5 5 4" xfId="36647" xr:uid="{00000000-0005-0000-0000-0000D39E0000}"/>
    <cellStyle name="Currency 6 2 2 5 6" xfId="8646" xr:uid="{00000000-0005-0000-0000-0000D49E0000}"/>
    <cellStyle name="Currency 6 2 2 5 6 2" xfId="23180" xr:uid="{00000000-0005-0000-0000-0000D59E0000}"/>
    <cellStyle name="Currency 6 2 2 5 6 2 2" xfId="52186" xr:uid="{00000000-0005-0000-0000-0000D69E0000}"/>
    <cellStyle name="Currency 6 2 2 5 6 3" xfId="37687" xr:uid="{00000000-0005-0000-0000-0000D79E0000}"/>
    <cellStyle name="Currency 6 2 2 5 7" xfId="15932" xr:uid="{00000000-0005-0000-0000-0000D89E0000}"/>
    <cellStyle name="Currency 6 2 2 5 7 2" xfId="44938" xr:uid="{00000000-0005-0000-0000-0000D99E0000}"/>
    <cellStyle name="Currency 6 2 2 5 8" xfId="30439" xr:uid="{00000000-0005-0000-0000-0000DA9E0000}"/>
    <cellStyle name="Currency 6 2 2 6" xfId="1902" xr:uid="{00000000-0005-0000-0000-0000DB9E0000}"/>
    <cellStyle name="Currency 6 2 2 6 2" xfId="5006" xr:uid="{00000000-0005-0000-0000-0000DC9E0000}"/>
    <cellStyle name="Currency 6 2 2 6 2 2" xfId="12278" xr:uid="{00000000-0005-0000-0000-0000DD9E0000}"/>
    <cellStyle name="Currency 6 2 2 6 2 2 2" xfId="26812" xr:uid="{00000000-0005-0000-0000-0000DE9E0000}"/>
    <cellStyle name="Currency 6 2 2 6 2 2 2 2" xfId="55818" xr:uid="{00000000-0005-0000-0000-0000DF9E0000}"/>
    <cellStyle name="Currency 6 2 2 6 2 2 3" xfId="41319" xr:uid="{00000000-0005-0000-0000-0000E09E0000}"/>
    <cellStyle name="Currency 6 2 2 6 2 3" xfId="19564" xr:uid="{00000000-0005-0000-0000-0000E19E0000}"/>
    <cellStyle name="Currency 6 2 2 6 2 3 2" xfId="48570" xr:uid="{00000000-0005-0000-0000-0000E29E0000}"/>
    <cellStyle name="Currency 6 2 2 6 2 4" xfId="34071" xr:uid="{00000000-0005-0000-0000-0000E39E0000}"/>
    <cellStyle name="Currency 6 2 2 6 3" xfId="9174" xr:uid="{00000000-0005-0000-0000-0000E49E0000}"/>
    <cellStyle name="Currency 6 2 2 6 3 2" xfId="23708" xr:uid="{00000000-0005-0000-0000-0000E59E0000}"/>
    <cellStyle name="Currency 6 2 2 6 3 2 2" xfId="52714" xr:uid="{00000000-0005-0000-0000-0000E69E0000}"/>
    <cellStyle name="Currency 6 2 2 6 3 3" xfId="38215" xr:uid="{00000000-0005-0000-0000-0000E79E0000}"/>
    <cellStyle name="Currency 6 2 2 6 4" xfId="16460" xr:uid="{00000000-0005-0000-0000-0000E89E0000}"/>
    <cellStyle name="Currency 6 2 2 6 4 2" xfId="45466" xr:uid="{00000000-0005-0000-0000-0000E99E0000}"/>
    <cellStyle name="Currency 6 2 2 6 5" xfId="30967" xr:uid="{00000000-0005-0000-0000-0000EA9E0000}"/>
    <cellStyle name="Currency 6 2 2 7" xfId="2934" xr:uid="{00000000-0005-0000-0000-0000EB9E0000}"/>
    <cellStyle name="Currency 6 2 2 7 2" xfId="6038" xr:uid="{00000000-0005-0000-0000-0000EC9E0000}"/>
    <cellStyle name="Currency 6 2 2 7 2 2" xfId="13310" xr:uid="{00000000-0005-0000-0000-0000ED9E0000}"/>
    <cellStyle name="Currency 6 2 2 7 2 2 2" xfId="27844" xr:uid="{00000000-0005-0000-0000-0000EE9E0000}"/>
    <cellStyle name="Currency 6 2 2 7 2 2 2 2" xfId="56850" xr:uid="{00000000-0005-0000-0000-0000EF9E0000}"/>
    <cellStyle name="Currency 6 2 2 7 2 2 3" xfId="42351" xr:uid="{00000000-0005-0000-0000-0000F09E0000}"/>
    <cellStyle name="Currency 6 2 2 7 2 3" xfId="20596" xr:uid="{00000000-0005-0000-0000-0000F19E0000}"/>
    <cellStyle name="Currency 6 2 2 7 2 3 2" xfId="49602" xr:uid="{00000000-0005-0000-0000-0000F29E0000}"/>
    <cellStyle name="Currency 6 2 2 7 2 4" xfId="35103" xr:uid="{00000000-0005-0000-0000-0000F39E0000}"/>
    <cellStyle name="Currency 6 2 2 7 3" xfId="10206" xr:uid="{00000000-0005-0000-0000-0000F49E0000}"/>
    <cellStyle name="Currency 6 2 2 7 3 2" xfId="24740" xr:uid="{00000000-0005-0000-0000-0000F59E0000}"/>
    <cellStyle name="Currency 6 2 2 7 3 2 2" xfId="53746" xr:uid="{00000000-0005-0000-0000-0000F69E0000}"/>
    <cellStyle name="Currency 6 2 2 7 3 3" xfId="39247" xr:uid="{00000000-0005-0000-0000-0000F79E0000}"/>
    <cellStyle name="Currency 6 2 2 7 4" xfId="17492" xr:uid="{00000000-0005-0000-0000-0000F89E0000}"/>
    <cellStyle name="Currency 6 2 2 7 4 2" xfId="46498" xr:uid="{00000000-0005-0000-0000-0000F99E0000}"/>
    <cellStyle name="Currency 6 2 2 7 5" xfId="31999" xr:uid="{00000000-0005-0000-0000-0000FA9E0000}"/>
    <cellStyle name="Currency 6 2 2 8" xfId="3966" xr:uid="{00000000-0005-0000-0000-0000FB9E0000}"/>
    <cellStyle name="Currency 6 2 2 8 2" xfId="11238" xr:uid="{00000000-0005-0000-0000-0000FC9E0000}"/>
    <cellStyle name="Currency 6 2 2 8 2 2" xfId="25772" xr:uid="{00000000-0005-0000-0000-0000FD9E0000}"/>
    <cellStyle name="Currency 6 2 2 8 2 2 2" xfId="54778" xr:uid="{00000000-0005-0000-0000-0000FE9E0000}"/>
    <cellStyle name="Currency 6 2 2 8 2 3" xfId="40279" xr:uid="{00000000-0005-0000-0000-0000FF9E0000}"/>
    <cellStyle name="Currency 6 2 2 8 3" xfId="18524" xr:uid="{00000000-0005-0000-0000-0000009F0000}"/>
    <cellStyle name="Currency 6 2 2 8 3 2" xfId="47530" xr:uid="{00000000-0005-0000-0000-0000019F0000}"/>
    <cellStyle name="Currency 6 2 2 8 4" xfId="33031" xr:uid="{00000000-0005-0000-0000-0000029F0000}"/>
    <cellStyle name="Currency 6 2 2 9" xfId="7070" xr:uid="{00000000-0005-0000-0000-0000039F0000}"/>
    <cellStyle name="Currency 6 2 2 9 2" xfId="14342" xr:uid="{00000000-0005-0000-0000-0000049F0000}"/>
    <cellStyle name="Currency 6 2 2 9 2 2" xfId="28876" xr:uid="{00000000-0005-0000-0000-0000059F0000}"/>
    <cellStyle name="Currency 6 2 2 9 2 2 2" xfId="57882" xr:uid="{00000000-0005-0000-0000-0000069F0000}"/>
    <cellStyle name="Currency 6 2 2 9 2 3" xfId="43383" xr:uid="{00000000-0005-0000-0000-0000079F0000}"/>
    <cellStyle name="Currency 6 2 2 9 3" xfId="21628" xr:uid="{00000000-0005-0000-0000-0000089F0000}"/>
    <cellStyle name="Currency 6 2 2 9 3 2" xfId="50634" xr:uid="{00000000-0005-0000-0000-0000099F0000}"/>
    <cellStyle name="Currency 6 2 2 9 4" xfId="36135" xr:uid="{00000000-0005-0000-0000-00000A9F0000}"/>
    <cellStyle name="Currency 6 2 3" xfId="473" xr:uid="{00000000-0005-0000-0000-00000B9F0000}"/>
    <cellStyle name="Currency 6 2 3 10" xfId="29978" xr:uid="{00000000-0005-0000-0000-00000C9F0000}"/>
    <cellStyle name="Currency 6 2 3 11" xfId="59332" xr:uid="{00000000-0005-0000-0000-00000D9F0000}"/>
    <cellStyle name="Currency 6 2 3 2" xfId="1209" xr:uid="{00000000-0005-0000-0000-00000E9F0000}"/>
    <cellStyle name="Currency 6 2 3 2 2" xfId="1712" xr:uid="{00000000-0005-0000-0000-00000F9F0000}"/>
    <cellStyle name="Currency 6 2 3 2 2 2" xfId="2771" xr:uid="{00000000-0005-0000-0000-0000109F0000}"/>
    <cellStyle name="Currency 6 2 3 2 2 2 2" xfId="5875" xr:uid="{00000000-0005-0000-0000-0000119F0000}"/>
    <cellStyle name="Currency 6 2 3 2 2 2 2 2" xfId="13147" xr:uid="{00000000-0005-0000-0000-0000129F0000}"/>
    <cellStyle name="Currency 6 2 3 2 2 2 2 2 2" xfId="27681" xr:uid="{00000000-0005-0000-0000-0000139F0000}"/>
    <cellStyle name="Currency 6 2 3 2 2 2 2 2 2 2" xfId="56687" xr:uid="{00000000-0005-0000-0000-0000149F0000}"/>
    <cellStyle name="Currency 6 2 3 2 2 2 2 2 3" xfId="42188" xr:uid="{00000000-0005-0000-0000-0000159F0000}"/>
    <cellStyle name="Currency 6 2 3 2 2 2 2 3" xfId="20433" xr:uid="{00000000-0005-0000-0000-0000169F0000}"/>
    <cellStyle name="Currency 6 2 3 2 2 2 2 3 2" xfId="49439" xr:uid="{00000000-0005-0000-0000-0000179F0000}"/>
    <cellStyle name="Currency 6 2 3 2 2 2 2 4" xfId="34940" xr:uid="{00000000-0005-0000-0000-0000189F0000}"/>
    <cellStyle name="Currency 6 2 3 2 2 2 3" xfId="10043" xr:uid="{00000000-0005-0000-0000-0000199F0000}"/>
    <cellStyle name="Currency 6 2 3 2 2 2 3 2" xfId="24577" xr:uid="{00000000-0005-0000-0000-00001A9F0000}"/>
    <cellStyle name="Currency 6 2 3 2 2 2 3 2 2" xfId="53583" xr:uid="{00000000-0005-0000-0000-00001B9F0000}"/>
    <cellStyle name="Currency 6 2 3 2 2 2 3 3" xfId="39084" xr:uid="{00000000-0005-0000-0000-00001C9F0000}"/>
    <cellStyle name="Currency 6 2 3 2 2 2 4" xfId="17329" xr:uid="{00000000-0005-0000-0000-00001D9F0000}"/>
    <cellStyle name="Currency 6 2 3 2 2 2 4 2" xfId="46335" xr:uid="{00000000-0005-0000-0000-00001E9F0000}"/>
    <cellStyle name="Currency 6 2 3 2 2 2 5" xfId="31836" xr:uid="{00000000-0005-0000-0000-00001F9F0000}"/>
    <cellStyle name="Currency 6 2 3 2 2 3" xfId="3803" xr:uid="{00000000-0005-0000-0000-0000209F0000}"/>
    <cellStyle name="Currency 6 2 3 2 2 3 2" xfId="6907" xr:uid="{00000000-0005-0000-0000-0000219F0000}"/>
    <cellStyle name="Currency 6 2 3 2 2 3 2 2" xfId="14179" xr:uid="{00000000-0005-0000-0000-0000229F0000}"/>
    <cellStyle name="Currency 6 2 3 2 2 3 2 2 2" xfId="28713" xr:uid="{00000000-0005-0000-0000-0000239F0000}"/>
    <cellStyle name="Currency 6 2 3 2 2 3 2 2 2 2" xfId="57719" xr:uid="{00000000-0005-0000-0000-0000249F0000}"/>
    <cellStyle name="Currency 6 2 3 2 2 3 2 2 3" xfId="43220" xr:uid="{00000000-0005-0000-0000-0000259F0000}"/>
    <cellStyle name="Currency 6 2 3 2 2 3 2 3" xfId="21465" xr:uid="{00000000-0005-0000-0000-0000269F0000}"/>
    <cellStyle name="Currency 6 2 3 2 2 3 2 3 2" xfId="50471" xr:uid="{00000000-0005-0000-0000-0000279F0000}"/>
    <cellStyle name="Currency 6 2 3 2 2 3 2 4" xfId="35972" xr:uid="{00000000-0005-0000-0000-0000289F0000}"/>
    <cellStyle name="Currency 6 2 3 2 2 3 3" xfId="11075" xr:uid="{00000000-0005-0000-0000-0000299F0000}"/>
    <cellStyle name="Currency 6 2 3 2 2 3 3 2" xfId="25609" xr:uid="{00000000-0005-0000-0000-00002A9F0000}"/>
    <cellStyle name="Currency 6 2 3 2 2 3 3 2 2" xfId="54615" xr:uid="{00000000-0005-0000-0000-00002B9F0000}"/>
    <cellStyle name="Currency 6 2 3 2 2 3 3 3" xfId="40116" xr:uid="{00000000-0005-0000-0000-00002C9F0000}"/>
    <cellStyle name="Currency 6 2 3 2 2 3 4" xfId="18361" xr:uid="{00000000-0005-0000-0000-00002D9F0000}"/>
    <cellStyle name="Currency 6 2 3 2 2 3 4 2" xfId="47367" xr:uid="{00000000-0005-0000-0000-00002E9F0000}"/>
    <cellStyle name="Currency 6 2 3 2 2 3 5" xfId="32868" xr:uid="{00000000-0005-0000-0000-00002F9F0000}"/>
    <cellStyle name="Currency 6 2 3 2 2 4" xfId="4835" xr:uid="{00000000-0005-0000-0000-0000309F0000}"/>
    <cellStyle name="Currency 6 2 3 2 2 4 2" xfId="12107" xr:uid="{00000000-0005-0000-0000-0000319F0000}"/>
    <cellStyle name="Currency 6 2 3 2 2 4 2 2" xfId="26641" xr:uid="{00000000-0005-0000-0000-0000329F0000}"/>
    <cellStyle name="Currency 6 2 3 2 2 4 2 2 2" xfId="55647" xr:uid="{00000000-0005-0000-0000-0000339F0000}"/>
    <cellStyle name="Currency 6 2 3 2 2 4 2 3" xfId="41148" xr:uid="{00000000-0005-0000-0000-0000349F0000}"/>
    <cellStyle name="Currency 6 2 3 2 2 4 3" xfId="19393" xr:uid="{00000000-0005-0000-0000-0000359F0000}"/>
    <cellStyle name="Currency 6 2 3 2 2 4 3 2" xfId="48399" xr:uid="{00000000-0005-0000-0000-0000369F0000}"/>
    <cellStyle name="Currency 6 2 3 2 2 4 4" xfId="33900" xr:uid="{00000000-0005-0000-0000-0000379F0000}"/>
    <cellStyle name="Currency 6 2 3 2 2 5" xfId="7939" xr:uid="{00000000-0005-0000-0000-0000389F0000}"/>
    <cellStyle name="Currency 6 2 3 2 2 5 2" xfId="15211" xr:uid="{00000000-0005-0000-0000-0000399F0000}"/>
    <cellStyle name="Currency 6 2 3 2 2 5 2 2" xfId="29745" xr:uid="{00000000-0005-0000-0000-00003A9F0000}"/>
    <cellStyle name="Currency 6 2 3 2 2 5 2 2 2" xfId="58751" xr:uid="{00000000-0005-0000-0000-00003B9F0000}"/>
    <cellStyle name="Currency 6 2 3 2 2 5 2 3" xfId="44252" xr:uid="{00000000-0005-0000-0000-00003C9F0000}"/>
    <cellStyle name="Currency 6 2 3 2 2 5 3" xfId="22497" xr:uid="{00000000-0005-0000-0000-00003D9F0000}"/>
    <cellStyle name="Currency 6 2 3 2 2 5 3 2" xfId="51503" xr:uid="{00000000-0005-0000-0000-00003E9F0000}"/>
    <cellStyle name="Currency 6 2 3 2 2 5 4" xfId="37004" xr:uid="{00000000-0005-0000-0000-00003F9F0000}"/>
    <cellStyle name="Currency 6 2 3 2 2 6" xfId="9003" xr:uid="{00000000-0005-0000-0000-0000409F0000}"/>
    <cellStyle name="Currency 6 2 3 2 2 6 2" xfId="23537" xr:uid="{00000000-0005-0000-0000-0000419F0000}"/>
    <cellStyle name="Currency 6 2 3 2 2 6 2 2" xfId="52543" xr:uid="{00000000-0005-0000-0000-0000429F0000}"/>
    <cellStyle name="Currency 6 2 3 2 2 6 3" xfId="38044" xr:uid="{00000000-0005-0000-0000-0000439F0000}"/>
    <cellStyle name="Currency 6 2 3 2 2 7" xfId="16289" xr:uid="{00000000-0005-0000-0000-0000449F0000}"/>
    <cellStyle name="Currency 6 2 3 2 2 7 2" xfId="45295" xr:uid="{00000000-0005-0000-0000-0000459F0000}"/>
    <cellStyle name="Currency 6 2 3 2 2 8" xfId="30796" xr:uid="{00000000-0005-0000-0000-0000469F0000}"/>
    <cellStyle name="Currency 6 2 3 2 3" xfId="2259" xr:uid="{00000000-0005-0000-0000-0000479F0000}"/>
    <cellStyle name="Currency 6 2 3 2 3 2" xfId="5363" xr:uid="{00000000-0005-0000-0000-0000489F0000}"/>
    <cellStyle name="Currency 6 2 3 2 3 2 2" xfId="12635" xr:uid="{00000000-0005-0000-0000-0000499F0000}"/>
    <cellStyle name="Currency 6 2 3 2 3 2 2 2" xfId="27169" xr:uid="{00000000-0005-0000-0000-00004A9F0000}"/>
    <cellStyle name="Currency 6 2 3 2 3 2 2 2 2" xfId="56175" xr:uid="{00000000-0005-0000-0000-00004B9F0000}"/>
    <cellStyle name="Currency 6 2 3 2 3 2 2 3" xfId="41676" xr:uid="{00000000-0005-0000-0000-00004C9F0000}"/>
    <cellStyle name="Currency 6 2 3 2 3 2 3" xfId="19921" xr:uid="{00000000-0005-0000-0000-00004D9F0000}"/>
    <cellStyle name="Currency 6 2 3 2 3 2 3 2" xfId="48927" xr:uid="{00000000-0005-0000-0000-00004E9F0000}"/>
    <cellStyle name="Currency 6 2 3 2 3 2 4" xfId="34428" xr:uid="{00000000-0005-0000-0000-00004F9F0000}"/>
    <cellStyle name="Currency 6 2 3 2 3 3" xfId="9531" xr:uid="{00000000-0005-0000-0000-0000509F0000}"/>
    <cellStyle name="Currency 6 2 3 2 3 3 2" xfId="24065" xr:uid="{00000000-0005-0000-0000-0000519F0000}"/>
    <cellStyle name="Currency 6 2 3 2 3 3 2 2" xfId="53071" xr:uid="{00000000-0005-0000-0000-0000529F0000}"/>
    <cellStyle name="Currency 6 2 3 2 3 3 3" xfId="38572" xr:uid="{00000000-0005-0000-0000-0000539F0000}"/>
    <cellStyle name="Currency 6 2 3 2 3 4" xfId="16817" xr:uid="{00000000-0005-0000-0000-0000549F0000}"/>
    <cellStyle name="Currency 6 2 3 2 3 4 2" xfId="45823" xr:uid="{00000000-0005-0000-0000-0000559F0000}"/>
    <cellStyle name="Currency 6 2 3 2 3 5" xfId="31324" xr:uid="{00000000-0005-0000-0000-0000569F0000}"/>
    <cellStyle name="Currency 6 2 3 2 4" xfId="3291" xr:uid="{00000000-0005-0000-0000-0000579F0000}"/>
    <cellStyle name="Currency 6 2 3 2 4 2" xfId="6395" xr:uid="{00000000-0005-0000-0000-0000589F0000}"/>
    <cellStyle name="Currency 6 2 3 2 4 2 2" xfId="13667" xr:uid="{00000000-0005-0000-0000-0000599F0000}"/>
    <cellStyle name="Currency 6 2 3 2 4 2 2 2" xfId="28201" xr:uid="{00000000-0005-0000-0000-00005A9F0000}"/>
    <cellStyle name="Currency 6 2 3 2 4 2 2 2 2" xfId="57207" xr:uid="{00000000-0005-0000-0000-00005B9F0000}"/>
    <cellStyle name="Currency 6 2 3 2 4 2 2 3" xfId="42708" xr:uid="{00000000-0005-0000-0000-00005C9F0000}"/>
    <cellStyle name="Currency 6 2 3 2 4 2 3" xfId="20953" xr:uid="{00000000-0005-0000-0000-00005D9F0000}"/>
    <cellStyle name="Currency 6 2 3 2 4 2 3 2" xfId="49959" xr:uid="{00000000-0005-0000-0000-00005E9F0000}"/>
    <cellStyle name="Currency 6 2 3 2 4 2 4" xfId="35460" xr:uid="{00000000-0005-0000-0000-00005F9F0000}"/>
    <cellStyle name="Currency 6 2 3 2 4 3" xfId="10563" xr:uid="{00000000-0005-0000-0000-0000609F0000}"/>
    <cellStyle name="Currency 6 2 3 2 4 3 2" xfId="25097" xr:uid="{00000000-0005-0000-0000-0000619F0000}"/>
    <cellStyle name="Currency 6 2 3 2 4 3 2 2" xfId="54103" xr:uid="{00000000-0005-0000-0000-0000629F0000}"/>
    <cellStyle name="Currency 6 2 3 2 4 3 3" xfId="39604" xr:uid="{00000000-0005-0000-0000-0000639F0000}"/>
    <cellStyle name="Currency 6 2 3 2 4 4" xfId="17849" xr:uid="{00000000-0005-0000-0000-0000649F0000}"/>
    <cellStyle name="Currency 6 2 3 2 4 4 2" xfId="46855" xr:uid="{00000000-0005-0000-0000-0000659F0000}"/>
    <cellStyle name="Currency 6 2 3 2 4 5" xfId="32356" xr:uid="{00000000-0005-0000-0000-0000669F0000}"/>
    <cellStyle name="Currency 6 2 3 2 5" xfId="4323" xr:uid="{00000000-0005-0000-0000-0000679F0000}"/>
    <cellStyle name="Currency 6 2 3 2 5 2" xfId="11595" xr:uid="{00000000-0005-0000-0000-0000689F0000}"/>
    <cellStyle name="Currency 6 2 3 2 5 2 2" xfId="26129" xr:uid="{00000000-0005-0000-0000-0000699F0000}"/>
    <cellStyle name="Currency 6 2 3 2 5 2 2 2" xfId="55135" xr:uid="{00000000-0005-0000-0000-00006A9F0000}"/>
    <cellStyle name="Currency 6 2 3 2 5 2 3" xfId="40636" xr:uid="{00000000-0005-0000-0000-00006B9F0000}"/>
    <cellStyle name="Currency 6 2 3 2 5 3" xfId="18881" xr:uid="{00000000-0005-0000-0000-00006C9F0000}"/>
    <cellStyle name="Currency 6 2 3 2 5 3 2" xfId="47887" xr:uid="{00000000-0005-0000-0000-00006D9F0000}"/>
    <cellStyle name="Currency 6 2 3 2 5 4" xfId="33388" xr:uid="{00000000-0005-0000-0000-00006E9F0000}"/>
    <cellStyle name="Currency 6 2 3 2 6" xfId="7427" xr:uid="{00000000-0005-0000-0000-00006F9F0000}"/>
    <cellStyle name="Currency 6 2 3 2 6 2" xfId="14699" xr:uid="{00000000-0005-0000-0000-0000709F0000}"/>
    <cellStyle name="Currency 6 2 3 2 6 2 2" xfId="29233" xr:uid="{00000000-0005-0000-0000-0000719F0000}"/>
    <cellStyle name="Currency 6 2 3 2 6 2 2 2" xfId="58239" xr:uid="{00000000-0005-0000-0000-0000729F0000}"/>
    <cellStyle name="Currency 6 2 3 2 6 2 3" xfId="43740" xr:uid="{00000000-0005-0000-0000-0000739F0000}"/>
    <cellStyle name="Currency 6 2 3 2 6 3" xfId="21985" xr:uid="{00000000-0005-0000-0000-0000749F0000}"/>
    <cellStyle name="Currency 6 2 3 2 6 3 2" xfId="50991" xr:uid="{00000000-0005-0000-0000-0000759F0000}"/>
    <cellStyle name="Currency 6 2 3 2 6 4" xfId="36492" xr:uid="{00000000-0005-0000-0000-0000769F0000}"/>
    <cellStyle name="Currency 6 2 3 2 7" xfId="8491" xr:uid="{00000000-0005-0000-0000-0000779F0000}"/>
    <cellStyle name="Currency 6 2 3 2 7 2" xfId="23025" xr:uid="{00000000-0005-0000-0000-0000789F0000}"/>
    <cellStyle name="Currency 6 2 3 2 7 2 2" xfId="52031" xr:uid="{00000000-0005-0000-0000-0000799F0000}"/>
    <cellStyle name="Currency 6 2 3 2 7 3" xfId="37532" xr:uid="{00000000-0005-0000-0000-00007A9F0000}"/>
    <cellStyle name="Currency 6 2 3 2 8" xfId="15777" xr:uid="{00000000-0005-0000-0000-00007B9F0000}"/>
    <cellStyle name="Currency 6 2 3 2 8 2" xfId="44783" xr:uid="{00000000-0005-0000-0000-00007C9F0000}"/>
    <cellStyle name="Currency 6 2 3 2 9" xfId="30284" xr:uid="{00000000-0005-0000-0000-00007D9F0000}"/>
    <cellStyle name="Currency 6 2 3 3" xfId="1407" xr:uid="{00000000-0005-0000-0000-00007E9F0000}"/>
    <cellStyle name="Currency 6 2 3 3 2" xfId="2465" xr:uid="{00000000-0005-0000-0000-00007F9F0000}"/>
    <cellStyle name="Currency 6 2 3 3 2 2" xfId="5569" xr:uid="{00000000-0005-0000-0000-0000809F0000}"/>
    <cellStyle name="Currency 6 2 3 3 2 2 2" xfId="12841" xr:uid="{00000000-0005-0000-0000-0000819F0000}"/>
    <cellStyle name="Currency 6 2 3 3 2 2 2 2" xfId="27375" xr:uid="{00000000-0005-0000-0000-0000829F0000}"/>
    <cellStyle name="Currency 6 2 3 3 2 2 2 2 2" xfId="56381" xr:uid="{00000000-0005-0000-0000-0000839F0000}"/>
    <cellStyle name="Currency 6 2 3 3 2 2 2 3" xfId="41882" xr:uid="{00000000-0005-0000-0000-0000849F0000}"/>
    <cellStyle name="Currency 6 2 3 3 2 2 3" xfId="20127" xr:uid="{00000000-0005-0000-0000-0000859F0000}"/>
    <cellStyle name="Currency 6 2 3 3 2 2 3 2" xfId="49133" xr:uid="{00000000-0005-0000-0000-0000869F0000}"/>
    <cellStyle name="Currency 6 2 3 3 2 2 4" xfId="34634" xr:uid="{00000000-0005-0000-0000-0000879F0000}"/>
    <cellStyle name="Currency 6 2 3 3 2 3" xfId="9737" xr:uid="{00000000-0005-0000-0000-0000889F0000}"/>
    <cellStyle name="Currency 6 2 3 3 2 3 2" xfId="24271" xr:uid="{00000000-0005-0000-0000-0000899F0000}"/>
    <cellStyle name="Currency 6 2 3 3 2 3 2 2" xfId="53277" xr:uid="{00000000-0005-0000-0000-00008A9F0000}"/>
    <cellStyle name="Currency 6 2 3 3 2 3 3" xfId="38778" xr:uid="{00000000-0005-0000-0000-00008B9F0000}"/>
    <cellStyle name="Currency 6 2 3 3 2 4" xfId="17023" xr:uid="{00000000-0005-0000-0000-00008C9F0000}"/>
    <cellStyle name="Currency 6 2 3 3 2 4 2" xfId="46029" xr:uid="{00000000-0005-0000-0000-00008D9F0000}"/>
    <cellStyle name="Currency 6 2 3 3 2 5" xfId="31530" xr:uid="{00000000-0005-0000-0000-00008E9F0000}"/>
    <cellStyle name="Currency 6 2 3 3 3" xfId="3497" xr:uid="{00000000-0005-0000-0000-00008F9F0000}"/>
    <cellStyle name="Currency 6 2 3 3 3 2" xfId="6601" xr:uid="{00000000-0005-0000-0000-0000909F0000}"/>
    <cellStyle name="Currency 6 2 3 3 3 2 2" xfId="13873" xr:uid="{00000000-0005-0000-0000-0000919F0000}"/>
    <cellStyle name="Currency 6 2 3 3 3 2 2 2" xfId="28407" xr:uid="{00000000-0005-0000-0000-0000929F0000}"/>
    <cellStyle name="Currency 6 2 3 3 3 2 2 2 2" xfId="57413" xr:uid="{00000000-0005-0000-0000-0000939F0000}"/>
    <cellStyle name="Currency 6 2 3 3 3 2 2 3" xfId="42914" xr:uid="{00000000-0005-0000-0000-0000949F0000}"/>
    <cellStyle name="Currency 6 2 3 3 3 2 3" xfId="21159" xr:uid="{00000000-0005-0000-0000-0000959F0000}"/>
    <cellStyle name="Currency 6 2 3 3 3 2 3 2" xfId="50165" xr:uid="{00000000-0005-0000-0000-0000969F0000}"/>
    <cellStyle name="Currency 6 2 3 3 3 2 4" xfId="35666" xr:uid="{00000000-0005-0000-0000-0000979F0000}"/>
    <cellStyle name="Currency 6 2 3 3 3 3" xfId="10769" xr:uid="{00000000-0005-0000-0000-0000989F0000}"/>
    <cellStyle name="Currency 6 2 3 3 3 3 2" xfId="25303" xr:uid="{00000000-0005-0000-0000-0000999F0000}"/>
    <cellStyle name="Currency 6 2 3 3 3 3 2 2" xfId="54309" xr:uid="{00000000-0005-0000-0000-00009A9F0000}"/>
    <cellStyle name="Currency 6 2 3 3 3 3 3" xfId="39810" xr:uid="{00000000-0005-0000-0000-00009B9F0000}"/>
    <cellStyle name="Currency 6 2 3 3 3 4" xfId="18055" xr:uid="{00000000-0005-0000-0000-00009C9F0000}"/>
    <cellStyle name="Currency 6 2 3 3 3 4 2" xfId="47061" xr:uid="{00000000-0005-0000-0000-00009D9F0000}"/>
    <cellStyle name="Currency 6 2 3 3 3 5" xfId="32562" xr:uid="{00000000-0005-0000-0000-00009E9F0000}"/>
    <cellStyle name="Currency 6 2 3 3 4" xfId="4529" xr:uid="{00000000-0005-0000-0000-00009F9F0000}"/>
    <cellStyle name="Currency 6 2 3 3 4 2" xfId="11801" xr:uid="{00000000-0005-0000-0000-0000A09F0000}"/>
    <cellStyle name="Currency 6 2 3 3 4 2 2" xfId="26335" xr:uid="{00000000-0005-0000-0000-0000A19F0000}"/>
    <cellStyle name="Currency 6 2 3 3 4 2 2 2" xfId="55341" xr:uid="{00000000-0005-0000-0000-0000A29F0000}"/>
    <cellStyle name="Currency 6 2 3 3 4 2 3" xfId="40842" xr:uid="{00000000-0005-0000-0000-0000A39F0000}"/>
    <cellStyle name="Currency 6 2 3 3 4 3" xfId="19087" xr:uid="{00000000-0005-0000-0000-0000A49F0000}"/>
    <cellStyle name="Currency 6 2 3 3 4 3 2" xfId="48093" xr:uid="{00000000-0005-0000-0000-0000A59F0000}"/>
    <cellStyle name="Currency 6 2 3 3 4 4" xfId="33594" xr:uid="{00000000-0005-0000-0000-0000A69F0000}"/>
    <cellStyle name="Currency 6 2 3 3 5" xfId="7633" xr:uid="{00000000-0005-0000-0000-0000A79F0000}"/>
    <cellStyle name="Currency 6 2 3 3 5 2" xfId="14905" xr:uid="{00000000-0005-0000-0000-0000A89F0000}"/>
    <cellStyle name="Currency 6 2 3 3 5 2 2" xfId="29439" xr:uid="{00000000-0005-0000-0000-0000A99F0000}"/>
    <cellStyle name="Currency 6 2 3 3 5 2 2 2" xfId="58445" xr:uid="{00000000-0005-0000-0000-0000AA9F0000}"/>
    <cellStyle name="Currency 6 2 3 3 5 2 3" xfId="43946" xr:uid="{00000000-0005-0000-0000-0000AB9F0000}"/>
    <cellStyle name="Currency 6 2 3 3 5 3" xfId="22191" xr:uid="{00000000-0005-0000-0000-0000AC9F0000}"/>
    <cellStyle name="Currency 6 2 3 3 5 3 2" xfId="51197" xr:uid="{00000000-0005-0000-0000-0000AD9F0000}"/>
    <cellStyle name="Currency 6 2 3 3 5 4" xfId="36698" xr:uid="{00000000-0005-0000-0000-0000AE9F0000}"/>
    <cellStyle name="Currency 6 2 3 3 6" xfId="8697" xr:uid="{00000000-0005-0000-0000-0000AF9F0000}"/>
    <cellStyle name="Currency 6 2 3 3 6 2" xfId="23231" xr:uid="{00000000-0005-0000-0000-0000B09F0000}"/>
    <cellStyle name="Currency 6 2 3 3 6 2 2" xfId="52237" xr:uid="{00000000-0005-0000-0000-0000B19F0000}"/>
    <cellStyle name="Currency 6 2 3 3 6 3" xfId="37738" xr:uid="{00000000-0005-0000-0000-0000B29F0000}"/>
    <cellStyle name="Currency 6 2 3 3 7" xfId="15983" xr:uid="{00000000-0005-0000-0000-0000B39F0000}"/>
    <cellStyle name="Currency 6 2 3 3 7 2" xfId="44989" xr:uid="{00000000-0005-0000-0000-0000B49F0000}"/>
    <cellStyle name="Currency 6 2 3 3 8" xfId="30490" xr:uid="{00000000-0005-0000-0000-0000B59F0000}"/>
    <cellStyle name="Currency 6 2 3 4" xfId="1953" xr:uid="{00000000-0005-0000-0000-0000B69F0000}"/>
    <cellStyle name="Currency 6 2 3 4 2" xfId="5057" xr:uid="{00000000-0005-0000-0000-0000B79F0000}"/>
    <cellStyle name="Currency 6 2 3 4 2 2" xfId="12329" xr:uid="{00000000-0005-0000-0000-0000B89F0000}"/>
    <cellStyle name="Currency 6 2 3 4 2 2 2" xfId="26863" xr:uid="{00000000-0005-0000-0000-0000B99F0000}"/>
    <cellStyle name="Currency 6 2 3 4 2 2 2 2" xfId="55869" xr:uid="{00000000-0005-0000-0000-0000BA9F0000}"/>
    <cellStyle name="Currency 6 2 3 4 2 2 3" xfId="41370" xr:uid="{00000000-0005-0000-0000-0000BB9F0000}"/>
    <cellStyle name="Currency 6 2 3 4 2 3" xfId="19615" xr:uid="{00000000-0005-0000-0000-0000BC9F0000}"/>
    <cellStyle name="Currency 6 2 3 4 2 3 2" xfId="48621" xr:uid="{00000000-0005-0000-0000-0000BD9F0000}"/>
    <cellStyle name="Currency 6 2 3 4 2 4" xfId="34122" xr:uid="{00000000-0005-0000-0000-0000BE9F0000}"/>
    <cellStyle name="Currency 6 2 3 4 3" xfId="9225" xr:uid="{00000000-0005-0000-0000-0000BF9F0000}"/>
    <cellStyle name="Currency 6 2 3 4 3 2" xfId="23759" xr:uid="{00000000-0005-0000-0000-0000C09F0000}"/>
    <cellStyle name="Currency 6 2 3 4 3 2 2" xfId="52765" xr:uid="{00000000-0005-0000-0000-0000C19F0000}"/>
    <cellStyle name="Currency 6 2 3 4 3 3" xfId="38266" xr:uid="{00000000-0005-0000-0000-0000C29F0000}"/>
    <cellStyle name="Currency 6 2 3 4 4" xfId="16511" xr:uid="{00000000-0005-0000-0000-0000C39F0000}"/>
    <cellStyle name="Currency 6 2 3 4 4 2" xfId="45517" xr:uid="{00000000-0005-0000-0000-0000C49F0000}"/>
    <cellStyle name="Currency 6 2 3 4 5" xfId="31018" xr:uid="{00000000-0005-0000-0000-0000C59F0000}"/>
    <cellStyle name="Currency 6 2 3 5" xfId="2985" xr:uid="{00000000-0005-0000-0000-0000C69F0000}"/>
    <cellStyle name="Currency 6 2 3 5 2" xfId="6089" xr:uid="{00000000-0005-0000-0000-0000C79F0000}"/>
    <cellStyle name="Currency 6 2 3 5 2 2" xfId="13361" xr:uid="{00000000-0005-0000-0000-0000C89F0000}"/>
    <cellStyle name="Currency 6 2 3 5 2 2 2" xfId="27895" xr:uid="{00000000-0005-0000-0000-0000C99F0000}"/>
    <cellStyle name="Currency 6 2 3 5 2 2 2 2" xfId="56901" xr:uid="{00000000-0005-0000-0000-0000CA9F0000}"/>
    <cellStyle name="Currency 6 2 3 5 2 2 3" xfId="42402" xr:uid="{00000000-0005-0000-0000-0000CB9F0000}"/>
    <cellStyle name="Currency 6 2 3 5 2 3" xfId="20647" xr:uid="{00000000-0005-0000-0000-0000CC9F0000}"/>
    <cellStyle name="Currency 6 2 3 5 2 3 2" xfId="49653" xr:uid="{00000000-0005-0000-0000-0000CD9F0000}"/>
    <cellStyle name="Currency 6 2 3 5 2 4" xfId="35154" xr:uid="{00000000-0005-0000-0000-0000CE9F0000}"/>
    <cellStyle name="Currency 6 2 3 5 3" xfId="10257" xr:uid="{00000000-0005-0000-0000-0000CF9F0000}"/>
    <cellStyle name="Currency 6 2 3 5 3 2" xfId="24791" xr:uid="{00000000-0005-0000-0000-0000D09F0000}"/>
    <cellStyle name="Currency 6 2 3 5 3 2 2" xfId="53797" xr:uid="{00000000-0005-0000-0000-0000D19F0000}"/>
    <cellStyle name="Currency 6 2 3 5 3 3" xfId="39298" xr:uid="{00000000-0005-0000-0000-0000D29F0000}"/>
    <cellStyle name="Currency 6 2 3 5 4" xfId="17543" xr:uid="{00000000-0005-0000-0000-0000D39F0000}"/>
    <cellStyle name="Currency 6 2 3 5 4 2" xfId="46549" xr:uid="{00000000-0005-0000-0000-0000D49F0000}"/>
    <cellStyle name="Currency 6 2 3 5 5" xfId="32050" xr:uid="{00000000-0005-0000-0000-0000D59F0000}"/>
    <cellStyle name="Currency 6 2 3 6" xfId="4017" xr:uid="{00000000-0005-0000-0000-0000D69F0000}"/>
    <cellStyle name="Currency 6 2 3 6 2" xfId="11289" xr:uid="{00000000-0005-0000-0000-0000D79F0000}"/>
    <cellStyle name="Currency 6 2 3 6 2 2" xfId="25823" xr:uid="{00000000-0005-0000-0000-0000D89F0000}"/>
    <cellStyle name="Currency 6 2 3 6 2 2 2" xfId="54829" xr:uid="{00000000-0005-0000-0000-0000D99F0000}"/>
    <cellStyle name="Currency 6 2 3 6 2 3" xfId="40330" xr:uid="{00000000-0005-0000-0000-0000DA9F0000}"/>
    <cellStyle name="Currency 6 2 3 6 3" xfId="18575" xr:uid="{00000000-0005-0000-0000-0000DB9F0000}"/>
    <cellStyle name="Currency 6 2 3 6 3 2" xfId="47581" xr:uid="{00000000-0005-0000-0000-0000DC9F0000}"/>
    <cellStyle name="Currency 6 2 3 6 4" xfId="33082" xr:uid="{00000000-0005-0000-0000-0000DD9F0000}"/>
    <cellStyle name="Currency 6 2 3 7" xfId="7121" xr:uid="{00000000-0005-0000-0000-0000DE9F0000}"/>
    <cellStyle name="Currency 6 2 3 7 2" xfId="14393" xr:uid="{00000000-0005-0000-0000-0000DF9F0000}"/>
    <cellStyle name="Currency 6 2 3 7 2 2" xfId="28927" xr:uid="{00000000-0005-0000-0000-0000E09F0000}"/>
    <cellStyle name="Currency 6 2 3 7 2 2 2" xfId="57933" xr:uid="{00000000-0005-0000-0000-0000E19F0000}"/>
    <cellStyle name="Currency 6 2 3 7 2 3" xfId="43434" xr:uid="{00000000-0005-0000-0000-0000E29F0000}"/>
    <cellStyle name="Currency 6 2 3 7 3" xfId="21679" xr:uid="{00000000-0005-0000-0000-0000E39F0000}"/>
    <cellStyle name="Currency 6 2 3 7 3 2" xfId="50685" xr:uid="{00000000-0005-0000-0000-0000E49F0000}"/>
    <cellStyle name="Currency 6 2 3 7 4" xfId="36186" xr:uid="{00000000-0005-0000-0000-0000E59F0000}"/>
    <cellStyle name="Currency 6 2 3 8" xfId="8185" xr:uid="{00000000-0005-0000-0000-0000E69F0000}"/>
    <cellStyle name="Currency 6 2 3 8 2" xfId="22719" xr:uid="{00000000-0005-0000-0000-0000E79F0000}"/>
    <cellStyle name="Currency 6 2 3 8 2 2" xfId="51725" xr:uid="{00000000-0005-0000-0000-0000E89F0000}"/>
    <cellStyle name="Currency 6 2 3 8 3" xfId="37226" xr:uid="{00000000-0005-0000-0000-0000E99F0000}"/>
    <cellStyle name="Currency 6 2 3 9" xfId="15471" xr:uid="{00000000-0005-0000-0000-0000EA9F0000}"/>
    <cellStyle name="Currency 6 2 3 9 2" xfId="44477" xr:uid="{00000000-0005-0000-0000-0000EB9F0000}"/>
    <cellStyle name="Currency 6 2 4" xfId="1112" xr:uid="{00000000-0005-0000-0000-0000EC9F0000}"/>
    <cellStyle name="Currency 6 2 4 10" xfId="59541" xr:uid="{00000000-0005-0000-0000-0000ED9F0000}"/>
    <cellStyle name="Currency 6 2 4 2" xfId="1609" xr:uid="{00000000-0005-0000-0000-0000EE9F0000}"/>
    <cellStyle name="Currency 6 2 4 2 2" xfId="2668" xr:uid="{00000000-0005-0000-0000-0000EF9F0000}"/>
    <cellStyle name="Currency 6 2 4 2 2 2" xfId="5772" xr:uid="{00000000-0005-0000-0000-0000F09F0000}"/>
    <cellStyle name="Currency 6 2 4 2 2 2 2" xfId="13044" xr:uid="{00000000-0005-0000-0000-0000F19F0000}"/>
    <cellStyle name="Currency 6 2 4 2 2 2 2 2" xfId="27578" xr:uid="{00000000-0005-0000-0000-0000F29F0000}"/>
    <cellStyle name="Currency 6 2 4 2 2 2 2 2 2" xfId="56584" xr:uid="{00000000-0005-0000-0000-0000F39F0000}"/>
    <cellStyle name="Currency 6 2 4 2 2 2 2 3" xfId="42085" xr:uid="{00000000-0005-0000-0000-0000F49F0000}"/>
    <cellStyle name="Currency 6 2 4 2 2 2 3" xfId="20330" xr:uid="{00000000-0005-0000-0000-0000F59F0000}"/>
    <cellStyle name="Currency 6 2 4 2 2 2 3 2" xfId="49336" xr:uid="{00000000-0005-0000-0000-0000F69F0000}"/>
    <cellStyle name="Currency 6 2 4 2 2 2 4" xfId="34837" xr:uid="{00000000-0005-0000-0000-0000F79F0000}"/>
    <cellStyle name="Currency 6 2 4 2 2 3" xfId="9940" xr:uid="{00000000-0005-0000-0000-0000F89F0000}"/>
    <cellStyle name="Currency 6 2 4 2 2 3 2" xfId="24474" xr:uid="{00000000-0005-0000-0000-0000F99F0000}"/>
    <cellStyle name="Currency 6 2 4 2 2 3 2 2" xfId="53480" xr:uid="{00000000-0005-0000-0000-0000FA9F0000}"/>
    <cellStyle name="Currency 6 2 4 2 2 3 3" xfId="38981" xr:uid="{00000000-0005-0000-0000-0000FB9F0000}"/>
    <cellStyle name="Currency 6 2 4 2 2 4" xfId="17226" xr:uid="{00000000-0005-0000-0000-0000FC9F0000}"/>
    <cellStyle name="Currency 6 2 4 2 2 4 2" xfId="46232" xr:uid="{00000000-0005-0000-0000-0000FD9F0000}"/>
    <cellStyle name="Currency 6 2 4 2 2 5" xfId="31733" xr:uid="{00000000-0005-0000-0000-0000FE9F0000}"/>
    <cellStyle name="Currency 6 2 4 2 3" xfId="3700" xr:uid="{00000000-0005-0000-0000-0000FF9F0000}"/>
    <cellStyle name="Currency 6 2 4 2 3 2" xfId="6804" xr:uid="{00000000-0005-0000-0000-000000A00000}"/>
    <cellStyle name="Currency 6 2 4 2 3 2 2" xfId="14076" xr:uid="{00000000-0005-0000-0000-000001A00000}"/>
    <cellStyle name="Currency 6 2 4 2 3 2 2 2" xfId="28610" xr:uid="{00000000-0005-0000-0000-000002A00000}"/>
    <cellStyle name="Currency 6 2 4 2 3 2 2 2 2" xfId="57616" xr:uid="{00000000-0005-0000-0000-000003A00000}"/>
    <cellStyle name="Currency 6 2 4 2 3 2 2 3" xfId="43117" xr:uid="{00000000-0005-0000-0000-000004A00000}"/>
    <cellStyle name="Currency 6 2 4 2 3 2 3" xfId="21362" xr:uid="{00000000-0005-0000-0000-000005A00000}"/>
    <cellStyle name="Currency 6 2 4 2 3 2 3 2" xfId="50368" xr:uid="{00000000-0005-0000-0000-000006A00000}"/>
    <cellStyle name="Currency 6 2 4 2 3 2 4" xfId="35869" xr:uid="{00000000-0005-0000-0000-000007A00000}"/>
    <cellStyle name="Currency 6 2 4 2 3 3" xfId="10972" xr:uid="{00000000-0005-0000-0000-000008A00000}"/>
    <cellStyle name="Currency 6 2 4 2 3 3 2" xfId="25506" xr:uid="{00000000-0005-0000-0000-000009A00000}"/>
    <cellStyle name="Currency 6 2 4 2 3 3 2 2" xfId="54512" xr:uid="{00000000-0005-0000-0000-00000AA00000}"/>
    <cellStyle name="Currency 6 2 4 2 3 3 3" xfId="40013" xr:uid="{00000000-0005-0000-0000-00000BA00000}"/>
    <cellStyle name="Currency 6 2 4 2 3 4" xfId="18258" xr:uid="{00000000-0005-0000-0000-00000CA00000}"/>
    <cellStyle name="Currency 6 2 4 2 3 4 2" xfId="47264" xr:uid="{00000000-0005-0000-0000-00000DA00000}"/>
    <cellStyle name="Currency 6 2 4 2 3 5" xfId="32765" xr:uid="{00000000-0005-0000-0000-00000EA00000}"/>
    <cellStyle name="Currency 6 2 4 2 4" xfId="4732" xr:uid="{00000000-0005-0000-0000-00000FA00000}"/>
    <cellStyle name="Currency 6 2 4 2 4 2" xfId="12004" xr:uid="{00000000-0005-0000-0000-000010A00000}"/>
    <cellStyle name="Currency 6 2 4 2 4 2 2" xfId="26538" xr:uid="{00000000-0005-0000-0000-000011A00000}"/>
    <cellStyle name="Currency 6 2 4 2 4 2 2 2" xfId="55544" xr:uid="{00000000-0005-0000-0000-000012A00000}"/>
    <cellStyle name="Currency 6 2 4 2 4 2 3" xfId="41045" xr:uid="{00000000-0005-0000-0000-000013A00000}"/>
    <cellStyle name="Currency 6 2 4 2 4 3" xfId="19290" xr:uid="{00000000-0005-0000-0000-000014A00000}"/>
    <cellStyle name="Currency 6 2 4 2 4 3 2" xfId="48296" xr:uid="{00000000-0005-0000-0000-000015A00000}"/>
    <cellStyle name="Currency 6 2 4 2 4 4" xfId="33797" xr:uid="{00000000-0005-0000-0000-000016A00000}"/>
    <cellStyle name="Currency 6 2 4 2 5" xfId="7836" xr:uid="{00000000-0005-0000-0000-000017A00000}"/>
    <cellStyle name="Currency 6 2 4 2 5 2" xfId="15108" xr:uid="{00000000-0005-0000-0000-000018A00000}"/>
    <cellStyle name="Currency 6 2 4 2 5 2 2" xfId="29642" xr:uid="{00000000-0005-0000-0000-000019A00000}"/>
    <cellStyle name="Currency 6 2 4 2 5 2 2 2" xfId="58648" xr:uid="{00000000-0005-0000-0000-00001AA00000}"/>
    <cellStyle name="Currency 6 2 4 2 5 2 3" xfId="44149" xr:uid="{00000000-0005-0000-0000-00001BA00000}"/>
    <cellStyle name="Currency 6 2 4 2 5 3" xfId="22394" xr:uid="{00000000-0005-0000-0000-00001CA00000}"/>
    <cellStyle name="Currency 6 2 4 2 5 3 2" xfId="51400" xr:uid="{00000000-0005-0000-0000-00001DA00000}"/>
    <cellStyle name="Currency 6 2 4 2 5 4" xfId="36901" xr:uid="{00000000-0005-0000-0000-00001EA00000}"/>
    <cellStyle name="Currency 6 2 4 2 6" xfId="8900" xr:uid="{00000000-0005-0000-0000-00001FA00000}"/>
    <cellStyle name="Currency 6 2 4 2 6 2" xfId="23434" xr:uid="{00000000-0005-0000-0000-000020A00000}"/>
    <cellStyle name="Currency 6 2 4 2 6 2 2" xfId="52440" xr:uid="{00000000-0005-0000-0000-000021A00000}"/>
    <cellStyle name="Currency 6 2 4 2 6 3" xfId="37941" xr:uid="{00000000-0005-0000-0000-000022A00000}"/>
    <cellStyle name="Currency 6 2 4 2 7" xfId="16186" xr:uid="{00000000-0005-0000-0000-000023A00000}"/>
    <cellStyle name="Currency 6 2 4 2 7 2" xfId="45192" xr:uid="{00000000-0005-0000-0000-000024A00000}"/>
    <cellStyle name="Currency 6 2 4 2 8" xfId="30693" xr:uid="{00000000-0005-0000-0000-000025A00000}"/>
    <cellStyle name="Currency 6 2 4 3" xfId="2156" xr:uid="{00000000-0005-0000-0000-000026A00000}"/>
    <cellStyle name="Currency 6 2 4 3 2" xfId="5260" xr:uid="{00000000-0005-0000-0000-000027A00000}"/>
    <cellStyle name="Currency 6 2 4 3 2 2" xfId="12532" xr:uid="{00000000-0005-0000-0000-000028A00000}"/>
    <cellStyle name="Currency 6 2 4 3 2 2 2" xfId="27066" xr:uid="{00000000-0005-0000-0000-000029A00000}"/>
    <cellStyle name="Currency 6 2 4 3 2 2 2 2" xfId="56072" xr:uid="{00000000-0005-0000-0000-00002AA00000}"/>
    <cellStyle name="Currency 6 2 4 3 2 2 3" xfId="41573" xr:uid="{00000000-0005-0000-0000-00002BA00000}"/>
    <cellStyle name="Currency 6 2 4 3 2 3" xfId="19818" xr:uid="{00000000-0005-0000-0000-00002CA00000}"/>
    <cellStyle name="Currency 6 2 4 3 2 3 2" xfId="48824" xr:uid="{00000000-0005-0000-0000-00002DA00000}"/>
    <cellStyle name="Currency 6 2 4 3 2 4" xfId="34325" xr:uid="{00000000-0005-0000-0000-00002EA00000}"/>
    <cellStyle name="Currency 6 2 4 3 3" xfId="9428" xr:uid="{00000000-0005-0000-0000-00002FA00000}"/>
    <cellStyle name="Currency 6 2 4 3 3 2" xfId="23962" xr:uid="{00000000-0005-0000-0000-000030A00000}"/>
    <cellStyle name="Currency 6 2 4 3 3 2 2" xfId="52968" xr:uid="{00000000-0005-0000-0000-000031A00000}"/>
    <cellStyle name="Currency 6 2 4 3 3 3" xfId="38469" xr:uid="{00000000-0005-0000-0000-000032A00000}"/>
    <cellStyle name="Currency 6 2 4 3 4" xfId="16714" xr:uid="{00000000-0005-0000-0000-000033A00000}"/>
    <cellStyle name="Currency 6 2 4 3 4 2" xfId="45720" xr:uid="{00000000-0005-0000-0000-000034A00000}"/>
    <cellStyle name="Currency 6 2 4 3 5" xfId="31221" xr:uid="{00000000-0005-0000-0000-000035A00000}"/>
    <cellStyle name="Currency 6 2 4 4" xfId="3188" xr:uid="{00000000-0005-0000-0000-000036A00000}"/>
    <cellStyle name="Currency 6 2 4 4 2" xfId="6292" xr:uid="{00000000-0005-0000-0000-000037A00000}"/>
    <cellStyle name="Currency 6 2 4 4 2 2" xfId="13564" xr:uid="{00000000-0005-0000-0000-000038A00000}"/>
    <cellStyle name="Currency 6 2 4 4 2 2 2" xfId="28098" xr:uid="{00000000-0005-0000-0000-000039A00000}"/>
    <cellStyle name="Currency 6 2 4 4 2 2 2 2" xfId="57104" xr:uid="{00000000-0005-0000-0000-00003AA00000}"/>
    <cellStyle name="Currency 6 2 4 4 2 2 3" xfId="42605" xr:uid="{00000000-0005-0000-0000-00003BA00000}"/>
    <cellStyle name="Currency 6 2 4 4 2 3" xfId="20850" xr:uid="{00000000-0005-0000-0000-00003CA00000}"/>
    <cellStyle name="Currency 6 2 4 4 2 3 2" xfId="49856" xr:uid="{00000000-0005-0000-0000-00003DA00000}"/>
    <cellStyle name="Currency 6 2 4 4 2 4" xfId="35357" xr:uid="{00000000-0005-0000-0000-00003EA00000}"/>
    <cellStyle name="Currency 6 2 4 4 3" xfId="10460" xr:uid="{00000000-0005-0000-0000-00003FA00000}"/>
    <cellStyle name="Currency 6 2 4 4 3 2" xfId="24994" xr:uid="{00000000-0005-0000-0000-000040A00000}"/>
    <cellStyle name="Currency 6 2 4 4 3 2 2" xfId="54000" xr:uid="{00000000-0005-0000-0000-000041A00000}"/>
    <cellStyle name="Currency 6 2 4 4 3 3" xfId="39501" xr:uid="{00000000-0005-0000-0000-000042A00000}"/>
    <cellStyle name="Currency 6 2 4 4 4" xfId="17746" xr:uid="{00000000-0005-0000-0000-000043A00000}"/>
    <cellStyle name="Currency 6 2 4 4 4 2" xfId="46752" xr:uid="{00000000-0005-0000-0000-000044A00000}"/>
    <cellStyle name="Currency 6 2 4 4 5" xfId="32253" xr:uid="{00000000-0005-0000-0000-000045A00000}"/>
    <cellStyle name="Currency 6 2 4 5" xfId="4220" xr:uid="{00000000-0005-0000-0000-000046A00000}"/>
    <cellStyle name="Currency 6 2 4 5 2" xfId="11492" xr:uid="{00000000-0005-0000-0000-000047A00000}"/>
    <cellStyle name="Currency 6 2 4 5 2 2" xfId="26026" xr:uid="{00000000-0005-0000-0000-000048A00000}"/>
    <cellStyle name="Currency 6 2 4 5 2 2 2" xfId="55032" xr:uid="{00000000-0005-0000-0000-000049A00000}"/>
    <cellStyle name="Currency 6 2 4 5 2 3" xfId="40533" xr:uid="{00000000-0005-0000-0000-00004AA00000}"/>
    <cellStyle name="Currency 6 2 4 5 3" xfId="18778" xr:uid="{00000000-0005-0000-0000-00004BA00000}"/>
    <cellStyle name="Currency 6 2 4 5 3 2" xfId="47784" xr:uid="{00000000-0005-0000-0000-00004CA00000}"/>
    <cellStyle name="Currency 6 2 4 5 4" xfId="33285" xr:uid="{00000000-0005-0000-0000-00004DA00000}"/>
    <cellStyle name="Currency 6 2 4 6" xfId="7324" xr:uid="{00000000-0005-0000-0000-00004EA00000}"/>
    <cellStyle name="Currency 6 2 4 6 2" xfId="14596" xr:uid="{00000000-0005-0000-0000-00004FA00000}"/>
    <cellStyle name="Currency 6 2 4 6 2 2" xfId="29130" xr:uid="{00000000-0005-0000-0000-000050A00000}"/>
    <cellStyle name="Currency 6 2 4 6 2 2 2" xfId="58136" xr:uid="{00000000-0005-0000-0000-000051A00000}"/>
    <cellStyle name="Currency 6 2 4 6 2 3" xfId="43637" xr:uid="{00000000-0005-0000-0000-000052A00000}"/>
    <cellStyle name="Currency 6 2 4 6 3" xfId="21882" xr:uid="{00000000-0005-0000-0000-000053A00000}"/>
    <cellStyle name="Currency 6 2 4 6 3 2" xfId="50888" xr:uid="{00000000-0005-0000-0000-000054A00000}"/>
    <cellStyle name="Currency 6 2 4 6 4" xfId="36389" xr:uid="{00000000-0005-0000-0000-000055A00000}"/>
    <cellStyle name="Currency 6 2 4 7" xfId="8388" xr:uid="{00000000-0005-0000-0000-000056A00000}"/>
    <cellStyle name="Currency 6 2 4 7 2" xfId="22922" xr:uid="{00000000-0005-0000-0000-000057A00000}"/>
    <cellStyle name="Currency 6 2 4 7 2 2" xfId="51928" xr:uid="{00000000-0005-0000-0000-000058A00000}"/>
    <cellStyle name="Currency 6 2 4 7 3" xfId="37429" xr:uid="{00000000-0005-0000-0000-000059A00000}"/>
    <cellStyle name="Currency 6 2 4 8" xfId="15674" xr:uid="{00000000-0005-0000-0000-00005AA00000}"/>
    <cellStyle name="Currency 6 2 4 8 2" xfId="44680" xr:uid="{00000000-0005-0000-0000-00005BA00000}"/>
    <cellStyle name="Currency 6 2 4 9" xfId="30181" xr:uid="{00000000-0005-0000-0000-00005CA00000}"/>
    <cellStyle name="Currency 6 2 5" xfId="1022" xr:uid="{00000000-0005-0000-0000-00005DA00000}"/>
    <cellStyle name="Currency 6 2 5 2" xfId="1510" xr:uid="{00000000-0005-0000-0000-00005EA00000}"/>
    <cellStyle name="Currency 6 2 5 2 2" xfId="2568" xr:uid="{00000000-0005-0000-0000-00005FA00000}"/>
    <cellStyle name="Currency 6 2 5 2 2 2" xfId="5672" xr:uid="{00000000-0005-0000-0000-000060A00000}"/>
    <cellStyle name="Currency 6 2 5 2 2 2 2" xfId="12944" xr:uid="{00000000-0005-0000-0000-000061A00000}"/>
    <cellStyle name="Currency 6 2 5 2 2 2 2 2" xfId="27478" xr:uid="{00000000-0005-0000-0000-000062A00000}"/>
    <cellStyle name="Currency 6 2 5 2 2 2 2 2 2" xfId="56484" xr:uid="{00000000-0005-0000-0000-000063A00000}"/>
    <cellStyle name="Currency 6 2 5 2 2 2 2 3" xfId="41985" xr:uid="{00000000-0005-0000-0000-000064A00000}"/>
    <cellStyle name="Currency 6 2 5 2 2 2 3" xfId="20230" xr:uid="{00000000-0005-0000-0000-000065A00000}"/>
    <cellStyle name="Currency 6 2 5 2 2 2 3 2" xfId="49236" xr:uid="{00000000-0005-0000-0000-000066A00000}"/>
    <cellStyle name="Currency 6 2 5 2 2 2 4" xfId="34737" xr:uid="{00000000-0005-0000-0000-000067A00000}"/>
    <cellStyle name="Currency 6 2 5 2 2 3" xfId="9840" xr:uid="{00000000-0005-0000-0000-000068A00000}"/>
    <cellStyle name="Currency 6 2 5 2 2 3 2" xfId="24374" xr:uid="{00000000-0005-0000-0000-000069A00000}"/>
    <cellStyle name="Currency 6 2 5 2 2 3 2 2" xfId="53380" xr:uid="{00000000-0005-0000-0000-00006AA00000}"/>
    <cellStyle name="Currency 6 2 5 2 2 3 3" xfId="38881" xr:uid="{00000000-0005-0000-0000-00006BA00000}"/>
    <cellStyle name="Currency 6 2 5 2 2 4" xfId="17126" xr:uid="{00000000-0005-0000-0000-00006CA00000}"/>
    <cellStyle name="Currency 6 2 5 2 2 4 2" xfId="46132" xr:uid="{00000000-0005-0000-0000-00006DA00000}"/>
    <cellStyle name="Currency 6 2 5 2 2 5" xfId="31633" xr:uid="{00000000-0005-0000-0000-00006EA00000}"/>
    <cellStyle name="Currency 6 2 5 2 3" xfId="3600" xr:uid="{00000000-0005-0000-0000-00006FA00000}"/>
    <cellStyle name="Currency 6 2 5 2 3 2" xfId="6704" xr:uid="{00000000-0005-0000-0000-000070A00000}"/>
    <cellStyle name="Currency 6 2 5 2 3 2 2" xfId="13976" xr:uid="{00000000-0005-0000-0000-000071A00000}"/>
    <cellStyle name="Currency 6 2 5 2 3 2 2 2" xfId="28510" xr:uid="{00000000-0005-0000-0000-000072A00000}"/>
    <cellStyle name="Currency 6 2 5 2 3 2 2 2 2" xfId="57516" xr:uid="{00000000-0005-0000-0000-000073A00000}"/>
    <cellStyle name="Currency 6 2 5 2 3 2 2 3" xfId="43017" xr:uid="{00000000-0005-0000-0000-000074A00000}"/>
    <cellStyle name="Currency 6 2 5 2 3 2 3" xfId="21262" xr:uid="{00000000-0005-0000-0000-000075A00000}"/>
    <cellStyle name="Currency 6 2 5 2 3 2 3 2" xfId="50268" xr:uid="{00000000-0005-0000-0000-000076A00000}"/>
    <cellStyle name="Currency 6 2 5 2 3 2 4" xfId="35769" xr:uid="{00000000-0005-0000-0000-000077A00000}"/>
    <cellStyle name="Currency 6 2 5 2 3 3" xfId="10872" xr:uid="{00000000-0005-0000-0000-000078A00000}"/>
    <cellStyle name="Currency 6 2 5 2 3 3 2" xfId="25406" xr:uid="{00000000-0005-0000-0000-000079A00000}"/>
    <cellStyle name="Currency 6 2 5 2 3 3 2 2" xfId="54412" xr:uid="{00000000-0005-0000-0000-00007AA00000}"/>
    <cellStyle name="Currency 6 2 5 2 3 3 3" xfId="39913" xr:uid="{00000000-0005-0000-0000-00007BA00000}"/>
    <cellStyle name="Currency 6 2 5 2 3 4" xfId="18158" xr:uid="{00000000-0005-0000-0000-00007CA00000}"/>
    <cellStyle name="Currency 6 2 5 2 3 4 2" xfId="47164" xr:uid="{00000000-0005-0000-0000-00007DA00000}"/>
    <cellStyle name="Currency 6 2 5 2 3 5" xfId="32665" xr:uid="{00000000-0005-0000-0000-00007EA00000}"/>
    <cellStyle name="Currency 6 2 5 2 4" xfId="4632" xr:uid="{00000000-0005-0000-0000-00007FA00000}"/>
    <cellStyle name="Currency 6 2 5 2 4 2" xfId="11904" xr:uid="{00000000-0005-0000-0000-000080A00000}"/>
    <cellStyle name="Currency 6 2 5 2 4 2 2" xfId="26438" xr:uid="{00000000-0005-0000-0000-000081A00000}"/>
    <cellStyle name="Currency 6 2 5 2 4 2 2 2" xfId="55444" xr:uid="{00000000-0005-0000-0000-000082A00000}"/>
    <cellStyle name="Currency 6 2 5 2 4 2 3" xfId="40945" xr:uid="{00000000-0005-0000-0000-000083A00000}"/>
    <cellStyle name="Currency 6 2 5 2 4 3" xfId="19190" xr:uid="{00000000-0005-0000-0000-000084A00000}"/>
    <cellStyle name="Currency 6 2 5 2 4 3 2" xfId="48196" xr:uid="{00000000-0005-0000-0000-000085A00000}"/>
    <cellStyle name="Currency 6 2 5 2 4 4" xfId="33697" xr:uid="{00000000-0005-0000-0000-000086A00000}"/>
    <cellStyle name="Currency 6 2 5 2 5" xfId="7736" xr:uid="{00000000-0005-0000-0000-000087A00000}"/>
    <cellStyle name="Currency 6 2 5 2 5 2" xfId="15008" xr:uid="{00000000-0005-0000-0000-000088A00000}"/>
    <cellStyle name="Currency 6 2 5 2 5 2 2" xfId="29542" xr:uid="{00000000-0005-0000-0000-000089A00000}"/>
    <cellStyle name="Currency 6 2 5 2 5 2 2 2" xfId="58548" xr:uid="{00000000-0005-0000-0000-00008AA00000}"/>
    <cellStyle name="Currency 6 2 5 2 5 2 3" xfId="44049" xr:uid="{00000000-0005-0000-0000-00008BA00000}"/>
    <cellStyle name="Currency 6 2 5 2 5 3" xfId="22294" xr:uid="{00000000-0005-0000-0000-00008CA00000}"/>
    <cellStyle name="Currency 6 2 5 2 5 3 2" xfId="51300" xr:uid="{00000000-0005-0000-0000-00008DA00000}"/>
    <cellStyle name="Currency 6 2 5 2 5 4" xfId="36801" xr:uid="{00000000-0005-0000-0000-00008EA00000}"/>
    <cellStyle name="Currency 6 2 5 2 6" xfId="8800" xr:uid="{00000000-0005-0000-0000-00008FA00000}"/>
    <cellStyle name="Currency 6 2 5 2 6 2" xfId="23334" xr:uid="{00000000-0005-0000-0000-000090A00000}"/>
    <cellStyle name="Currency 6 2 5 2 6 2 2" xfId="52340" xr:uid="{00000000-0005-0000-0000-000091A00000}"/>
    <cellStyle name="Currency 6 2 5 2 6 3" xfId="37841" xr:uid="{00000000-0005-0000-0000-000092A00000}"/>
    <cellStyle name="Currency 6 2 5 2 7" xfId="16086" xr:uid="{00000000-0005-0000-0000-000093A00000}"/>
    <cellStyle name="Currency 6 2 5 2 7 2" xfId="45092" xr:uid="{00000000-0005-0000-0000-000094A00000}"/>
    <cellStyle name="Currency 6 2 5 2 8" xfId="30593" xr:uid="{00000000-0005-0000-0000-000095A00000}"/>
    <cellStyle name="Currency 6 2 5 3" xfId="2056" xr:uid="{00000000-0005-0000-0000-000096A00000}"/>
    <cellStyle name="Currency 6 2 5 3 2" xfId="5160" xr:uid="{00000000-0005-0000-0000-000097A00000}"/>
    <cellStyle name="Currency 6 2 5 3 2 2" xfId="12432" xr:uid="{00000000-0005-0000-0000-000098A00000}"/>
    <cellStyle name="Currency 6 2 5 3 2 2 2" xfId="26966" xr:uid="{00000000-0005-0000-0000-000099A00000}"/>
    <cellStyle name="Currency 6 2 5 3 2 2 2 2" xfId="55972" xr:uid="{00000000-0005-0000-0000-00009AA00000}"/>
    <cellStyle name="Currency 6 2 5 3 2 2 3" xfId="41473" xr:uid="{00000000-0005-0000-0000-00009BA00000}"/>
    <cellStyle name="Currency 6 2 5 3 2 3" xfId="19718" xr:uid="{00000000-0005-0000-0000-00009CA00000}"/>
    <cellStyle name="Currency 6 2 5 3 2 3 2" xfId="48724" xr:uid="{00000000-0005-0000-0000-00009DA00000}"/>
    <cellStyle name="Currency 6 2 5 3 2 4" xfId="34225" xr:uid="{00000000-0005-0000-0000-00009EA00000}"/>
    <cellStyle name="Currency 6 2 5 3 3" xfId="9328" xr:uid="{00000000-0005-0000-0000-00009FA00000}"/>
    <cellStyle name="Currency 6 2 5 3 3 2" xfId="23862" xr:uid="{00000000-0005-0000-0000-0000A0A00000}"/>
    <cellStyle name="Currency 6 2 5 3 3 2 2" xfId="52868" xr:uid="{00000000-0005-0000-0000-0000A1A00000}"/>
    <cellStyle name="Currency 6 2 5 3 3 3" xfId="38369" xr:uid="{00000000-0005-0000-0000-0000A2A00000}"/>
    <cellStyle name="Currency 6 2 5 3 4" xfId="16614" xr:uid="{00000000-0005-0000-0000-0000A3A00000}"/>
    <cellStyle name="Currency 6 2 5 3 4 2" xfId="45620" xr:uid="{00000000-0005-0000-0000-0000A4A00000}"/>
    <cellStyle name="Currency 6 2 5 3 5" xfId="31121" xr:uid="{00000000-0005-0000-0000-0000A5A00000}"/>
    <cellStyle name="Currency 6 2 5 4" xfId="3088" xr:uid="{00000000-0005-0000-0000-0000A6A00000}"/>
    <cellStyle name="Currency 6 2 5 4 2" xfId="6192" xr:uid="{00000000-0005-0000-0000-0000A7A00000}"/>
    <cellStyle name="Currency 6 2 5 4 2 2" xfId="13464" xr:uid="{00000000-0005-0000-0000-0000A8A00000}"/>
    <cellStyle name="Currency 6 2 5 4 2 2 2" xfId="27998" xr:uid="{00000000-0005-0000-0000-0000A9A00000}"/>
    <cellStyle name="Currency 6 2 5 4 2 2 2 2" xfId="57004" xr:uid="{00000000-0005-0000-0000-0000AAA00000}"/>
    <cellStyle name="Currency 6 2 5 4 2 2 3" xfId="42505" xr:uid="{00000000-0005-0000-0000-0000ABA00000}"/>
    <cellStyle name="Currency 6 2 5 4 2 3" xfId="20750" xr:uid="{00000000-0005-0000-0000-0000ACA00000}"/>
    <cellStyle name="Currency 6 2 5 4 2 3 2" xfId="49756" xr:uid="{00000000-0005-0000-0000-0000ADA00000}"/>
    <cellStyle name="Currency 6 2 5 4 2 4" xfId="35257" xr:uid="{00000000-0005-0000-0000-0000AEA00000}"/>
    <cellStyle name="Currency 6 2 5 4 3" xfId="10360" xr:uid="{00000000-0005-0000-0000-0000AFA00000}"/>
    <cellStyle name="Currency 6 2 5 4 3 2" xfId="24894" xr:uid="{00000000-0005-0000-0000-0000B0A00000}"/>
    <cellStyle name="Currency 6 2 5 4 3 2 2" xfId="53900" xr:uid="{00000000-0005-0000-0000-0000B1A00000}"/>
    <cellStyle name="Currency 6 2 5 4 3 3" xfId="39401" xr:uid="{00000000-0005-0000-0000-0000B2A00000}"/>
    <cellStyle name="Currency 6 2 5 4 4" xfId="17646" xr:uid="{00000000-0005-0000-0000-0000B3A00000}"/>
    <cellStyle name="Currency 6 2 5 4 4 2" xfId="46652" xr:uid="{00000000-0005-0000-0000-0000B4A00000}"/>
    <cellStyle name="Currency 6 2 5 4 5" xfId="32153" xr:uid="{00000000-0005-0000-0000-0000B5A00000}"/>
    <cellStyle name="Currency 6 2 5 5" xfId="4120" xr:uid="{00000000-0005-0000-0000-0000B6A00000}"/>
    <cellStyle name="Currency 6 2 5 5 2" xfId="11392" xr:uid="{00000000-0005-0000-0000-0000B7A00000}"/>
    <cellStyle name="Currency 6 2 5 5 2 2" xfId="25926" xr:uid="{00000000-0005-0000-0000-0000B8A00000}"/>
    <cellStyle name="Currency 6 2 5 5 2 2 2" xfId="54932" xr:uid="{00000000-0005-0000-0000-0000B9A00000}"/>
    <cellStyle name="Currency 6 2 5 5 2 3" xfId="40433" xr:uid="{00000000-0005-0000-0000-0000BAA00000}"/>
    <cellStyle name="Currency 6 2 5 5 3" xfId="18678" xr:uid="{00000000-0005-0000-0000-0000BBA00000}"/>
    <cellStyle name="Currency 6 2 5 5 3 2" xfId="47684" xr:uid="{00000000-0005-0000-0000-0000BCA00000}"/>
    <cellStyle name="Currency 6 2 5 5 4" xfId="33185" xr:uid="{00000000-0005-0000-0000-0000BDA00000}"/>
    <cellStyle name="Currency 6 2 5 6" xfId="7224" xr:uid="{00000000-0005-0000-0000-0000BEA00000}"/>
    <cellStyle name="Currency 6 2 5 6 2" xfId="14496" xr:uid="{00000000-0005-0000-0000-0000BFA00000}"/>
    <cellStyle name="Currency 6 2 5 6 2 2" xfId="29030" xr:uid="{00000000-0005-0000-0000-0000C0A00000}"/>
    <cellStyle name="Currency 6 2 5 6 2 2 2" xfId="58036" xr:uid="{00000000-0005-0000-0000-0000C1A00000}"/>
    <cellStyle name="Currency 6 2 5 6 2 3" xfId="43537" xr:uid="{00000000-0005-0000-0000-0000C2A00000}"/>
    <cellStyle name="Currency 6 2 5 6 3" xfId="21782" xr:uid="{00000000-0005-0000-0000-0000C3A00000}"/>
    <cellStyle name="Currency 6 2 5 6 3 2" xfId="50788" xr:uid="{00000000-0005-0000-0000-0000C4A00000}"/>
    <cellStyle name="Currency 6 2 5 6 4" xfId="36289" xr:uid="{00000000-0005-0000-0000-0000C5A00000}"/>
    <cellStyle name="Currency 6 2 5 7" xfId="8288" xr:uid="{00000000-0005-0000-0000-0000C6A00000}"/>
    <cellStyle name="Currency 6 2 5 7 2" xfId="22822" xr:uid="{00000000-0005-0000-0000-0000C7A00000}"/>
    <cellStyle name="Currency 6 2 5 7 2 2" xfId="51828" xr:uid="{00000000-0005-0000-0000-0000C8A00000}"/>
    <cellStyle name="Currency 6 2 5 7 3" xfId="37329" xr:uid="{00000000-0005-0000-0000-0000C9A00000}"/>
    <cellStyle name="Currency 6 2 5 8" xfId="15574" xr:uid="{00000000-0005-0000-0000-0000CAA00000}"/>
    <cellStyle name="Currency 6 2 5 8 2" xfId="44580" xr:uid="{00000000-0005-0000-0000-0000CBA00000}"/>
    <cellStyle name="Currency 6 2 5 9" xfId="30081" xr:uid="{00000000-0005-0000-0000-0000CCA00000}"/>
    <cellStyle name="Currency 6 2 6" xfId="1306" xr:uid="{00000000-0005-0000-0000-0000CDA00000}"/>
    <cellStyle name="Currency 6 2 6 2" xfId="2362" xr:uid="{00000000-0005-0000-0000-0000CEA00000}"/>
    <cellStyle name="Currency 6 2 6 2 2" xfId="5466" xr:uid="{00000000-0005-0000-0000-0000CFA00000}"/>
    <cellStyle name="Currency 6 2 6 2 2 2" xfId="12738" xr:uid="{00000000-0005-0000-0000-0000D0A00000}"/>
    <cellStyle name="Currency 6 2 6 2 2 2 2" xfId="27272" xr:uid="{00000000-0005-0000-0000-0000D1A00000}"/>
    <cellStyle name="Currency 6 2 6 2 2 2 2 2" xfId="56278" xr:uid="{00000000-0005-0000-0000-0000D2A00000}"/>
    <cellStyle name="Currency 6 2 6 2 2 2 3" xfId="41779" xr:uid="{00000000-0005-0000-0000-0000D3A00000}"/>
    <cellStyle name="Currency 6 2 6 2 2 3" xfId="20024" xr:uid="{00000000-0005-0000-0000-0000D4A00000}"/>
    <cellStyle name="Currency 6 2 6 2 2 3 2" xfId="49030" xr:uid="{00000000-0005-0000-0000-0000D5A00000}"/>
    <cellStyle name="Currency 6 2 6 2 2 4" xfId="34531" xr:uid="{00000000-0005-0000-0000-0000D6A00000}"/>
    <cellStyle name="Currency 6 2 6 2 3" xfId="9634" xr:uid="{00000000-0005-0000-0000-0000D7A00000}"/>
    <cellStyle name="Currency 6 2 6 2 3 2" xfId="24168" xr:uid="{00000000-0005-0000-0000-0000D8A00000}"/>
    <cellStyle name="Currency 6 2 6 2 3 2 2" xfId="53174" xr:uid="{00000000-0005-0000-0000-0000D9A00000}"/>
    <cellStyle name="Currency 6 2 6 2 3 3" xfId="38675" xr:uid="{00000000-0005-0000-0000-0000DAA00000}"/>
    <cellStyle name="Currency 6 2 6 2 4" xfId="16920" xr:uid="{00000000-0005-0000-0000-0000DBA00000}"/>
    <cellStyle name="Currency 6 2 6 2 4 2" xfId="45926" xr:uid="{00000000-0005-0000-0000-0000DCA00000}"/>
    <cellStyle name="Currency 6 2 6 2 5" xfId="31427" xr:uid="{00000000-0005-0000-0000-0000DDA00000}"/>
    <cellStyle name="Currency 6 2 6 3" xfId="3394" xr:uid="{00000000-0005-0000-0000-0000DEA00000}"/>
    <cellStyle name="Currency 6 2 6 3 2" xfId="6498" xr:uid="{00000000-0005-0000-0000-0000DFA00000}"/>
    <cellStyle name="Currency 6 2 6 3 2 2" xfId="13770" xr:uid="{00000000-0005-0000-0000-0000E0A00000}"/>
    <cellStyle name="Currency 6 2 6 3 2 2 2" xfId="28304" xr:uid="{00000000-0005-0000-0000-0000E1A00000}"/>
    <cellStyle name="Currency 6 2 6 3 2 2 2 2" xfId="57310" xr:uid="{00000000-0005-0000-0000-0000E2A00000}"/>
    <cellStyle name="Currency 6 2 6 3 2 2 3" xfId="42811" xr:uid="{00000000-0005-0000-0000-0000E3A00000}"/>
    <cellStyle name="Currency 6 2 6 3 2 3" xfId="21056" xr:uid="{00000000-0005-0000-0000-0000E4A00000}"/>
    <cellStyle name="Currency 6 2 6 3 2 3 2" xfId="50062" xr:uid="{00000000-0005-0000-0000-0000E5A00000}"/>
    <cellStyle name="Currency 6 2 6 3 2 4" xfId="35563" xr:uid="{00000000-0005-0000-0000-0000E6A00000}"/>
    <cellStyle name="Currency 6 2 6 3 3" xfId="10666" xr:uid="{00000000-0005-0000-0000-0000E7A00000}"/>
    <cellStyle name="Currency 6 2 6 3 3 2" xfId="25200" xr:uid="{00000000-0005-0000-0000-0000E8A00000}"/>
    <cellStyle name="Currency 6 2 6 3 3 2 2" xfId="54206" xr:uid="{00000000-0005-0000-0000-0000E9A00000}"/>
    <cellStyle name="Currency 6 2 6 3 3 3" xfId="39707" xr:uid="{00000000-0005-0000-0000-0000EAA00000}"/>
    <cellStyle name="Currency 6 2 6 3 4" xfId="17952" xr:uid="{00000000-0005-0000-0000-0000EBA00000}"/>
    <cellStyle name="Currency 6 2 6 3 4 2" xfId="46958" xr:uid="{00000000-0005-0000-0000-0000ECA00000}"/>
    <cellStyle name="Currency 6 2 6 3 5" xfId="32459" xr:uid="{00000000-0005-0000-0000-0000EDA00000}"/>
    <cellStyle name="Currency 6 2 6 4" xfId="4426" xr:uid="{00000000-0005-0000-0000-0000EEA00000}"/>
    <cellStyle name="Currency 6 2 6 4 2" xfId="11698" xr:uid="{00000000-0005-0000-0000-0000EFA00000}"/>
    <cellStyle name="Currency 6 2 6 4 2 2" xfId="26232" xr:uid="{00000000-0005-0000-0000-0000F0A00000}"/>
    <cellStyle name="Currency 6 2 6 4 2 2 2" xfId="55238" xr:uid="{00000000-0005-0000-0000-0000F1A00000}"/>
    <cellStyle name="Currency 6 2 6 4 2 3" xfId="40739" xr:uid="{00000000-0005-0000-0000-0000F2A00000}"/>
    <cellStyle name="Currency 6 2 6 4 3" xfId="18984" xr:uid="{00000000-0005-0000-0000-0000F3A00000}"/>
    <cellStyle name="Currency 6 2 6 4 3 2" xfId="47990" xr:uid="{00000000-0005-0000-0000-0000F4A00000}"/>
    <cellStyle name="Currency 6 2 6 4 4" xfId="33491" xr:uid="{00000000-0005-0000-0000-0000F5A00000}"/>
    <cellStyle name="Currency 6 2 6 5" xfId="7530" xr:uid="{00000000-0005-0000-0000-0000F6A00000}"/>
    <cellStyle name="Currency 6 2 6 5 2" xfId="14802" xr:uid="{00000000-0005-0000-0000-0000F7A00000}"/>
    <cellStyle name="Currency 6 2 6 5 2 2" xfId="29336" xr:uid="{00000000-0005-0000-0000-0000F8A00000}"/>
    <cellStyle name="Currency 6 2 6 5 2 2 2" xfId="58342" xr:uid="{00000000-0005-0000-0000-0000F9A00000}"/>
    <cellStyle name="Currency 6 2 6 5 2 3" xfId="43843" xr:uid="{00000000-0005-0000-0000-0000FAA00000}"/>
    <cellStyle name="Currency 6 2 6 5 3" xfId="22088" xr:uid="{00000000-0005-0000-0000-0000FBA00000}"/>
    <cellStyle name="Currency 6 2 6 5 3 2" xfId="51094" xr:uid="{00000000-0005-0000-0000-0000FCA00000}"/>
    <cellStyle name="Currency 6 2 6 5 4" xfId="36595" xr:uid="{00000000-0005-0000-0000-0000FDA00000}"/>
    <cellStyle name="Currency 6 2 6 6" xfId="8594" xr:uid="{00000000-0005-0000-0000-0000FEA00000}"/>
    <cellStyle name="Currency 6 2 6 6 2" xfId="23128" xr:uid="{00000000-0005-0000-0000-0000FFA00000}"/>
    <cellStyle name="Currency 6 2 6 6 2 2" xfId="52134" xr:uid="{00000000-0005-0000-0000-000000A10000}"/>
    <cellStyle name="Currency 6 2 6 6 3" xfId="37635" xr:uid="{00000000-0005-0000-0000-000001A10000}"/>
    <cellStyle name="Currency 6 2 6 7" xfId="15880" xr:uid="{00000000-0005-0000-0000-000002A10000}"/>
    <cellStyle name="Currency 6 2 6 7 2" xfId="44886" xr:uid="{00000000-0005-0000-0000-000003A10000}"/>
    <cellStyle name="Currency 6 2 6 8" xfId="30387" xr:uid="{00000000-0005-0000-0000-000004A10000}"/>
    <cellStyle name="Currency 6 2 7" xfId="1850" xr:uid="{00000000-0005-0000-0000-000005A10000}"/>
    <cellStyle name="Currency 6 2 7 2" xfId="4954" xr:uid="{00000000-0005-0000-0000-000006A10000}"/>
    <cellStyle name="Currency 6 2 7 2 2" xfId="12226" xr:uid="{00000000-0005-0000-0000-000007A10000}"/>
    <cellStyle name="Currency 6 2 7 2 2 2" xfId="26760" xr:uid="{00000000-0005-0000-0000-000008A10000}"/>
    <cellStyle name="Currency 6 2 7 2 2 2 2" xfId="55766" xr:uid="{00000000-0005-0000-0000-000009A10000}"/>
    <cellStyle name="Currency 6 2 7 2 2 3" xfId="41267" xr:uid="{00000000-0005-0000-0000-00000AA10000}"/>
    <cellStyle name="Currency 6 2 7 2 3" xfId="19512" xr:uid="{00000000-0005-0000-0000-00000BA10000}"/>
    <cellStyle name="Currency 6 2 7 2 3 2" xfId="48518" xr:uid="{00000000-0005-0000-0000-00000CA10000}"/>
    <cellStyle name="Currency 6 2 7 2 4" xfId="34019" xr:uid="{00000000-0005-0000-0000-00000DA10000}"/>
    <cellStyle name="Currency 6 2 7 3" xfId="9122" xr:uid="{00000000-0005-0000-0000-00000EA10000}"/>
    <cellStyle name="Currency 6 2 7 3 2" xfId="23656" xr:uid="{00000000-0005-0000-0000-00000FA10000}"/>
    <cellStyle name="Currency 6 2 7 3 2 2" xfId="52662" xr:uid="{00000000-0005-0000-0000-000010A10000}"/>
    <cellStyle name="Currency 6 2 7 3 3" xfId="38163" xr:uid="{00000000-0005-0000-0000-000011A10000}"/>
    <cellStyle name="Currency 6 2 7 4" xfId="16408" xr:uid="{00000000-0005-0000-0000-000012A10000}"/>
    <cellStyle name="Currency 6 2 7 4 2" xfId="45414" xr:uid="{00000000-0005-0000-0000-000013A10000}"/>
    <cellStyle name="Currency 6 2 7 5" xfId="30915" xr:uid="{00000000-0005-0000-0000-000014A10000}"/>
    <cellStyle name="Currency 6 2 8" xfId="2882" xr:uid="{00000000-0005-0000-0000-000015A10000}"/>
    <cellStyle name="Currency 6 2 8 2" xfId="5986" xr:uid="{00000000-0005-0000-0000-000016A10000}"/>
    <cellStyle name="Currency 6 2 8 2 2" xfId="13258" xr:uid="{00000000-0005-0000-0000-000017A10000}"/>
    <cellStyle name="Currency 6 2 8 2 2 2" xfId="27792" xr:uid="{00000000-0005-0000-0000-000018A10000}"/>
    <cellStyle name="Currency 6 2 8 2 2 2 2" xfId="56798" xr:uid="{00000000-0005-0000-0000-000019A10000}"/>
    <cellStyle name="Currency 6 2 8 2 2 3" xfId="42299" xr:uid="{00000000-0005-0000-0000-00001AA10000}"/>
    <cellStyle name="Currency 6 2 8 2 3" xfId="20544" xr:uid="{00000000-0005-0000-0000-00001BA10000}"/>
    <cellStyle name="Currency 6 2 8 2 3 2" xfId="49550" xr:uid="{00000000-0005-0000-0000-00001CA10000}"/>
    <cellStyle name="Currency 6 2 8 2 4" xfId="35051" xr:uid="{00000000-0005-0000-0000-00001DA10000}"/>
    <cellStyle name="Currency 6 2 8 3" xfId="10154" xr:uid="{00000000-0005-0000-0000-00001EA10000}"/>
    <cellStyle name="Currency 6 2 8 3 2" xfId="24688" xr:uid="{00000000-0005-0000-0000-00001FA10000}"/>
    <cellStyle name="Currency 6 2 8 3 2 2" xfId="53694" xr:uid="{00000000-0005-0000-0000-000020A10000}"/>
    <cellStyle name="Currency 6 2 8 3 3" xfId="39195" xr:uid="{00000000-0005-0000-0000-000021A10000}"/>
    <cellStyle name="Currency 6 2 8 4" xfId="17440" xr:uid="{00000000-0005-0000-0000-000022A10000}"/>
    <cellStyle name="Currency 6 2 8 4 2" xfId="46446" xr:uid="{00000000-0005-0000-0000-000023A10000}"/>
    <cellStyle name="Currency 6 2 8 5" xfId="31947" xr:uid="{00000000-0005-0000-0000-000024A10000}"/>
    <cellStyle name="Currency 6 2 9" xfId="3914" xr:uid="{00000000-0005-0000-0000-000025A10000}"/>
    <cellStyle name="Currency 6 2 9 2" xfId="11186" xr:uid="{00000000-0005-0000-0000-000026A10000}"/>
    <cellStyle name="Currency 6 2 9 2 2" xfId="25720" xr:uid="{00000000-0005-0000-0000-000027A10000}"/>
    <cellStyle name="Currency 6 2 9 2 2 2" xfId="54726" xr:uid="{00000000-0005-0000-0000-000028A10000}"/>
    <cellStyle name="Currency 6 2 9 2 3" xfId="40227" xr:uid="{00000000-0005-0000-0000-000029A10000}"/>
    <cellStyle name="Currency 6 2 9 3" xfId="18472" xr:uid="{00000000-0005-0000-0000-00002AA10000}"/>
    <cellStyle name="Currency 6 2 9 3 2" xfId="47478" xr:uid="{00000000-0005-0000-0000-00002BA10000}"/>
    <cellStyle name="Currency 6 2 9 4" xfId="32979" xr:uid="{00000000-0005-0000-0000-00002CA10000}"/>
    <cellStyle name="Currency 6 3" xfId="186" xr:uid="{00000000-0005-0000-0000-00002DA10000}"/>
    <cellStyle name="Currency 6 3 10" xfId="8110" xr:uid="{00000000-0005-0000-0000-00002EA10000}"/>
    <cellStyle name="Currency 6 3 10 2" xfId="22644" xr:uid="{00000000-0005-0000-0000-00002FA10000}"/>
    <cellStyle name="Currency 6 3 10 2 2" xfId="51650" xr:uid="{00000000-0005-0000-0000-000030A10000}"/>
    <cellStyle name="Currency 6 3 10 3" xfId="37151" xr:uid="{00000000-0005-0000-0000-000031A10000}"/>
    <cellStyle name="Currency 6 3 11" xfId="15396" xr:uid="{00000000-0005-0000-0000-000032A10000}"/>
    <cellStyle name="Currency 6 3 11 2" xfId="44402" xr:uid="{00000000-0005-0000-0000-000033A10000}"/>
    <cellStyle name="Currency 6 3 12" xfId="29903" xr:uid="{00000000-0005-0000-0000-000034A10000}"/>
    <cellStyle name="Currency 6 3 13" xfId="58900" xr:uid="{00000000-0005-0000-0000-000035A10000}"/>
    <cellStyle name="Currency 6 3 14" xfId="59010" xr:uid="{00000000-0005-0000-0000-000036A10000}"/>
    <cellStyle name="Currency 6 3 15" xfId="59234" xr:uid="{00000000-0005-0000-0000-000037A10000}"/>
    <cellStyle name="Currency 6 3 2" xfId="513" xr:uid="{00000000-0005-0000-0000-000038A10000}"/>
    <cellStyle name="Currency 6 3 2 10" xfId="30006" xr:uid="{00000000-0005-0000-0000-000039A10000}"/>
    <cellStyle name="Currency 6 3 2 11" xfId="59372" xr:uid="{00000000-0005-0000-0000-00003AA10000}"/>
    <cellStyle name="Currency 6 3 2 2" xfId="1235" xr:uid="{00000000-0005-0000-0000-00003BA10000}"/>
    <cellStyle name="Currency 6 3 2 2 2" xfId="1740" xr:uid="{00000000-0005-0000-0000-00003CA10000}"/>
    <cellStyle name="Currency 6 3 2 2 2 2" xfId="2799" xr:uid="{00000000-0005-0000-0000-00003DA10000}"/>
    <cellStyle name="Currency 6 3 2 2 2 2 2" xfId="5903" xr:uid="{00000000-0005-0000-0000-00003EA10000}"/>
    <cellStyle name="Currency 6 3 2 2 2 2 2 2" xfId="13175" xr:uid="{00000000-0005-0000-0000-00003FA10000}"/>
    <cellStyle name="Currency 6 3 2 2 2 2 2 2 2" xfId="27709" xr:uid="{00000000-0005-0000-0000-000040A10000}"/>
    <cellStyle name="Currency 6 3 2 2 2 2 2 2 2 2" xfId="56715" xr:uid="{00000000-0005-0000-0000-000041A10000}"/>
    <cellStyle name="Currency 6 3 2 2 2 2 2 2 3" xfId="42216" xr:uid="{00000000-0005-0000-0000-000042A10000}"/>
    <cellStyle name="Currency 6 3 2 2 2 2 2 3" xfId="20461" xr:uid="{00000000-0005-0000-0000-000043A10000}"/>
    <cellStyle name="Currency 6 3 2 2 2 2 2 3 2" xfId="49467" xr:uid="{00000000-0005-0000-0000-000044A10000}"/>
    <cellStyle name="Currency 6 3 2 2 2 2 2 4" xfId="34968" xr:uid="{00000000-0005-0000-0000-000045A10000}"/>
    <cellStyle name="Currency 6 3 2 2 2 2 3" xfId="10071" xr:uid="{00000000-0005-0000-0000-000046A10000}"/>
    <cellStyle name="Currency 6 3 2 2 2 2 3 2" xfId="24605" xr:uid="{00000000-0005-0000-0000-000047A10000}"/>
    <cellStyle name="Currency 6 3 2 2 2 2 3 2 2" xfId="53611" xr:uid="{00000000-0005-0000-0000-000048A10000}"/>
    <cellStyle name="Currency 6 3 2 2 2 2 3 3" xfId="39112" xr:uid="{00000000-0005-0000-0000-000049A10000}"/>
    <cellStyle name="Currency 6 3 2 2 2 2 4" xfId="17357" xr:uid="{00000000-0005-0000-0000-00004AA10000}"/>
    <cellStyle name="Currency 6 3 2 2 2 2 4 2" xfId="46363" xr:uid="{00000000-0005-0000-0000-00004BA10000}"/>
    <cellStyle name="Currency 6 3 2 2 2 2 5" xfId="31864" xr:uid="{00000000-0005-0000-0000-00004CA10000}"/>
    <cellStyle name="Currency 6 3 2 2 2 3" xfId="3831" xr:uid="{00000000-0005-0000-0000-00004DA10000}"/>
    <cellStyle name="Currency 6 3 2 2 2 3 2" xfId="6935" xr:uid="{00000000-0005-0000-0000-00004EA10000}"/>
    <cellStyle name="Currency 6 3 2 2 2 3 2 2" xfId="14207" xr:uid="{00000000-0005-0000-0000-00004FA10000}"/>
    <cellStyle name="Currency 6 3 2 2 2 3 2 2 2" xfId="28741" xr:uid="{00000000-0005-0000-0000-000050A10000}"/>
    <cellStyle name="Currency 6 3 2 2 2 3 2 2 2 2" xfId="57747" xr:uid="{00000000-0005-0000-0000-000051A10000}"/>
    <cellStyle name="Currency 6 3 2 2 2 3 2 2 3" xfId="43248" xr:uid="{00000000-0005-0000-0000-000052A10000}"/>
    <cellStyle name="Currency 6 3 2 2 2 3 2 3" xfId="21493" xr:uid="{00000000-0005-0000-0000-000053A10000}"/>
    <cellStyle name="Currency 6 3 2 2 2 3 2 3 2" xfId="50499" xr:uid="{00000000-0005-0000-0000-000054A10000}"/>
    <cellStyle name="Currency 6 3 2 2 2 3 2 4" xfId="36000" xr:uid="{00000000-0005-0000-0000-000055A10000}"/>
    <cellStyle name="Currency 6 3 2 2 2 3 3" xfId="11103" xr:uid="{00000000-0005-0000-0000-000056A10000}"/>
    <cellStyle name="Currency 6 3 2 2 2 3 3 2" xfId="25637" xr:uid="{00000000-0005-0000-0000-000057A10000}"/>
    <cellStyle name="Currency 6 3 2 2 2 3 3 2 2" xfId="54643" xr:uid="{00000000-0005-0000-0000-000058A10000}"/>
    <cellStyle name="Currency 6 3 2 2 2 3 3 3" xfId="40144" xr:uid="{00000000-0005-0000-0000-000059A10000}"/>
    <cellStyle name="Currency 6 3 2 2 2 3 4" xfId="18389" xr:uid="{00000000-0005-0000-0000-00005AA10000}"/>
    <cellStyle name="Currency 6 3 2 2 2 3 4 2" xfId="47395" xr:uid="{00000000-0005-0000-0000-00005BA10000}"/>
    <cellStyle name="Currency 6 3 2 2 2 3 5" xfId="32896" xr:uid="{00000000-0005-0000-0000-00005CA10000}"/>
    <cellStyle name="Currency 6 3 2 2 2 4" xfId="4863" xr:uid="{00000000-0005-0000-0000-00005DA10000}"/>
    <cellStyle name="Currency 6 3 2 2 2 4 2" xfId="12135" xr:uid="{00000000-0005-0000-0000-00005EA10000}"/>
    <cellStyle name="Currency 6 3 2 2 2 4 2 2" xfId="26669" xr:uid="{00000000-0005-0000-0000-00005FA10000}"/>
    <cellStyle name="Currency 6 3 2 2 2 4 2 2 2" xfId="55675" xr:uid="{00000000-0005-0000-0000-000060A10000}"/>
    <cellStyle name="Currency 6 3 2 2 2 4 2 3" xfId="41176" xr:uid="{00000000-0005-0000-0000-000061A10000}"/>
    <cellStyle name="Currency 6 3 2 2 2 4 3" xfId="19421" xr:uid="{00000000-0005-0000-0000-000062A10000}"/>
    <cellStyle name="Currency 6 3 2 2 2 4 3 2" xfId="48427" xr:uid="{00000000-0005-0000-0000-000063A10000}"/>
    <cellStyle name="Currency 6 3 2 2 2 4 4" xfId="33928" xr:uid="{00000000-0005-0000-0000-000064A10000}"/>
    <cellStyle name="Currency 6 3 2 2 2 5" xfId="7967" xr:uid="{00000000-0005-0000-0000-000065A10000}"/>
    <cellStyle name="Currency 6 3 2 2 2 5 2" xfId="15239" xr:uid="{00000000-0005-0000-0000-000066A10000}"/>
    <cellStyle name="Currency 6 3 2 2 2 5 2 2" xfId="29773" xr:uid="{00000000-0005-0000-0000-000067A10000}"/>
    <cellStyle name="Currency 6 3 2 2 2 5 2 2 2" xfId="58779" xr:uid="{00000000-0005-0000-0000-000068A10000}"/>
    <cellStyle name="Currency 6 3 2 2 2 5 2 3" xfId="44280" xr:uid="{00000000-0005-0000-0000-000069A10000}"/>
    <cellStyle name="Currency 6 3 2 2 2 5 3" xfId="22525" xr:uid="{00000000-0005-0000-0000-00006AA10000}"/>
    <cellStyle name="Currency 6 3 2 2 2 5 3 2" xfId="51531" xr:uid="{00000000-0005-0000-0000-00006BA10000}"/>
    <cellStyle name="Currency 6 3 2 2 2 5 4" xfId="37032" xr:uid="{00000000-0005-0000-0000-00006CA10000}"/>
    <cellStyle name="Currency 6 3 2 2 2 6" xfId="9031" xr:uid="{00000000-0005-0000-0000-00006DA10000}"/>
    <cellStyle name="Currency 6 3 2 2 2 6 2" xfId="23565" xr:uid="{00000000-0005-0000-0000-00006EA10000}"/>
    <cellStyle name="Currency 6 3 2 2 2 6 2 2" xfId="52571" xr:uid="{00000000-0005-0000-0000-00006FA10000}"/>
    <cellStyle name="Currency 6 3 2 2 2 6 3" xfId="38072" xr:uid="{00000000-0005-0000-0000-000070A10000}"/>
    <cellStyle name="Currency 6 3 2 2 2 7" xfId="16317" xr:uid="{00000000-0005-0000-0000-000071A10000}"/>
    <cellStyle name="Currency 6 3 2 2 2 7 2" xfId="45323" xr:uid="{00000000-0005-0000-0000-000072A10000}"/>
    <cellStyle name="Currency 6 3 2 2 2 8" xfId="30824" xr:uid="{00000000-0005-0000-0000-000073A10000}"/>
    <cellStyle name="Currency 6 3 2 2 3" xfId="2287" xr:uid="{00000000-0005-0000-0000-000074A10000}"/>
    <cellStyle name="Currency 6 3 2 2 3 2" xfId="5391" xr:uid="{00000000-0005-0000-0000-000075A10000}"/>
    <cellStyle name="Currency 6 3 2 2 3 2 2" xfId="12663" xr:uid="{00000000-0005-0000-0000-000076A10000}"/>
    <cellStyle name="Currency 6 3 2 2 3 2 2 2" xfId="27197" xr:uid="{00000000-0005-0000-0000-000077A10000}"/>
    <cellStyle name="Currency 6 3 2 2 3 2 2 2 2" xfId="56203" xr:uid="{00000000-0005-0000-0000-000078A10000}"/>
    <cellStyle name="Currency 6 3 2 2 3 2 2 3" xfId="41704" xr:uid="{00000000-0005-0000-0000-000079A10000}"/>
    <cellStyle name="Currency 6 3 2 2 3 2 3" xfId="19949" xr:uid="{00000000-0005-0000-0000-00007AA10000}"/>
    <cellStyle name="Currency 6 3 2 2 3 2 3 2" xfId="48955" xr:uid="{00000000-0005-0000-0000-00007BA10000}"/>
    <cellStyle name="Currency 6 3 2 2 3 2 4" xfId="34456" xr:uid="{00000000-0005-0000-0000-00007CA10000}"/>
    <cellStyle name="Currency 6 3 2 2 3 3" xfId="9559" xr:uid="{00000000-0005-0000-0000-00007DA10000}"/>
    <cellStyle name="Currency 6 3 2 2 3 3 2" xfId="24093" xr:uid="{00000000-0005-0000-0000-00007EA10000}"/>
    <cellStyle name="Currency 6 3 2 2 3 3 2 2" xfId="53099" xr:uid="{00000000-0005-0000-0000-00007FA10000}"/>
    <cellStyle name="Currency 6 3 2 2 3 3 3" xfId="38600" xr:uid="{00000000-0005-0000-0000-000080A10000}"/>
    <cellStyle name="Currency 6 3 2 2 3 4" xfId="16845" xr:uid="{00000000-0005-0000-0000-000081A10000}"/>
    <cellStyle name="Currency 6 3 2 2 3 4 2" xfId="45851" xr:uid="{00000000-0005-0000-0000-000082A10000}"/>
    <cellStyle name="Currency 6 3 2 2 3 5" xfId="31352" xr:uid="{00000000-0005-0000-0000-000083A10000}"/>
    <cellStyle name="Currency 6 3 2 2 4" xfId="3319" xr:uid="{00000000-0005-0000-0000-000084A10000}"/>
    <cellStyle name="Currency 6 3 2 2 4 2" xfId="6423" xr:uid="{00000000-0005-0000-0000-000085A10000}"/>
    <cellStyle name="Currency 6 3 2 2 4 2 2" xfId="13695" xr:uid="{00000000-0005-0000-0000-000086A10000}"/>
    <cellStyle name="Currency 6 3 2 2 4 2 2 2" xfId="28229" xr:uid="{00000000-0005-0000-0000-000087A10000}"/>
    <cellStyle name="Currency 6 3 2 2 4 2 2 2 2" xfId="57235" xr:uid="{00000000-0005-0000-0000-000088A10000}"/>
    <cellStyle name="Currency 6 3 2 2 4 2 2 3" xfId="42736" xr:uid="{00000000-0005-0000-0000-000089A10000}"/>
    <cellStyle name="Currency 6 3 2 2 4 2 3" xfId="20981" xr:uid="{00000000-0005-0000-0000-00008AA10000}"/>
    <cellStyle name="Currency 6 3 2 2 4 2 3 2" xfId="49987" xr:uid="{00000000-0005-0000-0000-00008BA10000}"/>
    <cellStyle name="Currency 6 3 2 2 4 2 4" xfId="35488" xr:uid="{00000000-0005-0000-0000-00008CA10000}"/>
    <cellStyle name="Currency 6 3 2 2 4 3" xfId="10591" xr:uid="{00000000-0005-0000-0000-00008DA10000}"/>
    <cellStyle name="Currency 6 3 2 2 4 3 2" xfId="25125" xr:uid="{00000000-0005-0000-0000-00008EA10000}"/>
    <cellStyle name="Currency 6 3 2 2 4 3 2 2" xfId="54131" xr:uid="{00000000-0005-0000-0000-00008FA10000}"/>
    <cellStyle name="Currency 6 3 2 2 4 3 3" xfId="39632" xr:uid="{00000000-0005-0000-0000-000090A10000}"/>
    <cellStyle name="Currency 6 3 2 2 4 4" xfId="17877" xr:uid="{00000000-0005-0000-0000-000091A10000}"/>
    <cellStyle name="Currency 6 3 2 2 4 4 2" xfId="46883" xr:uid="{00000000-0005-0000-0000-000092A10000}"/>
    <cellStyle name="Currency 6 3 2 2 4 5" xfId="32384" xr:uid="{00000000-0005-0000-0000-000093A10000}"/>
    <cellStyle name="Currency 6 3 2 2 5" xfId="4351" xr:uid="{00000000-0005-0000-0000-000094A10000}"/>
    <cellStyle name="Currency 6 3 2 2 5 2" xfId="11623" xr:uid="{00000000-0005-0000-0000-000095A10000}"/>
    <cellStyle name="Currency 6 3 2 2 5 2 2" xfId="26157" xr:uid="{00000000-0005-0000-0000-000096A10000}"/>
    <cellStyle name="Currency 6 3 2 2 5 2 2 2" xfId="55163" xr:uid="{00000000-0005-0000-0000-000097A10000}"/>
    <cellStyle name="Currency 6 3 2 2 5 2 3" xfId="40664" xr:uid="{00000000-0005-0000-0000-000098A10000}"/>
    <cellStyle name="Currency 6 3 2 2 5 3" xfId="18909" xr:uid="{00000000-0005-0000-0000-000099A10000}"/>
    <cellStyle name="Currency 6 3 2 2 5 3 2" xfId="47915" xr:uid="{00000000-0005-0000-0000-00009AA10000}"/>
    <cellStyle name="Currency 6 3 2 2 5 4" xfId="33416" xr:uid="{00000000-0005-0000-0000-00009BA10000}"/>
    <cellStyle name="Currency 6 3 2 2 6" xfId="7455" xr:uid="{00000000-0005-0000-0000-00009CA10000}"/>
    <cellStyle name="Currency 6 3 2 2 6 2" xfId="14727" xr:uid="{00000000-0005-0000-0000-00009DA10000}"/>
    <cellStyle name="Currency 6 3 2 2 6 2 2" xfId="29261" xr:uid="{00000000-0005-0000-0000-00009EA10000}"/>
    <cellStyle name="Currency 6 3 2 2 6 2 2 2" xfId="58267" xr:uid="{00000000-0005-0000-0000-00009FA10000}"/>
    <cellStyle name="Currency 6 3 2 2 6 2 3" xfId="43768" xr:uid="{00000000-0005-0000-0000-0000A0A10000}"/>
    <cellStyle name="Currency 6 3 2 2 6 3" xfId="22013" xr:uid="{00000000-0005-0000-0000-0000A1A10000}"/>
    <cellStyle name="Currency 6 3 2 2 6 3 2" xfId="51019" xr:uid="{00000000-0005-0000-0000-0000A2A10000}"/>
    <cellStyle name="Currency 6 3 2 2 6 4" xfId="36520" xr:uid="{00000000-0005-0000-0000-0000A3A10000}"/>
    <cellStyle name="Currency 6 3 2 2 7" xfId="8519" xr:uid="{00000000-0005-0000-0000-0000A4A10000}"/>
    <cellStyle name="Currency 6 3 2 2 7 2" xfId="23053" xr:uid="{00000000-0005-0000-0000-0000A5A10000}"/>
    <cellStyle name="Currency 6 3 2 2 7 2 2" xfId="52059" xr:uid="{00000000-0005-0000-0000-0000A6A10000}"/>
    <cellStyle name="Currency 6 3 2 2 7 3" xfId="37560" xr:uid="{00000000-0005-0000-0000-0000A7A10000}"/>
    <cellStyle name="Currency 6 3 2 2 8" xfId="15805" xr:uid="{00000000-0005-0000-0000-0000A8A10000}"/>
    <cellStyle name="Currency 6 3 2 2 8 2" xfId="44811" xr:uid="{00000000-0005-0000-0000-0000A9A10000}"/>
    <cellStyle name="Currency 6 3 2 2 9" xfId="30312" xr:uid="{00000000-0005-0000-0000-0000AAA10000}"/>
    <cellStyle name="Currency 6 3 2 3" xfId="1435" xr:uid="{00000000-0005-0000-0000-0000ABA10000}"/>
    <cellStyle name="Currency 6 3 2 3 2" xfId="2493" xr:uid="{00000000-0005-0000-0000-0000ACA10000}"/>
    <cellStyle name="Currency 6 3 2 3 2 2" xfId="5597" xr:uid="{00000000-0005-0000-0000-0000ADA10000}"/>
    <cellStyle name="Currency 6 3 2 3 2 2 2" xfId="12869" xr:uid="{00000000-0005-0000-0000-0000AEA10000}"/>
    <cellStyle name="Currency 6 3 2 3 2 2 2 2" xfId="27403" xr:uid="{00000000-0005-0000-0000-0000AFA10000}"/>
    <cellStyle name="Currency 6 3 2 3 2 2 2 2 2" xfId="56409" xr:uid="{00000000-0005-0000-0000-0000B0A10000}"/>
    <cellStyle name="Currency 6 3 2 3 2 2 2 3" xfId="41910" xr:uid="{00000000-0005-0000-0000-0000B1A10000}"/>
    <cellStyle name="Currency 6 3 2 3 2 2 3" xfId="20155" xr:uid="{00000000-0005-0000-0000-0000B2A10000}"/>
    <cellStyle name="Currency 6 3 2 3 2 2 3 2" xfId="49161" xr:uid="{00000000-0005-0000-0000-0000B3A10000}"/>
    <cellStyle name="Currency 6 3 2 3 2 2 4" xfId="34662" xr:uid="{00000000-0005-0000-0000-0000B4A10000}"/>
    <cellStyle name="Currency 6 3 2 3 2 3" xfId="9765" xr:uid="{00000000-0005-0000-0000-0000B5A10000}"/>
    <cellStyle name="Currency 6 3 2 3 2 3 2" xfId="24299" xr:uid="{00000000-0005-0000-0000-0000B6A10000}"/>
    <cellStyle name="Currency 6 3 2 3 2 3 2 2" xfId="53305" xr:uid="{00000000-0005-0000-0000-0000B7A10000}"/>
    <cellStyle name="Currency 6 3 2 3 2 3 3" xfId="38806" xr:uid="{00000000-0005-0000-0000-0000B8A10000}"/>
    <cellStyle name="Currency 6 3 2 3 2 4" xfId="17051" xr:uid="{00000000-0005-0000-0000-0000B9A10000}"/>
    <cellStyle name="Currency 6 3 2 3 2 4 2" xfId="46057" xr:uid="{00000000-0005-0000-0000-0000BAA10000}"/>
    <cellStyle name="Currency 6 3 2 3 2 5" xfId="31558" xr:uid="{00000000-0005-0000-0000-0000BBA10000}"/>
    <cellStyle name="Currency 6 3 2 3 3" xfId="3525" xr:uid="{00000000-0005-0000-0000-0000BCA10000}"/>
    <cellStyle name="Currency 6 3 2 3 3 2" xfId="6629" xr:uid="{00000000-0005-0000-0000-0000BDA10000}"/>
    <cellStyle name="Currency 6 3 2 3 3 2 2" xfId="13901" xr:uid="{00000000-0005-0000-0000-0000BEA10000}"/>
    <cellStyle name="Currency 6 3 2 3 3 2 2 2" xfId="28435" xr:uid="{00000000-0005-0000-0000-0000BFA10000}"/>
    <cellStyle name="Currency 6 3 2 3 3 2 2 2 2" xfId="57441" xr:uid="{00000000-0005-0000-0000-0000C0A10000}"/>
    <cellStyle name="Currency 6 3 2 3 3 2 2 3" xfId="42942" xr:uid="{00000000-0005-0000-0000-0000C1A10000}"/>
    <cellStyle name="Currency 6 3 2 3 3 2 3" xfId="21187" xr:uid="{00000000-0005-0000-0000-0000C2A10000}"/>
    <cellStyle name="Currency 6 3 2 3 3 2 3 2" xfId="50193" xr:uid="{00000000-0005-0000-0000-0000C3A10000}"/>
    <cellStyle name="Currency 6 3 2 3 3 2 4" xfId="35694" xr:uid="{00000000-0005-0000-0000-0000C4A10000}"/>
    <cellStyle name="Currency 6 3 2 3 3 3" xfId="10797" xr:uid="{00000000-0005-0000-0000-0000C5A10000}"/>
    <cellStyle name="Currency 6 3 2 3 3 3 2" xfId="25331" xr:uid="{00000000-0005-0000-0000-0000C6A10000}"/>
    <cellStyle name="Currency 6 3 2 3 3 3 2 2" xfId="54337" xr:uid="{00000000-0005-0000-0000-0000C7A10000}"/>
    <cellStyle name="Currency 6 3 2 3 3 3 3" xfId="39838" xr:uid="{00000000-0005-0000-0000-0000C8A10000}"/>
    <cellStyle name="Currency 6 3 2 3 3 4" xfId="18083" xr:uid="{00000000-0005-0000-0000-0000C9A10000}"/>
    <cellStyle name="Currency 6 3 2 3 3 4 2" xfId="47089" xr:uid="{00000000-0005-0000-0000-0000CAA10000}"/>
    <cellStyle name="Currency 6 3 2 3 3 5" xfId="32590" xr:uid="{00000000-0005-0000-0000-0000CBA10000}"/>
    <cellStyle name="Currency 6 3 2 3 4" xfId="4557" xr:uid="{00000000-0005-0000-0000-0000CCA10000}"/>
    <cellStyle name="Currency 6 3 2 3 4 2" xfId="11829" xr:uid="{00000000-0005-0000-0000-0000CDA10000}"/>
    <cellStyle name="Currency 6 3 2 3 4 2 2" xfId="26363" xr:uid="{00000000-0005-0000-0000-0000CEA10000}"/>
    <cellStyle name="Currency 6 3 2 3 4 2 2 2" xfId="55369" xr:uid="{00000000-0005-0000-0000-0000CFA10000}"/>
    <cellStyle name="Currency 6 3 2 3 4 2 3" xfId="40870" xr:uid="{00000000-0005-0000-0000-0000D0A10000}"/>
    <cellStyle name="Currency 6 3 2 3 4 3" xfId="19115" xr:uid="{00000000-0005-0000-0000-0000D1A10000}"/>
    <cellStyle name="Currency 6 3 2 3 4 3 2" xfId="48121" xr:uid="{00000000-0005-0000-0000-0000D2A10000}"/>
    <cellStyle name="Currency 6 3 2 3 4 4" xfId="33622" xr:uid="{00000000-0005-0000-0000-0000D3A10000}"/>
    <cellStyle name="Currency 6 3 2 3 5" xfId="7661" xr:uid="{00000000-0005-0000-0000-0000D4A10000}"/>
    <cellStyle name="Currency 6 3 2 3 5 2" xfId="14933" xr:uid="{00000000-0005-0000-0000-0000D5A10000}"/>
    <cellStyle name="Currency 6 3 2 3 5 2 2" xfId="29467" xr:uid="{00000000-0005-0000-0000-0000D6A10000}"/>
    <cellStyle name="Currency 6 3 2 3 5 2 2 2" xfId="58473" xr:uid="{00000000-0005-0000-0000-0000D7A10000}"/>
    <cellStyle name="Currency 6 3 2 3 5 2 3" xfId="43974" xr:uid="{00000000-0005-0000-0000-0000D8A10000}"/>
    <cellStyle name="Currency 6 3 2 3 5 3" xfId="22219" xr:uid="{00000000-0005-0000-0000-0000D9A10000}"/>
    <cellStyle name="Currency 6 3 2 3 5 3 2" xfId="51225" xr:uid="{00000000-0005-0000-0000-0000DAA10000}"/>
    <cellStyle name="Currency 6 3 2 3 5 4" xfId="36726" xr:uid="{00000000-0005-0000-0000-0000DBA10000}"/>
    <cellStyle name="Currency 6 3 2 3 6" xfId="8725" xr:uid="{00000000-0005-0000-0000-0000DCA10000}"/>
    <cellStyle name="Currency 6 3 2 3 6 2" xfId="23259" xr:uid="{00000000-0005-0000-0000-0000DDA10000}"/>
    <cellStyle name="Currency 6 3 2 3 6 2 2" xfId="52265" xr:uid="{00000000-0005-0000-0000-0000DEA10000}"/>
    <cellStyle name="Currency 6 3 2 3 6 3" xfId="37766" xr:uid="{00000000-0005-0000-0000-0000DFA10000}"/>
    <cellStyle name="Currency 6 3 2 3 7" xfId="16011" xr:uid="{00000000-0005-0000-0000-0000E0A10000}"/>
    <cellStyle name="Currency 6 3 2 3 7 2" xfId="45017" xr:uid="{00000000-0005-0000-0000-0000E1A10000}"/>
    <cellStyle name="Currency 6 3 2 3 8" xfId="30518" xr:uid="{00000000-0005-0000-0000-0000E2A10000}"/>
    <cellStyle name="Currency 6 3 2 4" xfId="1981" xr:uid="{00000000-0005-0000-0000-0000E3A10000}"/>
    <cellStyle name="Currency 6 3 2 4 2" xfId="5085" xr:uid="{00000000-0005-0000-0000-0000E4A10000}"/>
    <cellStyle name="Currency 6 3 2 4 2 2" xfId="12357" xr:uid="{00000000-0005-0000-0000-0000E5A10000}"/>
    <cellStyle name="Currency 6 3 2 4 2 2 2" xfId="26891" xr:uid="{00000000-0005-0000-0000-0000E6A10000}"/>
    <cellStyle name="Currency 6 3 2 4 2 2 2 2" xfId="55897" xr:uid="{00000000-0005-0000-0000-0000E7A10000}"/>
    <cellStyle name="Currency 6 3 2 4 2 2 3" xfId="41398" xr:uid="{00000000-0005-0000-0000-0000E8A10000}"/>
    <cellStyle name="Currency 6 3 2 4 2 3" xfId="19643" xr:uid="{00000000-0005-0000-0000-0000E9A10000}"/>
    <cellStyle name="Currency 6 3 2 4 2 3 2" xfId="48649" xr:uid="{00000000-0005-0000-0000-0000EAA10000}"/>
    <cellStyle name="Currency 6 3 2 4 2 4" xfId="34150" xr:uid="{00000000-0005-0000-0000-0000EBA10000}"/>
    <cellStyle name="Currency 6 3 2 4 3" xfId="9253" xr:uid="{00000000-0005-0000-0000-0000ECA10000}"/>
    <cellStyle name="Currency 6 3 2 4 3 2" xfId="23787" xr:uid="{00000000-0005-0000-0000-0000EDA10000}"/>
    <cellStyle name="Currency 6 3 2 4 3 2 2" xfId="52793" xr:uid="{00000000-0005-0000-0000-0000EEA10000}"/>
    <cellStyle name="Currency 6 3 2 4 3 3" xfId="38294" xr:uid="{00000000-0005-0000-0000-0000EFA10000}"/>
    <cellStyle name="Currency 6 3 2 4 4" xfId="16539" xr:uid="{00000000-0005-0000-0000-0000F0A10000}"/>
    <cellStyle name="Currency 6 3 2 4 4 2" xfId="45545" xr:uid="{00000000-0005-0000-0000-0000F1A10000}"/>
    <cellStyle name="Currency 6 3 2 4 5" xfId="31046" xr:uid="{00000000-0005-0000-0000-0000F2A10000}"/>
    <cellStyle name="Currency 6 3 2 5" xfId="3013" xr:uid="{00000000-0005-0000-0000-0000F3A10000}"/>
    <cellStyle name="Currency 6 3 2 5 2" xfId="6117" xr:uid="{00000000-0005-0000-0000-0000F4A10000}"/>
    <cellStyle name="Currency 6 3 2 5 2 2" xfId="13389" xr:uid="{00000000-0005-0000-0000-0000F5A10000}"/>
    <cellStyle name="Currency 6 3 2 5 2 2 2" xfId="27923" xr:uid="{00000000-0005-0000-0000-0000F6A10000}"/>
    <cellStyle name="Currency 6 3 2 5 2 2 2 2" xfId="56929" xr:uid="{00000000-0005-0000-0000-0000F7A10000}"/>
    <cellStyle name="Currency 6 3 2 5 2 2 3" xfId="42430" xr:uid="{00000000-0005-0000-0000-0000F8A10000}"/>
    <cellStyle name="Currency 6 3 2 5 2 3" xfId="20675" xr:uid="{00000000-0005-0000-0000-0000F9A10000}"/>
    <cellStyle name="Currency 6 3 2 5 2 3 2" xfId="49681" xr:uid="{00000000-0005-0000-0000-0000FAA10000}"/>
    <cellStyle name="Currency 6 3 2 5 2 4" xfId="35182" xr:uid="{00000000-0005-0000-0000-0000FBA10000}"/>
    <cellStyle name="Currency 6 3 2 5 3" xfId="10285" xr:uid="{00000000-0005-0000-0000-0000FCA10000}"/>
    <cellStyle name="Currency 6 3 2 5 3 2" xfId="24819" xr:uid="{00000000-0005-0000-0000-0000FDA10000}"/>
    <cellStyle name="Currency 6 3 2 5 3 2 2" xfId="53825" xr:uid="{00000000-0005-0000-0000-0000FEA10000}"/>
    <cellStyle name="Currency 6 3 2 5 3 3" xfId="39326" xr:uid="{00000000-0005-0000-0000-0000FFA10000}"/>
    <cellStyle name="Currency 6 3 2 5 4" xfId="17571" xr:uid="{00000000-0005-0000-0000-000000A20000}"/>
    <cellStyle name="Currency 6 3 2 5 4 2" xfId="46577" xr:uid="{00000000-0005-0000-0000-000001A20000}"/>
    <cellStyle name="Currency 6 3 2 5 5" xfId="32078" xr:uid="{00000000-0005-0000-0000-000002A20000}"/>
    <cellStyle name="Currency 6 3 2 6" xfId="4045" xr:uid="{00000000-0005-0000-0000-000003A20000}"/>
    <cellStyle name="Currency 6 3 2 6 2" xfId="11317" xr:uid="{00000000-0005-0000-0000-000004A20000}"/>
    <cellStyle name="Currency 6 3 2 6 2 2" xfId="25851" xr:uid="{00000000-0005-0000-0000-000005A20000}"/>
    <cellStyle name="Currency 6 3 2 6 2 2 2" xfId="54857" xr:uid="{00000000-0005-0000-0000-000006A20000}"/>
    <cellStyle name="Currency 6 3 2 6 2 3" xfId="40358" xr:uid="{00000000-0005-0000-0000-000007A20000}"/>
    <cellStyle name="Currency 6 3 2 6 3" xfId="18603" xr:uid="{00000000-0005-0000-0000-000008A20000}"/>
    <cellStyle name="Currency 6 3 2 6 3 2" xfId="47609" xr:uid="{00000000-0005-0000-0000-000009A20000}"/>
    <cellStyle name="Currency 6 3 2 6 4" xfId="33110" xr:uid="{00000000-0005-0000-0000-00000AA20000}"/>
    <cellStyle name="Currency 6 3 2 7" xfId="7149" xr:uid="{00000000-0005-0000-0000-00000BA20000}"/>
    <cellStyle name="Currency 6 3 2 7 2" xfId="14421" xr:uid="{00000000-0005-0000-0000-00000CA20000}"/>
    <cellStyle name="Currency 6 3 2 7 2 2" xfId="28955" xr:uid="{00000000-0005-0000-0000-00000DA20000}"/>
    <cellStyle name="Currency 6 3 2 7 2 2 2" xfId="57961" xr:uid="{00000000-0005-0000-0000-00000EA20000}"/>
    <cellStyle name="Currency 6 3 2 7 2 3" xfId="43462" xr:uid="{00000000-0005-0000-0000-00000FA20000}"/>
    <cellStyle name="Currency 6 3 2 7 3" xfId="21707" xr:uid="{00000000-0005-0000-0000-000010A20000}"/>
    <cellStyle name="Currency 6 3 2 7 3 2" xfId="50713" xr:uid="{00000000-0005-0000-0000-000011A20000}"/>
    <cellStyle name="Currency 6 3 2 7 4" xfId="36214" xr:uid="{00000000-0005-0000-0000-000012A20000}"/>
    <cellStyle name="Currency 6 3 2 8" xfId="8213" xr:uid="{00000000-0005-0000-0000-000013A20000}"/>
    <cellStyle name="Currency 6 3 2 8 2" xfId="22747" xr:uid="{00000000-0005-0000-0000-000014A20000}"/>
    <cellStyle name="Currency 6 3 2 8 2 2" xfId="51753" xr:uid="{00000000-0005-0000-0000-000015A20000}"/>
    <cellStyle name="Currency 6 3 2 8 3" xfId="37254" xr:uid="{00000000-0005-0000-0000-000016A20000}"/>
    <cellStyle name="Currency 6 3 2 9" xfId="15499" xr:uid="{00000000-0005-0000-0000-000017A20000}"/>
    <cellStyle name="Currency 6 3 2 9 2" xfId="44505" xr:uid="{00000000-0005-0000-0000-000018A20000}"/>
    <cellStyle name="Currency 6 3 3" xfId="1139" xr:uid="{00000000-0005-0000-0000-000019A20000}"/>
    <cellStyle name="Currency 6 3 3 10" xfId="59564" xr:uid="{00000000-0005-0000-0000-00001AA20000}"/>
    <cellStyle name="Currency 6 3 3 2" xfId="1637" xr:uid="{00000000-0005-0000-0000-00001BA20000}"/>
    <cellStyle name="Currency 6 3 3 2 2" xfId="2696" xr:uid="{00000000-0005-0000-0000-00001CA20000}"/>
    <cellStyle name="Currency 6 3 3 2 2 2" xfId="5800" xr:uid="{00000000-0005-0000-0000-00001DA20000}"/>
    <cellStyle name="Currency 6 3 3 2 2 2 2" xfId="13072" xr:uid="{00000000-0005-0000-0000-00001EA20000}"/>
    <cellStyle name="Currency 6 3 3 2 2 2 2 2" xfId="27606" xr:uid="{00000000-0005-0000-0000-00001FA20000}"/>
    <cellStyle name="Currency 6 3 3 2 2 2 2 2 2" xfId="56612" xr:uid="{00000000-0005-0000-0000-000020A20000}"/>
    <cellStyle name="Currency 6 3 3 2 2 2 2 3" xfId="42113" xr:uid="{00000000-0005-0000-0000-000021A20000}"/>
    <cellStyle name="Currency 6 3 3 2 2 2 3" xfId="20358" xr:uid="{00000000-0005-0000-0000-000022A20000}"/>
    <cellStyle name="Currency 6 3 3 2 2 2 3 2" xfId="49364" xr:uid="{00000000-0005-0000-0000-000023A20000}"/>
    <cellStyle name="Currency 6 3 3 2 2 2 4" xfId="34865" xr:uid="{00000000-0005-0000-0000-000024A20000}"/>
    <cellStyle name="Currency 6 3 3 2 2 3" xfId="9968" xr:uid="{00000000-0005-0000-0000-000025A20000}"/>
    <cellStyle name="Currency 6 3 3 2 2 3 2" xfId="24502" xr:uid="{00000000-0005-0000-0000-000026A20000}"/>
    <cellStyle name="Currency 6 3 3 2 2 3 2 2" xfId="53508" xr:uid="{00000000-0005-0000-0000-000027A20000}"/>
    <cellStyle name="Currency 6 3 3 2 2 3 3" xfId="39009" xr:uid="{00000000-0005-0000-0000-000028A20000}"/>
    <cellStyle name="Currency 6 3 3 2 2 4" xfId="17254" xr:uid="{00000000-0005-0000-0000-000029A20000}"/>
    <cellStyle name="Currency 6 3 3 2 2 4 2" xfId="46260" xr:uid="{00000000-0005-0000-0000-00002AA20000}"/>
    <cellStyle name="Currency 6 3 3 2 2 5" xfId="31761" xr:uid="{00000000-0005-0000-0000-00002BA20000}"/>
    <cellStyle name="Currency 6 3 3 2 3" xfId="3728" xr:uid="{00000000-0005-0000-0000-00002CA20000}"/>
    <cellStyle name="Currency 6 3 3 2 3 2" xfId="6832" xr:uid="{00000000-0005-0000-0000-00002DA20000}"/>
    <cellStyle name="Currency 6 3 3 2 3 2 2" xfId="14104" xr:uid="{00000000-0005-0000-0000-00002EA20000}"/>
    <cellStyle name="Currency 6 3 3 2 3 2 2 2" xfId="28638" xr:uid="{00000000-0005-0000-0000-00002FA20000}"/>
    <cellStyle name="Currency 6 3 3 2 3 2 2 2 2" xfId="57644" xr:uid="{00000000-0005-0000-0000-000030A20000}"/>
    <cellStyle name="Currency 6 3 3 2 3 2 2 3" xfId="43145" xr:uid="{00000000-0005-0000-0000-000031A20000}"/>
    <cellStyle name="Currency 6 3 3 2 3 2 3" xfId="21390" xr:uid="{00000000-0005-0000-0000-000032A20000}"/>
    <cellStyle name="Currency 6 3 3 2 3 2 3 2" xfId="50396" xr:uid="{00000000-0005-0000-0000-000033A20000}"/>
    <cellStyle name="Currency 6 3 3 2 3 2 4" xfId="35897" xr:uid="{00000000-0005-0000-0000-000034A20000}"/>
    <cellStyle name="Currency 6 3 3 2 3 3" xfId="11000" xr:uid="{00000000-0005-0000-0000-000035A20000}"/>
    <cellStyle name="Currency 6 3 3 2 3 3 2" xfId="25534" xr:uid="{00000000-0005-0000-0000-000036A20000}"/>
    <cellStyle name="Currency 6 3 3 2 3 3 2 2" xfId="54540" xr:uid="{00000000-0005-0000-0000-000037A20000}"/>
    <cellStyle name="Currency 6 3 3 2 3 3 3" xfId="40041" xr:uid="{00000000-0005-0000-0000-000038A20000}"/>
    <cellStyle name="Currency 6 3 3 2 3 4" xfId="18286" xr:uid="{00000000-0005-0000-0000-000039A20000}"/>
    <cellStyle name="Currency 6 3 3 2 3 4 2" xfId="47292" xr:uid="{00000000-0005-0000-0000-00003AA20000}"/>
    <cellStyle name="Currency 6 3 3 2 3 5" xfId="32793" xr:uid="{00000000-0005-0000-0000-00003BA20000}"/>
    <cellStyle name="Currency 6 3 3 2 4" xfId="4760" xr:uid="{00000000-0005-0000-0000-00003CA20000}"/>
    <cellStyle name="Currency 6 3 3 2 4 2" xfId="12032" xr:uid="{00000000-0005-0000-0000-00003DA20000}"/>
    <cellStyle name="Currency 6 3 3 2 4 2 2" xfId="26566" xr:uid="{00000000-0005-0000-0000-00003EA20000}"/>
    <cellStyle name="Currency 6 3 3 2 4 2 2 2" xfId="55572" xr:uid="{00000000-0005-0000-0000-00003FA20000}"/>
    <cellStyle name="Currency 6 3 3 2 4 2 3" xfId="41073" xr:uid="{00000000-0005-0000-0000-000040A20000}"/>
    <cellStyle name="Currency 6 3 3 2 4 3" xfId="19318" xr:uid="{00000000-0005-0000-0000-000041A20000}"/>
    <cellStyle name="Currency 6 3 3 2 4 3 2" xfId="48324" xr:uid="{00000000-0005-0000-0000-000042A20000}"/>
    <cellStyle name="Currency 6 3 3 2 4 4" xfId="33825" xr:uid="{00000000-0005-0000-0000-000043A20000}"/>
    <cellStyle name="Currency 6 3 3 2 5" xfId="7864" xr:uid="{00000000-0005-0000-0000-000044A20000}"/>
    <cellStyle name="Currency 6 3 3 2 5 2" xfId="15136" xr:uid="{00000000-0005-0000-0000-000045A20000}"/>
    <cellStyle name="Currency 6 3 3 2 5 2 2" xfId="29670" xr:uid="{00000000-0005-0000-0000-000046A20000}"/>
    <cellStyle name="Currency 6 3 3 2 5 2 2 2" xfId="58676" xr:uid="{00000000-0005-0000-0000-000047A20000}"/>
    <cellStyle name="Currency 6 3 3 2 5 2 3" xfId="44177" xr:uid="{00000000-0005-0000-0000-000048A20000}"/>
    <cellStyle name="Currency 6 3 3 2 5 3" xfId="22422" xr:uid="{00000000-0005-0000-0000-000049A20000}"/>
    <cellStyle name="Currency 6 3 3 2 5 3 2" xfId="51428" xr:uid="{00000000-0005-0000-0000-00004AA20000}"/>
    <cellStyle name="Currency 6 3 3 2 5 4" xfId="36929" xr:uid="{00000000-0005-0000-0000-00004BA20000}"/>
    <cellStyle name="Currency 6 3 3 2 6" xfId="8928" xr:uid="{00000000-0005-0000-0000-00004CA20000}"/>
    <cellStyle name="Currency 6 3 3 2 6 2" xfId="23462" xr:uid="{00000000-0005-0000-0000-00004DA20000}"/>
    <cellStyle name="Currency 6 3 3 2 6 2 2" xfId="52468" xr:uid="{00000000-0005-0000-0000-00004EA20000}"/>
    <cellStyle name="Currency 6 3 3 2 6 3" xfId="37969" xr:uid="{00000000-0005-0000-0000-00004FA20000}"/>
    <cellStyle name="Currency 6 3 3 2 7" xfId="16214" xr:uid="{00000000-0005-0000-0000-000050A20000}"/>
    <cellStyle name="Currency 6 3 3 2 7 2" xfId="45220" xr:uid="{00000000-0005-0000-0000-000051A20000}"/>
    <cellStyle name="Currency 6 3 3 2 8" xfId="30721" xr:uid="{00000000-0005-0000-0000-000052A20000}"/>
    <cellStyle name="Currency 6 3 3 3" xfId="2184" xr:uid="{00000000-0005-0000-0000-000053A20000}"/>
    <cellStyle name="Currency 6 3 3 3 2" xfId="5288" xr:uid="{00000000-0005-0000-0000-000054A20000}"/>
    <cellStyle name="Currency 6 3 3 3 2 2" xfId="12560" xr:uid="{00000000-0005-0000-0000-000055A20000}"/>
    <cellStyle name="Currency 6 3 3 3 2 2 2" xfId="27094" xr:uid="{00000000-0005-0000-0000-000056A20000}"/>
    <cellStyle name="Currency 6 3 3 3 2 2 2 2" xfId="56100" xr:uid="{00000000-0005-0000-0000-000057A20000}"/>
    <cellStyle name="Currency 6 3 3 3 2 2 3" xfId="41601" xr:uid="{00000000-0005-0000-0000-000058A20000}"/>
    <cellStyle name="Currency 6 3 3 3 2 3" xfId="19846" xr:uid="{00000000-0005-0000-0000-000059A20000}"/>
    <cellStyle name="Currency 6 3 3 3 2 3 2" xfId="48852" xr:uid="{00000000-0005-0000-0000-00005AA20000}"/>
    <cellStyle name="Currency 6 3 3 3 2 4" xfId="34353" xr:uid="{00000000-0005-0000-0000-00005BA20000}"/>
    <cellStyle name="Currency 6 3 3 3 3" xfId="9456" xr:uid="{00000000-0005-0000-0000-00005CA20000}"/>
    <cellStyle name="Currency 6 3 3 3 3 2" xfId="23990" xr:uid="{00000000-0005-0000-0000-00005DA20000}"/>
    <cellStyle name="Currency 6 3 3 3 3 2 2" xfId="52996" xr:uid="{00000000-0005-0000-0000-00005EA20000}"/>
    <cellStyle name="Currency 6 3 3 3 3 3" xfId="38497" xr:uid="{00000000-0005-0000-0000-00005FA20000}"/>
    <cellStyle name="Currency 6 3 3 3 4" xfId="16742" xr:uid="{00000000-0005-0000-0000-000060A20000}"/>
    <cellStyle name="Currency 6 3 3 3 4 2" xfId="45748" xr:uid="{00000000-0005-0000-0000-000061A20000}"/>
    <cellStyle name="Currency 6 3 3 3 5" xfId="31249" xr:uid="{00000000-0005-0000-0000-000062A20000}"/>
    <cellStyle name="Currency 6 3 3 4" xfId="3216" xr:uid="{00000000-0005-0000-0000-000063A20000}"/>
    <cellStyle name="Currency 6 3 3 4 2" xfId="6320" xr:uid="{00000000-0005-0000-0000-000064A20000}"/>
    <cellStyle name="Currency 6 3 3 4 2 2" xfId="13592" xr:uid="{00000000-0005-0000-0000-000065A20000}"/>
    <cellStyle name="Currency 6 3 3 4 2 2 2" xfId="28126" xr:uid="{00000000-0005-0000-0000-000066A20000}"/>
    <cellStyle name="Currency 6 3 3 4 2 2 2 2" xfId="57132" xr:uid="{00000000-0005-0000-0000-000067A20000}"/>
    <cellStyle name="Currency 6 3 3 4 2 2 3" xfId="42633" xr:uid="{00000000-0005-0000-0000-000068A20000}"/>
    <cellStyle name="Currency 6 3 3 4 2 3" xfId="20878" xr:uid="{00000000-0005-0000-0000-000069A20000}"/>
    <cellStyle name="Currency 6 3 3 4 2 3 2" xfId="49884" xr:uid="{00000000-0005-0000-0000-00006AA20000}"/>
    <cellStyle name="Currency 6 3 3 4 2 4" xfId="35385" xr:uid="{00000000-0005-0000-0000-00006BA20000}"/>
    <cellStyle name="Currency 6 3 3 4 3" xfId="10488" xr:uid="{00000000-0005-0000-0000-00006CA20000}"/>
    <cellStyle name="Currency 6 3 3 4 3 2" xfId="25022" xr:uid="{00000000-0005-0000-0000-00006DA20000}"/>
    <cellStyle name="Currency 6 3 3 4 3 2 2" xfId="54028" xr:uid="{00000000-0005-0000-0000-00006EA20000}"/>
    <cellStyle name="Currency 6 3 3 4 3 3" xfId="39529" xr:uid="{00000000-0005-0000-0000-00006FA20000}"/>
    <cellStyle name="Currency 6 3 3 4 4" xfId="17774" xr:uid="{00000000-0005-0000-0000-000070A20000}"/>
    <cellStyle name="Currency 6 3 3 4 4 2" xfId="46780" xr:uid="{00000000-0005-0000-0000-000071A20000}"/>
    <cellStyle name="Currency 6 3 3 4 5" xfId="32281" xr:uid="{00000000-0005-0000-0000-000072A20000}"/>
    <cellStyle name="Currency 6 3 3 5" xfId="4248" xr:uid="{00000000-0005-0000-0000-000073A20000}"/>
    <cellStyle name="Currency 6 3 3 5 2" xfId="11520" xr:uid="{00000000-0005-0000-0000-000074A20000}"/>
    <cellStyle name="Currency 6 3 3 5 2 2" xfId="26054" xr:uid="{00000000-0005-0000-0000-000075A20000}"/>
    <cellStyle name="Currency 6 3 3 5 2 2 2" xfId="55060" xr:uid="{00000000-0005-0000-0000-000076A20000}"/>
    <cellStyle name="Currency 6 3 3 5 2 3" xfId="40561" xr:uid="{00000000-0005-0000-0000-000077A20000}"/>
    <cellStyle name="Currency 6 3 3 5 3" xfId="18806" xr:uid="{00000000-0005-0000-0000-000078A20000}"/>
    <cellStyle name="Currency 6 3 3 5 3 2" xfId="47812" xr:uid="{00000000-0005-0000-0000-000079A20000}"/>
    <cellStyle name="Currency 6 3 3 5 4" xfId="33313" xr:uid="{00000000-0005-0000-0000-00007AA20000}"/>
    <cellStyle name="Currency 6 3 3 6" xfId="7352" xr:uid="{00000000-0005-0000-0000-00007BA20000}"/>
    <cellStyle name="Currency 6 3 3 6 2" xfId="14624" xr:uid="{00000000-0005-0000-0000-00007CA20000}"/>
    <cellStyle name="Currency 6 3 3 6 2 2" xfId="29158" xr:uid="{00000000-0005-0000-0000-00007DA20000}"/>
    <cellStyle name="Currency 6 3 3 6 2 2 2" xfId="58164" xr:uid="{00000000-0005-0000-0000-00007EA20000}"/>
    <cellStyle name="Currency 6 3 3 6 2 3" xfId="43665" xr:uid="{00000000-0005-0000-0000-00007FA20000}"/>
    <cellStyle name="Currency 6 3 3 6 3" xfId="21910" xr:uid="{00000000-0005-0000-0000-000080A20000}"/>
    <cellStyle name="Currency 6 3 3 6 3 2" xfId="50916" xr:uid="{00000000-0005-0000-0000-000081A20000}"/>
    <cellStyle name="Currency 6 3 3 6 4" xfId="36417" xr:uid="{00000000-0005-0000-0000-000082A20000}"/>
    <cellStyle name="Currency 6 3 3 7" xfId="8416" xr:uid="{00000000-0005-0000-0000-000083A20000}"/>
    <cellStyle name="Currency 6 3 3 7 2" xfId="22950" xr:uid="{00000000-0005-0000-0000-000084A20000}"/>
    <cellStyle name="Currency 6 3 3 7 2 2" xfId="51956" xr:uid="{00000000-0005-0000-0000-000085A20000}"/>
    <cellStyle name="Currency 6 3 3 7 3" xfId="37457" xr:uid="{00000000-0005-0000-0000-000086A20000}"/>
    <cellStyle name="Currency 6 3 3 8" xfId="15702" xr:uid="{00000000-0005-0000-0000-000087A20000}"/>
    <cellStyle name="Currency 6 3 3 8 2" xfId="44708" xr:uid="{00000000-0005-0000-0000-000088A20000}"/>
    <cellStyle name="Currency 6 3 3 9" xfId="30209" xr:uid="{00000000-0005-0000-0000-000089A20000}"/>
    <cellStyle name="Currency 6 3 4" xfId="1048" xr:uid="{00000000-0005-0000-0000-00008AA20000}"/>
    <cellStyle name="Currency 6 3 4 2" xfId="1538" xr:uid="{00000000-0005-0000-0000-00008BA20000}"/>
    <cellStyle name="Currency 6 3 4 2 2" xfId="2596" xr:uid="{00000000-0005-0000-0000-00008CA20000}"/>
    <cellStyle name="Currency 6 3 4 2 2 2" xfId="5700" xr:uid="{00000000-0005-0000-0000-00008DA20000}"/>
    <cellStyle name="Currency 6 3 4 2 2 2 2" xfId="12972" xr:uid="{00000000-0005-0000-0000-00008EA20000}"/>
    <cellStyle name="Currency 6 3 4 2 2 2 2 2" xfId="27506" xr:uid="{00000000-0005-0000-0000-00008FA20000}"/>
    <cellStyle name="Currency 6 3 4 2 2 2 2 2 2" xfId="56512" xr:uid="{00000000-0005-0000-0000-000090A20000}"/>
    <cellStyle name="Currency 6 3 4 2 2 2 2 3" xfId="42013" xr:uid="{00000000-0005-0000-0000-000091A20000}"/>
    <cellStyle name="Currency 6 3 4 2 2 2 3" xfId="20258" xr:uid="{00000000-0005-0000-0000-000092A20000}"/>
    <cellStyle name="Currency 6 3 4 2 2 2 3 2" xfId="49264" xr:uid="{00000000-0005-0000-0000-000093A20000}"/>
    <cellStyle name="Currency 6 3 4 2 2 2 4" xfId="34765" xr:uid="{00000000-0005-0000-0000-000094A20000}"/>
    <cellStyle name="Currency 6 3 4 2 2 3" xfId="9868" xr:uid="{00000000-0005-0000-0000-000095A20000}"/>
    <cellStyle name="Currency 6 3 4 2 2 3 2" xfId="24402" xr:uid="{00000000-0005-0000-0000-000096A20000}"/>
    <cellStyle name="Currency 6 3 4 2 2 3 2 2" xfId="53408" xr:uid="{00000000-0005-0000-0000-000097A20000}"/>
    <cellStyle name="Currency 6 3 4 2 2 3 3" xfId="38909" xr:uid="{00000000-0005-0000-0000-000098A20000}"/>
    <cellStyle name="Currency 6 3 4 2 2 4" xfId="17154" xr:uid="{00000000-0005-0000-0000-000099A20000}"/>
    <cellStyle name="Currency 6 3 4 2 2 4 2" xfId="46160" xr:uid="{00000000-0005-0000-0000-00009AA20000}"/>
    <cellStyle name="Currency 6 3 4 2 2 5" xfId="31661" xr:uid="{00000000-0005-0000-0000-00009BA20000}"/>
    <cellStyle name="Currency 6 3 4 2 3" xfId="3628" xr:uid="{00000000-0005-0000-0000-00009CA20000}"/>
    <cellStyle name="Currency 6 3 4 2 3 2" xfId="6732" xr:uid="{00000000-0005-0000-0000-00009DA20000}"/>
    <cellStyle name="Currency 6 3 4 2 3 2 2" xfId="14004" xr:uid="{00000000-0005-0000-0000-00009EA20000}"/>
    <cellStyle name="Currency 6 3 4 2 3 2 2 2" xfId="28538" xr:uid="{00000000-0005-0000-0000-00009FA20000}"/>
    <cellStyle name="Currency 6 3 4 2 3 2 2 2 2" xfId="57544" xr:uid="{00000000-0005-0000-0000-0000A0A20000}"/>
    <cellStyle name="Currency 6 3 4 2 3 2 2 3" xfId="43045" xr:uid="{00000000-0005-0000-0000-0000A1A20000}"/>
    <cellStyle name="Currency 6 3 4 2 3 2 3" xfId="21290" xr:uid="{00000000-0005-0000-0000-0000A2A20000}"/>
    <cellStyle name="Currency 6 3 4 2 3 2 3 2" xfId="50296" xr:uid="{00000000-0005-0000-0000-0000A3A20000}"/>
    <cellStyle name="Currency 6 3 4 2 3 2 4" xfId="35797" xr:uid="{00000000-0005-0000-0000-0000A4A20000}"/>
    <cellStyle name="Currency 6 3 4 2 3 3" xfId="10900" xr:uid="{00000000-0005-0000-0000-0000A5A20000}"/>
    <cellStyle name="Currency 6 3 4 2 3 3 2" xfId="25434" xr:uid="{00000000-0005-0000-0000-0000A6A20000}"/>
    <cellStyle name="Currency 6 3 4 2 3 3 2 2" xfId="54440" xr:uid="{00000000-0005-0000-0000-0000A7A20000}"/>
    <cellStyle name="Currency 6 3 4 2 3 3 3" xfId="39941" xr:uid="{00000000-0005-0000-0000-0000A8A20000}"/>
    <cellStyle name="Currency 6 3 4 2 3 4" xfId="18186" xr:uid="{00000000-0005-0000-0000-0000A9A20000}"/>
    <cellStyle name="Currency 6 3 4 2 3 4 2" xfId="47192" xr:uid="{00000000-0005-0000-0000-0000AAA20000}"/>
    <cellStyle name="Currency 6 3 4 2 3 5" xfId="32693" xr:uid="{00000000-0005-0000-0000-0000ABA20000}"/>
    <cellStyle name="Currency 6 3 4 2 4" xfId="4660" xr:uid="{00000000-0005-0000-0000-0000ACA20000}"/>
    <cellStyle name="Currency 6 3 4 2 4 2" xfId="11932" xr:uid="{00000000-0005-0000-0000-0000ADA20000}"/>
    <cellStyle name="Currency 6 3 4 2 4 2 2" xfId="26466" xr:uid="{00000000-0005-0000-0000-0000AEA20000}"/>
    <cellStyle name="Currency 6 3 4 2 4 2 2 2" xfId="55472" xr:uid="{00000000-0005-0000-0000-0000AFA20000}"/>
    <cellStyle name="Currency 6 3 4 2 4 2 3" xfId="40973" xr:uid="{00000000-0005-0000-0000-0000B0A20000}"/>
    <cellStyle name="Currency 6 3 4 2 4 3" xfId="19218" xr:uid="{00000000-0005-0000-0000-0000B1A20000}"/>
    <cellStyle name="Currency 6 3 4 2 4 3 2" xfId="48224" xr:uid="{00000000-0005-0000-0000-0000B2A20000}"/>
    <cellStyle name="Currency 6 3 4 2 4 4" xfId="33725" xr:uid="{00000000-0005-0000-0000-0000B3A20000}"/>
    <cellStyle name="Currency 6 3 4 2 5" xfId="7764" xr:uid="{00000000-0005-0000-0000-0000B4A20000}"/>
    <cellStyle name="Currency 6 3 4 2 5 2" xfId="15036" xr:uid="{00000000-0005-0000-0000-0000B5A20000}"/>
    <cellStyle name="Currency 6 3 4 2 5 2 2" xfId="29570" xr:uid="{00000000-0005-0000-0000-0000B6A20000}"/>
    <cellStyle name="Currency 6 3 4 2 5 2 2 2" xfId="58576" xr:uid="{00000000-0005-0000-0000-0000B7A20000}"/>
    <cellStyle name="Currency 6 3 4 2 5 2 3" xfId="44077" xr:uid="{00000000-0005-0000-0000-0000B8A20000}"/>
    <cellStyle name="Currency 6 3 4 2 5 3" xfId="22322" xr:uid="{00000000-0005-0000-0000-0000B9A20000}"/>
    <cellStyle name="Currency 6 3 4 2 5 3 2" xfId="51328" xr:uid="{00000000-0005-0000-0000-0000BAA20000}"/>
    <cellStyle name="Currency 6 3 4 2 5 4" xfId="36829" xr:uid="{00000000-0005-0000-0000-0000BBA20000}"/>
    <cellStyle name="Currency 6 3 4 2 6" xfId="8828" xr:uid="{00000000-0005-0000-0000-0000BCA20000}"/>
    <cellStyle name="Currency 6 3 4 2 6 2" xfId="23362" xr:uid="{00000000-0005-0000-0000-0000BDA20000}"/>
    <cellStyle name="Currency 6 3 4 2 6 2 2" xfId="52368" xr:uid="{00000000-0005-0000-0000-0000BEA20000}"/>
    <cellStyle name="Currency 6 3 4 2 6 3" xfId="37869" xr:uid="{00000000-0005-0000-0000-0000BFA20000}"/>
    <cellStyle name="Currency 6 3 4 2 7" xfId="16114" xr:uid="{00000000-0005-0000-0000-0000C0A20000}"/>
    <cellStyle name="Currency 6 3 4 2 7 2" xfId="45120" xr:uid="{00000000-0005-0000-0000-0000C1A20000}"/>
    <cellStyle name="Currency 6 3 4 2 8" xfId="30621" xr:uid="{00000000-0005-0000-0000-0000C2A20000}"/>
    <cellStyle name="Currency 6 3 4 3" xfId="2084" xr:uid="{00000000-0005-0000-0000-0000C3A20000}"/>
    <cellStyle name="Currency 6 3 4 3 2" xfId="5188" xr:uid="{00000000-0005-0000-0000-0000C4A20000}"/>
    <cellStyle name="Currency 6 3 4 3 2 2" xfId="12460" xr:uid="{00000000-0005-0000-0000-0000C5A20000}"/>
    <cellStyle name="Currency 6 3 4 3 2 2 2" xfId="26994" xr:uid="{00000000-0005-0000-0000-0000C6A20000}"/>
    <cellStyle name="Currency 6 3 4 3 2 2 2 2" xfId="56000" xr:uid="{00000000-0005-0000-0000-0000C7A20000}"/>
    <cellStyle name="Currency 6 3 4 3 2 2 3" xfId="41501" xr:uid="{00000000-0005-0000-0000-0000C8A20000}"/>
    <cellStyle name="Currency 6 3 4 3 2 3" xfId="19746" xr:uid="{00000000-0005-0000-0000-0000C9A20000}"/>
    <cellStyle name="Currency 6 3 4 3 2 3 2" xfId="48752" xr:uid="{00000000-0005-0000-0000-0000CAA20000}"/>
    <cellStyle name="Currency 6 3 4 3 2 4" xfId="34253" xr:uid="{00000000-0005-0000-0000-0000CBA20000}"/>
    <cellStyle name="Currency 6 3 4 3 3" xfId="9356" xr:uid="{00000000-0005-0000-0000-0000CCA20000}"/>
    <cellStyle name="Currency 6 3 4 3 3 2" xfId="23890" xr:uid="{00000000-0005-0000-0000-0000CDA20000}"/>
    <cellStyle name="Currency 6 3 4 3 3 2 2" xfId="52896" xr:uid="{00000000-0005-0000-0000-0000CEA20000}"/>
    <cellStyle name="Currency 6 3 4 3 3 3" xfId="38397" xr:uid="{00000000-0005-0000-0000-0000CFA20000}"/>
    <cellStyle name="Currency 6 3 4 3 4" xfId="16642" xr:uid="{00000000-0005-0000-0000-0000D0A20000}"/>
    <cellStyle name="Currency 6 3 4 3 4 2" xfId="45648" xr:uid="{00000000-0005-0000-0000-0000D1A20000}"/>
    <cellStyle name="Currency 6 3 4 3 5" xfId="31149" xr:uid="{00000000-0005-0000-0000-0000D2A20000}"/>
    <cellStyle name="Currency 6 3 4 4" xfId="3116" xr:uid="{00000000-0005-0000-0000-0000D3A20000}"/>
    <cellStyle name="Currency 6 3 4 4 2" xfId="6220" xr:uid="{00000000-0005-0000-0000-0000D4A20000}"/>
    <cellStyle name="Currency 6 3 4 4 2 2" xfId="13492" xr:uid="{00000000-0005-0000-0000-0000D5A20000}"/>
    <cellStyle name="Currency 6 3 4 4 2 2 2" xfId="28026" xr:uid="{00000000-0005-0000-0000-0000D6A20000}"/>
    <cellStyle name="Currency 6 3 4 4 2 2 2 2" xfId="57032" xr:uid="{00000000-0005-0000-0000-0000D7A20000}"/>
    <cellStyle name="Currency 6 3 4 4 2 2 3" xfId="42533" xr:uid="{00000000-0005-0000-0000-0000D8A20000}"/>
    <cellStyle name="Currency 6 3 4 4 2 3" xfId="20778" xr:uid="{00000000-0005-0000-0000-0000D9A20000}"/>
    <cellStyle name="Currency 6 3 4 4 2 3 2" xfId="49784" xr:uid="{00000000-0005-0000-0000-0000DAA20000}"/>
    <cellStyle name="Currency 6 3 4 4 2 4" xfId="35285" xr:uid="{00000000-0005-0000-0000-0000DBA20000}"/>
    <cellStyle name="Currency 6 3 4 4 3" xfId="10388" xr:uid="{00000000-0005-0000-0000-0000DCA20000}"/>
    <cellStyle name="Currency 6 3 4 4 3 2" xfId="24922" xr:uid="{00000000-0005-0000-0000-0000DDA20000}"/>
    <cellStyle name="Currency 6 3 4 4 3 2 2" xfId="53928" xr:uid="{00000000-0005-0000-0000-0000DEA20000}"/>
    <cellStyle name="Currency 6 3 4 4 3 3" xfId="39429" xr:uid="{00000000-0005-0000-0000-0000DFA20000}"/>
    <cellStyle name="Currency 6 3 4 4 4" xfId="17674" xr:uid="{00000000-0005-0000-0000-0000E0A20000}"/>
    <cellStyle name="Currency 6 3 4 4 4 2" xfId="46680" xr:uid="{00000000-0005-0000-0000-0000E1A20000}"/>
    <cellStyle name="Currency 6 3 4 4 5" xfId="32181" xr:uid="{00000000-0005-0000-0000-0000E2A20000}"/>
    <cellStyle name="Currency 6 3 4 5" xfId="4148" xr:uid="{00000000-0005-0000-0000-0000E3A20000}"/>
    <cellStyle name="Currency 6 3 4 5 2" xfId="11420" xr:uid="{00000000-0005-0000-0000-0000E4A20000}"/>
    <cellStyle name="Currency 6 3 4 5 2 2" xfId="25954" xr:uid="{00000000-0005-0000-0000-0000E5A20000}"/>
    <cellStyle name="Currency 6 3 4 5 2 2 2" xfId="54960" xr:uid="{00000000-0005-0000-0000-0000E6A20000}"/>
    <cellStyle name="Currency 6 3 4 5 2 3" xfId="40461" xr:uid="{00000000-0005-0000-0000-0000E7A20000}"/>
    <cellStyle name="Currency 6 3 4 5 3" xfId="18706" xr:uid="{00000000-0005-0000-0000-0000E8A20000}"/>
    <cellStyle name="Currency 6 3 4 5 3 2" xfId="47712" xr:uid="{00000000-0005-0000-0000-0000E9A20000}"/>
    <cellStyle name="Currency 6 3 4 5 4" xfId="33213" xr:uid="{00000000-0005-0000-0000-0000EAA20000}"/>
    <cellStyle name="Currency 6 3 4 6" xfId="7252" xr:uid="{00000000-0005-0000-0000-0000EBA20000}"/>
    <cellStyle name="Currency 6 3 4 6 2" xfId="14524" xr:uid="{00000000-0005-0000-0000-0000ECA20000}"/>
    <cellStyle name="Currency 6 3 4 6 2 2" xfId="29058" xr:uid="{00000000-0005-0000-0000-0000EDA20000}"/>
    <cellStyle name="Currency 6 3 4 6 2 2 2" xfId="58064" xr:uid="{00000000-0005-0000-0000-0000EEA20000}"/>
    <cellStyle name="Currency 6 3 4 6 2 3" xfId="43565" xr:uid="{00000000-0005-0000-0000-0000EFA20000}"/>
    <cellStyle name="Currency 6 3 4 6 3" xfId="21810" xr:uid="{00000000-0005-0000-0000-0000F0A20000}"/>
    <cellStyle name="Currency 6 3 4 6 3 2" xfId="50816" xr:uid="{00000000-0005-0000-0000-0000F1A20000}"/>
    <cellStyle name="Currency 6 3 4 6 4" xfId="36317" xr:uid="{00000000-0005-0000-0000-0000F2A20000}"/>
    <cellStyle name="Currency 6 3 4 7" xfId="8316" xr:uid="{00000000-0005-0000-0000-0000F3A20000}"/>
    <cellStyle name="Currency 6 3 4 7 2" xfId="22850" xr:uid="{00000000-0005-0000-0000-0000F4A20000}"/>
    <cellStyle name="Currency 6 3 4 7 2 2" xfId="51856" xr:uid="{00000000-0005-0000-0000-0000F5A20000}"/>
    <cellStyle name="Currency 6 3 4 7 3" xfId="37357" xr:uid="{00000000-0005-0000-0000-0000F6A20000}"/>
    <cellStyle name="Currency 6 3 4 8" xfId="15602" xr:uid="{00000000-0005-0000-0000-0000F7A20000}"/>
    <cellStyle name="Currency 6 3 4 8 2" xfId="44608" xr:uid="{00000000-0005-0000-0000-0000F8A20000}"/>
    <cellStyle name="Currency 6 3 4 9" xfId="30109" xr:uid="{00000000-0005-0000-0000-0000F9A20000}"/>
    <cellStyle name="Currency 6 3 5" xfId="1333" xr:uid="{00000000-0005-0000-0000-0000FAA20000}"/>
    <cellStyle name="Currency 6 3 5 2" xfId="2390" xr:uid="{00000000-0005-0000-0000-0000FBA20000}"/>
    <cellStyle name="Currency 6 3 5 2 2" xfId="5494" xr:uid="{00000000-0005-0000-0000-0000FCA20000}"/>
    <cellStyle name="Currency 6 3 5 2 2 2" xfId="12766" xr:uid="{00000000-0005-0000-0000-0000FDA20000}"/>
    <cellStyle name="Currency 6 3 5 2 2 2 2" xfId="27300" xr:uid="{00000000-0005-0000-0000-0000FEA20000}"/>
    <cellStyle name="Currency 6 3 5 2 2 2 2 2" xfId="56306" xr:uid="{00000000-0005-0000-0000-0000FFA20000}"/>
    <cellStyle name="Currency 6 3 5 2 2 2 3" xfId="41807" xr:uid="{00000000-0005-0000-0000-000000A30000}"/>
    <cellStyle name="Currency 6 3 5 2 2 3" xfId="20052" xr:uid="{00000000-0005-0000-0000-000001A30000}"/>
    <cellStyle name="Currency 6 3 5 2 2 3 2" xfId="49058" xr:uid="{00000000-0005-0000-0000-000002A30000}"/>
    <cellStyle name="Currency 6 3 5 2 2 4" xfId="34559" xr:uid="{00000000-0005-0000-0000-000003A30000}"/>
    <cellStyle name="Currency 6 3 5 2 3" xfId="9662" xr:uid="{00000000-0005-0000-0000-000004A30000}"/>
    <cellStyle name="Currency 6 3 5 2 3 2" xfId="24196" xr:uid="{00000000-0005-0000-0000-000005A30000}"/>
    <cellStyle name="Currency 6 3 5 2 3 2 2" xfId="53202" xr:uid="{00000000-0005-0000-0000-000006A30000}"/>
    <cellStyle name="Currency 6 3 5 2 3 3" xfId="38703" xr:uid="{00000000-0005-0000-0000-000007A30000}"/>
    <cellStyle name="Currency 6 3 5 2 4" xfId="16948" xr:uid="{00000000-0005-0000-0000-000008A30000}"/>
    <cellStyle name="Currency 6 3 5 2 4 2" xfId="45954" xr:uid="{00000000-0005-0000-0000-000009A30000}"/>
    <cellStyle name="Currency 6 3 5 2 5" xfId="31455" xr:uid="{00000000-0005-0000-0000-00000AA30000}"/>
    <cellStyle name="Currency 6 3 5 3" xfId="3422" xr:uid="{00000000-0005-0000-0000-00000BA30000}"/>
    <cellStyle name="Currency 6 3 5 3 2" xfId="6526" xr:uid="{00000000-0005-0000-0000-00000CA30000}"/>
    <cellStyle name="Currency 6 3 5 3 2 2" xfId="13798" xr:uid="{00000000-0005-0000-0000-00000DA30000}"/>
    <cellStyle name="Currency 6 3 5 3 2 2 2" xfId="28332" xr:uid="{00000000-0005-0000-0000-00000EA30000}"/>
    <cellStyle name="Currency 6 3 5 3 2 2 2 2" xfId="57338" xr:uid="{00000000-0005-0000-0000-00000FA30000}"/>
    <cellStyle name="Currency 6 3 5 3 2 2 3" xfId="42839" xr:uid="{00000000-0005-0000-0000-000010A30000}"/>
    <cellStyle name="Currency 6 3 5 3 2 3" xfId="21084" xr:uid="{00000000-0005-0000-0000-000011A30000}"/>
    <cellStyle name="Currency 6 3 5 3 2 3 2" xfId="50090" xr:uid="{00000000-0005-0000-0000-000012A30000}"/>
    <cellStyle name="Currency 6 3 5 3 2 4" xfId="35591" xr:uid="{00000000-0005-0000-0000-000013A30000}"/>
    <cellStyle name="Currency 6 3 5 3 3" xfId="10694" xr:uid="{00000000-0005-0000-0000-000014A30000}"/>
    <cellStyle name="Currency 6 3 5 3 3 2" xfId="25228" xr:uid="{00000000-0005-0000-0000-000015A30000}"/>
    <cellStyle name="Currency 6 3 5 3 3 2 2" xfId="54234" xr:uid="{00000000-0005-0000-0000-000016A30000}"/>
    <cellStyle name="Currency 6 3 5 3 3 3" xfId="39735" xr:uid="{00000000-0005-0000-0000-000017A30000}"/>
    <cellStyle name="Currency 6 3 5 3 4" xfId="17980" xr:uid="{00000000-0005-0000-0000-000018A30000}"/>
    <cellStyle name="Currency 6 3 5 3 4 2" xfId="46986" xr:uid="{00000000-0005-0000-0000-000019A30000}"/>
    <cellStyle name="Currency 6 3 5 3 5" xfId="32487" xr:uid="{00000000-0005-0000-0000-00001AA30000}"/>
    <cellStyle name="Currency 6 3 5 4" xfId="4454" xr:uid="{00000000-0005-0000-0000-00001BA30000}"/>
    <cellStyle name="Currency 6 3 5 4 2" xfId="11726" xr:uid="{00000000-0005-0000-0000-00001CA30000}"/>
    <cellStyle name="Currency 6 3 5 4 2 2" xfId="26260" xr:uid="{00000000-0005-0000-0000-00001DA30000}"/>
    <cellStyle name="Currency 6 3 5 4 2 2 2" xfId="55266" xr:uid="{00000000-0005-0000-0000-00001EA30000}"/>
    <cellStyle name="Currency 6 3 5 4 2 3" xfId="40767" xr:uid="{00000000-0005-0000-0000-00001FA30000}"/>
    <cellStyle name="Currency 6 3 5 4 3" xfId="19012" xr:uid="{00000000-0005-0000-0000-000020A30000}"/>
    <cellStyle name="Currency 6 3 5 4 3 2" xfId="48018" xr:uid="{00000000-0005-0000-0000-000021A30000}"/>
    <cellStyle name="Currency 6 3 5 4 4" xfId="33519" xr:uid="{00000000-0005-0000-0000-000022A30000}"/>
    <cellStyle name="Currency 6 3 5 5" xfId="7558" xr:uid="{00000000-0005-0000-0000-000023A30000}"/>
    <cellStyle name="Currency 6 3 5 5 2" xfId="14830" xr:uid="{00000000-0005-0000-0000-000024A30000}"/>
    <cellStyle name="Currency 6 3 5 5 2 2" xfId="29364" xr:uid="{00000000-0005-0000-0000-000025A30000}"/>
    <cellStyle name="Currency 6 3 5 5 2 2 2" xfId="58370" xr:uid="{00000000-0005-0000-0000-000026A30000}"/>
    <cellStyle name="Currency 6 3 5 5 2 3" xfId="43871" xr:uid="{00000000-0005-0000-0000-000027A30000}"/>
    <cellStyle name="Currency 6 3 5 5 3" xfId="22116" xr:uid="{00000000-0005-0000-0000-000028A30000}"/>
    <cellStyle name="Currency 6 3 5 5 3 2" xfId="51122" xr:uid="{00000000-0005-0000-0000-000029A30000}"/>
    <cellStyle name="Currency 6 3 5 5 4" xfId="36623" xr:uid="{00000000-0005-0000-0000-00002AA30000}"/>
    <cellStyle name="Currency 6 3 5 6" xfId="8622" xr:uid="{00000000-0005-0000-0000-00002BA30000}"/>
    <cellStyle name="Currency 6 3 5 6 2" xfId="23156" xr:uid="{00000000-0005-0000-0000-00002CA30000}"/>
    <cellStyle name="Currency 6 3 5 6 2 2" xfId="52162" xr:uid="{00000000-0005-0000-0000-00002DA30000}"/>
    <cellStyle name="Currency 6 3 5 6 3" xfId="37663" xr:uid="{00000000-0005-0000-0000-00002EA30000}"/>
    <cellStyle name="Currency 6 3 5 7" xfId="15908" xr:uid="{00000000-0005-0000-0000-00002FA30000}"/>
    <cellStyle name="Currency 6 3 5 7 2" xfId="44914" xr:uid="{00000000-0005-0000-0000-000030A30000}"/>
    <cellStyle name="Currency 6 3 5 8" xfId="30415" xr:uid="{00000000-0005-0000-0000-000031A30000}"/>
    <cellStyle name="Currency 6 3 6" xfId="1878" xr:uid="{00000000-0005-0000-0000-000032A30000}"/>
    <cellStyle name="Currency 6 3 6 2" xfId="4982" xr:uid="{00000000-0005-0000-0000-000033A30000}"/>
    <cellStyle name="Currency 6 3 6 2 2" xfId="12254" xr:uid="{00000000-0005-0000-0000-000034A30000}"/>
    <cellStyle name="Currency 6 3 6 2 2 2" xfId="26788" xr:uid="{00000000-0005-0000-0000-000035A30000}"/>
    <cellStyle name="Currency 6 3 6 2 2 2 2" xfId="55794" xr:uid="{00000000-0005-0000-0000-000036A30000}"/>
    <cellStyle name="Currency 6 3 6 2 2 3" xfId="41295" xr:uid="{00000000-0005-0000-0000-000037A30000}"/>
    <cellStyle name="Currency 6 3 6 2 3" xfId="19540" xr:uid="{00000000-0005-0000-0000-000038A30000}"/>
    <cellStyle name="Currency 6 3 6 2 3 2" xfId="48546" xr:uid="{00000000-0005-0000-0000-000039A30000}"/>
    <cellStyle name="Currency 6 3 6 2 4" xfId="34047" xr:uid="{00000000-0005-0000-0000-00003AA30000}"/>
    <cellStyle name="Currency 6 3 6 3" xfId="9150" xr:uid="{00000000-0005-0000-0000-00003BA30000}"/>
    <cellStyle name="Currency 6 3 6 3 2" xfId="23684" xr:uid="{00000000-0005-0000-0000-00003CA30000}"/>
    <cellStyle name="Currency 6 3 6 3 2 2" xfId="52690" xr:uid="{00000000-0005-0000-0000-00003DA30000}"/>
    <cellStyle name="Currency 6 3 6 3 3" xfId="38191" xr:uid="{00000000-0005-0000-0000-00003EA30000}"/>
    <cellStyle name="Currency 6 3 6 4" xfId="16436" xr:uid="{00000000-0005-0000-0000-00003FA30000}"/>
    <cellStyle name="Currency 6 3 6 4 2" xfId="45442" xr:uid="{00000000-0005-0000-0000-000040A30000}"/>
    <cellStyle name="Currency 6 3 6 5" xfId="30943" xr:uid="{00000000-0005-0000-0000-000041A30000}"/>
    <cellStyle name="Currency 6 3 7" xfId="2910" xr:uid="{00000000-0005-0000-0000-000042A30000}"/>
    <cellStyle name="Currency 6 3 7 2" xfId="6014" xr:uid="{00000000-0005-0000-0000-000043A30000}"/>
    <cellStyle name="Currency 6 3 7 2 2" xfId="13286" xr:uid="{00000000-0005-0000-0000-000044A30000}"/>
    <cellStyle name="Currency 6 3 7 2 2 2" xfId="27820" xr:uid="{00000000-0005-0000-0000-000045A30000}"/>
    <cellStyle name="Currency 6 3 7 2 2 2 2" xfId="56826" xr:uid="{00000000-0005-0000-0000-000046A30000}"/>
    <cellStyle name="Currency 6 3 7 2 2 3" xfId="42327" xr:uid="{00000000-0005-0000-0000-000047A30000}"/>
    <cellStyle name="Currency 6 3 7 2 3" xfId="20572" xr:uid="{00000000-0005-0000-0000-000048A30000}"/>
    <cellStyle name="Currency 6 3 7 2 3 2" xfId="49578" xr:uid="{00000000-0005-0000-0000-000049A30000}"/>
    <cellStyle name="Currency 6 3 7 2 4" xfId="35079" xr:uid="{00000000-0005-0000-0000-00004AA30000}"/>
    <cellStyle name="Currency 6 3 7 3" xfId="10182" xr:uid="{00000000-0005-0000-0000-00004BA30000}"/>
    <cellStyle name="Currency 6 3 7 3 2" xfId="24716" xr:uid="{00000000-0005-0000-0000-00004CA30000}"/>
    <cellStyle name="Currency 6 3 7 3 2 2" xfId="53722" xr:uid="{00000000-0005-0000-0000-00004DA30000}"/>
    <cellStyle name="Currency 6 3 7 3 3" xfId="39223" xr:uid="{00000000-0005-0000-0000-00004EA30000}"/>
    <cellStyle name="Currency 6 3 7 4" xfId="17468" xr:uid="{00000000-0005-0000-0000-00004FA30000}"/>
    <cellStyle name="Currency 6 3 7 4 2" xfId="46474" xr:uid="{00000000-0005-0000-0000-000050A30000}"/>
    <cellStyle name="Currency 6 3 7 5" xfId="31975" xr:uid="{00000000-0005-0000-0000-000051A30000}"/>
    <cellStyle name="Currency 6 3 8" xfId="3942" xr:uid="{00000000-0005-0000-0000-000052A30000}"/>
    <cellStyle name="Currency 6 3 8 2" xfId="11214" xr:uid="{00000000-0005-0000-0000-000053A30000}"/>
    <cellStyle name="Currency 6 3 8 2 2" xfId="25748" xr:uid="{00000000-0005-0000-0000-000054A30000}"/>
    <cellStyle name="Currency 6 3 8 2 2 2" xfId="54754" xr:uid="{00000000-0005-0000-0000-000055A30000}"/>
    <cellStyle name="Currency 6 3 8 2 3" xfId="40255" xr:uid="{00000000-0005-0000-0000-000056A30000}"/>
    <cellStyle name="Currency 6 3 8 3" xfId="18500" xr:uid="{00000000-0005-0000-0000-000057A30000}"/>
    <cellStyle name="Currency 6 3 8 3 2" xfId="47506" xr:uid="{00000000-0005-0000-0000-000058A30000}"/>
    <cellStyle name="Currency 6 3 8 4" xfId="33007" xr:uid="{00000000-0005-0000-0000-000059A30000}"/>
    <cellStyle name="Currency 6 3 9" xfId="7046" xr:uid="{00000000-0005-0000-0000-00005AA30000}"/>
    <cellStyle name="Currency 6 3 9 2" xfId="14318" xr:uid="{00000000-0005-0000-0000-00005BA30000}"/>
    <cellStyle name="Currency 6 3 9 2 2" xfId="28852" xr:uid="{00000000-0005-0000-0000-00005CA30000}"/>
    <cellStyle name="Currency 6 3 9 2 2 2" xfId="57858" xr:uid="{00000000-0005-0000-0000-00005DA30000}"/>
    <cellStyle name="Currency 6 3 9 2 3" xfId="43359" xr:uid="{00000000-0005-0000-0000-00005EA30000}"/>
    <cellStyle name="Currency 6 3 9 3" xfId="21604" xr:uid="{00000000-0005-0000-0000-00005FA30000}"/>
    <cellStyle name="Currency 6 3 9 3 2" xfId="50610" xr:uid="{00000000-0005-0000-0000-000060A30000}"/>
    <cellStyle name="Currency 6 3 9 4" xfId="36111" xr:uid="{00000000-0005-0000-0000-000061A30000}"/>
    <cellStyle name="Currency 6 4" xfId="441" xr:uid="{00000000-0005-0000-0000-000062A30000}"/>
    <cellStyle name="Currency 6 4 10" xfId="29954" xr:uid="{00000000-0005-0000-0000-000063A30000}"/>
    <cellStyle name="Currency 6 4 11" xfId="59297" xr:uid="{00000000-0005-0000-0000-000064A30000}"/>
    <cellStyle name="Currency 6 4 2" xfId="1186" xr:uid="{00000000-0005-0000-0000-000065A30000}"/>
    <cellStyle name="Currency 6 4 2 2" xfId="1688" xr:uid="{00000000-0005-0000-0000-000066A30000}"/>
    <cellStyle name="Currency 6 4 2 2 2" xfId="2747" xr:uid="{00000000-0005-0000-0000-000067A30000}"/>
    <cellStyle name="Currency 6 4 2 2 2 2" xfId="5851" xr:uid="{00000000-0005-0000-0000-000068A30000}"/>
    <cellStyle name="Currency 6 4 2 2 2 2 2" xfId="13123" xr:uid="{00000000-0005-0000-0000-000069A30000}"/>
    <cellStyle name="Currency 6 4 2 2 2 2 2 2" xfId="27657" xr:uid="{00000000-0005-0000-0000-00006AA30000}"/>
    <cellStyle name="Currency 6 4 2 2 2 2 2 2 2" xfId="56663" xr:uid="{00000000-0005-0000-0000-00006BA30000}"/>
    <cellStyle name="Currency 6 4 2 2 2 2 2 3" xfId="42164" xr:uid="{00000000-0005-0000-0000-00006CA30000}"/>
    <cellStyle name="Currency 6 4 2 2 2 2 3" xfId="20409" xr:uid="{00000000-0005-0000-0000-00006DA30000}"/>
    <cellStyle name="Currency 6 4 2 2 2 2 3 2" xfId="49415" xr:uid="{00000000-0005-0000-0000-00006EA30000}"/>
    <cellStyle name="Currency 6 4 2 2 2 2 4" xfId="34916" xr:uid="{00000000-0005-0000-0000-00006FA30000}"/>
    <cellStyle name="Currency 6 4 2 2 2 3" xfId="10019" xr:uid="{00000000-0005-0000-0000-000070A30000}"/>
    <cellStyle name="Currency 6 4 2 2 2 3 2" xfId="24553" xr:uid="{00000000-0005-0000-0000-000071A30000}"/>
    <cellStyle name="Currency 6 4 2 2 2 3 2 2" xfId="53559" xr:uid="{00000000-0005-0000-0000-000072A30000}"/>
    <cellStyle name="Currency 6 4 2 2 2 3 3" xfId="39060" xr:uid="{00000000-0005-0000-0000-000073A30000}"/>
    <cellStyle name="Currency 6 4 2 2 2 4" xfId="17305" xr:uid="{00000000-0005-0000-0000-000074A30000}"/>
    <cellStyle name="Currency 6 4 2 2 2 4 2" xfId="46311" xr:uid="{00000000-0005-0000-0000-000075A30000}"/>
    <cellStyle name="Currency 6 4 2 2 2 5" xfId="31812" xr:uid="{00000000-0005-0000-0000-000076A30000}"/>
    <cellStyle name="Currency 6 4 2 2 3" xfId="3779" xr:uid="{00000000-0005-0000-0000-000077A30000}"/>
    <cellStyle name="Currency 6 4 2 2 3 2" xfId="6883" xr:uid="{00000000-0005-0000-0000-000078A30000}"/>
    <cellStyle name="Currency 6 4 2 2 3 2 2" xfId="14155" xr:uid="{00000000-0005-0000-0000-000079A30000}"/>
    <cellStyle name="Currency 6 4 2 2 3 2 2 2" xfId="28689" xr:uid="{00000000-0005-0000-0000-00007AA30000}"/>
    <cellStyle name="Currency 6 4 2 2 3 2 2 2 2" xfId="57695" xr:uid="{00000000-0005-0000-0000-00007BA30000}"/>
    <cellStyle name="Currency 6 4 2 2 3 2 2 3" xfId="43196" xr:uid="{00000000-0005-0000-0000-00007CA30000}"/>
    <cellStyle name="Currency 6 4 2 2 3 2 3" xfId="21441" xr:uid="{00000000-0005-0000-0000-00007DA30000}"/>
    <cellStyle name="Currency 6 4 2 2 3 2 3 2" xfId="50447" xr:uid="{00000000-0005-0000-0000-00007EA30000}"/>
    <cellStyle name="Currency 6 4 2 2 3 2 4" xfId="35948" xr:uid="{00000000-0005-0000-0000-00007FA30000}"/>
    <cellStyle name="Currency 6 4 2 2 3 3" xfId="11051" xr:uid="{00000000-0005-0000-0000-000080A30000}"/>
    <cellStyle name="Currency 6 4 2 2 3 3 2" xfId="25585" xr:uid="{00000000-0005-0000-0000-000081A30000}"/>
    <cellStyle name="Currency 6 4 2 2 3 3 2 2" xfId="54591" xr:uid="{00000000-0005-0000-0000-000082A30000}"/>
    <cellStyle name="Currency 6 4 2 2 3 3 3" xfId="40092" xr:uid="{00000000-0005-0000-0000-000083A30000}"/>
    <cellStyle name="Currency 6 4 2 2 3 4" xfId="18337" xr:uid="{00000000-0005-0000-0000-000084A30000}"/>
    <cellStyle name="Currency 6 4 2 2 3 4 2" xfId="47343" xr:uid="{00000000-0005-0000-0000-000085A30000}"/>
    <cellStyle name="Currency 6 4 2 2 3 5" xfId="32844" xr:uid="{00000000-0005-0000-0000-000086A30000}"/>
    <cellStyle name="Currency 6 4 2 2 4" xfId="4811" xr:uid="{00000000-0005-0000-0000-000087A30000}"/>
    <cellStyle name="Currency 6 4 2 2 4 2" xfId="12083" xr:uid="{00000000-0005-0000-0000-000088A30000}"/>
    <cellStyle name="Currency 6 4 2 2 4 2 2" xfId="26617" xr:uid="{00000000-0005-0000-0000-000089A30000}"/>
    <cellStyle name="Currency 6 4 2 2 4 2 2 2" xfId="55623" xr:uid="{00000000-0005-0000-0000-00008AA30000}"/>
    <cellStyle name="Currency 6 4 2 2 4 2 3" xfId="41124" xr:uid="{00000000-0005-0000-0000-00008BA30000}"/>
    <cellStyle name="Currency 6 4 2 2 4 3" xfId="19369" xr:uid="{00000000-0005-0000-0000-00008CA30000}"/>
    <cellStyle name="Currency 6 4 2 2 4 3 2" xfId="48375" xr:uid="{00000000-0005-0000-0000-00008DA30000}"/>
    <cellStyle name="Currency 6 4 2 2 4 4" xfId="33876" xr:uid="{00000000-0005-0000-0000-00008EA30000}"/>
    <cellStyle name="Currency 6 4 2 2 5" xfId="7915" xr:uid="{00000000-0005-0000-0000-00008FA30000}"/>
    <cellStyle name="Currency 6 4 2 2 5 2" xfId="15187" xr:uid="{00000000-0005-0000-0000-000090A30000}"/>
    <cellStyle name="Currency 6 4 2 2 5 2 2" xfId="29721" xr:uid="{00000000-0005-0000-0000-000091A30000}"/>
    <cellStyle name="Currency 6 4 2 2 5 2 2 2" xfId="58727" xr:uid="{00000000-0005-0000-0000-000092A30000}"/>
    <cellStyle name="Currency 6 4 2 2 5 2 3" xfId="44228" xr:uid="{00000000-0005-0000-0000-000093A30000}"/>
    <cellStyle name="Currency 6 4 2 2 5 3" xfId="22473" xr:uid="{00000000-0005-0000-0000-000094A30000}"/>
    <cellStyle name="Currency 6 4 2 2 5 3 2" xfId="51479" xr:uid="{00000000-0005-0000-0000-000095A30000}"/>
    <cellStyle name="Currency 6 4 2 2 5 4" xfId="36980" xr:uid="{00000000-0005-0000-0000-000096A30000}"/>
    <cellStyle name="Currency 6 4 2 2 6" xfId="8979" xr:uid="{00000000-0005-0000-0000-000097A30000}"/>
    <cellStyle name="Currency 6 4 2 2 6 2" xfId="23513" xr:uid="{00000000-0005-0000-0000-000098A30000}"/>
    <cellStyle name="Currency 6 4 2 2 6 2 2" xfId="52519" xr:uid="{00000000-0005-0000-0000-000099A30000}"/>
    <cellStyle name="Currency 6 4 2 2 6 3" xfId="38020" xr:uid="{00000000-0005-0000-0000-00009AA30000}"/>
    <cellStyle name="Currency 6 4 2 2 7" xfId="16265" xr:uid="{00000000-0005-0000-0000-00009BA30000}"/>
    <cellStyle name="Currency 6 4 2 2 7 2" xfId="45271" xr:uid="{00000000-0005-0000-0000-00009CA30000}"/>
    <cellStyle name="Currency 6 4 2 2 8" xfId="30772" xr:uid="{00000000-0005-0000-0000-00009DA30000}"/>
    <cellStyle name="Currency 6 4 2 3" xfId="2235" xr:uid="{00000000-0005-0000-0000-00009EA30000}"/>
    <cellStyle name="Currency 6 4 2 3 2" xfId="5339" xr:uid="{00000000-0005-0000-0000-00009FA30000}"/>
    <cellStyle name="Currency 6 4 2 3 2 2" xfId="12611" xr:uid="{00000000-0005-0000-0000-0000A0A30000}"/>
    <cellStyle name="Currency 6 4 2 3 2 2 2" xfId="27145" xr:uid="{00000000-0005-0000-0000-0000A1A30000}"/>
    <cellStyle name="Currency 6 4 2 3 2 2 2 2" xfId="56151" xr:uid="{00000000-0005-0000-0000-0000A2A30000}"/>
    <cellStyle name="Currency 6 4 2 3 2 2 3" xfId="41652" xr:uid="{00000000-0005-0000-0000-0000A3A30000}"/>
    <cellStyle name="Currency 6 4 2 3 2 3" xfId="19897" xr:uid="{00000000-0005-0000-0000-0000A4A30000}"/>
    <cellStyle name="Currency 6 4 2 3 2 3 2" xfId="48903" xr:uid="{00000000-0005-0000-0000-0000A5A30000}"/>
    <cellStyle name="Currency 6 4 2 3 2 4" xfId="34404" xr:uid="{00000000-0005-0000-0000-0000A6A30000}"/>
    <cellStyle name="Currency 6 4 2 3 3" xfId="9507" xr:uid="{00000000-0005-0000-0000-0000A7A30000}"/>
    <cellStyle name="Currency 6 4 2 3 3 2" xfId="24041" xr:uid="{00000000-0005-0000-0000-0000A8A30000}"/>
    <cellStyle name="Currency 6 4 2 3 3 2 2" xfId="53047" xr:uid="{00000000-0005-0000-0000-0000A9A30000}"/>
    <cellStyle name="Currency 6 4 2 3 3 3" xfId="38548" xr:uid="{00000000-0005-0000-0000-0000AAA30000}"/>
    <cellStyle name="Currency 6 4 2 3 4" xfId="16793" xr:uid="{00000000-0005-0000-0000-0000ABA30000}"/>
    <cellStyle name="Currency 6 4 2 3 4 2" xfId="45799" xr:uid="{00000000-0005-0000-0000-0000ACA30000}"/>
    <cellStyle name="Currency 6 4 2 3 5" xfId="31300" xr:uid="{00000000-0005-0000-0000-0000ADA30000}"/>
    <cellStyle name="Currency 6 4 2 4" xfId="3267" xr:uid="{00000000-0005-0000-0000-0000AEA30000}"/>
    <cellStyle name="Currency 6 4 2 4 2" xfId="6371" xr:uid="{00000000-0005-0000-0000-0000AFA30000}"/>
    <cellStyle name="Currency 6 4 2 4 2 2" xfId="13643" xr:uid="{00000000-0005-0000-0000-0000B0A30000}"/>
    <cellStyle name="Currency 6 4 2 4 2 2 2" xfId="28177" xr:uid="{00000000-0005-0000-0000-0000B1A30000}"/>
    <cellStyle name="Currency 6 4 2 4 2 2 2 2" xfId="57183" xr:uid="{00000000-0005-0000-0000-0000B2A30000}"/>
    <cellStyle name="Currency 6 4 2 4 2 2 3" xfId="42684" xr:uid="{00000000-0005-0000-0000-0000B3A30000}"/>
    <cellStyle name="Currency 6 4 2 4 2 3" xfId="20929" xr:uid="{00000000-0005-0000-0000-0000B4A30000}"/>
    <cellStyle name="Currency 6 4 2 4 2 3 2" xfId="49935" xr:uid="{00000000-0005-0000-0000-0000B5A30000}"/>
    <cellStyle name="Currency 6 4 2 4 2 4" xfId="35436" xr:uid="{00000000-0005-0000-0000-0000B6A30000}"/>
    <cellStyle name="Currency 6 4 2 4 3" xfId="10539" xr:uid="{00000000-0005-0000-0000-0000B7A30000}"/>
    <cellStyle name="Currency 6 4 2 4 3 2" xfId="25073" xr:uid="{00000000-0005-0000-0000-0000B8A30000}"/>
    <cellStyle name="Currency 6 4 2 4 3 2 2" xfId="54079" xr:uid="{00000000-0005-0000-0000-0000B9A30000}"/>
    <cellStyle name="Currency 6 4 2 4 3 3" xfId="39580" xr:uid="{00000000-0005-0000-0000-0000BAA30000}"/>
    <cellStyle name="Currency 6 4 2 4 4" xfId="17825" xr:uid="{00000000-0005-0000-0000-0000BBA30000}"/>
    <cellStyle name="Currency 6 4 2 4 4 2" xfId="46831" xr:uid="{00000000-0005-0000-0000-0000BCA30000}"/>
    <cellStyle name="Currency 6 4 2 4 5" xfId="32332" xr:uid="{00000000-0005-0000-0000-0000BDA30000}"/>
    <cellStyle name="Currency 6 4 2 5" xfId="4299" xr:uid="{00000000-0005-0000-0000-0000BEA30000}"/>
    <cellStyle name="Currency 6 4 2 5 2" xfId="11571" xr:uid="{00000000-0005-0000-0000-0000BFA30000}"/>
    <cellStyle name="Currency 6 4 2 5 2 2" xfId="26105" xr:uid="{00000000-0005-0000-0000-0000C0A30000}"/>
    <cellStyle name="Currency 6 4 2 5 2 2 2" xfId="55111" xr:uid="{00000000-0005-0000-0000-0000C1A30000}"/>
    <cellStyle name="Currency 6 4 2 5 2 3" xfId="40612" xr:uid="{00000000-0005-0000-0000-0000C2A30000}"/>
    <cellStyle name="Currency 6 4 2 5 3" xfId="18857" xr:uid="{00000000-0005-0000-0000-0000C3A30000}"/>
    <cellStyle name="Currency 6 4 2 5 3 2" xfId="47863" xr:uid="{00000000-0005-0000-0000-0000C4A30000}"/>
    <cellStyle name="Currency 6 4 2 5 4" xfId="33364" xr:uid="{00000000-0005-0000-0000-0000C5A30000}"/>
    <cellStyle name="Currency 6 4 2 6" xfId="7403" xr:uid="{00000000-0005-0000-0000-0000C6A30000}"/>
    <cellStyle name="Currency 6 4 2 6 2" xfId="14675" xr:uid="{00000000-0005-0000-0000-0000C7A30000}"/>
    <cellStyle name="Currency 6 4 2 6 2 2" xfId="29209" xr:uid="{00000000-0005-0000-0000-0000C8A30000}"/>
    <cellStyle name="Currency 6 4 2 6 2 2 2" xfId="58215" xr:uid="{00000000-0005-0000-0000-0000C9A30000}"/>
    <cellStyle name="Currency 6 4 2 6 2 3" xfId="43716" xr:uid="{00000000-0005-0000-0000-0000CAA30000}"/>
    <cellStyle name="Currency 6 4 2 6 3" xfId="21961" xr:uid="{00000000-0005-0000-0000-0000CBA30000}"/>
    <cellStyle name="Currency 6 4 2 6 3 2" xfId="50967" xr:uid="{00000000-0005-0000-0000-0000CCA30000}"/>
    <cellStyle name="Currency 6 4 2 6 4" xfId="36468" xr:uid="{00000000-0005-0000-0000-0000CDA30000}"/>
    <cellStyle name="Currency 6 4 2 7" xfId="8467" xr:uid="{00000000-0005-0000-0000-0000CEA30000}"/>
    <cellStyle name="Currency 6 4 2 7 2" xfId="23001" xr:uid="{00000000-0005-0000-0000-0000CFA30000}"/>
    <cellStyle name="Currency 6 4 2 7 2 2" xfId="52007" xr:uid="{00000000-0005-0000-0000-0000D0A30000}"/>
    <cellStyle name="Currency 6 4 2 7 3" xfId="37508" xr:uid="{00000000-0005-0000-0000-0000D1A30000}"/>
    <cellStyle name="Currency 6 4 2 8" xfId="15753" xr:uid="{00000000-0005-0000-0000-0000D2A30000}"/>
    <cellStyle name="Currency 6 4 2 8 2" xfId="44759" xr:uid="{00000000-0005-0000-0000-0000D3A30000}"/>
    <cellStyle name="Currency 6 4 2 9" xfId="30260" xr:uid="{00000000-0005-0000-0000-0000D4A30000}"/>
    <cellStyle name="Currency 6 4 3" xfId="1384" xr:uid="{00000000-0005-0000-0000-0000D5A30000}"/>
    <cellStyle name="Currency 6 4 3 2" xfId="2441" xr:uid="{00000000-0005-0000-0000-0000D6A30000}"/>
    <cellStyle name="Currency 6 4 3 2 2" xfId="5545" xr:uid="{00000000-0005-0000-0000-0000D7A30000}"/>
    <cellStyle name="Currency 6 4 3 2 2 2" xfId="12817" xr:uid="{00000000-0005-0000-0000-0000D8A30000}"/>
    <cellStyle name="Currency 6 4 3 2 2 2 2" xfId="27351" xr:uid="{00000000-0005-0000-0000-0000D9A30000}"/>
    <cellStyle name="Currency 6 4 3 2 2 2 2 2" xfId="56357" xr:uid="{00000000-0005-0000-0000-0000DAA30000}"/>
    <cellStyle name="Currency 6 4 3 2 2 2 3" xfId="41858" xr:uid="{00000000-0005-0000-0000-0000DBA30000}"/>
    <cellStyle name="Currency 6 4 3 2 2 3" xfId="20103" xr:uid="{00000000-0005-0000-0000-0000DCA30000}"/>
    <cellStyle name="Currency 6 4 3 2 2 3 2" xfId="49109" xr:uid="{00000000-0005-0000-0000-0000DDA30000}"/>
    <cellStyle name="Currency 6 4 3 2 2 4" xfId="34610" xr:uid="{00000000-0005-0000-0000-0000DEA30000}"/>
    <cellStyle name="Currency 6 4 3 2 3" xfId="9713" xr:uid="{00000000-0005-0000-0000-0000DFA30000}"/>
    <cellStyle name="Currency 6 4 3 2 3 2" xfId="24247" xr:uid="{00000000-0005-0000-0000-0000E0A30000}"/>
    <cellStyle name="Currency 6 4 3 2 3 2 2" xfId="53253" xr:uid="{00000000-0005-0000-0000-0000E1A30000}"/>
    <cellStyle name="Currency 6 4 3 2 3 3" xfId="38754" xr:uid="{00000000-0005-0000-0000-0000E2A30000}"/>
    <cellStyle name="Currency 6 4 3 2 4" xfId="16999" xr:uid="{00000000-0005-0000-0000-0000E3A30000}"/>
    <cellStyle name="Currency 6 4 3 2 4 2" xfId="46005" xr:uid="{00000000-0005-0000-0000-0000E4A30000}"/>
    <cellStyle name="Currency 6 4 3 2 5" xfId="31506" xr:uid="{00000000-0005-0000-0000-0000E5A30000}"/>
    <cellStyle name="Currency 6 4 3 3" xfId="3473" xr:uid="{00000000-0005-0000-0000-0000E6A30000}"/>
    <cellStyle name="Currency 6 4 3 3 2" xfId="6577" xr:uid="{00000000-0005-0000-0000-0000E7A30000}"/>
    <cellStyle name="Currency 6 4 3 3 2 2" xfId="13849" xr:uid="{00000000-0005-0000-0000-0000E8A30000}"/>
    <cellStyle name="Currency 6 4 3 3 2 2 2" xfId="28383" xr:uid="{00000000-0005-0000-0000-0000E9A30000}"/>
    <cellStyle name="Currency 6 4 3 3 2 2 2 2" xfId="57389" xr:uid="{00000000-0005-0000-0000-0000EAA30000}"/>
    <cellStyle name="Currency 6 4 3 3 2 2 3" xfId="42890" xr:uid="{00000000-0005-0000-0000-0000EBA30000}"/>
    <cellStyle name="Currency 6 4 3 3 2 3" xfId="21135" xr:uid="{00000000-0005-0000-0000-0000ECA30000}"/>
    <cellStyle name="Currency 6 4 3 3 2 3 2" xfId="50141" xr:uid="{00000000-0005-0000-0000-0000EDA30000}"/>
    <cellStyle name="Currency 6 4 3 3 2 4" xfId="35642" xr:uid="{00000000-0005-0000-0000-0000EEA30000}"/>
    <cellStyle name="Currency 6 4 3 3 3" xfId="10745" xr:uid="{00000000-0005-0000-0000-0000EFA30000}"/>
    <cellStyle name="Currency 6 4 3 3 3 2" xfId="25279" xr:uid="{00000000-0005-0000-0000-0000F0A30000}"/>
    <cellStyle name="Currency 6 4 3 3 3 2 2" xfId="54285" xr:uid="{00000000-0005-0000-0000-0000F1A30000}"/>
    <cellStyle name="Currency 6 4 3 3 3 3" xfId="39786" xr:uid="{00000000-0005-0000-0000-0000F2A30000}"/>
    <cellStyle name="Currency 6 4 3 3 4" xfId="18031" xr:uid="{00000000-0005-0000-0000-0000F3A30000}"/>
    <cellStyle name="Currency 6 4 3 3 4 2" xfId="47037" xr:uid="{00000000-0005-0000-0000-0000F4A30000}"/>
    <cellStyle name="Currency 6 4 3 3 5" xfId="32538" xr:uid="{00000000-0005-0000-0000-0000F5A30000}"/>
    <cellStyle name="Currency 6 4 3 4" xfId="4505" xr:uid="{00000000-0005-0000-0000-0000F6A30000}"/>
    <cellStyle name="Currency 6 4 3 4 2" xfId="11777" xr:uid="{00000000-0005-0000-0000-0000F7A30000}"/>
    <cellStyle name="Currency 6 4 3 4 2 2" xfId="26311" xr:uid="{00000000-0005-0000-0000-0000F8A30000}"/>
    <cellStyle name="Currency 6 4 3 4 2 2 2" xfId="55317" xr:uid="{00000000-0005-0000-0000-0000F9A30000}"/>
    <cellStyle name="Currency 6 4 3 4 2 3" xfId="40818" xr:uid="{00000000-0005-0000-0000-0000FAA30000}"/>
    <cellStyle name="Currency 6 4 3 4 3" xfId="19063" xr:uid="{00000000-0005-0000-0000-0000FBA30000}"/>
    <cellStyle name="Currency 6 4 3 4 3 2" xfId="48069" xr:uid="{00000000-0005-0000-0000-0000FCA30000}"/>
    <cellStyle name="Currency 6 4 3 4 4" xfId="33570" xr:uid="{00000000-0005-0000-0000-0000FDA30000}"/>
    <cellStyle name="Currency 6 4 3 5" xfId="7609" xr:uid="{00000000-0005-0000-0000-0000FEA30000}"/>
    <cellStyle name="Currency 6 4 3 5 2" xfId="14881" xr:uid="{00000000-0005-0000-0000-0000FFA30000}"/>
    <cellStyle name="Currency 6 4 3 5 2 2" xfId="29415" xr:uid="{00000000-0005-0000-0000-000000A40000}"/>
    <cellStyle name="Currency 6 4 3 5 2 2 2" xfId="58421" xr:uid="{00000000-0005-0000-0000-000001A40000}"/>
    <cellStyle name="Currency 6 4 3 5 2 3" xfId="43922" xr:uid="{00000000-0005-0000-0000-000002A40000}"/>
    <cellStyle name="Currency 6 4 3 5 3" xfId="22167" xr:uid="{00000000-0005-0000-0000-000003A40000}"/>
    <cellStyle name="Currency 6 4 3 5 3 2" xfId="51173" xr:uid="{00000000-0005-0000-0000-000004A40000}"/>
    <cellStyle name="Currency 6 4 3 5 4" xfId="36674" xr:uid="{00000000-0005-0000-0000-000005A40000}"/>
    <cellStyle name="Currency 6 4 3 6" xfId="8673" xr:uid="{00000000-0005-0000-0000-000006A40000}"/>
    <cellStyle name="Currency 6 4 3 6 2" xfId="23207" xr:uid="{00000000-0005-0000-0000-000007A40000}"/>
    <cellStyle name="Currency 6 4 3 6 2 2" xfId="52213" xr:uid="{00000000-0005-0000-0000-000008A40000}"/>
    <cellStyle name="Currency 6 4 3 6 3" xfId="37714" xr:uid="{00000000-0005-0000-0000-000009A40000}"/>
    <cellStyle name="Currency 6 4 3 7" xfId="15959" xr:uid="{00000000-0005-0000-0000-00000AA40000}"/>
    <cellStyle name="Currency 6 4 3 7 2" xfId="44965" xr:uid="{00000000-0005-0000-0000-00000BA40000}"/>
    <cellStyle name="Currency 6 4 3 8" xfId="30466" xr:uid="{00000000-0005-0000-0000-00000CA40000}"/>
    <cellStyle name="Currency 6 4 4" xfId="1929" xr:uid="{00000000-0005-0000-0000-00000DA40000}"/>
    <cellStyle name="Currency 6 4 4 2" xfId="5033" xr:uid="{00000000-0005-0000-0000-00000EA40000}"/>
    <cellStyle name="Currency 6 4 4 2 2" xfId="12305" xr:uid="{00000000-0005-0000-0000-00000FA40000}"/>
    <cellStyle name="Currency 6 4 4 2 2 2" xfId="26839" xr:uid="{00000000-0005-0000-0000-000010A40000}"/>
    <cellStyle name="Currency 6 4 4 2 2 2 2" xfId="55845" xr:uid="{00000000-0005-0000-0000-000011A40000}"/>
    <cellStyle name="Currency 6 4 4 2 2 3" xfId="41346" xr:uid="{00000000-0005-0000-0000-000012A40000}"/>
    <cellStyle name="Currency 6 4 4 2 3" xfId="19591" xr:uid="{00000000-0005-0000-0000-000013A40000}"/>
    <cellStyle name="Currency 6 4 4 2 3 2" xfId="48597" xr:uid="{00000000-0005-0000-0000-000014A40000}"/>
    <cellStyle name="Currency 6 4 4 2 4" xfId="34098" xr:uid="{00000000-0005-0000-0000-000015A40000}"/>
    <cellStyle name="Currency 6 4 4 3" xfId="9201" xr:uid="{00000000-0005-0000-0000-000016A40000}"/>
    <cellStyle name="Currency 6 4 4 3 2" xfId="23735" xr:uid="{00000000-0005-0000-0000-000017A40000}"/>
    <cellStyle name="Currency 6 4 4 3 2 2" xfId="52741" xr:uid="{00000000-0005-0000-0000-000018A40000}"/>
    <cellStyle name="Currency 6 4 4 3 3" xfId="38242" xr:uid="{00000000-0005-0000-0000-000019A40000}"/>
    <cellStyle name="Currency 6 4 4 4" xfId="16487" xr:uid="{00000000-0005-0000-0000-00001AA40000}"/>
    <cellStyle name="Currency 6 4 4 4 2" xfId="45493" xr:uid="{00000000-0005-0000-0000-00001BA40000}"/>
    <cellStyle name="Currency 6 4 4 5" xfId="30994" xr:uid="{00000000-0005-0000-0000-00001CA40000}"/>
    <cellStyle name="Currency 6 4 5" xfId="2961" xr:uid="{00000000-0005-0000-0000-00001DA40000}"/>
    <cellStyle name="Currency 6 4 5 2" xfId="6065" xr:uid="{00000000-0005-0000-0000-00001EA40000}"/>
    <cellStyle name="Currency 6 4 5 2 2" xfId="13337" xr:uid="{00000000-0005-0000-0000-00001FA40000}"/>
    <cellStyle name="Currency 6 4 5 2 2 2" xfId="27871" xr:uid="{00000000-0005-0000-0000-000020A40000}"/>
    <cellStyle name="Currency 6 4 5 2 2 2 2" xfId="56877" xr:uid="{00000000-0005-0000-0000-000021A40000}"/>
    <cellStyle name="Currency 6 4 5 2 2 3" xfId="42378" xr:uid="{00000000-0005-0000-0000-000022A40000}"/>
    <cellStyle name="Currency 6 4 5 2 3" xfId="20623" xr:uid="{00000000-0005-0000-0000-000023A40000}"/>
    <cellStyle name="Currency 6 4 5 2 3 2" xfId="49629" xr:uid="{00000000-0005-0000-0000-000024A40000}"/>
    <cellStyle name="Currency 6 4 5 2 4" xfId="35130" xr:uid="{00000000-0005-0000-0000-000025A40000}"/>
    <cellStyle name="Currency 6 4 5 3" xfId="10233" xr:uid="{00000000-0005-0000-0000-000026A40000}"/>
    <cellStyle name="Currency 6 4 5 3 2" xfId="24767" xr:uid="{00000000-0005-0000-0000-000027A40000}"/>
    <cellStyle name="Currency 6 4 5 3 2 2" xfId="53773" xr:uid="{00000000-0005-0000-0000-000028A40000}"/>
    <cellStyle name="Currency 6 4 5 3 3" xfId="39274" xr:uid="{00000000-0005-0000-0000-000029A40000}"/>
    <cellStyle name="Currency 6 4 5 4" xfId="17519" xr:uid="{00000000-0005-0000-0000-00002AA40000}"/>
    <cellStyle name="Currency 6 4 5 4 2" xfId="46525" xr:uid="{00000000-0005-0000-0000-00002BA40000}"/>
    <cellStyle name="Currency 6 4 5 5" xfId="32026" xr:uid="{00000000-0005-0000-0000-00002CA40000}"/>
    <cellStyle name="Currency 6 4 6" xfId="3993" xr:uid="{00000000-0005-0000-0000-00002DA40000}"/>
    <cellStyle name="Currency 6 4 6 2" xfId="11265" xr:uid="{00000000-0005-0000-0000-00002EA40000}"/>
    <cellStyle name="Currency 6 4 6 2 2" xfId="25799" xr:uid="{00000000-0005-0000-0000-00002FA40000}"/>
    <cellStyle name="Currency 6 4 6 2 2 2" xfId="54805" xr:uid="{00000000-0005-0000-0000-000030A40000}"/>
    <cellStyle name="Currency 6 4 6 2 3" xfId="40306" xr:uid="{00000000-0005-0000-0000-000031A40000}"/>
    <cellStyle name="Currency 6 4 6 3" xfId="18551" xr:uid="{00000000-0005-0000-0000-000032A40000}"/>
    <cellStyle name="Currency 6 4 6 3 2" xfId="47557" xr:uid="{00000000-0005-0000-0000-000033A40000}"/>
    <cellStyle name="Currency 6 4 6 4" xfId="33058" xr:uid="{00000000-0005-0000-0000-000034A40000}"/>
    <cellStyle name="Currency 6 4 7" xfId="7097" xr:uid="{00000000-0005-0000-0000-000035A40000}"/>
    <cellStyle name="Currency 6 4 7 2" xfId="14369" xr:uid="{00000000-0005-0000-0000-000036A40000}"/>
    <cellStyle name="Currency 6 4 7 2 2" xfId="28903" xr:uid="{00000000-0005-0000-0000-000037A40000}"/>
    <cellStyle name="Currency 6 4 7 2 2 2" xfId="57909" xr:uid="{00000000-0005-0000-0000-000038A40000}"/>
    <cellStyle name="Currency 6 4 7 2 3" xfId="43410" xr:uid="{00000000-0005-0000-0000-000039A40000}"/>
    <cellStyle name="Currency 6 4 7 3" xfId="21655" xr:uid="{00000000-0005-0000-0000-00003AA40000}"/>
    <cellStyle name="Currency 6 4 7 3 2" xfId="50661" xr:uid="{00000000-0005-0000-0000-00003BA40000}"/>
    <cellStyle name="Currency 6 4 7 4" xfId="36162" xr:uid="{00000000-0005-0000-0000-00003CA40000}"/>
    <cellStyle name="Currency 6 4 8" xfId="8161" xr:uid="{00000000-0005-0000-0000-00003DA40000}"/>
    <cellStyle name="Currency 6 4 8 2" xfId="22695" xr:uid="{00000000-0005-0000-0000-00003EA40000}"/>
    <cellStyle name="Currency 6 4 8 2 2" xfId="51701" xr:uid="{00000000-0005-0000-0000-00003FA40000}"/>
    <cellStyle name="Currency 6 4 8 3" xfId="37202" xr:uid="{00000000-0005-0000-0000-000040A40000}"/>
    <cellStyle name="Currency 6 4 9" xfId="15447" xr:uid="{00000000-0005-0000-0000-000041A40000}"/>
    <cellStyle name="Currency 6 4 9 2" xfId="44453" xr:uid="{00000000-0005-0000-0000-000042A40000}"/>
    <cellStyle name="Currency 6 5" xfId="582" xr:uid="{00000000-0005-0000-0000-000043A40000}"/>
    <cellStyle name="Currency 6 5 10" xfId="59443" xr:uid="{00000000-0005-0000-0000-000044A40000}"/>
    <cellStyle name="Currency 6 5 2" xfId="1585" xr:uid="{00000000-0005-0000-0000-000045A40000}"/>
    <cellStyle name="Currency 6 5 2 2" xfId="2644" xr:uid="{00000000-0005-0000-0000-000046A40000}"/>
    <cellStyle name="Currency 6 5 2 2 2" xfId="5748" xr:uid="{00000000-0005-0000-0000-000047A40000}"/>
    <cellStyle name="Currency 6 5 2 2 2 2" xfId="13020" xr:uid="{00000000-0005-0000-0000-000048A40000}"/>
    <cellStyle name="Currency 6 5 2 2 2 2 2" xfId="27554" xr:uid="{00000000-0005-0000-0000-000049A40000}"/>
    <cellStyle name="Currency 6 5 2 2 2 2 2 2" xfId="56560" xr:uid="{00000000-0005-0000-0000-00004AA40000}"/>
    <cellStyle name="Currency 6 5 2 2 2 2 3" xfId="42061" xr:uid="{00000000-0005-0000-0000-00004BA40000}"/>
    <cellStyle name="Currency 6 5 2 2 2 3" xfId="20306" xr:uid="{00000000-0005-0000-0000-00004CA40000}"/>
    <cellStyle name="Currency 6 5 2 2 2 3 2" xfId="49312" xr:uid="{00000000-0005-0000-0000-00004DA40000}"/>
    <cellStyle name="Currency 6 5 2 2 2 4" xfId="34813" xr:uid="{00000000-0005-0000-0000-00004EA40000}"/>
    <cellStyle name="Currency 6 5 2 2 3" xfId="9916" xr:uid="{00000000-0005-0000-0000-00004FA40000}"/>
    <cellStyle name="Currency 6 5 2 2 3 2" xfId="24450" xr:uid="{00000000-0005-0000-0000-000050A40000}"/>
    <cellStyle name="Currency 6 5 2 2 3 2 2" xfId="53456" xr:uid="{00000000-0005-0000-0000-000051A40000}"/>
    <cellStyle name="Currency 6 5 2 2 3 3" xfId="38957" xr:uid="{00000000-0005-0000-0000-000052A40000}"/>
    <cellStyle name="Currency 6 5 2 2 4" xfId="17202" xr:uid="{00000000-0005-0000-0000-000053A40000}"/>
    <cellStyle name="Currency 6 5 2 2 4 2" xfId="46208" xr:uid="{00000000-0005-0000-0000-000054A40000}"/>
    <cellStyle name="Currency 6 5 2 2 5" xfId="31709" xr:uid="{00000000-0005-0000-0000-000055A40000}"/>
    <cellStyle name="Currency 6 5 2 3" xfId="3676" xr:uid="{00000000-0005-0000-0000-000056A40000}"/>
    <cellStyle name="Currency 6 5 2 3 2" xfId="6780" xr:uid="{00000000-0005-0000-0000-000057A40000}"/>
    <cellStyle name="Currency 6 5 2 3 2 2" xfId="14052" xr:uid="{00000000-0005-0000-0000-000058A40000}"/>
    <cellStyle name="Currency 6 5 2 3 2 2 2" xfId="28586" xr:uid="{00000000-0005-0000-0000-000059A40000}"/>
    <cellStyle name="Currency 6 5 2 3 2 2 2 2" xfId="57592" xr:uid="{00000000-0005-0000-0000-00005AA40000}"/>
    <cellStyle name="Currency 6 5 2 3 2 2 3" xfId="43093" xr:uid="{00000000-0005-0000-0000-00005BA40000}"/>
    <cellStyle name="Currency 6 5 2 3 2 3" xfId="21338" xr:uid="{00000000-0005-0000-0000-00005CA40000}"/>
    <cellStyle name="Currency 6 5 2 3 2 3 2" xfId="50344" xr:uid="{00000000-0005-0000-0000-00005DA40000}"/>
    <cellStyle name="Currency 6 5 2 3 2 4" xfId="35845" xr:uid="{00000000-0005-0000-0000-00005EA40000}"/>
    <cellStyle name="Currency 6 5 2 3 3" xfId="10948" xr:uid="{00000000-0005-0000-0000-00005FA40000}"/>
    <cellStyle name="Currency 6 5 2 3 3 2" xfId="25482" xr:uid="{00000000-0005-0000-0000-000060A40000}"/>
    <cellStyle name="Currency 6 5 2 3 3 2 2" xfId="54488" xr:uid="{00000000-0005-0000-0000-000061A40000}"/>
    <cellStyle name="Currency 6 5 2 3 3 3" xfId="39989" xr:uid="{00000000-0005-0000-0000-000062A40000}"/>
    <cellStyle name="Currency 6 5 2 3 4" xfId="18234" xr:uid="{00000000-0005-0000-0000-000063A40000}"/>
    <cellStyle name="Currency 6 5 2 3 4 2" xfId="47240" xr:uid="{00000000-0005-0000-0000-000064A40000}"/>
    <cellStyle name="Currency 6 5 2 3 5" xfId="32741" xr:uid="{00000000-0005-0000-0000-000065A40000}"/>
    <cellStyle name="Currency 6 5 2 4" xfId="4708" xr:uid="{00000000-0005-0000-0000-000066A40000}"/>
    <cellStyle name="Currency 6 5 2 4 2" xfId="11980" xr:uid="{00000000-0005-0000-0000-000067A40000}"/>
    <cellStyle name="Currency 6 5 2 4 2 2" xfId="26514" xr:uid="{00000000-0005-0000-0000-000068A40000}"/>
    <cellStyle name="Currency 6 5 2 4 2 2 2" xfId="55520" xr:uid="{00000000-0005-0000-0000-000069A40000}"/>
    <cellStyle name="Currency 6 5 2 4 2 3" xfId="41021" xr:uid="{00000000-0005-0000-0000-00006AA40000}"/>
    <cellStyle name="Currency 6 5 2 4 3" xfId="19266" xr:uid="{00000000-0005-0000-0000-00006BA40000}"/>
    <cellStyle name="Currency 6 5 2 4 3 2" xfId="48272" xr:uid="{00000000-0005-0000-0000-00006CA40000}"/>
    <cellStyle name="Currency 6 5 2 4 4" xfId="33773" xr:uid="{00000000-0005-0000-0000-00006DA40000}"/>
    <cellStyle name="Currency 6 5 2 5" xfId="7812" xr:uid="{00000000-0005-0000-0000-00006EA40000}"/>
    <cellStyle name="Currency 6 5 2 5 2" xfId="15084" xr:uid="{00000000-0005-0000-0000-00006FA40000}"/>
    <cellStyle name="Currency 6 5 2 5 2 2" xfId="29618" xr:uid="{00000000-0005-0000-0000-000070A40000}"/>
    <cellStyle name="Currency 6 5 2 5 2 2 2" xfId="58624" xr:uid="{00000000-0005-0000-0000-000071A40000}"/>
    <cellStyle name="Currency 6 5 2 5 2 3" xfId="44125" xr:uid="{00000000-0005-0000-0000-000072A40000}"/>
    <cellStyle name="Currency 6 5 2 5 3" xfId="22370" xr:uid="{00000000-0005-0000-0000-000073A40000}"/>
    <cellStyle name="Currency 6 5 2 5 3 2" xfId="51376" xr:uid="{00000000-0005-0000-0000-000074A40000}"/>
    <cellStyle name="Currency 6 5 2 5 4" xfId="36877" xr:uid="{00000000-0005-0000-0000-000075A40000}"/>
    <cellStyle name="Currency 6 5 2 6" xfId="8876" xr:uid="{00000000-0005-0000-0000-000076A40000}"/>
    <cellStyle name="Currency 6 5 2 6 2" xfId="23410" xr:uid="{00000000-0005-0000-0000-000077A40000}"/>
    <cellStyle name="Currency 6 5 2 6 2 2" xfId="52416" xr:uid="{00000000-0005-0000-0000-000078A40000}"/>
    <cellStyle name="Currency 6 5 2 6 3" xfId="37917" xr:uid="{00000000-0005-0000-0000-000079A40000}"/>
    <cellStyle name="Currency 6 5 2 7" xfId="16162" xr:uid="{00000000-0005-0000-0000-00007AA40000}"/>
    <cellStyle name="Currency 6 5 2 7 2" xfId="45168" xr:uid="{00000000-0005-0000-0000-00007BA40000}"/>
    <cellStyle name="Currency 6 5 2 8" xfId="30669" xr:uid="{00000000-0005-0000-0000-00007CA40000}"/>
    <cellStyle name="Currency 6 5 3" xfId="2132" xr:uid="{00000000-0005-0000-0000-00007DA40000}"/>
    <cellStyle name="Currency 6 5 3 2" xfId="5236" xr:uid="{00000000-0005-0000-0000-00007EA40000}"/>
    <cellStyle name="Currency 6 5 3 2 2" xfId="12508" xr:uid="{00000000-0005-0000-0000-00007FA40000}"/>
    <cellStyle name="Currency 6 5 3 2 2 2" xfId="27042" xr:uid="{00000000-0005-0000-0000-000080A40000}"/>
    <cellStyle name="Currency 6 5 3 2 2 2 2" xfId="56048" xr:uid="{00000000-0005-0000-0000-000081A40000}"/>
    <cellStyle name="Currency 6 5 3 2 2 3" xfId="41549" xr:uid="{00000000-0005-0000-0000-000082A40000}"/>
    <cellStyle name="Currency 6 5 3 2 3" xfId="19794" xr:uid="{00000000-0005-0000-0000-000083A40000}"/>
    <cellStyle name="Currency 6 5 3 2 3 2" xfId="48800" xr:uid="{00000000-0005-0000-0000-000084A40000}"/>
    <cellStyle name="Currency 6 5 3 2 4" xfId="34301" xr:uid="{00000000-0005-0000-0000-000085A40000}"/>
    <cellStyle name="Currency 6 5 3 3" xfId="9404" xr:uid="{00000000-0005-0000-0000-000086A40000}"/>
    <cellStyle name="Currency 6 5 3 3 2" xfId="23938" xr:uid="{00000000-0005-0000-0000-000087A40000}"/>
    <cellStyle name="Currency 6 5 3 3 2 2" xfId="52944" xr:uid="{00000000-0005-0000-0000-000088A40000}"/>
    <cellStyle name="Currency 6 5 3 3 3" xfId="38445" xr:uid="{00000000-0005-0000-0000-000089A40000}"/>
    <cellStyle name="Currency 6 5 3 4" xfId="16690" xr:uid="{00000000-0005-0000-0000-00008AA40000}"/>
    <cellStyle name="Currency 6 5 3 4 2" xfId="45696" xr:uid="{00000000-0005-0000-0000-00008BA40000}"/>
    <cellStyle name="Currency 6 5 3 5" xfId="31197" xr:uid="{00000000-0005-0000-0000-00008CA40000}"/>
    <cellStyle name="Currency 6 5 4" xfId="3164" xr:uid="{00000000-0005-0000-0000-00008DA40000}"/>
    <cellStyle name="Currency 6 5 4 2" xfId="6268" xr:uid="{00000000-0005-0000-0000-00008EA40000}"/>
    <cellStyle name="Currency 6 5 4 2 2" xfId="13540" xr:uid="{00000000-0005-0000-0000-00008FA40000}"/>
    <cellStyle name="Currency 6 5 4 2 2 2" xfId="28074" xr:uid="{00000000-0005-0000-0000-000090A40000}"/>
    <cellStyle name="Currency 6 5 4 2 2 2 2" xfId="57080" xr:uid="{00000000-0005-0000-0000-000091A40000}"/>
    <cellStyle name="Currency 6 5 4 2 2 3" xfId="42581" xr:uid="{00000000-0005-0000-0000-000092A40000}"/>
    <cellStyle name="Currency 6 5 4 2 3" xfId="20826" xr:uid="{00000000-0005-0000-0000-000093A40000}"/>
    <cellStyle name="Currency 6 5 4 2 3 2" xfId="49832" xr:uid="{00000000-0005-0000-0000-000094A40000}"/>
    <cellStyle name="Currency 6 5 4 2 4" xfId="35333" xr:uid="{00000000-0005-0000-0000-000095A40000}"/>
    <cellStyle name="Currency 6 5 4 3" xfId="10436" xr:uid="{00000000-0005-0000-0000-000096A40000}"/>
    <cellStyle name="Currency 6 5 4 3 2" xfId="24970" xr:uid="{00000000-0005-0000-0000-000097A40000}"/>
    <cellStyle name="Currency 6 5 4 3 2 2" xfId="53976" xr:uid="{00000000-0005-0000-0000-000098A40000}"/>
    <cellStyle name="Currency 6 5 4 3 3" xfId="39477" xr:uid="{00000000-0005-0000-0000-000099A40000}"/>
    <cellStyle name="Currency 6 5 4 4" xfId="17722" xr:uid="{00000000-0005-0000-0000-00009AA40000}"/>
    <cellStyle name="Currency 6 5 4 4 2" xfId="46728" xr:uid="{00000000-0005-0000-0000-00009BA40000}"/>
    <cellStyle name="Currency 6 5 4 5" xfId="32229" xr:uid="{00000000-0005-0000-0000-00009CA40000}"/>
    <cellStyle name="Currency 6 5 5" xfId="4196" xr:uid="{00000000-0005-0000-0000-00009DA40000}"/>
    <cellStyle name="Currency 6 5 5 2" xfId="11468" xr:uid="{00000000-0005-0000-0000-00009EA40000}"/>
    <cellStyle name="Currency 6 5 5 2 2" xfId="26002" xr:uid="{00000000-0005-0000-0000-00009FA40000}"/>
    <cellStyle name="Currency 6 5 5 2 2 2" xfId="55008" xr:uid="{00000000-0005-0000-0000-0000A0A40000}"/>
    <cellStyle name="Currency 6 5 5 2 3" xfId="40509" xr:uid="{00000000-0005-0000-0000-0000A1A40000}"/>
    <cellStyle name="Currency 6 5 5 3" xfId="18754" xr:uid="{00000000-0005-0000-0000-0000A2A40000}"/>
    <cellStyle name="Currency 6 5 5 3 2" xfId="47760" xr:uid="{00000000-0005-0000-0000-0000A3A40000}"/>
    <cellStyle name="Currency 6 5 5 4" xfId="33261" xr:uid="{00000000-0005-0000-0000-0000A4A40000}"/>
    <cellStyle name="Currency 6 5 6" xfId="7300" xr:uid="{00000000-0005-0000-0000-0000A5A40000}"/>
    <cellStyle name="Currency 6 5 6 2" xfId="14572" xr:uid="{00000000-0005-0000-0000-0000A6A40000}"/>
    <cellStyle name="Currency 6 5 6 2 2" xfId="29106" xr:uid="{00000000-0005-0000-0000-0000A7A40000}"/>
    <cellStyle name="Currency 6 5 6 2 2 2" xfId="58112" xr:uid="{00000000-0005-0000-0000-0000A8A40000}"/>
    <cellStyle name="Currency 6 5 6 2 3" xfId="43613" xr:uid="{00000000-0005-0000-0000-0000A9A40000}"/>
    <cellStyle name="Currency 6 5 6 3" xfId="21858" xr:uid="{00000000-0005-0000-0000-0000AAA40000}"/>
    <cellStyle name="Currency 6 5 6 3 2" xfId="50864" xr:uid="{00000000-0005-0000-0000-0000ABA40000}"/>
    <cellStyle name="Currency 6 5 6 4" xfId="36365" xr:uid="{00000000-0005-0000-0000-0000ACA40000}"/>
    <cellStyle name="Currency 6 5 7" xfId="8364" xr:uid="{00000000-0005-0000-0000-0000ADA40000}"/>
    <cellStyle name="Currency 6 5 7 2" xfId="22898" xr:uid="{00000000-0005-0000-0000-0000AEA40000}"/>
    <cellStyle name="Currency 6 5 7 2 2" xfId="51904" xr:uid="{00000000-0005-0000-0000-0000AFA40000}"/>
    <cellStyle name="Currency 6 5 7 3" xfId="37405" xr:uid="{00000000-0005-0000-0000-0000B0A40000}"/>
    <cellStyle name="Currency 6 5 8" xfId="15650" xr:uid="{00000000-0005-0000-0000-0000B1A40000}"/>
    <cellStyle name="Currency 6 5 8 2" xfId="44656" xr:uid="{00000000-0005-0000-0000-0000B2A40000}"/>
    <cellStyle name="Currency 6 5 9" xfId="30157" xr:uid="{00000000-0005-0000-0000-0000B3A40000}"/>
    <cellStyle name="Currency 6 6" xfId="288" xr:uid="{00000000-0005-0000-0000-0000B4A40000}"/>
    <cellStyle name="Currency 6 6 10" xfId="59173" xr:uid="{00000000-0005-0000-0000-0000B5A40000}"/>
    <cellStyle name="Currency 6 6 2" xfId="1486" xr:uid="{00000000-0005-0000-0000-0000B6A40000}"/>
    <cellStyle name="Currency 6 6 2 2" xfId="2544" xr:uid="{00000000-0005-0000-0000-0000B7A40000}"/>
    <cellStyle name="Currency 6 6 2 2 2" xfId="5648" xr:uid="{00000000-0005-0000-0000-0000B8A40000}"/>
    <cellStyle name="Currency 6 6 2 2 2 2" xfId="12920" xr:uid="{00000000-0005-0000-0000-0000B9A40000}"/>
    <cellStyle name="Currency 6 6 2 2 2 2 2" xfId="27454" xr:uid="{00000000-0005-0000-0000-0000BAA40000}"/>
    <cellStyle name="Currency 6 6 2 2 2 2 2 2" xfId="56460" xr:uid="{00000000-0005-0000-0000-0000BBA40000}"/>
    <cellStyle name="Currency 6 6 2 2 2 2 3" xfId="41961" xr:uid="{00000000-0005-0000-0000-0000BCA40000}"/>
    <cellStyle name="Currency 6 6 2 2 2 3" xfId="20206" xr:uid="{00000000-0005-0000-0000-0000BDA40000}"/>
    <cellStyle name="Currency 6 6 2 2 2 3 2" xfId="49212" xr:uid="{00000000-0005-0000-0000-0000BEA40000}"/>
    <cellStyle name="Currency 6 6 2 2 2 4" xfId="34713" xr:uid="{00000000-0005-0000-0000-0000BFA40000}"/>
    <cellStyle name="Currency 6 6 2 2 3" xfId="9816" xr:uid="{00000000-0005-0000-0000-0000C0A40000}"/>
    <cellStyle name="Currency 6 6 2 2 3 2" xfId="24350" xr:uid="{00000000-0005-0000-0000-0000C1A40000}"/>
    <cellStyle name="Currency 6 6 2 2 3 2 2" xfId="53356" xr:uid="{00000000-0005-0000-0000-0000C2A40000}"/>
    <cellStyle name="Currency 6 6 2 2 3 3" xfId="38857" xr:uid="{00000000-0005-0000-0000-0000C3A40000}"/>
    <cellStyle name="Currency 6 6 2 2 4" xfId="17102" xr:uid="{00000000-0005-0000-0000-0000C4A40000}"/>
    <cellStyle name="Currency 6 6 2 2 4 2" xfId="46108" xr:uid="{00000000-0005-0000-0000-0000C5A40000}"/>
    <cellStyle name="Currency 6 6 2 2 5" xfId="31609" xr:uid="{00000000-0005-0000-0000-0000C6A40000}"/>
    <cellStyle name="Currency 6 6 2 3" xfId="3576" xr:uid="{00000000-0005-0000-0000-0000C7A40000}"/>
    <cellStyle name="Currency 6 6 2 3 2" xfId="6680" xr:uid="{00000000-0005-0000-0000-0000C8A40000}"/>
    <cellStyle name="Currency 6 6 2 3 2 2" xfId="13952" xr:uid="{00000000-0005-0000-0000-0000C9A40000}"/>
    <cellStyle name="Currency 6 6 2 3 2 2 2" xfId="28486" xr:uid="{00000000-0005-0000-0000-0000CAA40000}"/>
    <cellStyle name="Currency 6 6 2 3 2 2 2 2" xfId="57492" xr:uid="{00000000-0005-0000-0000-0000CBA40000}"/>
    <cellStyle name="Currency 6 6 2 3 2 2 3" xfId="42993" xr:uid="{00000000-0005-0000-0000-0000CCA40000}"/>
    <cellStyle name="Currency 6 6 2 3 2 3" xfId="21238" xr:uid="{00000000-0005-0000-0000-0000CDA40000}"/>
    <cellStyle name="Currency 6 6 2 3 2 3 2" xfId="50244" xr:uid="{00000000-0005-0000-0000-0000CEA40000}"/>
    <cellStyle name="Currency 6 6 2 3 2 4" xfId="35745" xr:uid="{00000000-0005-0000-0000-0000CFA40000}"/>
    <cellStyle name="Currency 6 6 2 3 3" xfId="10848" xr:uid="{00000000-0005-0000-0000-0000D0A40000}"/>
    <cellStyle name="Currency 6 6 2 3 3 2" xfId="25382" xr:uid="{00000000-0005-0000-0000-0000D1A40000}"/>
    <cellStyle name="Currency 6 6 2 3 3 2 2" xfId="54388" xr:uid="{00000000-0005-0000-0000-0000D2A40000}"/>
    <cellStyle name="Currency 6 6 2 3 3 3" xfId="39889" xr:uid="{00000000-0005-0000-0000-0000D3A40000}"/>
    <cellStyle name="Currency 6 6 2 3 4" xfId="18134" xr:uid="{00000000-0005-0000-0000-0000D4A40000}"/>
    <cellStyle name="Currency 6 6 2 3 4 2" xfId="47140" xr:uid="{00000000-0005-0000-0000-0000D5A40000}"/>
    <cellStyle name="Currency 6 6 2 3 5" xfId="32641" xr:uid="{00000000-0005-0000-0000-0000D6A40000}"/>
    <cellStyle name="Currency 6 6 2 4" xfId="4608" xr:uid="{00000000-0005-0000-0000-0000D7A40000}"/>
    <cellStyle name="Currency 6 6 2 4 2" xfId="11880" xr:uid="{00000000-0005-0000-0000-0000D8A40000}"/>
    <cellStyle name="Currency 6 6 2 4 2 2" xfId="26414" xr:uid="{00000000-0005-0000-0000-0000D9A40000}"/>
    <cellStyle name="Currency 6 6 2 4 2 2 2" xfId="55420" xr:uid="{00000000-0005-0000-0000-0000DAA40000}"/>
    <cellStyle name="Currency 6 6 2 4 2 3" xfId="40921" xr:uid="{00000000-0005-0000-0000-0000DBA40000}"/>
    <cellStyle name="Currency 6 6 2 4 3" xfId="19166" xr:uid="{00000000-0005-0000-0000-0000DCA40000}"/>
    <cellStyle name="Currency 6 6 2 4 3 2" xfId="48172" xr:uid="{00000000-0005-0000-0000-0000DDA40000}"/>
    <cellStyle name="Currency 6 6 2 4 4" xfId="33673" xr:uid="{00000000-0005-0000-0000-0000DEA40000}"/>
    <cellStyle name="Currency 6 6 2 5" xfId="7712" xr:uid="{00000000-0005-0000-0000-0000DFA40000}"/>
    <cellStyle name="Currency 6 6 2 5 2" xfId="14984" xr:uid="{00000000-0005-0000-0000-0000E0A40000}"/>
    <cellStyle name="Currency 6 6 2 5 2 2" xfId="29518" xr:uid="{00000000-0005-0000-0000-0000E1A40000}"/>
    <cellStyle name="Currency 6 6 2 5 2 2 2" xfId="58524" xr:uid="{00000000-0005-0000-0000-0000E2A40000}"/>
    <cellStyle name="Currency 6 6 2 5 2 3" xfId="44025" xr:uid="{00000000-0005-0000-0000-0000E3A40000}"/>
    <cellStyle name="Currency 6 6 2 5 3" xfId="22270" xr:uid="{00000000-0005-0000-0000-0000E4A40000}"/>
    <cellStyle name="Currency 6 6 2 5 3 2" xfId="51276" xr:uid="{00000000-0005-0000-0000-0000E5A40000}"/>
    <cellStyle name="Currency 6 6 2 5 4" xfId="36777" xr:uid="{00000000-0005-0000-0000-0000E6A40000}"/>
    <cellStyle name="Currency 6 6 2 6" xfId="8776" xr:uid="{00000000-0005-0000-0000-0000E7A40000}"/>
    <cellStyle name="Currency 6 6 2 6 2" xfId="23310" xr:uid="{00000000-0005-0000-0000-0000E8A40000}"/>
    <cellStyle name="Currency 6 6 2 6 2 2" xfId="52316" xr:uid="{00000000-0005-0000-0000-0000E9A40000}"/>
    <cellStyle name="Currency 6 6 2 6 3" xfId="37817" xr:uid="{00000000-0005-0000-0000-0000EAA40000}"/>
    <cellStyle name="Currency 6 6 2 7" xfId="16062" xr:uid="{00000000-0005-0000-0000-0000EBA40000}"/>
    <cellStyle name="Currency 6 6 2 7 2" xfId="45068" xr:uid="{00000000-0005-0000-0000-0000ECA40000}"/>
    <cellStyle name="Currency 6 6 2 8" xfId="30569" xr:uid="{00000000-0005-0000-0000-0000EDA40000}"/>
    <cellStyle name="Currency 6 6 3" xfId="2032" xr:uid="{00000000-0005-0000-0000-0000EEA40000}"/>
    <cellStyle name="Currency 6 6 3 2" xfId="5136" xr:uid="{00000000-0005-0000-0000-0000EFA40000}"/>
    <cellStyle name="Currency 6 6 3 2 2" xfId="12408" xr:uid="{00000000-0005-0000-0000-0000F0A40000}"/>
    <cellStyle name="Currency 6 6 3 2 2 2" xfId="26942" xr:uid="{00000000-0005-0000-0000-0000F1A40000}"/>
    <cellStyle name="Currency 6 6 3 2 2 2 2" xfId="55948" xr:uid="{00000000-0005-0000-0000-0000F2A40000}"/>
    <cellStyle name="Currency 6 6 3 2 2 3" xfId="41449" xr:uid="{00000000-0005-0000-0000-0000F3A40000}"/>
    <cellStyle name="Currency 6 6 3 2 3" xfId="19694" xr:uid="{00000000-0005-0000-0000-0000F4A40000}"/>
    <cellStyle name="Currency 6 6 3 2 3 2" xfId="48700" xr:uid="{00000000-0005-0000-0000-0000F5A40000}"/>
    <cellStyle name="Currency 6 6 3 2 4" xfId="34201" xr:uid="{00000000-0005-0000-0000-0000F6A40000}"/>
    <cellStyle name="Currency 6 6 3 3" xfId="9304" xr:uid="{00000000-0005-0000-0000-0000F7A40000}"/>
    <cellStyle name="Currency 6 6 3 3 2" xfId="23838" xr:uid="{00000000-0005-0000-0000-0000F8A40000}"/>
    <cellStyle name="Currency 6 6 3 3 2 2" xfId="52844" xr:uid="{00000000-0005-0000-0000-0000F9A40000}"/>
    <cellStyle name="Currency 6 6 3 3 3" xfId="38345" xr:uid="{00000000-0005-0000-0000-0000FAA40000}"/>
    <cellStyle name="Currency 6 6 3 4" xfId="16590" xr:uid="{00000000-0005-0000-0000-0000FBA40000}"/>
    <cellStyle name="Currency 6 6 3 4 2" xfId="45596" xr:uid="{00000000-0005-0000-0000-0000FCA40000}"/>
    <cellStyle name="Currency 6 6 3 5" xfId="31097" xr:uid="{00000000-0005-0000-0000-0000FDA40000}"/>
    <cellStyle name="Currency 6 6 4" xfId="3064" xr:uid="{00000000-0005-0000-0000-0000FEA40000}"/>
    <cellStyle name="Currency 6 6 4 2" xfId="6168" xr:uid="{00000000-0005-0000-0000-0000FFA40000}"/>
    <cellStyle name="Currency 6 6 4 2 2" xfId="13440" xr:uid="{00000000-0005-0000-0000-000000A50000}"/>
    <cellStyle name="Currency 6 6 4 2 2 2" xfId="27974" xr:uid="{00000000-0005-0000-0000-000001A50000}"/>
    <cellStyle name="Currency 6 6 4 2 2 2 2" xfId="56980" xr:uid="{00000000-0005-0000-0000-000002A50000}"/>
    <cellStyle name="Currency 6 6 4 2 2 3" xfId="42481" xr:uid="{00000000-0005-0000-0000-000003A50000}"/>
    <cellStyle name="Currency 6 6 4 2 3" xfId="20726" xr:uid="{00000000-0005-0000-0000-000004A50000}"/>
    <cellStyle name="Currency 6 6 4 2 3 2" xfId="49732" xr:uid="{00000000-0005-0000-0000-000005A50000}"/>
    <cellStyle name="Currency 6 6 4 2 4" xfId="35233" xr:uid="{00000000-0005-0000-0000-000006A50000}"/>
    <cellStyle name="Currency 6 6 4 3" xfId="10336" xr:uid="{00000000-0005-0000-0000-000007A50000}"/>
    <cellStyle name="Currency 6 6 4 3 2" xfId="24870" xr:uid="{00000000-0005-0000-0000-000008A50000}"/>
    <cellStyle name="Currency 6 6 4 3 2 2" xfId="53876" xr:uid="{00000000-0005-0000-0000-000009A50000}"/>
    <cellStyle name="Currency 6 6 4 3 3" xfId="39377" xr:uid="{00000000-0005-0000-0000-00000AA50000}"/>
    <cellStyle name="Currency 6 6 4 4" xfId="17622" xr:uid="{00000000-0005-0000-0000-00000BA50000}"/>
    <cellStyle name="Currency 6 6 4 4 2" xfId="46628" xr:uid="{00000000-0005-0000-0000-00000CA50000}"/>
    <cellStyle name="Currency 6 6 4 5" xfId="32129" xr:uid="{00000000-0005-0000-0000-00000DA50000}"/>
    <cellStyle name="Currency 6 6 5" xfId="4096" xr:uid="{00000000-0005-0000-0000-00000EA50000}"/>
    <cellStyle name="Currency 6 6 5 2" xfId="11368" xr:uid="{00000000-0005-0000-0000-00000FA50000}"/>
    <cellStyle name="Currency 6 6 5 2 2" xfId="25902" xr:uid="{00000000-0005-0000-0000-000010A50000}"/>
    <cellStyle name="Currency 6 6 5 2 2 2" xfId="54908" xr:uid="{00000000-0005-0000-0000-000011A50000}"/>
    <cellStyle name="Currency 6 6 5 2 3" xfId="40409" xr:uid="{00000000-0005-0000-0000-000012A50000}"/>
    <cellStyle name="Currency 6 6 5 3" xfId="18654" xr:uid="{00000000-0005-0000-0000-000013A50000}"/>
    <cellStyle name="Currency 6 6 5 3 2" xfId="47660" xr:uid="{00000000-0005-0000-0000-000014A50000}"/>
    <cellStyle name="Currency 6 6 5 4" xfId="33161" xr:uid="{00000000-0005-0000-0000-000015A50000}"/>
    <cellStyle name="Currency 6 6 6" xfId="7200" xr:uid="{00000000-0005-0000-0000-000016A50000}"/>
    <cellStyle name="Currency 6 6 6 2" xfId="14472" xr:uid="{00000000-0005-0000-0000-000017A50000}"/>
    <cellStyle name="Currency 6 6 6 2 2" xfId="29006" xr:uid="{00000000-0005-0000-0000-000018A50000}"/>
    <cellStyle name="Currency 6 6 6 2 2 2" xfId="58012" xr:uid="{00000000-0005-0000-0000-000019A50000}"/>
    <cellStyle name="Currency 6 6 6 2 3" xfId="43513" xr:uid="{00000000-0005-0000-0000-00001AA50000}"/>
    <cellStyle name="Currency 6 6 6 3" xfId="21758" xr:uid="{00000000-0005-0000-0000-00001BA50000}"/>
    <cellStyle name="Currency 6 6 6 3 2" xfId="50764" xr:uid="{00000000-0005-0000-0000-00001CA50000}"/>
    <cellStyle name="Currency 6 6 6 4" xfId="36265" xr:uid="{00000000-0005-0000-0000-00001DA50000}"/>
    <cellStyle name="Currency 6 6 7" xfId="8264" xr:uid="{00000000-0005-0000-0000-00001EA50000}"/>
    <cellStyle name="Currency 6 6 7 2" xfId="22798" xr:uid="{00000000-0005-0000-0000-00001FA50000}"/>
    <cellStyle name="Currency 6 6 7 2 2" xfId="51804" xr:uid="{00000000-0005-0000-0000-000020A50000}"/>
    <cellStyle name="Currency 6 6 7 3" xfId="37305" xr:uid="{00000000-0005-0000-0000-000021A50000}"/>
    <cellStyle name="Currency 6 6 8" xfId="15550" xr:uid="{00000000-0005-0000-0000-000022A50000}"/>
    <cellStyle name="Currency 6 6 8 2" xfId="44556" xr:uid="{00000000-0005-0000-0000-000023A50000}"/>
    <cellStyle name="Currency 6 6 9" xfId="30057" xr:uid="{00000000-0005-0000-0000-000024A50000}"/>
    <cellStyle name="Currency 6 7" xfId="1283" xr:uid="{00000000-0005-0000-0000-000025A50000}"/>
    <cellStyle name="Currency 6 7 2" xfId="2338" xr:uid="{00000000-0005-0000-0000-000026A50000}"/>
    <cellStyle name="Currency 6 7 2 2" xfId="5442" xr:uid="{00000000-0005-0000-0000-000027A50000}"/>
    <cellStyle name="Currency 6 7 2 2 2" xfId="12714" xr:uid="{00000000-0005-0000-0000-000028A50000}"/>
    <cellStyle name="Currency 6 7 2 2 2 2" xfId="27248" xr:uid="{00000000-0005-0000-0000-000029A50000}"/>
    <cellStyle name="Currency 6 7 2 2 2 2 2" xfId="56254" xr:uid="{00000000-0005-0000-0000-00002AA50000}"/>
    <cellStyle name="Currency 6 7 2 2 2 3" xfId="41755" xr:uid="{00000000-0005-0000-0000-00002BA50000}"/>
    <cellStyle name="Currency 6 7 2 2 3" xfId="20000" xr:uid="{00000000-0005-0000-0000-00002CA50000}"/>
    <cellStyle name="Currency 6 7 2 2 3 2" xfId="49006" xr:uid="{00000000-0005-0000-0000-00002DA50000}"/>
    <cellStyle name="Currency 6 7 2 2 4" xfId="34507" xr:uid="{00000000-0005-0000-0000-00002EA50000}"/>
    <cellStyle name="Currency 6 7 2 3" xfId="9610" xr:uid="{00000000-0005-0000-0000-00002FA50000}"/>
    <cellStyle name="Currency 6 7 2 3 2" xfId="24144" xr:uid="{00000000-0005-0000-0000-000030A50000}"/>
    <cellStyle name="Currency 6 7 2 3 2 2" xfId="53150" xr:uid="{00000000-0005-0000-0000-000031A50000}"/>
    <cellStyle name="Currency 6 7 2 3 3" xfId="38651" xr:uid="{00000000-0005-0000-0000-000032A50000}"/>
    <cellStyle name="Currency 6 7 2 4" xfId="16896" xr:uid="{00000000-0005-0000-0000-000033A50000}"/>
    <cellStyle name="Currency 6 7 2 4 2" xfId="45902" xr:uid="{00000000-0005-0000-0000-000034A50000}"/>
    <cellStyle name="Currency 6 7 2 5" xfId="31403" xr:uid="{00000000-0005-0000-0000-000035A50000}"/>
    <cellStyle name="Currency 6 7 3" xfId="3370" xr:uid="{00000000-0005-0000-0000-000036A50000}"/>
    <cellStyle name="Currency 6 7 3 2" xfId="6474" xr:uid="{00000000-0005-0000-0000-000037A50000}"/>
    <cellStyle name="Currency 6 7 3 2 2" xfId="13746" xr:uid="{00000000-0005-0000-0000-000038A50000}"/>
    <cellStyle name="Currency 6 7 3 2 2 2" xfId="28280" xr:uid="{00000000-0005-0000-0000-000039A50000}"/>
    <cellStyle name="Currency 6 7 3 2 2 2 2" xfId="57286" xr:uid="{00000000-0005-0000-0000-00003AA50000}"/>
    <cellStyle name="Currency 6 7 3 2 2 3" xfId="42787" xr:uid="{00000000-0005-0000-0000-00003BA50000}"/>
    <cellStyle name="Currency 6 7 3 2 3" xfId="21032" xr:uid="{00000000-0005-0000-0000-00003CA50000}"/>
    <cellStyle name="Currency 6 7 3 2 3 2" xfId="50038" xr:uid="{00000000-0005-0000-0000-00003DA50000}"/>
    <cellStyle name="Currency 6 7 3 2 4" xfId="35539" xr:uid="{00000000-0005-0000-0000-00003EA50000}"/>
    <cellStyle name="Currency 6 7 3 3" xfId="10642" xr:uid="{00000000-0005-0000-0000-00003FA50000}"/>
    <cellStyle name="Currency 6 7 3 3 2" xfId="25176" xr:uid="{00000000-0005-0000-0000-000040A50000}"/>
    <cellStyle name="Currency 6 7 3 3 2 2" xfId="54182" xr:uid="{00000000-0005-0000-0000-000041A50000}"/>
    <cellStyle name="Currency 6 7 3 3 3" xfId="39683" xr:uid="{00000000-0005-0000-0000-000042A50000}"/>
    <cellStyle name="Currency 6 7 3 4" xfId="17928" xr:uid="{00000000-0005-0000-0000-000043A50000}"/>
    <cellStyle name="Currency 6 7 3 4 2" xfId="46934" xr:uid="{00000000-0005-0000-0000-000044A50000}"/>
    <cellStyle name="Currency 6 7 3 5" xfId="32435" xr:uid="{00000000-0005-0000-0000-000045A50000}"/>
    <cellStyle name="Currency 6 7 4" xfId="4402" xr:uid="{00000000-0005-0000-0000-000046A50000}"/>
    <cellStyle name="Currency 6 7 4 2" xfId="11674" xr:uid="{00000000-0005-0000-0000-000047A50000}"/>
    <cellStyle name="Currency 6 7 4 2 2" xfId="26208" xr:uid="{00000000-0005-0000-0000-000048A50000}"/>
    <cellStyle name="Currency 6 7 4 2 2 2" xfId="55214" xr:uid="{00000000-0005-0000-0000-000049A50000}"/>
    <cellStyle name="Currency 6 7 4 2 3" xfId="40715" xr:uid="{00000000-0005-0000-0000-00004AA50000}"/>
    <cellStyle name="Currency 6 7 4 3" xfId="18960" xr:uid="{00000000-0005-0000-0000-00004BA50000}"/>
    <cellStyle name="Currency 6 7 4 3 2" xfId="47966" xr:uid="{00000000-0005-0000-0000-00004CA50000}"/>
    <cellStyle name="Currency 6 7 4 4" xfId="33467" xr:uid="{00000000-0005-0000-0000-00004DA50000}"/>
    <cellStyle name="Currency 6 7 5" xfId="7506" xr:uid="{00000000-0005-0000-0000-00004EA50000}"/>
    <cellStyle name="Currency 6 7 5 2" xfId="14778" xr:uid="{00000000-0005-0000-0000-00004FA50000}"/>
    <cellStyle name="Currency 6 7 5 2 2" xfId="29312" xr:uid="{00000000-0005-0000-0000-000050A50000}"/>
    <cellStyle name="Currency 6 7 5 2 2 2" xfId="58318" xr:uid="{00000000-0005-0000-0000-000051A50000}"/>
    <cellStyle name="Currency 6 7 5 2 3" xfId="43819" xr:uid="{00000000-0005-0000-0000-000052A50000}"/>
    <cellStyle name="Currency 6 7 5 3" xfId="22064" xr:uid="{00000000-0005-0000-0000-000053A50000}"/>
    <cellStyle name="Currency 6 7 5 3 2" xfId="51070" xr:uid="{00000000-0005-0000-0000-000054A50000}"/>
    <cellStyle name="Currency 6 7 5 4" xfId="36571" xr:uid="{00000000-0005-0000-0000-000055A50000}"/>
    <cellStyle name="Currency 6 7 6" xfId="8570" xr:uid="{00000000-0005-0000-0000-000056A50000}"/>
    <cellStyle name="Currency 6 7 6 2" xfId="23104" xr:uid="{00000000-0005-0000-0000-000057A50000}"/>
    <cellStyle name="Currency 6 7 6 2 2" xfId="52110" xr:uid="{00000000-0005-0000-0000-000058A50000}"/>
    <cellStyle name="Currency 6 7 6 3" xfId="37611" xr:uid="{00000000-0005-0000-0000-000059A50000}"/>
    <cellStyle name="Currency 6 7 7" xfId="15856" xr:uid="{00000000-0005-0000-0000-00005AA50000}"/>
    <cellStyle name="Currency 6 7 7 2" xfId="44862" xr:uid="{00000000-0005-0000-0000-00005BA50000}"/>
    <cellStyle name="Currency 6 7 8" xfId="30363" xr:uid="{00000000-0005-0000-0000-00005CA50000}"/>
    <cellStyle name="Currency 6 7 9" xfId="59492" xr:uid="{00000000-0005-0000-0000-00005DA50000}"/>
    <cellStyle name="Currency 6 8" xfId="1826" xr:uid="{00000000-0005-0000-0000-00005EA50000}"/>
    <cellStyle name="Currency 6 8 2" xfId="4930" xr:uid="{00000000-0005-0000-0000-00005FA50000}"/>
    <cellStyle name="Currency 6 8 2 2" xfId="12202" xr:uid="{00000000-0005-0000-0000-000060A50000}"/>
    <cellStyle name="Currency 6 8 2 2 2" xfId="26736" xr:uid="{00000000-0005-0000-0000-000061A50000}"/>
    <cellStyle name="Currency 6 8 2 2 2 2" xfId="55742" xr:uid="{00000000-0005-0000-0000-000062A50000}"/>
    <cellStyle name="Currency 6 8 2 2 3" xfId="41243" xr:uid="{00000000-0005-0000-0000-000063A50000}"/>
    <cellStyle name="Currency 6 8 2 3" xfId="19488" xr:uid="{00000000-0005-0000-0000-000064A50000}"/>
    <cellStyle name="Currency 6 8 2 3 2" xfId="48494" xr:uid="{00000000-0005-0000-0000-000065A50000}"/>
    <cellStyle name="Currency 6 8 2 4" xfId="33995" xr:uid="{00000000-0005-0000-0000-000066A50000}"/>
    <cellStyle name="Currency 6 8 3" xfId="9098" xr:uid="{00000000-0005-0000-0000-000067A50000}"/>
    <cellStyle name="Currency 6 8 3 2" xfId="23632" xr:uid="{00000000-0005-0000-0000-000068A50000}"/>
    <cellStyle name="Currency 6 8 3 2 2" xfId="52638" xr:uid="{00000000-0005-0000-0000-000069A50000}"/>
    <cellStyle name="Currency 6 8 3 3" xfId="38139" xr:uid="{00000000-0005-0000-0000-00006AA50000}"/>
    <cellStyle name="Currency 6 8 4" xfId="16384" xr:uid="{00000000-0005-0000-0000-00006BA50000}"/>
    <cellStyle name="Currency 6 8 4 2" xfId="45390" xr:uid="{00000000-0005-0000-0000-00006CA50000}"/>
    <cellStyle name="Currency 6 8 5" xfId="30891" xr:uid="{00000000-0005-0000-0000-00006DA50000}"/>
    <cellStyle name="Currency 6 9" xfId="2858" xr:uid="{00000000-0005-0000-0000-00006EA50000}"/>
    <cellStyle name="Currency 6 9 2" xfId="5962" xr:uid="{00000000-0005-0000-0000-00006FA50000}"/>
    <cellStyle name="Currency 6 9 2 2" xfId="13234" xr:uid="{00000000-0005-0000-0000-000070A50000}"/>
    <cellStyle name="Currency 6 9 2 2 2" xfId="27768" xr:uid="{00000000-0005-0000-0000-000071A50000}"/>
    <cellStyle name="Currency 6 9 2 2 2 2" xfId="56774" xr:uid="{00000000-0005-0000-0000-000072A50000}"/>
    <cellStyle name="Currency 6 9 2 2 3" xfId="42275" xr:uid="{00000000-0005-0000-0000-000073A50000}"/>
    <cellStyle name="Currency 6 9 2 3" xfId="20520" xr:uid="{00000000-0005-0000-0000-000074A50000}"/>
    <cellStyle name="Currency 6 9 2 3 2" xfId="49526" xr:uid="{00000000-0005-0000-0000-000075A50000}"/>
    <cellStyle name="Currency 6 9 2 4" xfId="35027" xr:uid="{00000000-0005-0000-0000-000076A50000}"/>
    <cellStyle name="Currency 6 9 3" xfId="10130" xr:uid="{00000000-0005-0000-0000-000077A50000}"/>
    <cellStyle name="Currency 6 9 3 2" xfId="24664" xr:uid="{00000000-0005-0000-0000-000078A50000}"/>
    <cellStyle name="Currency 6 9 3 2 2" xfId="53670" xr:uid="{00000000-0005-0000-0000-000079A50000}"/>
    <cellStyle name="Currency 6 9 3 3" xfId="39171" xr:uid="{00000000-0005-0000-0000-00007AA50000}"/>
    <cellStyle name="Currency 6 9 4" xfId="17416" xr:uid="{00000000-0005-0000-0000-00007BA50000}"/>
    <cellStyle name="Currency 6 9 4 2" xfId="46422" xr:uid="{00000000-0005-0000-0000-00007CA50000}"/>
    <cellStyle name="Currency 6 9 5" xfId="31923" xr:uid="{00000000-0005-0000-0000-00007DA50000}"/>
    <cellStyle name="Currency 7" xfId="135" xr:uid="{00000000-0005-0000-0000-00007EA50000}"/>
    <cellStyle name="Currency 7 10" xfId="8088" xr:uid="{00000000-0005-0000-0000-00007FA50000}"/>
    <cellStyle name="Currency 7 10 2" xfId="22622" xr:uid="{00000000-0005-0000-0000-000080A50000}"/>
    <cellStyle name="Currency 7 10 2 2" xfId="51628" xr:uid="{00000000-0005-0000-0000-000081A50000}"/>
    <cellStyle name="Currency 7 10 3" xfId="37129" xr:uid="{00000000-0005-0000-0000-000082A50000}"/>
    <cellStyle name="Currency 7 11" xfId="15374" xr:uid="{00000000-0005-0000-0000-000083A50000}"/>
    <cellStyle name="Currency 7 11 2" xfId="44380" xr:uid="{00000000-0005-0000-0000-000084A50000}"/>
    <cellStyle name="Currency 7 12" xfId="29881" xr:uid="{00000000-0005-0000-0000-000085A50000}"/>
    <cellStyle name="Currency 7 13" xfId="58877" xr:uid="{00000000-0005-0000-0000-000086A50000}"/>
    <cellStyle name="Currency 7 14" xfId="58960" xr:uid="{00000000-0005-0000-0000-000087A50000}"/>
    <cellStyle name="Currency 7 15" xfId="59186" xr:uid="{00000000-0005-0000-0000-000088A50000}"/>
    <cellStyle name="Currency 7 2" xfId="166" xr:uid="{00000000-0005-0000-0000-000089A50000}"/>
    <cellStyle name="Currency 7 2 10" xfId="29984" xr:uid="{00000000-0005-0000-0000-00008AA50000}"/>
    <cellStyle name="Currency 7 2 11" xfId="58895" xr:uid="{00000000-0005-0000-0000-00008BA50000}"/>
    <cellStyle name="Currency 7 2 12" xfId="58990" xr:uid="{00000000-0005-0000-0000-00008CA50000}"/>
    <cellStyle name="Currency 7 2 13" xfId="59245" xr:uid="{00000000-0005-0000-0000-00008DA50000}"/>
    <cellStyle name="Currency 7 2 2" xfId="240" xr:uid="{00000000-0005-0000-0000-00008EA50000}"/>
    <cellStyle name="Currency 7 2 2 10" xfId="58914" xr:uid="{00000000-0005-0000-0000-00008FA50000}"/>
    <cellStyle name="Currency 7 2 2 11" xfId="59064" xr:uid="{00000000-0005-0000-0000-000090A50000}"/>
    <cellStyle name="Currency 7 2 2 12" xfId="59385" xr:uid="{00000000-0005-0000-0000-000091A50000}"/>
    <cellStyle name="Currency 7 2 2 2" xfId="1718" xr:uid="{00000000-0005-0000-0000-000092A50000}"/>
    <cellStyle name="Currency 7 2 2 2 2" xfId="2777" xr:uid="{00000000-0005-0000-0000-000093A50000}"/>
    <cellStyle name="Currency 7 2 2 2 2 2" xfId="5881" xr:uid="{00000000-0005-0000-0000-000094A50000}"/>
    <cellStyle name="Currency 7 2 2 2 2 2 2" xfId="13153" xr:uid="{00000000-0005-0000-0000-000095A50000}"/>
    <cellStyle name="Currency 7 2 2 2 2 2 2 2" xfId="27687" xr:uid="{00000000-0005-0000-0000-000096A50000}"/>
    <cellStyle name="Currency 7 2 2 2 2 2 2 2 2" xfId="56693" xr:uid="{00000000-0005-0000-0000-000097A50000}"/>
    <cellStyle name="Currency 7 2 2 2 2 2 2 3" xfId="42194" xr:uid="{00000000-0005-0000-0000-000098A50000}"/>
    <cellStyle name="Currency 7 2 2 2 2 2 3" xfId="20439" xr:uid="{00000000-0005-0000-0000-000099A50000}"/>
    <cellStyle name="Currency 7 2 2 2 2 2 3 2" xfId="49445" xr:uid="{00000000-0005-0000-0000-00009AA50000}"/>
    <cellStyle name="Currency 7 2 2 2 2 2 4" xfId="34946" xr:uid="{00000000-0005-0000-0000-00009BA50000}"/>
    <cellStyle name="Currency 7 2 2 2 2 3" xfId="10049" xr:uid="{00000000-0005-0000-0000-00009CA50000}"/>
    <cellStyle name="Currency 7 2 2 2 2 3 2" xfId="24583" xr:uid="{00000000-0005-0000-0000-00009DA50000}"/>
    <cellStyle name="Currency 7 2 2 2 2 3 2 2" xfId="53589" xr:uid="{00000000-0005-0000-0000-00009EA50000}"/>
    <cellStyle name="Currency 7 2 2 2 2 3 3" xfId="39090" xr:uid="{00000000-0005-0000-0000-00009FA50000}"/>
    <cellStyle name="Currency 7 2 2 2 2 4" xfId="17335" xr:uid="{00000000-0005-0000-0000-0000A0A50000}"/>
    <cellStyle name="Currency 7 2 2 2 2 4 2" xfId="46341" xr:uid="{00000000-0005-0000-0000-0000A1A50000}"/>
    <cellStyle name="Currency 7 2 2 2 2 5" xfId="31842" xr:uid="{00000000-0005-0000-0000-0000A2A50000}"/>
    <cellStyle name="Currency 7 2 2 2 3" xfId="3809" xr:uid="{00000000-0005-0000-0000-0000A3A50000}"/>
    <cellStyle name="Currency 7 2 2 2 3 2" xfId="6913" xr:uid="{00000000-0005-0000-0000-0000A4A50000}"/>
    <cellStyle name="Currency 7 2 2 2 3 2 2" xfId="14185" xr:uid="{00000000-0005-0000-0000-0000A5A50000}"/>
    <cellStyle name="Currency 7 2 2 2 3 2 2 2" xfId="28719" xr:uid="{00000000-0005-0000-0000-0000A6A50000}"/>
    <cellStyle name="Currency 7 2 2 2 3 2 2 2 2" xfId="57725" xr:uid="{00000000-0005-0000-0000-0000A7A50000}"/>
    <cellStyle name="Currency 7 2 2 2 3 2 2 3" xfId="43226" xr:uid="{00000000-0005-0000-0000-0000A8A50000}"/>
    <cellStyle name="Currency 7 2 2 2 3 2 3" xfId="21471" xr:uid="{00000000-0005-0000-0000-0000A9A50000}"/>
    <cellStyle name="Currency 7 2 2 2 3 2 3 2" xfId="50477" xr:uid="{00000000-0005-0000-0000-0000AAA50000}"/>
    <cellStyle name="Currency 7 2 2 2 3 2 4" xfId="35978" xr:uid="{00000000-0005-0000-0000-0000ABA50000}"/>
    <cellStyle name="Currency 7 2 2 2 3 3" xfId="11081" xr:uid="{00000000-0005-0000-0000-0000ACA50000}"/>
    <cellStyle name="Currency 7 2 2 2 3 3 2" xfId="25615" xr:uid="{00000000-0005-0000-0000-0000ADA50000}"/>
    <cellStyle name="Currency 7 2 2 2 3 3 2 2" xfId="54621" xr:uid="{00000000-0005-0000-0000-0000AEA50000}"/>
    <cellStyle name="Currency 7 2 2 2 3 3 3" xfId="40122" xr:uid="{00000000-0005-0000-0000-0000AFA50000}"/>
    <cellStyle name="Currency 7 2 2 2 3 4" xfId="18367" xr:uid="{00000000-0005-0000-0000-0000B0A50000}"/>
    <cellStyle name="Currency 7 2 2 2 3 4 2" xfId="47373" xr:uid="{00000000-0005-0000-0000-0000B1A50000}"/>
    <cellStyle name="Currency 7 2 2 2 3 5" xfId="32874" xr:uid="{00000000-0005-0000-0000-0000B2A50000}"/>
    <cellStyle name="Currency 7 2 2 2 4" xfId="4841" xr:uid="{00000000-0005-0000-0000-0000B3A50000}"/>
    <cellStyle name="Currency 7 2 2 2 4 2" xfId="12113" xr:uid="{00000000-0005-0000-0000-0000B4A50000}"/>
    <cellStyle name="Currency 7 2 2 2 4 2 2" xfId="26647" xr:uid="{00000000-0005-0000-0000-0000B5A50000}"/>
    <cellStyle name="Currency 7 2 2 2 4 2 2 2" xfId="55653" xr:uid="{00000000-0005-0000-0000-0000B6A50000}"/>
    <cellStyle name="Currency 7 2 2 2 4 2 3" xfId="41154" xr:uid="{00000000-0005-0000-0000-0000B7A50000}"/>
    <cellStyle name="Currency 7 2 2 2 4 3" xfId="19399" xr:uid="{00000000-0005-0000-0000-0000B8A50000}"/>
    <cellStyle name="Currency 7 2 2 2 4 3 2" xfId="48405" xr:uid="{00000000-0005-0000-0000-0000B9A50000}"/>
    <cellStyle name="Currency 7 2 2 2 4 4" xfId="33906" xr:uid="{00000000-0005-0000-0000-0000BAA50000}"/>
    <cellStyle name="Currency 7 2 2 2 5" xfId="7945" xr:uid="{00000000-0005-0000-0000-0000BBA50000}"/>
    <cellStyle name="Currency 7 2 2 2 5 2" xfId="15217" xr:uid="{00000000-0005-0000-0000-0000BCA50000}"/>
    <cellStyle name="Currency 7 2 2 2 5 2 2" xfId="29751" xr:uid="{00000000-0005-0000-0000-0000BDA50000}"/>
    <cellStyle name="Currency 7 2 2 2 5 2 2 2" xfId="58757" xr:uid="{00000000-0005-0000-0000-0000BEA50000}"/>
    <cellStyle name="Currency 7 2 2 2 5 2 3" xfId="44258" xr:uid="{00000000-0005-0000-0000-0000BFA50000}"/>
    <cellStyle name="Currency 7 2 2 2 5 3" xfId="22503" xr:uid="{00000000-0005-0000-0000-0000C0A50000}"/>
    <cellStyle name="Currency 7 2 2 2 5 3 2" xfId="51509" xr:uid="{00000000-0005-0000-0000-0000C1A50000}"/>
    <cellStyle name="Currency 7 2 2 2 5 4" xfId="37010" xr:uid="{00000000-0005-0000-0000-0000C2A50000}"/>
    <cellStyle name="Currency 7 2 2 2 6" xfId="9009" xr:uid="{00000000-0005-0000-0000-0000C3A50000}"/>
    <cellStyle name="Currency 7 2 2 2 6 2" xfId="23543" xr:uid="{00000000-0005-0000-0000-0000C4A50000}"/>
    <cellStyle name="Currency 7 2 2 2 6 2 2" xfId="52549" xr:uid="{00000000-0005-0000-0000-0000C5A50000}"/>
    <cellStyle name="Currency 7 2 2 2 6 3" xfId="38050" xr:uid="{00000000-0005-0000-0000-0000C6A50000}"/>
    <cellStyle name="Currency 7 2 2 2 7" xfId="16295" xr:uid="{00000000-0005-0000-0000-0000C7A50000}"/>
    <cellStyle name="Currency 7 2 2 2 7 2" xfId="45301" xr:uid="{00000000-0005-0000-0000-0000C8A50000}"/>
    <cellStyle name="Currency 7 2 2 2 8" xfId="30802" xr:uid="{00000000-0005-0000-0000-0000C9A50000}"/>
    <cellStyle name="Currency 7 2 2 2 9" xfId="59616" xr:uid="{00000000-0005-0000-0000-0000CAA50000}"/>
    <cellStyle name="Currency 7 2 2 3" xfId="2265" xr:uid="{00000000-0005-0000-0000-0000CBA50000}"/>
    <cellStyle name="Currency 7 2 2 3 2" xfId="5369" xr:uid="{00000000-0005-0000-0000-0000CCA50000}"/>
    <cellStyle name="Currency 7 2 2 3 2 2" xfId="12641" xr:uid="{00000000-0005-0000-0000-0000CDA50000}"/>
    <cellStyle name="Currency 7 2 2 3 2 2 2" xfId="27175" xr:uid="{00000000-0005-0000-0000-0000CEA50000}"/>
    <cellStyle name="Currency 7 2 2 3 2 2 2 2" xfId="56181" xr:uid="{00000000-0005-0000-0000-0000CFA50000}"/>
    <cellStyle name="Currency 7 2 2 3 2 2 3" xfId="41682" xr:uid="{00000000-0005-0000-0000-0000D0A50000}"/>
    <cellStyle name="Currency 7 2 2 3 2 3" xfId="19927" xr:uid="{00000000-0005-0000-0000-0000D1A50000}"/>
    <cellStyle name="Currency 7 2 2 3 2 3 2" xfId="48933" xr:uid="{00000000-0005-0000-0000-0000D2A50000}"/>
    <cellStyle name="Currency 7 2 2 3 2 4" xfId="34434" xr:uid="{00000000-0005-0000-0000-0000D3A50000}"/>
    <cellStyle name="Currency 7 2 2 3 3" xfId="9537" xr:uid="{00000000-0005-0000-0000-0000D4A50000}"/>
    <cellStyle name="Currency 7 2 2 3 3 2" xfId="24071" xr:uid="{00000000-0005-0000-0000-0000D5A50000}"/>
    <cellStyle name="Currency 7 2 2 3 3 2 2" xfId="53077" xr:uid="{00000000-0005-0000-0000-0000D6A50000}"/>
    <cellStyle name="Currency 7 2 2 3 3 3" xfId="38578" xr:uid="{00000000-0005-0000-0000-0000D7A50000}"/>
    <cellStyle name="Currency 7 2 2 3 4" xfId="16823" xr:uid="{00000000-0005-0000-0000-0000D8A50000}"/>
    <cellStyle name="Currency 7 2 2 3 4 2" xfId="45829" xr:uid="{00000000-0005-0000-0000-0000D9A50000}"/>
    <cellStyle name="Currency 7 2 2 3 5" xfId="31330" xr:uid="{00000000-0005-0000-0000-0000DAA50000}"/>
    <cellStyle name="Currency 7 2 2 4" xfId="3297" xr:uid="{00000000-0005-0000-0000-0000DBA50000}"/>
    <cellStyle name="Currency 7 2 2 4 2" xfId="6401" xr:uid="{00000000-0005-0000-0000-0000DCA50000}"/>
    <cellStyle name="Currency 7 2 2 4 2 2" xfId="13673" xr:uid="{00000000-0005-0000-0000-0000DDA50000}"/>
    <cellStyle name="Currency 7 2 2 4 2 2 2" xfId="28207" xr:uid="{00000000-0005-0000-0000-0000DEA50000}"/>
    <cellStyle name="Currency 7 2 2 4 2 2 2 2" xfId="57213" xr:uid="{00000000-0005-0000-0000-0000DFA50000}"/>
    <cellStyle name="Currency 7 2 2 4 2 2 3" xfId="42714" xr:uid="{00000000-0005-0000-0000-0000E0A50000}"/>
    <cellStyle name="Currency 7 2 2 4 2 3" xfId="20959" xr:uid="{00000000-0005-0000-0000-0000E1A50000}"/>
    <cellStyle name="Currency 7 2 2 4 2 3 2" xfId="49965" xr:uid="{00000000-0005-0000-0000-0000E2A50000}"/>
    <cellStyle name="Currency 7 2 2 4 2 4" xfId="35466" xr:uid="{00000000-0005-0000-0000-0000E3A50000}"/>
    <cellStyle name="Currency 7 2 2 4 3" xfId="10569" xr:uid="{00000000-0005-0000-0000-0000E4A50000}"/>
    <cellStyle name="Currency 7 2 2 4 3 2" xfId="25103" xr:uid="{00000000-0005-0000-0000-0000E5A50000}"/>
    <cellStyle name="Currency 7 2 2 4 3 2 2" xfId="54109" xr:uid="{00000000-0005-0000-0000-0000E6A50000}"/>
    <cellStyle name="Currency 7 2 2 4 3 3" xfId="39610" xr:uid="{00000000-0005-0000-0000-0000E7A50000}"/>
    <cellStyle name="Currency 7 2 2 4 4" xfId="17855" xr:uid="{00000000-0005-0000-0000-0000E8A50000}"/>
    <cellStyle name="Currency 7 2 2 4 4 2" xfId="46861" xr:uid="{00000000-0005-0000-0000-0000E9A50000}"/>
    <cellStyle name="Currency 7 2 2 4 5" xfId="32362" xr:uid="{00000000-0005-0000-0000-0000EAA50000}"/>
    <cellStyle name="Currency 7 2 2 5" xfId="4329" xr:uid="{00000000-0005-0000-0000-0000EBA50000}"/>
    <cellStyle name="Currency 7 2 2 5 2" xfId="11601" xr:uid="{00000000-0005-0000-0000-0000ECA50000}"/>
    <cellStyle name="Currency 7 2 2 5 2 2" xfId="26135" xr:uid="{00000000-0005-0000-0000-0000EDA50000}"/>
    <cellStyle name="Currency 7 2 2 5 2 2 2" xfId="55141" xr:uid="{00000000-0005-0000-0000-0000EEA50000}"/>
    <cellStyle name="Currency 7 2 2 5 2 3" xfId="40642" xr:uid="{00000000-0005-0000-0000-0000EFA50000}"/>
    <cellStyle name="Currency 7 2 2 5 3" xfId="18887" xr:uid="{00000000-0005-0000-0000-0000F0A50000}"/>
    <cellStyle name="Currency 7 2 2 5 3 2" xfId="47893" xr:uid="{00000000-0005-0000-0000-0000F1A50000}"/>
    <cellStyle name="Currency 7 2 2 5 4" xfId="33394" xr:uid="{00000000-0005-0000-0000-0000F2A50000}"/>
    <cellStyle name="Currency 7 2 2 6" xfId="7433" xr:uid="{00000000-0005-0000-0000-0000F3A50000}"/>
    <cellStyle name="Currency 7 2 2 6 2" xfId="14705" xr:uid="{00000000-0005-0000-0000-0000F4A50000}"/>
    <cellStyle name="Currency 7 2 2 6 2 2" xfId="29239" xr:uid="{00000000-0005-0000-0000-0000F5A50000}"/>
    <cellStyle name="Currency 7 2 2 6 2 2 2" xfId="58245" xr:uid="{00000000-0005-0000-0000-0000F6A50000}"/>
    <cellStyle name="Currency 7 2 2 6 2 3" xfId="43746" xr:uid="{00000000-0005-0000-0000-0000F7A50000}"/>
    <cellStyle name="Currency 7 2 2 6 3" xfId="21991" xr:uid="{00000000-0005-0000-0000-0000F8A50000}"/>
    <cellStyle name="Currency 7 2 2 6 3 2" xfId="50997" xr:uid="{00000000-0005-0000-0000-0000F9A50000}"/>
    <cellStyle name="Currency 7 2 2 6 4" xfId="36498" xr:uid="{00000000-0005-0000-0000-0000FAA50000}"/>
    <cellStyle name="Currency 7 2 2 7" xfId="8497" xr:uid="{00000000-0005-0000-0000-0000FBA50000}"/>
    <cellStyle name="Currency 7 2 2 7 2" xfId="23031" xr:uid="{00000000-0005-0000-0000-0000FCA50000}"/>
    <cellStyle name="Currency 7 2 2 7 2 2" xfId="52037" xr:uid="{00000000-0005-0000-0000-0000FDA50000}"/>
    <cellStyle name="Currency 7 2 2 7 3" xfId="37538" xr:uid="{00000000-0005-0000-0000-0000FEA50000}"/>
    <cellStyle name="Currency 7 2 2 8" xfId="15783" xr:uid="{00000000-0005-0000-0000-0000FFA50000}"/>
    <cellStyle name="Currency 7 2 2 8 2" xfId="44789" xr:uid="{00000000-0005-0000-0000-000000A60000}"/>
    <cellStyle name="Currency 7 2 2 9" xfId="30290" xr:uid="{00000000-0005-0000-0000-000001A60000}"/>
    <cellStyle name="Currency 7 2 3" xfId="1413" xr:uid="{00000000-0005-0000-0000-000002A60000}"/>
    <cellStyle name="Currency 7 2 3 2" xfId="2471" xr:uid="{00000000-0005-0000-0000-000003A60000}"/>
    <cellStyle name="Currency 7 2 3 2 2" xfId="5575" xr:uid="{00000000-0005-0000-0000-000004A60000}"/>
    <cellStyle name="Currency 7 2 3 2 2 2" xfId="12847" xr:uid="{00000000-0005-0000-0000-000005A60000}"/>
    <cellStyle name="Currency 7 2 3 2 2 2 2" xfId="27381" xr:uid="{00000000-0005-0000-0000-000006A60000}"/>
    <cellStyle name="Currency 7 2 3 2 2 2 2 2" xfId="56387" xr:uid="{00000000-0005-0000-0000-000007A60000}"/>
    <cellStyle name="Currency 7 2 3 2 2 2 3" xfId="41888" xr:uid="{00000000-0005-0000-0000-000008A60000}"/>
    <cellStyle name="Currency 7 2 3 2 2 3" xfId="20133" xr:uid="{00000000-0005-0000-0000-000009A60000}"/>
    <cellStyle name="Currency 7 2 3 2 2 3 2" xfId="49139" xr:uid="{00000000-0005-0000-0000-00000AA60000}"/>
    <cellStyle name="Currency 7 2 3 2 2 4" xfId="34640" xr:uid="{00000000-0005-0000-0000-00000BA60000}"/>
    <cellStyle name="Currency 7 2 3 2 3" xfId="9743" xr:uid="{00000000-0005-0000-0000-00000CA60000}"/>
    <cellStyle name="Currency 7 2 3 2 3 2" xfId="24277" xr:uid="{00000000-0005-0000-0000-00000DA60000}"/>
    <cellStyle name="Currency 7 2 3 2 3 2 2" xfId="53283" xr:uid="{00000000-0005-0000-0000-00000EA60000}"/>
    <cellStyle name="Currency 7 2 3 2 3 3" xfId="38784" xr:uid="{00000000-0005-0000-0000-00000FA60000}"/>
    <cellStyle name="Currency 7 2 3 2 4" xfId="17029" xr:uid="{00000000-0005-0000-0000-000010A60000}"/>
    <cellStyle name="Currency 7 2 3 2 4 2" xfId="46035" xr:uid="{00000000-0005-0000-0000-000011A60000}"/>
    <cellStyle name="Currency 7 2 3 2 5" xfId="31536" xr:uid="{00000000-0005-0000-0000-000012A60000}"/>
    <cellStyle name="Currency 7 2 3 3" xfId="3503" xr:uid="{00000000-0005-0000-0000-000013A60000}"/>
    <cellStyle name="Currency 7 2 3 3 2" xfId="6607" xr:uid="{00000000-0005-0000-0000-000014A60000}"/>
    <cellStyle name="Currency 7 2 3 3 2 2" xfId="13879" xr:uid="{00000000-0005-0000-0000-000015A60000}"/>
    <cellStyle name="Currency 7 2 3 3 2 2 2" xfId="28413" xr:uid="{00000000-0005-0000-0000-000016A60000}"/>
    <cellStyle name="Currency 7 2 3 3 2 2 2 2" xfId="57419" xr:uid="{00000000-0005-0000-0000-000017A60000}"/>
    <cellStyle name="Currency 7 2 3 3 2 2 3" xfId="42920" xr:uid="{00000000-0005-0000-0000-000018A60000}"/>
    <cellStyle name="Currency 7 2 3 3 2 3" xfId="21165" xr:uid="{00000000-0005-0000-0000-000019A60000}"/>
    <cellStyle name="Currency 7 2 3 3 2 3 2" xfId="50171" xr:uid="{00000000-0005-0000-0000-00001AA60000}"/>
    <cellStyle name="Currency 7 2 3 3 2 4" xfId="35672" xr:uid="{00000000-0005-0000-0000-00001BA60000}"/>
    <cellStyle name="Currency 7 2 3 3 3" xfId="10775" xr:uid="{00000000-0005-0000-0000-00001CA60000}"/>
    <cellStyle name="Currency 7 2 3 3 3 2" xfId="25309" xr:uid="{00000000-0005-0000-0000-00001DA60000}"/>
    <cellStyle name="Currency 7 2 3 3 3 2 2" xfId="54315" xr:uid="{00000000-0005-0000-0000-00001EA60000}"/>
    <cellStyle name="Currency 7 2 3 3 3 3" xfId="39816" xr:uid="{00000000-0005-0000-0000-00001FA60000}"/>
    <cellStyle name="Currency 7 2 3 3 4" xfId="18061" xr:uid="{00000000-0005-0000-0000-000020A60000}"/>
    <cellStyle name="Currency 7 2 3 3 4 2" xfId="47067" xr:uid="{00000000-0005-0000-0000-000021A60000}"/>
    <cellStyle name="Currency 7 2 3 3 5" xfId="32568" xr:uid="{00000000-0005-0000-0000-000022A60000}"/>
    <cellStyle name="Currency 7 2 3 4" xfId="4535" xr:uid="{00000000-0005-0000-0000-000023A60000}"/>
    <cellStyle name="Currency 7 2 3 4 2" xfId="11807" xr:uid="{00000000-0005-0000-0000-000024A60000}"/>
    <cellStyle name="Currency 7 2 3 4 2 2" xfId="26341" xr:uid="{00000000-0005-0000-0000-000025A60000}"/>
    <cellStyle name="Currency 7 2 3 4 2 2 2" xfId="55347" xr:uid="{00000000-0005-0000-0000-000026A60000}"/>
    <cellStyle name="Currency 7 2 3 4 2 3" xfId="40848" xr:uid="{00000000-0005-0000-0000-000027A60000}"/>
    <cellStyle name="Currency 7 2 3 4 3" xfId="19093" xr:uid="{00000000-0005-0000-0000-000028A60000}"/>
    <cellStyle name="Currency 7 2 3 4 3 2" xfId="48099" xr:uid="{00000000-0005-0000-0000-000029A60000}"/>
    <cellStyle name="Currency 7 2 3 4 4" xfId="33600" xr:uid="{00000000-0005-0000-0000-00002AA60000}"/>
    <cellStyle name="Currency 7 2 3 5" xfId="7639" xr:uid="{00000000-0005-0000-0000-00002BA60000}"/>
    <cellStyle name="Currency 7 2 3 5 2" xfId="14911" xr:uid="{00000000-0005-0000-0000-00002CA60000}"/>
    <cellStyle name="Currency 7 2 3 5 2 2" xfId="29445" xr:uid="{00000000-0005-0000-0000-00002DA60000}"/>
    <cellStyle name="Currency 7 2 3 5 2 2 2" xfId="58451" xr:uid="{00000000-0005-0000-0000-00002EA60000}"/>
    <cellStyle name="Currency 7 2 3 5 2 3" xfId="43952" xr:uid="{00000000-0005-0000-0000-00002FA60000}"/>
    <cellStyle name="Currency 7 2 3 5 3" xfId="22197" xr:uid="{00000000-0005-0000-0000-000030A60000}"/>
    <cellStyle name="Currency 7 2 3 5 3 2" xfId="51203" xr:uid="{00000000-0005-0000-0000-000031A60000}"/>
    <cellStyle name="Currency 7 2 3 5 4" xfId="36704" xr:uid="{00000000-0005-0000-0000-000032A60000}"/>
    <cellStyle name="Currency 7 2 3 6" xfId="8703" xr:uid="{00000000-0005-0000-0000-000033A60000}"/>
    <cellStyle name="Currency 7 2 3 6 2" xfId="23237" xr:uid="{00000000-0005-0000-0000-000034A60000}"/>
    <cellStyle name="Currency 7 2 3 6 2 2" xfId="52243" xr:uid="{00000000-0005-0000-0000-000035A60000}"/>
    <cellStyle name="Currency 7 2 3 6 3" xfId="37744" xr:uid="{00000000-0005-0000-0000-000036A60000}"/>
    <cellStyle name="Currency 7 2 3 7" xfId="15989" xr:uid="{00000000-0005-0000-0000-000037A60000}"/>
    <cellStyle name="Currency 7 2 3 7 2" xfId="44995" xr:uid="{00000000-0005-0000-0000-000038A60000}"/>
    <cellStyle name="Currency 7 2 3 8" xfId="30496" xr:uid="{00000000-0005-0000-0000-000039A60000}"/>
    <cellStyle name="Currency 7 2 3 9" xfId="59545" xr:uid="{00000000-0005-0000-0000-00003AA60000}"/>
    <cellStyle name="Currency 7 2 4" xfId="1959" xr:uid="{00000000-0005-0000-0000-00003BA60000}"/>
    <cellStyle name="Currency 7 2 4 2" xfId="5063" xr:uid="{00000000-0005-0000-0000-00003CA60000}"/>
    <cellStyle name="Currency 7 2 4 2 2" xfId="12335" xr:uid="{00000000-0005-0000-0000-00003DA60000}"/>
    <cellStyle name="Currency 7 2 4 2 2 2" xfId="26869" xr:uid="{00000000-0005-0000-0000-00003EA60000}"/>
    <cellStyle name="Currency 7 2 4 2 2 2 2" xfId="55875" xr:uid="{00000000-0005-0000-0000-00003FA60000}"/>
    <cellStyle name="Currency 7 2 4 2 2 3" xfId="41376" xr:uid="{00000000-0005-0000-0000-000040A60000}"/>
    <cellStyle name="Currency 7 2 4 2 3" xfId="19621" xr:uid="{00000000-0005-0000-0000-000041A60000}"/>
    <cellStyle name="Currency 7 2 4 2 3 2" xfId="48627" xr:uid="{00000000-0005-0000-0000-000042A60000}"/>
    <cellStyle name="Currency 7 2 4 2 4" xfId="34128" xr:uid="{00000000-0005-0000-0000-000043A60000}"/>
    <cellStyle name="Currency 7 2 4 3" xfId="9231" xr:uid="{00000000-0005-0000-0000-000044A60000}"/>
    <cellStyle name="Currency 7 2 4 3 2" xfId="23765" xr:uid="{00000000-0005-0000-0000-000045A60000}"/>
    <cellStyle name="Currency 7 2 4 3 2 2" xfId="52771" xr:uid="{00000000-0005-0000-0000-000046A60000}"/>
    <cellStyle name="Currency 7 2 4 3 3" xfId="38272" xr:uid="{00000000-0005-0000-0000-000047A60000}"/>
    <cellStyle name="Currency 7 2 4 4" xfId="16517" xr:uid="{00000000-0005-0000-0000-000048A60000}"/>
    <cellStyle name="Currency 7 2 4 4 2" xfId="45523" xr:uid="{00000000-0005-0000-0000-000049A60000}"/>
    <cellStyle name="Currency 7 2 4 5" xfId="31024" xr:uid="{00000000-0005-0000-0000-00004AA60000}"/>
    <cellStyle name="Currency 7 2 5" xfId="2991" xr:uid="{00000000-0005-0000-0000-00004BA60000}"/>
    <cellStyle name="Currency 7 2 5 2" xfId="6095" xr:uid="{00000000-0005-0000-0000-00004CA60000}"/>
    <cellStyle name="Currency 7 2 5 2 2" xfId="13367" xr:uid="{00000000-0005-0000-0000-00004DA60000}"/>
    <cellStyle name="Currency 7 2 5 2 2 2" xfId="27901" xr:uid="{00000000-0005-0000-0000-00004EA60000}"/>
    <cellStyle name="Currency 7 2 5 2 2 2 2" xfId="56907" xr:uid="{00000000-0005-0000-0000-00004FA60000}"/>
    <cellStyle name="Currency 7 2 5 2 2 3" xfId="42408" xr:uid="{00000000-0005-0000-0000-000050A60000}"/>
    <cellStyle name="Currency 7 2 5 2 3" xfId="20653" xr:uid="{00000000-0005-0000-0000-000051A60000}"/>
    <cellStyle name="Currency 7 2 5 2 3 2" xfId="49659" xr:uid="{00000000-0005-0000-0000-000052A60000}"/>
    <cellStyle name="Currency 7 2 5 2 4" xfId="35160" xr:uid="{00000000-0005-0000-0000-000053A60000}"/>
    <cellStyle name="Currency 7 2 5 3" xfId="10263" xr:uid="{00000000-0005-0000-0000-000054A60000}"/>
    <cellStyle name="Currency 7 2 5 3 2" xfId="24797" xr:uid="{00000000-0005-0000-0000-000055A60000}"/>
    <cellStyle name="Currency 7 2 5 3 2 2" xfId="53803" xr:uid="{00000000-0005-0000-0000-000056A60000}"/>
    <cellStyle name="Currency 7 2 5 3 3" xfId="39304" xr:uid="{00000000-0005-0000-0000-000057A60000}"/>
    <cellStyle name="Currency 7 2 5 4" xfId="17549" xr:uid="{00000000-0005-0000-0000-000058A60000}"/>
    <cellStyle name="Currency 7 2 5 4 2" xfId="46555" xr:uid="{00000000-0005-0000-0000-000059A60000}"/>
    <cellStyle name="Currency 7 2 5 5" xfId="32056" xr:uid="{00000000-0005-0000-0000-00005AA60000}"/>
    <cellStyle name="Currency 7 2 6" xfId="4023" xr:uid="{00000000-0005-0000-0000-00005BA60000}"/>
    <cellStyle name="Currency 7 2 6 2" xfId="11295" xr:uid="{00000000-0005-0000-0000-00005CA60000}"/>
    <cellStyle name="Currency 7 2 6 2 2" xfId="25829" xr:uid="{00000000-0005-0000-0000-00005DA60000}"/>
    <cellStyle name="Currency 7 2 6 2 2 2" xfId="54835" xr:uid="{00000000-0005-0000-0000-00005EA60000}"/>
    <cellStyle name="Currency 7 2 6 2 3" xfId="40336" xr:uid="{00000000-0005-0000-0000-00005FA60000}"/>
    <cellStyle name="Currency 7 2 6 3" xfId="18581" xr:uid="{00000000-0005-0000-0000-000060A60000}"/>
    <cellStyle name="Currency 7 2 6 3 2" xfId="47587" xr:uid="{00000000-0005-0000-0000-000061A60000}"/>
    <cellStyle name="Currency 7 2 6 4" xfId="33088" xr:uid="{00000000-0005-0000-0000-000062A60000}"/>
    <cellStyle name="Currency 7 2 7" xfId="7127" xr:uid="{00000000-0005-0000-0000-000063A60000}"/>
    <cellStyle name="Currency 7 2 7 2" xfId="14399" xr:uid="{00000000-0005-0000-0000-000064A60000}"/>
    <cellStyle name="Currency 7 2 7 2 2" xfId="28933" xr:uid="{00000000-0005-0000-0000-000065A60000}"/>
    <cellStyle name="Currency 7 2 7 2 2 2" xfId="57939" xr:uid="{00000000-0005-0000-0000-000066A60000}"/>
    <cellStyle name="Currency 7 2 7 2 3" xfId="43440" xr:uid="{00000000-0005-0000-0000-000067A60000}"/>
    <cellStyle name="Currency 7 2 7 3" xfId="21685" xr:uid="{00000000-0005-0000-0000-000068A60000}"/>
    <cellStyle name="Currency 7 2 7 3 2" xfId="50691" xr:uid="{00000000-0005-0000-0000-000069A60000}"/>
    <cellStyle name="Currency 7 2 7 4" xfId="36192" xr:uid="{00000000-0005-0000-0000-00006AA60000}"/>
    <cellStyle name="Currency 7 2 8" xfId="8191" xr:uid="{00000000-0005-0000-0000-00006BA60000}"/>
    <cellStyle name="Currency 7 2 8 2" xfId="22725" xr:uid="{00000000-0005-0000-0000-00006CA60000}"/>
    <cellStyle name="Currency 7 2 8 2 2" xfId="51731" xr:uid="{00000000-0005-0000-0000-00006DA60000}"/>
    <cellStyle name="Currency 7 2 8 3" xfId="37232" xr:uid="{00000000-0005-0000-0000-00006EA60000}"/>
    <cellStyle name="Currency 7 2 9" xfId="15477" xr:uid="{00000000-0005-0000-0000-00006FA60000}"/>
    <cellStyle name="Currency 7 2 9 2" xfId="44483" xr:uid="{00000000-0005-0000-0000-000070A60000}"/>
    <cellStyle name="Currency 7 3" xfId="210" xr:uid="{00000000-0005-0000-0000-000071A60000}"/>
    <cellStyle name="Currency 7 3 10" xfId="58906" xr:uid="{00000000-0005-0000-0000-000072A60000}"/>
    <cellStyle name="Currency 7 3 11" xfId="59034" xr:uid="{00000000-0005-0000-0000-000073A60000}"/>
    <cellStyle name="Currency 7 3 12" xfId="59310" xr:uid="{00000000-0005-0000-0000-000074A60000}"/>
    <cellStyle name="Currency 7 3 2" xfId="1615" xr:uid="{00000000-0005-0000-0000-000075A60000}"/>
    <cellStyle name="Currency 7 3 2 2" xfId="2674" xr:uid="{00000000-0005-0000-0000-000076A60000}"/>
    <cellStyle name="Currency 7 3 2 2 2" xfId="5778" xr:uid="{00000000-0005-0000-0000-000077A60000}"/>
    <cellStyle name="Currency 7 3 2 2 2 2" xfId="13050" xr:uid="{00000000-0005-0000-0000-000078A60000}"/>
    <cellStyle name="Currency 7 3 2 2 2 2 2" xfId="27584" xr:uid="{00000000-0005-0000-0000-000079A60000}"/>
    <cellStyle name="Currency 7 3 2 2 2 2 2 2" xfId="56590" xr:uid="{00000000-0005-0000-0000-00007AA60000}"/>
    <cellStyle name="Currency 7 3 2 2 2 2 3" xfId="42091" xr:uid="{00000000-0005-0000-0000-00007BA60000}"/>
    <cellStyle name="Currency 7 3 2 2 2 3" xfId="20336" xr:uid="{00000000-0005-0000-0000-00007CA60000}"/>
    <cellStyle name="Currency 7 3 2 2 2 3 2" xfId="49342" xr:uid="{00000000-0005-0000-0000-00007DA60000}"/>
    <cellStyle name="Currency 7 3 2 2 2 4" xfId="34843" xr:uid="{00000000-0005-0000-0000-00007EA60000}"/>
    <cellStyle name="Currency 7 3 2 2 3" xfId="9946" xr:uid="{00000000-0005-0000-0000-00007FA60000}"/>
    <cellStyle name="Currency 7 3 2 2 3 2" xfId="24480" xr:uid="{00000000-0005-0000-0000-000080A60000}"/>
    <cellStyle name="Currency 7 3 2 2 3 2 2" xfId="53486" xr:uid="{00000000-0005-0000-0000-000081A60000}"/>
    <cellStyle name="Currency 7 3 2 2 3 3" xfId="38987" xr:uid="{00000000-0005-0000-0000-000082A60000}"/>
    <cellStyle name="Currency 7 3 2 2 4" xfId="17232" xr:uid="{00000000-0005-0000-0000-000083A60000}"/>
    <cellStyle name="Currency 7 3 2 2 4 2" xfId="46238" xr:uid="{00000000-0005-0000-0000-000084A60000}"/>
    <cellStyle name="Currency 7 3 2 2 5" xfId="31739" xr:uid="{00000000-0005-0000-0000-000085A60000}"/>
    <cellStyle name="Currency 7 3 2 3" xfId="3706" xr:uid="{00000000-0005-0000-0000-000086A60000}"/>
    <cellStyle name="Currency 7 3 2 3 2" xfId="6810" xr:uid="{00000000-0005-0000-0000-000087A60000}"/>
    <cellStyle name="Currency 7 3 2 3 2 2" xfId="14082" xr:uid="{00000000-0005-0000-0000-000088A60000}"/>
    <cellStyle name="Currency 7 3 2 3 2 2 2" xfId="28616" xr:uid="{00000000-0005-0000-0000-000089A60000}"/>
    <cellStyle name="Currency 7 3 2 3 2 2 2 2" xfId="57622" xr:uid="{00000000-0005-0000-0000-00008AA60000}"/>
    <cellStyle name="Currency 7 3 2 3 2 2 3" xfId="43123" xr:uid="{00000000-0005-0000-0000-00008BA60000}"/>
    <cellStyle name="Currency 7 3 2 3 2 3" xfId="21368" xr:uid="{00000000-0005-0000-0000-00008CA60000}"/>
    <cellStyle name="Currency 7 3 2 3 2 3 2" xfId="50374" xr:uid="{00000000-0005-0000-0000-00008DA60000}"/>
    <cellStyle name="Currency 7 3 2 3 2 4" xfId="35875" xr:uid="{00000000-0005-0000-0000-00008EA60000}"/>
    <cellStyle name="Currency 7 3 2 3 3" xfId="10978" xr:uid="{00000000-0005-0000-0000-00008FA60000}"/>
    <cellStyle name="Currency 7 3 2 3 3 2" xfId="25512" xr:uid="{00000000-0005-0000-0000-000090A60000}"/>
    <cellStyle name="Currency 7 3 2 3 3 2 2" xfId="54518" xr:uid="{00000000-0005-0000-0000-000091A60000}"/>
    <cellStyle name="Currency 7 3 2 3 3 3" xfId="40019" xr:uid="{00000000-0005-0000-0000-000092A60000}"/>
    <cellStyle name="Currency 7 3 2 3 4" xfId="18264" xr:uid="{00000000-0005-0000-0000-000093A60000}"/>
    <cellStyle name="Currency 7 3 2 3 4 2" xfId="47270" xr:uid="{00000000-0005-0000-0000-000094A60000}"/>
    <cellStyle name="Currency 7 3 2 3 5" xfId="32771" xr:uid="{00000000-0005-0000-0000-000095A60000}"/>
    <cellStyle name="Currency 7 3 2 4" xfId="4738" xr:uid="{00000000-0005-0000-0000-000096A60000}"/>
    <cellStyle name="Currency 7 3 2 4 2" xfId="12010" xr:uid="{00000000-0005-0000-0000-000097A60000}"/>
    <cellStyle name="Currency 7 3 2 4 2 2" xfId="26544" xr:uid="{00000000-0005-0000-0000-000098A60000}"/>
    <cellStyle name="Currency 7 3 2 4 2 2 2" xfId="55550" xr:uid="{00000000-0005-0000-0000-000099A60000}"/>
    <cellStyle name="Currency 7 3 2 4 2 3" xfId="41051" xr:uid="{00000000-0005-0000-0000-00009AA60000}"/>
    <cellStyle name="Currency 7 3 2 4 3" xfId="19296" xr:uid="{00000000-0005-0000-0000-00009BA60000}"/>
    <cellStyle name="Currency 7 3 2 4 3 2" xfId="48302" xr:uid="{00000000-0005-0000-0000-00009CA60000}"/>
    <cellStyle name="Currency 7 3 2 4 4" xfId="33803" xr:uid="{00000000-0005-0000-0000-00009DA60000}"/>
    <cellStyle name="Currency 7 3 2 5" xfId="7842" xr:uid="{00000000-0005-0000-0000-00009EA60000}"/>
    <cellStyle name="Currency 7 3 2 5 2" xfId="15114" xr:uid="{00000000-0005-0000-0000-00009FA60000}"/>
    <cellStyle name="Currency 7 3 2 5 2 2" xfId="29648" xr:uid="{00000000-0005-0000-0000-0000A0A60000}"/>
    <cellStyle name="Currency 7 3 2 5 2 2 2" xfId="58654" xr:uid="{00000000-0005-0000-0000-0000A1A60000}"/>
    <cellStyle name="Currency 7 3 2 5 2 3" xfId="44155" xr:uid="{00000000-0005-0000-0000-0000A2A60000}"/>
    <cellStyle name="Currency 7 3 2 5 3" xfId="22400" xr:uid="{00000000-0005-0000-0000-0000A3A60000}"/>
    <cellStyle name="Currency 7 3 2 5 3 2" xfId="51406" xr:uid="{00000000-0005-0000-0000-0000A4A60000}"/>
    <cellStyle name="Currency 7 3 2 5 4" xfId="36907" xr:uid="{00000000-0005-0000-0000-0000A5A60000}"/>
    <cellStyle name="Currency 7 3 2 6" xfId="8906" xr:uid="{00000000-0005-0000-0000-0000A6A60000}"/>
    <cellStyle name="Currency 7 3 2 6 2" xfId="23440" xr:uid="{00000000-0005-0000-0000-0000A7A60000}"/>
    <cellStyle name="Currency 7 3 2 6 2 2" xfId="52446" xr:uid="{00000000-0005-0000-0000-0000A8A60000}"/>
    <cellStyle name="Currency 7 3 2 6 3" xfId="37947" xr:uid="{00000000-0005-0000-0000-0000A9A60000}"/>
    <cellStyle name="Currency 7 3 2 7" xfId="16192" xr:uid="{00000000-0005-0000-0000-0000AAA60000}"/>
    <cellStyle name="Currency 7 3 2 7 2" xfId="45198" xr:uid="{00000000-0005-0000-0000-0000ABA60000}"/>
    <cellStyle name="Currency 7 3 2 8" xfId="30699" xr:uid="{00000000-0005-0000-0000-0000ACA60000}"/>
    <cellStyle name="Currency 7 3 2 9" xfId="59588" xr:uid="{00000000-0005-0000-0000-0000ADA60000}"/>
    <cellStyle name="Currency 7 3 3" xfId="2162" xr:uid="{00000000-0005-0000-0000-0000AEA60000}"/>
    <cellStyle name="Currency 7 3 3 2" xfId="5266" xr:uid="{00000000-0005-0000-0000-0000AFA60000}"/>
    <cellStyle name="Currency 7 3 3 2 2" xfId="12538" xr:uid="{00000000-0005-0000-0000-0000B0A60000}"/>
    <cellStyle name="Currency 7 3 3 2 2 2" xfId="27072" xr:uid="{00000000-0005-0000-0000-0000B1A60000}"/>
    <cellStyle name="Currency 7 3 3 2 2 2 2" xfId="56078" xr:uid="{00000000-0005-0000-0000-0000B2A60000}"/>
    <cellStyle name="Currency 7 3 3 2 2 3" xfId="41579" xr:uid="{00000000-0005-0000-0000-0000B3A60000}"/>
    <cellStyle name="Currency 7 3 3 2 3" xfId="19824" xr:uid="{00000000-0005-0000-0000-0000B4A60000}"/>
    <cellStyle name="Currency 7 3 3 2 3 2" xfId="48830" xr:uid="{00000000-0005-0000-0000-0000B5A60000}"/>
    <cellStyle name="Currency 7 3 3 2 4" xfId="34331" xr:uid="{00000000-0005-0000-0000-0000B6A60000}"/>
    <cellStyle name="Currency 7 3 3 3" xfId="9434" xr:uid="{00000000-0005-0000-0000-0000B7A60000}"/>
    <cellStyle name="Currency 7 3 3 3 2" xfId="23968" xr:uid="{00000000-0005-0000-0000-0000B8A60000}"/>
    <cellStyle name="Currency 7 3 3 3 2 2" xfId="52974" xr:uid="{00000000-0005-0000-0000-0000B9A60000}"/>
    <cellStyle name="Currency 7 3 3 3 3" xfId="38475" xr:uid="{00000000-0005-0000-0000-0000BAA60000}"/>
    <cellStyle name="Currency 7 3 3 4" xfId="16720" xr:uid="{00000000-0005-0000-0000-0000BBA60000}"/>
    <cellStyle name="Currency 7 3 3 4 2" xfId="45726" xr:uid="{00000000-0005-0000-0000-0000BCA60000}"/>
    <cellStyle name="Currency 7 3 3 5" xfId="31227" xr:uid="{00000000-0005-0000-0000-0000BDA60000}"/>
    <cellStyle name="Currency 7 3 4" xfId="3194" xr:uid="{00000000-0005-0000-0000-0000BEA60000}"/>
    <cellStyle name="Currency 7 3 4 2" xfId="6298" xr:uid="{00000000-0005-0000-0000-0000BFA60000}"/>
    <cellStyle name="Currency 7 3 4 2 2" xfId="13570" xr:uid="{00000000-0005-0000-0000-0000C0A60000}"/>
    <cellStyle name="Currency 7 3 4 2 2 2" xfId="28104" xr:uid="{00000000-0005-0000-0000-0000C1A60000}"/>
    <cellStyle name="Currency 7 3 4 2 2 2 2" xfId="57110" xr:uid="{00000000-0005-0000-0000-0000C2A60000}"/>
    <cellStyle name="Currency 7 3 4 2 2 3" xfId="42611" xr:uid="{00000000-0005-0000-0000-0000C3A60000}"/>
    <cellStyle name="Currency 7 3 4 2 3" xfId="20856" xr:uid="{00000000-0005-0000-0000-0000C4A60000}"/>
    <cellStyle name="Currency 7 3 4 2 3 2" xfId="49862" xr:uid="{00000000-0005-0000-0000-0000C5A60000}"/>
    <cellStyle name="Currency 7 3 4 2 4" xfId="35363" xr:uid="{00000000-0005-0000-0000-0000C6A60000}"/>
    <cellStyle name="Currency 7 3 4 3" xfId="10466" xr:uid="{00000000-0005-0000-0000-0000C7A60000}"/>
    <cellStyle name="Currency 7 3 4 3 2" xfId="25000" xr:uid="{00000000-0005-0000-0000-0000C8A60000}"/>
    <cellStyle name="Currency 7 3 4 3 2 2" xfId="54006" xr:uid="{00000000-0005-0000-0000-0000C9A60000}"/>
    <cellStyle name="Currency 7 3 4 3 3" xfId="39507" xr:uid="{00000000-0005-0000-0000-0000CAA60000}"/>
    <cellStyle name="Currency 7 3 4 4" xfId="17752" xr:uid="{00000000-0005-0000-0000-0000CBA60000}"/>
    <cellStyle name="Currency 7 3 4 4 2" xfId="46758" xr:uid="{00000000-0005-0000-0000-0000CCA60000}"/>
    <cellStyle name="Currency 7 3 4 5" xfId="32259" xr:uid="{00000000-0005-0000-0000-0000CDA60000}"/>
    <cellStyle name="Currency 7 3 5" xfId="4226" xr:uid="{00000000-0005-0000-0000-0000CEA60000}"/>
    <cellStyle name="Currency 7 3 5 2" xfId="11498" xr:uid="{00000000-0005-0000-0000-0000CFA60000}"/>
    <cellStyle name="Currency 7 3 5 2 2" xfId="26032" xr:uid="{00000000-0005-0000-0000-0000D0A60000}"/>
    <cellStyle name="Currency 7 3 5 2 2 2" xfId="55038" xr:uid="{00000000-0005-0000-0000-0000D1A60000}"/>
    <cellStyle name="Currency 7 3 5 2 3" xfId="40539" xr:uid="{00000000-0005-0000-0000-0000D2A60000}"/>
    <cellStyle name="Currency 7 3 5 3" xfId="18784" xr:uid="{00000000-0005-0000-0000-0000D3A60000}"/>
    <cellStyle name="Currency 7 3 5 3 2" xfId="47790" xr:uid="{00000000-0005-0000-0000-0000D4A60000}"/>
    <cellStyle name="Currency 7 3 5 4" xfId="33291" xr:uid="{00000000-0005-0000-0000-0000D5A60000}"/>
    <cellStyle name="Currency 7 3 6" xfId="7330" xr:uid="{00000000-0005-0000-0000-0000D6A60000}"/>
    <cellStyle name="Currency 7 3 6 2" xfId="14602" xr:uid="{00000000-0005-0000-0000-0000D7A60000}"/>
    <cellStyle name="Currency 7 3 6 2 2" xfId="29136" xr:uid="{00000000-0005-0000-0000-0000D8A60000}"/>
    <cellStyle name="Currency 7 3 6 2 2 2" xfId="58142" xr:uid="{00000000-0005-0000-0000-0000D9A60000}"/>
    <cellStyle name="Currency 7 3 6 2 3" xfId="43643" xr:uid="{00000000-0005-0000-0000-0000DAA60000}"/>
    <cellStyle name="Currency 7 3 6 3" xfId="21888" xr:uid="{00000000-0005-0000-0000-0000DBA60000}"/>
    <cellStyle name="Currency 7 3 6 3 2" xfId="50894" xr:uid="{00000000-0005-0000-0000-0000DCA60000}"/>
    <cellStyle name="Currency 7 3 6 4" xfId="36395" xr:uid="{00000000-0005-0000-0000-0000DDA60000}"/>
    <cellStyle name="Currency 7 3 7" xfId="8394" xr:uid="{00000000-0005-0000-0000-0000DEA60000}"/>
    <cellStyle name="Currency 7 3 7 2" xfId="22928" xr:uid="{00000000-0005-0000-0000-0000DFA60000}"/>
    <cellStyle name="Currency 7 3 7 2 2" xfId="51934" xr:uid="{00000000-0005-0000-0000-0000E0A60000}"/>
    <cellStyle name="Currency 7 3 7 3" xfId="37435" xr:uid="{00000000-0005-0000-0000-0000E1A60000}"/>
    <cellStyle name="Currency 7 3 8" xfId="15680" xr:uid="{00000000-0005-0000-0000-0000E2A60000}"/>
    <cellStyle name="Currency 7 3 8 2" xfId="44686" xr:uid="{00000000-0005-0000-0000-0000E3A60000}"/>
    <cellStyle name="Currency 7 3 9" xfId="30187" xr:uid="{00000000-0005-0000-0000-0000E4A60000}"/>
    <cellStyle name="Currency 7 4" xfId="606" xr:uid="{00000000-0005-0000-0000-0000E5A60000}"/>
    <cellStyle name="Currency 7 4 10" xfId="59467" xr:uid="{00000000-0005-0000-0000-0000E6A60000}"/>
    <cellStyle name="Currency 7 4 2" xfId="1516" xr:uid="{00000000-0005-0000-0000-0000E7A60000}"/>
    <cellStyle name="Currency 7 4 2 2" xfId="2574" xr:uid="{00000000-0005-0000-0000-0000E8A60000}"/>
    <cellStyle name="Currency 7 4 2 2 2" xfId="5678" xr:uid="{00000000-0005-0000-0000-0000E9A60000}"/>
    <cellStyle name="Currency 7 4 2 2 2 2" xfId="12950" xr:uid="{00000000-0005-0000-0000-0000EAA60000}"/>
    <cellStyle name="Currency 7 4 2 2 2 2 2" xfId="27484" xr:uid="{00000000-0005-0000-0000-0000EBA60000}"/>
    <cellStyle name="Currency 7 4 2 2 2 2 2 2" xfId="56490" xr:uid="{00000000-0005-0000-0000-0000ECA60000}"/>
    <cellStyle name="Currency 7 4 2 2 2 2 3" xfId="41991" xr:uid="{00000000-0005-0000-0000-0000EDA60000}"/>
    <cellStyle name="Currency 7 4 2 2 2 3" xfId="20236" xr:uid="{00000000-0005-0000-0000-0000EEA60000}"/>
    <cellStyle name="Currency 7 4 2 2 2 3 2" xfId="49242" xr:uid="{00000000-0005-0000-0000-0000EFA60000}"/>
    <cellStyle name="Currency 7 4 2 2 2 4" xfId="34743" xr:uid="{00000000-0005-0000-0000-0000F0A60000}"/>
    <cellStyle name="Currency 7 4 2 2 3" xfId="9846" xr:uid="{00000000-0005-0000-0000-0000F1A60000}"/>
    <cellStyle name="Currency 7 4 2 2 3 2" xfId="24380" xr:uid="{00000000-0005-0000-0000-0000F2A60000}"/>
    <cellStyle name="Currency 7 4 2 2 3 2 2" xfId="53386" xr:uid="{00000000-0005-0000-0000-0000F3A60000}"/>
    <cellStyle name="Currency 7 4 2 2 3 3" xfId="38887" xr:uid="{00000000-0005-0000-0000-0000F4A60000}"/>
    <cellStyle name="Currency 7 4 2 2 4" xfId="17132" xr:uid="{00000000-0005-0000-0000-0000F5A60000}"/>
    <cellStyle name="Currency 7 4 2 2 4 2" xfId="46138" xr:uid="{00000000-0005-0000-0000-0000F6A60000}"/>
    <cellStyle name="Currency 7 4 2 2 5" xfId="31639" xr:uid="{00000000-0005-0000-0000-0000F7A60000}"/>
    <cellStyle name="Currency 7 4 2 3" xfId="3606" xr:uid="{00000000-0005-0000-0000-0000F8A60000}"/>
    <cellStyle name="Currency 7 4 2 3 2" xfId="6710" xr:uid="{00000000-0005-0000-0000-0000F9A60000}"/>
    <cellStyle name="Currency 7 4 2 3 2 2" xfId="13982" xr:uid="{00000000-0005-0000-0000-0000FAA60000}"/>
    <cellStyle name="Currency 7 4 2 3 2 2 2" xfId="28516" xr:uid="{00000000-0005-0000-0000-0000FBA60000}"/>
    <cellStyle name="Currency 7 4 2 3 2 2 2 2" xfId="57522" xr:uid="{00000000-0005-0000-0000-0000FCA60000}"/>
    <cellStyle name="Currency 7 4 2 3 2 2 3" xfId="43023" xr:uid="{00000000-0005-0000-0000-0000FDA60000}"/>
    <cellStyle name="Currency 7 4 2 3 2 3" xfId="21268" xr:uid="{00000000-0005-0000-0000-0000FEA60000}"/>
    <cellStyle name="Currency 7 4 2 3 2 3 2" xfId="50274" xr:uid="{00000000-0005-0000-0000-0000FFA60000}"/>
    <cellStyle name="Currency 7 4 2 3 2 4" xfId="35775" xr:uid="{00000000-0005-0000-0000-000000A70000}"/>
    <cellStyle name="Currency 7 4 2 3 3" xfId="10878" xr:uid="{00000000-0005-0000-0000-000001A70000}"/>
    <cellStyle name="Currency 7 4 2 3 3 2" xfId="25412" xr:uid="{00000000-0005-0000-0000-000002A70000}"/>
    <cellStyle name="Currency 7 4 2 3 3 2 2" xfId="54418" xr:uid="{00000000-0005-0000-0000-000003A70000}"/>
    <cellStyle name="Currency 7 4 2 3 3 3" xfId="39919" xr:uid="{00000000-0005-0000-0000-000004A70000}"/>
    <cellStyle name="Currency 7 4 2 3 4" xfId="18164" xr:uid="{00000000-0005-0000-0000-000005A70000}"/>
    <cellStyle name="Currency 7 4 2 3 4 2" xfId="47170" xr:uid="{00000000-0005-0000-0000-000006A70000}"/>
    <cellStyle name="Currency 7 4 2 3 5" xfId="32671" xr:uid="{00000000-0005-0000-0000-000007A70000}"/>
    <cellStyle name="Currency 7 4 2 4" xfId="4638" xr:uid="{00000000-0005-0000-0000-000008A70000}"/>
    <cellStyle name="Currency 7 4 2 4 2" xfId="11910" xr:uid="{00000000-0005-0000-0000-000009A70000}"/>
    <cellStyle name="Currency 7 4 2 4 2 2" xfId="26444" xr:uid="{00000000-0005-0000-0000-00000AA70000}"/>
    <cellStyle name="Currency 7 4 2 4 2 2 2" xfId="55450" xr:uid="{00000000-0005-0000-0000-00000BA70000}"/>
    <cellStyle name="Currency 7 4 2 4 2 3" xfId="40951" xr:uid="{00000000-0005-0000-0000-00000CA70000}"/>
    <cellStyle name="Currency 7 4 2 4 3" xfId="19196" xr:uid="{00000000-0005-0000-0000-00000DA70000}"/>
    <cellStyle name="Currency 7 4 2 4 3 2" xfId="48202" xr:uid="{00000000-0005-0000-0000-00000EA70000}"/>
    <cellStyle name="Currency 7 4 2 4 4" xfId="33703" xr:uid="{00000000-0005-0000-0000-00000FA70000}"/>
    <cellStyle name="Currency 7 4 2 5" xfId="7742" xr:uid="{00000000-0005-0000-0000-000010A70000}"/>
    <cellStyle name="Currency 7 4 2 5 2" xfId="15014" xr:uid="{00000000-0005-0000-0000-000011A70000}"/>
    <cellStyle name="Currency 7 4 2 5 2 2" xfId="29548" xr:uid="{00000000-0005-0000-0000-000012A70000}"/>
    <cellStyle name="Currency 7 4 2 5 2 2 2" xfId="58554" xr:uid="{00000000-0005-0000-0000-000013A70000}"/>
    <cellStyle name="Currency 7 4 2 5 2 3" xfId="44055" xr:uid="{00000000-0005-0000-0000-000014A70000}"/>
    <cellStyle name="Currency 7 4 2 5 3" xfId="22300" xr:uid="{00000000-0005-0000-0000-000015A70000}"/>
    <cellStyle name="Currency 7 4 2 5 3 2" xfId="51306" xr:uid="{00000000-0005-0000-0000-000016A70000}"/>
    <cellStyle name="Currency 7 4 2 5 4" xfId="36807" xr:uid="{00000000-0005-0000-0000-000017A70000}"/>
    <cellStyle name="Currency 7 4 2 6" xfId="8806" xr:uid="{00000000-0005-0000-0000-000018A70000}"/>
    <cellStyle name="Currency 7 4 2 6 2" xfId="23340" xr:uid="{00000000-0005-0000-0000-000019A70000}"/>
    <cellStyle name="Currency 7 4 2 6 2 2" xfId="52346" xr:uid="{00000000-0005-0000-0000-00001AA70000}"/>
    <cellStyle name="Currency 7 4 2 6 3" xfId="37847" xr:uid="{00000000-0005-0000-0000-00001BA70000}"/>
    <cellStyle name="Currency 7 4 2 7" xfId="16092" xr:uid="{00000000-0005-0000-0000-00001CA70000}"/>
    <cellStyle name="Currency 7 4 2 7 2" xfId="45098" xr:uid="{00000000-0005-0000-0000-00001DA70000}"/>
    <cellStyle name="Currency 7 4 2 8" xfId="30599" xr:uid="{00000000-0005-0000-0000-00001EA70000}"/>
    <cellStyle name="Currency 7 4 3" xfId="2062" xr:uid="{00000000-0005-0000-0000-00001FA70000}"/>
    <cellStyle name="Currency 7 4 3 2" xfId="5166" xr:uid="{00000000-0005-0000-0000-000020A70000}"/>
    <cellStyle name="Currency 7 4 3 2 2" xfId="12438" xr:uid="{00000000-0005-0000-0000-000021A70000}"/>
    <cellStyle name="Currency 7 4 3 2 2 2" xfId="26972" xr:uid="{00000000-0005-0000-0000-000022A70000}"/>
    <cellStyle name="Currency 7 4 3 2 2 2 2" xfId="55978" xr:uid="{00000000-0005-0000-0000-000023A70000}"/>
    <cellStyle name="Currency 7 4 3 2 2 3" xfId="41479" xr:uid="{00000000-0005-0000-0000-000024A70000}"/>
    <cellStyle name="Currency 7 4 3 2 3" xfId="19724" xr:uid="{00000000-0005-0000-0000-000025A70000}"/>
    <cellStyle name="Currency 7 4 3 2 3 2" xfId="48730" xr:uid="{00000000-0005-0000-0000-000026A70000}"/>
    <cellStyle name="Currency 7 4 3 2 4" xfId="34231" xr:uid="{00000000-0005-0000-0000-000027A70000}"/>
    <cellStyle name="Currency 7 4 3 3" xfId="9334" xr:uid="{00000000-0005-0000-0000-000028A70000}"/>
    <cellStyle name="Currency 7 4 3 3 2" xfId="23868" xr:uid="{00000000-0005-0000-0000-000029A70000}"/>
    <cellStyle name="Currency 7 4 3 3 2 2" xfId="52874" xr:uid="{00000000-0005-0000-0000-00002AA70000}"/>
    <cellStyle name="Currency 7 4 3 3 3" xfId="38375" xr:uid="{00000000-0005-0000-0000-00002BA70000}"/>
    <cellStyle name="Currency 7 4 3 4" xfId="16620" xr:uid="{00000000-0005-0000-0000-00002CA70000}"/>
    <cellStyle name="Currency 7 4 3 4 2" xfId="45626" xr:uid="{00000000-0005-0000-0000-00002DA70000}"/>
    <cellStyle name="Currency 7 4 3 5" xfId="31127" xr:uid="{00000000-0005-0000-0000-00002EA70000}"/>
    <cellStyle name="Currency 7 4 4" xfId="3094" xr:uid="{00000000-0005-0000-0000-00002FA70000}"/>
    <cellStyle name="Currency 7 4 4 2" xfId="6198" xr:uid="{00000000-0005-0000-0000-000030A70000}"/>
    <cellStyle name="Currency 7 4 4 2 2" xfId="13470" xr:uid="{00000000-0005-0000-0000-000031A70000}"/>
    <cellStyle name="Currency 7 4 4 2 2 2" xfId="28004" xr:uid="{00000000-0005-0000-0000-000032A70000}"/>
    <cellStyle name="Currency 7 4 4 2 2 2 2" xfId="57010" xr:uid="{00000000-0005-0000-0000-000033A70000}"/>
    <cellStyle name="Currency 7 4 4 2 2 3" xfId="42511" xr:uid="{00000000-0005-0000-0000-000034A70000}"/>
    <cellStyle name="Currency 7 4 4 2 3" xfId="20756" xr:uid="{00000000-0005-0000-0000-000035A70000}"/>
    <cellStyle name="Currency 7 4 4 2 3 2" xfId="49762" xr:uid="{00000000-0005-0000-0000-000036A70000}"/>
    <cellStyle name="Currency 7 4 4 2 4" xfId="35263" xr:uid="{00000000-0005-0000-0000-000037A70000}"/>
    <cellStyle name="Currency 7 4 4 3" xfId="10366" xr:uid="{00000000-0005-0000-0000-000038A70000}"/>
    <cellStyle name="Currency 7 4 4 3 2" xfId="24900" xr:uid="{00000000-0005-0000-0000-000039A70000}"/>
    <cellStyle name="Currency 7 4 4 3 2 2" xfId="53906" xr:uid="{00000000-0005-0000-0000-00003AA70000}"/>
    <cellStyle name="Currency 7 4 4 3 3" xfId="39407" xr:uid="{00000000-0005-0000-0000-00003BA70000}"/>
    <cellStyle name="Currency 7 4 4 4" xfId="17652" xr:uid="{00000000-0005-0000-0000-00003CA70000}"/>
    <cellStyle name="Currency 7 4 4 4 2" xfId="46658" xr:uid="{00000000-0005-0000-0000-00003DA70000}"/>
    <cellStyle name="Currency 7 4 4 5" xfId="32159" xr:uid="{00000000-0005-0000-0000-00003EA70000}"/>
    <cellStyle name="Currency 7 4 5" xfId="4126" xr:uid="{00000000-0005-0000-0000-00003FA70000}"/>
    <cellStyle name="Currency 7 4 5 2" xfId="11398" xr:uid="{00000000-0005-0000-0000-000040A70000}"/>
    <cellStyle name="Currency 7 4 5 2 2" xfId="25932" xr:uid="{00000000-0005-0000-0000-000041A70000}"/>
    <cellStyle name="Currency 7 4 5 2 2 2" xfId="54938" xr:uid="{00000000-0005-0000-0000-000042A70000}"/>
    <cellStyle name="Currency 7 4 5 2 3" xfId="40439" xr:uid="{00000000-0005-0000-0000-000043A70000}"/>
    <cellStyle name="Currency 7 4 5 3" xfId="18684" xr:uid="{00000000-0005-0000-0000-000044A70000}"/>
    <cellStyle name="Currency 7 4 5 3 2" xfId="47690" xr:uid="{00000000-0005-0000-0000-000045A70000}"/>
    <cellStyle name="Currency 7 4 5 4" xfId="33191" xr:uid="{00000000-0005-0000-0000-000046A70000}"/>
    <cellStyle name="Currency 7 4 6" xfId="7230" xr:uid="{00000000-0005-0000-0000-000047A70000}"/>
    <cellStyle name="Currency 7 4 6 2" xfId="14502" xr:uid="{00000000-0005-0000-0000-000048A70000}"/>
    <cellStyle name="Currency 7 4 6 2 2" xfId="29036" xr:uid="{00000000-0005-0000-0000-000049A70000}"/>
    <cellStyle name="Currency 7 4 6 2 2 2" xfId="58042" xr:uid="{00000000-0005-0000-0000-00004AA70000}"/>
    <cellStyle name="Currency 7 4 6 2 3" xfId="43543" xr:uid="{00000000-0005-0000-0000-00004BA70000}"/>
    <cellStyle name="Currency 7 4 6 3" xfId="21788" xr:uid="{00000000-0005-0000-0000-00004CA70000}"/>
    <cellStyle name="Currency 7 4 6 3 2" xfId="50794" xr:uid="{00000000-0005-0000-0000-00004DA70000}"/>
    <cellStyle name="Currency 7 4 6 4" xfId="36295" xr:uid="{00000000-0005-0000-0000-00004EA70000}"/>
    <cellStyle name="Currency 7 4 7" xfId="8294" xr:uid="{00000000-0005-0000-0000-00004FA70000}"/>
    <cellStyle name="Currency 7 4 7 2" xfId="22828" xr:uid="{00000000-0005-0000-0000-000050A70000}"/>
    <cellStyle name="Currency 7 4 7 2 2" xfId="51834" xr:uid="{00000000-0005-0000-0000-000051A70000}"/>
    <cellStyle name="Currency 7 4 7 3" xfId="37335" xr:uid="{00000000-0005-0000-0000-000052A70000}"/>
    <cellStyle name="Currency 7 4 8" xfId="15580" xr:uid="{00000000-0005-0000-0000-000053A70000}"/>
    <cellStyle name="Currency 7 4 8 2" xfId="44586" xr:uid="{00000000-0005-0000-0000-000054A70000}"/>
    <cellStyle name="Currency 7 4 9" xfId="30087" xr:uid="{00000000-0005-0000-0000-000055A70000}"/>
    <cellStyle name="Currency 7 5" xfId="1311" xr:uid="{00000000-0005-0000-0000-000056A70000}"/>
    <cellStyle name="Currency 7 5 2" xfId="2368" xr:uid="{00000000-0005-0000-0000-000057A70000}"/>
    <cellStyle name="Currency 7 5 2 2" xfId="5472" xr:uid="{00000000-0005-0000-0000-000058A70000}"/>
    <cellStyle name="Currency 7 5 2 2 2" xfId="12744" xr:uid="{00000000-0005-0000-0000-000059A70000}"/>
    <cellStyle name="Currency 7 5 2 2 2 2" xfId="27278" xr:uid="{00000000-0005-0000-0000-00005AA70000}"/>
    <cellStyle name="Currency 7 5 2 2 2 2 2" xfId="56284" xr:uid="{00000000-0005-0000-0000-00005BA70000}"/>
    <cellStyle name="Currency 7 5 2 2 2 3" xfId="41785" xr:uid="{00000000-0005-0000-0000-00005CA70000}"/>
    <cellStyle name="Currency 7 5 2 2 3" xfId="20030" xr:uid="{00000000-0005-0000-0000-00005DA70000}"/>
    <cellStyle name="Currency 7 5 2 2 3 2" xfId="49036" xr:uid="{00000000-0005-0000-0000-00005EA70000}"/>
    <cellStyle name="Currency 7 5 2 2 4" xfId="34537" xr:uid="{00000000-0005-0000-0000-00005FA70000}"/>
    <cellStyle name="Currency 7 5 2 3" xfId="9640" xr:uid="{00000000-0005-0000-0000-000060A70000}"/>
    <cellStyle name="Currency 7 5 2 3 2" xfId="24174" xr:uid="{00000000-0005-0000-0000-000061A70000}"/>
    <cellStyle name="Currency 7 5 2 3 2 2" xfId="53180" xr:uid="{00000000-0005-0000-0000-000062A70000}"/>
    <cellStyle name="Currency 7 5 2 3 3" xfId="38681" xr:uid="{00000000-0005-0000-0000-000063A70000}"/>
    <cellStyle name="Currency 7 5 2 4" xfId="16926" xr:uid="{00000000-0005-0000-0000-000064A70000}"/>
    <cellStyle name="Currency 7 5 2 4 2" xfId="45932" xr:uid="{00000000-0005-0000-0000-000065A70000}"/>
    <cellStyle name="Currency 7 5 2 5" xfId="31433" xr:uid="{00000000-0005-0000-0000-000066A70000}"/>
    <cellStyle name="Currency 7 5 3" xfId="3400" xr:uid="{00000000-0005-0000-0000-000067A70000}"/>
    <cellStyle name="Currency 7 5 3 2" xfId="6504" xr:uid="{00000000-0005-0000-0000-000068A70000}"/>
    <cellStyle name="Currency 7 5 3 2 2" xfId="13776" xr:uid="{00000000-0005-0000-0000-000069A70000}"/>
    <cellStyle name="Currency 7 5 3 2 2 2" xfId="28310" xr:uid="{00000000-0005-0000-0000-00006AA70000}"/>
    <cellStyle name="Currency 7 5 3 2 2 2 2" xfId="57316" xr:uid="{00000000-0005-0000-0000-00006BA70000}"/>
    <cellStyle name="Currency 7 5 3 2 2 3" xfId="42817" xr:uid="{00000000-0005-0000-0000-00006CA70000}"/>
    <cellStyle name="Currency 7 5 3 2 3" xfId="21062" xr:uid="{00000000-0005-0000-0000-00006DA70000}"/>
    <cellStyle name="Currency 7 5 3 2 3 2" xfId="50068" xr:uid="{00000000-0005-0000-0000-00006EA70000}"/>
    <cellStyle name="Currency 7 5 3 2 4" xfId="35569" xr:uid="{00000000-0005-0000-0000-00006FA70000}"/>
    <cellStyle name="Currency 7 5 3 3" xfId="10672" xr:uid="{00000000-0005-0000-0000-000070A70000}"/>
    <cellStyle name="Currency 7 5 3 3 2" xfId="25206" xr:uid="{00000000-0005-0000-0000-000071A70000}"/>
    <cellStyle name="Currency 7 5 3 3 2 2" xfId="54212" xr:uid="{00000000-0005-0000-0000-000072A70000}"/>
    <cellStyle name="Currency 7 5 3 3 3" xfId="39713" xr:uid="{00000000-0005-0000-0000-000073A70000}"/>
    <cellStyle name="Currency 7 5 3 4" xfId="17958" xr:uid="{00000000-0005-0000-0000-000074A70000}"/>
    <cellStyle name="Currency 7 5 3 4 2" xfId="46964" xr:uid="{00000000-0005-0000-0000-000075A70000}"/>
    <cellStyle name="Currency 7 5 3 5" xfId="32465" xr:uid="{00000000-0005-0000-0000-000076A70000}"/>
    <cellStyle name="Currency 7 5 4" xfId="4432" xr:uid="{00000000-0005-0000-0000-000077A70000}"/>
    <cellStyle name="Currency 7 5 4 2" xfId="11704" xr:uid="{00000000-0005-0000-0000-000078A70000}"/>
    <cellStyle name="Currency 7 5 4 2 2" xfId="26238" xr:uid="{00000000-0005-0000-0000-000079A70000}"/>
    <cellStyle name="Currency 7 5 4 2 2 2" xfId="55244" xr:uid="{00000000-0005-0000-0000-00007AA70000}"/>
    <cellStyle name="Currency 7 5 4 2 3" xfId="40745" xr:uid="{00000000-0005-0000-0000-00007BA70000}"/>
    <cellStyle name="Currency 7 5 4 3" xfId="18990" xr:uid="{00000000-0005-0000-0000-00007CA70000}"/>
    <cellStyle name="Currency 7 5 4 3 2" xfId="47996" xr:uid="{00000000-0005-0000-0000-00007DA70000}"/>
    <cellStyle name="Currency 7 5 4 4" xfId="33497" xr:uid="{00000000-0005-0000-0000-00007EA70000}"/>
    <cellStyle name="Currency 7 5 5" xfId="7536" xr:uid="{00000000-0005-0000-0000-00007FA70000}"/>
    <cellStyle name="Currency 7 5 5 2" xfId="14808" xr:uid="{00000000-0005-0000-0000-000080A70000}"/>
    <cellStyle name="Currency 7 5 5 2 2" xfId="29342" xr:uid="{00000000-0005-0000-0000-000081A70000}"/>
    <cellStyle name="Currency 7 5 5 2 2 2" xfId="58348" xr:uid="{00000000-0005-0000-0000-000082A70000}"/>
    <cellStyle name="Currency 7 5 5 2 3" xfId="43849" xr:uid="{00000000-0005-0000-0000-000083A70000}"/>
    <cellStyle name="Currency 7 5 5 3" xfId="22094" xr:uid="{00000000-0005-0000-0000-000084A70000}"/>
    <cellStyle name="Currency 7 5 5 3 2" xfId="51100" xr:uid="{00000000-0005-0000-0000-000085A70000}"/>
    <cellStyle name="Currency 7 5 5 4" xfId="36601" xr:uid="{00000000-0005-0000-0000-000086A70000}"/>
    <cellStyle name="Currency 7 5 6" xfId="8600" xr:uid="{00000000-0005-0000-0000-000087A70000}"/>
    <cellStyle name="Currency 7 5 6 2" xfId="23134" xr:uid="{00000000-0005-0000-0000-000088A70000}"/>
    <cellStyle name="Currency 7 5 6 2 2" xfId="52140" xr:uid="{00000000-0005-0000-0000-000089A70000}"/>
    <cellStyle name="Currency 7 5 6 3" xfId="37641" xr:uid="{00000000-0005-0000-0000-00008AA70000}"/>
    <cellStyle name="Currency 7 5 7" xfId="15886" xr:uid="{00000000-0005-0000-0000-00008BA70000}"/>
    <cellStyle name="Currency 7 5 7 2" xfId="44892" xr:uid="{00000000-0005-0000-0000-00008CA70000}"/>
    <cellStyle name="Currency 7 5 8" xfId="30393" xr:uid="{00000000-0005-0000-0000-00008DA70000}"/>
    <cellStyle name="Currency 7 5 9" xfId="59516" xr:uid="{00000000-0005-0000-0000-00008EA70000}"/>
    <cellStyle name="Currency 7 6" xfId="1856" xr:uid="{00000000-0005-0000-0000-00008FA70000}"/>
    <cellStyle name="Currency 7 6 2" xfId="4960" xr:uid="{00000000-0005-0000-0000-000090A70000}"/>
    <cellStyle name="Currency 7 6 2 2" xfId="12232" xr:uid="{00000000-0005-0000-0000-000091A70000}"/>
    <cellStyle name="Currency 7 6 2 2 2" xfId="26766" xr:uid="{00000000-0005-0000-0000-000092A70000}"/>
    <cellStyle name="Currency 7 6 2 2 2 2" xfId="55772" xr:uid="{00000000-0005-0000-0000-000093A70000}"/>
    <cellStyle name="Currency 7 6 2 2 3" xfId="41273" xr:uid="{00000000-0005-0000-0000-000094A70000}"/>
    <cellStyle name="Currency 7 6 2 3" xfId="19518" xr:uid="{00000000-0005-0000-0000-000095A70000}"/>
    <cellStyle name="Currency 7 6 2 3 2" xfId="48524" xr:uid="{00000000-0005-0000-0000-000096A70000}"/>
    <cellStyle name="Currency 7 6 2 4" xfId="34025" xr:uid="{00000000-0005-0000-0000-000097A70000}"/>
    <cellStyle name="Currency 7 6 3" xfId="9128" xr:uid="{00000000-0005-0000-0000-000098A70000}"/>
    <cellStyle name="Currency 7 6 3 2" xfId="23662" xr:uid="{00000000-0005-0000-0000-000099A70000}"/>
    <cellStyle name="Currency 7 6 3 2 2" xfId="52668" xr:uid="{00000000-0005-0000-0000-00009AA70000}"/>
    <cellStyle name="Currency 7 6 3 3" xfId="38169" xr:uid="{00000000-0005-0000-0000-00009BA70000}"/>
    <cellStyle name="Currency 7 6 4" xfId="16414" xr:uid="{00000000-0005-0000-0000-00009CA70000}"/>
    <cellStyle name="Currency 7 6 4 2" xfId="45420" xr:uid="{00000000-0005-0000-0000-00009DA70000}"/>
    <cellStyle name="Currency 7 6 5" xfId="30921" xr:uid="{00000000-0005-0000-0000-00009EA70000}"/>
    <cellStyle name="Currency 7 7" xfId="2888" xr:uid="{00000000-0005-0000-0000-00009FA70000}"/>
    <cellStyle name="Currency 7 7 2" xfId="5992" xr:uid="{00000000-0005-0000-0000-0000A0A70000}"/>
    <cellStyle name="Currency 7 7 2 2" xfId="13264" xr:uid="{00000000-0005-0000-0000-0000A1A70000}"/>
    <cellStyle name="Currency 7 7 2 2 2" xfId="27798" xr:uid="{00000000-0005-0000-0000-0000A2A70000}"/>
    <cellStyle name="Currency 7 7 2 2 2 2" xfId="56804" xr:uid="{00000000-0005-0000-0000-0000A3A70000}"/>
    <cellStyle name="Currency 7 7 2 2 3" xfId="42305" xr:uid="{00000000-0005-0000-0000-0000A4A70000}"/>
    <cellStyle name="Currency 7 7 2 3" xfId="20550" xr:uid="{00000000-0005-0000-0000-0000A5A70000}"/>
    <cellStyle name="Currency 7 7 2 3 2" xfId="49556" xr:uid="{00000000-0005-0000-0000-0000A6A70000}"/>
    <cellStyle name="Currency 7 7 2 4" xfId="35057" xr:uid="{00000000-0005-0000-0000-0000A7A70000}"/>
    <cellStyle name="Currency 7 7 3" xfId="10160" xr:uid="{00000000-0005-0000-0000-0000A8A70000}"/>
    <cellStyle name="Currency 7 7 3 2" xfId="24694" xr:uid="{00000000-0005-0000-0000-0000A9A70000}"/>
    <cellStyle name="Currency 7 7 3 2 2" xfId="53700" xr:uid="{00000000-0005-0000-0000-0000AAA70000}"/>
    <cellStyle name="Currency 7 7 3 3" xfId="39201" xr:uid="{00000000-0005-0000-0000-0000ABA70000}"/>
    <cellStyle name="Currency 7 7 4" xfId="17446" xr:uid="{00000000-0005-0000-0000-0000ACA70000}"/>
    <cellStyle name="Currency 7 7 4 2" xfId="46452" xr:uid="{00000000-0005-0000-0000-0000ADA70000}"/>
    <cellStyle name="Currency 7 7 5" xfId="31953" xr:uid="{00000000-0005-0000-0000-0000AEA70000}"/>
    <cellStyle name="Currency 7 8" xfId="3920" xr:uid="{00000000-0005-0000-0000-0000AFA70000}"/>
    <cellStyle name="Currency 7 8 2" xfId="11192" xr:uid="{00000000-0005-0000-0000-0000B0A70000}"/>
    <cellStyle name="Currency 7 8 2 2" xfId="25726" xr:uid="{00000000-0005-0000-0000-0000B1A70000}"/>
    <cellStyle name="Currency 7 8 2 2 2" xfId="54732" xr:uid="{00000000-0005-0000-0000-0000B2A70000}"/>
    <cellStyle name="Currency 7 8 2 3" xfId="40233" xr:uid="{00000000-0005-0000-0000-0000B3A70000}"/>
    <cellStyle name="Currency 7 8 3" xfId="18478" xr:uid="{00000000-0005-0000-0000-0000B4A70000}"/>
    <cellStyle name="Currency 7 8 3 2" xfId="47484" xr:uid="{00000000-0005-0000-0000-0000B5A70000}"/>
    <cellStyle name="Currency 7 8 4" xfId="32985" xr:uid="{00000000-0005-0000-0000-0000B6A70000}"/>
    <cellStyle name="Currency 7 9" xfId="7024" xr:uid="{00000000-0005-0000-0000-0000B7A70000}"/>
    <cellStyle name="Currency 7 9 2" xfId="14296" xr:uid="{00000000-0005-0000-0000-0000B8A70000}"/>
    <cellStyle name="Currency 7 9 2 2" xfId="28830" xr:uid="{00000000-0005-0000-0000-0000B9A70000}"/>
    <cellStyle name="Currency 7 9 2 2 2" xfId="57836" xr:uid="{00000000-0005-0000-0000-0000BAA70000}"/>
    <cellStyle name="Currency 7 9 2 3" xfId="43337" xr:uid="{00000000-0005-0000-0000-0000BBA70000}"/>
    <cellStyle name="Currency 7 9 3" xfId="21582" xr:uid="{00000000-0005-0000-0000-0000BCA70000}"/>
    <cellStyle name="Currency 7 9 3 2" xfId="50588" xr:uid="{00000000-0005-0000-0000-0000BDA70000}"/>
    <cellStyle name="Currency 7 9 4" xfId="36089" xr:uid="{00000000-0005-0000-0000-0000BEA70000}"/>
    <cellStyle name="Currency 8" xfId="612" xr:uid="{00000000-0005-0000-0000-0000BFA70000}"/>
    <cellStyle name="Currency 8 10" xfId="15426" xr:uid="{00000000-0005-0000-0000-0000C0A70000}"/>
    <cellStyle name="Currency 8 10 2" xfId="44432" xr:uid="{00000000-0005-0000-0000-0000C1A70000}"/>
    <cellStyle name="Currency 8 11" xfId="29933" xr:uid="{00000000-0005-0000-0000-0000C2A70000}"/>
    <cellStyle name="Currency 8 12" xfId="59472" xr:uid="{00000000-0005-0000-0000-0000C3A70000}"/>
    <cellStyle name="Currency 8 2" xfId="982" xr:uid="{00000000-0005-0000-0000-0000C4A70000}"/>
    <cellStyle name="Currency 8 2 10" xfId="30036" xr:uid="{00000000-0005-0000-0000-0000C5A70000}"/>
    <cellStyle name="Currency 8 2 2" xfId="1263" xr:uid="{00000000-0005-0000-0000-0000C6A70000}"/>
    <cellStyle name="Currency 8 2 2 2" xfId="1770" xr:uid="{00000000-0005-0000-0000-0000C7A70000}"/>
    <cellStyle name="Currency 8 2 2 2 2" xfId="2829" xr:uid="{00000000-0005-0000-0000-0000C8A70000}"/>
    <cellStyle name="Currency 8 2 2 2 2 2" xfId="5933" xr:uid="{00000000-0005-0000-0000-0000C9A70000}"/>
    <cellStyle name="Currency 8 2 2 2 2 2 2" xfId="13205" xr:uid="{00000000-0005-0000-0000-0000CAA70000}"/>
    <cellStyle name="Currency 8 2 2 2 2 2 2 2" xfId="27739" xr:uid="{00000000-0005-0000-0000-0000CBA70000}"/>
    <cellStyle name="Currency 8 2 2 2 2 2 2 2 2" xfId="56745" xr:uid="{00000000-0005-0000-0000-0000CCA70000}"/>
    <cellStyle name="Currency 8 2 2 2 2 2 2 3" xfId="42246" xr:uid="{00000000-0005-0000-0000-0000CDA70000}"/>
    <cellStyle name="Currency 8 2 2 2 2 2 3" xfId="20491" xr:uid="{00000000-0005-0000-0000-0000CEA70000}"/>
    <cellStyle name="Currency 8 2 2 2 2 2 3 2" xfId="49497" xr:uid="{00000000-0005-0000-0000-0000CFA70000}"/>
    <cellStyle name="Currency 8 2 2 2 2 2 4" xfId="34998" xr:uid="{00000000-0005-0000-0000-0000D0A70000}"/>
    <cellStyle name="Currency 8 2 2 2 2 3" xfId="10101" xr:uid="{00000000-0005-0000-0000-0000D1A70000}"/>
    <cellStyle name="Currency 8 2 2 2 2 3 2" xfId="24635" xr:uid="{00000000-0005-0000-0000-0000D2A70000}"/>
    <cellStyle name="Currency 8 2 2 2 2 3 2 2" xfId="53641" xr:uid="{00000000-0005-0000-0000-0000D3A70000}"/>
    <cellStyle name="Currency 8 2 2 2 2 3 3" xfId="39142" xr:uid="{00000000-0005-0000-0000-0000D4A70000}"/>
    <cellStyle name="Currency 8 2 2 2 2 4" xfId="17387" xr:uid="{00000000-0005-0000-0000-0000D5A70000}"/>
    <cellStyle name="Currency 8 2 2 2 2 4 2" xfId="46393" xr:uid="{00000000-0005-0000-0000-0000D6A70000}"/>
    <cellStyle name="Currency 8 2 2 2 2 5" xfId="31894" xr:uid="{00000000-0005-0000-0000-0000D7A70000}"/>
    <cellStyle name="Currency 8 2 2 2 3" xfId="3861" xr:uid="{00000000-0005-0000-0000-0000D8A70000}"/>
    <cellStyle name="Currency 8 2 2 2 3 2" xfId="6965" xr:uid="{00000000-0005-0000-0000-0000D9A70000}"/>
    <cellStyle name="Currency 8 2 2 2 3 2 2" xfId="14237" xr:uid="{00000000-0005-0000-0000-0000DAA70000}"/>
    <cellStyle name="Currency 8 2 2 2 3 2 2 2" xfId="28771" xr:uid="{00000000-0005-0000-0000-0000DBA70000}"/>
    <cellStyle name="Currency 8 2 2 2 3 2 2 2 2" xfId="57777" xr:uid="{00000000-0005-0000-0000-0000DCA70000}"/>
    <cellStyle name="Currency 8 2 2 2 3 2 2 3" xfId="43278" xr:uid="{00000000-0005-0000-0000-0000DDA70000}"/>
    <cellStyle name="Currency 8 2 2 2 3 2 3" xfId="21523" xr:uid="{00000000-0005-0000-0000-0000DEA70000}"/>
    <cellStyle name="Currency 8 2 2 2 3 2 3 2" xfId="50529" xr:uid="{00000000-0005-0000-0000-0000DFA70000}"/>
    <cellStyle name="Currency 8 2 2 2 3 2 4" xfId="36030" xr:uid="{00000000-0005-0000-0000-0000E0A70000}"/>
    <cellStyle name="Currency 8 2 2 2 3 3" xfId="11133" xr:uid="{00000000-0005-0000-0000-0000E1A70000}"/>
    <cellStyle name="Currency 8 2 2 2 3 3 2" xfId="25667" xr:uid="{00000000-0005-0000-0000-0000E2A70000}"/>
    <cellStyle name="Currency 8 2 2 2 3 3 2 2" xfId="54673" xr:uid="{00000000-0005-0000-0000-0000E3A70000}"/>
    <cellStyle name="Currency 8 2 2 2 3 3 3" xfId="40174" xr:uid="{00000000-0005-0000-0000-0000E4A70000}"/>
    <cellStyle name="Currency 8 2 2 2 3 4" xfId="18419" xr:uid="{00000000-0005-0000-0000-0000E5A70000}"/>
    <cellStyle name="Currency 8 2 2 2 3 4 2" xfId="47425" xr:uid="{00000000-0005-0000-0000-0000E6A70000}"/>
    <cellStyle name="Currency 8 2 2 2 3 5" xfId="32926" xr:uid="{00000000-0005-0000-0000-0000E7A70000}"/>
    <cellStyle name="Currency 8 2 2 2 4" xfId="4893" xr:uid="{00000000-0005-0000-0000-0000E8A70000}"/>
    <cellStyle name="Currency 8 2 2 2 4 2" xfId="12165" xr:uid="{00000000-0005-0000-0000-0000E9A70000}"/>
    <cellStyle name="Currency 8 2 2 2 4 2 2" xfId="26699" xr:uid="{00000000-0005-0000-0000-0000EAA70000}"/>
    <cellStyle name="Currency 8 2 2 2 4 2 2 2" xfId="55705" xr:uid="{00000000-0005-0000-0000-0000EBA70000}"/>
    <cellStyle name="Currency 8 2 2 2 4 2 3" xfId="41206" xr:uid="{00000000-0005-0000-0000-0000ECA70000}"/>
    <cellStyle name="Currency 8 2 2 2 4 3" xfId="19451" xr:uid="{00000000-0005-0000-0000-0000EDA70000}"/>
    <cellStyle name="Currency 8 2 2 2 4 3 2" xfId="48457" xr:uid="{00000000-0005-0000-0000-0000EEA70000}"/>
    <cellStyle name="Currency 8 2 2 2 4 4" xfId="33958" xr:uid="{00000000-0005-0000-0000-0000EFA70000}"/>
    <cellStyle name="Currency 8 2 2 2 5" xfId="7997" xr:uid="{00000000-0005-0000-0000-0000F0A70000}"/>
    <cellStyle name="Currency 8 2 2 2 5 2" xfId="15269" xr:uid="{00000000-0005-0000-0000-0000F1A70000}"/>
    <cellStyle name="Currency 8 2 2 2 5 2 2" xfId="29803" xr:uid="{00000000-0005-0000-0000-0000F2A70000}"/>
    <cellStyle name="Currency 8 2 2 2 5 2 2 2" xfId="58809" xr:uid="{00000000-0005-0000-0000-0000F3A70000}"/>
    <cellStyle name="Currency 8 2 2 2 5 2 3" xfId="44310" xr:uid="{00000000-0005-0000-0000-0000F4A70000}"/>
    <cellStyle name="Currency 8 2 2 2 5 3" xfId="22555" xr:uid="{00000000-0005-0000-0000-0000F5A70000}"/>
    <cellStyle name="Currency 8 2 2 2 5 3 2" xfId="51561" xr:uid="{00000000-0005-0000-0000-0000F6A70000}"/>
    <cellStyle name="Currency 8 2 2 2 5 4" xfId="37062" xr:uid="{00000000-0005-0000-0000-0000F7A70000}"/>
    <cellStyle name="Currency 8 2 2 2 6" xfId="9061" xr:uid="{00000000-0005-0000-0000-0000F8A70000}"/>
    <cellStyle name="Currency 8 2 2 2 6 2" xfId="23595" xr:uid="{00000000-0005-0000-0000-0000F9A70000}"/>
    <cellStyle name="Currency 8 2 2 2 6 2 2" xfId="52601" xr:uid="{00000000-0005-0000-0000-0000FAA70000}"/>
    <cellStyle name="Currency 8 2 2 2 6 3" xfId="38102" xr:uid="{00000000-0005-0000-0000-0000FBA70000}"/>
    <cellStyle name="Currency 8 2 2 2 7" xfId="16347" xr:uid="{00000000-0005-0000-0000-0000FCA70000}"/>
    <cellStyle name="Currency 8 2 2 2 7 2" xfId="45353" xr:uid="{00000000-0005-0000-0000-0000FDA70000}"/>
    <cellStyle name="Currency 8 2 2 2 8" xfId="30854" xr:uid="{00000000-0005-0000-0000-0000FEA70000}"/>
    <cellStyle name="Currency 8 2 2 3" xfId="2317" xr:uid="{00000000-0005-0000-0000-0000FFA70000}"/>
    <cellStyle name="Currency 8 2 2 3 2" xfId="5421" xr:uid="{00000000-0005-0000-0000-000000A80000}"/>
    <cellStyle name="Currency 8 2 2 3 2 2" xfId="12693" xr:uid="{00000000-0005-0000-0000-000001A80000}"/>
    <cellStyle name="Currency 8 2 2 3 2 2 2" xfId="27227" xr:uid="{00000000-0005-0000-0000-000002A80000}"/>
    <cellStyle name="Currency 8 2 2 3 2 2 2 2" xfId="56233" xr:uid="{00000000-0005-0000-0000-000003A80000}"/>
    <cellStyle name="Currency 8 2 2 3 2 2 3" xfId="41734" xr:uid="{00000000-0005-0000-0000-000004A80000}"/>
    <cellStyle name="Currency 8 2 2 3 2 3" xfId="19979" xr:uid="{00000000-0005-0000-0000-000005A80000}"/>
    <cellStyle name="Currency 8 2 2 3 2 3 2" xfId="48985" xr:uid="{00000000-0005-0000-0000-000006A80000}"/>
    <cellStyle name="Currency 8 2 2 3 2 4" xfId="34486" xr:uid="{00000000-0005-0000-0000-000007A80000}"/>
    <cellStyle name="Currency 8 2 2 3 3" xfId="9589" xr:uid="{00000000-0005-0000-0000-000008A80000}"/>
    <cellStyle name="Currency 8 2 2 3 3 2" xfId="24123" xr:uid="{00000000-0005-0000-0000-000009A80000}"/>
    <cellStyle name="Currency 8 2 2 3 3 2 2" xfId="53129" xr:uid="{00000000-0005-0000-0000-00000AA80000}"/>
    <cellStyle name="Currency 8 2 2 3 3 3" xfId="38630" xr:uid="{00000000-0005-0000-0000-00000BA80000}"/>
    <cellStyle name="Currency 8 2 2 3 4" xfId="16875" xr:uid="{00000000-0005-0000-0000-00000CA80000}"/>
    <cellStyle name="Currency 8 2 2 3 4 2" xfId="45881" xr:uid="{00000000-0005-0000-0000-00000DA80000}"/>
    <cellStyle name="Currency 8 2 2 3 5" xfId="31382" xr:uid="{00000000-0005-0000-0000-00000EA80000}"/>
    <cellStyle name="Currency 8 2 2 4" xfId="3349" xr:uid="{00000000-0005-0000-0000-00000FA80000}"/>
    <cellStyle name="Currency 8 2 2 4 2" xfId="6453" xr:uid="{00000000-0005-0000-0000-000010A80000}"/>
    <cellStyle name="Currency 8 2 2 4 2 2" xfId="13725" xr:uid="{00000000-0005-0000-0000-000011A80000}"/>
    <cellStyle name="Currency 8 2 2 4 2 2 2" xfId="28259" xr:uid="{00000000-0005-0000-0000-000012A80000}"/>
    <cellStyle name="Currency 8 2 2 4 2 2 2 2" xfId="57265" xr:uid="{00000000-0005-0000-0000-000013A80000}"/>
    <cellStyle name="Currency 8 2 2 4 2 2 3" xfId="42766" xr:uid="{00000000-0005-0000-0000-000014A80000}"/>
    <cellStyle name="Currency 8 2 2 4 2 3" xfId="21011" xr:uid="{00000000-0005-0000-0000-000015A80000}"/>
    <cellStyle name="Currency 8 2 2 4 2 3 2" xfId="50017" xr:uid="{00000000-0005-0000-0000-000016A80000}"/>
    <cellStyle name="Currency 8 2 2 4 2 4" xfId="35518" xr:uid="{00000000-0005-0000-0000-000017A80000}"/>
    <cellStyle name="Currency 8 2 2 4 3" xfId="10621" xr:uid="{00000000-0005-0000-0000-000018A80000}"/>
    <cellStyle name="Currency 8 2 2 4 3 2" xfId="25155" xr:uid="{00000000-0005-0000-0000-000019A80000}"/>
    <cellStyle name="Currency 8 2 2 4 3 2 2" xfId="54161" xr:uid="{00000000-0005-0000-0000-00001AA80000}"/>
    <cellStyle name="Currency 8 2 2 4 3 3" xfId="39662" xr:uid="{00000000-0005-0000-0000-00001BA80000}"/>
    <cellStyle name="Currency 8 2 2 4 4" xfId="17907" xr:uid="{00000000-0005-0000-0000-00001CA80000}"/>
    <cellStyle name="Currency 8 2 2 4 4 2" xfId="46913" xr:uid="{00000000-0005-0000-0000-00001DA80000}"/>
    <cellStyle name="Currency 8 2 2 4 5" xfId="32414" xr:uid="{00000000-0005-0000-0000-00001EA80000}"/>
    <cellStyle name="Currency 8 2 2 5" xfId="4381" xr:uid="{00000000-0005-0000-0000-00001FA80000}"/>
    <cellStyle name="Currency 8 2 2 5 2" xfId="11653" xr:uid="{00000000-0005-0000-0000-000020A80000}"/>
    <cellStyle name="Currency 8 2 2 5 2 2" xfId="26187" xr:uid="{00000000-0005-0000-0000-000021A80000}"/>
    <cellStyle name="Currency 8 2 2 5 2 2 2" xfId="55193" xr:uid="{00000000-0005-0000-0000-000022A80000}"/>
    <cellStyle name="Currency 8 2 2 5 2 3" xfId="40694" xr:uid="{00000000-0005-0000-0000-000023A80000}"/>
    <cellStyle name="Currency 8 2 2 5 3" xfId="18939" xr:uid="{00000000-0005-0000-0000-000024A80000}"/>
    <cellStyle name="Currency 8 2 2 5 3 2" xfId="47945" xr:uid="{00000000-0005-0000-0000-000025A80000}"/>
    <cellStyle name="Currency 8 2 2 5 4" xfId="33446" xr:uid="{00000000-0005-0000-0000-000026A80000}"/>
    <cellStyle name="Currency 8 2 2 6" xfId="7485" xr:uid="{00000000-0005-0000-0000-000027A80000}"/>
    <cellStyle name="Currency 8 2 2 6 2" xfId="14757" xr:uid="{00000000-0005-0000-0000-000028A80000}"/>
    <cellStyle name="Currency 8 2 2 6 2 2" xfId="29291" xr:uid="{00000000-0005-0000-0000-000029A80000}"/>
    <cellStyle name="Currency 8 2 2 6 2 2 2" xfId="58297" xr:uid="{00000000-0005-0000-0000-00002AA80000}"/>
    <cellStyle name="Currency 8 2 2 6 2 3" xfId="43798" xr:uid="{00000000-0005-0000-0000-00002BA80000}"/>
    <cellStyle name="Currency 8 2 2 6 3" xfId="22043" xr:uid="{00000000-0005-0000-0000-00002CA80000}"/>
    <cellStyle name="Currency 8 2 2 6 3 2" xfId="51049" xr:uid="{00000000-0005-0000-0000-00002DA80000}"/>
    <cellStyle name="Currency 8 2 2 6 4" xfId="36550" xr:uid="{00000000-0005-0000-0000-00002EA80000}"/>
    <cellStyle name="Currency 8 2 2 7" xfId="8549" xr:uid="{00000000-0005-0000-0000-00002FA80000}"/>
    <cellStyle name="Currency 8 2 2 7 2" xfId="23083" xr:uid="{00000000-0005-0000-0000-000030A80000}"/>
    <cellStyle name="Currency 8 2 2 7 2 2" xfId="52089" xr:uid="{00000000-0005-0000-0000-000031A80000}"/>
    <cellStyle name="Currency 8 2 2 7 3" xfId="37590" xr:uid="{00000000-0005-0000-0000-000032A80000}"/>
    <cellStyle name="Currency 8 2 2 8" xfId="15835" xr:uid="{00000000-0005-0000-0000-000033A80000}"/>
    <cellStyle name="Currency 8 2 2 8 2" xfId="44841" xr:uid="{00000000-0005-0000-0000-000034A80000}"/>
    <cellStyle name="Currency 8 2 2 9" xfId="30342" xr:uid="{00000000-0005-0000-0000-000035A80000}"/>
    <cellStyle name="Currency 8 2 3" xfId="1465" xr:uid="{00000000-0005-0000-0000-000036A80000}"/>
    <cellStyle name="Currency 8 2 3 2" xfId="2523" xr:uid="{00000000-0005-0000-0000-000037A80000}"/>
    <cellStyle name="Currency 8 2 3 2 2" xfId="5627" xr:uid="{00000000-0005-0000-0000-000038A80000}"/>
    <cellStyle name="Currency 8 2 3 2 2 2" xfId="12899" xr:uid="{00000000-0005-0000-0000-000039A80000}"/>
    <cellStyle name="Currency 8 2 3 2 2 2 2" xfId="27433" xr:uid="{00000000-0005-0000-0000-00003AA80000}"/>
    <cellStyle name="Currency 8 2 3 2 2 2 2 2" xfId="56439" xr:uid="{00000000-0005-0000-0000-00003BA80000}"/>
    <cellStyle name="Currency 8 2 3 2 2 2 3" xfId="41940" xr:uid="{00000000-0005-0000-0000-00003CA80000}"/>
    <cellStyle name="Currency 8 2 3 2 2 3" xfId="20185" xr:uid="{00000000-0005-0000-0000-00003DA80000}"/>
    <cellStyle name="Currency 8 2 3 2 2 3 2" xfId="49191" xr:uid="{00000000-0005-0000-0000-00003EA80000}"/>
    <cellStyle name="Currency 8 2 3 2 2 4" xfId="34692" xr:uid="{00000000-0005-0000-0000-00003FA80000}"/>
    <cellStyle name="Currency 8 2 3 2 3" xfId="9795" xr:uid="{00000000-0005-0000-0000-000040A80000}"/>
    <cellStyle name="Currency 8 2 3 2 3 2" xfId="24329" xr:uid="{00000000-0005-0000-0000-000041A80000}"/>
    <cellStyle name="Currency 8 2 3 2 3 2 2" xfId="53335" xr:uid="{00000000-0005-0000-0000-000042A80000}"/>
    <cellStyle name="Currency 8 2 3 2 3 3" xfId="38836" xr:uid="{00000000-0005-0000-0000-000043A80000}"/>
    <cellStyle name="Currency 8 2 3 2 4" xfId="17081" xr:uid="{00000000-0005-0000-0000-000044A80000}"/>
    <cellStyle name="Currency 8 2 3 2 4 2" xfId="46087" xr:uid="{00000000-0005-0000-0000-000045A80000}"/>
    <cellStyle name="Currency 8 2 3 2 5" xfId="31588" xr:uid="{00000000-0005-0000-0000-000046A80000}"/>
    <cellStyle name="Currency 8 2 3 3" xfId="3555" xr:uid="{00000000-0005-0000-0000-000047A80000}"/>
    <cellStyle name="Currency 8 2 3 3 2" xfId="6659" xr:uid="{00000000-0005-0000-0000-000048A80000}"/>
    <cellStyle name="Currency 8 2 3 3 2 2" xfId="13931" xr:uid="{00000000-0005-0000-0000-000049A80000}"/>
    <cellStyle name="Currency 8 2 3 3 2 2 2" xfId="28465" xr:uid="{00000000-0005-0000-0000-00004AA80000}"/>
    <cellStyle name="Currency 8 2 3 3 2 2 2 2" xfId="57471" xr:uid="{00000000-0005-0000-0000-00004BA80000}"/>
    <cellStyle name="Currency 8 2 3 3 2 2 3" xfId="42972" xr:uid="{00000000-0005-0000-0000-00004CA80000}"/>
    <cellStyle name="Currency 8 2 3 3 2 3" xfId="21217" xr:uid="{00000000-0005-0000-0000-00004DA80000}"/>
    <cellStyle name="Currency 8 2 3 3 2 3 2" xfId="50223" xr:uid="{00000000-0005-0000-0000-00004EA80000}"/>
    <cellStyle name="Currency 8 2 3 3 2 4" xfId="35724" xr:uid="{00000000-0005-0000-0000-00004FA80000}"/>
    <cellStyle name="Currency 8 2 3 3 3" xfId="10827" xr:uid="{00000000-0005-0000-0000-000050A80000}"/>
    <cellStyle name="Currency 8 2 3 3 3 2" xfId="25361" xr:uid="{00000000-0005-0000-0000-000051A80000}"/>
    <cellStyle name="Currency 8 2 3 3 3 2 2" xfId="54367" xr:uid="{00000000-0005-0000-0000-000052A80000}"/>
    <cellStyle name="Currency 8 2 3 3 3 3" xfId="39868" xr:uid="{00000000-0005-0000-0000-000053A80000}"/>
    <cellStyle name="Currency 8 2 3 3 4" xfId="18113" xr:uid="{00000000-0005-0000-0000-000054A80000}"/>
    <cellStyle name="Currency 8 2 3 3 4 2" xfId="47119" xr:uid="{00000000-0005-0000-0000-000055A80000}"/>
    <cellStyle name="Currency 8 2 3 3 5" xfId="32620" xr:uid="{00000000-0005-0000-0000-000056A80000}"/>
    <cellStyle name="Currency 8 2 3 4" xfId="4587" xr:uid="{00000000-0005-0000-0000-000057A80000}"/>
    <cellStyle name="Currency 8 2 3 4 2" xfId="11859" xr:uid="{00000000-0005-0000-0000-000058A80000}"/>
    <cellStyle name="Currency 8 2 3 4 2 2" xfId="26393" xr:uid="{00000000-0005-0000-0000-000059A80000}"/>
    <cellStyle name="Currency 8 2 3 4 2 2 2" xfId="55399" xr:uid="{00000000-0005-0000-0000-00005AA80000}"/>
    <cellStyle name="Currency 8 2 3 4 2 3" xfId="40900" xr:uid="{00000000-0005-0000-0000-00005BA80000}"/>
    <cellStyle name="Currency 8 2 3 4 3" xfId="19145" xr:uid="{00000000-0005-0000-0000-00005CA80000}"/>
    <cellStyle name="Currency 8 2 3 4 3 2" xfId="48151" xr:uid="{00000000-0005-0000-0000-00005DA80000}"/>
    <cellStyle name="Currency 8 2 3 4 4" xfId="33652" xr:uid="{00000000-0005-0000-0000-00005EA80000}"/>
    <cellStyle name="Currency 8 2 3 5" xfId="7691" xr:uid="{00000000-0005-0000-0000-00005FA80000}"/>
    <cellStyle name="Currency 8 2 3 5 2" xfId="14963" xr:uid="{00000000-0005-0000-0000-000060A80000}"/>
    <cellStyle name="Currency 8 2 3 5 2 2" xfId="29497" xr:uid="{00000000-0005-0000-0000-000061A80000}"/>
    <cellStyle name="Currency 8 2 3 5 2 2 2" xfId="58503" xr:uid="{00000000-0005-0000-0000-000062A80000}"/>
    <cellStyle name="Currency 8 2 3 5 2 3" xfId="44004" xr:uid="{00000000-0005-0000-0000-000063A80000}"/>
    <cellStyle name="Currency 8 2 3 5 3" xfId="22249" xr:uid="{00000000-0005-0000-0000-000064A80000}"/>
    <cellStyle name="Currency 8 2 3 5 3 2" xfId="51255" xr:uid="{00000000-0005-0000-0000-000065A80000}"/>
    <cellStyle name="Currency 8 2 3 5 4" xfId="36756" xr:uid="{00000000-0005-0000-0000-000066A80000}"/>
    <cellStyle name="Currency 8 2 3 6" xfId="8755" xr:uid="{00000000-0005-0000-0000-000067A80000}"/>
    <cellStyle name="Currency 8 2 3 6 2" xfId="23289" xr:uid="{00000000-0005-0000-0000-000068A80000}"/>
    <cellStyle name="Currency 8 2 3 6 2 2" xfId="52295" xr:uid="{00000000-0005-0000-0000-000069A80000}"/>
    <cellStyle name="Currency 8 2 3 6 3" xfId="37796" xr:uid="{00000000-0005-0000-0000-00006AA80000}"/>
    <cellStyle name="Currency 8 2 3 7" xfId="16041" xr:uid="{00000000-0005-0000-0000-00006BA80000}"/>
    <cellStyle name="Currency 8 2 3 7 2" xfId="45047" xr:uid="{00000000-0005-0000-0000-00006CA80000}"/>
    <cellStyle name="Currency 8 2 3 8" xfId="30548" xr:uid="{00000000-0005-0000-0000-00006DA80000}"/>
    <cellStyle name="Currency 8 2 4" xfId="2011" xr:uid="{00000000-0005-0000-0000-00006EA80000}"/>
    <cellStyle name="Currency 8 2 4 2" xfId="5115" xr:uid="{00000000-0005-0000-0000-00006FA80000}"/>
    <cellStyle name="Currency 8 2 4 2 2" xfId="12387" xr:uid="{00000000-0005-0000-0000-000070A80000}"/>
    <cellStyle name="Currency 8 2 4 2 2 2" xfId="26921" xr:uid="{00000000-0005-0000-0000-000071A80000}"/>
    <cellStyle name="Currency 8 2 4 2 2 2 2" xfId="55927" xr:uid="{00000000-0005-0000-0000-000072A80000}"/>
    <cellStyle name="Currency 8 2 4 2 2 3" xfId="41428" xr:uid="{00000000-0005-0000-0000-000073A80000}"/>
    <cellStyle name="Currency 8 2 4 2 3" xfId="19673" xr:uid="{00000000-0005-0000-0000-000074A80000}"/>
    <cellStyle name="Currency 8 2 4 2 3 2" xfId="48679" xr:uid="{00000000-0005-0000-0000-000075A80000}"/>
    <cellStyle name="Currency 8 2 4 2 4" xfId="34180" xr:uid="{00000000-0005-0000-0000-000076A80000}"/>
    <cellStyle name="Currency 8 2 4 3" xfId="9283" xr:uid="{00000000-0005-0000-0000-000077A80000}"/>
    <cellStyle name="Currency 8 2 4 3 2" xfId="23817" xr:uid="{00000000-0005-0000-0000-000078A80000}"/>
    <cellStyle name="Currency 8 2 4 3 2 2" xfId="52823" xr:uid="{00000000-0005-0000-0000-000079A80000}"/>
    <cellStyle name="Currency 8 2 4 3 3" xfId="38324" xr:uid="{00000000-0005-0000-0000-00007AA80000}"/>
    <cellStyle name="Currency 8 2 4 4" xfId="16569" xr:uid="{00000000-0005-0000-0000-00007BA80000}"/>
    <cellStyle name="Currency 8 2 4 4 2" xfId="45575" xr:uid="{00000000-0005-0000-0000-00007CA80000}"/>
    <cellStyle name="Currency 8 2 4 5" xfId="31076" xr:uid="{00000000-0005-0000-0000-00007DA80000}"/>
    <cellStyle name="Currency 8 2 5" xfId="3043" xr:uid="{00000000-0005-0000-0000-00007EA80000}"/>
    <cellStyle name="Currency 8 2 5 2" xfId="6147" xr:uid="{00000000-0005-0000-0000-00007FA80000}"/>
    <cellStyle name="Currency 8 2 5 2 2" xfId="13419" xr:uid="{00000000-0005-0000-0000-000080A80000}"/>
    <cellStyle name="Currency 8 2 5 2 2 2" xfId="27953" xr:uid="{00000000-0005-0000-0000-000081A80000}"/>
    <cellStyle name="Currency 8 2 5 2 2 2 2" xfId="56959" xr:uid="{00000000-0005-0000-0000-000082A80000}"/>
    <cellStyle name="Currency 8 2 5 2 2 3" xfId="42460" xr:uid="{00000000-0005-0000-0000-000083A80000}"/>
    <cellStyle name="Currency 8 2 5 2 3" xfId="20705" xr:uid="{00000000-0005-0000-0000-000084A80000}"/>
    <cellStyle name="Currency 8 2 5 2 3 2" xfId="49711" xr:uid="{00000000-0005-0000-0000-000085A80000}"/>
    <cellStyle name="Currency 8 2 5 2 4" xfId="35212" xr:uid="{00000000-0005-0000-0000-000086A80000}"/>
    <cellStyle name="Currency 8 2 5 3" xfId="10315" xr:uid="{00000000-0005-0000-0000-000087A80000}"/>
    <cellStyle name="Currency 8 2 5 3 2" xfId="24849" xr:uid="{00000000-0005-0000-0000-000088A80000}"/>
    <cellStyle name="Currency 8 2 5 3 2 2" xfId="53855" xr:uid="{00000000-0005-0000-0000-000089A80000}"/>
    <cellStyle name="Currency 8 2 5 3 3" xfId="39356" xr:uid="{00000000-0005-0000-0000-00008AA80000}"/>
    <cellStyle name="Currency 8 2 5 4" xfId="17601" xr:uid="{00000000-0005-0000-0000-00008BA80000}"/>
    <cellStyle name="Currency 8 2 5 4 2" xfId="46607" xr:uid="{00000000-0005-0000-0000-00008CA80000}"/>
    <cellStyle name="Currency 8 2 5 5" xfId="32108" xr:uid="{00000000-0005-0000-0000-00008DA80000}"/>
    <cellStyle name="Currency 8 2 6" xfId="4075" xr:uid="{00000000-0005-0000-0000-00008EA80000}"/>
    <cellStyle name="Currency 8 2 6 2" xfId="11347" xr:uid="{00000000-0005-0000-0000-00008FA80000}"/>
    <cellStyle name="Currency 8 2 6 2 2" xfId="25881" xr:uid="{00000000-0005-0000-0000-000090A80000}"/>
    <cellStyle name="Currency 8 2 6 2 2 2" xfId="54887" xr:uid="{00000000-0005-0000-0000-000091A80000}"/>
    <cellStyle name="Currency 8 2 6 2 3" xfId="40388" xr:uid="{00000000-0005-0000-0000-000092A80000}"/>
    <cellStyle name="Currency 8 2 6 3" xfId="18633" xr:uid="{00000000-0005-0000-0000-000093A80000}"/>
    <cellStyle name="Currency 8 2 6 3 2" xfId="47639" xr:uid="{00000000-0005-0000-0000-000094A80000}"/>
    <cellStyle name="Currency 8 2 6 4" xfId="33140" xr:uid="{00000000-0005-0000-0000-000095A80000}"/>
    <cellStyle name="Currency 8 2 7" xfId="7179" xr:uid="{00000000-0005-0000-0000-000096A80000}"/>
    <cellStyle name="Currency 8 2 7 2" xfId="14451" xr:uid="{00000000-0005-0000-0000-000097A80000}"/>
    <cellStyle name="Currency 8 2 7 2 2" xfId="28985" xr:uid="{00000000-0005-0000-0000-000098A80000}"/>
    <cellStyle name="Currency 8 2 7 2 2 2" xfId="57991" xr:uid="{00000000-0005-0000-0000-000099A80000}"/>
    <cellStyle name="Currency 8 2 7 2 3" xfId="43492" xr:uid="{00000000-0005-0000-0000-00009AA80000}"/>
    <cellStyle name="Currency 8 2 7 3" xfId="21737" xr:uid="{00000000-0005-0000-0000-00009BA80000}"/>
    <cellStyle name="Currency 8 2 7 3 2" xfId="50743" xr:uid="{00000000-0005-0000-0000-00009CA80000}"/>
    <cellStyle name="Currency 8 2 7 4" xfId="36244" xr:uid="{00000000-0005-0000-0000-00009DA80000}"/>
    <cellStyle name="Currency 8 2 8" xfId="8243" xr:uid="{00000000-0005-0000-0000-00009EA80000}"/>
    <cellStyle name="Currency 8 2 8 2" xfId="22777" xr:uid="{00000000-0005-0000-0000-00009FA80000}"/>
    <cellStyle name="Currency 8 2 8 2 2" xfId="51783" xr:uid="{00000000-0005-0000-0000-0000A0A80000}"/>
    <cellStyle name="Currency 8 2 8 3" xfId="37284" xr:uid="{00000000-0005-0000-0000-0000A1A80000}"/>
    <cellStyle name="Currency 8 2 9" xfId="15529" xr:uid="{00000000-0005-0000-0000-0000A2A80000}"/>
    <cellStyle name="Currency 8 2 9 2" xfId="44535" xr:uid="{00000000-0005-0000-0000-0000A3A80000}"/>
    <cellStyle name="Currency 8 3" xfId="1167" xr:uid="{00000000-0005-0000-0000-0000A4A80000}"/>
    <cellStyle name="Currency 8 3 2" xfId="1667" xr:uid="{00000000-0005-0000-0000-0000A5A80000}"/>
    <cellStyle name="Currency 8 3 2 2" xfId="2726" xr:uid="{00000000-0005-0000-0000-0000A6A80000}"/>
    <cellStyle name="Currency 8 3 2 2 2" xfId="5830" xr:uid="{00000000-0005-0000-0000-0000A7A80000}"/>
    <cellStyle name="Currency 8 3 2 2 2 2" xfId="13102" xr:uid="{00000000-0005-0000-0000-0000A8A80000}"/>
    <cellStyle name="Currency 8 3 2 2 2 2 2" xfId="27636" xr:uid="{00000000-0005-0000-0000-0000A9A80000}"/>
    <cellStyle name="Currency 8 3 2 2 2 2 2 2" xfId="56642" xr:uid="{00000000-0005-0000-0000-0000AAA80000}"/>
    <cellStyle name="Currency 8 3 2 2 2 2 3" xfId="42143" xr:uid="{00000000-0005-0000-0000-0000ABA80000}"/>
    <cellStyle name="Currency 8 3 2 2 2 3" xfId="20388" xr:uid="{00000000-0005-0000-0000-0000ACA80000}"/>
    <cellStyle name="Currency 8 3 2 2 2 3 2" xfId="49394" xr:uid="{00000000-0005-0000-0000-0000ADA80000}"/>
    <cellStyle name="Currency 8 3 2 2 2 4" xfId="34895" xr:uid="{00000000-0005-0000-0000-0000AEA80000}"/>
    <cellStyle name="Currency 8 3 2 2 3" xfId="9998" xr:uid="{00000000-0005-0000-0000-0000AFA80000}"/>
    <cellStyle name="Currency 8 3 2 2 3 2" xfId="24532" xr:uid="{00000000-0005-0000-0000-0000B0A80000}"/>
    <cellStyle name="Currency 8 3 2 2 3 2 2" xfId="53538" xr:uid="{00000000-0005-0000-0000-0000B1A80000}"/>
    <cellStyle name="Currency 8 3 2 2 3 3" xfId="39039" xr:uid="{00000000-0005-0000-0000-0000B2A80000}"/>
    <cellStyle name="Currency 8 3 2 2 4" xfId="17284" xr:uid="{00000000-0005-0000-0000-0000B3A80000}"/>
    <cellStyle name="Currency 8 3 2 2 4 2" xfId="46290" xr:uid="{00000000-0005-0000-0000-0000B4A80000}"/>
    <cellStyle name="Currency 8 3 2 2 5" xfId="31791" xr:uid="{00000000-0005-0000-0000-0000B5A80000}"/>
    <cellStyle name="Currency 8 3 2 3" xfId="3758" xr:uid="{00000000-0005-0000-0000-0000B6A80000}"/>
    <cellStyle name="Currency 8 3 2 3 2" xfId="6862" xr:uid="{00000000-0005-0000-0000-0000B7A80000}"/>
    <cellStyle name="Currency 8 3 2 3 2 2" xfId="14134" xr:uid="{00000000-0005-0000-0000-0000B8A80000}"/>
    <cellStyle name="Currency 8 3 2 3 2 2 2" xfId="28668" xr:uid="{00000000-0005-0000-0000-0000B9A80000}"/>
    <cellStyle name="Currency 8 3 2 3 2 2 2 2" xfId="57674" xr:uid="{00000000-0005-0000-0000-0000BAA80000}"/>
    <cellStyle name="Currency 8 3 2 3 2 2 3" xfId="43175" xr:uid="{00000000-0005-0000-0000-0000BBA80000}"/>
    <cellStyle name="Currency 8 3 2 3 2 3" xfId="21420" xr:uid="{00000000-0005-0000-0000-0000BCA80000}"/>
    <cellStyle name="Currency 8 3 2 3 2 3 2" xfId="50426" xr:uid="{00000000-0005-0000-0000-0000BDA80000}"/>
    <cellStyle name="Currency 8 3 2 3 2 4" xfId="35927" xr:uid="{00000000-0005-0000-0000-0000BEA80000}"/>
    <cellStyle name="Currency 8 3 2 3 3" xfId="11030" xr:uid="{00000000-0005-0000-0000-0000BFA80000}"/>
    <cellStyle name="Currency 8 3 2 3 3 2" xfId="25564" xr:uid="{00000000-0005-0000-0000-0000C0A80000}"/>
    <cellStyle name="Currency 8 3 2 3 3 2 2" xfId="54570" xr:uid="{00000000-0005-0000-0000-0000C1A80000}"/>
    <cellStyle name="Currency 8 3 2 3 3 3" xfId="40071" xr:uid="{00000000-0005-0000-0000-0000C2A80000}"/>
    <cellStyle name="Currency 8 3 2 3 4" xfId="18316" xr:uid="{00000000-0005-0000-0000-0000C3A80000}"/>
    <cellStyle name="Currency 8 3 2 3 4 2" xfId="47322" xr:uid="{00000000-0005-0000-0000-0000C4A80000}"/>
    <cellStyle name="Currency 8 3 2 3 5" xfId="32823" xr:uid="{00000000-0005-0000-0000-0000C5A80000}"/>
    <cellStyle name="Currency 8 3 2 4" xfId="4790" xr:uid="{00000000-0005-0000-0000-0000C6A80000}"/>
    <cellStyle name="Currency 8 3 2 4 2" xfId="12062" xr:uid="{00000000-0005-0000-0000-0000C7A80000}"/>
    <cellStyle name="Currency 8 3 2 4 2 2" xfId="26596" xr:uid="{00000000-0005-0000-0000-0000C8A80000}"/>
    <cellStyle name="Currency 8 3 2 4 2 2 2" xfId="55602" xr:uid="{00000000-0005-0000-0000-0000C9A80000}"/>
    <cellStyle name="Currency 8 3 2 4 2 3" xfId="41103" xr:uid="{00000000-0005-0000-0000-0000CAA80000}"/>
    <cellStyle name="Currency 8 3 2 4 3" xfId="19348" xr:uid="{00000000-0005-0000-0000-0000CBA80000}"/>
    <cellStyle name="Currency 8 3 2 4 3 2" xfId="48354" xr:uid="{00000000-0005-0000-0000-0000CCA80000}"/>
    <cellStyle name="Currency 8 3 2 4 4" xfId="33855" xr:uid="{00000000-0005-0000-0000-0000CDA80000}"/>
    <cellStyle name="Currency 8 3 2 5" xfId="7894" xr:uid="{00000000-0005-0000-0000-0000CEA80000}"/>
    <cellStyle name="Currency 8 3 2 5 2" xfId="15166" xr:uid="{00000000-0005-0000-0000-0000CFA80000}"/>
    <cellStyle name="Currency 8 3 2 5 2 2" xfId="29700" xr:uid="{00000000-0005-0000-0000-0000D0A80000}"/>
    <cellStyle name="Currency 8 3 2 5 2 2 2" xfId="58706" xr:uid="{00000000-0005-0000-0000-0000D1A80000}"/>
    <cellStyle name="Currency 8 3 2 5 2 3" xfId="44207" xr:uid="{00000000-0005-0000-0000-0000D2A80000}"/>
    <cellStyle name="Currency 8 3 2 5 3" xfId="22452" xr:uid="{00000000-0005-0000-0000-0000D3A80000}"/>
    <cellStyle name="Currency 8 3 2 5 3 2" xfId="51458" xr:uid="{00000000-0005-0000-0000-0000D4A80000}"/>
    <cellStyle name="Currency 8 3 2 5 4" xfId="36959" xr:uid="{00000000-0005-0000-0000-0000D5A80000}"/>
    <cellStyle name="Currency 8 3 2 6" xfId="8958" xr:uid="{00000000-0005-0000-0000-0000D6A80000}"/>
    <cellStyle name="Currency 8 3 2 6 2" xfId="23492" xr:uid="{00000000-0005-0000-0000-0000D7A80000}"/>
    <cellStyle name="Currency 8 3 2 6 2 2" xfId="52498" xr:uid="{00000000-0005-0000-0000-0000D8A80000}"/>
    <cellStyle name="Currency 8 3 2 6 3" xfId="37999" xr:uid="{00000000-0005-0000-0000-0000D9A80000}"/>
    <cellStyle name="Currency 8 3 2 7" xfId="16244" xr:uid="{00000000-0005-0000-0000-0000DAA80000}"/>
    <cellStyle name="Currency 8 3 2 7 2" xfId="45250" xr:uid="{00000000-0005-0000-0000-0000DBA80000}"/>
    <cellStyle name="Currency 8 3 2 8" xfId="30751" xr:uid="{00000000-0005-0000-0000-0000DCA80000}"/>
    <cellStyle name="Currency 8 3 3" xfId="2214" xr:uid="{00000000-0005-0000-0000-0000DDA80000}"/>
    <cellStyle name="Currency 8 3 3 2" xfId="5318" xr:uid="{00000000-0005-0000-0000-0000DEA80000}"/>
    <cellStyle name="Currency 8 3 3 2 2" xfId="12590" xr:uid="{00000000-0005-0000-0000-0000DFA80000}"/>
    <cellStyle name="Currency 8 3 3 2 2 2" xfId="27124" xr:uid="{00000000-0005-0000-0000-0000E0A80000}"/>
    <cellStyle name="Currency 8 3 3 2 2 2 2" xfId="56130" xr:uid="{00000000-0005-0000-0000-0000E1A80000}"/>
    <cellStyle name="Currency 8 3 3 2 2 3" xfId="41631" xr:uid="{00000000-0005-0000-0000-0000E2A80000}"/>
    <cellStyle name="Currency 8 3 3 2 3" xfId="19876" xr:uid="{00000000-0005-0000-0000-0000E3A80000}"/>
    <cellStyle name="Currency 8 3 3 2 3 2" xfId="48882" xr:uid="{00000000-0005-0000-0000-0000E4A80000}"/>
    <cellStyle name="Currency 8 3 3 2 4" xfId="34383" xr:uid="{00000000-0005-0000-0000-0000E5A80000}"/>
    <cellStyle name="Currency 8 3 3 3" xfId="9486" xr:uid="{00000000-0005-0000-0000-0000E6A80000}"/>
    <cellStyle name="Currency 8 3 3 3 2" xfId="24020" xr:uid="{00000000-0005-0000-0000-0000E7A80000}"/>
    <cellStyle name="Currency 8 3 3 3 2 2" xfId="53026" xr:uid="{00000000-0005-0000-0000-0000E8A80000}"/>
    <cellStyle name="Currency 8 3 3 3 3" xfId="38527" xr:uid="{00000000-0005-0000-0000-0000E9A80000}"/>
    <cellStyle name="Currency 8 3 3 4" xfId="16772" xr:uid="{00000000-0005-0000-0000-0000EAA80000}"/>
    <cellStyle name="Currency 8 3 3 4 2" xfId="45778" xr:uid="{00000000-0005-0000-0000-0000EBA80000}"/>
    <cellStyle name="Currency 8 3 3 5" xfId="31279" xr:uid="{00000000-0005-0000-0000-0000ECA80000}"/>
    <cellStyle name="Currency 8 3 4" xfId="3246" xr:uid="{00000000-0005-0000-0000-0000EDA80000}"/>
    <cellStyle name="Currency 8 3 4 2" xfId="6350" xr:uid="{00000000-0005-0000-0000-0000EEA80000}"/>
    <cellStyle name="Currency 8 3 4 2 2" xfId="13622" xr:uid="{00000000-0005-0000-0000-0000EFA80000}"/>
    <cellStyle name="Currency 8 3 4 2 2 2" xfId="28156" xr:uid="{00000000-0005-0000-0000-0000F0A80000}"/>
    <cellStyle name="Currency 8 3 4 2 2 2 2" xfId="57162" xr:uid="{00000000-0005-0000-0000-0000F1A80000}"/>
    <cellStyle name="Currency 8 3 4 2 2 3" xfId="42663" xr:uid="{00000000-0005-0000-0000-0000F2A80000}"/>
    <cellStyle name="Currency 8 3 4 2 3" xfId="20908" xr:uid="{00000000-0005-0000-0000-0000F3A80000}"/>
    <cellStyle name="Currency 8 3 4 2 3 2" xfId="49914" xr:uid="{00000000-0005-0000-0000-0000F4A80000}"/>
    <cellStyle name="Currency 8 3 4 2 4" xfId="35415" xr:uid="{00000000-0005-0000-0000-0000F5A80000}"/>
    <cellStyle name="Currency 8 3 4 3" xfId="10518" xr:uid="{00000000-0005-0000-0000-0000F6A80000}"/>
    <cellStyle name="Currency 8 3 4 3 2" xfId="25052" xr:uid="{00000000-0005-0000-0000-0000F7A80000}"/>
    <cellStyle name="Currency 8 3 4 3 2 2" xfId="54058" xr:uid="{00000000-0005-0000-0000-0000F8A80000}"/>
    <cellStyle name="Currency 8 3 4 3 3" xfId="39559" xr:uid="{00000000-0005-0000-0000-0000F9A80000}"/>
    <cellStyle name="Currency 8 3 4 4" xfId="17804" xr:uid="{00000000-0005-0000-0000-0000FAA80000}"/>
    <cellStyle name="Currency 8 3 4 4 2" xfId="46810" xr:uid="{00000000-0005-0000-0000-0000FBA80000}"/>
    <cellStyle name="Currency 8 3 4 5" xfId="32311" xr:uid="{00000000-0005-0000-0000-0000FCA80000}"/>
    <cellStyle name="Currency 8 3 5" xfId="4278" xr:uid="{00000000-0005-0000-0000-0000FDA80000}"/>
    <cellStyle name="Currency 8 3 5 2" xfId="11550" xr:uid="{00000000-0005-0000-0000-0000FEA80000}"/>
    <cellStyle name="Currency 8 3 5 2 2" xfId="26084" xr:uid="{00000000-0005-0000-0000-0000FFA80000}"/>
    <cellStyle name="Currency 8 3 5 2 2 2" xfId="55090" xr:uid="{00000000-0005-0000-0000-000000A90000}"/>
    <cellStyle name="Currency 8 3 5 2 3" xfId="40591" xr:uid="{00000000-0005-0000-0000-000001A90000}"/>
    <cellStyle name="Currency 8 3 5 3" xfId="18836" xr:uid="{00000000-0005-0000-0000-000002A90000}"/>
    <cellStyle name="Currency 8 3 5 3 2" xfId="47842" xr:uid="{00000000-0005-0000-0000-000003A90000}"/>
    <cellStyle name="Currency 8 3 5 4" xfId="33343" xr:uid="{00000000-0005-0000-0000-000004A90000}"/>
    <cellStyle name="Currency 8 3 6" xfId="7382" xr:uid="{00000000-0005-0000-0000-000005A90000}"/>
    <cellStyle name="Currency 8 3 6 2" xfId="14654" xr:uid="{00000000-0005-0000-0000-000006A90000}"/>
    <cellStyle name="Currency 8 3 6 2 2" xfId="29188" xr:uid="{00000000-0005-0000-0000-000007A90000}"/>
    <cellStyle name="Currency 8 3 6 2 2 2" xfId="58194" xr:uid="{00000000-0005-0000-0000-000008A90000}"/>
    <cellStyle name="Currency 8 3 6 2 3" xfId="43695" xr:uid="{00000000-0005-0000-0000-000009A90000}"/>
    <cellStyle name="Currency 8 3 6 3" xfId="21940" xr:uid="{00000000-0005-0000-0000-00000AA90000}"/>
    <cellStyle name="Currency 8 3 6 3 2" xfId="50946" xr:uid="{00000000-0005-0000-0000-00000BA90000}"/>
    <cellStyle name="Currency 8 3 6 4" xfId="36447" xr:uid="{00000000-0005-0000-0000-00000CA90000}"/>
    <cellStyle name="Currency 8 3 7" xfId="8446" xr:uid="{00000000-0005-0000-0000-00000DA90000}"/>
    <cellStyle name="Currency 8 3 7 2" xfId="22980" xr:uid="{00000000-0005-0000-0000-00000EA90000}"/>
    <cellStyle name="Currency 8 3 7 2 2" xfId="51986" xr:uid="{00000000-0005-0000-0000-00000FA90000}"/>
    <cellStyle name="Currency 8 3 7 3" xfId="37487" xr:uid="{00000000-0005-0000-0000-000010A90000}"/>
    <cellStyle name="Currency 8 3 8" xfId="15732" xr:uid="{00000000-0005-0000-0000-000011A90000}"/>
    <cellStyle name="Currency 8 3 8 2" xfId="44738" xr:uid="{00000000-0005-0000-0000-000012A90000}"/>
    <cellStyle name="Currency 8 3 9" xfId="30239" xr:uid="{00000000-0005-0000-0000-000013A90000}"/>
    <cellStyle name="Currency 8 4" xfId="1363" xr:uid="{00000000-0005-0000-0000-000014A90000}"/>
    <cellStyle name="Currency 8 4 2" xfId="2420" xr:uid="{00000000-0005-0000-0000-000015A90000}"/>
    <cellStyle name="Currency 8 4 2 2" xfId="5524" xr:uid="{00000000-0005-0000-0000-000016A90000}"/>
    <cellStyle name="Currency 8 4 2 2 2" xfId="12796" xr:uid="{00000000-0005-0000-0000-000017A90000}"/>
    <cellStyle name="Currency 8 4 2 2 2 2" xfId="27330" xr:uid="{00000000-0005-0000-0000-000018A90000}"/>
    <cellStyle name="Currency 8 4 2 2 2 2 2" xfId="56336" xr:uid="{00000000-0005-0000-0000-000019A90000}"/>
    <cellStyle name="Currency 8 4 2 2 2 3" xfId="41837" xr:uid="{00000000-0005-0000-0000-00001AA90000}"/>
    <cellStyle name="Currency 8 4 2 2 3" xfId="20082" xr:uid="{00000000-0005-0000-0000-00001BA90000}"/>
    <cellStyle name="Currency 8 4 2 2 3 2" xfId="49088" xr:uid="{00000000-0005-0000-0000-00001CA90000}"/>
    <cellStyle name="Currency 8 4 2 2 4" xfId="34589" xr:uid="{00000000-0005-0000-0000-00001DA90000}"/>
    <cellStyle name="Currency 8 4 2 3" xfId="9692" xr:uid="{00000000-0005-0000-0000-00001EA90000}"/>
    <cellStyle name="Currency 8 4 2 3 2" xfId="24226" xr:uid="{00000000-0005-0000-0000-00001FA90000}"/>
    <cellStyle name="Currency 8 4 2 3 2 2" xfId="53232" xr:uid="{00000000-0005-0000-0000-000020A90000}"/>
    <cellStyle name="Currency 8 4 2 3 3" xfId="38733" xr:uid="{00000000-0005-0000-0000-000021A90000}"/>
    <cellStyle name="Currency 8 4 2 4" xfId="16978" xr:uid="{00000000-0005-0000-0000-000022A90000}"/>
    <cellStyle name="Currency 8 4 2 4 2" xfId="45984" xr:uid="{00000000-0005-0000-0000-000023A90000}"/>
    <cellStyle name="Currency 8 4 2 5" xfId="31485" xr:uid="{00000000-0005-0000-0000-000024A90000}"/>
    <cellStyle name="Currency 8 4 3" xfId="3452" xr:uid="{00000000-0005-0000-0000-000025A90000}"/>
    <cellStyle name="Currency 8 4 3 2" xfId="6556" xr:uid="{00000000-0005-0000-0000-000026A90000}"/>
    <cellStyle name="Currency 8 4 3 2 2" xfId="13828" xr:uid="{00000000-0005-0000-0000-000027A90000}"/>
    <cellStyle name="Currency 8 4 3 2 2 2" xfId="28362" xr:uid="{00000000-0005-0000-0000-000028A90000}"/>
    <cellStyle name="Currency 8 4 3 2 2 2 2" xfId="57368" xr:uid="{00000000-0005-0000-0000-000029A90000}"/>
    <cellStyle name="Currency 8 4 3 2 2 3" xfId="42869" xr:uid="{00000000-0005-0000-0000-00002AA90000}"/>
    <cellStyle name="Currency 8 4 3 2 3" xfId="21114" xr:uid="{00000000-0005-0000-0000-00002BA90000}"/>
    <cellStyle name="Currency 8 4 3 2 3 2" xfId="50120" xr:uid="{00000000-0005-0000-0000-00002CA90000}"/>
    <cellStyle name="Currency 8 4 3 2 4" xfId="35621" xr:uid="{00000000-0005-0000-0000-00002DA90000}"/>
    <cellStyle name="Currency 8 4 3 3" xfId="10724" xr:uid="{00000000-0005-0000-0000-00002EA90000}"/>
    <cellStyle name="Currency 8 4 3 3 2" xfId="25258" xr:uid="{00000000-0005-0000-0000-00002FA90000}"/>
    <cellStyle name="Currency 8 4 3 3 2 2" xfId="54264" xr:uid="{00000000-0005-0000-0000-000030A90000}"/>
    <cellStyle name="Currency 8 4 3 3 3" xfId="39765" xr:uid="{00000000-0005-0000-0000-000031A90000}"/>
    <cellStyle name="Currency 8 4 3 4" xfId="18010" xr:uid="{00000000-0005-0000-0000-000032A90000}"/>
    <cellStyle name="Currency 8 4 3 4 2" xfId="47016" xr:uid="{00000000-0005-0000-0000-000033A90000}"/>
    <cellStyle name="Currency 8 4 3 5" xfId="32517" xr:uid="{00000000-0005-0000-0000-000034A90000}"/>
    <cellStyle name="Currency 8 4 4" xfId="4484" xr:uid="{00000000-0005-0000-0000-000035A90000}"/>
    <cellStyle name="Currency 8 4 4 2" xfId="11756" xr:uid="{00000000-0005-0000-0000-000036A90000}"/>
    <cellStyle name="Currency 8 4 4 2 2" xfId="26290" xr:uid="{00000000-0005-0000-0000-000037A90000}"/>
    <cellStyle name="Currency 8 4 4 2 2 2" xfId="55296" xr:uid="{00000000-0005-0000-0000-000038A90000}"/>
    <cellStyle name="Currency 8 4 4 2 3" xfId="40797" xr:uid="{00000000-0005-0000-0000-000039A90000}"/>
    <cellStyle name="Currency 8 4 4 3" xfId="19042" xr:uid="{00000000-0005-0000-0000-00003AA90000}"/>
    <cellStyle name="Currency 8 4 4 3 2" xfId="48048" xr:uid="{00000000-0005-0000-0000-00003BA90000}"/>
    <cellStyle name="Currency 8 4 4 4" xfId="33549" xr:uid="{00000000-0005-0000-0000-00003CA90000}"/>
    <cellStyle name="Currency 8 4 5" xfId="7588" xr:uid="{00000000-0005-0000-0000-00003DA90000}"/>
    <cellStyle name="Currency 8 4 5 2" xfId="14860" xr:uid="{00000000-0005-0000-0000-00003EA90000}"/>
    <cellStyle name="Currency 8 4 5 2 2" xfId="29394" xr:uid="{00000000-0005-0000-0000-00003FA90000}"/>
    <cellStyle name="Currency 8 4 5 2 2 2" xfId="58400" xr:uid="{00000000-0005-0000-0000-000040A90000}"/>
    <cellStyle name="Currency 8 4 5 2 3" xfId="43901" xr:uid="{00000000-0005-0000-0000-000041A90000}"/>
    <cellStyle name="Currency 8 4 5 3" xfId="22146" xr:uid="{00000000-0005-0000-0000-000042A90000}"/>
    <cellStyle name="Currency 8 4 5 3 2" xfId="51152" xr:uid="{00000000-0005-0000-0000-000043A90000}"/>
    <cellStyle name="Currency 8 4 5 4" xfId="36653" xr:uid="{00000000-0005-0000-0000-000044A90000}"/>
    <cellStyle name="Currency 8 4 6" xfId="8652" xr:uid="{00000000-0005-0000-0000-000045A90000}"/>
    <cellStyle name="Currency 8 4 6 2" xfId="23186" xr:uid="{00000000-0005-0000-0000-000046A90000}"/>
    <cellStyle name="Currency 8 4 6 2 2" xfId="52192" xr:uid="{00000000-0005-0000-0000-000047A90000}"/>
    <cellStyle name="Currency 8 4 6 3" xfId="37693" xr:uid="{00000000-0005-0000-0000-000048A90000}"/>
    <cellStyle name="Currency 8 4 7" xfId="15938" xr:uid="{00000000-0005-0000-0000-000049A90000}"/>
    <cellStyle name="Currency 8 4 7 2" xfId="44944" xr:uid="{00000000-0005-0000-0000-00004AA90000}"/>
    <cellStyle name="Currency 8 4 8" xfId="30445" xr:uid="{00000000-0005-0000-0000-00004BA90000}"/>
    <cellStyle name="Currency 8 5" xfId="1908" xr:uid="{00000000-0005-0000-0000-00004CA90000}"/>
    <cellStyle name="Currency 8 5 2" xfId="5012" xr:uid="{00000000-0005-0000-0000-00004DA90000}"/>
    <cellStyle name="Currency 8 5 2 2" xfId="12284" xr:uid="{00000000-0005-0000-0000-00004EA90000}"/>
    <cellStyle name="Currency 8 5 2 2 2" xfId="26818" xr:uid="{00000000-0005-0000-0000-00004FA90000}"/>
    <cellStyle name="Currency 8 5 2 2 2 2" xfId="55824" xr:uid="{00000000-0005-0000-0000-000050A90000}"/>
    <cellStyle name="Currency 8 5 2 2 3" xfId="41325" xr:uid="{00000000-0005-0000-0000-000051A90000}"/>
    <cellStyle name="Currency 8 5 2 3" xfId="19570" xr:uid="{00000000-0005-0000-0000-000052A90000}"/>
    <cellStyle name="Currency 8 5 2 3 2" xfId="48576" xr:uid="{00000000-0005-0000-0000-000053A90000}"/>
    <cellStyle name="Currency 8 5 2 4" xfId="34077" xr:uid="{00000000-0005-0000-0000-000054A90000}"/>
    <cellStyle name="Currency 8 5 3" xfId="9180" xr:uid="{00000000-0005-0000-0000-000055A90000}"/>
    <cellStyle name="Currency 8 5 3 2" xfId="23714" xr:uid="{00000000-0005-0000-0000-000056A90000}"/>
    <cellStyle name="Currency 8 5 3 2 2" xfId="52720" xr:uid="{00000000-0005-0000-0000-000057A90000}"/>
    <cellStyle name="Currency 8 5 3 3" xfId="38221" xr:uid="{00000000-0005-0000-0000-000058A90000}"/>
    <cellStyle name="Currency 8 5 4" xfId="16466" xr:uid="{00000000-0005-0000-0000-000059A90000}"/>
    <cellStyle name="Currency 8 5 4 2" xfId="45472" xr:uid="{00000000-0005-0000-0000-00005AA90000}"/>
    <cellStyle name="Currency 8 5 5" xfId="30973" xr:uid="{00000000-0005-0000-0000-00005BA90000}"/>
    <cellStyle name="Currency 8 6" xfId="2940" xr:uid="{00000000-0005-0000-0000-00005CA90000}"/>
    <cellStyle name="Currency 8 6 2" xfId="6044" xr:uid="{00000000-0005-0000-0000-00005DA90000}"/>
    <cellStyle name="Currency 8 6 2 2" xfId="13316" xr:uid="{00000000-0005-0000-0000-00005EA90000}"/>
    <cellStyle name="Currency 8 6 2 2 2" xfId="27850" xr:uid="{00000000-0005-0000-0000-00005FA90000}"/>
    <cellStyle name="Currency 8 6 2 2 2 2" xfId="56856" xr:uid="{00000000-0005-0000-0000-000060A90000}"/>
    <cellStyle name="Currency 8 6 2 2 3" xfId="42357" xr:uid="{00000000-0005-0000-0000-000061A90000}"/>
    <cellStyle name="Currency 8 6 2 3" xfId="20602" xr:uid="{00000000-0005-0000-0000-000062A90000}"/>
    <cellStyle name="Currency 8 6 2 3 2" xfId="49608" xr:uid="{00000000-0005-0000-0000-000063A90000}"/>
    <cellStyle name="Currency 8 6 2 4" xfId="35109" xr:uid="{00000000-0005-0000-0000-000064A90000}"/>
    <cellStyle name="Currency 8 6 3" xfId="10212" xr:uid="{00000000-0005-0000-0000-000065A90000}"/>
    <cellStyle name="Currency 8 6 3 2" xfId="24746" xr:uid="{00000000-0005-0000-0000-000066A90000}"/>
    <cellStyle name="Currency 8 6 3 2 2" xfId="53752" xr:uid="{00000000-0005-0000-0000-000067A90000}"/>
    <cellStyle name="Currency 8 6 3 3" xfId="39253" xr:uid="{00000000-0005-0000-0000-000068A90000}"/>
    <cellStyle name="Currency 8 6 4" xfId="17498" xr:uid="{00000000-0005-0000-0000-000069A90000}"/>
    <cellStyle name="Currency 8 6 4 2" xfId="46504" xr:uid="{00000000-0005-0000-0000-00006AA90000}"/>
    <cellStyle name="Currency 8 6 5" xfId="32005" xr:uid="{00000000-0005-0000-0000-00006BA90000}"/>
    <cellStyle name="Currency 8 7" xfId="3972" xr:uid="{00000000-0005-0000-0000-00006CA90000}"/>
    <cellStyle name="Currency 8 7 2" xfId="11244" xr:uid="{00000000-0005-0000-0000-00006DA90000}"/>
    <cellStyle name="Currency 8 7 2 2" xfId="25778" xr:uid="{00000000-0005-0000-0000-00006EA90000}"/>
    <cellStyle name="Currency 8 7 2 2 2" xfId="54784" xr:uid="{00000000-0005-0000-0000-00006FA90000}"/>
    <cellStyle name="Currency 8 7 2 3" xfId="40285" xr:uid="{00000000-0005-0000-0000-000070A90000}"/>
    <cellStyle name="Currency 8 7 3" xfId="18530" xr:uid="{00000000-0005-0000-0000-000071A90000}"/>
    <cellStyle name="Currency 8 7 3 2" xfId="47536" xr:uid="{00000000-0005-0000-0000-000072A90000}"/>
    <cellStyle name="Currency 8 7 4" xfId="33037" xr:uid="{00000000-0005-0000-0000-000073A90000}"/>
    <cellStyle name="Currency 8 8" xfId="7076" xr:uid="{00000000-0005-0000-0000-000074A90000}"/>
    <cellStyle name="Currency 8 8 2" xfId="14348" xr:uid="{00000000-0005-0000-0000-000075A90000}"/>
    <cellStyle name="Currency 8 8 2 2" xfId="28882" xr:uid="{00000000-0005-0000-0000-000076A90000}"/>
    <cellStyle name="Currency 8 8 2 2 2" xfId="57888" xr:uid="{00000000-0005-0000-0000-000077A90000}"/>
    <cellStyle name="Currency 8 8 2 3" xfId="43389" xr:uid="{00000000-0005-0000-0000-000078A90000}"/>
    <cellStyle name="Currency 8 8 3" xfId="21634" xr:uid="{00000000-0005-0000-0000-000079A90000}"/>
    <cellStyle name="Currency 8 8 3 2" xfId="50640" xr:uid="{00000000-0005-0000-0000-00007AA90000}"/>
    <cellStyle name="Currency 8 8 4" xfId="36141" xr:uid="{00000000-0005-0000-0000-00007BA90000}"/>
    <cellStyle name="Currency 8 9" xfId="8140" xr:uid="{00000000-0005-0000-0000-00007CA90000}"/>
    <cellStyle name="Currency 8 9 2" xfId="22674" xr:uid="{00000000-0005-0000-0000-00007DA90000}"/>
    <cellStyle name="Currency 8 9 2 2" xfId="51680" xr:uid="{00000000-0005-0000-0000-00007EA90000}"/>
    <cellStyle name="Currency 8 9 3" xfId="37181" xr:uid="{00000000-0005-0000-0000-00007FA90000}"/>
    <cellStyle name="Currency 9" xfId="942" xr:uid="{00000000-0005-0000-0000-000080A90000}"/>
    <cellStyle name="Currency0" xfId="822" xr:uid="{00000000-0005-0000-0000-000081A90000}"/>
    <cellStyle name="Currency0 2" xfId="823" xr:uid="{00000000-0005-0000-0000-000082A90000}"/>
    <cellStyle name="End of Worksheet" xfId="691" xr:uid="{00000000-0005-0000-0000-000083A90000}"/>
    <cellStyle name="Explanatory Text" xfId="59" builtinId="53" customBuiltin="1"/>
    <cellStyle name="Explanatory Text 2" xfId="631" xr:uid="{00000000-0005-0000-0000-000085A90000}"/>
    <cellStyle name="FRxAmtStyle" xfId="723" xr:uid="{00000000-0005-0000-0000-000086A90000}"/>
    <cellStyle name="FRxAmtStyle 2" xfId="1776" xr:uid="{00000000-0005-0000-0000-000087A90000}"/>
    <cellStyle name="FRxCurrStyle" xfId="747" xr:uid="{00000000-0005-0000-0000-000088A90000}"/>
    <cellStyle name="FRxPcntStyle" xfId="748" xr:uid="{00000000-0005-0000-0000-000089A90000}"/>
    <cellStyle name="Good" xfId="50" builtinId="26" customBuiltin="1"/>
    <cellStyle name="Good 2" xfId="632" xr:uid="{00000000-0005-0000-0000-00008BA90000}"/>
    <cellStyle name="Good 3" xfId="785" xr:uid="{00000000-0005-0000-0000-00008CA90000}"/>
    <cellStyle name="Good 3 2" xfId="1777" xr:uid="{00000000-0005-0000-0000-00008DA90000}"/>
    <cellStyle name="Good 4" xfId="715" xr:uid="{00000000-0005-0000-0000-00008EA90000}"/>
    <cellStyle name="Header 1" xfId="694" xr:uid="{00000000-0005-0000-0000-00008FA90000}"/>
    <cellStyle name="Header 2" xfId="695" xr:uid="{00000000-0005-0000-0000-000090A90000}"/>
    <cellStyle name="Heading 1" xfId="46" builtinId="16" customBuiltin="1"/>
    <cellStyle name="Heading 1 2" xfId="633" xr:uid="{00000000-0005-0000-0000-000092A90000}"/>
    <cellStyle name="Heading 2" xfId="47" builtinId="17" customBuiltin="1"/>
    <cellStyle name="Heading 2 2" xfId="634" xr:uid="{00000000-0005-0000-0000-000094A90000}"/>
    <cellStyle name="Heading 3" xfId="48" builtinId="18" customBuiltin="1"/>
    <cellStyle name="Heading 3 2" xfId="635" xr:uid="{00000000-0005-0000-0000-000096A90000}"/>
    <cellStyle name="Heading 4" xfId="49" builtinId="19" customBuiltin="1"/>
    <cellStyle name="Heading 4 2" xfId="636" xr:uid="{00000000-0005-0000-0000-000098A90000}"/>
    <cellStyle name="Hyperlink 2" xfId="637" xr:uid="{00000000-0005-0000-0000-000099A90000}"/>
    <cellStyle name="Hyperlink 3" xfId="638" xr:uid="{00000000-0005-0000-0000-00009AA90000}"/>
    <cellStyle name="Input" xfId="53" builtinId="20" customBuiltin="1"/>
    <cellStyle name="Input 2" xfId="639" xr:uid="{00000000-0005-0000-0000-00009CA90000}"/>
    <cellStyle name="Input 3" xfId="790" xr:uid="{00000000-0005-0000-0000-00009DA90000}"/>
    <cellStyle name="Input 3 2" xfId="1778" xr:uid="{00000000-0005-0000-0000-00009EA90000}"/>
    <cellStyle name="Input 4" xfId="716" xr:uid="{00000000-0005-0000-0000-00009FA90000}"/>
    <cellStyle name="Instructions" xfId="690" xr:uid="{00000000-0005-0000-0000-0000A0A90000}"/>
    <cellStyle name="Linked Cell" xfId="56" builtinId="24" customBuiltin="1"/>
    <cellStyle name="Linked Cell 2" xfId="640" xr:uid="{00000000-0005-0000-0000-0000A2A90000}"/>
    <cellStyle name="Neutral" xfId="52" builtinId="28" customBuiltin="1"/>
    <cellStyle name="Neutral 2" xfId="641" xr:uid="{00000000-0005-0000-0000-0000A4A90000}"/>
    <cellStyle name="Neutral 3" xfId="789" xr:uid="{00000000-0005-0000-0000-0000A5A90000}"/>
    <cellStyle name="Neutral 3 2" xfId="1779" xr:uid="{00000000-0005-0000-0000-0000A6A90000}"/>
    <cellStyle name="Neutral 4" xfId="717" xr:uid="{00000000-0005-0000-0000-0000A7A90000}"/>
    <cellStyle name="Normal" xfId="0" builtinId="0"/>
    <cellStyle name="Normal 10" xfId="610" xr:uid="{00000000-0005-0000-0000-0000A9A90000}"/>
    <cellStyle name="Normal 10 2" xfId="794" xr:uid="{00000000-0005-0000-0000-0000AAA90000}"/>
    <cellStyle name="Normal 10 3" xfId="749" xr:uid="{00000000-0005-0000-0000-0000ABA90000}"/>
    <cellStyle name="Normal 10 4" xfId="59470" xr:uid="{00000000-0005-0000-0000-0000ACA90000}"/>
    <cellStyle name="Normal 11" xfId="750" xr:uid="{00000000-0005-0000-0000-0000ADA90000}"/>
    <cellStyle name="Normal 11 2" xfId="824" xr:uid="{00000000-0005-0000-0000-0000AEA90000}"/>
    <cellStyle name="Normal 12" xfId="382" xr:uid="{00000000-0005-0000-0000-0000AFA90000}"/>
    <cellStyle name="Normal 12 10" xfId="1265" xr:uid="{00000000-0005-0000-0000-0000B0A90000}"/>
    <cellStyle name="Normal 12 10 2" xfId="2319" xr:uid="{00000000-0005-0000-0000-0000B1A90000}"/>
    <cellStyle name="Normal 12 10 2 2" xfId="5423" xr:uid="{00000000-0005-0000-0000-0000B2A90000}"/>
    <cellStyle name="Normal 12 10 2 2 2" xfId="12695" xr:uid="{00000000-0005-0000-0000-0000B3A90000}"/>
    <cellStyle name="Normal 12 10 2 2 2 2" xfId="27229" xr:uid="{00000000-0005-0000-0000-0000B4A90000}"/>
    <cellStyle name="Normal 12 10 2 2 2 2 2" xfId="56235" xr:uid="{00000000-0005-0000-0000-0000B5A90000}"/>
    <cellStyle name="Normal 12 10 2 2 2 3" xfId="41736" xr:uid="{00000000-0005-0000-0000-0000B6A90000}"/>
    <cellStyle name="Normal 12 10 2 2 3" xfId="19981" xr:uid="{00000000-0005-0000-0000-0000B7A90000}"/>
    <cellStyle name="Normal 12 10 2 2 3 2" xfId="48987" xr:uid="{00000000-0005-0000-0000-0000B8A90000}"/>
    <cellStyle name="Normal 12 10 2 2 4" xfId="34488" xr:uid="{00000000-0005-0000-0000-0000B9A90000}"/>
    <cellStyle name="Normal 12 10 2 3" xfId="9591" xr:uid="{00000000-0005-0000-0000-0000BAA90000}"/>
    <cellStyle name="Normal 12 10 2 3 2" xfId="24125" xr:uid="{00000000-0005-0000-0000-0000BBA90000}"/>
    <cellStyle name="Normal 12 10 2 3 2 2" xfId="53131" xr:uid="{00000000-0005-0000-0000-0000BCA90000}"/>
    <cellStyle name="Normal 12 10 2 3 3" xfId="38632" xr:uid="{00000000-0005-0000-0000-0000BDA90000}"/>
    <cellStyle name="Normal 12 10 2 4" xfId="16877" xr:uid="{00000000-0005-0000-0000-0000BEA90000}"/>
    <cellStyle name="Normal 12 10 2 4 2" xfId="45883" xr:uid="{00000000-0005-0000-0000-0000BFA90000}"/>
    <cellStyle name="Normal 12 10 2 5" xfId="31384" xr:uid="{00000000-0005-0000-0000-0000C0A90000}"/>
    <cellStyle name="Normal 12 10 3" xfId="3351" xr:uid="{00000000-0005-0000-0000-0000C1A90000}"/>
    <cellStyle name="Normal 12 10 3 2" xfId="6455" xr:uid="{00000000-0005-0000-0000-0000C2A90000}"/>
    <cellStyle name="Normal 12 10 3 2 2" xfId="13727" xr:uid="{00000000-0005-0000-0000-0000C3A90000}"/>
    <cellStyle name="Normal 12 10 3 2 2 2" xfId="28261" xr:uid="{00000000-0005-0000-0000-0000C4A90000}"/>
    <cellStyle name="Normal 12 10 3 2 2 2 2" xfId="57267" xr:uid="{00000000-0005-0000-0000-0000C5A90000}"/>
    <cellStyle name="Normal 12 10 3 2 2 3" xfId="42768" xr:uid="{00000000-0005-0000-0000-0000C6A90000}"/>
    <cellStyle name="Normal 12 10 3 2 3" xfId="21013" xr:uid="{00000000-0005-0000-0000-0000C7A90000}"/>
    <cellStyle name="Normal 12 10 3 2 3 2" xfId="50019" xr:uid="{00000000-0005-0000-0000-0000C8A90000}"/>
    <cellStyle name="Normal 12 10 3 2 4" xfId="35520" xr:uid="{00000000-0005-0000-0000-0000C9A90000}"/>
    <cellStyle name="Normal 12 10 3 3" xfId="10623" xr:uid="{00000000-0005-0000-0000-0000CAA90000}"/>
    <cellStyle name="Normal 12 10 3 3 2" xfId="25157" xr:uid="{00000000-0005-0000-0000-0000CBA90000}"/>
    <cellStyle name="Normal 12 10 3 3 2 2" xfId="54163" xr:uid="{00000000-0005-0000-0000-0000CCA90000}"/>
    <cellStyle name="Normal 12 10 3 3 3" xfId="39664" xr:uid="{00000000-0005-0000-0000-0000CDA90000}"/>
    <cellStyle name="Normal 12 10 3 4" xfId="17909" xr:uid="{00000000-0005-0000-0000-0000CEA90000}"/>
    <cellStyle name="Normal 12 10 3 4 2" xfId="46915" xr:uid="{00000000-0005-0000-0000-0000CFA90000}"/>
    <cellStyle name="Normal 12 10 3 5" xfId="32416" xr:uid="{00000000-0005-0000-0000-0000D0A90000}"/>
    <cellStyle name="Normal 12 10 4" xfId="4383" xr:uid="{00000000-0005-0000-0000-0000D1A90000}"/>
    <cellStyle name="Normal 12 10 4 2" xfId="11655" xr:uid="{00000000-0005-0000-0000-0000D2A90000}"/>
    <cellStyle name="Normal 12 10 4 2 2" xfId="26189" xr:uid="{00000000-0005-0000-0000-0000D3A90000}"/>
    <cellStyle name="Normal 12 10 4 2 2 2" xfId="55195" xr:uid="{00000000-0005-0000-0000-0000D4A90000}"/>
    <cellStyle name="Normal 12 10 4 2 3" xfId="40696" xr:uid="{00000000-0005-0000-0000-0000D5A90000}"/>
    <cellStyle name="Normal 12 10 4 3" xfId="18941" xr:uid="{00000000-0005-0000-0000-0000D6A90000}"/>
    <cellStyle name="Normal 12 10 4 3 2" xfId="47947" xr:uid="{00000000-0005-0000-0000-0000D7A90000}"/>
    <cellStyle name="Normal 12 10 4 4" xfId="33448" xr:uid="{00000000-0005-0000-0000-0000D8A90000}"/>
    <cellStyle name="Normal 12 10 5" xfId="7487" xr:uid="{00000000-0005-0000-0000-0000D9A90000}"/>
    <cellStyle name="Normal 12 10 5 2" xfId="14759" xr:uid="{00000000-0005-0000-0000-0000DAA90000}"/>
    <cellStyle name="Normal 12 10 5 2 2" xfId="29293" xr:uid="{00000000-0005-0000-0000-0000DBA90000}"/>
    <cellStyle name="Normal 12 10 5 2 2 2" xfId="58299" xr:uid="{00000000-0005-0000-0000-0000DCA90000}"/>
    <cellStyle name="Normal 12 10 5 2 3" xfId="43800" xr:uid="{00000000-0005-0000-0000-0000DDA90000}"/>
    <cellStyle name="Normal 12 10 5 3" xfId="22045" xr:uid="{00000000-0005-0000-0000-0000DEA90000}"/>
    <cellStyle name="Normal 12 10 5 3 2" xfId="51051" xr:uid="{00000000-0005-0000-0000-0000DFA90000}"/>
    <cellStyle name="Normal 12 10 5 4" xfId="36552" xr:uid="{00000000-0005-0000-0000-0000E0A90000}"/>
    <cellStyle name="Normal 12 10 6" xfId="8551" xr:uid="{00000000-0005-0000-0000-0000E1A90000}"/>
    <cellStyle name="Normal 12 10 6 2" xfId="23085" xr:uid="{00000000-0005-0000-0000-0000E2A90000}"/>
    <cellStyle name="Normal 12 10 6 2 2" xfId="52091" xr:uid="{00000000-0005-0000-0000-0000E3A90000}"/>
    <cellStyle name="Normal 12 10 6 3" xfId="37592" xr:uid="{00000000-0005-0000-0000-0000E4A90000}"/>
    <cellStyle name="Normal 12 10 7" xfId="15837" xr:uid="{00000000-0005-0000-0000-0000E5A90000}"/>
    <cellStyle name="Normal 12 10 7 2" xfId="44843" xr:uid="{00000000-0005-0000-0000-0000E6A90000}"/>
    <cellStyle name="Normal 12 10 8" xfId="30344" xr:uid="{00000000-0005-0000-0000-0000E7A90000}"/>
    <cellStyle name="Normal 12 11" xfId="1807" xr:uid="{00000000-0005-0000-0000-0000E8A90000}"/>
    <cellStyle name="Normal 12 11 2" xfId="4911" xr:uid="{00000000-0005-0000-0000-0000E9A90000}"/>
    <cellStyle name="Normal 12 11 2 2" xfId="12183" xr:uid="{00000000-0005-0000-0000-0000EAA90000}"/>
    <cellStyle name="Normal 12 11 2 2 2" xfId="26717" xr:uid="{00000000-0005-0000-0000-0000EBA90000}"/>
    <cellStyle name="Normal 12 11 2 2 2 2" xfId="55723" xr:uid="{00000000-0005-0000-0000-0000ECA90000}"/>
    <cellStyle name="Normal 12 11 2 2 3" xfId="41224" xr:uid="{00000000-0005-0000-0000-0000EDA90000}"/>
    <cellStyle name="Normal 12 11 2 3" xfId="19469" xr:uid="{00000000-0005-0000-0000-0000EEA90000}"/>
    <cellStyle name="Normal 12 11 2 3 2" xfId="48475" xr:uid="{00000000-0005-0000-0000-0000EFA90000}"/>
    <cellStyle name="Normal 12 11 2 4" xfId="33976" xr:uid="{00000000-0005-0000-0000-0000F0A90000}"/>
    <cellStyle name="Normal 12 11 3" xfId="9079" xr:uid="{00000000-0005-0000-0000-0000F1A90000}"/>
    <cellStyle name="Normal 12 11 3 2" xfId="23613" xr:uid="{00000000-0005-0000-0000-0000F2A90000}"/>
    <cellStyle name="Normal 12 11 3 2 2" xfId="52619" xr:uid="{00000000-0005-0000-0000-0000F3A90000}"/>
    <cellStyle name="Normal 12 11 3 3" xfId="38120" xr:uid="{00000000-0005-0000-0000-0000F4A90000}"/>
    <cellStyle name="Normal 12 11 4" xfId="16365" xr:uid="{00000000-0005-0000-0000-0000F5A90000}"/>
    <cellStyle name="Normal 12 11 4 2" xfId="45371" xr:uid="{00000000-0005-0000-0000-0000F6A90000}"/>
    <cellStyle name="Normal 12 11 5" xfId="30872" xr:uid="{00000000-0005-0000-0000-0000F7A90000}"/>
    <cellStyle name="Normal 12 12" xfId="2839" xr:uid="{00000000-0005-0000-0000-0000F8A90000}"/>
    <cellStyle name="Normal 12 12 2" xfId="5943" xr:uid="{00000000-0005-0000-0000-0000F9A90000}"/>
    <cellStyle name="Normal 12 12 2 2" xfId="13215" xr:uid="{00000000-0005-0000-0000-0000FAA90000}"/>
    <cellStyle name="Normal 12 12 2 2 2" xfId="27749" xr:uid="{00000000-0005-0000-0000-0000FBA90000}"/>
    <cellStyle name="Normal 12 12 2 2 2 2" xfId="56755" xr:uid="{00000000-0005-0000-0000-0000FCA90000}"/>
    <cellStyle name="Normal 12 12 2 2 3" xfId="42256" xr:uid="{00000000-0005-0000-0000-0000FDA90000}"/>
    <cellStyle name="Normal 12 12 2 3" xfId="20501" xr:uid="{00000000-0005-0000-0000-0000FEA90000}"/>
    <cellStyle name="Normal 12 12 2 3 2" xfId="49507" xr:uid="{00000000-0005-0000-0000-0000FFA90000}"/>
    <cellStyle name="Normal 12 12 2 4" xfId="35008" xr:uid="{00000000-0005-0000-0000-000000AA0000}"/>
    <cellStyle name="Normal 12 12 3" xfId="10111" xr:uid="{00000000-0005-0000-0000-000001AA0000}"/>
    <cellStyle name="Normal 12 12 3 2" xfId="24645" xr:uid="{00000000-0005-0000-0000-000002AA0000}"/>
    <cellStyle name="Normal 12 12 3 2 2" xfId="53651" xr:uid="{00000000-0005-0000-0000-000003AA0000}"/>
    <cellStyle name="Normal 12 12 3 3" xfId="39152" xr:uid="{00000000-0005-0000-0000-000004AA0000}"/>
    <cellStyle name="Normal 12 12 4" xfId="17397" xr:uid="{00000000-0005-0000-0000-000005AA0000}"/>
    <cellStyle name="Normal 12 12 4 2" xfId="46403" xr:uid="{00000000-0005-0000-0000-000006AA0000}"/>
    <cellStyle name="Normal 12 12 5" xfId="31904" xr:uid="{00000000-0005-0000-0000-000007AA0000}"/>
    <cellStyle name="Normal 12 13" xfId="3871" xr:uid="{00000000-0005-0000-0000-000008AA0000}"/>
    <cellStyle name="Normal 12 13 2" xfId="11143" xr:uid="{00000000-0005-0000-0000-000009AA0000}"/>
    <cellStyle name="Normal 12 13 2 2" xfId="25677" xr:uid="{00000000-0005-0000-0000-00000AAA0000}"/>
    <cellStyle name="Normal 12 13 2 2 2" xfId="54683" xr:uid="{00000000-0005-0000-0000-00000BAA0000}"/>
    <cellStyle name="Normal 12 13 2 3" xfId="40184" xr:uid="{00000000-0005-0000-0000-00000CAA0000}"/>
    <cellStyle name="Normal 12 13 3" xfId="18429" xr:uid="{00000000-0005-0000-0000-00000DAA0000}"/>
    <cellStyle name="Normal 12 13 3 2" xfId="47435" xr:uid="{00000000-0005-0000-0000-00000EAA0000}"/>
    <cellStyle name="Normal 12 13 4" xfId="32936" xr:uid="{00000000-0005-0000-0000-00000FAA0000}"/>
    <cellStyle name="Normal 12 14" xfId="6975" xr:uid="{00000000-0005-0000-0000-000010AA0000}"/>
    <cellStyle name="Normal 12 14 2" xfId="14247" xr:uid="{00000000-0005-0000-0000-000011AA0000}"/>
    <cellStyle name="Normal 12 14 2 2" xfId="28781" xr:uid="{00000000-0005-0000-0000-000012AA0000}"/>
    <cellStyle name="Normal 12 14 2 2 2" xfId="57787" xr:uid="{00000000-0005-0000-0000-000013AA0000}"/>
    <cellStyle name="Normal 12 14 2 3" xfId="43288" xr:uid="{00000000-0005-0000-0000-000014AA0000}"/>
    <cellStyle name="Normal 12 14 3" xfId="21533" xr:uid="{00000000-0005-0000-0000-000015AA0000}"/>
    <cellStyle name="Normal 12 14 3 2" xfId="50539" xr:uid="{00000000-0005-0000-0000-000016AA0000}"/>
    <cellStyle name="Normal 12 14 4" xfId="36040" xr:uid="{00000000-0005-0000-0000-000017AA0000}"/>
    <cellStyle name="Normal 12 15" xfId="8039" xr:uid="{00000000-0005-0000-0000-000018AA0000}"/>
    <cellStyle name="Normal 12 15 2" xfId="22573" xr:uid="{00000000-0005-0000-0000-000019AA0000}"/>
    <cellStyle name="Normal 12 15 2 2" xfId="51579" xr:uid="{00000000-0005-0000-0000-00001AAA0000}"/>
    <cellStyle name="Normal 12 15 3" xfId="37080" xr:uid="{00000000-0005-0000-0000-00001BAA0000}"/>
    <cellStyle name="Normal 12 16" xfId="15337" xr:uid="{00000000-0005-0000-0000-00001CAA0000}"/>
    <cellStyle name="Normal 12 16 2" xfId="44343" xr:uid="{00000000-0005-0000-0000-00001DAA0000}"/>
    <cellStyle name="Normal 12 17" xfId="29844" xr:uid="{00000000-0005-0000-0000-00001EAA0000}"/>
    <cellStyle name="Normal 12 18" xfId="782" xr:uid="{00000000-0005-0000-0000-00001FAA0000}"/>
    <cellStyle name="Normal 12 2" xfId="804" xr:uid="{00000000-0005-0000-0000-000020AA0000}"/>
    <cellStyle name="Normal 12 2 2" xfId="1789" xr:uid="{00000000-0005-0000-0000-000021AA0000}"/>
    <cellStyle name="Normal 12 2 2 2" xfId="2834" xr:uid="{00000000-0005-0000-0000-000022AA0000}"/>
    <cellStyle name="Normal 12 2 2 2 2" xfId="5938" xr:uid="{00000000-0005-0000-0000-000023AA0000}"/>
    <cellStyle name="Normal 12 2 2 2 2 2" xfId="13210" xr:uid="{00000000-0005-0000-0000-000024AA0000}"/>
    <cellStyle name="Normal 12 2 2 2 2 2 2" xfId="27744" xr:uid="{00000000-0005-0000-0000-000025AA0000}"/>
    <cellStyle name="Normal 12 2 2 2 2 2 2 2" xfId="56750" xr:uid="{00000000-0005-0000-0000-000026AA0000}"/>
    <cellStyle name="Normal 12 2 2 2 2 2 3" xfId="42251" xr:uid="{00000000-0005-0000-0000-000027AA0000}"/>
    <cellStyle name="Normal 12 2 2 2 2 3" xfId="20496" xr:uid="{00000000-0005-0000-0000-000028AA0000}"/>
    <cellStyle name="Normal 12 2 2 2 2 3 2" xfId="49502" xr:uid="{00000000-0005-0000-0000-000029AA0000}"/>
    <cellStyle name="Normal 12 2 2 2 2 4" xfId="35003" xr:uid="{00000000-0005-0000-0000-00002AAA0000}"/>
    <cellStyle name="Normal 12 2 2 2 3" xfId="10106" xr:uid="{00000000-0005-0000-0000-00002BAA0000}"/>
    <cellStyle name="Normal 12 2 2 2 3 2" xfId="24640" xr:uid="{00000000-0005-0000-0000-00002CAA0000}"/>
    <cellStyle name="Normal 12 2 2 2 3 2 2" xfId="53646" xr:uid="{00000000-0005-0000-0000-00002DAA0000}"/>
    <cellStyle name="Normal 12 2 2 2 3 3" xfId="39147" xr:uid="{00000000-0005-0000-0000-00002EAA0000}"/>
    <cellStyle name="Normal 12 2 2 2 4" xfId="17392" xr:uid="{00000000-0005-0000-0000-00002FAA0000}"/>
    <cellStyle name="Normal 12 2 2 2 4 2" xfId="46398" xr:uid="{00000000-0005-0000-0000-000030AA0000}"/>
    <cellStyle name="Normal 12 2 2 2 5" xfId="31899" xr:uid="{00000000-0005-0000-0000-000031AA0000}"/>
    <cellStyle name="Normal 12 2 2 3" xfId="3866" xr:uid="{00000000-0005-0000-0000-000032AA0000}"/>
    <cellStyle name="Normal 12 2 2 3 2" xfId="6970" xr:uid="{00000000-0005-0000-0000-000033AA0000}"/>
    <cellStyle name="Normal 12 2 2 3 2 2" xfId="14242" xr:uid="{00000000-0005-0000-0000-000034AA0000}"/>
    <cellStyle name="Normal 12 2 2 3 2 2 2" xfId="28776" xr:uid="{00000000-0005-0000-0000-000035AA0000}"/>
    <cellStyle name="Normal 12 2 2 3 2 2 2 2" xfId="57782" xr:uid="{00000000-0005-0000-0000-000036AA0000}"/>
    <cellStyle name="Normal 12 2 2 3 2 2 3" xfId="43283" xr:uid="{00000000-0005-0000-0000-000037AA0000}"/>
    <cellStyle name="Normal 12 2 2 3 2 3" xfId="21528" xr:uid="{00000000-0005-0000-0000-000038AA0000}"/>
    <cellStyle name="Normal 12 2 2 3 2 3 2" xfId="50534" xr:uid="{00000000-0005-0000-0000-000039AA0000}"/>
    <cellStyle name="Normal 12 2 2 3 2 4" xfId="36035" xr:uid="{00000000-0005-0000-0000-00003AAA0000}"/>
    <cellStyle name="Normal 12 2 2 3 3" xfId="11138" xr:uid="{00000000-0005-0000-0000-00003BAA0000}"/>
    <cellStyle name="Normal 12 2 2 3 3 2" xfId="25672" xr:uid="{00000000-0005-0000-0000-00003CAA0000}"/>
    <cellStyle name="Normal 12 2 2 3 3 2 2" xfId="54678" xr:uid="{00000000-0005-0000-0000-00003DAA0000}"/>
    <cellStyle name="Normal 12 2 2 3 3 3" xfId="40179" xr:uid="{00000000-0005-0000-0000-00003EAA0000}"/>
    <cellStyle name="Normal 12 2 2 3 4" xfId="18424" xr:uid="{00000000-0005-0000-0000-00003FAA0000}"/>
    <cellStyle name="Normal 12 2 2 3 4 2" xfId="47430" xr:uid="{00000000-0005-0000-0000-000040AA0000}"/>
    <cellStyle name="Normal 12 2 2 3 5" xfId="32931" xr:uid="{00000000-0005-0000-0000-000041AA0000}"/>
    <cellStyle name="Normal 12 2 2 4" xfId="4898" xr:uid="{00000000-0005-0000-0000-000042AA0000}"/>
    <cellStyle name="Normal 12 2 2 4 2" xfId="12170" xr:uid="{00000000-0005-0000-0000-000043AA0000}"/>
    <cellStyle name="Normal 12 2 2 4 2 2" xfId="26704" xr:uid="{00000000-0005-0000-0000-000044AA0000}"/>
    <cellStyle name="Normal 12 2 2 4 2 2 2" xfId="55710" xr:uid="{00000000-0005-0000-0000-000045AA0000}"/>
    <cellStyle name="Normal 12 2 2 4 2 3" xfId="41211" xr:uid="{00000000-0005-0000-0000-000046AA0000}"/>
    <cellStyle name="Normal 12 2 2 4 3" xfId="19456" xr:uid="{00000000-0005-0000-0000-000047AA0000}"/>
    <cellStyle name="Normal 12 2 2 4 3 2" xfId="48462" xr:uid="{00000000-0005-0000-0000-000048AA0000}"/>
    <cellStyle name="Normal 12 2 2 4 4" xfId="33963" xr:uid="{00000000-0005-0000-0000-000049AA0000}"/>
    <cellStyle name="Normal 12 2 2 5" xfId="8002" xr:uid="{00000000-0005-0000-0000-00004AAA0000}"/>
    <cellStyle name="Normal 12 2 2 5 2" xfId="15274" xr:uid="{00000000-0005-0000-0000-00004BAA0000}"/>
    <cellStyle name="Normal 12 2 2 5 2 2" xfId="29808" xr:uid="{00000000-0005-0000-0000-00004CAA0000}"/>
    <cellStyle name="Normal 12 2 2 5 2 2 2" xfId="58814" xr:uid="{00000000-0005-0000-0000-00004DAA0000}"/>
    <cellStyle name="Normal 12 2 2 5 2 3" xfId="44315" xr:uid="{00000000-0005-0000-0000-00004EAA0000}"/>
    <cellStyle name="Normal 12 2 2 5 3" xfId="22560" xr:uid="{00000000-0005-0000-0000-00004FAA0000}"/>
    <cellStyle name="Normal 12 2 2 5 3 2" xfId="51566" xr:uid="{00000000-0005-0000-0000-000050AA0000}"/>
    <cellStyle name="Normal 12 2 2 5 4" xfId="37067" xr:uid="{00000000-0005-0000-0000-000051AA0000}"/>
    <cellStyle name="Normal 12 2 2 6" xfId="9066" xr:uid="{00000000-0005-0000-0000-000052AA0000}"/>
    <cellStyle name="Normal 12 2 2 6 2" xfId="23600" xr:uid="{00000000-0005-0000-0000-000053AA0000}"/>
    <cellStyle name="Normal 12 2 2 6 2 2" xfId="52606" xr:uid="{00000000-0005-0000-0000-000054AA0000}"/>
    <cellStyle name="Normal 12 2 2 6 3" xfId="38107" xr:uid="{00000000-0005-0000-0000-000055AA0000}"/>
    <cellStyle name="Normal 12 2 2 7" xfId="16352" xr:uid="{00000000-0005-0000-0000-000056AA0000}"/>
    <cellStyle name="Normal 12 2 2 7 2" xfId="45358" xr:uid="{00000000-0005-0000-0000-000057AA0000}"/>
    <cellStyle name="Normal 12 2 2 8" xfId="30859" xr:uid="{00000000-0005-0000-0000-000058AA0000}"/>
    <cellStyle name="Normal 12 2 3" xfId="1802" xr:uid="{00000000-0005-0000-0000-000059AA0000}"/>
    <cellStyle name="Normal 12 2 3 2" xfId="4906" xr:uid="{00000000-0005-0000-0000-00005AAA0000}"/>
    <cellStyle name="Normal 12 2 3 2 2" xfId="12178" xr:uid="{00000000-0005-0000-0000-00005BAA0000}"/>
    <cellStyle name="Normal 12 2 3 2 2 2" xfId="26712" xr:uid="{00000000-0005-0000-0000-00005CAA0000}"/>
    <cellStyle name="Normal 12 2 3 2 2 2 2" xfId="55718" xr:uid="{00000000-0005-0000-0000-00005DAA0000}"/>
    <cellStyle name="Normal 12 2 3 2 2 3" xfId="41219" xr:uid="{00000000-0005-0000-0000-00005EAA0000}"/>
    <cellStyle name="Normal 12 2 3 2 3" xfId="19464" xr:uid="{00000000-0005-0000-0000-00005FAA0000}"/>
    <cellStyle name="Normal 12 2 3 2 3 2" xfId="48470" xr:uid="{00000000-0005-0000-0000-000060AA0000}"/>
    <cellStyle name="Normal 12 2 3 2 4" xfId="33971" xr:uid="{00000000-0005-0000-0000-000061AA0000}"/>
    <cellStyle name="Normal 12 2 3 3" xfId="9074" xr:uid="{00000000-0005-0000-0000-000062AA0000}"/>
    <cellStyle name="Normal 12 2 3 3 2" xfId="23608" xr:uid="{00000000-0005-0000-0000-000063AA0000}"/>
    <cellStyle name="Normal 12 2 3 3 2 2" xfId="52614" xr:uid="{00000000-0005-0000-0000-000064AA0000}"/>
    <cellStyle name="Normal 12 2 3 3 3" xfId="38115" xr:uid="{00000000-0005-0000-0000-000065AA0000}"/>
    <cellStyle name="Normal 12 2 3 4" xfId="16360" xr:uid="{00000000-0005-0000-0000-000066AA0000}"/>
    <cellStyle name="Normal 12 2 3 4 2" xfId="45366" xr:uid="{00000000-0005-0000-0000-000067AA0000}"/>
    <cellStyle name="Normal 12 2 3 5" xfId="30867" xr:uid="{00000000-0005-0000-0000-000068AA0000}"/>
    <cellStyle name="Normal 12 2 4" xfId="8034" xr:uid="{00000000-0005-0000-0000-000069AA0000}"/>
    <cellStyle name="Normal 12 2 4 2" xfId="15282" xr:uid="{00000000-0005-0000-0000-00006AAA0000}"/>
    <cellStyle name="Normal 12 2 4 2 2" xfId="29816" xr:uid="{00000000-0005-0000-0000-00006BAA0000}"/>
    <cellStyle name="Normal 12 2 4 2 2 2" xfId="58822" xr:uid="{00000000-0005-0000-0000-00006CAA0000}"/>
    <cellStyle name="Normal 12 2 4 2 3" xfId="44323" xr:uid="{00000000-0005-0000-0000-00006DAA0000}"/>
    <cellStyle name="Normal 12 2 4 3" xfId="22568" xr:uid="{00000000-0005-0000-0000-00006EAA0000}"/>
    <cellStyle name="Normal 12 2 4 3 2" xfId="51574" xr:uid="{00000000-0005-0000-0000-00006FAA0000}"/>
    <cellStyle name="Normal 12 2 4 4" xfId="37075" xr:uid="{00000000-0005-0000-0000-000070AA0000}"/>
    <cellStyle name="Normal 12 3" xfId="813" xr:uid="{00000000-0005-0000-0000-000071AA0000}"/>
    <cellStyle name="Normal 12 3 2" xfId="96" xr:uid="{00000000-0005-0000-0000-000072AA0000}"/>
    <cellStyle name="Normal 12 4" xfId="825" xr:uid="{00000000-0005-0000-0000-000073AA0000}"/>
    <cellStyle name="Normal 12 5" xfId="838" xr:uid="{00000000-0005-0000-0000-000074AA0000}"/>
    <cellStyle name="Normal 12 5 10" xfId="6999" xr:uid="{00000000-0005-0000-0000-000075AA0000}"/>
    <cellStyle name="Normal 12 5 10 2" xfId="14271" xr:uid="{00000000-0005-0000-0000-000076AA0000}"/>
    <cellStyle name="Normal 12 5 10 2 2" xfId="28805" xr:uid="{00000000-0005-0000-0000-000077AA0000}"/>
    <cellStyle name="Normal 12 5 10 2 2 2" xfId="57811" xr:uid="{00000000-0005-0000-0000-000078AA0000}"/>
    <cellStyle name="Normal 12 5 10 2 3" xfId="43312" xr:uid="{00000000-0005-0000-0000-000079AA0000}"/>
    <cellStyle name="Normal 12 5 10 3" xfId="21557" xr:uid="{00000000-0005-0000-0000-00007AAA0000}"/>
    <cellStyle name="Normal 12 5 10 3 2" xfId="50563" xr:uid="{00000000-0005-0000-0000-00007BAA0000}"/>
    <cellStyle name="Normal 12 5 10 4" xfId="36064" xr:uid="{00000000-0005-0000-0000-00007CAA0000}"/>
    <cellStyle name="Normal 12 5 11" xfId="8063" xr:uid="{00000000-0005-0000-0000-00007DAA0000}"/>
    <cellStyle name="Normal 12 5 11 2" xfId="22597" xr:uid="{00000000-0005-0000-0000-00007EAA0000}"/>
    <cellStyle name="Normal 12 5 11 2 2" xfId="51603" xr:uid="{00000000-0005-0000-0000-00007FAA0000}"/>
    <cellStyle name="Normal 12 5 11 3" xfId="37104" xr:uid="{00000000-0005-0000-0000-000080AA0000}"/>
    <cellStyle name="Normal 12 5 12" xfId="15349" xr:uid="{00000000-0005-0000-0000-000081AA0000}"/>
    <cellStyle name="Normal 12 5 12 2" xfId="44355" xr:uid="{00000000-0005-0000-0000-000082AA0000}"/>
    <cellStyle name="Normal 12 5 13" xfId="29856" xr:uid="{00000000-0005-0000-0000-000083AA0000}"/>
    <cellStyle name="Normal 12 5 2" xfId="882" xr:uid="{00000000-0005-0000-0000-000084AA0000}"/>
    <cellStyle name="Normal 12 5 2 10" xfId="8115" xr:uid="{00000000-0005-0000-0000-000085AA0000}"/>
    <cellStyle name="Normal 12 5 2 10 2" xfId="22649" xr:uid="{00000000-0005-0000-0000-000086AA0000}"/>
    <cellStyle name="Normal 12 5 2 10 2 2" xfId="51655" xr:uid="{00000000-0005-0000-0000-000087AA0000}"/>
    <cellStyle name="Normal 12 5 2 10 3" xfId="37156" xr:uid="{00000000-0005-0000-0000-000088AA0000}"/>
    <cellStyle name="Normal 12 5 2 11" xfId="15401" xr:uid="{00000000-0005-0000-0000-000089AA0000}"/>
    <cellStyle name="Normal 12 5 2 11 2" xfId="44407" xr:uid="{00000000-0005-0000-0000-00008AAA0000}"/>
    <cellStyle name="Normal 12 5 2 12" xfId="29908" xr:uid="{00000000-0005-0000-0000-00008BAA0000}"/>
    <cellStyle name="Normal 12 5 2 2" xfId="962" xr:uid="{00000000-0005-0000-0000-00008CAA0000}"/>
    <cellStyle name="Normal 12 5 2 2 10" xfId="30011" xr:uid="{00000000-0005-0000-0000-00008DAA0000}"/>
    <cellStyle name="Normal 12 5 2 2 2" xfId="1239" xr:uid="{00000000-0005-0000-0000-00008EAA0000}"/>
    <cellStyle name="Normal 12 5 2 2 2 2" xfId="1745" xr:uid="{00000000-0005-0000-0000-00008FAA0000}"/>
    <cellStyle name="Normal 12 5 2 2 2 2 2" xfId="2804" xr:uid="{00000000-0005-0000-0000-000090AA0000}"/>
    <cellStyle name="Normal 12 5 2 2 2 2 2 2" xfId="5908" xr:uid="{00000000-0005-0000-0000-000091AA0000}"/>
    <cellStyle name="Normal 12 5 2 2 2 2 2 2 2" xfId="13180" xr:uid="{00000000-0005-0000-0000-000092AA0000}"/>
    <cellStyle name="Normal 12 5 2 2 2 2 2 2 2 2" xfId="27714" xr:uid="{00000000-0005-0000-0000-000093AA0000}"/>
    <cellStyle name="Normal 12 5 2 2 2 2 2 2 2 2 2" xfId="56720" xr:uid="{00000000-0005-0000-0000-000094AA0000}"/>
    <cellStyle name="Normal 12 5 2 2 2 2 2 2 2 3" xfId="42221" xr:uid="{00000000-0005-0000-0000-000095AA0000}"/>
    <cellStyle name="Normal 12 5 2 2 2 2 2 2 3" xfId="20466" xr:uid="{00000000-0005-0000-0000-000096AA0000}"/>
    <cellStyle name="Normal 12 5 2 2 2 2 2 2 3 2" xfId="49472" xr:uid="{00000000-0005-0000-0000-000097AA0000}"/>
    <cellStyle name="Normal 12 5 2 2 2 2 2 2 4" xfId="34973" xr:uid="{00000000-0005-0000-0000-000098AA0000}"/>
    <cellStyle name="Normal 12 5 2 2 2 2 2 3" xfId="10076" xr:uid="{00000000-0005-0000-0000-000099AA0000}"/>
    <cellStyle name="Normal 12 5 2 2 2 2 2 3 2" xfId="24610" xr:uid="{00000000-0005-0000-0000-00009AAA0000}"/>
    <cellStyle name="Normal 12 5 2 2 2 2 2 3 2 2" xfId="53616" xr:uid="{00000000-0005-0000-0000-00009BAA0000}"/>
    <cellStyle name="Normal 12 5 2 2 2 2 2 3 3" xfId="39117" xr:uid="{00000000-0005-0000-0000-00009CAA0000}"/>
    <cellStyle name="Normal 12 5 2 2 2 2 2 4" xfId="17362" xr:uid="{00000000-0005-0000-0000-00009DAA0000}"/>
    <cellStyle name="Normal 12 5 2 2 2 2 2 4 2" xfId="46368" xr:uid="{00000000-0005-0000-0000-00009EAA0000}"/>
    <cellStyle name="Normal 12 5 2 2 2 2 2 5" xfId="31869" xr:uid="{00000000-0005-0000-0000-00009FAA0000}"/>
    <cellStyle name="Normal 12 5 2 2 2 2 3" xfId="3836" xr:uid="{00000000-0005-0000-0000-0000A0AA0000}"/>
    <cellStyle name="Normal 12 5 2 2 2 2 3 2" xfId="6940" xr:uid="{00000000-0005-0000-0000-0000A1AA0000}"/>
    <cellStyle name="Normal 12 5 2 2 2 2 3 2 2" xfId="14212" xr:uid="{00000000-0005-0000-0000-0000A2AA0000}"/>
    <cellStyle name="Normal 12 5 2 2 2 2 3 2 2 2" xfId="28746" xr:uid="{00000000-0005-0000-0000-0000A3AA0000}"/>
    <cellStyle name="Normal 12 5 2 2 2 2 3 2 2 2 2" xfId="57752" xr:uid="{00000000-0005-0000-0000-0000A4AA0000}"/>
    <cellStyle name="Normal 12 5 2 2 2 2 3 2 2 3" xfId="43253" xr:uid="{00000000-0005-0000-0000-0000A5AA0000}"/>
    <cellStyle name="Normal 12 5 2 2 2 2 3 2 3" xfId="21498" xr:uid="{00000000-0005-0000-0000-0000A6AA0000}"/>
    <cellStyle name="Normal 12 5 2 2 2 2 3 2 3 2" xfId="50504" xr:uid="{00000000-0005-0000-0000-0000A7AA0000}"/>
    <cellStyle name="Normal 12 5 2 2 2 2 3 2 4" xfId="36005" xr:uid="{00000000-0005-0000-0000-0000A8AA0000}"/>
    <cellStyle name="Normal 12 5 2 2 2 2 3 3" xfId="11108" xr:uid="{00000000-0005-0000-0000-0000A9AA0000}"/>
    <cellStyle name="Normal 12 5 2 2 2 2 3 3 2" xfId="25642" xr:uid="{00000000-0005-0000-0000-0000AAAA0000}"/>
    <cellStyle name="Normal 12 5 2 2 2 2 3 3 2 2" xfId="54648" xr:uid="{00000000-0005-0000-0000-0000ABAA0000}"/>
    <cellStyle name="Normal 12 5 2 2 2 2 3 3 3" xfId="40149" xr:uid="{00000000-0005-0000-0000-0000ACAA0000}"/>
    <cellStyle name="Normal 12 5 2 2 2 2 3 4" xfId="18394" xr:uid="{00000000-0005-0000-0000-0000ADAA0000}"/>
    <cellStyle name="Normal 12 5 2 2 2 2 3 4 2" xfId="47400" xr:uid="{00000000-0005-0000-0000-0000AEAA0000}"/>
    <cellStyle name="Normal 12 5 2 2 2 2 3 5" xfId="32901" xr:uid="{00000000-0005-0000-0000-0000AFAA0000}"/>
    <cellStyle name="Normal 12 5 2 2 2 2 4" xfId="4868" xr:uid="{00000000-0005-0000-0000-0000B0AA0000}"/>
    <cellStyle name="Normal 12 5 2 2 2 2 4 2" xfId="12140" xr:uid="{00000000-0005-0000-0000-0000B1AA0000}"/>
    <cellStyle name="Normal 12 5 2 2 2 2 4 2 2" xfId="26674" xr:uid="{00000000-0005-0000-0000-0000B2AA0000}"/>
    <cellStyle name="Normal 12 5 2 2 2 2 4 2 2 2" xfId="55680" xr:uid="{00000000-0005-0000-0000-0000B3AA0000}"/>
    <cellStyle name="Normal 12 5 2 2 2 2 4 2 3" xfId="41181" xr:uid="{00000000-0005-0000-0000-0000B4AA0000}"/>
    <cellStyle name="Normal 12 5 2 2 2 2 4 3" xfId="19426" xr:uid="{00000000-0005-0000-0000-0000B5AA0000}"/>
    <cellStyle name="Normal 12 5 2 2 2 2 4 3 2" xfId="48432" xr:uid="{00000000-0005-0000-0000-0000B6AA0000}"/>
    <cellStyle name="Normal 12 5 2 2 2 2 4 4" xfId="33933" xr:uid="{00000000-0005-0000-0000-0000B7AA0000}"/>
    <cellStyle name="Normal 12 5 2 2 2 2 5" xfId="7972" xr:uid="{00000000-0005-0000-0000-0000B8AA0000}"/>
    <cellStyle name="Normal 12 5 2 2 2 2 5 2" xfId="15244" xr:uid="{00000000-0005-0000-0000-0000B9AA0000}"/>
    <cellStyle name="Normal 12 5 2 2 2 2 5 2 2" xfId="29778" xr:uid="{00000000-0005-0000-0000-0000BAAA0000}"/>
    <cellStyle name="Normal 12 5 2 2 2 2 5 2 2 2" xfId="58784" xr:uid="{00000000-0005-0000-0000-0000BBAA0000}"/>
    <cellStyle name="Normal 12 5 2 2 2 2 5 2 3" xfId="44285" xr:uid="{00000000-0005-0000-0000-0000BCAA0000}"/>
    <cellStyle name="Normal 12 5 2 2 2 2 5 3" xfId="22530" xr:uid="{00000000-0005-0000-0000-0000BDAA0000}"/>
    <cellStyle name="Normal 12 5 2 2 2 2 5 3 2" xfId="51536" xr:uid="{00000000-0005-0000-0000-0000BEAA0000}"/>
    <cellStyle name="Normal 12 5 2 2 2 2 5 4" xfId="37037" xr:uid="{00000000-0005-0000-0000-0000BFAA0000}"/>
    <cellStyle name="Normal 12 5 2 2 2 2 6" xfId="9036" xr:uid="{00000000-0005-0000-0000-0000C0AA0000}"/>
    <cellStyle name="Normal 12 5 2 2 2 2 6 2" xfId="23570" xr:uid="{00000000-0005-0000-0000-0000C1AA0000}"/>
    <cellStyle name="Normal 12 5 2 2 2 2 6 2 2" xfId="52576" xr:uid="{00000000-0005-0000-0000-0000C2AA0000}"/>
    <cellStyle name="Normal 12 5 2 2 2 2 6 3" xfId="38077" xr:uid="{00000000-0005-0000-0000-0000C3AA0000}"/>
    <cellStyle name="Normal 12 5 2 2 2 2 7" xfId="16322" xr:uid="{00000000-0005-0000-0000-0000C4AA0000}"/>
    <cellStyle name="Normal 12 5 2 2 2 2 7 2" xfId="45328" xr:uid="{00000000-0005-0000-0000-0000C5AA0000}"/>
    <cellStyle name="Normal 12 5 2 2 2 2 8" xfId="30829" xr:uid="{00000000-0005-0000-0000-0000C6AA0000}"/>
    <cellStyle name="Normal 12 5 2 2 2 3" xfId="2292" xr:uid="{00000000-0005-0000-0000-0000C7AA0000}"/>
    <cellStyle name="Normal 12 5 2 2 2 3 2" xfId="5396" xr:uid="{00000000-0005-0000-0000-0000C8AA0000}"/>
    <cellStyle name="Normal 12 5 2 2 2 3 2 2" xfId="12668" xr:uid="{00000000-0005-0000-0000-0000C9AA0000}"/>
    <cellStyle name="Normal 12 5 2 2 2 3 2 2 2" xfId="27202" xr:uid="{00000000-0005-0000-0000-0000CAAA0000}"/>
    <cellStyle name="Normal 12 5 2 2 2 3 2 2 2 2" xfId="56208" xr:uid="{00000000-0005-0000-0000-0000CBAA0000}"/>
    <cellStyle name="Normal 12 5 2 2 2 3 2 2 3" xfId="41709" xr:uid="{00000000-0005-0000-0000-0000CCAA0000}"/>
    <cellStyle name="Normal 12 5 2 2 2 3 2 3" xfId="19954" xr:uid="{00000000-0005-0000-0000-0000CDAA0000}"/>
    <cellStyle name="Normal 12 5 2 2 2 3 2 3 2" xfId="48960" xr:uid="{00000000-0005-0000-0000-0000CEAA0000}"/>
    <cellStyle name="Normal 12 5 2 2 2 3 2 4" xfId="34461" xr:uid="{00000000-0005-0000-0000-0000CFAA0000}"/>
    <cellStyle name="Normal 12 5 2 2 2 3 3" xfId="9564" xr:uid="{00000000-0005-0000-0000-0000D0AA0000}"/>
    <cellStyle name="Normal 12 5 2 2 2 3 3 2" xfId="24098" xr:uid="{00000000-0005-0000-0000-0000D1AA0000}"/>
    <cellStyle name="Normal 12 5 2 2 2 3 3 2 2" xfId="53104" xr:uid="{00000000-0005-0000-0000-0000D2AA0000}"/>
    <cellStyle name="Normal 12 5 2 2 2 3 3 3" xfId="38605" xr:uid="{00000000-0005-0000-0000-0000D3AA0000}"/>
    <cellStyle name="Normal 12 5 2 2 2 3 4" xfId="16850" xr:uid="{00000000-0005-0000-0000-0000D4AA0000}"/>
    <cellStyle name="Normal 12 5 2 2 2 3 4 2" xfId="45856" xr:uid="{00000000-0005-0000-0000-0000D5AA0000}"/>
    <cellStyle name="Normal 12 5 2 2 2 3 5" xfId="31357" xr:uid="{00000000-0005-0000-0000-0000D6AA0000}"/>
    <cellStyle name="Normal 12 5 2 2 2 4" xfId="3324" xr:uid="{00000000-0005-0000-0000-0000D7AA0000}"/>
    <cellStyle name="Normal 12 5 2 2 2 4 2" xfId="6428" xr:uid="{00000000-0005-0000-0000-0000D8AA0000}"/>
    <cellStyle name="Normal 12 5 2 2 2 4 2 2" xfId="13700" xr:uid="{00000000-0005-0000-0000-0000D9AA0000}"/>
    <cellStyle name="Normal 12 5 2 2 2 4 2 2 2" xfId="28234" xr:uid="{00000000-0005-0000-0000-0000DAAA0000}"/>
    <cellStyle name="Normal 12 5 2 2 2 4 2 2 2 2" xfId="57240" xr:uid="{00000000-0005-0000-0000-0000DBAA0000}"/>
    <cellStyle name="Normal 12 5 2 2 2 4 2 2 3" xfId="42741" xr:uid="{00000000-0005-0000-0000-0000DCAA0000}"/>
    <cellStyle name="Normal 12 5 2 2 2 4 2 3" xfId="20986" xr:uid="{00000000-0005-0000-0000-0000DDAA0000}"/>
    <cellStyle name="Normal 12 5 2 2 2 4 2 3 2" xfId="49992" xr:uid="{00000000-0005-0000-0000-0000DEAA0000}"/>
    <cellStyle name="Normal 12 5 2 2 2 4 2 4" xfId="35493" xr:uid="{00000000-0005-0000-0000-0000DFAA0000}"/>
    <cellStyle name="Normal 12 5 2 2 2 4 3" xfId="10596" xr:uid="{00000000-0005-0000-0000-0000E0AA0000}"/>
    <cellStyle name="Normal 12 5 2 2 2 4 3 2" xfId="25130" xr:uid="{00000000-0005-0000-0000-0000E1AA0000}"/>
    <cellStyle name="Normal 12 5 2 2 2 4 3 2 2" xfId="54136" xr:uid="{00000000-0005-0000-0000-0000E2AA0000}"/>
    <cellStyle name="Normal 12 5 2 2 2 4 3 3" xfId="39637" xr:uid="{00000000-0005-0000-0000-0000E3AA0000}"/>
    <cellStyle name="Normal 12 5 2 2 2 4 4" xfId="17882" xr:uid="{00000000-0005-0000-0000-0000E4AA0000}"/>
    <cellStyle name="Normal 12 5 2 2 2 4 4 2" xfId="46888" xr:uid="{00000000-0005-0000-0000-0000E5AA0000}"/>
    <cellStyle name="Normal 12 5 2 2 2 4 5" xfId="32389" xr:uid="{00000000-0005-0000-0000-0000E6AA0000}"/>
    <cellStyle name="Normal 12 5 2 2 2 5" xfId="4356" xr:uid="{00000000-0005-0000-0000-0000E7AA0000}"/>
    <cellStyle name="Normal 12 5 2 2 2 5 2" xfId="11628" xr:uid="{00000000-0005-0000-0000-0000E8AA0000}"/>
    <cellStyle name="Normal 12 5 2 2 2 5 2 2" xfId="26162" xr:uid="{00000000-0005-0000-0000-0000E9AA0000}"/>
    <cellStyle name="Normal 12 5 2 2 2 5 2 2 2" xfId="55168" xr:uid="{00000000-0005-0000-0000-0000EAAA0000}"/>
    <cellStyle name="Normal 12 5 2 2 2 5 2 3" xfId="40669" xr:uid="{00000000-0005-0000-0000-0000EBAA0000}"/>
    <cellStyle name="Normal 12 5 2 2 2 5 3" xfId="18914" xr:uid="{00000000-0005-0000-0000-0000ECAA0000}"/>
    <cellStyle name="Normal 12 5 2 2 2 5 3 2" xfId="47920" xr:uid="{00000000-0005-0000-0000-0000EDAA0000}"/>
    <cellStyle name="Normal 12 5 2 2 2 5 4" xfId="33421" xr:uid="{00000000-0005-0000-0000-0000EEAA0000}"/>
    <cellStyle name="Normal 12 5 2 2 2 6" xfId="7460" xr:uid="{00000000-0005-0000-0000-0000EFAA0000}"/>
    <cellStyle name="Normal 12 5 2 2 2 6 2" xfId="14732" xr:uid="{00000000-0005-0000-0000-0000F0AA0000}"/>
    <cellStyle name="Normal 12 5 2 2 2 6 2 2" xfId="29266" xr:uid="{00000000-0005-0000-0000-0000F1AA0000}"/>
    <cellStyle name="Normal 12 5 2 2 2 6 2 2 2" xfId="58272" xr:uid="{00000000-0005-0000-0000-0000F2AA0000}"/>
    <cellStyle name="Normal 12 5 2 2 2 6 2 3" xfId="43773" xr:uid="{00000000-0005-0000-0000-0000F3AA0000}"/>
    <cellStyle name="Normal 12 5 2 2 2 6 3" xfId="22018" xr:uid="{00000000-0005-0000-0000-0000F4AA0000}"/>
    <cellStyle name="Normal 12 5 2 2 2 6 3 2" xfId="51024" xr:uid="{00000000-0005-0000-0000-0000F5AA0000}"/>
    <cellStyle name="Normal 12 5 2 2 2 6 4" xfId="36525" xr:uid="{00000000-0005-0000-0000-0000F6AA0000}"/>
    <cellStyle name="Normal 12 5 2 2 2 7" xfId="8524" xr:uid="{00000000-0005-0000-0000-0000F7AA0000}"/>
    <cellStyle name="Normal 12 5 2 2 2 7 2" xfId="23058" xr:uid="{00000000-0005-0000-0000-0000F8AA0000}"/>
    <cellStyle name="Normal 12 5 2 2 2 7 2 2" xfId="52064" xr:uid="{00000000-0005-0000-0000-0000F9AA0000}"/>
    <cellStyle name="Normal 12 5 2 2 2 7 3" xfId="37565" xr:uid="{00000000-0005-0000-0000-0000FAAA0000}"/>
    <cellStyle name="Normal 12 5 2 2 2 8" xfId="15810" xr:uid="{00000000-0005-0000-0000-0000FBAA0000}"/>
    <cellStyle name="Normal 12 5 2 2 2 8 2" xfId="44816" xr:uid="{00000000-0005-0000-0000-0000FCAA0000}"/>
    <cellStyle name="Normal 12 5 2 2 2 9" xfId="30317" xr:uid="{00000000-0005-0000-0000-0000FDAA0000}"/>
    <cellStyle name="Normal 12 5 2 2 3" xfId="1440" xr:uid="{00000000-0005-0000-0000-0000FEAA0000}"/>
    <cellStyle name="Normal 12 5 2 2 3 2" xfId="2498" xr:uid="{00000000-0005-0000-0000-0000FFAA0000}"/>
    <cellStyle name="Normal 12 5 2 2 3 2 2" xfId="5602" xr:uid="{00000000-0005-0000-0000-000000AB0000}"/>
    <cellStyle name="Normal 12 5 2 2 3 2 2 2" xfId="12874" xr:uid="{00000000-0005-0000-0000-000001AB0000}"/>
    <cellStyle name="Normal 12 5 2 2 3 2 2 2 2" xfId="27408" xr:uid="{00000000-0005-0000-0000-000002AB0000}"/>
    <cellStyle name="Normal 12 5 2 2 3 2 2 2 2 2" xfId="56414" xr:uid="{00000000-0005-0000-0000-000003AB0000}"/>
    <cellStyle name="Normal 12 5 2 2 3 2 2 2 3" xfId="41915" xr:uid="{00000000-0005-0000-0000-000004AB0000}"/>
    <cellStyle name="Normal 12 5 2 2 3 2 2 3" xfId="20160" xr:uid="{00000000-0005-0000-0000-000005AB0000}"/>
    <cellStyle name="Normal 12 5 2 2 3 2 2 3 2" xfId="49166" xr:uid="{00000000-0005-0000-0000-000006AB0000}"/>
    <cellStyle name="Normal 12 5 2 2 3 2 2 4" xfId="34667" xr:uid="{00000000-0005-0000-0000-000007AB0000}"/>
    <cellStyle name="Normal 12 5 2 2 3 2 3" xfId="9770" xr:uid="{00000000-0005-0000-0000-000008AB0000}"/>
    <cellStyle name="Normal 12 5 2 2 3 2 3 2" xfId="24304" xr:uid="{00000000-0005-0000-0000-000009AB0000}"/>
    <cellStyle name="Normal 12 5 2 2 3 2 3 2 2" xfId="53310" xr:uid="{00000000-0005-0000-0000-00000AAB0000}"/>
    <cellStyle name="Normal 12 5 2 2 3 2 3 3" xfId="38811" xr:uid="{00000000-0005-0000-0000-00000BAB0000}"/>
    <cellStyle name="Normal 12 5 2 2 3 2 4" xfId="17056" xr:uid="{00000000-0005-0000-0000-00000CAB0000}"/>
    <cellStyle name="Normal 12 5 2 2 3 2 4 2" xfId="46062" xr:uid="{00000000-0005-0000-0000-00000DAB0000}"/>
    <cellStyle name="Normal 12 5 2 2 3 2 5" xfId="31563" xr:uid="{00000000-0005-0000-0000-00000EAB0000}"/>
    <cellStyle name="Normal 12 5 2 2 3 3" xfId="3530" xr:uid="{00000000-0005-0000-0000-00000FAB0000}"/>
    <cellStyle name="Normal 12 5 2 2 3 3 2" xfId="6634" xr:uid="{00000000-0005-0000-0000-000010AB0000}"/>
    <cellStyle name="Normal 12 5 2 2 3 3 2 2" xfId="13906" xr:uid="{00000000-0005-0000-0000-000011AB0000}"/>
    <cellStyle name="Normal 12 5 2 2 3 3 2 2 2" xfId="28440" xr:uid="{00000000-0005-0000-0000-000012AB0000}"/>
    <cellStyle name="Normal 12 5 2 2 3 3 2 2 2 2" xfId="57446" xr:uid="{00000000-0005-0000-0000-000013AB0000}"/>
    <cellStyle name="Normal 12 5 2 2 3 3 2 2 3" xfId="42947" xr:uid="{00000000-0005-0000-0000-000014AB0000}"/>
    <cellStyle name="Normal 12 5 2 2 3 3 2 3" xfId="21192" xr:uid="{00000000-0005-0000-0000-000015AB0000}"/>
    <cellStyle name="Normal 12 5 2 2 3 3 2 3 2" xfId="50198" xr:uid="{00000000-0005-0000-0000-000016AB0000}"/>
    <cellStyle name="Normal 12 5 2 2 3 3 2 4" xfId="35699" xr:uid="{00000000-0005-0000-0000-000017AB0000}"/>
    <cellStyle name="Normal 12 5 2 2 3 3 3" xfId="10802" xr:uid="{00000000-0005-0000-0000-000018AB0000}"/>
    <cellStyle name="Normal 12 5 2 2 3 3 3 2" xfId="25336" xr:uid="{00000000-0005-0000-0000-000019AB0000}"/>
    <cellStyle name="Normal 12 5 2 2 3 3 3 2 2" xfId="54342" xr:uid="{00000000-0005-0000-0000-00001AAB0000}"/>
    <cellStyle name="Normal 12 5 2 2 3 3 3 3" xfId="39843" xr:uid="{00000000-0005-0000-0000-00001BAB0000}"/>
    <cellStyle name="Normal 12 5 2 2 3 3 4" xfId="18088" xr:uid="{00000000-0005-0000-0000-00001CAB0000}"/>
    <cellStyle name="Normal 12 5 2 2 3 3 4 2" xfId="47094" xr:uid="{00000000-0005-0000-0000-00001DAB0000}"/>
    <cellStyle name="Normal 12 5 2 2 3 3 5" xfId="32595" xr:uid="{00000000-0005-0000-0000-00001EAB0000}"/>
    <cellStyle name="Normal 12 5 2 2 3 4" xfId="4562" xr:uid="{00000000-0005-0000-0000-00001FAB0000}"/>
    <cellStyle name="Normal 12 5 2 2 3 4 2" xfId="11834" xr:uid="{00000000-0005-0000-0000-000020AB0000}"/>
    <cellStyle name="Normal 12 5 2 2 3 4 2 2" xfId="26368" xr:uid="{00000000-0005-0000-0000-000021AB0000}"/>
    <cellStyle name="Normal 12 5 2 2 3 4 2 2 2" xfId="55374" xr:uid="{00000000-0005-0000-0000-000022AB0000}"/>
    <cellStyle name="Normal 12 5 2 2 3 4 2 3" xfId="40875" xr:uid="{00000000-0005-0000-0000-000023AB0000}"/>
    <cellStyle name="Normal 12 5 2 2 3 4 3" xfId="19120" xr:uid="{00000000-0005-0000-0000-000024AB0000}"/>
    <cellStyle name="Normal 12 5 2 2 3 4 3 2" xfId="48126" xr:uid="{00000000-0005-0000-0000-000025AB0000}"/>
    <cellStyle name="Normal 12 5 2 2 3 4 4" xfId="33627" xr:uid="{00000000-0005-0000-0000-000026AB0000}"/>
    <cellStyle name="Normal 12 5 2 2 3 5" xfId="7666" xr:uid="{00000000-0005-0000-0000-000027AB0000}"/>
    <cellStyle name="Normal 12 5 2 2 3 5 2" xfId="14938" xr:uid="{00000000-0005-0000-0000-000028AB0000}"/>
    <cellStyle name="Normal 12 5 2 2 3 5 2 2" xfId="29472" xr:uid="{00000000-0005-0000-0000-000029AB0000}"/>
    <cellStyle name="Normal 12 5 2 2 3 5 2 2 2" xfId="58478" xr:uid="{00000000-0005-0000-0000-00002AAB0000}"/>
    <cellStyle name="Normal 12 5 2 2 3 5 2 3" xfId="43979" xr:uid="{00000000-0005-0000-0000-00002BAB0000}"/>
    <cellStyle name="Normal 12 5 2 2 3 5 3" xfId="22224" xr:uid="{00000000-0005-0000-0000-00002CAB0000}"/>
    <cellStyle name="Normal 12 5 2 2 3 5 3 2" xfId="51230" xr:uid="{00000000-0005-0000-0000-00002DAB0000}"/>
    <cellStyle name="Normal 12 5 2 2 3 5 4" xfId="36731" xr:uid="{00000000-0005-0000-0000-00002EAB0000}"/>
    <cellStyle name="Normal 12 5 2 2 3 6" xfId="8730" xr:uid="{00000000-0005-0000-0000-00002FAB0000}"/>
    <cellStyle name="Normal 12 5 2 2 3 6 2" xfId="23264" xr:uid="{00000000-0005-0000-0000-000030AB0000}"/>
    <cellStyle name="Normal 12 5 2 2 3 6 2 2" xfId="52270" xr:uid="{00000000-0005-0000-0000-000031AB0000}"/>
    <cellStyle name="Normal 12 5 2 2 3 6 3" xfId="37771" xr:uid="{00000000-0005-0000-0000-000032AB0000}"/>
    <cellStyle name="Normal 12 5 2 2 3 7" xfId="16016" xr:uid="{00000000-0005-0000-0000-000033AB0000}"/>
    <cellStyle name="Normal 12 5 2 2 3 7 2" xfId="45022" xr:uid="{00000000-0005-0000-0000-000034AB0000}"/>
    <cellStyle name="Normal 12 5 2 2 3 8" xfId="30523" xr:uid="{00000000-0005-0000-0000-000035AB0000}"/>
    <cellStyle name="Normal 12 5 2 2 4" xfId="1986" xr:uid="{00000000-0005-0000-0000-000036AB0000}"/>
    <cellStyle name="Normal 12 5 2 2 4 2" xfId="5090" xr:uid="{00000000-0005-0000-0000-000037AB0000}"/>
    <cellStyle name="Normal 12 5 2 2 4 2 2" xfId="12362" xr:uid="{00000000-0005-0000-0000-000038AB0000}"/>
    <cellStyle name="Normal 12 5 2 2 4 2 2 2" xfId="26896" xr:uid="{00000000-0005-0000-0000-000039AB0000}"/>
    <cellStyle name="Normal 12 5 2 2 4 2 2 2 2" xfId="55902" xr:uid="{00000000-0005-0000-0000-00003AAB0000}"/>
    <cellStyle name="Normal 12 5 2 2 4 2 2 3" xfId="41403" xr:uid="{00000000-0005-0000-0000-00003BAB0000}"/>
    <cellStyle name="Normal 12 5 2 2 4 2 3" xfId="19648" xr:uid="{00000000-0005-0000-0000-00003CAB0000}"/>
    <cellStyle name="Normal 12 5 2 2 4 2 3 2" xfId="48654" xr:uid="{00000000-0005-0000-0000-00003DAB0000}"/>
    <cellStyle name="Normal 12 5 2 2 4 2 4" xfId="34155" xr:uid="{00000000-0005-0000-0000-00003EAB0000}"/>
    <cellStyle name="Normal 12 5 2 2 4 3" xfId="9258" xr:uid="{00000000-0005-0000-0000-00003FAB0000}"/>
    <cellStyle name="Normal 12 5 2 2 4 3 2" xfId="23792" xr:uid="{00000000-0005-0000-0000-000040AB0000}"/>
    <cellStyle name="Normal 12 5 2 2 4 3 2 2" xfId="52798" xr:uid="{00000000-0005-0000-0000-000041AB0000}"/>
    <cellStyle name="Normal 12 5 2 2 4 3 3" xfId="38299" xr:uid="{00000000-0005-0000-0000-000042AB0000}"/>
    <cellStyle name="Normal 12 5 2 2 4 4" xfId="16544" xr:uid="{00000000-0005-0000-0000-000043AB0000}"/>
    <cellStyle name="Normal 12 5 2 2 4 4 2" xfId="45550" xr:uid="{00000000-0005-0000-0000-000044AB0000}"/>
    <cellStyle name="Normal 12 5 2 2 4 5" xfId="31051" xr:uid="{00000000-0005-0000-0000-000045AB0000}"/>
    <cellStyle name="Normal 12 5 2 2 5" xfId="3018" xr:uid="{00000000-0005-0000-0000-000046AB0000}"/>
    <cellStyle name="Normal 12 5 2 2 5 2" xfId="6122" xr:uid="{00000000-0005-0000-0000-000047AB0000}"/>
    <cellStyle name="Normal 12 5 2 2 5 2 2" xfId="13394" xr:uid="{00000000-0005-0000-0000-000048AB0000}"/>
    <cellStyle name="Normal 12 5 2 2 5 2 2 2" xfId="27928" xr:uid="{00000000-0005-0000-0000-000049AB0000}"/>
    <cellStyle name="Normal 12 5 2 2 5 2 2 2 2" xfId="56934" xr:uid="{00000000-0005-0000-0000-00004AAB0000}"/>
    <cellStyle name="Normal 12 5 2 2 5 2 2 3" xfId="42435" xr:uid="{00000000-0005-0000-0000-00004BAB0000}"/>
    <cellStyle name="Normal 12 5 2 2 5 2 3" xfId="20680" xr:uid="{00000000-0005-0000-0000-00004CAB0000}"/>
    <cellStyle name="Normal 12 5 2 2 5 2 3 2" xfId="49686" xr:uid="{00000000-0005-0000-0000-00004DAB0000}"/>
    <cellStyle name="Normal 12 5 2 2 5 2 4" xfId="35187" xr:uid="{00000000-0005-0000-0000-00004EAB0000}"/>
    <cellStyle name="Normal 12 5 2 2 5 3" xfId="10290" xr:uid="{00000000-0005-0000-0000-00004FAB0000}"/>
    <cellStyle name="Normal 12 5 2 2 5 3 2" xfId="24824" xr:uid="{00000000-0005-0000-0000-000050AB0000}"/>
    <cellStyle name="Normal 12 5 2 2 5 3 2 2" xfId="53830" xr:uid="{00000000-0005-0000-0000-000051AB0000}"/>
    <cellStyle name="Normal 12 5 2 2 5 3 3" xfId="39331" xr:uid="{00000000-0005-0000-0000-000052AB0000}"/>
    <cellStyle name="Normal 12 5 2 2 5 4" xfId="17576" xr:uid="{00000000-0005-0000-0000-000053AB0000}"/>
    <cellStyle name="Normal 12 5 2 2 5 4 2" xfId="46582" xr:uid="{00000000-0005-0000-0000-000054AB0000}"/>
    <cellStyle name="Normal 12 5 2 2 5 5" xfId="32083" xr:uid="{00000000-0005-0000-0000-000055AB0000}"/>
    <cellStyle name="Normal 12 5 2 2 6" xfId="4050" xr:uid="{00000000-0005-0000-0000-000056AB0000}"/>
    <cellStyle name="Normal 12 5 2 2 6 2" xfId="11322" xr:uid="{00000000-0005-0000-0000-000057AB0000}"/>
    <cellStyle name="Normal 12 5 2 2 6 2 2" xfId="25856" xr:uid="{00000000-0005-0000-0000-000058AB0000}"/>
    <cellStyle name="Normal 12 5 2 2 6 2 2 2" xfId="54862" xr:uid="{00000000-0005-0000-0000-000059AB0000}"/>
    <cellStyle name="Normal 12 5 2 2 6 2 3" xfId="40363" xr:uid="{00000000-0005-0000-0000-00005AAB0000}"/>
    <cellStyle name="Normal 12 5 2 2 6 3" xfId="18608" xr:uid="{00000000-0005-0000-0000-00005BAB0000}"/>
    <cellStyle name="Normal 12 5 2 2 6 3 2" xfId="47614" xr:uid="{00000000-0005-0000-0000-00005CAB0000}"/>
    <cellStyle name="Normal 12 5 2 2 6 4" xfId="33115" xr:uid="{00000000-0005-0000-0000-00005DAB0000}"/>
    <cellStyle name="Normal 12 5 2 2 7" xfId="7154" xr:uid="{00000000-0005-0000-0000-00005EAB0000}"/>
    <cellStyle name="Normal 12 5 2 2 7 2" xfId="14426" xr:uid="{00000000-0005-0000-0000-00005FAB0000}"/>
    <cellStyle name="Normal 12 5 2 2 7 2 2" xfId="28960" xr:uid="{00000000-0005-0000-0000-000060AB0000}"/>
    <cellStyle name="Normal 12 5 2 2 7 2 2 2" xfId="57966" xr:uid="{00000000-0005-0000-0000-000061AB0000}"/>
    <cellStyle name="Normal 12 5 2 2 7 2 3" xfId="43467" xr:uid="{00000000-0005-0000-0000-000062AB0000}"/>
    <cellStyle name="Normal 12 5 2 2 7 3" xfId="21712" xr:uid="{00000000-0005-0000-0000-000063AB0000}"/>
    <cellStyle name="Normal 12 5 2 2 7 3 2" xfId="50718" xr:uid="{00000000-0005-0000-0000-000064AB0000}"/>
    <cellStyle name="Normal 12 5 2 2 7 4" xfId="36219" xr:uid="{00000000-0005-0000-0000-000065AB0000}"/>
    <cellStyle name="Normal 12 5 2 2 8" xfId="8218" xr:uid="{00000000-0005-0000-0000-000066AB0000}"/>
    <cellStyle name="Normal 12 5 2 2 8 2" xfId="22752" xr:uid="{00000000-0005-0000-0000-000067AB0000}"/>
    <cellStyle name="Normal 12 5 2 2 8 2 2" xfId="51758" xr:uid="{00000000-0005-0000-0000-000068AB0000}"/>
    <cellStyle name="Normal 12 5 2 2 8 3" xfId="37259" xr:uid="{00000000-0005-0000-0000-000069AB0000}"/>
    <cellStyle name="Normal 12 5 2 2 9" xfId="15504" xr:uid="{00000000-0005-0000-0000-00006AAB0000}"/>
    <cellStyle name="Normal 12 5 2 2 9 2" xfId="44510" xr:uid="{00000000-0005-0000-0000-00006BAB0000}"/>
    <cellStyle name="Normal 12 5 2 3" xfId="1143" xr:uid="{00000000-0005-0000-0000-00006CAB0000}"/>
    <cellStyle name="Normal 12 5 2 3 2" xfId="1642" xr:uid="{00000000-0005-0000-0000-00006DAB0000}"/>
    <cellStyle name="Normal 12 5 2 3 2 2" xfId="2701" xr:uid="{00000000-0005-0000-0000-00006EAB0000}"/>
    <cellStyle name="Normal 12 5 2 3 2 2 2" xfId="5805" xr:uid="{00000000-0005-0000-0000-00006FAB0000}"/>
    <cellStyle name="Normal 12 5 2 3 2 2 2 2" xfId="13077" xr:uid="{00000000-0005-0000-0000-000070AB0000}"/>
    <cellStyle name="Normal 12 5 2 3 2 2 2 2 2" xfId="27611" xr:uid="{00000000-0005-0000-0000-000071AB0000}"/>
    <cellStyle name="Normal 12 5 2 3 2 2 2 2 2 2" xfId="56617" xr:uid="{00000000-0005-0000-0000-000072AB0000}"/>
    <cellStyle name="Normal 12 5 2 3 2 2 2 2 3" xfId="42118" xr:uid="{00000000-0005-0000-0000-000073AB0000}"/>
    <cellStyle name="Normal 12 5 2 3 2 2 2 3" xfId="20363" xr:uid="{00000000-0005-0000-0000-000074AB0000}"/>
    <cellStyle name="Normal 12 5 2 3 2 2 2 3 2" xfId="49369" xr:uid="{00000000-0005-0000-0000-000075AB0000}"/>
    <cellStyle name="Normal 12 5 2 3 2 2 2 4" xfId="34870" xr:uid="{00000000-0005-0000-0000-000076AB0000}"/>
    <cellStyle name="Normal 12 5 2 3 2 2 3" xfId="9973" xr:uid="{00000000-0005-0000-0000-000077AB0000}"/>
    <cellStyle name="Normal 12 5 2 3 2 2 3 2" xfId="24507" xr:uid="{00000000-0005-0000-0000-000078AB0000}"/>
    <cellStyle name="Normal 12 5 2 3 2 2 3 2 2" xfId="53513" xr:uid="{00000000-0005-0000-0000-000079AB0000}"/>
    <cellStyle name="Normal 12 5 2 3 2 2 3 3" xfId="39014" xr:uid="{00000000-0005-0000-0000-00007AAB0000}"/>
    <cellStyle name="Normal 12 5 2 3 2 2 4" xfId="17259" xr:uid="{00000000-0005-0000-0000-00007BAB0000}"/>
    <cellStyle name="Normal 12 5 2 3 2 2 4 2" xfId="46265" xr:uid="{00000000-0005-0000-0000-00007CAB0000}"/>
    <cellStyle name="Normal 12 5 2 3 2 2 5" xfId="31766" xr:uid="{00000000-0005-0000-0000-00007DAB0000}"/>
    <cellStyle name="Normal 12 5 2 3 2 3" xfId="3733" xr:uid="{00000000-0005-0000-0000-00007EAB0000}"/>
    <cellStyle name="Normal 12 5 2 3 2 3 2" xfId="6837" xr:uid="{00000000-0005-0000-0000-00007FAB0000}"/>
    <cellStyle name="Normal 12 5 2 3 2 3 2 2" xfId="14109" xr:uid="{00000000-0005-0000-0000-000080AB0000}"/>
    <cellStyle name="Normal 12 5 2 3 2 3 2 2 2" xfId="28643" xr:uid="{00000000-0005-0000-0000-000081AB0000}"/>
    <cellStyle name="Normal 12 5 2 3 2 3 2 2 2 2" xfId="57649" xr:uid="{00000000-0005-0000-0000-000082AB0000}"/>
    <cellStyle name="Normal 12 5 2 3 2 3 2 2 3" xfId="43150" xr:uid="{00000000-0005-0000-0000-000083AB0000}"/>
    <cellStyle name="Normal 12 5 2 3 2 3 2 3" xfId="21395" xr:uid="{00000000-0005-0000-0000-000084AB0000}"/>
    <cellStyle name="Normal 12 5 2 3 2 3 2 3 2" xfId="50401" xr:uid="{00000000-0005-0000-0000-000085AB0000}"/>
    <cellStyle name="Normal 12 5 2 3 2 3 2 4" xfId="35902" xr:uid="{00000000-0005-0000-0000-000086AB0000}"/>
    <cellStyle name="Normal 12 5 2 3 2 3 3" xfId="11005" xr:uid="{00000000-0005-0000-0000-000087AB0000}"/>
    <cellStyle name="Normal 12 5 2 3 2 3 3 2" xfId="25539" xr:uid="{00000000-0005-0000-0000-000088AB0000}"/>
    <cellStyle name="Normal 12 5 2 3 2 3 3 2 2" xfId="54545" xr:uid="{00000000-0005-0000-0000-000089AB0000}"/>
    <cellStyle name="Normal 12 5 2 3 2 3 3 3" xfId="40046" xr:uid="{00000000-0005-0000-0000-00008AAB0000}"/>
    <cellStyle name="Normal 12 5 2 3 2 3 4" xfId="18291" xr:uid="{00000000-0005-0000-0000-00008BAB0000}"/>
    <cellStyle name="Normal 12 5 2 3 2 3 4 2" xfId="47297" xr:uid="{00000000-0005-0000-0000-00008CAB0000}"/>
    <cellStyle name="Normal 12 5 2 3 2 3 5" xfId="32798" xr:uid="{00000000-0005-0000-0000-00008DAB0000}"/>
    <cellStyle name="Normal 12 5 2 3 2 4" xfId="4765" xr:uid="{00000000-0005-0000-0000-00008EAB0000}"/>
    <cellStyle name="Normal 12 5 2 3 2 4 2" xfId="12037" xr:uid="{00000000-0005-0000-0000-00008FAB0000}"/>
    <cellStyle name="Normal 12 5 2 3 2 4 2 2" xfId="26571" xr:uid="{00000000-0005-0000-0000-000090AB0000}"/>
    <cellStyle name="Normal 12 5 2 3 2 4 2 2 2" xfId="55577" xr:uid="{00000000-0005-0000-0000-000091AB0000}"/>
    <cellStyle name="Normal 12 5 2 3 2 4 2 3" xfId="41078" xr:uid="{00000000-0005-0000-0000-000092AB0000}"/>
    <cellStyle name="Normal 12 5 2 3 2 4 3" xfId="19323" xr:uid="{00000000-0005-0000-0000-000093AB0000}"/>
    <cellStyle name="Normal 12 5 2 3 2 4 3 2" xfId="48329" xr:uid="{00000000-0005-0000-0000-000094AB0000}"/>
    <cellStyle name="Normal 12 5 2 3 2 4 4" xfId="33830" xr:uid="{00000000-0005-0000-0000-000095AB0000}"/>
    <cellStyle name="Normal 12 5 2 3 2 5" xfId="7869" xr:uid="{00000000-0005-0000-0000-000096AB0000}"/>
    <cellStyle name="Normal 12 5 2 3 2 5 2" xfId="15141" xr:uid="{00000000-0005-0000-0000-000097AB0000}"/>
    <cellStyle name="Normal 12 5 2 3 2 5 2 2" xfId="29675" xr:uid="{00000000-0005-0000-0000-000098AB0000}"/>
    <cellStyle name="Normal 12 5 2 3 2 5 2 2 2" xfId="58681" xr:uid="{00000000-0005-0000-0000-000099AB0000}"/>
    <cellStyle name="Normal 12 5 2 3 2 5 2 3" xfId="44182" xr:uid="{00000000-0005-0000-0000-00009AAB0000}"/>
    <cellStyle name="Normal 12 5 2 3 2 5 3" xfId="22427" xr:uid="{00000000-0005-0000-0000-00009BAB0000}"/>
    <cellStyle name="Normal 12 5 2 3 2 5 3 2" xfId="51433" xr:uid="{00000000-0005-0000-0000-00009CAB0000}"/>
    <cellStyle name="Normal 12 5 2 3 2 5 4" xfId="36934" xr:uid="{00000000-0005-0000-0000-00009DAB0000}"/>
    <cellStyle name="Normal 12 5 2 3 2 6" xfId="8933" xr:uid="{00000000-0005-0000-0000-00009EAB0000}"/>
    <cellStyle name="Normal 12 5 2 3 2 6 2" xfId="23467" xr:uid="{00000000-0005-0000-0000-00009FAB0000}"/>
    <cellStyle name="Normal 12 5 2 3 2 6 2 2" xfId="52473" xr:uid="{00000000-0005-0000-0000-0000A0AB0000}"/>
    <cellStyle name="Normal 12 5 2 3 2 6 3" xfId="37974" xr:uid="{00000000-0005-0000-0000-0000A1AB0000}"/>
    <cellStyle name="Normal 12 5 2 3 2 7" xfId="16219" xr:uid="{00000000-0005-0000-0000-0000A2AB0000}"/>
    <cellStyle name="Normal 12 5 2 3 2 7 2" xfId="45225" xr:uid="{00000000-0005-0000-0000-0000A3AB0000}"/>
    <cellStyle name="Normal 12 5 2 3 2 8" xfId="30726" xr:uid="{00000000-0005-0000-0000-0000A4AB0000}"/>
    <cellStyle name="Normal 12 5 2 3 3" xfId="2189" xr:uid="{00000000-0005-0000-0000-0000A5AB0000}"/>
    <cellStyle name="Normal 12 5 2 3 3 2" xfId="5293" xr:uid="{00000000-0005-0000-0000-0000A6AB0000}"/>
    <cellStyle name="Normal 12 5 2 3 3 2 2" xfId="12565" xr:uid="{00000000-0005-0000-0000-0000A7AB0000}"/>
    <cellStyle name="Normal 12 5 2 3 3 2 2 2" xfId="27099" xr:uid="{00000000-0005-0000-0000-0000A8AB0000}"/>
    <cellStyle name="Normal 12 5 2 3 3 2 2 2 2" xfId="56105" xr:uid="{00000000-0005-0000-0000-0000A9AB0000}"/>
    <cellStyle name="Normal 12 5 2 3 3 2 2 3" xfId="41606" xr:uid="{00000000-0005-0000-0000-0000AAAB0000}"/>
    <cellStyle name="Normal 12 5 2 3 3 2 3" xfId="19851" xr:uid="{00000000-0005-0000-0000-0000ABAB0000}"/>
    <cellStyle name="Normal 12 5 2 3 3 2 3 2" xfId="48857" xr:uid="{00000000-0005-0000-0000-0000ACAB0000}"/>
    <cellStyle name="Normal 12 5 2 3 3 2 4" xfId="34358" xr:uid="{00000000-0005-0000-0000-0000ADAB0000}"/>
    <cellStyle name="Normal 12 5 2 3 3 3" xfId="9461" xr:uid="{00000000-0005-0000-0000-0000AEAB0000}"/>
    <cellStyle name="Normal 12 5 2 3 3 3 2" xfId="23995" xr:uid="{00000000-0005-0000-0000-0000AFAB0000}"/>
    <cellStyle name="Normal 12 5 2 3 3 3 2 2" xfId="53001" xr:uid="{00000000-0005-0000-0000-0000B0AB0000}"/>
    <cellStyle name="Normal 12 5 2 3 3 3 3" xfId="38502" xr:uid="{00000000-0005-0000-0000-0000B1AB0000}"/>
    <cellStyle name="Normal 12 5 2 3 3 4" xfId="16747" xr:uid="{00000000-0005-0000-0000-0000B2AB0000}"/>
    <cellStyle name="Normal 12 5 2 3 3 4 2" xfId="45753" xr:uid="{00000000-0005-0000-0000-0000B3AB0000}"/>
    <cellStyle name="Normal 12 5 2 3 3 5" xfId="31254" xr:uid="{00000000-0005-0000-0000-0000B4AB0000}"/>
    <cellStyle name="Normal 12 5 2 3 4" xfId="3221" xr:uid="{00000000-0005-0000-0000-0000B5AB0000}"/>
    <cellStyle name="Normal 12 5 2 3 4 2" xfId="6325" xr:uid="{00000000-0005-0000-0000-0000B6AB0000}"/>
    <cellStyle name="Normal 12 5 2 3 4 2 2" xfId="13597" xr:uid="{00000000-0005-0000-0000-0000B7AB0000}"/>
    <cellStyle name="Normal 12 5 2 3 4 2 2 2" xfId="28131" xr:uid="{00000000-0005-0000-0000-0000B8AB0000}"/>
    <cellStyle name="Normal 12 5 2 3 4 2 2 2 2" xfId="57137" xr:uid="{00000000-0005-0000-0000-0000B9AB0000}"/>
    <cellStyle name="Normal 12 5 2 3 4 2 2 3" xfId="42638" xr:uid="{00000000-0005-0000-0000-0000BAAB0000}"/>
    <cellStyle name="Normal 12 5 2 3 4 2 3" xfId="20883" xr:uid="{00000000-0005-0000-0000-0000BBAB0000}"/>
    <cellStyle name="Normal 12 5 2 3 4 2 3 2" xfId="49889" xr:uid="{00000000-0005-0000-0000-0000BCAB0000}"/>
    <cellStyle name="Normal 12 5 2 3 4 2 4" xfId="35390" xr:uid="{00000000-0005-0000-0000-0000BDAB0000}"/>
    <cellStyle name="Normal 12 5 2 3 4 3" xfId="10493" xr:uid="{00000000-0005-0000-0000-0000BEAB0000}"/>
    <cellStyle name="Normal 12 5 2 3 4 3 2" xfId="25027" xr:uid="{00000000-0005-0000-0000-0000BFAB0000}"/>
    <cellStyle name="Normal 12 5 2 3 4 3 2 2" xfId="54033" xr:uid="{00000000-0005-0000-0000-0000C0AB0000}"/>
    <cellStyle name="Normal 12 5 2 3 4 3 3" xfId="39534" xr:uid="{00000000-0005-0000-0000-0000C1AB0000}"/>
    <cellStyle name="Normal 12 5 2 3 4 4" xfId="17779" xr:uid="{00000000-0005-0000-0000-0000C2AB0000}"/>
    <cellStyle name="Normal 12 5 2 3 4 4 2" xfId="46785" xr:uid="{00000000-0005-0000-0000-0000C3AB0000}"/>
    <cellStyle name="Normal 12 5 2 3 4 5" xfId="32286" xr:uid="{00000000-0005-0000-0000-0000C4AB0000}"/>
    <cellStyle name="Normal 12 5 2 3 5" xfId="4253" xr:uid="{00000000-0005-0000-0000-0000C5AB0000}"/>
    <cellStyle name="Normal 12 5 2 3 5 2" xfId="11525" xr:uid="{00000000-0005-0000-0000-0000C6AB0000}"/>
    <cellStyle name="Normal 12 5 2 3 5 2 2" xfId="26059" xr:uid="{00000000-0005-0000-0000-0000C7AB0000}"/>
    <cellStyle name="Normal 12 5 2 3 5 2 2 2" xfId="55065" xr:uid="{00000000-0005-0000-0000-0000C8AB0000}"/>
    <cellStyle name="Normal 12 5 2 3 5 2 3" xfId="40566" xr:uid="{00000000-0005-0000-0000-0000C9AB0000}"/>
    <cellStyle name="Normal 12 5 2 3 5 3" xfId="18811" xr:uid="{00000000-0005-0000-0000-0000CAAB0000}"/>
    <cellStyle name="Normal 12 5 2 3 5 3 2" xfId="47817" xr:uid="{00000000-0005-0000-0000-0000CBAB0000}"/>
    <cellStyle name="Normal 12 5 2 3 5 4" xfId="33318" xr:uid="{00000000-0005-0000-0000-0000CCAB0000}"/>
    <cellStyle name="Normal 12 5 2 3 6" xfId="7357" xr:uid="{00000000-0005-0000-0000-0000CDAB0000}"/>
    <cellStyle name="Normal 12 5 2 3 6 2" xfId="14629" xr:uid="{00000000-0005-0000-0000-0000CEAB0000}"/>
    <cellStyle name="Normal 12 5 2 3 6 2 2" xfId="29163" xr:uid="{00000000-0005-0000-0000-0000CFAB0000}"/>
    <cellStyle name="Normal 12 5 2 3 6 2 2 2" xfId="58169" xr:uid="{00000000-0005-0000-0000-0000D0AB0000}"/>
    <cellStyle name="Normal 12 5 2 3 6 2 3" xfId="43670" xr:uid="{00000000-0005-0000-0000-0000D1AB0000}"/>
    <cellStyle name="Normal 12 5 2 3 6 3" xfId="21915" xr:uid="{00000000-0005-0000-0000-0000D2AB0000}"/>
    <cellStyle name="Normal 12 5 2 3 6 3 2" xfId="50921" xr:uid="{00000000-0005-0000-0000-0000D3AB0000}"/>
    <cellStyle name="Normal 12 5 2 3 6 4" xfId="36422" xr:uid="{00000000-0005-0000-0000-0000D4AB0000}"/>
    <cellStyle name="Normal 12 5 2 3 7" xfId="8421" xr:uid="{00000000-0005-0000-0000-0000D5AB0000}"/>
    <cellStyle name="Normal 12 5 2 3 7 2" xfId="22955" xr:uid="{00000000-0005-0000-0000-0000D6AB0000}"/>
    <cellStyle name="Normal 12 5 2 3 7 2 2" xfId="51961" xr:uid="{00000000-0005-0000-0000-0000D7AB0000}"/>
    <cellStyle name="Normal 12 5 2 3 7 3" xfId="37462" xr:uid="{00000000-0005-0000-0000-0000D8AB0000}"/>
    <cellStyle name="Normal 12 5 2 3 8" xfId="15707" xr:uid="{00000000-0005-0000-0000-0000D9AB0000}"/>
    <cellStyle name="Normal 12 5 2 3 8 2" xfId="44713" xr:uid="{00000000-0005-0000-0000-0000DAAB0000}"/>
    <cellStyle name="Normal 12 5 2 3 9" xfId="30214" xr:uid="{00000000-0005-0000-0000-0000DBAB0000}"/>
    <cellStyle name="Normal 12 5 2 4" xfId="1052" xr:uid="{00000000-0005-0000-0000-0000DCAB0000}"/>
    <cellStyle name="Normal 12 5 2 4 2" xfId="1543" xr:uid="{00000000-0005-0000-0000-0000DDAB0000}"/>
    <cellStyle name="Normal 12 5 2 4 2 2" xfId="2601" xr:uid="{00000000-0005-0000-0000-0000DEAB0000}"/>
    <cellStyle name="Normal 12 5 2 4 2 2 2" xfId="5705" xr:uid="{00000000-0005-0000-0000-0000DFAB0000}"/>
    <cellStyle name="Normal 12 5 2 4 2 2 2 2" xfId="12977" xr:uid="{00000000-0005-0000-0000-0000E0AB0000}"/>
    <cellStyle name="Normal 12 5 2 4 2 2 2 2 2" xfId="27511" xr:uid="{00000000-0005-0000-0000-0000E1AB0000}"/>
    <cellStyle name="Normal 12 5 2 4 2 2 2 2 2 2" xfId="56517" xr:uid="{00000000-0005-0000-0000-0000E2AB0000}"/>
    <cellStyle name="Normal 12 5 2 4 2 2 2 2 3" xfId="42018" xr:uid="{00000000-0005-0000-0000-0000E3AB0000}"/>
    <cellStyle name="Normal 12 5 2 4 2 2 2 3" xfId="20263" xr:uid="{00000000-0005-0000-0000-0000E4AB0000}"/>
    <cellStyle name="Normal 12 5 2 4 2 2 2 3 2" xfId="49269" xr:uid="{00000000-0005-0000-0000-0000E5AB0000}"/>
    <cellStyle name="Normal 12 5 2 4 2 2 2 4" xfId="34770" xr:uid="{00000000-0005-0000-0000-0000E6AB0000}"/>
    <cellStyle name="Normal 12 5 2 4 2 2 3" xfId="9873" xr:uid="{00000000-0005-0000-0000-0000E7AB0000}"/>
    <cellStyle name="Normal 12 5 2 4 2 2 3 2" xfId="24407" xr:uid="{00000000-0005-0000-0000-0000E8AB0000}"/>
    <cellStyle name="Normal 12 5 2 4 2 2 3 2 2" xfId="53413" xr:uid="{00000000-0005-0000-0000-0000E9AB0000}"/>
    <cellStyle name="Normal 12 5 2 4 2 2 3 3" xfId="38914" xr:uid="{00000000-0005-0000-0000-0000EAAB0000}"/>
    <cellStyle name="Normal 12 5 2 4 2 2 4" xfId="17159" xr:uid="{00000000-0005-0000-0000-0000EBAB0000}"/>
    <cellStyle name="Normal 12 5 2 4 2 2 4 2" xfId="46165" xr:uid="{00000000-0005-0000-0000-0000ECAB0000}"/>
    <cellStyle name="Normal 12 5 2 4 2 2 5" xfId="31666" xr:uid="{00000000-0005-0000-0000-0000EDAB0000}"/>
    <cellStyle name="Normal 12 5 2 4 2 3" xfId="3633" xr:uid="{00000000-0005-0000-0000-0000EEAB0000}"/>
    <cellStyle name="Normal 12 5 2 4 2 3 2" xfId="6737" xr:uid="{00000000-0005-0000-0000-0000EFAB0000}"/>
    <cellStyle name="Normal 12 5 2 4 2 3 2 2" xfId="14009" xr:uid="{00000000-0005-0000-0000-0000F0AB0000}"/>
    <cellStyle name="Normal 12 5 2 4 2 3 2 2 2" xfId="28543" xr:uid="{00000000-0005-0000-0000-0000F1AB0000}"/>
    <cellStyle name="Normal 12 5 2 4 2 3 2 2 2 2" xfId="57549" xr:uid="{00000000-0005-0000-0000-0000F2AB0000}"/>
    <cellStyle name="Normal 12 5 2 4 2 3 2 2 3" xfId="43050" xr:uid="{00000000-0005-0000-0000-0000F3AB0000}"/>
    <cellStyle name="Normal 12 5 2 4 2 3 2 3" xfId="21295" xr:uid="{00000000-0005-0000-0000-0000F4AB0000}"/>
    <cellStyle name="Normal 12 5 2 4 2 3 2 3 2" xfId="50301" xr:uid="{00000000-0005-0000-0000-0000F5AB0000}"/>
    <cellStyle name="Normal 12 5 2 4 2 3 2 4" xfId="35802" xr:uid="{00000000-0005-0000-0000-0000F6AB0000}"/>
    <cellStyle name="Normal 12 5 2 4 2 3 3" xfId="10905" xr:uid="{00000000-0005-0000-0000-0000F7AB0000}"/>
    <cellStyle name="Normal 12 5 2 4 2 3 3 2" xfId="25439" xr:uid="{00000000-0005-0000-0000-0000F8AB0000}"/>
    <cellStyle name="Normal 12 5 2 4 2 3 3 2 2" xfId="54445" xr:uid="{00000000-0005-0000-0000-0000F9AB0000}"/>
    <cellStyle name="Normal 12 5 2 4 2 3 3 3" xfId="39946" xr:uid="{00000000-0005-0000-0000-0000FAAB0000}"/>
    <cellStyle name="Normal 12 5 2 4 2 3 4" xfId="18191" xr:uid="{00000000-0005-0000-0000-0000FBAB0000}"/>
    <cellStyle name="Normal 12 5 2 4 2 3 4 2" xfId="47197" xr:uid="{00000000-0005-0000-0000-0000FCAB0000}"/>
    <cellStyle name="Normal 12 5 2 4 2 3 5" xfId="32698" xr:uid="{00000000-0005-0000-0000-0000FDAB0000}"/>
    <cellStyle name="Normal 12 5 2 4 2 4" xfId="4665" xr:uid="{00000000-0005-0000-0000-0000FEAB0000}"/>
    <cellStyle name="Normal 12 5 2 4 2 4 2" xfId="11937" xr:uid="{00000000-0005-0000-0000-0000FFAB0000}"/>
    <cellStyle name="Normal 12 5 2 4 2 4 2 2" xfId="26471" xr:uid="{00000000-0005-0000-0000-000000AC0000}"/>
    <cellStyle name="Normal 12 5 2 4 2 4 2 2 2" xfId="55477" xr:uid="{00000000-0005-0000-0000-000001AC0000}"/>
    <cellStyle name="Normal 12 5 2 4 2 4 2 3" xfId="40978" xr:uid="{00000000-0005-0000-0000-000002AC0000}"/>
    <cellStyle name="Normal 12 5 2 4 2 4 3" xfId="19223" xr:uid="{00000000-0005-0000-0000-000003AC0000}"/>
    <cellStyle name="Normal 12 5 2 4 2 4 3 2" xfId="48229" xr:uid="{00000000-0005-0000-0000-000004AC0000}"/>
    <cellStyle name="Normal 12 5 2 4 2 4 4" xfId="33730" xr:uid="{00000000-0005-0000-0000-000005AC0000}"/>
    <cellStyle name="Normal 12 5 2 4 2 5" xfId="7769" xr:uid="{00000000-0005-0000-0000-000006AC0000}"/>
    <cellStyle name="Normal 12 5 2 4 2 5 2" xfId="15041" xr:uid="{00000000-0005-0000-0000-000007AC0000}"/>
    <cellStyle name="Normal 12 5 2 4 2 5 2 2" xfId="29575" xr:uid="{00000000-0005-0000-0000-000008AC0000}"/>
    <cellStyle name="Normal 12 5 2 4 2 5 2 2 2" xfId="58581" xr:uid="{00000000-0005-0000-0000-000009AC0000}"/>
    <cellStyle name="Normal 12 5 2 4 2 5 2 3" xfId="44082" xr:uid="{00000000-0005-0000-0000-00000AAC0000}"/>
    <cellStyle name="Normal 12 5 2 4 2 5 3" xfId="22327" xr:uid="{00000000-0005-0000-0000-00000BAC0000}"/>
    <cellStyle name="Normal 12 5 2 4 2 5 3 2" xfId="51333" xr:uid="{00000000-0005-0000-0000-00000CAC0000}"/>
    <cellStyle name="Normal 12 5 2 4 2 5 4" xfId="36834" xr:uid="{00000000-0005-0000-0000-00000DAC0000}"/>
    <cellStyle name="Normal 12 5 2 4 2 6" xfId="8833" xr:uid="{00000000-0005-0000-0000-00000EAC0000}"/>
    <cellStyle name="Normal 12 5 2 4 2 6 2" xfId="23367" xr:uid="{00000000-0005-0000-0000-00000FAC0000}"/>
    <cellStyle name="Normal 12 5 2 4 2 6 2 2" xfId="52373" xr:uid="{00000000-0005-0000-0000-000010AC0000}"/>
    <cellStyle name="Normal 12 5 2 4 2 6 3" xfId="37874" xr:uid="{00000000-0005-0000-0000-000011AC0000}"/>
    <cellStyle name="Normal 12 5 2 4 2 7" xfId="16119" xr:uid="{00000000-0005-0000-0000-000012AC0000}"/>
    <cellStyle name="Normal 12 5 2 4 2 7 2" xfId="45125" xr:uid="{00000000-0005-0000-0000-000013AC0000}"/>
    <cellStyle name="Normal 12 5 2 4 2 8" xfId="30626" xr:uid="{00000000-0005-0000-0000-000014AC0000}"/>
    <cellStyle name="Normal 12 5 2 4 3" xfId="2089" xr:uid="{00000000-0005-0000-0000-000015AC0000}"/>
    <cellStyle name="Normal 12 5 2 4 3 2" xfId="5193" xr:uid="{00000000-0005-0000-0000-000016AC0000}"/>
    <cellStyle name="Normal 12 5 2 4 3 2 2" xfId="12465" xr:uid="{00000000-0005-0000-0000-000017AC0000}"/>
    <cellStyle name="Normal 12 5 2 4 3 2 2 2" xfId="26999" xr:uid="{00000000-0005-0000-0000-000018AC0000}"/>
    <cellStyle name="Normal 12 5 2 4 3 2 2 2 2" xfId="56005" xr:uid="{00000000-0005-0000-0000-000019AC0000}"/>
    <cellStyle name="Normal 12 5 2 4 3 2 2 3" xfId="41506" xr:uid="{00000000-0005-0000-0000-00001AAC0000}"/>
    <cellStyle name="Normal 12 5 2 4 3 2 3" xfId="19751" xr:uid="{00000000-0005-0000-0000-00001BAC0000}"/>
    <cellStyle name="Normal 12 5 2 4 3 2 3 2" xfId="48757" xr:uid="{00000000-0005-0000-0000-00001CAC0000}"/>
    <cellStyle name="Normal 12 5 2 4 3 2 4" xfId="34258" xr:uid="{00000000-0005-0000-0000-00001DAC0000}"/>
    <cellStyle name="Normal 12 5 2 4 3 3" xfId="9361" xr:uid="{00000000-0005-0000-0000-00001EAC0000}"/>
    <cellStyle name="Normal 12 5 2 4 3 3 2" xfId="23895" xr:uid="{00000000-0005-0000-0000-00001FAC0000}"/>
    <cellStyle name="Normal 12 5 2 4 3 3 2 2" xfId="52901" xr:uid="{00000000-0005-0000-0000-000020AC0000}"/>
    <cellStyle name="Normal 12 5 2 4 3 3 3" xfId="38402" xr:uid="{00000000-0005-0000-0000-000021AC0000}"/>
    <cellStyle name="Normal 12 5 2 4 3 4" xfId="16647" xr:uid="{00000000-0005-0000-0000-000022AC0000}"/>
    <cellStyle name="Normal 12 5 2 4 3 4 2" xfId="45653" xr:uid="{00000000-0005-0000-0000-000023AC0000}"/>
    <cellStyle name="Normal 12 5 2 4 3 5" xfId="31154" xr:uid="{00000000-0005-0000-0000-000024AC0000}"/>
    <cellStyle name="Normal 12 5 2 4 4" xfId="3121" xr:uid="{00000000-0005-0000-0000-000025AC0000}"/>
    <cellStyle name="Normal 12 5 2 4 4 2" xfId="6225" xr:uid="{00000000-0005-0000-0000-000026AC0000}"/>
    <cellStyle name="Normal 12 5 2 4 4 2 2" xfId="13497" xr:uid="{00000000-0005-0000-0000-000027AC0000}"/>
    <cellStyle name="Normal 12 5 2 4 4 2 2 2" xfId="28031" xr:uid="{00000000-0005-0000-0000-000028AC0000}"/>
    <cellStyle name="Normal 12 5 2 4 4 2 2 2 2" xfId="57037" xr:uid="{00000000-0005-0000-0000-000029AC0000}"/>
    <cellStyle name="Normal 12 5 2 4 4 2 2 3" xfId="42538" xr:uid="{00000000-0005-0000-0000-00002AAC0000}"/>
    <cellStyle name="Normal 12 5 2 4 4 2 3" xfId="20783" xr:uid="{00000000-0005-0000-0000-00002BAC0000}"/>
    <cellStyle name="Normal 12 5 2 4 4 2 3 2" xfId="49789" xr:uid="{00000000-0005-0000-0000-00002CAC0000}"/>
    <cellStyle name="Normal 12 5 2 4 4 2 4" xfId="35290" xr:uid="{00000000-0005-0000-0000-00002DAC0000}"/>
    <cellStyle name="Normal 12 5 2 4 4 3" xfId="10393" xr:uid="{00000000-0005-0000-0000-00002EAC0000}"/>
    <cellStyle name="Normal 12 5 2 4 4 3 2" xfId="24927" xr:uid="{00000000-0005-0000-0000-00002FAC0000}"/>
    <cellStyle name="Normal 12 5 2 4 4 3 2 2" xfId="53933" xr:uid="{00000000-0005-0000-0000-000030AC0000}"/>
    <cellStyle name="Normal 12 5 2 4 4 3 3" xfId="39434" xr:uid="{00000000-0005-0000-0000-000031AC0000}"/>
    <cellStyle name="Normal 12 5 2 4 4 4" xfId="17679" xr:uid="{00000000-0005-0000-0000-000032AC0000}"/>
    <cellStyle name="Normal 12 5 2 4 4 4 2" xfId="46685" xr:uid="{00000000-0005-0000-0000-000033AC0000}"/>
    <cellStyle name="Normal 12 5 2 4 4 5" xfId="32186" xr:uid="{00000000-0005-0000-0000-000034AC0000}"/>
    <cellStyle name="Normal 12 5 2 4 5" xfId="4153" xr:uid="{00000000-0005-0000-0000-000035AC0000}"/>
    <cellStyle name="Normal 12 5 2 4 5 2" xfId="11425" xr:uid="{00000000-0005-0000-0000-000036AC0000}"/>
    <cellStyle name="Normal 12 5 2 4 5 2 2" xfId="25959" xr:uid="{00000000-0005-0000-0000-000037AC0000}"/>
    <cellStyle name="Normal 12 5 2 4 5 2 2 2" xfId="54965" xr:uid="{00000000-0005-0000-0000-000038AC0000}"/>
    <cellStyle name="Normal 12 5 2 4 5 2 3" xfId="40466" xr:uid="{00000000-0005-0000-0000-000039AC0000}"/>
    <cellStyle name="Normal 12 5 2 4 5 3" xfId="18711" xr:uid="{00000000-0005-0000-0000-00003AAC0000}"/>
    <cellStyle name="Normal 12 5 2 4 5 3 2" xfId="47717" xr:uid="{00000000-0005-0000-0000-00003BAC0000}"/>
    <cellStyle name="Normal 12 5 2 4 5 4" xfId="33218" xr:uid="{00000000-0005-0000-0000-00003CAC0000}"/>
    <cellStyle name="Normal 12 5 2 4 6" xfId="7257" xr:uid="{00000000-0005-0000-0000-00003DAC0000}"/>
    <cellStyle name="Normal 12 5 2 4 6 2" xfId="14529" xr:uid="{00000000-0005-0000-0000-00003EAC0000}"/>
    <cellStyle name="Normal 12 5 2 4 6 2 2" xfId="29063" xr:uid="{00000000-0005-0000-0000-00003FAC0000}"/>
    <cellStyle name="Normal 12 5 2 4 6 2 2 2" xfId="58069" xr:uid="{00000000-0005-0000-0000-000040AC0000}"/>
    <cellStyle name="Normal 12 5 2 4 6 2 3" xfId="43570" xr:uid="{00000000-0005-0000-0000-000041AC0000}"/>
    <cellStyle name="Normal 12 5 2 4 6 3" xfId="21815" xr:uid="{00000000-0005-0000-0000-000042AC0000}"/>
    <cellStyle name="Normal 12 5 2 4 6 3 2" xfId="50821" xr:uid="{00000000-0005-0000-0000-000043AC0000}"/>
    <cellStyle name="Normal 12 5 2 4 6 4" xfId="36322" xr:uid="{00000000-0005-0000-0000-000044AC0000}"/>
    <cellStyle name="Normal 12 5 2 4 7" xfId="8321" xr:uid="{00000000-0005-0000-0000-000045AC0000}"/>
    <cellStyle name="Normal 12 5 2 4 7 2" xfId="22855" xr:uid="{00000000-0005-0000-0000-000046AC0000}"/>
    <cellStyle name="Normal 12 5 2 4 7 2 2" xfId="51861" xr:uid="{00000000-0005-0000-0000-000047AC0000}"/>
    <cellStyle name="Normal 12 5 2 4 7 3" xfId="37362" xr:uid="{00000000-0005-0000-0000-000048AC0000}"/>
    <cellStyle name="Normal 12 5 2 4 8" xfId="15607" xr:uid="{00000000-0005-0000-0000-000049AC0000}"/>
    <cellStyle name="Normal 12 5 2 4 8 2" xfId="44613" xr:uid="{00000000-0005-0000-0000-00004AAC0000}"/>
    <cellStyle name="Normal 12 5 2 4 9" xfId="30114" xr:uid="{00000000-0005-0000-0000-00004BAC0000}"/>
    <cellStyle name="Normal 12 5 2 5" xfId="1338" xr:uid="{00000000-0005-0000-0000-00004CAC0000}"/>
    <cellStyle name="Normal 12 5 2 5 2" xfId="2395" xr:uid="{00000000-0005-0000-0000-00004DAC0000}"/>
    <cellStyle name="Normal 12 5 2 5 2 2" xfId="5499" xr:uid="{00000000-0005-0000-0000-00004EAC0000}"/>
    <cellStyle name="Normal 12 5 2 5 2 2 2" xfId="12771" xr:uid="{00000000-0005-0000-0000-00004FAC0000}"/>
    <cellStyle name="Normal 12 5 2 5 2 2 2 2" xfId="27305" xr:uid="{00000000-0005-0000-0000-000050AC0000}"/>
    <cellStyle name="Normal 12 5 2 5 2 2 2 2 2" xfId="56311" xr:uid="{00000000-0005-0000-0000-000051AC0000}"/>
    <cellStyle name="Normal 12 5 2 5 2 2 2 3" xfId="41812" xr:uid="{00000000-0005-0000-0000-000052AC0000}"/>
    <cellStyle name="Normal 12 5 2 5 2 2 3" xfId="20057" xr:uid="{00000000-0005-0000-0000-000053AC0000}"/>
    <cellStyle name="Normal 12 5 2 5 2 2 3 2" xfId="49063" xr:uid="{00000000-0005-0000-0000-000054AC0000}"/>
    <cellStyle name="Normal 12 5 2 5 2 2 4" xfId="34564" xr:uid="{00000000-0005-0000-0000-000055AC0000}"/>
    <cellStyle name="Normal 12 5 2 5 2 3" xfId="9667" xr:uid="{00000000-0005-0000-0000-000056AC0000}"/>
    <cellStyle name="Normal 12 5 2 5 2 3 2" xfId="24201" xr:uid="{00000000-0005-0000-0000-000057AC0000}"/>
    <cellStyle name="Normal 12 5 2 5 2 3 2 2" xfId="53207" xr:uid="{00000000-0005-0000-0000-000058AC0000}"/>
    <cellStyle name="Normal 12 5 2 5 2 3 3" xfId="38708" xr:uid="{00000000-0005-0000-0000-000059AC0000}"/>
    <cellStyle name="Normal 12 5 2 5 2 4" xfId="16953" xr:uid="{00000000-0005-0000-0000-00005AAC0000}"/>
    <cellStyle name="Normal 12 5 2 5 2 4 2" xfId="45959" xr:uid="{00000000-0005-0000-0000-00005BAC0000}"/>
    <cellStyle name="Normal 12 5 2 5 2 5" xfId="31460" xr:uid="{00000000-0005-0000-0000-00005CAC0000}"/>
    <cellStyle name="Normal 12 5 2 5 3" xfId="3427" xr:uid="{00000000-0005-0000-0000-00005DAC0000}"/>
    <cellStyle name="Normal 12 5 2 5 3 2" xfId="6531" xr:uid="{00000000-0005-0000-0000-00005EAC0000}"/>
    <cellStyle name="Normal 12 5 2 5 3 2 2" xfId="13803" xr:uid="{00000000-0005-0000-0000-00005FAC0000}"/>
    <cellStyle name="Normal 12 5 2 5 3 2 2 2" xfId="28337" xr:uid="{00000000-0005-0000-0000-000060AC0000}"/>
    <cellStyle name="Normal 12 5 2 5 3 2 2 2 2" xfId="57343" xr:uid="{00000000-0005-0000-0000-000061AC0000}"/>
    <cellStyle name="Normal 12 5 2 5 3 2 2 3" xfId="42844" xr:uid="{00000000-0005-0000-0000-000062AC0000}"/>
    <cellStyle name="Normal 12 5 2 5 3 2 3" xfId="21089" xr:uid="{00000000-0005-0000-0000-000063AC0000}"/>
    <cellStyle name="Normal 12 5 2 5 3 2 3 2" xfId="50095" xr:uid="{00000000-0005-0000-0000-000064AC0000}"/>
    <cellStyle name="Normal 12 5 2 5 3 2 4" xfId="35596" xr:uid="{00000000-0005-0000-0000-000065AC0000}"/>
    <cellStyle name="Normal 12 5 2 5 3 3" xfId="10699" xr:uid="{00000000-0005-0000-0000-000066AC0000}"/>
    <cellStyle name="Normal 12 5 2 5 3 3 2" xfId="25233" xr:uid="{00000000-0005-0000-0000-000067AC0000}"/>
    <cellStyle name="Normal 12 5 2 5 3 3 2 2" xfId="54239" xr:uid="{00000000-0005-0000-0000-000068AC0000}"/>
    <cellStyle name="Normal 12 5 2 5 3 3 3" xfId="39740" xr:uid="{00000000-0005-0000-0000-000069AC0000}"/>
    <cellStyle name="Normal 12 5 2 5 3 4" xfId="17985" xr:uid="{00000000-0005-0000-0000-00006AAC0000}"/>
    <cellStyle name="Normal 12 5 2 5 3 4 2" xfId="46991" xr:uid="{00000000-0005-0000-0000-00006BAC0000}"/>
    <cellStyle name="Normal 12 5 2 5 3 5" xfId="32492" xr:uid="{00000000-0005-0000-0000-00006CAC0000}"/>
    <cellStyle name="Normal 12 5 2 5 4" xfId="4459" xr:uid="{00000000-0005-0000-0000-00006DAC0000}"/>
    <cellStyle name="Normal 12 5 2 5 4 2" xfId="11731" xr:uid="{00000000-0005-0000-0000-00006EAC0000}"/>
    <cellStyle name="Normal 12 5 2 5 4 2 2" xfId="26265" xr:uid="{00000000-0005-0000-0000-00006FAC0000}"/>
    <cellStyle name="Normal 12 5 2 5 4 2 2 2" xfId="55271" xr:uid="{00000000-0005-0000-0000-000070AC0000}"/>
    <cellStyle name="Normal 12 5 2 5 4 2 3" xfId="40772" xr:uid="{00000000-0005-0000-0000-000071AC0000}"/>
    <cellStyle name="Normal 12 5 2 5 4 3" xfId="19017" xr:uid="{00000000-0005-0000-0000-000072AC0000}"/>
    <cellStyle name="Normal 12 5 2 5 4 3 2" xfId="48023" xr:uid="{00000000-0005-0000-0000-000073AC0000}"/>
    <cellStyle name="Normal 12 5 2 5 4 4" xfId="33524" xr:uid="{00000000-0005-0000-0000-000074AC0000}"/>
    <cellStyle name="Normal 12 5 2 5 5" xfId="7563" xr:uid="{00000000-0005-0000-0000-000075AC0000}"/>
    <cellStyle name="Normal 12 5 2 5 5 2" xfId="14835" xr:uid="{00000000-0005-0000-0000-000076AC0000}"/>
    <cellStyle name="Normal 12 5 2 5 5 2 2" xfId="29369" xr:uid="{00000000-0005-0000-0000-000077AC0000}"/>
    <cellStyle name="Normal 12 5 2 5 5 2 2 2" xfId="58375" xr:uid="{00000000-0005-0000-0000-000078AC0000}"/>
    <cellStyle name="Normal 12 5 2 5 5 2 3" xfId="43876" xr:uid="{00000000-0005-0000-0000-000079AC0000}"/>
    <cellStyle name="Normal 12 5 2 5 5 3" xfId="22121" xr:uid="{00000000-0005-0000-0000-00007AAC0000}"/>
    <cellStyle name="Normal 12 5 2 5 5 3 2" xfId="51127" xr:uid="{00000000-0005-0000-0000-00007BAC0000}"/>
    <cellStyle name="Normal 12 5 2 5 5 4" xfId="36628" xr:uid="{00000000-0005-0000-0000-00007CAC0000}"/>
    <cellStyle name="Normal 12 5 2 5 6" xfId="8627" xr:uid="{00000000-0005-0000-0000-00007DAC0000}"/>
    <cellStyle name="Normal 12 5 2 5 6 2" xfId="23161" xr:uid="{00000000-0005-0000-0000-00007EAC0000}"/>
    <cellStyle name="Normal 12 5 2 5 6 2 2" xfId="52167" xr:uid="{00000000-0005-0000-0000-00007FAC0000}"/>
    <cellStyle name="Normal 12 5 2 5 6 3" xfId="37668" xr:uid="{00000000-0005-0000-0000-000080AC0000}"/>
    <cellStyle name="Normal 12 5 2 5 7" xfId="15913" xr:uid="{00000000-0005-0000-0000-000081AC0000}"/>
    <cellStyle name="Normal 12 5 2 5 7 2" xfId="44919" xr:uid="{00000000-0005-0000-0000-000082AC0000}"/>
    <cellStyle name="Normal 12 5 2 5 8" xfId="30420" xr:uid="{00000000-0005-0000-0000-000083AC0000}"/>
    <cellStyle name="Normal 12 5 2 6" xfId="1883" xr:uid="{00000000-0005-0000-0000-000084AC0000}"/>
    <cellStyle name="Normal 12 5 2 6 2" xfId="4987" xr:uid="{00000000-0005-0000-0000-000085AC0000}"/>
    <cellStyle name="Normal 12 5 2 6 2 2" xfId="12259" xr:uid="{00000000-0005-0000-0000-000086AC0000}"/>
    <cellStyle name="Normal 12 5 2 6 2 2 2" xfId="26793" xr:uid="{00000000-0005-0000-0000-000087AC0000}"/>
    <cellStyle name="Normal 12 5 2 6 2 2 2 2" xfId="55799" xr:uid="{00000000-0005-0000-0000-000088AC0000}"/>
    <cellStyle name="Normal 12 5 2 6 2 2 3" xfId="41300" xr:uid="{00000000-0005-0000-0000-000089AC0000}"/>
    <cellStyle name="Normal 12 5 2 6 2 3" xfId="19545" xr:uid="{00000000-0005-0000-0000-00008AAC0000}"/>
    <cellStyle name="Normal 12 5 2 6 2 3 2" xfId="48551" xr:uid="{00000000-0005-0000-0000-00008BAC0000}"/>
    <cellStyle name="Normal 12 5 2 6 2 4" xfId="34052" xr:uid="{00000000-0005-0000-0000-00008CAC0000}"/>
    <cellStyle name="Normal 12 5 2 6 3" xfId="9155" xr:uid="{00000000-0005-0000-0000-00008DAC0000}"/>
    <cellStyle name="Normal 12 5 2 6 3 2" xfId="23689" xr:uid="{00000000-0005-0000-0000-00008EAC0000}"/>
    <cellStyle name="Normal 12 5 2 6 3 2 2" xfId="52695" xr:uid="{00000000-0005-0000-0000-00008FAC0000}"/>
    <cellStyle name="Normal 12 5 2 6 3 3" xfId="38196" xr:uid="{00000000-0005-0000-0000-000090AC0000}"/>
    <cellStyle name="Normal 12 5 2 6 4" xfId="16441" xr:uid="{00000000-0005-0000-0000-000091AC0000}"/>
    <cellStyle name="Normal 12 5 2 6 4 2" xfId="45447" xr:uid="{00000000-0005-0000-0000-000092AC0000}"/>
    <cellStyle name="Normal 12 5 2 6 5" xfId="30948" xr:uid="{00000000-0005-0000-0000-000093AC0000}"/>
    <cellStyle name="Normal 12 5 2 7" xfId="2915" xr:uid="{00000000-0005-0000-0000-000094AC0000}"/>
    <cellStyle name="Normal 12 5 2 7 2" xfId="6019" xr:uid="{00000000-0005-0000-0000-000095AC0000}"/>
    <cellStyle name="Normal 12 5 2 7 2 2" xfId="13291" xr:uid="{00000000-0005-0000-0000-000096AC0000}"/>
    <cellStyle name="Normal 12 5 2 7 2 2 2" xfId="27825" xr:uid="{00000000-0005-0000-0000-000097AC0000}"/>
    <cellStyle name="Normal 12 5 2 7 2 2 2 2" xfId="56831" xr:uid="{00000000-0005-0000-0000-000098AC0000}"/>
    <cellStyle name="Normal 12 5 2 7 2 2 3" xfId="42332" xr:uid="{00000000-0005-0000-0000-000099AC0000}"/>
    <cellStyle name="Normal 12 5 2 7 2 3" xfId="20577" xr:uid="{00000000-0005-0000-0000-00009AAC0000}"/>
    <cellStyle name="Normal 12 5 2 7 2 3 2" xfId="49583" xr:uid="{00000000-0005-0000-0000-00009BAC0000}"/>
    <cellStyle name="Normal 12 5 2 7 2 4" xfId="35084" xr:uid="{00000000-0005-0000-0000-00009CAC0000}"/>
    <cellStyle name="Normal 12 5 2 7 3" xfId="10187" xr:uid="{00000000-0005-0000-0000-00009DAC0000}"/>
    <cellStyle name="Normal 12 5 2 7 3 2" xfId="24721" xr:uid="{00000000-0005-0000-0000-00009EAC0000}"/>
    <cellStyle name="Normal 12 5 2 7 3 2 2" xfId="53727" xr:uid="{00000000-0005-0000-0000-00009FAC0000}"/>
    <cellStyle name="Normal 12 5 2 7 3 3" xfId="39228" xr:uid="{00000000-0005-0000-0000-0000A0AC0000}"/>
    <cellStyle name="Normal 12 5 2 7 4" xfId="17473" xr:uid="{00000000-0005-0000-0000-0000A1AC0000}"/>
    <cellStyle name="Normal 12 5 2 7 4 2" xfId="46479" xr:uid="{00000000-0005-0000-0000-0000A2AC0000}"/>
    <cellStyle name="Normal 12 5 2 7 5" xfId="31980" xr:uid="{00000000-0005-0000-0000-0000A3AC0000}"/>
    <cellStyle name="Normal 12 5 2 8" xfId="3947" xr:uid="{00000000-0005-0000-0000-0000A4AC0000}"/>
    <cellStyle name="Normal 12 5 2 8 2" xfId="11219" xr:uid="{00000000-0005-0000-0000-0000A5AC0000}"/>
    <cellStyle name="Normal 12 5 2 8 2 2" xfId="25753" xr:uid="{00000000-0005-0000-0000-0000A6AC0000}"/>
    <cellStyle name="Normal 12 5 2 8 2 2 2" xfId="54759" xr:uid="{00000000-0005-0000-0000-0000A7AC0000}"/>
    <cellStyle name="Normal 12 5 2 8 2 3" xfId="40260" xr:uid="{00000000-0005-0000-0000-0000A8AC0000}"/>
    <cellStyle name="Normal 12 5 2 8 3" xfId="18505" xr:uid="{00000000-0005-0000-0000-0000A9AC0000}"/>
    <cellStyle name="Normal 12 5 2 8 3 2" xfId="47511" xr:uid="{00000000-0005-0000-0000-0000AAAC0000}"/>
    <cellStyle name="Normal 12 5 2 8 4" xfId="33012" xr:uid="{00000000-0005-0000-0000-0000ABAC0000}"/>
    <cellStyle name="Normal 12 5 2 9" xfId="7051" xr:uid="{00000000-0005-0000-0000-0000ACAC0000}"/>
    <cellStyle name="Normal 12 5 2 9 2" xfId="14323" xr:uid="{00000000-0005-0000-0000-0000ADAC0000}"/>
    <cellStyle name="Normal 12 5 2 9 2 2" xfId="28857" xr:uid="{00000000-0005-0000-0000-0000AEAC0000}"/>
    <cellStyle name="Normal 12 5 2 9 2 2 2" xfId="57863" xr:uid="{00000000-0005-0000-0000-0000AFAC0000}"/>
    <cellStyle name="Normal 12 5 2 9 2 3" xfId="43364" xr:uid="{00000000-0005-0000-0000-0000B0AC0000}"/>
    <cellStyle name="Normal 12 5 2 9 3" xfId="21609" xr:uid="{00000000-0005-0000-0000-0000B1AC0000}"/>
    <cellStyle name="Normal 12 5 2 9 3 2" xfId="50615" xr:uid="{00000000-0005-0000-0000-0000B2AC0000}"/>
    <cellStyle name="Normal 12 5 2 9 4" xfId="36116" xr:uid="{00000000-0005-0000-0000-0000B3AC0000}"/>
    <cellStyle name="Normal 12 5 3" xfId="920" xr:uid="{00000000-0005-0000-0000-0000B4AC0000}"/>
    <cellStyle name="Normal 12 5 3 10" xfId="29959" xr:uid="{00000000-0005-0000-0000-0000B5AC0000}"/>
    <cellStyle name="Normal 12 5 3 2" xfId="1190" xr:uid="{00000000-0005-0000-0000-0000B6AC0000}"/>
    <cellStyle name="Normal 12 5 3 2 2" xfId="1693" xr:uid="{00000000-0005-0000-0000-0000B7AC0000}"/>
    <cellStyle name="Normal 12 5 3 2 2 2" xfId="2752" xr:uid="{00000000-0005-0000-0000-0000B8AC0000}"/>
    <cellStyle name="Normal 12 5 3 2 2 2 2" xfId="5856" xr:uid="{00000000-0005-0000-0000-0000B9AC0000}"/>
    <cellStyle name="Normal 12 5 3 2 2 2 2 2" xfId="13128" xr:uid="{00000000-0005-0000-0000-0000BAAC0000}"/>
    <cellStyle name="Normal 12 5 3 2 2 2 2 2 2" xfId="27662" xr:uid="{00000000-0005-0000-0000-0000BBAC0000}"/>
    <cellStyle name="Normal 12 5 3 2 2 2 2 2 2 2" xfId="56668" xr:uid="{00000000-0005-0000-0000-0000BCAC0000}"/>
    <cellStyle name="Normal 12 5 3 2 2 2 2 2 3" xfId="42169" xr:uid="{00000000-0005-0000-0000-0000BDAC0000}"/>
    <cellStyle name="Normal 12 5 3 2 2 2 2 3" xfId="20414" xr:uid="{00000000-0005-0000-0000-0000BEAC0000}"/>
    <cellStyle name="Normal 12 5 3 2 2 2 2 3 2" xfId="49420" xr:uid="{00000000-0005-0000-0000-0000BFAC0000}"/>
    <cellStyle name="Normal 12 5 3 2 2 2 2 4" xfId="34921" xr:uid="{00000000-0005-0000-0000-0000C0AC0000}"/>
    <cellStyle name="Normal 12 5 3 2 2 2 3" xfId="10024" xr:uid="{00000000-0005-0000-0000-0000C1AC0000}"/>
    <cellStyle name="Normal 12 5 3 2 2 2 3 2" xfId="24558" xr:uid="{00000000-0005-0000-0000-0000C2AC0000}"/>
    <cellStyle name="Normal 12 5 3 2 2 2 3 2 2" xfId="53564" xr:uid="{00000000-0005-0000-0000-0000C3AC0000}"/>
    <cellStyle name="Normal 12 5 3 2 2 2 3 3" xfId="39065" xr:uid="{00000000-0005-0000-0000-0000C4AC0000}"/>
    <cellStyle name="Normal 12 5 3 2 2 2 4" xfId="17310" xr:uid="{00000000-0005-0000-0000-0000C5AC0000}"/>
    <cellStyle name="Normal 12 5 3 2 2 2 4 2" xfId="46316" xr:uid="{00000000-0005-0000-0000-0000C6AC0000}"/>
    <cellStyle name="Normal 12 5 3 2 2 2 5" xfId="31817" xr:uid="{00000000-0005-0000-0000-0000C7AC0000}"/>
    <cellStyle name="Normal 12 5 3 2 2 3" xfId="3784" xr:uid="{00000000-0005-0000-0000-0000C8AC0000}"/>
    <cellStyle name="Normal 12 5 3 2 2 3 2" xfId="6888" xr:uid="{00000000-0005-0000-0000-0000C9AC0000}"/>
    <cellStyle name="Normal 12 5 3 2 2 3 2 2" xfId="14160" xr:uid="{00000000-0005-0000-0000-0000CAAC0000}"/>
    <cellStyle name="Normal 12 5 3 2 2 3 2 2 2" xfId="28694" xr:uid="{00000000-0005-0000-0000-0000CBAC0000}"/>
    <cellStyle name="Normal 12 5 3 2 2 3 2 2 2 2" xfId="57700" xr:uid="{00000000-0005-0000-0000-0000CCAC0000}"/>
    <cellStyle name="Normal 12 5 3 2 2 3 2 2 3" xfId="43201" xr:uid="{00000000-0005-0000-0000-0000CDAC0000}"/>
    <cellStyle name="Normal 12 5 3 2 2 3 2 3" xfId="21446" xr:uid="{00000000-0005-0000-0000-0000CEAC0000}"/>
    <cellStyle name="Normal 12 5 3 2 2 3 2 3 2" xfId="50452" xr:uid="{00000000-0005-0000-0000-0000CFAC0000}"/>
    <cellStyle name="Normal 12 5 3 2 2 3 2 4" xfId="35953" xr:uid="{00000000-0005-0000-0000-0000D0AC0000}"/>
    <cellStyle name="Normal 12 5 3 2 2 3 3" xfId="11056" xr:uid="{00000000-0005-0000-0000-0000D1AC0000}"/>
    <cellStyle name="Normal 12 5 3 2 2 3 3 2" xfId="25590" xr:uid="{00000000-0005-0000-0000-0000D2AC0000}"/>
    <cellStyle name="Normal 12 5 3 2 2 3 3 2 2" xfId="54596" xr:uid="{00000000-0005-0000-0000-0000D3AC0000}"/>
    <cellStyle name="Normal 12 5 3 2 2 3 3 3" xfId="40097" xr:uid="{00000000-0005-0000-0000-0000D4AC0000}"/>
    <cellStyle name="Normal 12 5 3 2 2 3 4" xfId="18342" xr:uid="{00000000-0005-0000-0000-0000D5AC0000}"/>
    <cellStyle name="Normal 12 5 3 2 2 3 4 2" xfId="47348" xr:uid="{00000000-0005-0000-0000-0000D6AC0000}"/>
    <cellStyle name="Normal 12 5 3 2 2 3 5" xfId="32849" xr:uid="{00000000-0005-0000-0000-0000D7AC0000}"/>
    <cellStyle name="Normal 12 5 3 2 2 4" xfId="4816" xr:uid="{00000000-0005-0000-0000-0000D8AC0000}"/>
    <cellStyle name="Normal 12 5 3 2 2 4 2" xfId="12088" xr:uid="{00000000-0005-0000-0000-0000D9AC0000}"/>
    <cellStyle name="Normal 12 5 3 2 2 4 2 2" xfId="26622" xr:uid="{00000000-0005-0000-0000-0000DAAC0000}"/>
    <cellStyle name="Normal 12 5 3 2 2 4 2 2 2" xfId="55628" xr:uid="{00000000-0005-0000-0000-0000DBAC0000}"/>
    <cellStyle name="Normal 12 5 3 2 2 4 2 3" xfId="41129" xr:uid="{00000000-0005-0000-0000-0000DCAC0000}"/>
    <cellStyle name="Normal 12 5 3 2 2 4 3" xfId="19374" xr:uid="{00000000-0005-0000-0000-0000DDAC0000}"/>
    <cellStyle name="Normal 12 5 3 2 2 4 3 2" xfId="48380" xr:uid="{00000000-0005-0000-0000-0000DEAC0000}"/>
    <cellStyle name="Normal 12 5 3 2 2 4 4" xfId="33881" xr:uid="{00000000-0005-0000-0000-0000DFAC0000}"/>
    <cellStyle name="Normal 12 5 3 2 2 5" xfId="7920" xr:uid="{00000000-0005-0000-0000-0000E0AC0000}"/>
    <cellStyle name="Normal 12 5 3 2 2 5 2" xfId="15192" xr:uid="{00000000-0005-0000-0000-0000E1AC0000}"/>
    <cellStyle name="Normal 12 5 3 2 2 5 2 2" xfId="29726" xr:uid="{00000000-0005-0000-0000-0000E2AC0000}"/>
    <cellStyle name="Normal 12 5 3 2 2 5 2 2 2" xfId="58732" xr:uid="{00000000-0005-0000-0000-0000E3AC0000}"/>
    <cellStyle name="Normal 12 5 3 2 2 5 2 3" xfId="44233" xr:uid="{00000000-0005-0000-0000-0000E4AC0000}"/>
    <cellStyle name="Normal 12 5 3 2 2 5 3" xfId="22478" xr:uid="{00000000-0005-0000-0000-0000E5AC0000}"/>
    <cellStyle name="Normal 12 5 3 2 2 5 3 2" xfId="51484" xr:uid="{00000000-0005-0000-0000-0000E6AC0000}"/>
    <cellStyle name="Normal 12 5 3 2 2 5 4" xfId="36985" xr:uid="{00000000-0005-0000-0000-0000E7AC0000}"/>
    <cellStyle name="Normal 12 5 3 2 2 6" xfId="8984" xr:uid="{00000000-0005-0000-0000-0000E8AC0000}"/>
    <cellStyle name="Normal 12 5 3 2 2 6 2" xfId="23518" xr:uid="{00000000-0005-0000-0000-0000E9AC0000}"/>
    <cellStyle name="Normal 12 5 3 2 2 6 2 2" xfId="52524" xr:uid="{00000000-0005-0000-0000-0000EAAC0000}"/>
    <cellStyle name="Normal 12 5 3 2 2 6 3" xfId="38025" xr:uid="{00000000-0005-0000-0000-0000EBAC0000}"/>
    <cellStyle name="Normal 12 5 3 2 2 7" xfId="16270" xr:uid="{00000000-0005-0000-0000-0000ECAC0000}"/>
    <cellStyle name="Normal 12 5 3 2 2 7 2" xfId="45276" xr:uid="{00000000-0005-0000-0000-0000EDAC0000}"/>
    <cellStyle name="Normal 12 5 3 2 2 8" xfId="30777" xr:uid="{00000000-0005-0000-0000-0000EEAC0000}"/>
    <cellStyle name="Normal 12 5 3 2 3" xfId="2240" xr:uid="{00000000-0005-0000-0000-0000EFAC0000}"/>
    <cellStyle name="Normal 12 5 3 2 3 2" xfId="5344" xr:uid="{00000000-0005-0000-0000-0000F0AC0000}"/>
    <cellStyle name="Normal 12 5 3 2 3 2 2" xfId="12616" xr:uid="{00000000-0005-0000-0000-0000F1AC0000}"/>
    <cellStyle name="Normal 12 5 3 2 3 2 2 2" xfId="27150" xr:uid="{00000000-0005-0000-0000-0000F2AC0000}"/>
    <cellStyle name="Normal 12 5 3 2 3 2 2 2 2" xfId="56156" xr:uid="{00000000-0005-0000-0000-0000F3AC0000}"/>
    <cellStyle name="Normal 12 5 3 2 3 2 2 3" xfId="41657" xr:uid="{00000000-0005-0000-0000-0000F4AC0000}"/>
    <cellStyle name="Normal 12 5 3 2 3 2 3" xfId="19902" xr:uid="{00000000-0005-0000-0000-0000F5AC0000}"/>
    <cellStyle name="Normal 12 5 3 2 3 2 3 2" xfId="48908" xr:uid="{00000000-0005-0000-0000-0000F6AC0000}"/>
    <cellStyle name="Normal 12 5 3 2 3 2 4" xfId="34409" xr:uid="{00000000-0005-0000-0000-0000F7AC0000}"/>
    <cellStyle name="Normal 12 5 3 2 3 3" xfId="9512" xr:uid="{00000000-0005-0000-0000-0000F8AC0000}"/>
    <cellStyle name="Normal 12 5 3 2 3 3 2" xfId="24046" xr:uid="{00000000-0005-0000-0000-0000F9AC0000}"/>
    <cellStyle name="Normal 12 5 3 2 3 3 2 2" xfId="53052" xr:uid="{00000000-0005-0000-0000-0000FAAC0000}"/>
    <cellStyle name="Normal 12 5 3 2 3 3 3" xfId="38553" xr:uid="{00000000-0005-0000-0000-0000FBAC0000}"/>
    <cellStyle name="Normal 12 5 3 2 3 4" xfId="16798" xr:uid="{00000000-0005-0000-0000-0000FCAC0000}"/>
    <cellStyle name="Normal 12 5 3 2 3 4 2" xfId="45804" xr:uid="{00000000-0005-0000-0000-0000FDAC0000}"/>
    <cellStyle name="Normal 12 5 3 2 3 5" xfId="31305" xr:uid="{00000000-0005-0000-0000-0000FEAC0000}"/>
    <cellStyle name="Normal 12 5 3 2 4" xfId="3272" xr:uid="{00000000-0005-0000-0000-0000FFAC0000}"/>
    <cellStyle name="Normal 12 5 3 2 4 2" xfId="6376" xr:uid="{00000000-0005-0000-0000-000000AD0000}"/>
    <cellStyle name="Normal 12 5 3 2 4 2 2" xfId="13648" xr:uid="{00000000-0005-0000-0000-000001AD0000}"/>
    <cellStyle name="Normal 12 5 3 2 4 2 2 2" xfId="28182" xr:uid="{00000000-0005-0000-0000-000002AD0000}"/>
    <cellStyle name="Normal 12 5 3 2 4 2 2 2 2" xfId="57188" xr:uid="{00000000-0005-0000-0000-000003AD0000}"/>
    <cellStyle name="Normal 12 5 3 2 4 2 2 3" xfId="42689" xr:uid="{00000000-0005-0000-0000-000004AD0000}"/>
    <cellStyle name="Normal 12 5 3 2 4 2 3" xfId="20934" xr:uid="{00000000-0005-0000-0000-000005AD0000}"/>
    <cellStyle name="Normal 12 5 3 2 4 2 3 2" xfId="49940" xr:uid="{00000000-0005-0000-0000-000006AD0000}"/>
    <cellStyle name="Normal 12 5 3 2 4 2 4" xfId="35441" xr:uid="{00000000-0005-0000-0000-000007AD0000}"/>
    <cellStyle name="Normal 12 5 3 2 4 3" xfId="10544" xr:uid="{00000000-0005-0000-0000-000008AD0000}"/>
    <cellStyle name="Normal 12 5 3 2 4 3 2" xfId="25078" xr:uid="{00000000-0005-0000-0000-000009AD0000}"/>
    <cellStyle name="Normal 12 5 3 2 4 3 2 2" xfId="54084" xr:uid="{00000000-0005-0000-0000-00000AAD0000}"/>
    <cellStyle name="Normal 12 5 3 2 4 3 3" xfId="39585" xr:uid="{00000000-0005-0000-0000-00000BAD0000}"/>
    <cellStyle name="Normal 12 5 3 2 4 4" xfId="17830" xr:uid="{00000000-0005-0000-0000-00000CAD0000}"/>
    <cellStyle name="Normal 12 5 3 2 4 4 2" xfId="46836" xr:uid="{00000000-0005-0000-0000-00000DAD0000}"/>
    <cellStyle name="Normal 12 5 3 2 4 5" xfId="32337" xr:uid="{00000000-0005-0000-0000-00000EAD0000}"/>
    <cellStyle name="Normal 12 5 3 2 5" xfId="4304" xr:uid="{00000000-0005-0000-0000-00000FAD0000}"/>
    <cellStyle name="Normal 12 5 3 2 5 2" xfId="11576" xr:uid="{00000000-0005-0000-0000-000010AD0000}"/>
    <cellStyle name="Normal 12 5 3 2 5 2 2" xfId="26110" xr:uid="{00000000-0005-0000-0000-000011AD0000}"/>
    <cellStyle name="Normal 12 5 3 2 5 2 2 2" xfId="55116" xr:uid="{00000000-0005-0000-0000-000012AD0000}"/>
    <cellStyle name="Normal 12 5 3 2 5 2 3" xfId="40617" xr:uid="{00000000-0005-0000-0000-000013AD0000}"/>
    <cellStyle name="Normal 12 5 3 2 5 3" xfId="18862" xr:uid="{00000000-0005-0000-0000-000014AD0000}"/>
    <cellStyle name="Normal 12 5 3 2 5 3 2" xfId="47868" xr:uid="{00000000-0005-0000-0000-000015AD0000}"/>
    <cellStyle name="Normal 12 5 3 2 5 4" xfId="33369" xr:uid="{00000000-0005-0000-0000-000016AD0000}"/>
    <cellStyle name="Normal 12 5 3 2 6" xfId="7408" xr:uid="{00000000-0005-0000-0000-000017AD0000}"/>
    <cellStyle name="Normal 12 5 3 2 6 2" xfId="14680" xr:uid="{00000000-0005-0000-0000-000018AD0000}"/>
    <cellStyle name="Normal 12 5 3 2 6 2 2" xfId="29214" xr:uid="{00000000-0005-0000-0000-000019AD0000}"/>
    <cellStyle name="Normal 12 5 3 2 6 2 2 2" xfId="58220" xr:uid="{00000000-0005-0000-0000-00001AAD0000}"/>
    <cellStyle name="Normal 12 5 3 2 6 2 3" xfId="43721" xr:uid="{00000000-0005-0000-0000-00001BAD0000}"/>
    <cellStyle name="Normal 12 5 3 2 6 3" xfId="21966" xr:uid="{00000000-0005-0000-0000-00001CAD0000}"/>
    <cellStyle name="Normal 12 5 3 2 6 3 2" xfId="50972" xr:uid="{00000000-0005-0000-0000-00001DAD0000}"/>
    <cellStyle name="Normal 12 5 3 2 6 4" xfId="36473" xr:uid="{00000000-0005-0000-0000-00001EAD0000}"/>
    <cellStyle name="Normal 12 5 3 2 7" xfId="8472" xr:uid="{00000000-0005-0000-0000-00001FAD0000}"/>
    <cellStyle name="Normal 12 5 3 2 7 2" xfId="23006" xr:uid="{00000000-0005-0000-0000-000020AD0000}"/>
    <cellStyle name="Normal 12 5 3 2 7 2 2" xfId="52012" xr:uid="{00000000-0005-0000-0000-000021AD0000}"/>
    <cellStyle name="Normal 12 5 3 2 7 3" xfId="37513" xr:uid="{00000000-0005-0000-0000-000022AD0000}"/>
    <cellStyle name="Normal 12 5 3 2 8" xfId="15758" xr:uid="{00000000-0005-0000-0000-000023AD0000}"/>
    <cellStyle name="Normal 12 5 3 2 8 2" xfId="44764" xr:uid="{00000000-0005-0000-0000-000024AD0000}"/>
    <cellStyle name="Normal 12 5 3 2 9" xfId="30265" xr:uid="{00000000-0005-0000-0000-000025AD0000}"/>
    <cellStyle name="Normal 12 5 3 3" xfId="1388" xr:uid="{00000000-0005-0000-0000-000026AD0000}"/>
    <cellStyle name="Normal 12 5 3 3 2" xfId="2446" xr:uid="{00000000-0005-0000-0000-000027AD0000}"/>
    <cellStyle name="Normal 12 5 3 3 2 2" xfId="5550" xr:uid="{00000000-0005-0000-0000-000028AD0000}"/>
    <cellStyle name="Normal 12 5 3 3 2 2 2" xfId="12822" xr:uid="{00000000-0005-0000-0000-000029AD0000}"/>
    <cellStyle name="Normal 12 5 3 3 2 2 2 2" xfId="27356" xr:uid="{00000000-0005-0000-0000-00002AAD0000}"/>
    <cellStyle name="Normal 12 5 3 3 2 2 2 2 2" xfId="56362" xr:uid="{00000000-0005-0000-0000-00002BAD0000}"/>
    <cellStyle name="Normal 12 5 3 3 2 2 2 3" xfId="41863" xr:uid="{00000000-0005-0000-0000-00002CAD0000}"/>
    <cellStyle name="Normal 12 5 3 3 2 2 3" xfId="20108" xr:uid="{00000000-0005-0000-0000-00002DAD0000}"/>
    <cellStyle name="Normal 12 5 3 3 2 2 3 2" xfId="49114" xr:uid="{00000000-0005-0000-0000-00002EAD0000}"/>
    <cellStyle name="Normal 12 5 3 3 2 2 4" xfId="34615" xr:uid="{00000000-0005-0000-0000-00002FAD0000}"/>
    <cellStyle name="Normal 12 5 3 3 2 3" xfId="9718" xr:uid="{00000000-0005-0000-0000-000030AD0000}"/>
    <cellStyle name="Normal 12 5 3 3 2 3 2" xfId="24252" xr:uid="{00000000-0005-0000-0000-000031AD0000}"/>
    <cellStyle name="Normal 12 5 3 3 2 3 2 2" xfId="53258" xr:uid="{00000000-0005-0000-0000-000032AD0000}"/>
    <cellStyle name="Normal 12 5 3 3 2 3 3" xfId="38759" xr:uid="{00000000-0005-0000-0000-000033AD0000}"/>
    <cellStyle name="Normal 12 5 3 3 2 4" xfId="17004" xr:uid="{00000000-0005-0000-0000-000034AD0000}"/>
    <cellStyle name="Normal 12 5 3 3 2 4 2" xfId="46010" xr:uid="{00000000-0005-0000-0000-000035AD0000}"/>
    <cellStyle name="Normal 12 5 3 3 2 5" xfId="31511" xr:uid="{00000000-0005-0000-0000-000036AD0000}"/>
    <cellStyle name="Normal 12 5 3 3 3" xfId="3478" xr:uid="{00000000-0005-0000-0000-000037AD0000}"/>
    <cellStyle name="Normal 12 5 3 3 3 2" xfId="6582" xr:uid="{00000000-0005-0000-0000-000038AD0000}"/>
    <cellStyle name="Normal 12 5 3 3 3 2 2" xfId="13854" xr:uid="{00000000-0005-0000-0000-000039AD0000}"/>
    <cellStyle name="Normal 12 5 3 3 3 2 2 2" xfId="28388" xr:uid="{00000000-0005-0000-0000-00003AAD0000}"/>
    <cellStyle name="Normal 12 5 3 3 3 2 2 2 2" xfId="57394" xr:uid="{00000000-0005-0000-0000-00003BAD0000}"/>
    <cellStyle name="Normal 12 5 3 3 3 2 2 3" xfId="42895" xr:uid="{00000000-0005-0000-0000-00003CAD0000}"/>
    <cellStyle name="Normal 12 5 3 3 3 2 3" xfId="21140" xr:uid="{00000000-0005-0000-0000-00003DAD0000}"/>
    <cellStyle name="Normal 12 5 3 3 3 2 3 2" xfId="50146" xr:uid="{00000000-0005-0000-0000-00003EAD0000}"/>
    <cellStyle name="Normal 12 5 3 3 3 2 4" xfId="35647" xr:uid="{00000000-0005-0000-0000-00003FAD0000}"/>
    <cellStyle name="Normal 12 5 3 3 3 3" xfId="10750" xr:uid="{00000000-0005-0000-0000-000040AD0000}"/>
    <cellStyle name="Normal 12 5 3 3 3 3 2" xfId="25284" xr:uid="{00000000-0005-0000-0000-000041AD0000}"/>
    <cellStyle name="Normal 12 5 3 3 3 3 2 2" xfId="54290" xr:uid="{00000000-0005-0000-0000-000042AD0000}"/>
    <cellStyle name="Normal 12 5 3 3 3 3 3" xfId="39791" xr:uid="{00000000-0005-0000-0000-000043AD0000}"/>
    <cellStyle name="Normal 12 5 3 3 3 4" xfId="18036" xr:uid="{00000000-0005-0000-0000-000044AD0000}"/>
    <cellStyle name="Normal 12 5 3 3 3 4 2" xfId="47042" xr:uid="{00000000-0005-0000-0000-000045AD0000}"/>
    <cellStyle name="Normal 12 5 3 3 3 5" xfId="32543" xr:uid="{00000000-0005-0000-0000-000046AD0000}"/>
    <cellStyle name="Normal 12 5 3 3 4" xfId="4510" xr:uid="{00000000-0005-0000-0000-000047AD0000}"/>
    <cellStyle name="Normal 12 5 3 3 4 2" xfId="11782" xr:uid="{00000000-0005-0000-0000-000048AD0000}"/>
    <cellStyle name="Normal 12 5 3 3 4 2 2" xfId="26316" xr:uid="{00000000-0005-0000-0000-000049AD0000}"/>
    <cellStyle name="Normal 12 5 3 3 4 2 2 2" xfId="55322" xr:uid="{00000000-0005-0000-0000-00004AAD0000}"/>
    <cellStyle name="Normal 12 5 3 3 4 2 3" xfId="40823" xr:uid="{00000000-0005-0000-0000-00004BAD0000}"/>
    <cellStyle name="Normal 12 5 3 3 4 3" xfId="19068" xr:uid="{00000000-0005-0000-0000-00004CAD0000}"/>
    <cellStyle name="Normal 12 5 3 3 4 3 2" xfId="48074" xr:uid="{00000000-0005-0000-0000-00004DAD0000}"/>
    <cellStyle name="Normal 12 5 3 3 4 4" xfId="33575" xr:uid="{00000000-0005-0000-0000-00004EAD0000}"/>
    <cellStyle name="Normal 12 5 3 3 5" xfId="7614" xr:uid="{00000000-0005-0000-0000-00004FAD0000}"/>
    <cellStyle name="Normal 12 5 3 3 5 2" xfId="14886" xr:uid="{00000000-0005-0000-0000-000050AD0000}"/>
    <cellStyle name="Normal 12 5 3 3 5 2 2" xfId="29420" xr:uid="{00000000-0005-0000-0000-000051AD0000}"/>
    <cellStyle name="Normal 12 5 3 3 5 2 2 2" xfId="58426" xr:uid="{00000000-0005-0000-0000-000052AD0000}"/>
    <cellStyle name="Normal 12 5 3 3 5 2 3" xfId="43927" xr:uid="{00000000-0005-0000-0000-000053AD0000}"/>
    <cellStyle name="Normal 12 5 3 3 5 3" xfId="22172" xr:uid="{00000000-0005-0000-0000-000054AD0000}"/>
    <cellStyle name="Normal 12 5 3 3 5 3 2" xfId="51178" xr:uid="{00000000-0005-0000-0000-000055AD0000}"/>
    <cellStyle name="Normal 12 5 3 3 5 4" xfId="36679" xr:uid="{00000000-0005-0000-0000-000056AD0000}"/>
    <cellStyle name="Normal 12 5 3 3 6" xfId="8678" xr:uid="{00000000-0005-0000-0000-000057AD0000}"/>
    <cellStyle name="Normal 12 5 3 3 6 2" xfId="23212" xr:uid="{00000000-0005-0000-0000-000058AD0000}"/>
    <cellStyle name="Normal 12 5 3 3 6 2 2" xfId="52218" xr:uid="{00000000-0005-0000-0000-000059AD0000}"/>
    <cellStyle name="Normal 12 5 3 3 6 3" xfId="37719" xr:uid="{00000000-0005-0000-0000-00005AAD0000}"/>
    <cellStyle name="Normal 12 5 3 3 7" xfId="15964" xr:uid="{00000000-0005-0000-0000-00005BAD0000}"/>
    <cellStyle name="Normal 12 5 3 3 7 2" xfId="44970" xr:uid="{00000000-0005-0000-0000-00005CAD0000}"/>
    <cellStyle name="Normal 12 5 3 3 8" xfId="30471" xr:uid="{00000000-0005-0000-0000-00005DAD0000}"/>
    <cellStyle name="Normal 12 5 3 4" xfId="1934" xr:uid="{00000000-0005-0000-0000-00005EAD0000}"/>
    <cellStyle name="Normal 12 5 3 4 2" xfId="5038" xr:uid="{00000000-0005-0000-0000-00005FAD0000}"/>
    <cellStyle name="Normal 12 5 3 4 2 2" xfId="12310" xr:uid="{00000000-0005-0000-0000-000060AD0000}"/>
    <cellStyle name="Normal 12 5 3 4 2 2 2" xfId="26844" xr:uid="{00000000-0005-0000-0000-000061AD0000}"/>
    <cellStyle name="Normal 12 5 3 4 2 2 2 2" xfId="55850" xr:uid="{00000000-0005-0000-0000-000062AD0000}"/>
    <cellStyle name="Normal 12 5 3 4 2 2 3" xfId="41351" xr:uid="{00000000-0005-0000-0000-000063AD0000}"/>
    <cellStyle name="Normal 12 5 3 4 2 3" xfId="19596" xr:uid="{00000000-0005-0000-0000-000064AD0000}"/>
    <cellStyle name="Normal 12 5 3 4 2 3 2" xfId="48602" xr:uid="{00000000-0005-0000-0000-000065AD0000}"/>
    <cellStyle name="Normal 12 5 3 4 2 4" xfId="34103" xr:uid="{00000000-0005-0000-0000-000066AD0000}"/>
    <cellStyle name="Normal 12 5 3 4 3" xfId="9206" xr:uid="{00000000-0005-0000-0000-000067AD0000}"/>
    <cellStyle name="Normal 12 5 3 4 3 2" xfId="23740" xr:uid="{00000000-0005-0000-0000-000068AD0000}"/>
    <cellStyle name="Normal 12 5 3 4 3 2 2" xfId="52746" xr:uid="{00000000-0005-0000-0000-000069AD0000}"/>
    <cellStyle name="Normal 12 5 3 4 3 3" xfId="38247" xr:uid="{00000000-0005-0000-0000-00006AAD0000}"/>
    <cellStyle name="Normal 12 5 3 4 4" xfId="16492" xr:uid="{00000000-0005-0000-0000-00006BAD0000}"/>
    <cellStyle name="Normal 12 5 3 4 4 2" xfId="45498" xr:uid="{00000000-0005-0000-0000-00006CAD0000}"/>
    <cellStyle name="Normal 12 5 3 4 5" xfId="30999" xr:uid="{00000000-0005-0000-0000-00006DAD0000}"/>
    <cellStyle name="Normal 12 5 3 5" xfId="2966" xr:uid="{00000000-0005-0000-0000-00006EAD0000}"/>
    <cellStyle name="Normal 12 5 3 5 2" xfId="6070" xr:uid="{00000000-0005-0000-0000-00006FAD0000}"/>
    <cellStyle name="Normal 12 5 3 5 2 2" xfId="13342" xr:uid="{00000000-0005-0000-0000-000070AD0000}"/>
    <cellStyle name="Normal 12 5 3 5 2 2 2" xfId="27876" xr:uid="{00000000-0005-0000-0000-000071AD0000}"/>
    <cellStyle name="Normal 12 5 3 5 2 2 2 2" xfId="56882" xr:uid="{00000000-0005-0000-0000-000072AD0000}"/>
    <cellStyle name="Normal 12 5 3 5 2 2 3" xfId="42383" xr:uid="{00000000-0005-0000-0000-000073AD0000}"/>
    <cellStyle name="Normal 12 5 3 5 2 3" xfId="20628" xr:uid="{00000000-0005-0000-0000-000074AD0000}"/>
    <cellStyle name="Normal 12 5 3 5 2 3 2" xfId="49634" xr:uid="{00000000-0005-0000-0000-000075AD0000}"/>
    <cellStyle name="Normal 12 5 3 5 2 4" xfId="35135" xr:uid="{00000000-0005-0000-0000-000076AD0000}"/>
    <cellStyle name="Normal 12 5 3 5 3" xfId="10238" xr:uid="{00000000-0005-0000-0000-000077AD0000}"/>
    <cellStyle name="Normal 12 5 3 5 3 2" xfId="24772" xr:uid="{00000000-0005-0000-0000-000078AD0000}"/>
    <cellStyle name="Normal 12 5 3 5 3 2 2" xfId="53778" xr:uid="{00000000-0005-0000-0000-000079AD0000}"/>
    <cellStyle name="Normal 12 5 3 5 3 3" xfId="39279" xr:uid="{00000000-0005-0000-0000-00007AAD0000}"/>
    <cellStyle name="Normal 12 5 3 5 4" xfId="17524" xr:uid="{00000000-0005-0000-0000-00007BAD0000}"/>
    <cellStyle name="Normal 12 5 3 5 4 2" xfId="46530" xr:uid="{00000000-0005-0000-0000-00007CAD0000}"/>
    <cellStyle name="Normal 12 5 3 5 5" xfId="32031" xr:uid="{00000000-0005-0000-0000-00007DAD0000}"/>
    <cellStyle name="Normal 12 5 3 6" xfId="3998" xr:uid="{00000000-0005-0000-0000-00007EAD0000}"/>
    <cellStyle name="Normal 12 5 3 6 2" xfId="11270" xr:uid="{00000000-0005-0000-0000-00007FAD0000}"/>
    <cellStyle name="Normal 12 5 3 6 2 2" xfId="25804" xr:uid="{00000000-0005-0000-0000-000080AD0000}"/>
    <cellStyle name="Normal 12 5 3 6 2 2 2" xfId="54810" xr:uid="{00000000-0005-0000-0000-000081AD0000}"/>
    <cellStyle name="Normal 12 5 3 6 2 3" xfId="40311" xr:uid="{00000000-0005-0000-0000-000082AD0000}"/>
    <cellStyle name="Normal 12 5 3 6 3" xfId="18556" xr:uid="{00000000-0005-0000-0000-000083AD0000}"/>
    <cellStyle name="Normal 12 5 3 6 3 2" xfId="47562" xr:uid="{00000000-0005-0000-0000-000084AD0000}"/>
    <cellStyle name="Normal 12 5 3 6 4" xfId="33063" xr:uid="{00000000-0005-0000-0000-000085AD0000}"/>
    <cellStyle name="Normal 12 5 3 7" xfId="7102" xr:uid="{00000000-0005-0000-0000-000086AD0000}"/>
    <cellStyle name="Normal 12 5 3 7 2" xfId="14374" xr:uid="{00000000-0005-0000-0000-000087AD0000}"/>
    <cellStyle name="Normal 12 5 3 7 2 2" xfId="28908" xr:uid="{00000000-0005-0000-0000-000088AD0000}"/>
    <cellStyle name="Normal 12 5 3 7 2 2 2" xfId="57914" xr:uid="{00000000-0005-0000-0000-000089AD0000}"/>
    <cellStyle name="Normal 12 5 3 7 2 3" xfId="43415" xr:uid="{00000000-0005-0000-0000-00008AAD0000}"/>
    <cellStyle name="Normal 12 5 3 7 3" xfId="21660" xr:uid="{00000000-0005-0000-0000-00008BAD0000}"/>
    <cellStyle name="Normal 12 5 3 7 3 2" xfId="50666" xr:uid="{00000000-0005-0000-0000-00008CAD0000}"/>
    <cellStyle name="Normal 12 5 3 7 4" xfId="36167" xr:uid="{00000000-0005-0000-0000-00008DAD0000}"/>
    <cellStyle name="Normal 12 5 3 8" xfId="8166" xr:uid="{00000000-0005-0000-0000-00008EAD0000}"/>
    <cellStyle name="Normal 12 5 3 8 2" xfId="22700" xr:uid="{00000000-0005-0000-0000-00008FAD0000}"/>
    <cellStyle name="Normal 12 5 3 8 2 2" xfId="51706" xr:uid="{00000000-0005-0000-0000-000090AD0000}"/>
    <cellStyle name="Normal 12 5 3 8 3" xfId="37207" xr:uid="{00000000-0005-0000-0000-000091AD0000}"/>
    <cellStyle name="Normal 12 5 3 9" xfId="15452" xr:uid="{00000000-0005-0000-0000-000092AD0000}"/>
    <cellStyle name="Normal 12 5 3 9 2" xfId="44458" xr:uid="{00000000-0005-0000-0000-000093AD0000}"/>
    <cellStyle name="Normal 12 5 4" xfId="1094" xr:uid="{00000000-0005-0000-0000-000094AD0000}"/>
    <cellStyle name="Normal 12 5 4 2" xfId="1590" xr:uid="{00000000-0005-0000-0000-000095AD0000}"/>
    <cellStyle name="Normal 12 5 4 2 2" xfId="2649" xr:uid="{00000000-0005-0000-0000-000096AD0000}"/>
    <cellStyle name="Normal 12 5 4 2 2 2" xfId="5753" xr:uid="{00000000-0005-0000-0000-000097AD0000}"/>
    <cellStyle name="Normal 12 5 4 2 2 2 2" xfId="13025" xr:uid="{00000000-0005-0000-0000-000098AD0000}"/>
    <cellStyle name="Normal 12 5 4 2 2 2 2 2" xfId="27559" xr:uid="{00000000-0005-0000-0000-000099AD0000}"/>
    <cellStyle name="Normal 12 5 4 2 2 2 2 2 2" xfId="56565" xr:uid="{00000000-0005-0000-0000-00009AAD0000}"/>
    <cellStyle name="Normal 12 5 4 2 2 2 2 3" xfId="42066" xr:uid="{00000000-0005-0000-0000-00009BAD0000}"/>
    <cellStyle name="Normal 12 5 4 2 2 2 3" xfId="20311" xr:uid="{00000000-0005-0000-0000-00009CAD0000}"/>
    <cellStyle name="Normal 12 5 4 2 2 2 3 2" xfId="49317" xr:uid="{00000000-0005-0000-0000-00009DAD0000}"/>
    <cellStyle name="Normal 12 5 4 2 2 2 4" xfId="34818" xr:uid="{00000000-0005-0000-0000-00009EAD0000}"/>
    <cellStyle name="Normal 12 5 4 2 2 3" xfId="9921" xr:uid="{00000000-0005-0000-0000-00009FAD0000}"/>
    <cellStyle name="Normal 12 5 4 2 2 3 2" xfId="24455" xr:uid="{00000000-0005-0000-0000-0000A0AD0000}"/>
    <cellStyle name="Normal 12 5 4 2 2 3 2 2" xfId="53461" xr:uid="{00000000-0005-0000-0000-0000A1AD0000}"/>
    <cellStyle name="Normal 12 5 4 2 2 3 3" xfId="38962" xr:uid="{00000000-0005-0000-0000-0000A2AD0000}"/>
    <cellStyle name="Normal 12 5 4 2 2 4" xfId="17207" xr:uid="{00000000-0005-0000-0000-0000A3AD0000}"/>
    <cellStyle name="Normal 12 5 4 2 2 4 2" xfId="46213" xr:uid="{00000000-0005-0000-0000-0000A4AD0000}"/>
    <cellStyle name="Normal 12 5 4 2 2 5" xfId="31714" xr:uid="{00000000-0005-0000-0000-0000A5AD0000}"/>
    <cellStyle name="Normal 12 5 4 2 3" xfId="3681" xr:uid="{00000000-0005-0000-0000-0000A6AD0000}"/>
    <cellStyle name="Normal 12 5 4 2 3 2" xfId="6785" xr:uid="{00000000-0005-0000-0000-0000A7AD0000}"/>
    <cellStyle name="Normal 12 5 4 2 3 2 2" xfId="14057" xr:uid="{00000000-0005-0000-0000-0000A8AD0000}"/>
    <cellStyle name="Normal 12 5 4 2 3 2 2 2" xfId="28591" xr:uid="{00000000-0005-0000-0000-0000A9AD0000}"/>
    <cellStyle name="Normal 12 5 4 2 3 2 2 2 2" xfId="57597" xr:uid="{00000000-0005-0000-0000-0000AAAD0000}"/>
    <cellStyle name="Normal 12 5 4 2 3 2 2 3" xfId="43098" xr:uid="{00000000-0005-0000-0000-0000ABAD0000}"/>
    <cellStyle name="Normal 12 5 4 2 3 2 3" xfId="21343" xr:uid="{00000000-0005-0000-0000-0000ACAD0000}"/>
    <cellStyle name="Normal 12 5 4 2 3 2 3 2" xfId="50349" xr:uid="{00000000-0005-0000-0000-0000ADAD0000}"/>
    <cellStyle name="Normal 12 5 4 2 3 2 4" xfId="35850" xr:uid="{00000000-0005-0000-0000-0000AEAD0000}"/>
    <cellStyle name="Normal 12 5 4 2 3 3" xfId="10953" xr:uid="{00000000-0005-0000-0000-0000AFAD0000}"/>
    <cellStyle name="Normal 12 5 4 2 3 3 2" xfId="25487" xr:uid="{00000000-0005-0000-0000-0000B0AD0000}"/>
    <cellStyle name="Normal 12 5 4 2 3 3 2 2" xfId="54493" xr:uid="{00000000-0005-0000-0000-0000B1AD0000}"/>
    <cellStyle name="Normal 12 5 4 2 3 3 3" xfId="39994" xr:uid="{00000000-0005-0000-0000-0000B2AD0000}"/>
    <cellStyle name="Normal 12 5 4 2 3 4" xfId="18239" xr:uid="{00000000-0005-0000-0000-0000B3AD0000}"/>
    <cellStyle name="Normal 12 5 4 2 3 4 2" xfId="47245" xr:uid="{00000000-0005-0000-0000-0000B4AD0000}"/>
    <cellStyle name="Normal 12 5 4 2 3 5" xfId="32746" xr:uid="{00000000-0005-0000-0000-0000B5AD0000}"/>
    <cellStyle name="Normal 12 5 4 2 4" xfId="4713" xr:uid="{00000000-0005-0000-0000-0000B6AD0000}"/>
    <cellStyle name="Normal 12 5 4 2 4 2" xfId="11985" xr:uid="{00000000-0005-0000-0000-0000B7AD0000}"/>
    <cellStyle name="Normal 12 5 4 2 4 2 2" xfId="26519" xr:uid="{00000000-0005-0000-0000-0000B8AD0000}"/>
    <cellStyle name="Normal 12 5 4 2 4 2 2 2" xfId="55525" xr:uid="{00000000-0005-0000-0000-0000B9AD0000}"/>
    <cellStyle name="Normal 12 5 4 2 4 2 3" xfId="41026" xr:uid="{00000000-0005-0000-0000-0000BAAD0000}"/>
    <cellStyle name="Normal 12 5 4 2 4 3" xfId="19271" xr:uid="{00000000-0005-0000-0000-0000BBAD0000}"/>
    <cellStyle name="Normal 12 5 4 2 4 3 2" xfId="48277" xr:uid="{00000000-0005-0000-0000-0000BCAD0000}"/>
    <cellStyle name="Normal 12 5 4 2 4 4" xfId="33778" xr:uid="{00000000-0005-0000-0000-0000BDAD0000}"/>
    <cellStyle name="Normal 12 5 4 2 5" xfId="7817" xr:uid="{00000000-0005-0000-0000-0000BEAD0000}"/>
    <cellStyle name="Normal 12 5 4 2 5 2" xfId="15089" xr:uid="{00000000-0005-0000-0000-0000BFAD0000}"/>
    <cellStyle name="Normal 12 5 4 2 5 2 2" xfId="29623" xr:uid="{00000000-0005-0000-0000-0000C0AD0000}"/>
    <cellStyle name="Normal 12 5 4 2 5 2 2 2" xfId="58629" xr:uid="{00000000-0005-0000-0000-0000C1AD0000}"/>
    <cellStyle name="Normal 12 5 4 2 5 2 3" xfId="44130" xr:uid="{00000000-0005-0000-0000-0000C2AD0000}"/>
    <cellStyle name="Normal 12 5 4 2 5 3" xfId="22375" xr:uid="{00000000-0005-0000-0000-0000C3AD0000}"/>
    <cellStyle name="Normal 12 5 4 2 5 3 2" xfId="51381" xr:uid="{00000000-0005-0000-0000-0000C4AD0000}"/>
    <cellStyle name="Normal 12 5 4 2 5 4" xfId="36882" xr:uid="{00000000-0005-0000-0000-0000C5AD0000}"/>
    <cellStyle name="Normal 12 5 4 2 6" xfId="8881" xr:uid="{00000000-0005-0000-0000-0000C6AD0000}"/>
    <cellStyle name="Normal 12 5 4 2 6 2" xfId="23415" xr:uid="{00000000-0005-0000-0000-0000C7AD0000}"/>
    <cellStyle name="Normal 12 5 4 2 6 2 2" xfId="52421" xr:uid="{00000000-0005-0000-0000-0000C8AD0000}"/>
    <cellStyle name="Normal 12 5 4 2 6 3" xfId="37922" xr:uid="{00000000-0005-0000-0000-0000C9AD0000}"/>
    <cellStyle name="Normal 12 5 4 2 7" xfId="16167" xr:uid="{00000000-0005-0000-0000-0000CAAD0000}"/>
    <cellStyle name="Normal 12 5 4 2 7 2" xfId="45173" xr:uid="{00000000-0005-0000-0000-0000CBAD0000}"/>
    <cellStyle name="Normal 12 5 4 2 8" xfId="30674" xr:uid="{00000000-0005-0000-0000-0000CCAD0000}"/>
    <cellStyle name="Normal 12 5 4 3" xfId="2137" xr:uid="{00000000-0005-0000-0000-0000CDAD0000}"/>
    <cellStyle name="Normal 12 5 4 3 2" xfId="5241" xr:uid="{00000000-0005-0000-0000-0000CEAD0000}"/>
    <cellStyle name="Normal 12 5 4 3 2 2" xfId="12513" xr:uid="{00000000-0005-0000-0000-0000CFAD0000}"/>
    <cellStyle name="Normal 12 5 4 3 2 2 2" xfId="27047" xr:uid="{00000000-0005-0000-0000-0000D0AD0000}"/>
    <cellStyle name="Normal 12 5 4 3 2 2 2 2" xfId="56053" xr:uid="{00000000-0005-0000-0000-0000D1AD0000}"/>
    <cellStyle name="Normal 12 5 4 3 2 2 3" xfId="41554" xr:uid="{00000000-0005-0000-0000-0000D2AD0000}"/>
    <cellStyle name="Normal 12 5 4 3 2 3" xfId="19799" xr:uid="{00000000-0005-0000-0000-0000D3AD0000}"/>
    <cellStyle name="Normal 12 5 4 3 2 3 2" xfId="48805" xr:uid="{00000000-0005-0000-0000-0000D4AD0000}"/>
    <cellStyle name="Normal 12 5 4 3 2 4" xfId="34306" xr:uid="{00000000-0005-0000-0000-0000D5AD0000}"/>
    <cellStyle name="Normal 12 5 4 3 3" xfId="9409" xr:uid="{00000000-0005-0000-0000-0000D6AD0000}"/>
    <cellStyle name="Normal 12 5 4 3 3 2" xfId="23943" xr:uid="{00000000-0005-0000-0000-0000D7AD0000}"/>
    <cellStyle name="Normal 12 5 4 3 3 2 2" xfId="52949" xr:uid="{00000000-0005-0000-0000-0000D8AD0000}"/>
    <cellStyle name="Normal 12 5 4 3 3 3" xfId="38450" xr:uid="{00000000-0005-0000-0000-0000D9AD0000}"/>
    <cellStyle name="Normal 12 5 4 3 4" xfId="16695" xr:uid="{00000000-0005-0000-0000-0000DAAD0000}"/>
    <cellStyle name="Normal 12 5 4 3 4 2" xfId="45701" xr:uid="{00000000-0005-0000-0000-0000DBAD0000}"/>
    <cellStyle name="Normal 12 5 4 3 5" xfId="31202" xr:uid="{00000000-0005-0000-0000-0000DCAD0000}"/>
    <cellStyle name="Normal 12 5 4 4" xfId="3169" xr:uid="{00000000-0005-0000-0000-0000DDAD0000}"/>
    <cellStyle name="Normal 12 5 4 4 2" xfId="6273" xr:uid="{00000000-0005-0000-0000-0000DEAD0000}"/>
    <cellStyle name="Normal 12 5 4 4 2 2" xfId="13545" xr:uid="{00000000-0005-0000-0000-0000DFAD0000}"/>
    <cellStyle name="Normal 12 5 4 4 2 2 2" xfId="28079" xr:uid="{00000000-0005-0000-0000-0000E0AD0000}"/>
    <cellStyle name="Normal 12 5 4 4 2 2 2 2" xfId="57085" xr:uid="{00000000-0005-0000-0000-0000E1AD0000}"/>
    <cellStyle name="Normal 12 5 4 4 2 2 3" xfId="42586" xr:uid="{00000000-0005-0000-0000-0000E2AD0000}"/>
    <cellStyle name="Normal 12 5 4 4 2 3" xfId="20831" xr:uid="{00000000-0005-0000-0000-0000E3AD0000}"/>
    <cellStyle name="Normal 12 5 4 4 2 3 2" xfId="49837" xr:uid="{00000000-0005-0000-0000-0000E4AD0000}"/>
    <cellStyle name="Normal 12 5 4 4 2 4" xfId="35338" xr:uid="{00000000-0005-0000-0000-0000E5AD0000}"/>
    <cellStyle name="Normal 12 5 4 4 3" xfId="10441" xr:uid="{00000000-0005-0000-0000-0000E6AD0000}"/>
    <cellStyle name="Normal 12 5 4 4 3 2" xfId="24975" xr:uid="{00000000-0005-0000-0000-0000E7AD0000}"/>
    <cellStyle name="Normal 12 5 4 4 3 2 2" xfId="53981" xr:uid="{00000000-0005-0000-0000-0000E8AD0000}"/>
    <cellStyle name="Normal 12 5 4 4 3 3" xfId="39482" xr:uid="{00000000-0005-0000-0000-0000E9AD0000}"/>
    <cellStyle name="Normal 12 5 4 4 4" xfId="17727" xr:uid="{00000000-0005-0000-0000-0000EAAD0000}"/>
    <cellStyle name="Normal 12 5 4 4 4 2" xfId="46733" xr:uid="{00000000-0005-0000-0000-0000EBAD0000}"/>
    <cellStyle name="Normal 12 5 4 4 5" xfId="32234" xr:uid="{00000000-0005-0000-0000-0000ECAD0000}"/>
    <cellStyle name="Normal 12 5 4 5" xfId="4201" xr:uid="{00000000-0005-0000-0000-0000EDAD0000}"/>
    <cellStyle name="Normal 12 5 4 5 2" xfId="11473" xr:uid="{00000000-0005-0000-0000-0000EEAD0000}"/>
    <cellStyle name="Normal 12 5 4 5 2 2" xfId="26007" xr:uid="{00000000-0005-0000-0000-0000EFAD0000}"/>
    <cellStyle name="Normal 12 5 4 5 2 2 2" xfId="55013" xr:uid="{00000000-0005-0000-0000-0000F0AD0000}"/>
    <cellStyle name="Normal 12 5 4 5 2 3" xfId="40514" xr:uid="{00000000-0005-0000-0000-0000F1AD0000}"/>
    <cellStyle name="Normal 12 5 4 5 3" xfId="18759" xr:uid="{00000000-0005-0000-0000-0000F2AD0000}"/>
    <cellStyle name="Normal 12 5 4 5 3 2" xfId="47765" xr:uid="{00000000-0005-0000-0000-0000F3AD0000}"/>
    <cellStyle name="Normal 12 5 4 5 4" xfId="33266" xr:uid="{00000000-0005-0000-0000-0000F4AD0000}"/>
    <cellStyle name="Normal 12 5 4 6" xfId="7305" xr:uid="{00000000-0005-0000-0000-0000F5AD0000}"/>
    <cellStyle name="Normal 12 5 4 6 2" xfId="14577" xr:uid="{00000000-0005-0000-0000-0000F6AD0000}"/>
    <cellStyle name="Normal 12 5 4 6 2 2" xfId="29111" xr:uid="{00000000-0005-0000-0000-0000F7AD0000}"/>
    <cellStyle name="Normal 12 5 4 6 2 2 2" xfId="58117" xr:uid="{00000000-0005-0000-0000-0000F8AD0000}"/>
    <cellStyle name="Normal 12 5 4 6 2 3" xfId="43618" xr:uid="{00000000-0005-0000-0000-0000F9AD0000}"/>
    <cellStyle name="Normal 12 5 4 6 3" xfId="21863" xr:uid="{00000000-0005-0000-0000-0000FAAD0000}"/>
    <cellStyle name="Normal 12 5 4 6 3 2" xfId="50869" xr:uid="{00000000-0005-0000-0000-0000FBAD0000}"/>
    <cellStyle name="Normal 12 5 4 6 4" xfId="36370" xr:uid="{00000000-0005-0000-0000-0000FCAD0000}"/>
    <cellStyle name="Normal 12 5 4 7" xfId="8369" xr:uid="{00000000-0005-0000-0000-0000FDAD0000}"/>
    <cellStyle name="Normal 12 5 4 7 2" xfId="22903" xr:uid="{00000000-0005-0000-0000-0000FEAD0000}"/>
    <cellStyle name="Normal 12 5 4 7 2 2" xfId="51909" xr:uid="{00000000-0005-0000-0000-0000FFAD0000}"/>
    <cellStyle name="Normal 12 5 4 7 3" xfId="37410" xr:uid="{00000000-0005-0000-0000-000000AE0000}"/>
    <cellStyle name="Normal 12 5 4 8" xfId="15655" xr:uid="{00000000-0005-0000-0000-000001AE0000}"/>
    <cellStyle name="Normal 12 5 4 8 2" xfId="44661" xr:uid="{00000000-0005-0000-0000-000002AE0000}"/>
    <cellStyle name="Normal 12 5 4 9" xfId="30162" xr:uid="{00000000-0005-0000-0000-000003AE0000}"/>
    <cellStyle name="Normal 12 5 5" xfId="1003" xr:uid="{00000000-0005-0000-0000-000004AE0000}"/>
    <cellStyle name="Normal 12 5 5 2" xfId="1491" xr:uid="{00000000-0005-0000-0000-000005AE0000}"/>
    <cellStyle name="Normal 12 5 5 2 2" xfId="2549" xr:uid="{00000000-0005-0000-0000-000006AE0000}"/>
    <cellStyle name="Normal 12 5 5 2 2 2" xfId="5653" xr:uid="{00000000-0005-0000-0000-000007AE0000}"/>
    <cellStyle name="Normal 12 5 5 2 2 2 2" xfId="12925" xr:uid="{00000000-0005-0000-0000-000008AE0000}"/>
    <cellStyle name="Normal 12 5 5 2 2 2 2 2" xfId="27459" xr:uid="{00000000-0005-0000-0000-000009AE0000}"/>
    <cellStyle name="Normal 12 5 5 2 2 2 2 2 2" xfId="56465" xr:uid="{00000000-0005-0000-0000-00000AAE0000}"/>
    <cellStyle name="Normal 12 5 5 2 2 2 2 3" xfId="41966" xr:uid="{00000000-0005-0000-0000-00000BAE0000}"/>
    <cellStyle name="Normal 12 5 5 2 2 2 3" xfId="20211" xr:uid="{00000000-0005-0000-0000-00000CAE0000}"/>
    <cellStyle name="Normal 12 5 5 2 2 2 3 2" xfId="49217" xr:uid="{00000000-0005-0000-0000-00000DAE0000}"/>
    <cellStyle name="Normal 12 5 5 2 2 2 4" xfId="34718" xr:uid="{00000000-0005-0000-0000-00000EAE0000}"/>
    <cellStyle name="Normal 12 5 5 2 2 3" xfId="9821" xr:uid="{00000000-0005-0000-0000-00000FAE0000}"/>
    <cellStyle name="Normal 12 5 5 2 2 3 2" xfId="24355" xr:uid="{00000000-0005-0000-0000-000010AE0000}"/>
    <cellStyle name="Normal 12 5 5 2 2 3 2 2" xfId="53361" xr:uid="{00000000-0005-0000-0000-000011AE0000}"/>
    <cellStyle name="Normal 12 5 5 2 2 3 3" xfId="38862" xr:uid="{00000000-0005-0000-0000-000012AE0000}"/>
    <cellStyle name="Normal 12 5 5 2 2 4" xfId="17107" xr:uid="{00000000-0005-0000-0000-000013AE0000}"/>
    <cellStyle name="Normal 12 5 5 2 2 4 2" xfId="46113" xr:uid="{00000000-0005-0000-0000-000014AE0000}"/>
    <cellStyle name="Normal 12 5 5 2 2 5" xfId="31614" xr:uid="{00000000-0005-0000-0000-000015AE0000}"/>
    <cellStyle name="Normal 12 5 5 2 3" xfId="3581" xr:uid="{00000000-0005-0000-0000-000016AE0000}"/>
    <cellStyle name="Normal 12 5 5 2 3 2" xfId="6685" xr:uid="{00000000-0005-0000-0000-000017AE0000}"/>
    <cellStyle name="Normal 12 5 5 2 3 2 2" xfId="13957" xr:uid="{00000000-0005-0000-0000-000018AE0000}"/>
    <cellStyle name="Normal 12 5 5 2 3 2 2 2" xfId="28491" xr:uid="{00000000-0005-0000-0000-000019AE0000}"/>
    <cellStyle name="Normal 12 5 5 2 3 2 2 2 2" xfId="57497" xr:uid="{00000000-0005-0000-0000-00001AAE0000}"/>
    <cellStyle name="Normal 12 5 5 2 3 2 2 3" xfId="42998" xr:uid="{00000000-0005-0000-0000-00001BAE0000}"/>
    <cellStyle name="Normal 12 5 5 2 3 2 3" xfId="21243" xr:uid="{00000000-0005-0000-0000-00001CAE0000}"/>
    <cellStyle name="Normal 12 5 5 2 3 2 3 2" xfId="50249" xr:uid="{00000000-0005-0000-0000-00001DAE0000}"/>
    <cellStyle name="Normal 12 5 5 2 3 2 4" xfId="35750" xr:uid="{00000000-0005-0000-0000-00001EAE0000}"/>
    <cellStyle name="Normal 12 5 5 2 3 3" xfId="10853" xr:uid="{00000000-0005-0000-0000-00001FAE0000}"/>
    <cellStyle name="Normal 12 5 5 2 3 3 2" xfId="25387" xr:uid="{00000000-0005-0000-0000-000020AE0000}"/>
    <cellStyle name="Normal 12 5 5 2 3 3 2 2" xfId="54393" xr:uid="{00000000-0005-0000-0000-000021AE0000}"/>
    <cellStyle name="Normal 12 5 5 2 3 3 3" xfId="39894" xr:uid="{00000000-0005-0000-0000-000022AE0000}"/>
    <cellStyle name="Normal 12 5 5 2 3 4" xfId="18139" xr:uid="{00000000-0005-0000-0000-000023AE0000}"/>
    <cellStyle name="Normal 12 5 5 2 3 4 2" xfId="47145" xr:uid="{00000000-0005-0000-0000-000024AE0000}"/>
    <cellStyle name="Normal 12 5 5 2 3 5" xfId="32646" xr:uid="{00000000-0005-0000-0000-000025AE0000}"/>
    <cellStyle name="Normal 12 5 5 2 4" xfId="4613" xr:uid="{00000000-0005-0000-0000-000026AE0000}"/>
    <cellStyle name="Normal 12 5 5 2 4 2" xfId="11885" xr:uid="{00000000-0005-0000-0000-000027AE0000}"/>
    <cellStyle name="Normal 12 5 5 2 4 2 2" xfId="26419" xr:uid="{00000000-0005-0000-0000-000028AE0000}"/>
    <cellStyle name="Normal 12 5 5 2 4 2 2 2" xfId="55425" xr:uid="{00000000-0005-0000-0000-000029AE0000}"/>
    <cellStyle name="Normal 12 5 5 2 4 2 3" xfId="40926" xr:uid="{00000000-0005-0000-0000-00002AAE0000}"/>
    <cellStyle name="Normal 12 5 5 2 4 3" xfId="19171" xr:uid="{00000000-0005-0000-0000-00002BAE0000}"/>
    <cellStyle name="Normal 12 5 5 2 4 3 2" xfId="48177" xr:uid="{00000000-0005-0000-0000-00002CAE0000}"/>
    <cellStyle name="Normal 12 5 5 2 4 4" xfId="33678" xr:uid="{00000000-0005-0000-0000-00002DAE0000}"/>
    <cellStyle name="Normal 12 5 5 2 5" xfId="7717" xr:uid="{00000000-0005-0000-0000-00002EAE0000}"/>
    <cellStyle name="Normal 12 5 5 2 5 2" xfId="14989" xr:uid="{00000000-0005-0000-0000-00002FAE0000}"/>
    <cellStyle name="Normal 12 5 5 2 5 2 2" xfId="29523" xr:uid="{00000000-0005-0000-0000-000030AE0000}"/>
    <cellStyle name="Normal 12 5 5 2 5 2 2 2" xfId="58529" xr:uid="{00000000-0005-0000-0000-000031AE0000}"/>
    <cellStyle name="Normal 12 5 5 2 5 2 3" xfId="44030" xr:uid="{00000000-0005-0000-0000-000032AE0000}"/>
    <cellStyle name="Normal 12 5 5 2 5 3" xfId="22275" xr:uid="{00000000-0005-0000-0000-000033AE0000}"/>
    <cellStyle name="Normal 12 5 5 2 5 3 2" xfId="51281" xr:uid="{00000000-0005-0000-0000-000034AE0000}"/>
    <cellStyle name="Normal 12 5 5 2 5 4" xfId="36782" xr:uid="{00000000-0005-0000-0000-000035AE0000}"/>
    <cellStyle name="Normal 12 5 5 2 6" xfId="8781" xr:uid="{00000000-0005-0000-0000-000036AE0000}"/>
    <cellStyle name="Normal 12 5 5 2 6 2" xfId="23315" xr:uid="{00000000-0005-0000-0000-000037AE0000}"/>
    <cellStyle name="Normal 12 5 5 2 6 2 2" xfId="52321" xr:uid="{00000000-0005-0000-0000-000038AE0000}"/>
    <cellStyle name="Normal 12 5 5 2 6 3" xfId="37822" xr:uid="{00000000-0005-0000-0000-000039AE0000}"/>
    <cellStyle name="Normal 12 5 5 2 7" xfId="16067" xr:uid="{00000000-0005-0000-0000-00003AAE0000}"/>
    <cellStyle name="Normal 12 5 5 2 7 2" xfId="45073" xr:uid="{00000000-0005-0000-0000-00003BAE0000}"/>
    <cellStyle name="Normal 12 5 5 2 8" xfId="30574" xr:uid="{00000000-0005-0000-0000-00003CAE0000}"/>
    <cellStyle name="Normal 12 5 5 3" xfId="2037" xr:uid="{00000000-0005-0000-0000-00003DAE0000}"/>
    <cellStyle name="Normal 12 5 5 3 2" xfId="5141" xr:uid="{00000000-0005-0000-0000-00003EAE0000}"/>
    <cellStyle name="Normal 12 5 5 3 2 2" xfId="12413" xr:uid="{00000000-0005-0000-0000-00003FAE0000}"/>
    <cellStyle name="Normal 12 5 5 3 2 2 2" xfId="26947" xr:uid="{00000000-0005-0000-0000-000040AE0000}"/>
    <cellStyle name="Normal 12 5 5 3 2 2 2 2" xfId="55953" xr:uid="{00000000-0005-0000-0000-000041AE0000}"/>
    <cellStyle name="Normal 12 5 5 3 2 2 3" xfId="41454" xr:uid="{00000000-0005-0000-0000-000042AE0000}"/>
    <cellStyle name="Normal 12 5 5 3 2 3" xfId="19699" xr:uid="{00000000-0005-0000-0000-000043AE0000}"/>
    <cellStyle name="Normal 12 5 5 3 2 3 2" xfId="48705" xr:uid="{00000000-0005-0000-0000-000044AE0000}"/>
    <cellStyle name="Normal 12 5 5 3 2 4" xfId="34206" xr:uid="{00000000-0005-0000-0000-000045AE0000}"/>
    <cellStyle name="Normal 12 5 5 3 3" xfId="9309" xr:uid="{00000000-0005-0000-0000-000046AE0000}"/>
    <cellStyle name="Normal 12 5 5 3 3 2" xfId="23843" xr:uid="{00000000-0005-0000-0000-000047AE0000}"/>
    <cellStyle name="Normal 12 5 5 3 3 2 2" xfId="52849" xr:uid="{00000000-0005-0000-0000-000048AE0000}"/>
    <cellStyle name="Normal 12 5 5 3 3 3" xfId="38350" xr:uid="{00000000-0005-0000-0000-000049AE0000}"/>
    <cellStyle name="Normal 12 5 5 3 4" xfId="16595" xr:uid="{00000000-0005-0000-0000-00004AAE0000}"/>
    <cellStyle name="Normal 12 5 5 3 4 2" xfId="45601" xr:uid="{00000000-0005-0000-0000-00004BAE0000}"/>
    <cellStyle name="Normal 12 5 5 3 5" xfId="31102" xr:uid="{00000000-0005-0000-0000-00004CAE0000}"/>
    <cellStyle name="Normal 12 5 5 4" xfId="3069" xr:uid="{00000000-0005-0000-0000-00004DAE0000}"/>
    <cellStyle name="Normal 12 5 5 4 2" xfId="6173" xr:uid="{00000000-0005-0000-0000-00004EAE0000}"/>
    <cellStyle name="Normal 12 5 5 4 2 2" xfId="13445" xr:uid="{00000000-0005-0000-0000-00004FAE0000}"/>
    <cellStyle name="Normal 12 5 5 4 2 2 2" xfId="27979" xr:uid="{00000000-0005-0000-0000-000050AE0000}"/>
    <cellStyle name="Normal 12 5 5 4 2 2 2 2" xfId="56985" xr:uid="{00000000-0005-0000-0000-000051AE0000}"/>
    <cellStyle name="Normal 12 5 5 4 2 2 3" xfId="42486" xr:uid="{00000000-0005-0000-0000-000052AE0000}"/>
    <cellStyle name="Normal 12 5 5 4 2 3" xfId="20731" xr:uid="{00000000-0005-0000-0000-000053AE0000}"/>
    <cellStyle name="Normal 12 5 5 4 2 3 2" xfId="49737" xr:uid="{00000000-0005-0000-0000-000054AE0000}"/>
    <cellStyle name="Normal 12 5 5 4 2 4" xfId="35238" xr:uid="{00000000-0005-0000-0000-000055AE0000}"/>
    <cellStyle name="Normal 12 5 5 4 3" xfId="10341" xr:uid="{00000000-0005-0000-0000-000056AE0000}"/>
    <cellStyle name="Normal 12 5 5 4 3 2" xfId="24875" xr:uid="{00000000-0005-0000-0000-000057AE0000}"/>
    <cellStyle name="Normal 12 5 5 4 3 2 2" xfId="53881" xr:uid="{00000000-0005-0000-0000-000058AE0000}"/>
    <cellStyle name="Normal 12 5 5 4 3 3" xfId="39382" xr:uid="{00000000-0005-0000-0000-000059AE0000}"/>
    <cellStyle name="Normal 12 5 5 4 4" xfId="17627" xr:uid="{00000000-0005-0000-0000-00005AAE0000}"/>
    <cellStyle name="Normal 12 5 5 4 4 2" xfId="46633" xr:uid="{00000000-0005-0000-0000-00005BAE0000}"/>
    <cellStyle name="Normal 12 5 5 4 5" xfId="32134" xr:uid="{00000000-0005-0000-0000-00005CAE0000}"/>
    <cellStyle name="Normal 12 5 5 5" xfId="4101" xr:uid="{00000000-0005-0000-0000-00005DAE0000}"/>
    <cellStyle name="Normal 12 5 5 5 2" xfId="11373" xr:uid="{00000000-0005-0000-0000-00005EAE0000}"/>
    <cellStyle name="Normal 12 5 5 5 2 2" xfId="25907" xr:uid="{00000000-0005-0000-0000-00005FAE0000}"/>
    <cellStyle name="Normal 12 5 5 5 2 2 2" xfId="54913" xr:uid="{00000000-0005-0000-0000-000060AE0000}"/>
    <cellStyle name="Normal 12 5 5 5 2 3" xfId="40414" xr:uid="{00000000-0005-0000-0000-000061AE0000}"/>
    <cellStyle name="Normal 12 5 5 5 3" xfId="18659" xr:uid="{00000000-0005-0000-0000-000062AE0000}"/>
    <cellStyle name="Normal 12 5 5 5 3 2" xfId="47665" xr:uid="{00000000-0005-0000-0000-000063AE0000}"/>
    <cellStyle name="Normal 12 5 5 5 4" xfId="33166" xr:uid="{00000000-0005-0000-0000-000064AE0000}"/>
    <cellStyle name="Normal 12 5 5 6" xfId="7205" xr:uid="{00000000-0005-0000-0000-000065AE0000}"/>
    <cellStyle name="Normal 12 5 5 6 2" xfId="14477" xr:uid="{00000000-0005-0000-0000-000066AE0000}"/>
    <cellStyle name="Normal 12 5 5 6 2 2" xfId="29011" xr:uid="{00000000-0005-0000-0000-000067AE0000}"/>
    <cellStyle name="Normal 12 5 5 6 2 2 2" xfId="58017" xr:uid="{00000000-0005-0000-0000-000068AE0000}"/>
    <cellStyle name="Normal 12 5 5 6 2 3" xfId="43518" xr:uid="{00000000-0005-0000-0000-000069AE0000}"/>
    <cellStyle name="Normal 12 5 5 6 3" xfId="21763" xr:uid="{00000000-0005-0000-0000-00006AAE0000}"/>
    <cellStyle name="Normal 12 5 5 6 3 2" xfId="50769" xr:uid="{00000000-0005-0000-0000-00006BAE0000}"/>
    <cellStyle name="Normal 12 5 5 6 4" xfId="36270" xr:uid="{00000000-0005-0000-0000-00006CAE0000}"/>
    <cellStyle name="Normal 12 5 5 7" xfId="8269" xr:uid="{00000000-0005-0000-0000-00006DAE0000}"/>
    <cellStyle name="Normal 12 5 5 7 2" xfId="22803" xr:uid="{00000000-0005-0000-0000-00006EAE0000}"/>
    <cellStyle name="Normal 12 5 5 7 2 2" xfId="51809" xr:uid="{00000000-0005-0000-0000-00006FAE0000}"/>
    <cellStyle name="Normal 12 5 5 7 3" xfId="37310" xr:uid="{00000000-0005-0000-0000-000070AE0000}"/>
    <cellStyle name="Normal 12 5 5 8" xfId="15555" xr:uid="{00000000-0005-0000-0000-000071AE0000}"/>
    <cellStyle name="Normal 12 5 5 8 2" xfId="44561" xr:uid="{00000000-0005-0000-0000-000072AE0000}"/>
    <cellStyle name="Normal 12 5 5 9" xfId="30062" xr:uid="{00000000-0005-0000-0000-000073AE0000}"/>
    <cellStyle name="Normal 12 5 6" xfId="1287" xr:uid="{00000000-0005-0000-0000-000074AE0000}"/>
    <cellStyle name="Normal 12 5 6 2" xfId="2343" xr:uid="{00000000-0005-0000-0000-000075AE0000}"/>
    <cellStyle name="Normal 12 5 6 2 2" xfId="5447" xr:uid="{00000000-0005-0000-0000-000076AE0000}"/>
    <cellStyle name="Normal 12 5 6 2 2 2" xfId="12719" xr:uid="{00000000-0005-0000-0000-000077AE0000}"/>
    <cellStyle name="Normal 12 5 6 2 2 2 2" xfId="27253" xr:uid="{00000000-0005-0000-0000-000078AE0000}"/>
    <cellStyle name="Normal 12 5 6 2 2 2 2 2" xfId="56259" xr:uid="{00000000-0005-0000-0000-000079AE0000}"/>
    <cellStyle name="Normal 12 5 6 2 2 2 3" xfId="41760" xr:uid="{00000000-0005-0000-0000-00007AAE0000}"/>
    <cellStyle name="Normal 12 5 6 2 2 3" xfId="20005" xr:uid="{00000000-0005-0000-0000-00007BAE0000}"/>
    <cellStyle name="Normal 12 5 6 2 2 3 2" xfId="49011" xr:uid="{00000000-0005-0000-0000-00007CAE0000}"/>
    <cellStyle name="Normal 12 5 6 2 2 4" xfId="34512" xr:uid="{00000000-0005-0000-0000-00007DAE0000}"/>
    <cellStyle name="Normal 12 5 6 2 3" xfId="9615" xr:uid="{00000000-0005-0000-0000-00007EAE0000}"/>
    <cellStyle name="Normal 12 5 6 2 3 2" xfId="24149" xr:uid="{00000000-0005-0000-0000-00007FAE0000}"/>
    <cellStyle name="Normal 12 5 6 2 3 2 2" xfId="53155" xr:uid="{00000000-0005-0000-0000-000080AE0000}"/>
    <cellStyle name="Normal 12 5 6 2 3 3" xfId="38656" xr:uid="{00000000-0005-0000-0000-000081AE0000}"/>
    <cellStyle name="Normal 12 5 6 2 4" xfId="16901" xr:uid="{00000000-0005-0000-0000-000082AE0000}"/>
    <cellStyle name="Normal 12 5 6 2 4 2" xfId="45907" xr:uid="{00000000-0005-0000-0000-000083AE0000}"/>
    <cellStyle name="Normal 12 5 6 2 5" xfId="31408" xr:uid="{00000000-0005-0000-0000-000084AE0000}"/>
    <cellStyle name="Normal 12 5 6 3" xfId="3375" xr:uid="{00000000-0005-0000-0000-000085AE0000}"/>
    <cellStyle name="Normal 12 5 6 3 2" xfId="6479" xr:uid="{00000000-0005-0000-0000-000086AE0000}"/>
    <cellStyle name="Normal 12 5 6 3 2 2" xfId="13751" xr:uid="{00000000-0005-0000-0000-000087AE0000}"/>
    <cellStyle name="Normal 12 5 6 3 2 2 2" xfId="28285" xr:uid="{00000000-0005-0000-0000-000088AE0000}"/>
    <cellStyle name="Normal 12 5 6 3 2 2 2 2" xfId="57291" xr:uid="{00000000-0005-0000-0000-000089AE0000}"/>
    <cellStyle name="Normal 12 5 6 3 2 2 3" xfId="42792" xr:uid="{00000000-0005-0000-0000-00008AAE0000}"/>
    <cellStyle name="Normal 12 5 6 3 2 3" xfId="21037" xr:uid="{00000000-0005-0000-0000-00008BAE0000}"/>
    <cellStyle name="Normal 12 5 6 3 2 3 2" xfId="50043" xr:uid="{00000000-0005-0000-0000-00008CAE0000}"/>
    <cellStyle name="Normal 12 5 6 3 2 4" xfId="35544" xr:uid="{00000000-0005-0000-0000-00008DAE0000}"/>
    <cellStyle name="Normal 12 5 6 3 3" xfId="10647" xr:uid="{00000000-0005-0000-0000-00008EAE0000}"/>
    <cellStyle name="Normal 12 5 6 3 3 2" xfId="25181" xr:uid="{00000000-0005-0000-0000-00008FAE0000}"/>
    <cellStyle name="Normal 12 5 6 3 3 2 2" xfId="54187" xr:uid="{00000000-0005-0000-0000-000090AE0000}"/>
    <cellStyle name="Normal 12 5 6 3 3 3" xfId="39688" xr:uid="{00000000-0005-0000-0000-000091AE0000}"/>
    <cellStyle name="Normal 12 5 6 3 4" xfId="17933" xr:uid="{00000000-0005-0000-0000-000092AE0000}"/>
    <cellStyle name="Normal 12 5 6 3 4 2" xfId="46939" xr:uid="{00000000-0005-0000-0000-000093AE0000}"/>
    <cellStyle name="Normal 12 5 6 3 5" xfId="32440" xr:uid="{00000000-0005-0000-0000-000094AE0000}"/>
    <cellStyle name="Normal 12 5 6 4" xfId="4407" xr:uid="{00000000-0005-0000-0000-000095AE0000}"/>
    <cellStyle name="Normal 12 5 6 4 2" xfId="11679" xr:uid="{00000000-0005-0000-0000-000096AE0000}"/>
    <cellStyle name="Normal 12 5 6 4 2 2" xfId="26213" xr:uid="{00000000-0005-0000-0000-000097AE0000}"/>
    <cellStyle name="Normal 12 5 6 4 2 2 2" xfId="55219" xr:uid="{00000000-0005-0000-0000-000098AE0000}"/>
    <cellStyle name="Normal 12 5 6 4 2 3" xfId="40720" xr:uid="{00000000-0005-0000-0000-000099AE0000}"/>
    <cellStyle name="Normal 12 5 6 4 3" xfId="18965" xr:uid="{00000000-0005-0000-0000-00009AAE0000}"/>
    <cellStyle name="Normal 12 5 6 4 3 2" xfId="47971" xr:uid="{00000000-0005-0000-0000-00009BAE0000}"/>
    <cellStyle name="Normal 12 5 6 4 4" xfId="33472" xr:uid="{00000000-0005-0000-0000-00009CAE0000}"/>
    <cellStyle name="Normal 12 5 6 5" xfId="7511" xr:uid="{00000000-0005-0000-0000-00009DAE0000}"/>
    <cellStyle name="Normal 12 5 6 5 2" xfId="14783" xr:uid="{00000000-0005-0000-0000-00009EAE0000}"/>
    <cellStyle name="Normal 12 5 6 5 2 2" xfId="29317" xr:uid="{00000000-0005-0000-0000-00009FAE0000}"/>
    <cellStyle name="Normal 12 5 6 5 2 2 2" xfId="58323" xr:uid="{00000000-0005-0000-0000-0000A0AE0000}"/>
    <cellStyle name="Normal 12 5 6 5 2 3" xfId="43824" xr:uid="{00000000-0005-0000-0000-0000A1AE0000}"/>
    <cellStyle name="Normal 12 5 6 5 3" xfId="22069" xr:uid="{00000000-0005-0000-0000-0000A2AE0000}"/>
    <cellStyle name="Normal 12 5 6 5 3 2" xfId="51075" xr:uid="{00000000-0005-0000-0000-0000A3AE0000}"/>
    <cellStyle name="Normal 12 5 6 5 4" xfId="36576" xr:uid="{00000000-0005-0000-0000-0000A4AE0000}"/>
    <cellStyle name="Normal 12 5 6 6" xfId="8575" xr:uid="{00000000-0005-0000-0000-0000A5AE0000}"/>
    <cellStyle name="Normal 12 5 6 6 2" xfId="23109" xr:uid="{00000000-0005-0000-0000-0000A6AE0000}"/>
    <cellStyle name="Normal 12 5 6 6 2 2" xfId="52115" xr:uid="{00000000-0005-0000-0000-0000A7AE0000}"/>
    <cellStyle name="Normal 12 5 6 6 3" xfId="37616" xr:uid="{00000000-0005-0000-0000-0000A8AE0000}"/>
    <cellStyle name="Normal 12 5 6 7" xfId="15861" xr:uid="{00000000-0005-0000-0000-0000A9AE0000}"/>
    <cellStyle name="Normal 12 5 6 7 2" xfId="44867" xr:uid="{00000000-0005-0000-0000-0000AAAE0000}"/>
    <cellStyle name="Normal 12 5 6 8" xfId="30368" xr:uid="{00000000-0005-0000-0000-0000ABAE0000}"/>
    <cellStyle name="Normal 12 5 7" xfId="1831" xr:uid="{00000000-0005-0000-0000-0000ACAE0000}"/>
    <cellStyle name="Normal 12 5 7 2" xfId="4935" xr:uid="{00000000-0005-0000-0000-0000ADAE0000}"/>
    <cellStyle name="Normal 12 5 7 2 2" xfId="12207" xr:uid="{00000000-0005-0000-0000-0000AEAE0000}"/>
    <cellStyle name="Normal 12 5 7 2 2 2" xfId="26741" xr:uid="{00000000-0005-0000-0000-0000AFAE0000}"/>
    <cellStyle name="Normal 12 5 7 2 2 2 2" xfId="55747" xr:uid="{00000000-0005-0000-0000-0000B0AE0000}"/>
    <cellStyle name="Normal 12 5 7 2 2 3" xfId="41248" xr:uid="{00000000-0005-0000-0000-0000B1AE0000}"/>
    <cellStyle name="Normal 12 5 7 2 3" xfId="19493" xr:uid="{00000000-0005-0000-0000-0000B2AE0000}"/>
    <cellStyle name="Normal 12 5 7 2 3 2" xfId="48499" xr:uid="{00000000-0005-0000-0000-0000B3AE0000}"/>
    <cellStyle name="Normal 12 5 7 2 4" xfId="34000" xr:uid="{00000000-0005-0000-0000-0000B4AE0000}"/>
    <cellStyle name="Normal 12 5 7 3" xfId="9103" xr:uid="{00000000-0005-0000-0000-0000B5AE0000}"/>
    <cellStyle name="Normal 12 5 7 3 2" xfId="23637" xr:uid="{00000000-0005-0000-0000-0000B6AE0000}"/>
    <cellStyle name="Normal 12 5 7 3 2 2" xfId="52643" xr:uid="{00000000-0005-0000-0000-0000B7AE0000}"/>
    <cellStyle name="Normal 12 5 7 3 3" xfId="38144" xr:uid="{00000000-0005-0000-0000-0000B8AE0000}"/>
    <cellStyle name="Normal 12 5 7 4" xfId="16389" xr:uid="{00000000-0005-0000-0000-0000B9AE0000}"/>
    <cellStyle name="Normal 12 5 7 4 2" xfId="45395" xr:uid="{00000000-0005-0000-0000-0000BAAE0000}"/>
    <cellStyle name="Normal 12 5 7 5" xfId="30896" xr:uid="{00000000-0005-0000-0000-0000BBAE0000}"/>
    <cellStyle name="Normal 12 5 8" xfId="2863" xr:uid="{00000000-0005-0000-0000-0000BCAE0000}"/>
    <cellStyle name="Normal 12 5 8 2" xfId="5967" xr:uid="{00000000-0005-0000-0000-0000BDAE0000}"/>
    <cellStyle name="Normal 12 5 8 2 2" xfId="13239" xr:uid="{00000000-0005-0000-0000-0000BEAE0000}"/>
    <cellStyle name="Normal 12 5 8 2 2 2" xfId="27773" xr:uid="{00000000-0005-0000-0000-0000BFAE0000}"/>
    <cellStyle name="Normal 12 5 8 2 2 2 2" xfId="56779" xr:uid="{00000000-0005-0000-0000-0000C0AE0000}"/>
    <cellStyle name="Normal 12 5 8 2 2 3" xfId="42280" xr:uid="{00000000-0005-0000-0000-0000C1AE0000}"/>
    <cellStyle name="Normal 12 5 8 2 3" xfId="20525" xr:uid="{00000000-0005-0000-0000-0000C2AE0000}"/>
    <cellStyle name="Normal 12 5 8 2 3 2" xfId="49531" xr:uid="{00000000-0005-0000-0000-0000C3AE0000}"/>
    <cellStyle name="Normal 12 5 8 2 4" xfId="35032" xr:uid="{00000000-0005-0000-0000-0000C4AE0000}"/>
    <cellStyle name="Normal 12 5 8 3" xfId="10135" xr:uid="{00000000-0005-0000-0000-0000C5AE0000}"/>
    <cellStyle name="Normal 12 5 8 3 2" xfId="24669" xr:uid="{00000000-0005-0000-0000-0000C6AE0000}"/>
    <cellStyle name="Normal 12 5 8 3 2 2" xfId="53675" xr:uid="{00000000-0005-0000-0000-0000C7AE0000}"/>
    <cellStyle name="Normal 12 5 8 3 3" xfId="39176" xr:uid="{00000000-0005-0000-0000-0000C8AE0000}"/>
    <cellStyle name="Normal 12 5 8 4" xfId="17421" xr:uid="{00000000-0005-0000-0000-0000C9AE0000}"/>
    <cellStyle name="Normal 12 5 8 4 2" xfId="46427" xr:uid="{00000000-0005-0000-0000-0000CAAE0000}"/>
    <cellStyle name="Normal 12 5 8 5" xfId="31928" xr:uid="{00000000-0005-0000-0000-0000CBAE0000}"/>
    <cellStyle name="Normal 12 5 9" xfId="3895" xr:uid="{00000000-0005-0000-0000-0000CCAE0000}"/>
    <cellStyle name="Normal 12 5 9 2" xfId="11167" xr:uid="{00000000-0005-0000-0000-0000CDAE0000}"/>
    <cellStyle name="Normal 12 5 9 2 2" xfId="25701" xr:uid="{00000000-0005-0000-0000-0000CEAE0000}"/>
    <cellStyle name="Normal 12 5 9 2 2 2" xfId="54707" xr:uid="{00000000-0005-0000-0000-0000CFAE0000}"/>
    <cellStyle name="Normal 12 5 9 2 3" xfId="40208" xr:uid="{00000000-0005-0000-0000-0000D0AE0000}"/>
    <cellStyle name="Normal 12 5 9 3" xfId="18453" xr:uid="{00000000-0005-0000-0000-0000D1AE0000}"/>
    <cellStyle name="Normal 12 5 9 3 2" xfId="47459" xr:uid="{00000000-0005-0000-0000-0000D2AE0000}"/>
    <cellStyle name="Normal 12 5 9 4" xfId="32960" xr:uid="{00000000-0005-0000-0000-0000D3AE0000}"/>
    <cellStyle name="Normal 12 6" xfId="863" xr:uid="{00000000-0005-0000-0000-0000D4AE0000}"/>
    <cellStyle name="Normal 12 6 10" xfId="8091" xr:uid="{00000000-0005-0000-0000-0000D5AE0000}"/>
    <cellStyle name="Normal 12 6 10 2" xfId="22625" xr:uid="{00000000-0005-0000-0000-0000D6AE0000}"/>
    <cellStyle name="Normal 12 6 10 2 2" xfId="51631" xr:uid="{00000000-0005-0000-0000-0000D7AE0000}"/>
    <cellStyle name="Normal 12 6 10 3" xfId="37132" xr:uid="{00000000-0005-0000-0000-0000D8AE0000}"/>
    <cellStyle name="Normal 12 6 11" xfId="15377" xr:uid="{00000000-0005-0000-0000-0000D9AE0000}"/>
    <cellStyle name="Normal 12 6 11 2" xfId="44383" xr:uid="{00000000-0005-0000-0000-0000DAAE0000}"/>
    <cellStyle name="Normal 12 6 12" xfId="29884" xr:uid="{00000000-0005-0000-0000-0000DBAE0000}"/>
    <cellStyle name="Normal 12 6 2" xfId="943" xr:uid="{00000000-0005-0000-0000-0000DCAE0000}"/>
    <cellStyle name="Normal 12 6 2 10" xfId="29987" xr:uid="{00000000-0005-0000-0000-0000DDAE0000}"/>
    <cellStyle name="Normal 12 6 2 2" xfId="1216" xr:uid="{00000000-0005-0000-0000-0000DEAE0000}"/>
    <cellStyle name="Normal 12 6 2 2 2" xfId="1721" xr:uid="{00000000-0005-0000-0000-0000DFAE0000}"/>
    <cellStyle name="Normal 12 6 2 2 2 2" xfId="2780" xr:uid="{00000000-0005-0000-0000-0000E0AE0000}"/>
    <cellStyle name="Normal 12 6 2 2 2 2 2" xfId="5884" xr:uid="{00000000-0005-0000-0000-0000E1AE0000}"/>
    <cellStyle name="Normal 12 6 2 2 2 2 2 2" xfId="13156" xr:uid="{00000000-0005-0000-0000-0000E2AE0000}"/>
    <cellStyle name="Normal 12 6 2 2 2 2 2 2 2" xfId="27690" xr:uid="{00000000-0005-0000-0000-0000E3AE0000}"/>
    <cellStyle name="Normal 12 6 2 2 2 2 2 2 2 2" xfId="56696" xr:uid="{00000000-0005-0000-0000-0000E4AE0000}"/>
    <cellStyle name="Normal 12 6 2 2 2 2 2 2 3" xfId="42197" xr:uid="{00000000-0005-0000-0000-0000E5AE0000}"/>
    <cellStyle name="Normal 12 6 2 2 2 2 2 3" xfId="20442" xr:uid="{00000000-0005-0000-0000-0000E6AE0000}"/>
    <cellStyle name="Normal 12 6 2 2 2 2 2 3 2" xfId="49448" xr:uid="{00000000-0005-0000-0000-0000E7AE0000}"/>
    <cellStyle name="Normal 12 6 2 2 2 2 2 4" xfId="34949" xr:uid="{00000000-0005-0000-0000-0000E8AE0000}"/>
    <cellStyle name="Normal 12 6 2 2 2 2 3" xfId="10052" xr:uid="{00000000-0005-0000-0000-0000E9AE0000}"/>
    <cellStyle name="Normal 12 6 2 2 2 2 3 2" xfId="24586" xr:uid="{00000000-0005-0000-0000-0000EAAE0000}"/>
    <cellStyle name="Normal 12 6 2 2 2 2 3 2 2" xfId="53592" xr:uid="{00000000-0005-0000-0000-0000EBAE0000}"/>
    <cellStyle name="Normal 12 6 2 2 2 2 3 3" xfId="39093" xr:uid="{00000000-0005-0000-0000-0000ECAE0000}"/>
    <cellStyle name="Normal 12 6 2 2 2 2 4" xfId="17338" xr:uid="{00000000-0005-0000-0000-0000EDAE0000}"/>
    <cellStyle name="Normal 12 6 2 2 2 2 4 2" xfId="46344" xr:uid="{00000000-0005-0000-0000-0000EEAE0000}"/>
    <cellStyle name="Normal 12 6 2 2 2 2 5" xfId="31845" xr:uid="{00000000-0005-0000-0000-0000EFAE0000}"/>
    <cellStyle name="Normal 12 6 2 2 2 3" xfId="3812" xr:uid="{00000000-0005-0000-0000-0000F0AE0000}"/>
    <cellStyle name="Normal 12 6 2 2 2 3 2" xfId="6916" xr:uid="{00000000-0005-0000-0000-0000F1AE0000}"/>
    <cellStyle name="Normal 12 6 2 2 2 3 2 2" xfId="14188" xr:uid="{00000000-0005-0000-0000-0000F2AE0000}"/>
    <cellStyle name="Normal 12 6 2 2 2 3 2 2 2" xfId="28722" xr:uid="{00000000-0005-0000-0000-0000F3AE0000}"/>
    <cellStyle name="Normal 12 6 2 2 2 3 2 2 2 2" xfId="57728" xr:uid="{00000000-0005-0000-0000-0000F4AE0000}"/>
    <cellStyle name="Normal 12 6 2 2 2 3 2 2 3" xfId="43229" xr:uid="{00000000-0005-0000-0000-0000F5AE0000}"/>
    <cellStyle name="Normal 12 6 2 2 2 3 2 3" xfId="21474" xr:uid="{00000000-0005-0000-0000-0000F6AE0000}"/>
    <cellStyle name="Normal 12 6 2 2 2 3 2 3 2" xfId="50480" xr:uid="{00000000-0005-0000-0000-0000F7AE0000}"/>
    <cellStyle name="Normal 12 6 2 2 2 3 2 4" xfId="35981" xr:uid="{00000000-0005-0000-0000-0000F8AE0000}"/>
    <cellStyle name="Normal 12 6 2 2 2 3 3" xfId="11084" xr:uid="{00000000-0005-0000-0000-0000F9AE0000}"/>
    <cellStyle name="Normal 12 6 2 2 2 3 3 2" xfId="25618" xr:uid="{00000000-0005-0000-0000-0000FAAE0000}"/>
    <cellStyle name="Normal 12 6 2 2 2 3 3 2 2" xfId="54624" xr:uid="{00000000-0005-0000-0000-0000FBAE0000}"/>
    <cellStyle name="Normal 12 6 2 2 2 3 3 3" xfId="40125" xr:uid="{00000000-0005-0000-0000-0000FCAE0000}"/>
    <cellStyle name="Normal 12 6 2 2 2 3 4" xfId="18370" xr:uid="{00000000-0005-0000-0000-0000FDAE0000}"/>
    <cellStyle name="Normal 12 6 2 2 2 3 4 2" xfId="47376" xr:uid="{00000000-0005-0000-0000-0000FEAE0000}"/>
    <cellStyle name="Normal 12 6 2 2 2 3 5" xfId="32877" xr:uid="{00000000-0005-0000-0000-0000FFAE0000}"/>
    <cellStyle name="Normal 12 6 2 2 2 4" xfId="4844" xr:uid="{00000000-0005-0000-0000-000000AF0000}"/>
    <cellStyle name="Normal 12 6 2 2 2 4 2" xfId="12116" xr:uid="{00000000-0005-0000-0000-000001AF0000}"/>
    <cellStyle name="Normal 12 6 2 2 2 4 2 2" xfId="26650" xr:uid="{00000000-0005-0000-0000-000002AF0000}"/>
    <cellStyle name="Normal 12 6 2 2 2 4 2 2 2" xfId="55656" xr:uid="{00000000-0005-0000-0000-000003AF0000}"/>
    <cellStyle name="Normal 12 6 2 2 2 4 2 3" xfId="41157" xr:uid="{00000000-0005-0000-0000-000004AF0000}"/>
    <cellStyle name="Normal 12 6 2 2 2 4 3" xfId="19402" xr:uid="{00000000-0005-0000-0000-000005AF0000}"/>
    <cellStyle name="Normal 12 6 2 2 2 4 3 2" xfId="48408" xr:uid="{00000000-0005-0000-0000-000006AF0000}"/>
    <cellStyle name="Normal 12 6 2 2 2 4 4" xfId="33909" xr:uid="{00000000-0005-0000-0000-000007AF0000}"/>
    <cellStyle name="Normal 12 6 2 2 2 5" xfId="7948" xr:uid="{00000000-0005-0000-0000-000008AF0000}"/>
    <cellStyle name="Normal 12 6 2 2 2 5 2" xfId="15220" xr:uid="{00000000-0005-0000-0000-000009AF0000}"/>
    <cellStyle name="Normal 12 6 2 2 2 5 2 2" xfId="29754" xr:uid="{00000000-0005-0000-0000-00000AAF0000}"/>
    <cellStyle name="Normal 12 6 2 2 2 5 2 2 2" xfId="58760" xr:uid="{00000000-0005-0000-0000-00000BAF0000}"/>
    <cellStyle name="Normal 12 6 2 2 2 5 2 3" xfId="44261" xr:uid="{00000000-0005-0000-0000-00000CAF0000}"/>
    <cellStyle name="Normal 12 6 2 2 2 5 3" xfId="22506" xr:uid="{00000000-0005-0000-0000-00000DAF0000}"/>
    <cellStyle name="Normal 12 6 2 2 2 5 3 2" xfId="51512" xr:uid="{00000000-0005-0000-0000-00000EAF0000}"/>
    <cellStyle name="Normal 12 6 2 2 2 5 4" xfId="37013" xr:uid="{00000000-0005-0000-0000-00000FAF0000}"/>
    <cellStyle name="Normal 12 6 2 2 2 6" xfId="9012" xr:uid="{00000000-0005-0000-0000-000010AF0000}"/>
    <cellStyle name="Normal 12 6 2 2 2 6 2" xfId="23546" xr:uid="{00000000-0005-0000-0000-000011AF0000}"/>
    <cellStyle name="Normal 12 6 2 2 2 6 2 2" xfId="52552" xr:uid="{00000000-0005-0000-0000-000012AF0000}"/>
    <cellStyle name="Normal 12 6 2 2 2 6 3" xfId="38053" xr:uid="{00000000-0005-0000-0000-000013AF0000}"/>
    <cellStyle name="Normal 12 6 2 2 2 7" xfId="16298" xr:uid="{00000000-0005-0000-0000-000014AF0000}"/>
    <cellStyle name="Normal 12 6 2 2 2 7 2" xfId="45304" xr:uid="{00000000-0005-0000-0000-000015AF0000}"/>
    <cellStyle name="Normal 12 6 2 2 2 8" xfId="30805" xr:uid="{00000000-0005-0000-0000-000016AF0000}"/>
    <cellStyle name="Normal 12 6 2 2 3" xfId="2268" xr:uid="{00000000-0005-0000-0000-000017AF0000}"/>
    <cellStyle name="Normal 12 6 2 2 3 2" xfId="5372" xr:uid="{00000000-0005-0000-0000-000018AF0000}"/>
    <cellStyle name="Normal 12 6 2 2 3 2 2" xfId="12644" xr:uid="{00000000-0005-0000-0000-000019AF0000}"/>
    <cellStyle name="Normal 12 6 2 2 3 2 2 2" xfId="27178" xr:uid="{00000000-0005-0000-0000-00001AAF0000}"/>
    <cellStyle name="Normal 12 6 2 2 3 2 2 2 2" xfId="56184" xr:uid="{00000000-0005-0000-0000-00001BAF0000}"/>
    <cellStyle name="Normal 12 6 2 2 3 2 2 3" xfId="41685" xr:uid="{00000000-0005-0000-0000-00001CAF0000}"/>
    <cellStyle name="Normal 12 6 2 2 3 2 3" xfId="19930" xr:uid="{00000000-0005-0000-0000-00001DAF0000}"/>
    <cellStyle name="Normal 12 6 2 2 3 2 3 2" xfId="48936" xr:uid="{00000000-0005-0000-0000-00001EAF0000}"/>
    <cellStyle name="Normal 12 6 2 2 3 2 4" xfId="34437" xr:uid="{00000000-0005-0000-0000-00001FAF0000}"/>
    <cellStyle name="Normal 12 6 2 2 3 3" xfId="9540" xr:uid="{00000000-0005-0000-0000-000020AF0000}"/>
    <cellStyle name="Normal 12 6 2 2 3 3 2" xfId="24074" xr:uid="{00000000-0005-0000-0000-000021AF0000}"/>
    <cellStyle name="Normal 12 6 2 2 3 3 2 2" xfId="53080" xr:uid="{00000000-0005-0000-0000-000022AF0000}"/>
    <cellStyle name="Normal 12 6 2 2 3 3 3" xfId="38581" xr:uid="{00000000-0005-0000-0000-000023AF0000}"/>
    <cellStyle name="Normal 12 6 2 2 3 4" xfId="16826" xr:uid="{00000000-0005-0000-0000-000024AF0000}"/>
    <cellStyle name="Normal 12 6 2 2 3 4 2" xfId="45832" xr:uid="{00000000-0005-0000-0000-000025AF0000}"/>
    <cellStyle name="Normal 12 6 2 2 3 5" xfId="31333" xr:uid="{00000000-0005-0000-0000-000026AF0000}"/>
    <cellStyle name="Normal 12 6 2 2 4" xfId="3300" xr:uid="{00000000-0005-0000-0000-000027AF0000}"/>
    <cellStyle name="Normal 12 6 2 2 4 2" xfId="6404" xr:uid="{00000000-0005-0000-0000-000028AF0000}"/>
    <cellStyle name="Normal 12 6 2 2 4 2 2" xfId="13676" xr:uid="{00000000-0005-0000-0000-000029AF0000}"/>
    <cellStyle name="Normal 12 6 2 2 4 2 2 2" xfId="28210" xr:uid="{00000000-0005-0000-0000-00002AAF0000}"/>
    <cellStyle name="Normal 12 6 2 2 4 2 2 2 2" xfId="57216" xr:uid="{00000000-0005-0000-0000-00002BAF0000}"/>
    <cellStyle name="Normal 12 6 2 2 4 2 2 3" xfId="42717" xr:uid="{00000000-0005-0000-0000-00002CAF0000}"/>
    <cellStyle name="Normal 12 6 2 2 4 2 3" xfId="20962" xr:uid="{00000000-0005-0000-0000-00002DAF0000}"/>
    <cellStyle name="Normal 12 6 2 2 4 2 3 2" xfId="49968" xr:uid="{00000000-0005-0000-0000-00002EAF0000}"/>
    <cellStyle name="Normal 12 6 2 2 4 2 4" xfId="35469" xr:uid="{00000000-0005-0000-0000-00002FAF0000}"/>
    <cellStyle name="Normal 12 6 2 2 4 3" xfId="10572" xr:uid="{00000000-0005-0000-0000-000030AF0000}"/>
    <cellStyle name="Normal 12 6 2 2 4 3 2" xfId="25106" xr:uid="{00000000-0005-0000-0000-000031AF0000}"/>
    <cellStyle name="Normal 12 6 2 2 4 3 2 2" xfId="54112" xr:uid="{00000000-0005-0000-0000-000032AF0000}"/>
    <cellStyle name="Normal 12 6 2 2 4 3 3" xfId="39613" xr:uid="{00000000-0005-0000-0000-000033AF0000}"/>
    <cellStyle name="Normal 12 6 2 2 4 4" xfId="17858" xr:uid="{00000000-0005-0000-0000-000034AF0000}"/>
    <cellStyle name="Normal 12 6 2 2 4 4 2" xfId="46864" xr:uid="{00000000-0005-0000-0000-000035AF0000}"/>
    <cellStyle name="Normal 12 6 2 2 4 5" xfId="32365" xr:uid="{00000000-0005-0000-0000-000036AF0000}"/>
    <cellStyle name="Normal 12 6 2 2 5" xfId="4332" xr:uid="{00000000-0005-0000-0000-000037AF0000}"/>
    <cellStyle name="Normal 12 6 2 2 5 2" xfId="11604" xr:uid="{00000000-0005-0000-0000-000038AF0000}"/>
    <cellStyle name="Normal 12 6 2 2 5 2 2" xfId="26138" xr:uid="{00000000-0005-0000-0000-000039AF0000}"/>
    <cellStyle name="Normal 12 6 2 2 5 2 2 2" xfId="55144" xr:uid="{00000000-0005-0000-0000-00003AAF0000}"/>
    <cellStyle name="Normal 12 6 2 2 5 2 3" xfId="40645" xr:uid="{00000000-0005-0000-0000-00003BAF0000}"/>
    <cellStyle name="Normal 12 6 2 2 5 3" xfId="18890" xr:uid="{00000000-0005-0000-0000-00003CAF0000}"/>
    <cellStyle name="Normal 12 6 2 2 5 3 2" xfId="47896" xr:uid="{00000000-0005-0000-0000-00003DAF0000}"/>
    <cellStyle name="Normal 12 6 2 2 5 4" xfId="33397" xr:uid="{00000000-0005-0000-0000-00003EAF0000}"/>
    <cellStyle name="Normal 12 6 2 2 6" xfId="7436" xr:uid="{00000000-0005-0000-0000-00003FAF0000}"/>
    <cellStyle name="Normal 12 6 2 2 6 2" xfId="14708" xr:uid="{00000000-0005-0000-0000-000040AF0000}"/>
    <cellStyle name="Normal 12 6 2 2 6 2 2" xfId="29242" xr:uid="{00000000-0005-0000-0000-000041AF0000}"/>
    <cellStyle name="Normal 12 6 2 2 6 2 2 2" xfId="58248" xr:uid="{00000000-0005-0000-0000-000042AF0000}"/>
    <cellStyle name="Normal 12 6 2 2 6 2 3" xfId="43749" xr:uid="{00000000-0005-0000-0000-000043AF0000}"/>
    <cellStyle name="Normal 12 6 2 2 6 3" xfId="21994" xr:uid="{00000000-0005-0000-0000-000044AF0000}"/>
    <cellStyle name="Normal 12 6 2 2 6 3 2" xfId="51000" xr:uid="{00000000-0005-0000-0000-000045AF0000}"/>
    <cellStyle name="Normal 12 6 2 2 6 4" xfId="36501" xr:uid="{00000000-0005-0000-0000-000046AF0000}"/>
    <cellStyle name="Normal 12 6 2 2 7" xfId="8500" xr:uid="{00000000-0005-0000-0000-000047AF0000}"/>
    <cellStyle name="Normal 12 6 2 2 7 2" xfId="23034" xr:uid="{00000000-0005-0000-0000-000048AF0000}"/>
    <cellStyle name="Normal 12 6 2 2 7 2 2" xfId="52040" xr:uid="{00000000-0005-0000-0000-000049AF0000}"/>
    <cellStyle name="Normal 12 6 2 2 7 3" xfId="37541" xr:uid="{00000000-0005-0000-0000-00004AAF0000}"/>
    <cellStyle name="Normal 12 6 2 2 8" xfId="15786" xr:uid="{00000000-0005-0000-0000-00004BAF0000}"/>
    <cellStyle name="Normal 12 6 2 2 8 2" xfId="44792" xr:uid="{00000000-0005-0000-0000-00004CAF0000}"/>
    <cellStyle name="Normal 12 6 2 2 9" xfId="30293" xr:uid="{00000000-0005-0000-0000-00004DAF0000}"/>
    <cellStyle name="Normal 12 6 2 3" xfId="1416" xr:uid="{00000000-0005-0000-0000-00004EAF0000}"/>
    <cellStyle name="Normal 12 6 2 3 2" xfId="2474" xr:uid="{00000000-0005-0000-0000-00004FAF0000}"/>
    <cellStyle name="Normal 12 6 2 3 2 2" xfId="5578" xr:uid="{00000000-0005-0000-0000-000050AF0000}"/>
    <cellStyle name="Normal 12 6 2 3 2 2 2" xfId="12850" xr:uid="{00000000-0005-0000-0000-000051AF0000}"/>
    <cellStyle name="Normal 12 6 2 3 2 2 2 2" xfId="27384" xr:uid="{00000000-0005-0000-0000-000052AF0000}"/>
    <cellStyle name="Normal 12 6 2 3 2 2 2 2 2" xfId="56390" xr:uid="{00000000-0005-0000-0000-000053AF0000}"/>
    <cellStyle name="Normal 12 6 2 3 2 2 2 3" xfId="41891" xr:uid="{00000000-0005-0000-0000-000054AF0000}"/>
    <cellStyle name="Normal 12 6 2 3 2 2 3" xfId="20136" xr:uid="{00000000-0005-0000-0000-000055AF0000}"/>
    <cellStyle name="Normal 12 6 2 3 2 2 3 2" xfId="49142" xr:uid="{00000000-0005-0000-0000-000056AF0000}"/>
    <cellStyle name="Normal 12 6 2 3 2 2 4" xfId="34643" xr:uid="{00000000-0005-0000-0000-000057AF0000}"/>
    <cellStyle name="Normal 12 6 2 3 2 3" xfId="9746" xr:uid="{00000000-0005-0000-0000-000058AF0000}"/>
    <cellStyle name="Normal 12 6 2 3 2 3 2" xfId="24280" xr:uid="{00000000-0005-0000-0000-000059AF0000}"/>
    <cellStyle name="Normal 12 6 2 3 2 3 2 2" xfId="53286" xr:uid="{00000000-0005-0000-0000-00005AAF0000}"/>
    <cellStyle name="Normal 12 6 2 3 2 3 3" xfId="38787" xr:uid="{00000000-0005-0000-0000-00005BAF0000}"/>
    <cellStyle name="Normal 12 6 2 3 2 4" xfId="17032" xr:uid="{00000000-0005-0000-0000-00005CAF0000}"/>
    <cellStyle name="Normal 12 6 2 3 2 4 2" xfId="46038" xr:uid="{00000000-0005-0000-0000-00005DAF0000}"/>
    <cellStyle name="Normal 12 6 2 3 2 5" xfId="31539" xr:uid="{00000000-0005-0000-0000-00005EAF0000}"/>
    <cellStyle name="Normal 12 6 2 3 3" xfId="3506" xr:uid="{00000000-0005-0000-0000-00005FAF0000}"/>
    <cellStyle name="Normal 12 6 2 3 3 2" xfId="6610" xr:uid="{00000000-0005-0000-0000-000060AF0000}"/>
    <cellStyle name="Normal 12 6 2 3 3 2 2" xfId="13882" xr:uid="{00000000-0005-0000-0000-000061AF0000}"/>
    <cellStyle name="Normal 12 6 2 3 3 2 2 2" xfId="28416" xr:uid="{00000000-0005-0000-0000-000062AF0000}"/>
    <cellStyle name="Normal 12 6 2 3 3 2 2 2 2" xfId="57422" xr:uid="{00000000-0005-0000-0000-000063AF0000}"/>
    <cellStyle name="Normal 12 6 2 3 3 2 2 3" xfId="42923" xr:uid="{00000000-0005-0000-0000-000064AF0000}"/>
    <cellStyle name="Normal 12 6 2 3 3 2 3" xfId="21168" xr:uid="{00000000-0005-0000-0000-000065AF0000}"/>
    <cellStyle name="Normal 12 6 2 3 3 2 3 2" xfId="50174" xr:uid="{00000000-0005-0000-0000-000066AF0000}"/>
    <cellStyle name="Normal 12 6 2 3 3 2 4" xfId="35675" xr:uid="{00000000-0005-0000-0000-000067AF0000}"/>
    <cellStyle name="Normal 12 6 2 3 3 3" xfId="10778" xr:uid="{00000000-0005-0000-0000-000068AF0000}"/>
    <cellStyle name="Normal 12 6 2 3 3 3 2" xfId="25312" xr:uid="{00000000-0005-0000-0000-000069AF0000}"/>
    <cellStyle name="Normal 12 6 2 3 3 3 2 2" xfId="54318" xr:uid="{00000000-0005-0000-0000-00006AAF0000}"/>
    <cellStyle name="Normal 12 6 2 3 3 3 3" xfId="39819" xr:uid="{00000000-0005-0000-0000-00006BAF0000}"/>
    <cellStyle name="Normal 12 6 2 3 3 4" xfId="18064" xr:uid="{00000000-0005-0000-0000-00006CAF0000}"/>
    <cellStyle name="Normal 12 6 2 3 3 4 2" xfId="47070" xr:uid="{00000000-0005-0000-0000-00006DAF0000}"/>
    <cellStyle name="Normal 12 6 2 3 3 5" xfId="32571" xr:uid="{00000000-0005-0000-0000-00006EAF0000}"/>
    <cellStyle name="Normal 12 6 2 3 4" xfId="4538" xr:uid="{00000000-0005-0000-0000-00006FAF0000}"/>
    <cellStyle name="Normal 12 6 2 3 4 2" xfId="11810" xr:uid="{00000000-0005-0000-0000-000070AF0000}"/>
    <cellStyle name="Normal 12 6 2 3 4 2 2" xfId="26344" xr:uid="{00000000-0005-0000-0000-000071AF0000}"/>
    <cellStyle name="Normal 12 6 2 3 4 2 2 2" xfId="55350" xr:uid="{00000000-0005-0000-0000-000072AF0000}"/>
    <cellStyle name="Normal 12 6 2 3 4 2 3" xfId="40851" xr:uid="{00000000-0005-0000-0000-000073AF0000}"/>
    <cellStyle name="Normal 12 6 2 3 4 3" xfId="19096" xr:uid="{00000000-0005-0000-0000-000074AF0000}"/>
    <cellStyle name="Normal 12 6 2 3 4 3 2" xfId="48102" xr:uid="{00000000-0005-0000-0000-000075AF0000}"/>
    <cellStyle name="Normal 12 6 2 3 4 4" xfId="33603" xr:uid="{00000000-0005-0000-0000-000076AF0000}"/>
    <cellStyle name="Normal 12 6 2 3 5" xfId="7642" xr:uid="{00000000-0005-0000-0000-000077AF0000}"/>
    <cellStyle name="Normal 12 6 2 3 5 2" xfId="14914" xr:uid="{00000000-0005-0000-0000-000078AF0000}"/>
    <cellStyle name="Normal 12 6 2 3 5 2 2" xfId="29448" xr:uid="{00000000-0005-0000-0000-000079AF0000}"/>
    <cellStyle name="Normal 12 6 2 3 5 2 2 2" xfId="58454" xr:uid="{00000000-0005-0000-0000-00007AAF0000}"/>
    <cellStyle name="Normal 12 6 2 3 5 2 3" xfId="43955" xr:uid="{00000000-0005-0000-0000-00007BAF0000}"/>
    <cellStyle name="Normal 12 6 2 3 5 3" xfId="22200" xr:uid="{00000000-0005-0000-0000-00007CAF0000}"/>
    <cellStyle name="Normal 12 6 2 3 5 3 2" xfId="51206" xr:uid="{00000000-0005-0000-0000-00007DAF0000}"/>
    <cellStyle name="Normal 12 6 2 3 5 4" xfId="36707" xr:uid="{00000000-0005-0000-0000-00007EAF0000}"/>
    <cellStyle name="Normal 12 6 2 3 6" xfId="8706" xr:uid="{00000000-0005-0000-0000-00007FAF0000}"/>
    <cellStyle name="Normal 12 6 2 3 6 2" xfId="23240" xr:uid="{00000000-0005-0000-0000-000080AF0000}"/>
    <cellStyle name="Normal 12 6 2 3 6 2 2" xfId="52246" xr:uid="{00000000-0005-0000-0000-000081AF0000}"/>
    <cellStyle name="Normal 12 6 2 3 6 3" xfId="37747" xr:uid="{00000000-0005-0000-0000-000082AF0000}"/>
    <cellStyle name="Normal 12 6 2 3 7" xfId="15992" xr:uid="{00000000-0005-0000-0000-000083AF0000}"/>
    <cellStyle name="Normal 12 6 2 3 7 2" xfId="44998" xr:uid="{00000000-0005-0000-0000-000084AF0000}"/>
    <cellStyle name="Normal 12 6 2 3 8" xfId="30499" xr:uid="{00000000-0005-0000-0000-000085AF0000}"/>
    <cellStyle name="Normal 12 6 2 4" xfId="1962" xr:uid="{00000000-0005-0000-0000-000086AF0000}"/>
    <cellStyle name="Normal 12 6 2 4 2" xfId="5066" xr:uid="{00000000-0005-0000-0000-000087AF0000}"/>
    <cellStyle name="Normal 12 6 2 4 2 2" xfId="12338" xr:uid="{00000000-0005-0000-0000-000088AF0000}"/>
    <cellStyle name="Normal 12 6 2 4 2 2 2" xfId="26872" xr:uid="{00000000-0005-0000-0000-000089AF0000}"/>
    <cellStyle name="Normal 12 6 2 4 2 2 2 2" xfId="55878" xr:uid="{00000000-0005-0000-0000-00008AAF0000}"/>
    <cellStyle name="Normal 12 6 2 4 2 2 3" xfId="41379" xr:uid="{00000000-0005-0000-0000-00008BAF0000}"/>
    <cellStyle name="Normal 12 6 2 4 2 3" xfId="19624" xr:uid="{00000000-0005-0000-0000-00008CAF0000}"/>
    <cellStyle name="Normal 12 6 2 4 2 3 2" xfId="48630" xr:uid="{00000000-0005-0000-0000-00008DAF0000}"/>
    <cellStyle name="Normal 12 6 2 4 2 4" xfId="34131" xr:uid="{00000000-0005-0000-0000-00008EAF0000}"/>
    <cellStyle name="Normal 12 6 2 4 3" xfId="9234" xr:uid="{00000000-0005-0000-0000-00008FAF0000}"/>
    <cellStyle name="Normal 12 6 2 4 3 2" xfId="23768" xr:uid="{00000000-0005-0000-0000-000090AF0000}"/>
    <cellStyle name="Normal 12 6 2 4 3 2 2" xfId="52774" xr:uid="{00000000-0005-0000-0000-000091AF0000}"/>
    <cellStyle name="Normal 12 6 2 4 3 3" xfId="38275" xr:uid="{00000000-0005-0000-0000-000092AF0000}"/>
    <cellStyle name="Normal 12 6 2 4 4" xfId="16520" xr:uid="{00000000-0005-0000-0000-000093AF0000}"/>
    <cellStyle name="Normal 12 6 2 4 4 2" xfId="45526" xr:uid="{00000000-0005-0000-0000-000094AF0000}"/>
    <cellStyle name="Normal 12 6 2 4 5" xfId="31027" xr:uid="{00000000-0005-0000-0000-000095AF0000}"/>
    <cellStyle name="Normal 12 6 2 5" xfId="2994" xr:uid="{00000000-0005-0000-0000-000096AF0000}"/>
    <cellStyle name="Normal 12 6 2 5 2" xfId="6098" xr:uid="{00000000-0005-0000-0000-000097AF0000}"/>
    <cellStyle name="Normal 12 6 2 5 2 2" xfId="13370" xr:uid="{00000000-0005-0000-0000-000098AF0000}"/>
    <cellStyle name="Normal 12 6 2 5 2 2 2" xfId="27904" xr:uid="{00000000-0005-0000-0000-000099AF0000}"/>
    <cellStyle name="Normal 12 6 2 5 2 2 2 2" xfId="56910" xr:uid="{00000000-0005-0000-0000-00009AAF0000}"/>
    <cellStyle name="Normal 12 6 2 5 2 2 3" xfId="42411" xr:uid="{00000000-0005-0000-0000-00009BAF0000}"/>
    <cellStyle name="Normal 12 6 2 5 2 3" xfId="20656" xr:uid="{00000000-0005-0000-0000-00009CAF0000}"/>
    <cellStyle name="Normal 12 6 2 5 2 3 2" xfId="49662" xr:uid="{00000000-0005-0000-0000-00009DAF0000}"/>
    <cellStyle name="Normal 12 6 2 5 2 4" xfId="35163" xr:uid="{00000000-0005-0000-0000-00009EAF0000}"/>
    <cellStyle name="Normal 12 6 2 5 3" xfId="10266" xr:uid="{00000000-0005-0000-0000-00009FAF0000}"/>
    <cellStyle name="Normal 12 6 2 5 3 2" xfId="24800" xr:uid="{00000000-0005-0000-0000-0000A0AF0000}"/>
    <cellStyle name="Normal 12 6 2 5 3 2 2" xfId="53806" xr:uid="{00000000-0005-0000-0000-0000A1AF0000}"/>
    <cellStyle name="Normal 12 6 2 5 3 3" xfId="39307" xr:uid="{00000000-0005-0000-0000-0000A2AF0000}"/>
    <cellStyle name="Normal 12 6 2 5 4" xfId="17552" xr:uid="{00000000-0005-0000-0000-0000A3AF0000}"/>
    <cellStyle name="Normal 12 6 2 5 4 2" xfId="46558" xr:uid="{00000000-0005-0000-0000-0000A4AF0000}"/>
    <cellStyle name="Normal 12 6 2 5 5" xfId="32059" xr:uid="{00000000-0005-0000-0000-0000A5AF0000}"/>
    <cellStyle name="Normal 12 6 2 6" xfId="4026" xr:uid="{00000000-0005-0000-0000-0000A6AF0000}"/>
    <cellStyle name="Normal 12 6 2 6 2" xfId="11298" xr:uid="{00000000-0005-0000-0000-0000A7AF0000}"/>
    <cellStyle name="Normal 12 6 2 6 2 2" xfId="25832" xr:uid="{00000000-0005-0000-0000-0000A8AF0000}"/>
    <cellStyle name="Normal 12 6 2 6 2 2 2" xfId="54838" xr:uid="{00000000-0005-0000-0000-0000A9AF0000}"/>
    <cellStyle name="Normal 12 6 2 6 2 3" xfId="40339" xr:uid="{00000000-0005-0000-0000-0000AAAF0000}"/>
    <cellStyle name="Normal 12 6 2 6 3" xfId="18584" xr:uid="{00000000-0005-0000-0000-0000ABAF0000}"/>
    <cellStyle name="Normal 12 6 2 6 3 2" xfId="47590" xr:uid="{00000000-0005-0000-0000-0000ACAF0000}"/>
    <cellStyle name="Normal 12 6 2 6 4" xfId="33091" xr:uid="{00000000-0005-0000-0000-0000ADAF0000}"/>
    <cellStyle name="Normal 12 6 2 7" xfId="7130" xr:uid="{00000000-0005-0000-0000-0000AEAF0000}"/>
    <cellStyle name="Normal 12 6 2 7 2" xfId="14402" xr:uid="{00000000-0005-0000-0000-0000AFAF0000}"/>
    <cellStyle name="Normal 12 6 2 7 2 2" xfId="28936" xr:uid="{00000000-0005-0000-0000-0000B0AF0000}"/>
    <cellStyle name="Normal 12 6 2 7 2 2 2" xfId="57942" xr:uid="{00000000-0005-0000-0000-0000B1AF0000}"/>
    <cellStyle name="Normal 12 6 2 7 2 3" xfId="43443" xr:uid="{00000000-0005-0000-0000-0000B2AF0000}"/>
    <cellStyle name="Normal 12 6 2 7 3" xfId="21688" xr:uid="{00000000-0005-0000-0000-0000B3AF0000}"/>
    <cellStyle name="Normal 12 6 2 7 3 2" xfId="50694" xr:uid="{00000000-0005-0000-0000-0000B4AF0000}"/>
    <cellStyle name="Normal 12 6 2 7 4" xfId="36195" xr:uid="{00000000-0005-0000-0000-0000B5AF0000}"/>
    <cellStyle name="Normal 12 6 2 8" xfId="8194" xr:uid="{00000000-0005-0000-0000-0000B6AF0000}"/>
    <cellStyle name="Normal 12 6 2 8 2" xfId="22728" xr:uid="{00000000-0005-0000-0000-0000B7AF0000}"/>
    <cellStyle name="Normal 12 6 2 8 2 2" xfId="51734" xr:uid="{00000000-0005-0000-0000-0000B8AF0000}"/>
    <cellStyle name="Normal 12 6 2 8 3" xfId="37235" xr:uid="{00000000-0005-0000-0000-0000B9AF0000}"/>
    <cellStyle name="Normal 12 6 2 9" xfId="15480" xr:uid="{00000000-0005-0000-0000-0000BAAF0000}"/>
    <cellStyle name="Normal 12 6 2 9 2" xfId="44486" xr:uid="{00000000-0005-0000-0000-0000BBAF0000}"/>
    <cellStyle name="Normal 12 6 3" xfId="1120" xr:uid="{00000000-0005-0000-0000-0000BCAF0000}"/>
    <cellStyle name="Normal 12 6 3 2" xfId="1618" xr:uid="{00000000-0005-0000-0000-0000BDAF0000}"/>
    <cellStyle name="Normal 12 6 3 2 2" xfId="2677" xr:uid="{00000000-0005-0000-0000-0000BEAF0000}"/>
    <cellStyle name="Normal 12 6 3 2 2 2" xfId="5781" xr:uid="{00000000-0005-0000-0000-0000BFAF0000}"/>
    <cellStyle name="Normal 12 6 3 2 2 2 2" xfId="13053" xr:uid="{00000000-0005-0000-0000-0000C0AF0000}"/>
    <cellStyle name="Normal 12 6 3 2 2 2 2 2" xfId="27587" xr:uid="{00000000-0005-0000-0000-0000C1AF0000}"/>
    <cellStyle name="Normal 12 6 3 2 2 2 2 2 2" xfId="56593" xr:uid="{00000000-0005-0000-0000-0000C2AF0000}"/>
    <cellStyle name="Normal 12 6 3 2 2 2 2 3" xfId="42094" xr:uid="{00000000-0005-0000-0000-0000C3AF0000}"/>
    <cellStyle name="Normal 12 6 3 2 2 2 3" xfId="20339" xr:uid="{00000000-0005-0000-0000-0000C4AF0000}"/>
    <cellStyle name="Normal 12 6 3 2 2 2 3 2" xfId="49345" xr:uid="{00000000-0005-0000-0000-0000C5AF0000}"/>
    <cellStyle name="Normal 12 6 3 2 2 2 4" xfId="34846" xr:uid="{00000000-0005-0000-0000-0000C6AF0000}"/>
    <cellStyle name="Normal 12 6 3 2 2 3" xfId="9949" xr:uid="{00000000-0005-0000-0000-0000C7AF0000}"/>
    <cellStyle name="Normal 12 6 3 2 2 3 2" xfId="24483" xr:uid="{00000000-0005-0000-0000-0000C8AF0000}"/>
    <cellStyle name="Normal 12 6 3 2 2 3 2 2" xfId="53489" xr:uid="{00000000-0005-0000-0000-0000C9AF0000}"/>
    <cellStyle name="Normal 12 6 3 2 2 3 3" xfId="38990" xr:uid="{00000000-0005-0000-0000-0000CAAF0000}"/>
    <cellStyle name="Normal 12 6 3 2 2 4" xfId="17235" xr:uid="{00000000-0005-0000-0000-0000CBAF0000}"/>
    <cellStyle name="Normal 12 6 3 2 2 4 2" xfId="46241" xr:uid="{00000000-0005-0000-0000-0000CCAF0000}"/>
    <cellStyle name="Normal 12 6 3 2 2 5" xfId="31742" xr:uid="{00000000-0005-0000-0000-0000CDAF0000}"/>
    <cellStyle name="Normal 12 6 3 2 3" xfId="3709" xr:uid="{00000000-0005-0000-0000-0000CEAF0000}"/>
    <cellStyle name="Normal 12 6 3 2 3 2" xfId="6813" xr:uid="{00000000-0005-0000-0000-0000CFAF0000}"/>
    <cellStyle name="Normal 12 6 3 2 3 2 2" xfId="14085" xr:uid="{00000000-0005-0000-0000-0000D0AF0000}"/>
    <cellStyle name="Normal 12 6 3 2 3 2 2 2" xfId="28619" xr:uid="{00000000-0005-0000-0000-0000D1AF0000}"/>
    <cellStyle name="Normal 12 6 3 2 3 2 2 2 2" xfId="57625" xr:uid="{00000000-0005-0000-0000-0000D2AF0000}"/>
    <cellStyle name="Normal 12 6 3 2 3 2 2 3" xfId="43126" xr:uid="{00000000-0005-0000-0000-0000D3AF0000}"/>
    <cellStyle name="Normal 12 6 3 2 3 2 3" xfId="21371" xr:uid="{00000000-0005-0000-0000-0000D4AF0000}"/>
    <cellStyle name="Normal 12 6 3 2 3 2 3 2" xfId="50377" xr:uid="{00000000-0005-0000-0000-0000D5AF0000}"/>
    <cellStyle name="Normal 12 6 3 2 3 2 4" xfId="35878" xr:uid="{00000000-0005-0000-0000-0000D6AF0000}"/>
    <cellStyle name="Normal 12 6 3 2 3 3" xfId="10981" xr:uid="{00000000-0005-0000-0000-0000D7AF0000}"/>
    <cellStyle name="Normal 12 6 3 2 3 3 2" xfId="25515" xr:uid="{00000000-0005-0000-0000-0000D8AF0000}"/>
    <cellStyle name="Normal 12 6 3 2 3 3 2 2" xfId="54521" xr:uid="{00000000-0005-0000-0000-0000D9AF0000}"/>
    <cellStyle name="Normal 12 6 3 2 3 3 3" xfId="40022" xr:uid="{00000000-0005-0000-0000-0000DAAF0000}"/>
    <cellStyle name="Normal 12 6 3 2 3 4" xfId="18267" xr:uid="{00000000-0005-0000-0000-0000DBAF0000}"/>
    <cellStyle name="Normal 12 6 3 2 3 4 2" xfId="47273" xr:uid="{00000000-0005-0000-0000-0000DCAF0000}"/>
    <cellStyle name="Normal 12 6 3 2 3 5" xfId="32774" xr:uid="{00000000-0005-0000-0000-0000DDAF0000}"/>
    <cellStyle name="Normal 12 6 3 2 4" xfId="4741" xr:uid="{00000000-0005-0000-0000-0000DEAF0000}"/>
    <cellStyle name="Normal 12 6 3 2 4 2" xfId="12013" xr:uid="{00000000-0005-0000-0000-0000DFAF0000}"/>
    <cellStyle name="Normal 12 6 3 2 4 2 2" xfId="26547" xr:uid="{00000000-0005-0000-0000-0000E0AF0000}"/>
    <cellStyle name="Normal 12 6 3 2 4 2 2 2" xfId="55553" xr:uid="{00000000-0005-0000-0000-0000E1AF0000}"/>
    <cellStyle name="Normal 12 6 3 2 4 2 3" xfId="41054" xr:uid="{00000000-0005-0000-0000-0000E2AF0000}"/>
    <cellStyle name="Normal 12 6 3 2 4 3" xfId="19299" xr:uid="{00000000-0005-0000-0000-0000E3AF0000}"/>
    <cellStyle name="Normal 12 6 3 2 4 3 2" xfId="48305" xr:uid="{00000000-0005-0000-0000-0000E4AF0000}"/>
    <cellStyle name="Normal 12 6 3 2 4 4" xfId="33806" xr:uid="{00000000-0005-0000-0000-0000E5AF0000}"/>
    <cellStyle name="Normal 12 6 3 2 5" xfId="7845" xr:uid="{00000000-0005-0000-0000-0000E6AF0000}"/>
    <cellStyle name="Normal 12 6 3 2 5 2" xfId="15117" xr:uid="{00000000-0005-0000-0000-0000E7AF0000}"/>
    <cellStyle name="Normal 12 6 3 2 5 2 2" xfId="29651" xr:uid="{00000000-0005-0000-0000-0000E8AF0000}"/>
    <cellStyle name="Normal 12 6 3 2 5 2 2 2" xfId="58657" xr:uid="{00000000-0005-0000-0000-0000E9AF0000}"/>
    <cellStyle name="Normal 12 6 3 2 5 2 3" xfId="44158" xr:uid="{00000000-0005-0000-0000-0000EAAF0000}"/>
    <cellStyle name="Normal 12 6 3 2 5 3" xfId="22403" xr:uid="{00000000-0005-0000-0000-0000EBAF0000}"/>
    <cellStyle name="Normal 12 6 3 2 5 3 2" xfId="51409" xr:uid="{00000000-0005-0000-0000-0000ECAF0000}"/>
    <cellStyle name="Normal 12 6 3 2 5 4" xfId="36910" xr:uid="{00000000-0005-0000-0000-0000EDAF0000}"/>
    <cellStyle name="Normal 12 6 3 2 6" xfId="8909" xr:uid="{00000000-0005-0000-0000-0000EEAF0000}"/>
    <cellStyle name="Normal 12 6 3 2 6 2" xfId="23443" xr:uid="{00000000-0005-0000-0000-0000EFAF0000}"/>
    <cellStyle name="Normal 12 6 3 2 6 2 2" xfId="52449" xr:uid="{00000000-0005-0000-0000-0000F0AF0000}"/>
    <cellStyle name="Normal 12 6 3 2 6 3" xfId="37950" xr:uid="{00000000-0005-0000-0000-0000F1AF0000}"/>
    <cellStyle name="Normal 12 6 3 2 7" xfId="16195" xr:uid="{00000000-0005-0000-0000-0000F2AF0000}"/>
    <cellStyle name="Normal 12 6 3 2 7 2" xfId="45201" xr:uid="{00000000-0005-0000-0000-0000F3AF0000}"/>
    <cellStyle name="Normal 12 6 3 2 8" xfId="30702" xr:uid="{00000000-0005-0000-0000-0000F4AF0000}"/>
    <cellStyle name="Normal 12 6 3 3" xfId="2165" xr:uid="{00000000-0005-0000-0000-0000F5AF0000}"/>
    <cellStyle name="Normal 12 6 3 3 2" xfId="5269" xr:uid="{00000000-0005-0000-0000-0000F6AF0000}"/>
    <cellStyle name="Normal 12 6 3 3 2 2" xfId="12541" xr:uid="{00000000-0005-0000-0000-0000F7AF0000}"/>
    <cellStyle name="Normal 12 6 3 3 2 2 2" xfId="27075" xr:uid="{00000000-0005-0000-0000-0000F8AF0000}"/>
    <cellStyle name="Normal 12 6 3 3 2 2 2 2" xfId="56081" xr:uid="{00000000-0005-0000-0000-0000F9AF0000}"/>
    <cellStyle name="Normal 12 6 3 3 2 2 3" xfId="41582" xr:uid="{00000000-0005-0000-0000-0000FAAF0000}"/>
    <cellStyle name="Normal 12 6 3 3 2 3" xfId="19827" xr:uid="{00000000-0005-0000-0000-0000FBAF0000}"/>
    <cellStyle name="Normal 12 6 3 3 2 3 2" xfId="48833" xr:uid="{00000000-0005-0000-0000-0000FCAF0000}"/>
    <cellStyle name="Normal 12 6 3 3 2 4" xfId="34334" xr:uid="{00000000-0005-0000-0000-0000FDAF0000}"/>
    <cellStyle name="Normal 12 6 3 3 3" xfId="9437" xr:uid="{00000000-0005-0000-0000-0000FEAF0000}"/>
    <cellStyle name="Normal 12 6 3 3 3 2" xfId="23971" xr:uid="{00000000-0005-0000-0000-0000FFAF0000}"/>
    <cellStyle name="Normal 12 6 3 3 3 2 2" xfId="52977" xr:uid="{00000000-0005-0000-0000-000000B00000}"/>
    <cellStyle name="Normal 12 6 3 3 3 3" xfId="38478" xr:uid="{00000000-0005-0000-0000-000001B00000}"/>
    <cellStyle name="Normal 12 6 3 3 4" xfId="16723" xr:uid="{00000000-0005-0000-0000-000002B00000}"/>
    <cellStyle name="Normal 12 6 3 3 4 2" xfId="45729" xr:uid="{00000000-0005-0000-0000-000003B00000}"/>
    <cellStyle name="Normal 12 6 3 3 5" xfId="31230" xr:uid="{00000000-0005-0000-0000-000004B00000}"/>
    <cellStyle name="Normal 12 6 3 4" xfId="3197" xr:uid="{00000000-0005-0000-0000-000005B00000}"/>
    <cellStyle name="Normal 12 6 3 4 2" xfId="6301" xr:uid="{00000000-0005-0000-0000-000006B00000}"/>
    <cellStyle name="Normal 12 6 3 4 2 2" xfId="13573" xr:uid="{00000000-0005-0000-0000-000007B00000}"/>
    <cellStyle name="Normal 12 6 3 4 2 2 2" xfId="28107" xr:uid="{00000000-0005-0000-0000-000008B00000}"/>
    <cellStyle name="Normal 12 6 3 4 2 2 2 2" xfId="57113" xr:uid="{00000000-0005-0000-0000-000009B00000}"/>
    <cellStyle name="Normal 12 6 3 4 2 2 3" xfId="42614" xr:uid="{00000000-0005-0000-0000-00000AB00000}"/>
    <cellStyle name="Normal 12 6 3 4 2 3" xfId="20859" xr:uid="{00000000-0005-0000-0000-00000BB00000}"/>
    <cellStyle name="Normal 12 6 3 4 2 3 2" xfId="49865" xr:uid="{00000000-0005-0000-0000-00000CB00000}"/>
    <cellStyle name="Normal 12 6 3 4 2 4" xfId="35366" xr:uid="{00000000-0005-0000-0000-00000DB00000}"/>
    <cellStyle name="Normal 12 6 3 4 3" xfId="10469" xr:uid="{00000000-0005-0000-0000-00000EB00000}"/>
    <cellStyle name="Normal 12 6 3 4 3 2" xfId="25003" xr:uid="{00000000-0005-0000-0000-00000FB00000}"/>
    <cellStyle name="Normal 12 6 3 4 3 2 2" xfId="54009" xr:uid="{00000000-0005-0000-0000-000010B00000}"/>
    <cellStyle name="Normal 12 6 3 4 3 3" xfId="39510" xr:uid="{00000000-0005-0000-0000-000011B00000}"/>
    <cellStyle name="Normal 12 6 3 4 4" xfId="17755" xr:uid="{00000000-0005-0000-0000-000012B00000}"/>
    <cellStyle name="Normal 12 6 3 4 4 2" xfId="46761" xr:uid="{00000000-0005-0000-0000-000013B00000}"/>
    <cellStyle name="Normal 12 6 3 4 5" xfId="32262" xr:uid="{00000000-0005-0000-0000-000014B00000}"/>
    <cellStyle name="Normal 12 6 3 5" xfId="4229" xr:uid="{00000000-0005-0000-0000-000015B00000}"/>
    <cellStyle name="Normal 12 6 3 5 2" xfId="11501" xr:uid="{00000000-0005-0000-0000-000016B00000}"/>
    <cellStyle name="Normal 12 6 3 5 2 2" xfId="26035" xr:uid="{00000000-0005-0000-0000-000017B00000}"/>
    <cellStyle name="Normal 12 6 3 5 2 2 2" xfId="55041" xr:uid="{00000000-0005-0000-0000-000018B00000}"/>
    <cellStyle name="Normal 12 6 3 5 2 3" xfId="40542" xr:uid="{00000000-0005-0000-0000-000019B00000}"/>
    <cellStyle name="Normal 12 6 3 5 3" xfId="18787" xr:uid="{00000000-0005-0000-0000-00001AB00000}"/>
    <cellStyle name="Normal 12 6 3 5 3 2" xfId="47793" xr:uid="{00000000-0005-0000-0000-00001BB00000}"/>
    <cellStyle name="Normal 12 6 3 5 4" xfId="33294" xr:uid="{00000000-0005-0000-0000-00001CB00000}"/>
    <cellStyle name="Normal 12 6 3 6" xfId="7333" xr:uid="{00000000-0005-0000-0000-00001DB00000}"/>
    <cellStyle name="Normal 12 6 3 6 2" xfId="14605" xr:uid="{00000000-0005-0000-0000-00001EB00000}"/>
    <cellStyle name="Normal 12 6 3 6 2 2" xfId="29139" xr:uid="{00000000-0005-0000-0000-00001FB00000}"/>
    <cellStyle name="Normal 12 6 3 6 2 2 2" xfId="58145" xr:uid="{00000000-0005-0000-0000-000020B00000}"/>
    <cellStyle name="Normal 12 6 3 6 2 3" xfId="43646" xr:uid="{00000000-0005-0000-0000-000021B00000}"/>
    <cellStyle name="Normal 12 6 3 6 3" xfId="21891" xr:uid="{00000000-0005-0000-0000-000022B00000}"/>
    <cellStyle name="Normal 12 6 3 6 3 2" xfId="50897" xr:uid="{00000000-0005-0000-0000-000023B00000}"/>
    <cellStyle name="Normal 12 6 3 6 4" xfId="36398" xr:uid="{00000000-0005-0000-0000-000024B00000}"/>
    <cellStyle name="Normal 12 6 3 7" xfId="8397" xr:uid="{00000000-0005-0000-0000-000025B00000}"/>
    <cellStyle name="Normal 12 6 3 7 2" xfId="22931" xr:uid="{00000000-0005-0000-0000-000026B00000}"/>
    <cellStyle name="Normal 12 6 3 7 2 2" xfId="51937" xr:uid="{00000000-0005-0000-0000-000027B00000}"/>
    <cellStyle name="Normal 12 6 3 7 3" xfId="37438" xr:uid="{00000000-0005-0000-0000-000028B00000}"/>
    <cellStyle name="Normal 12 6 3 8" xfId="15683" xr:uid="{00000000-0005-0000-0000-000029B00000}"/>
    <cellStyle name="Normal 12 6 3 8 2" xfId="44689" xr:uid="{00000000-0005-0000-0000-00002AB00000}"/>
    <cellStyle name="Normal 12 6 3 9" xfId="30190" xr:uid="{00000000-0005-0000-0000-00002BB00000}"/>
    <cellStyle name="Normal 12 6 4" xfId="1029" xr:uid="{00000000-0005-0000-0000-00002CB00000}"/>
    <cellStyle name="Normal 12 6 4 2" xfId="1519" xr:uid="{00000000-0005-0000-0000-00002DB00000}"/>
    <cellStyle name="Normal 12 6 4 2 2" xfId="2577" xr:uid="{00000000-0005-0000-0000-00002EB00000}"/>
    <cellStyle name="Normal 12 6 4 2 2 2" xfId="5681" xr:uid="{00000000-0005-0000-0000-00002FB00000}"/>
    <cellStyle name="Normal 12 6 4 2 2 2 2" xfId="12953" xr:uid="{00000000-0005-0000-0000-000030B00000}"/>
    <cellStyle name="Normal 12 6 4 2 2 2 2 2" xfId="27487" xr:uid="{00000000-0005-0000-0000-000031B00000}"/>
    <cellStyle name="Normal 12 6 4 2 2 2 2 2 2" xfId="56493" xr:uid="{00000000-0005-0000-0000-000032B00000}"/>
    <cellStyle name="Normal 12 6 4 2 2 2 2 3" xfId="41994" xr:uid="{00000000-0005-0000-0000-000033B00000}"/>
    <cellStyle name="Normal 12 6 4 2 2 2 3" xfId="20239" xr:uid="{00000000-0005-0000-0000-000034B00000}"/>
    <cellStyle name="Normal 12 6 4 2 2 2 3 2" xfId="49245" xr:uid="{00000000-0005-0000-0000-000035B00000}"/>
    <cellStyle name="Normal 12 6 4 2 2 2 4" xfId="34746" xr:uid="{00000000-0005-0000-0000-000036B00000}"/>
    <cellStyle name="Normal 12 6 4 2 2 3" xfId="9849" xr:uid="{00000000-0005-0000-0000-000037B00000}"/>
    <cellStyle name="Normal 12 6 4 2 2 3 2" xfId="24383" xr:uid="{00000000-0005-0000-0000-000038B00000}"/>
    <cellStyle name="Normal 12 6 4 2 2 3 2 2" xfId="53389" xr:uid="{00000000-0005-0000-0000-000039B00000}"/>
    <cellStyle name="Normal 12 6 4 2 2 3 3" xfId="38890" xr:uid="{00000000-0005-0000-0000-00003AB00000}"/>
    <cellStyle name="Normal 12 6 4 2 2 4" xfId="17135" xr:uid="{00000000-0005-0000-0000-00003BB00000}"/>
    <cellStyle name="Normal 12 6 4 2 2 4 2" xfId="46141" xr:uid="{00000000-0005-0000-0000-00003CB00000}"/>
    <cellStyle name="Normal 12 6 4 2 2 5" xfId="31642" xr:uid="{00000000-0005-0000-0000-00003DB00000}"/>
    <cellStyle name="Normal 12 6 4 2 3" xfId="3609" xr:uid="{00000000-0005-0000-0000-00003EB00000}"/>
    <cellStyle name="Normal 12 6 4 2 3 2" xfId="6713" xr:uid="{00000000-0005-0000-0000-00003FB00000}"/>
    <cellStyle name="Normal 12 6 4 2 3 2 2" xfId="13985" xr:uid="{00000000-0005-0000-0000-000040B00000}"/>
    <cellStyle name="Normal 12 6 4 2 3 2 2 2" xfId="28519" xr:uid="{00000000-0005-0000-0000-000041B00000}"/>
    <cellStyle name="Normal 12 6 4 2 3 2 2 2 2" xfId="57525" xr:uid="{00000000-0005-0000-0000-000042B00000}"/>
    <cellStyle name="Normal 12 6 4 2 3 2 2 3" xfId="43026" xr:uid="{00000000-0005-0000-0000-000043B00000}"/>
    <cellStyle name="Normal 12 6 4 2 3 2 3" xfId="21271" xr:uid="{00000000-0005-0000-0000-000044B00000}"/>
    <cellStyle name="Normal 12 6 4 2 3 2 3 2" xfId="50277" xr:uid="{00000000-0005-0000-0000-000045B00000}"/>
    <cellStyle name="Normal 12 6 4 2 3 2 4" xfId="35778" xr:uid="{00000000-0005-0000-0000-000046B00000}"/>
    <cellStyle name="Normal 12 6 4 2 3 3" xfId="10881" xr:uid="{00000000-0005-0000-0000-000047B00000}"/>
    <cellStyle name="Normal 12 6 4 2 3 3 2" xfId="25415" xr:uid="{00000000-0005-0000-0000-000048B00000}"/>
    <cellStyle name="Normal 12 6 4 2 3 3 2 2" xfId="54421" xr:uid="{00000000-0005-0000-0000-000049B00000}"/>
    <cellStyle name="Normal 12 6 4 2 3 3 3" xfId="39922" xr:uid="{00000000-0005-0000-0000-00004AB00000}"/>
    <cellStyle name="Normal 12 6 4 2 3 4" xfId="18167" xr:uid="{00000000-0005-0000-0000-00004BB00000}"/>
    <cellStyle name="Normal 12 6 4 2 3 4 2" xfId="47173" xr:uid="{00000000-0005-0000-0000-00004CB00000}"/>
    <cellStyle name="Normal 12 6 4 2 3 5" xfId="32674" xr:uid="{00000000-0005-0000-0000-00004DB00000}"/>
    <cellStyle name="Normal 12 6 4 2 4" xfId="4641" xr:uid="{00000000-0005-0000-0000-00004EB00000}"/>
    <cellStyle name="Normal 12 6 4 2 4 2" xfId="11913" xr:uid="{00000000-0005-0000-0000-00004FB00000}"/>
    <cellStyle name="Normal 12 6 4 2 4 2 2" xfId="26447" xr:uid="{00000000-0005-0000-0000-000050B00000}"/>
    <cellStyle name="Normal 12 6 4 2 4 2 2 2" xfId="55453" xr:uid="{00000000-0005-0000-0000-000051B00000}"/>
    <cellStyle name="Normal 12 6 4 2 4 2 3" xfId="40954" xr:uid="{00000000-0005-0000-0000-000052B00000}"/>
    <cellStyle name="Normal 12 6 4 2 4 3" xfId="19199" xr:uid="{00000000-0005-0000-0000-000053B00000}"/>
    <cellStyle name="Normal 12 6 4 2 4 3 2" xfId="48205" xr:uid="{00000000-0005-0000-0000-000054B00000}"/>
    <cellStyle name="Normal 12 6 4 2 4 4" xfId="33706" xr:uid="{00000000-0005-0000-0000-000055B00000}"/>
    <cellStyle name="Normal 12 6 4 2 5" xfId="7745" xr:uid="{00000000-0005-0000-0000-000056B00000}"/>
    <cellStyle name="Normal 12 6 4 2 5 2" xfId="15017" xr:uid="{00000000-0005-0000-0000-000057B00000}"/>
    <cellStyle name="Normal 12 6 4 2 5 2 2" xfId="29551" xr:uid="{00000000-0005-0000-0000-000058B00000}"/>
    <cellStyle name="Normal 12 6 4 2 5 2 2 2" xfId="58557" xr:uid="{00000000-0005-0000-0000-000059B00000}"/>
    <cellStyle name="Normal 12 6 4 2 5 2 3" xfId="44058" xr:uid="{00000000-0005-0000-0000-00005AB00000}"/>
    <cellStyle name="Normal 12 6 4 2 5 3" xfId="22303" xr:uid="{00000000-0005-0000-0000-00005BB00000}"/>
    <cellStyle name="Normal 12 6 4 2 5 3 2" xfId="51309" xr:uid="{00000000-0005-0000-0000-00005CB00000}"/>
    <cellStyle name="Normal 12 6 4 2 5 4" xfId="36810" xr:uid="{00000000-0005-0000-0000-00005DB00000}"/>
    <cellStyle name="Normal 12 6 4 2 6" xfId="8809" xr:uid="{00000000-0005-0000-0000-00005EB00000}"/>
    <cellStyle name="Normal 12 6 4 2 6 2" xfId="23343" xr:uid="{00000000-0005-0000-0000-00005FB00000}"/>
    <cellStyle name="Normal 12 6 4 2 6 2 2" xfId="52349" xr:uid="{00000000-0005-0000-0000-000060B00000}"/>
    <cellStyle name="Normal 12 6 4 2 6 3" xfId="37850" xr:uid="{00000000-0005-0000-0000-000061B00000}"/>
    <cellStyle name="Normal 12 6 4 2 7" xfId="16095" xr:uid="{00000000-0005-0000-0000-000062B00000}"/>
    <cellStyle name="Normal 12 6 4 2 7 2" xfId="45101" xr:uid="{00000000-0005-0000-0000-000063B00000}"/>
    <cellStyle name="Normal 12 6 4 2 8" xfId="30602" xr:uid="{00000000-0005-0000-0000-000064B00000}"/>
    <cellStyle name="Normal 12 6 4 3" xfId="2065" xr:uid="{00000000-0005-0000-0000-000065B00000}"/>
    <cellStyle name="Normal 12 6 4 3 2" xfId="5169" xr:uid="{00000000-0005-0000-0000-000066B00000}"/>
    <cellStyle name="Normal 12 6 4 3 2 2" xfId="12441" xr:uid="{00000000-0005-0000-0000-000067B00000}"/>
    <cellStyle name="Normal 12 6 4 3 2 2 2" xfId="26975" xr:uid="{00000000-0005-0000-0000-000068B00000}"/>
    <cellStyle name="Normal 12 6 4 3 2 2 2 2" xfId="55981" xr:uid="{00000000-0005-0000-0000-000069B00000}"/>
    <cellStyle name="Normal 12 6 4 3 2 2 3" xfId="41482" xr:uid="{00000000-0005-0000-0000-00006AB00000}"/>
    <cellStyle name="Normal 12 6 4 3 2 3" xfId="19727" xr:uid="{00000000-0005-0000-0000-00006BB00000}"/>
    <cellStyle name="Normal 12 6 4 3 2 3 2" xfId="48733" xr:uid="{00000000-0005-0000-0000-00006CB00000}"/>
    <cellStyle name="Normal 12 6 4 3 2 4" xfId="34234" xr:uid="{00000000-0005-0000-0000-00006DB00000}"/>
    <cellStyle name="Normal 12 6 4 3 3" xfId="9337" xr:uid="{00000000-0005-0000-0000-00006EB00000}"/>
    <cellStyle name="Normal 12 6 4 3 3 2" xfId="23871" xr:uid="{00000000-0005-0000-0000-00006FB00000}"/>
    <cellStyle name="Normal 12 6 4 3 3 2 2" xfId="52877" xr:uid="{00000000-0005-0000-0000-000070B00000}"/>
    <cellStyle name="Normal 12 6 4 3 3 3" xfId="38378" xr:uid="{00000000-0005-0000-0000-000071B00000}"/>
    <cellStyle name="Normal 12 6 4 3 4" xfId="16623" xr:uid="{00000000-0005-0000-0000-000072B00000}"/>
    <cellStyle name="Normal 12 6 4 3 4 2" xfId="45629" xr:uid="{00000000-0005-0000-0000-000073B00000}"/>
    <cellStyle name="Normal 12 6 4 3 5" xfId="31130" xr:uid="{00000000-0005-0000-0000-000074B00000}"/>
    <cellStyle name="Normal 12 6 4 4" xfId="3097" xr:uid="{00000000-0005-0000-0000-000075B00000}"/>
    <cellStyle name="Normal 12 6 4 4 2" xfId="6201" xr:uid="{00000000-0005-0000-0000-000076B00000}"/>
    <cellStyle name="Normal 12 6 4 4 2 2" xfId="13473" xr:uid="{00000000-0005-0000-0000-000077B00000}"/>
    <cellStyle name="Normal 12 6 4 4 2 2 2" xfId="28007" xr:uid="{00000000-0005-0000-0000-000078B00000}"/>
    <cellStyle name="Normal 12 6 4 4 2 2 2 2" xfId="57013" xr:uid="{00000000-0005-0000-0000-000079B00000}"/>
    <cellStyle name="Normal 12 6 4 4 2 2 3" xfId="42514" xr:uid="{00000000-0005-0000-0000-00007AB00000}"/>
    <cellStyle name="Normal 12 6 4 4 2 3" xfId="20759" xr:uid="{00000000-0005-0000-0000-00007BB00000}"/>
    <cellStyle name="Normal 12 6 4 4 2 3 2" xfId="49765" xr:uid="{00000000-0005-0000-0000-00007CB00000}"/>
    <cellStyle name="Normal 12 6 4 4 2 4" xfId="35266" xr:uid="{00000000-0005-0000-0000-00007DB00000}"/>
    <cellStyle name="Normal 12 6 4 4 3" xfId="10369" xr:uid="{00000000-0005-0000-0000-00007EB00000}"/>
    <cellStyle name="Normal 12 6 4 4 3 2" xfId="24903" xr:uid="{00000000-0005-0000-0000-00007FB00000}"/>
    <cellStyle name="Normal 12 6 4 4 3 2 2" xfId="53909" xr:uid="{00000000-0005-0000-0000-000080B00000}"/>
    <cellStyle name="Normal 12 6 4 4 3 3" xfId="39410" xr:uid="{00000000-0005-0000-0000-000081B00000}"/>
    <cellStyle name="Normal 12 6 4 4 4" xfId="17655" xr:uid="{00000000-0005-0000-0000-000082B00000}"/>
    <cellStyle name="Normal 12 6 4 4 4 2" xfId="46661" xr:uid="{00000000-0005-0000-0000-000083B00000}"/>
    <cellStyle name="Normal 12 6 4 4 5" xfId="32162" xr:uid="{00000000-0005-0000-0000-000084B00000}"/>
    <cellStyle name="Normal 12 6 4 5" xfId="4129" xr:uid="{00000000-0005-0000-0000-000085B00000}"/>
    <cellStyle name="Normal 12 6 4 5 2" xfId="11401" xr:uid="{00000000-0005-0000-0000-000086B00000}"/>
    <cellStyle name="Normal 12 6 4 5 2 2" xfId="25935" xr:uid="{00000000-0005-0000-0000-000087B00000}"/>
    <cellStyle name="Normal 12 6 4 5 2 2 2" xfId="54941" xr:uid="{00000000-0005-0000-0000-000088B00000}"/>
    <cellStyle name="Normal 12 6 4 5 2 3" xfId="40442" xr:uid="{00000000-0005-0000-0000-000089B00000}"/>
    <cellStyle name="Normal 12 6 4 5 3" xfId="18687" xr:uid="{00000000-0005-0000-0000-00008AB00000}"/>
    <cellStyle name="Normal 12 6 4 5 3 2" xfId="47693" xr:uid="{00000000-0005-0000-0000-00008BB00000}"/>
    <cellStyle name="Normal 12 6 4 5 4" xfId="33194" xr:uid="{00000000-0005-0000-0000-00008CB00000}"/>
    <cellStyle name="Normal 12 6 4 6" xfId="7233" xr:uid="{00000000-0005-0000-0000-00008DB00000}"/>
    <cellStyle name="Normal 12 6 4 6 2" xfId="14505" xr:uid="{00000000-0005-0000-0000-00008EB00000}"/>
    <cellStyle name="Normal 12 6 4 6 2 2" xfId="29039" xr:uid="{00000000-0005-0000-0000-00008FB00000}"/>
    <cellStyle name="Normal 12 6 4 6 2 2 2" xfId="58045" xr:uid="{00000000-0005-0000-0000-000090B00000}"/>
    <cellStyle name="Normal 12 6 4 6 2 3" xfId="43546" xr:uid="{00000000-0005-0000-0000-000091B00000}"/>
    <cellStyle name="Normal 12 6 4 6 3" xfId="21791" xr:uid="{00000000-0005-0000-0000-000092B00000}"/>
    <cellStyle name="Normal 12 6 4 6 3 2" xfId="50797" xr:uid="{00000000-0005-0000-0000-000093B00000}"/>
    <cellStyle name="Normal 12 6 4 6 4" xfId="36298" xr:uid="{00000000-0005-0000-0000-000094B00000}"/>
    <cellStyle name="Normal 12 6 4 7" xfId="8297" xr:uid="{00000000-0005-0000-0000-000095B00000}"/>
    <cellStyle name="Normal 12 6 4 7 2" xfId="22831" xr:uid="{00000000-0005-0000-0000-000096B00000}"/>
    <cellStyle name="Normal 12 6 4 7 2 2" xfId="51837" xr:uid="{00000000-0005-0000-0000-000097B00000}"/>
    <cellStyle name="Normal 12 6 4 7 3" xfId="37338" xr:uid="{00000000-0005-0000-0000-000098B00000}"/>
    <cellStyle name="Normal 12 6 4 8" xfId="15583" xr:uid="{00000000-0005-0000-0000-000099B00000}"/>
    <cellStyle name="Normal 12 6 4 8 2" xfId="44589" xr:uid="{00000000-0005-0000-0000-00009AB00000}"/>
    <cellStyle name="Normal 12 6 4 9" xfId="30090" xr:uid="{00000000-0005-0000-0000-00009BB00000}"/>
    <cellStyle name="Normal 12 6 5" xfId="1314" xr:uid="{00000000-0005-0000-0000-00009CB00000}"/>
    <cellStyle name="Normal 12 6 5 2" xfId="2371" xr:uid="{00000000-0005-0000-0000-00009DB00000}"/>
    <cellStyle name="Normal 12 6 5 2 2" xfId="5475" xr:uid="{00000000-0005-0000-0000-00009EB00000}"/>
    <cellStyle name="Normal 12 6 5 2 2 2" xfId="12747" xr:uid="{00000000-0005-0000-0000-00009FB00000}"/>
    <cellStyle name="Normal 12 6 5 2 2 2 2" xfId="27281" xr:uid="{00000000-0005-0000-0000-0000A0B00000}"/>
    <cellStyle name="Normal 12 6 5 2 2 2 2 2" xfId="56287" xr:uid="{00000000-0005-0000-0000-0000A1B00000}"/>
    <cellStyle name="Normal 12 6 5 2 2 2 3" xfId="41788" xr:uid="{00000000-0005-0000-0000-0000A2B00000}"/>
    <cellStyle name="Normal 12 6 5 2 2 3" xfId="20033" xr:uid="{00000000-0005-0000-0000-0000A3B00000}"/>
    <cellStyle name="Normal 12 6 5 2 2 3 2" xfId="49039" xr:uid="{00000000-0005-0000-0000-0000A4B00000}"/>
    <cellStyle name="Normal 12 6 5 2 2 4" xfId="34540" xr:uid="{00000000-0005-0000-0000-0000A5B00000}"/>
    <cellStyle name="Normal 12 6 5 2 3" xfId="9643" xr:uid="{00000000-0005-0000-0000-0000A6B00000}"/>
    <cellStyle name="Normal 12 6 5 2 3 2" xfId="24177" xr:uid="{00000000-0005-0000-0000-0000A7B00000}"/>
    <cellStyle name="Normal 12 6 5 2 3 2 2" xfId="53183" xr:uid="{00000000-0005-0000-0000-0000A8B00000}"/>
    <cellStyle name="Normal 12 6 5 2 3 3" xfId="38684" xr:uid="{00000000-0005-0000-0000-0000A9B00000}"/>
    <cellStyle name="Normal 12 6 5 2 4" xfId="16929" xr:uid="{00000000-0005-0000-0000-0000AAB00000}"/>
    <cellStyle name="Normal 12 6 5 2 4 2" xfId="45935" xr:uid="{00000000-0005-0000-0000-0000ABB00000}"/>
    <cellStyle name="Normal 12 6 5 2 5" xfId="31436" xr:uid="{00000000-0005-0000-0000-0000ACB00000}"/>
    <cellStyle name="Normal 12 6 5 3" xfId="3403" xr:uid="{00000000-0005-0000-0000-0000ADB00000}"/>
    <cellStyle name="Normal 12 6 5 3 2" xfId="6507" xr:uid="{00000000-0005-0000-0000-0000AEB00000}"/>
    <cellStyle name="Normal 12 6 5 3 2 2" xfId="13779" xr:uid="{00000000-0005-0000-0000-0000AFB00000}"/>
    <cellStyle name="Normal 12 6 5 3 2 2 2" xfId="28313" xr:uid="{00000000-0005-0000-0000-0000B0B00000}"/>
    <cellStyle name="Normal 12 6 5 3 2 2 2 2" xfId="57319" xr:uid="{00000000-0005-0000-0000-0000B1B00000}"/>
    <cellStyle name="Normal 12 6 5 3 2 2 3" xfId="42820" xr:uid="{00000000-0005-0000-0000-0000B2B00000}"/>
    <cellStyle name="Normal 12 6 5 3 2 3" xfId="21065" xr:uid="{00000000-0005-0000-0000-0000B3B00000}"/>
    <cellStyle name="Normal 12 6 5 3 2 3 2" xfId="50071" xr:uid="{00000000-0005-0000-0000-0000B4B00000}"/>
    <cellStyle name="Normal 12 6 5 3 2 4" xfId="35572" xr:uid="{00000000-0005-0000-0000-0000B5B00000}"/>
    <cellStyle name="Normal 12 6 5 3 3" xfId="10675" xr:uid="{00000000-0005-0000-0000-0000B6B00000}"/>
    <cellStyle name="Normal 12 6 5 3 3 2" xfId="25209" xr:uid="{00000000-0005-0000-0000-0000B7B00000}"/>
    <cellStyle name="Normal 12 6 5 3 3 2 2" xfId="54215" xr:uid="{00000000-0005-0000-0000-0000B8B00000}"/>
    <cellStyle name="Normal 12 6 5 3 3 3" xfId="39716" xr:uid="{00000000-0005-0000-0000-0000B9B00000}"/>
    <cellStyle name="Normal 12 6 5 3 4" xfId="17961" xr:uid="{00000000-0005-0000-0000-0000BAB00000}"/>
    <cellStyle name="Normal 12 6 5 3 4 2" xfId="46967" xr:uid="{00000000-0005-0000-0000-0000BBB00000}"/>
    <cellStyle name="Normal 12 6 5 3 5" xfId="32468" xr:uid="{00000000-0005-0000-0000-0000BCB00000}"/>
    <cellStyle name="Normal 12 6 5 4" xfId="4435" xr:uid="{00000000-0005-0000-0000-0000BDB00000}"/>
    <cellStyle name="Normal 12 6 5 4 2" xfId="11707" xr:uid="{00000000-0005-0000-0000-0000BEB00000}"/>
    <cellStyle name="Normal 12 6 5 4 2 2" xfId="26241" xr:uid="{00000000-0005-0000-0000-0000BFB00000}"/>
    <cellStyle name="Normal 12 6 5 4 2 2 2" xfId="55247" xr:uid="{00000000-0005-0000-0000-0000C0B00000}"/>
    <cellStyle name="Normal 12 6 5 4 2 3" xfId="40748" xr:uid="{00000000-0005-0000-0000-0000C1B00000}"/>
    <cellStyle name="Normal 12 6 5 4 3" xfId="18993" xr:uid="{00000000-0005-0000-0000-0000C2B00000}"/>
    <cellStyle name="Normal 12 6 5 4 3 2" xfId="47999" xr:uid="{00000000-0005-0000-0000-0000C3B00000}"/>
    <cellStyle name="Normal 12 6 5 4 4" xfId="33500" xr:uid="{00000000-0005-0000-0000-0000C4B00000}"/>
    <cellStyle name="Normal 12 6 5 5" xfId="7539" xr:uid="{00000000-0005-0000-0000-0000C5B00000}"/>
    <cellStyle name="Normal 12 6 5 5 2" xfId="14811" xr:uid="{00000000-0005-0000-0000-0000C6B00000}"/>
    <cellStyle name="Normal 12 6 5 5 2 2" xfId="29345" xr:uid="{00000000-0005-0000-0000-0000C7B00000}"/>
    <cellStyle name="Normal 12 6 5 5 2 2 2" xfId="58351" xr:uid="{00000000-0005-0000-0000-0000C8B00000}"/>
    <cellStyle name="Normal 12 6 5 5 2 3" xfId="43852" xr:uid="{00000000-0005-0000-0000-0000C9B00000}"/>
    <cellStyle name="Normal 12 6 5 5 3" xfId="22097" xr:uid="{00000000-0005-0000-0000-0000CAB00000}"/>
    <cellStyle name="Normal 12 6 5 5 3 2" xfId="51103" xr:uid="{00000000-0005-0000-0000-0000CBB00000}"/>
    <cellStyle name="Normal 12 6 5 5 4" xfId="36604" xr:uid="{00000000-0005-0000-0000-0000CCB00000}"/>
    <cellStyle name="Normal 12 6 5 6" xfId="8603" xr:uid="{00000000-0005-0000-0000-0000CDB00000}"/>
    <cellStyle name="Normal 12 6 5 6 2" xfId="23137" xr:uid="{00000000-0005-0000-0000-0000CEB00000}"/>
    <cellStyle name="Normal 12 6 5 6 2 2" xfId="52143" xr:uid="{00000000-0005-0000-0000-0000CFB00000}"/>
    <cellStyle name="Normal 12 6 5 6 3" xfId="37644" xr:uid="{00000000-0005-0000-0000-0000D0B00000}"/>
    <cellStyle name="Normal 12 6 5 7" xfId="15889" xr:uid="{00000000-0005-0000-0000-0000D1B00000}"/>
    <cellStyle name="Normal 12 6 5 7 2" xfId="44895" xr:uid="{00000000-0005-0000-0000-0000D2B00000}"/>
    <cellStyle name="Normal 12 6 5 8" xfId="30396" xr:uid="{00000000-0005-0000-0000-0000D3B00000}"/>
    <cellStyle name="Normal 12 6 6" xfId="1859" xr:uid="{00000000-0005-0000-0000-0000D4B00000}"/>
    <cellStyle name="Normal 12 6 6 2" xfId="4963" xr:uid="{00000000-0005-0000-0000-0000D5B00000}"/>
    <cellStyle name="Normal 12 6 6 2 2" xfId="12235" xr:uid="{00000000-0005-0000-0000-0000D6B00000}"/>
    <cellStyle name="Normal 12 6 6 2 2 2" xfId="26769" xr:uid="{00000000-0005-0000-0000-0000D7B00000}"/>
    <cellStyle name="Normal 12 6 6 2 2 2 2" xfId="55775" xr:uid="{00000000-0005-0000-0000-0000D8B00000}"/>
    <cellStyle name="Normal 12 6 6 2 2 3" xfId="41276" xr:uid="{00000000-0005-0000-0000-0000D9B00000}"/>
    <cellStyle name="Normal 12 6 6 2 3" xfId="19521" xr:uid="{00000000-0005-0000-0000-0000DAB00000}"/>
    <cellStyle name="Normal 12 6 6 2 3 2" xfId="48527" xr:uid="{00000000-0005-0000-0000-0000DBB00000}"/>
    <cellStyle name="Normal 12 6 6 2 4" xfId="34028" xr:uid="{00000000-0005-0000-0000-0000DCB00000}"/>
    <cellStyle name="Normal 12 6 6 3" xfId="9131" xr:uid="{00000000-0005-0000-0000-0000DDB00000}"/>
    <cellStyle name="Normal 12 6 6 3 2" xfId="23665" xr:uid="{00000000-0005-0000-0000-0000DEB00000}"/>
    <cellStyle name="Normal 12 6 6 3 2 2" xfId="52671" xr:uid="{00000000-0005-0000-0000-0000DFB00000}"/>
    <cellStyle name="Normal 12 6 6 3 3" xfId="38172" xr:uid="{00000000-0005-0000-0000-0000E0B00000}"/>
    <cellStyle name="Normal 12 6 6 4" xfId="16417" xr:uid="{00000000-0005-0000-0000-0000E1B00000}"/>
    <cellStyle name="Normal 12 6 6 4 2" xfId="45423" xr:uid="{00000000-0005-0000-0000-0000E2B00000}"/>
    <cellStyle name="Normal 12 6 6 5" xfId="30924" xr:uid="{00000000-0005-0000-0000-0000E3B00000}"/>
    <cellStyle name="Normal 12 6 7" xfId="2891" xr:uid="{00000000-0005-0000-0000-0000E4B00000}"/>
    <cellStyle name="Normal 12 6 7 2" xfId="5995" xr:uid="{00000000-0005-0000-0000-0000E5B00000}"/>
    <cellStyle name="Normal 12 6 7 2 2" xfId="13267" xr:uid="{00000000-0005-0000-0000-0000E6B00000}"/>
    <cellStyle name="Normal 12 6 7 2 2 2" xfId="27801" xr:uid="{00000000-0005-0000-0000-0000E7B00000}"/>
    <cellStyle name="Normal 12 6 7 2 2 2 2" xfId="56807" xr:uid="{00000000-0005-0000-0000-0000E8B00000}"/>
    <cellStyle name="Normal 12 6 7 2 2 3" xfId="42308" xr:uid="{00000000-0005-0000-0000-0000E9B00000}"/>
    <cellStyle name="Normal 12 6 7 2 3" xfId="20553" xr:uid="{00000000-0005-0000-0000-0000EAB00000}"/>
    <cellStyle name="Normal 12 6 7 2 3 2" xfId="49559" xr:uid="{00000000-0005-0000-0000-0000EBB00000}"/>
    <cellStyle name="Normal 12 6 7 2 4" xfId="35060" xr:uid="{00000000-0005-0000-0000-0000ECB00000}"/>
    <cellStyle name="Normal 12 6 7 3" xfId="10163" xr:uid="{00000000-0005-0000-0000-0000EDB00000}"/>
    <cellStyle name="Normal 12 6 7 3 2" xfId="24697" xr:uid="{00000000-0005-0000-0000-0000EEB00000}"/>
    <cellStyle name="Normal 12 6 7 3 2 2" xfId="53703" xr:uid="{00000000-0005-0000-0000-0000EFB00000}"/>
    <cellStyle name="Normal 12 6 7 3 3" xfId="39204" xr:uid="{00000000-0005-0000-0000-0000F0B00000}"/>
    <cellStyle name="Normal 12 6 7 4" xfId="17449" xr:uid="{00000000-0005-0000-0000-0000F1B00000}"/>
    <cellStyle name="Normal 12 6 7 4 2" xfId="46455" xr:uid="{00000000-0005-0000-0000-0000F2B00000}"/>
    <cellStyle name="Normal 12 6 7 5" xfId="31956" xr:uid="{00000000-0005-0000-0000-0000F3B00000}"/>
    <cellStyle name="Normal 12 6 8" xfId="3923" xr:uid="{00000000-0005-0000-0000-0000F4B00000}"/>
    <cellStyle name="Normal 12 6 8 2" xfId="11195" xr:uid="{00000000-0005-0000-0000-0000F5B00000}"/>
    <cellStyle name="Normal 12 6 8 2 2" xfId="25729" xr:uid="{00000000-0005-0000-0000-0000F6B00000}"/>
    <cellStyle name="Normal 12 6 8 2 2 2" xfId="54735" xr:uid="{00000000-0005-0000-0000-0000F7B00000}"/>
    <cellStyle name="Normal 12 6 8 2 3" xfId="40236" xr:uid="{00000000-0005-0000-0000-0000F8B00000}"/>
    <cellStyle name="Normal 12 6 8 3" xfId="18481" xr:uid="{00000000-0005-0000-0000-0000F9B00000}"/>
    <cellStyle name="Normal 12 6 8 3 2" xfId="47487" xr:uid="{00000000-0005-0000-0000-0000FAB00000}"/>
    <cellStyle name="Normal 12 6 8 4" xfId="32988" xr:uid="{00000000-0005-0000-0000-0000FBB00000}"/>
    <cellStyle name="Normal 12 6 9" xfId="7027" xr:uid="{00000000-0005-0000-0000-0000FCB00000}"/>
    <cellStyle name="Normal 12 6 9 2" xfId="14299" xr:uid="{00000000-0005-0000-0000-0000FDB00000}"/>
    <cellStyle name="Normal 12 6 9 2 2" xfId="28833" xr:uid="{00000000-0005-0000-0000-0000FEB00000}"/>
    <cellStyle name="Normal 12 6 9 2 2 2" xfId="57839" xr:uid="{00000000-0005-0000-0000-0000FFB00000}"/>
    <cellStyle name="Normal 12 6 9 2 3" xfId="43340" xr:uid="{00000000-0005-0000-0000-000000B10000}"/>
    <cellStyle name="Normal 12 6 9 3" xfId="21585" xr:uid="{00000000-0005-0000-0000-000001B10000}"/>
    <cellStyle name="Normal 12 6 9 3 2" xfId="50591" xr:uid="{00000000-0005-0000-0000-000002B10000}"/>
    <cellStyle name="Normal 12 6 9 4" xfId="36092" xr:uid="{00000000-0005-0000-0000-000003B10000}"/>
    <cellStyle name="Normal 12 7" xfId="902" xr:uid="{00000000-0005-0000-0000-000004B10000}"/>
    <cellStyle name="Normal 12 7 10" xfId="29935" xr:uid="{00000000-0005-0000-0000-000005B10000}"/>
    <cellStyle name="Normal 12 7 2" xfId="1169" xr:uid="{00000000-0005-0000-0000-000006B10000}"/>
    <cellStyle name="Normal 12 7 2 2" xfId="1669" xr:uid="{00000000-0005-0000-0000-000007B10000}"/>
    <cellStyle name="Normal 12 7 2 2 2" xfId="2728" xr:uid="{00000000-0005-0000-0000-000008B10000}"/>
    <cellStyle name="Normal 12 7 2 2 2 2" xfId="5832" xr:uid="{00000000-0005-0000-0000-000009B10000}"/>
    <cellStyle name="Normal 12 7 2 2 2 2 2" xfId="13104" xr:uid="{00000000-0005-0000-0000-00000AB10000}"/>
    <cellStyle name="Normal 12 7 2 2 2 2 2 2" xfId="27638" xr:uid="{00000000-0005-0000-0000-00000BB10000}"/>
    <cellStyle name="Normal 12 7 2 2 2 2 2 2 2" xfId="56644" xr:uid="{00000000-0005-0000-0000-00000CB10000}"/>
    <cellStyle name="Normal 12 7 2 2 2 2 2 3" xfId="42145" xr:uid="{00000000-0005-0000-0000-00000DB10000}"/>
    <cellStyle name="Normal 12 7 2 2 2 2 3" xfId="20390" xr:uid="{00000000-0005-0000-0000-00000EB10000}"/>
    <cellStyle name="Normal 12 7 2 2 2 2 3 2" xfId="49396" xr:uid="{00000000-0005-0000-0000-00000FB10000}"/>
    <cellStyle name="Normal 12 7 2 2 2 2 4" xfId="34897" xr:uid="{00000000-0005-0000-0000-000010B10000}"/>
    <cellStyle name="Normal 12 7 2 2 2 3" xfId="10000" xr:uid="{00000000-0005-0000-0000-000011B10000}"/>
    <cellStyle name="Normal 12 7 2 2 2 3 2" xfId="24534" xr:uid="{00000000-0005-0000-0000-000012B10000}"/>
    <cellStyle name="Normal 12 7 2 2 2 3 2 2" xfId="53540" xr:uid="{00000000-0005-0000-0000-000013B10000}"/>
    <cellStyle name="Normal 12 7 2 2 2 3 3" xfId="39041" xr:uid="{00000000-0005-0000-0000-000014B10000}"/>
    <cellStyle name="Normal 12 7 2 2 2 4" xfId="17286" xr:uid="{00000000-0005-0000-0000-000015B10000}"/>
    <cellStyle name="Normal 12 7 2 2 2 4 2" xfId="46292" xr:uid="{00000000-0005-0000-0000-000016B10000}"/>
    <cellStyle name="Normal 12 7 2 2 2 5" xfId="31793" xr:uid="{00000000-0005-0000-0000-000017B10000}"/>
    <cellStyle name="Normal 12 7 2 2 3" xfId="3760" xr:uid="{00000000-0005-0000-0000-000018B10000}"/>
    <cellStyle name="Normal 12 7 2 2 3 2" xfId="6864" xr:uid="{00000000-0005-0000-0000-000019B10000}"/>
    <cellStyle name="Normal 12 7 2 2 3 2 2" xfId="14136" xr:uid="{00000000-0005-0000-0000-00001AB10000}"/>
    <cellStyle name="Normal 12 7 2 2 3 2 2 2" xfId="28670" xr:uid="{00000000-0005-0000-0000-00001BB10000}"/>
    <cellStyle name="Normal 12 7 2 2 3 2 2 2 2" xfId="57676" xr:uid="{00000000-0005-0000-0000-00001CB10000}"/>
    <cellStyle name="Normal 12 7 2 2 3 2 2 3" xfId="43177" xr:uid="{00000000-0005-0000-0000-00001DB10000}"/>
    <cellStyle name="Normal 12 7 2 2 3 2 3" xfId="21422" xr:uid="{00000000-0005-0000-0000-00001EB10000}"/>
    <cellStyle name="Normal 12 7 2 2 3 2 3 2" xfId="50428" xr:uid="{00000000-0005-0000-0000-00001FB10000}"/>
    <cellStyle name="Normal 12 7 2 2 3 2 4" xfId="35929" xr:uid="{00000000-0005-0000-0000-000020B10000}"/>
    <cellStyle name="Normal 12 7 2 2 3 3" xfId="11032" xr:uid="{00000000-0005-0000-0000-000021B10000}"/>
    <cellStyle name="Normal 12 7 2 2 3 3 2" xfId="25566" xr:uid="{00000000-0005-0000-0000-000022B10000}"/>
    <cellStyle name="Normal 12 7 2 2 3 3 2 2" xfId="54572" xr:uid="{00000000-0005-0000-0000-000023B10000}"/>
    <cellStyle name="Normal 12 7 2 2 3 3 3" xfId="40073" xr:uid="{00000000-0005-0000-0000-000024B10000}"/>
    <cellStyle name="Normal 12 7 2 2 3 4" xfId="18318" xr:uid="{00000000-0005-0000-0000-000025B10000}"/>
    <cellStyle name="Normal 12 7 2 2 3 4 2" xfId="47324" xr:uid="{00000000-0005-0000-0000-000026B10000}"/>
    <cellStyle name="Normal 12 7 2 2 3 5" xfId="32825" xr:uid="{00000000-0005-0000-0000-000027B10000}"/>
    <cellStyle name="Normal 12 7 2 2 4" xfId="4792" xr:uid="{00000000-0005-0000-0000-000028B10000}"/>
    <cellStyle name="Normal 12 7 2 2 4 2" xfId="12064" xr:uid="{00000000-0005-0000-0000-000029B10000}"/>
    <cellStyle name="Normal 12 7 2 2 4 2 2" xfId="26598" xr:uid="{00000000-0005-0000-0000-00002AB10000}"/>
    <cellStyle name="Normal 12 7 2 2 4 2 2 2" xfId="55604" xr:uid="{00000000-0005-0000-0000-00002BB10000}"/>
    <cellStyle name="Normal 12 7 2 2 4 2 3" xfId="41105" xr:uid="{00000000-0005-0000-0000-00002CB10000}"/>
    <cellStyle name="Normal 12 7 2 2 4 3" xfId="19350" xr:uid="{00000000-0005-0000-0000-00002DB10000}"/>
    <cellStyle name="Normal 12 7 2 2 4 3 2" xfId="48356" xr:uid="{00000000-0005-0000-0000-00002EB10000}"/>
    <cellStyle name="Normal 12 7 2 2 4 4" xfId="33857" xr:uid="{00000000-0005-0000-0000-00002FB10000}"/>
    <cellStyle name="Normal 12 7 2 2 5" xfId="7896" xr:uid="{00000000-0005-0000-0000-000030B10000}"/>
    <cellStyle name="Normal 12 7 2 2 5 2" xfId="15168" xr:uid="{00000000-0005-0000-0000-000031B10000}"/>
    <cellStyle name="Normal 12 7 2 2 5 2 2" xfId="29702" xr:uid="{00000000-0005-0000-0000-000032B10000}"/>
    <cellStyle name="Normal 12 7 2 2 5 2 2 2" xfId="58708" xr:uid="{00000000-0005-0000-0000-000033B10000}"/>
    <cellStyle name="Normal 12 7 2 2 5 2 3" xfId="44209" xr:uid="{00000000-0005-0000-0000-000034B10000}"/>
    <cellStyle name="Normal 12 7 2 2 5 3" xfId="22454" xr:uid="{00000000-0005-0000-0000-000035B10000}"/>
    <cellStyle name="Normal 12 7 2 2 5 3 2" xfId="51460" xr:uid="{00000000-0005-0000-0000-000036B10000}"/>
    <cellStyle name="Normal 12 7 2 2 5 4" xfId="36961" xr:uid="{00000000-0005-0000-0000-000037B10000}"/>
    <cellStyle name="Normal 12 7 2 2 6" xfId="8960" xr:uid="{00000000-0005-0000-0000-000038B10000}"/>
    <cellStyle name="Normal 12 7 2 2 6 2" xfId="23494" xr:uid="{00000000-0005-0000-0000-000039B10000}"/>
    <cellStyle name="Normal 12 7 2 2 6 2 2" xfId="52500" xr:uid="{00000000-0005-0000-0000-00003AB10000}"/>
    <cellStyle name="Normal 12 7 2 2 6 3" xfId="38001" xr:uid="{00000000-0005-0000-0000-00003BB10000}"/>
    <cellStyle name="Normal 12 7 2 2 7" xfId="16246" xr:uid="{00000000-0005-0000-0000-00003CB10000}"/>
    <cellStyle name="Normal 12 7 2 2 7 2" xfId="45252" xr:uid="{00000000-0005-0000-0000-00003DB10000}"/>
    <cellStyle name="Normal 12 7 2 2 8" xfId="30753" xr:uid="{00000000-0005-0000-0000-00003EB10000}"/>
    <cellStyle name="Normal 12 7 2 3" xfId="2216" xr:uid="{00000000-0005-0000-0000-00003FB10000}"/>
    <cellStyle name="Normal 12 7 2 3 2" xfId="5320" xr:uid="{00000000-0005-0000-0000-000040B10000}"/>
    <cellStyle name="Normal 12 7 2 3 2 2" xfId="12592" xr:uid="{00000000-0005-0000-0000-000041B10000}"/>
    <cellStyle name="Normal 12 7 2 3 2 2 2" xfId="27126" xr:uid="{00000000-0005-0000-0000-000042B10000}"/>
    <cellStyle name="Normal 12 7 2 3 2 2 2 2" xfId="56132" xr:uid="{00000000-0005-0000-0000-000043B10000}"/>
    <cellStyle name="Normal 12 7 2 3 2 2 3" xfId="41633" xr:uid="{00000000-0005-0000-0000-000044B10000}"/>
    <cellStyle name="Normal 12 7 2 3 2 3" xfId="19878" xr:uid="{00000000-0005-0000-0000-000045B10000}"/>
    <cellStyle name="Normal 12 7 2 3 2 3 2" xfId="48884" xr:uid="{00000000-0005-0000-0000-000046B10000}"/>
    <cellStyle name="Normal 12 7 2 3 2 4" xfId="34385" xr:uid="{00000000-0005-0000-0000-000047B10000}"/>
    <cellStyle name="Normal 12 7 2 3 3" xfId="9488" xr:uid="{00000000-0005-0000-0000-000048B10000}"/>
    <cellStyle name="Normal 12 7 2 3 3 2" xfId="24022" xr:uid="{00000000-0005-0000-0000-000049B10000}"/>
    <cellStyle name="Normal 12 7 2 3 3 2 2" xfId="53028" xr:uid="{00000000-0005-0000-0000-00004AB10000}"/>
    <cellStyle name="Normal 12 7 2 3 3 3" xfId="38529" xr:uid="{00000000-0005-0000-0000-00004BB10000}"/>
    <cellStyle name="Normal 12 7 2 3 4" xfId="16774" xr:uid="{00000000-0005-0000-0000-00004CB10000}"/>
    <cellStyle name="Normal 12 7 2 3 4 2" xfId="45780" xr:uid="{00000000-0005-0000-0000-00004DB10000}"/>
    <cellStyle name="Normal 12 7 2 3 5" xfId="31281" xr:uid="{00000000-0005-0000-0000-00004EB10000}"/>
    <cellStyle name="Normal 12 7 2 4" xfId="3248" xr:uid="{00000000-0005-0000-0000-00004FB10000}"/>
    <cellStyle name="Normal 12 7 2 4 2" xfId="6352" xr:uid="{00000000-0005-0000-0000-000050B10000}"/>
    <cellStyle name="Normal 12 7 2 4 2 2" xfId="13624" xr:uid="{00000000-0005-0000-0000-000051B10000}"/>
    <cellStyle name="Normal 12 7 2 4 2 2 2" xfId="28158" xr:uid="{00000000-0005-0000-0000-000052B10000}"/>
    <cellStyle name="Normal 12 7 2 4 2 2 2 2" xfId="57164" xr:uid="{00000000-0005-0000-0000-000053B10000}"/>
    <cellStyle name="Normal 12 7 2 4 2 2 3" xfId="42665" xr:uid="{00000000-0005-0000-0000-000054B10000}"/>
    <cellStyle name="Normal 12 7 2 4 2 3" xfId="20910" xr:uid="{00000000-0005-0000-0000-000055B10000}"/>
    <cellStyle name="Normal 12 7 2 4 2 3 2" xfId="49916" xr:uid="{00000000-0005-0000-0000-000056B10000}"/>
    <cellStyle name="Normal 12 7 2 4 2 4" xfId="35417" xr:uid="{00000000-0005-0000-0000-000057B10000}"/>
    <cellStyle name="Normal 12 7 2 4 3" xfId="10520" xr:uid="{00000000-0005-0000-0000-000058B10000}"/>
    <cellStyle name="Normal 12 7 2 4 3 2" xfId="25054" xr:uid="{00000000-0005-0000-0000-000059B10000}"/>
    <cellStyle name="Normal 12 7 2 4 3 2 2" xfId="54060" xr:uid="{00000000-0005-0000-0000-00005AB10000}"/>
    <cellStyle name="Normal 12 7 2 4 3 3" xfId="39561" xr:uid="{00000000-0005-0000-0000-00005BB10000}"/>
    <cellStyle name="Normal 12 7 2 4 4" xfId="17806" xr:uid="{00000000-0005-0000-0000-00005CB10000}"/>
    <cellStyle name="Normal 12 7 2 4 4 2" xfId="46812" xr:uid="{00000000-0005-0000-0000-00005DB10000}"/>
    <cellStyle name="Normal 12 7 2 4 5" xfId="32313" xr:uid="{00000000-0005-0000-0000-00005EB10000}"/>
    <cellStyle name="Normal 12 7 2 5" xfId="4280" xr:uid="{00000000-0005-0000-0000-00005FB10000}"/>
    <cellStyle name="Normal 12 7 2 5 2" xfId="11552" xr:uid="{00000000-0005-0000-0000-000060B10000}"/>
    <cellStyle name="Normal 12 7 2 5 2 2" xfId="26086" xr:uid="{00000000-0005-0000-0000-000061B10000}"/>
    <cellStyle name="Normal 12 7 2 5 2 2 2" xfId="55092" xr:uid="{00000000-0005-0000-0000-000062B10000}"/>
    <cellStyle name="Normal 12 7 2 5 2 3" xfId="40593" xr:uid="{00000000-0005-0000-0000-000063B10000}"/>
    <cellStyle name="Normal 12 7 2 5 3" xfId="18838" xr:uid="{00000000-0005-0000-0000-000064B10000}"/>
    <cellStyle name="Normal 12 7 2 5 3 2" xfId="47844" xr:uid="{00000000-0005-0000-0000-000065B10000}"/>
    <cellStyle name="Normal 12 7 2 5 4" xfId="33345" xr:uid="{00000000-0005-0000-0000-000066B10000}"/>
    <cellStyle name="Normal 12 7 2 6" xfId="7384" xr:uid="{00000000-0005-0000-0000-000067B10000}"/>
    <cellStyle name="Normal 12 7 2 6 2" xfId="14656" xr:uid="{00000000-0005-0000-0000-000068B10000}"/>
    <cellStyle name="Normal 12 7 2 6 2 2" xfId="29190" xr:uid="{00000000-0005-0000-0000-000069B10000}"/>
    <cellStyle name="Normal 12 7 2 6 2 2 2" xfId="58196" xr:uid="{00000000-0005-0000-0000-00006AB10000}"/>
    <cellStyle name="Normal 12 7 2 6 2 3" xfId="43697" xr:uid="{00000000-0005-0000-0000-00006BB10000}"/>
    <cellStyle name="Normal 12 7 2 6 3" xfId="21942" xr:uid="{00000000-0005-0000-0000-00006CB10000}"/>
    <cellStyle name="Normal 12 7 2 6 3 2" xfId="50948" xr:uid="{00000000-0005-0000-0000-00006DB10000}"/>
    <cellStyle name="Normal 12 7 2 6 4" xfId="36449" xr:uid="{00000000-0005-0000-0000-00006EB10000}"/>
    <cellStyle name="Normal 12 7 2 7" xfId="8448" xr:uid="{00000000-0005-0000-0000-00006FB10000}"/>
    <cellStyle name="Normal 12 7 2 7 2" xfId="22982" xr:uid="{00000000-0005-0000-0000-000070B10000}"/>
    <cellStyle name="Normal 12 7 2 7 2 2" xfId="51988" xr:uid="{00000000-0005-0000-0000-000071B10000}"/>
    <cellStyle name="Normal 12 7 2 7 3" xfId="37489" xr:uid="{00000000-0005-0000-0000-000072B10000}"/>
    <cellStyle name="Normal 12 7 2 8" xfId="15734" xr:uid="{00000000-0005-0000-0000-000073B10000}"/>
    <cellStyle name="Normal 12 7 2 8 2" xfId="44740" xr:uid="{00000000-0005-0000-0000-000074B10000}"/>
    <cellStyle name="Normal 12 7 2 9" xfId="30241" xr:uid="{00000000-0005-0000-0000-000075B10000}"/>
    <cellStyle name="Normal 12 7 3" xfId="1365" xr:uid="{00000000-0005-0000-0000-000076B10000}"/>
    <cellStyle name="Normal 12 7 3 2" xfId="2422" xr:uid="{00000000-0005-0000-0000-000077B10000}"/>
    <cellStyle name="Normal 12 7 3 2 2" xfId="5526" xr:uid="{00000000-0005-0000-0000-000078B10000}"/>
    <cellStyle name="Normal 12 7 3 2 2 2" xfId="12798" xr:uid="{00000000-0005-0000-0000-000079B10000}"/>
    <cellStyle name="Normal 12 7 3 2 2 2 2" xfId="27332" xr:uid="{00000000-0005-0000-0000-00007AB10000}"/>
    <cellStyle name="Normal 12 7 3 2 2 2 2 2" xfId="56338" xr:uid="{00000000-0005-0000-0000-00007BB10000}"/>
    <cellStyle name="Normal 12 7 3 2 2 2 3" xfId="41839" xr:uid="{00000000-0005-0000-0000-00007CB10000}"/>
    <cellStyle name="Normal 12 7 3 2 2 3" xfId="20084" xr:uid="{00000000-0005-0000-0000-00007DB10000}"/>
    <cellStyle name="Normal 12 7 3 2 2 3 2" xfId="49090" xr:uid="{00000000-0005-0000-0000-00007EB10000}"/>
    <cellStyle name="Normal 12 7 3 2 2 4" xfId="34591" xr:uid="{00000000-0005-0000-0000-00007FB10000}"/>
    <cellStyle name="Normal 12 7 3 2 3" xfId="9694" xr:uid="{00000000-0005-0000-0000-000080B10000}"/>
    <cellStyle name="Normal 12 7 3 2 3 2" xfId="24228" xr:uid="{00000000-0005-0000-0000-000081B10000}"/>
    <cellStyle name="Normal 12 7 3 2 3 2 2" xfId="53234" xr:uid="{00000000-0005-0000-0000-000082B10000}"/>
    <cellStyle name="Normal 12 7 3 2 3 3" xfId="38735" xr:uid="{00000000-0005-0000-0000-000083B10000}"/>
    <cellStyle name="Normal 12 7 3 2 4" xfId="16980" xr:uid="{00000000-0005-0000-0000-000084B10000}"/>
    <cellStyle name="Normal 12 7 3 2 4 2" xfId="45986" xr:uid="{00000000-0005-0000-0000-000085B10000}"/>
    <cellStyle name="Normal 12 7 3 2 5" xfId="31487" xr:uid="{00000000-0005-0000-0000-000086B10000}"/>
    <cellStyle name="Normal 12 7 3 3" xfId="3454" xr:uid="{00000000-0005-0000-0000-000087B10000}"/>
    <cellStyle name="Normal 12 7 3 3 2" xfId="6558" xr:uid="{00000000-0005-0000-0000-000088B10000}"/>
    <cellStyle name="Normal 12 7 3 3 2 2" xfId="13830" xr:uid="{00000000-0005-0000-0000-000089B10000}"/>
    <cellStyle name="Normal 12 7 3 3 2 2 2" xfId="28364" xr:uid="{00000000-0005-0000-0000-00008AB10000}"/>
    <cellStyle name="Normal 12 7 3 3 2 2 2 2" xfId="57370" xr:uid="{00000000-0005-0000-0000-00008BB10000}"/>
    <cellStyle name="Normal 12 7 3 3 2 2 3" xfId="42871" xr:uid="{00000000-0005-0000-0000-00008CB10000}"/>
    <cellStyle name="Normal 12 7 3 3 2 3" xfId="21116" xr:uid="{00000000-0005-0000-0000-00008DB10000}"/>
    <cellStyle name="Normal 12 7 3 3 2 3 2" xfId="50122" xr:uid="{00000000-0005-0000-0000-00008EB10000}"/>
    <cellStyle name="Normal 12 7 3 3 2 4" xfId="35623" xr:uid="{00000000-0005-0000-0000-00008FB10000}"/>
    <cellStyle name="Normal 12 7 3 3 3" xfId="10726" xr:uid="{00000000-0005-0000-0000-000090B10000}"/>
    <cellStyle name="Normal 12 7 3 3 3 2" xfId="25260" xr:uid="{00000000-0005-0000-0000-000091B10000}"/>
    <cellStyle name="Normal 12 7 3 3 3 2 2" xfId="54266" xr:uid="{00000000-0005-0000-0000-000092B10000}"/>
    <cellStyle name="Normal 12 7 3 3 3 3" xfId="39767" xr:uid="{00000000-0005-0000-0000-000093B10000}"/>
    <cellStyle name="Normal 12 7 3 3 4" xfId="18012" xr:uid="{00000000-0005-0000-0000-000094B10000}"/>
    <cellStyle name="Normal 12 7 3 3 4 2" xfId="47018" xr:uid="{00000000-0005-0000-0000-000095B10000}"/>
    <cellStyle name="Normal 12 7 3 3 5" xfId="32519" xr:uid="{00000000-0005-0000-0000-000096B10000}"/>
    <cellStyle name="Normal 12 7 3 4" xfId="4486" xr:uid="{00000000-0005-0000-0000-000097B10000}"/>
    <cellStyle name="Normal 12 7 3 4 2" xfId="11758" xr:uid="{00000000-0005-0000-0000-000098B10000}"/>
    <cellStyle name="Normal 12 7 3 4 2 2" xfId="26292" xr:uid="{00000000-0005-0000-0000-000099B10000}"/>
    <cellStyle name="Normal 12 7 3 4 2 2 2" xfId="55298" xr:uid="{00000000-0005-0000-0000-00009AB10000}"/>
    <cellStyle name="Normal 12 7 3 4 2 3" xfId="40799" xr:uid="{00000000-0005-0000-0000-00009BB10000}"/>
    <cellStyle name="Normal 12 7 3 4 3" xfId="19044" xr:uid="{00000000-0005-0000-0000-00009CB10000}"/>
    <cellStyle name="Normal 12 7 3 4 3 2" xfId="48050" xr:uid="{00000000-0005-0000-0000-00009DB10000}"/>
    <cellStyle name="Normal 12 7 3 4 4" xfId="33551" xr:uid="{00000000-0005-0000-0000-00009EB10000}"/>
    <cellStyle name="Normal 12 7 3 5" xfId="7590" xr:uid="{00000000-0005-0000-0000-00009FB10000}"/>
    <cellStyle name="Normal 12 7 3 5 2" xfId="14862" xr:uid="{00000000-0005-0000-0000-0000A0B10000}"/>
    <cellStyle name="Normal 12 7 3 5 2 2" xfId="29396" xr:uid="{00000000-0005-0000-0000-0000A1B10000}"/>
    <cellStyle name="Normal 12 7 3 5 2 2 2" xfId="58402" xr:uid="{00000000-0005-0000-0000-0000A2B10000}"/>
    <cellStyle name="Normal 12 7 3 5 2 3" xfId="43903" xr:uid="{00000000-0005-0000-0000-0000A3B10000}"/>
    <cellStyle name="Normal 12 7 3 5 3" xfId="22148" xr:uid="{00000000-0005-0000-0000-0000A4B10000}"/>
    <cellStyle name="Normal 12 7 3 5 3 2" xfId="51154" xr:uid="{00000000-0005-0000-0000-0000A5B10000}"/>
    <cellStyle name="Normal 12 7 3 5 4" xfId="36655" xr:uid="{00000000-0005-0000-0000-0000A6B10000}"/>
    <cellStyle name="Normal 12 7 3 6" xfId="8654" xr:uid="{00000000-0005-0000-0000-0000A7B10000}"/>
    <cellStyle name="Normal 12 7 3 6 2" xfId="23188" xr:uid="{00000000-0005-0000-0000-0000A8B10000}"/>
    <cellStyle name="Normal 12 7 3 6 2 2" xfId="52194" xr:uid="{00000000-0005-0000-0000-0000A9B10000}"/>
    <cellStyle name="Normal 12 7 3 6 3" xfId="37695" xr:uid="{00000000-0005-0000-0000-0000AAB10000}"/>
    <cellStyle name="Normal 12 7 3 7" xfId="15940" xr:uid="{00000000-0005-0000-0000-0000ABB10000}"/>
    <cellStyle name="Normal 12 7 3 7 2" xfId="44946" xr:uid="{00000000-0005-0000-0000-0000ACB10000}"/>
    <cellStyle name="Normal 12 7 3 8" xfId="30447" xr:uid="{00000000-0005-0000-0000-0000ADB10000}"/>
    <cellStyle name="Normal 12 7 4" xfId="1910" xr:uid="{00000000-0005-0000-0000-0000AEB10000}"/>
    <cellStyle name="Normal 12 7 4 2" xfId="5014" xr:uid="{00000000-0005-0000-0000-0000AFB10000}"/>
    <cellStyle name="Normal 12 7 4 2 2" xfId="12286" xr:uid="{00000000-0005-0000-0000-0000B0B10000}"/>
    <cellStyle name="Normal 12 7 4 2 2 2" xfId="26820" xr:uid="{00000000-0005-0000-0000-0000B1B10000}"/>
    <cellStyle name="Normal 12 7 4 2 2 2 2" xfId="55826" xr:uid="{00000000-0005-0000-0000-0000B2B10000}"/>
    <cellStyle name="Normal 12 7 4 2 2 3" xfId="41327" xr:uid="{00000000-0005-0000-0000-0000B3B10000}"/>
    <cellStyle name="Normal 12 7 4 2 3" xfId="19572" xr:uid="{00000000-0005-0000-0000-0000B4B10000}"/>
    <cellStyle name="Normal 12 7 4 2 3 2" xfId="48578" xr:uid="{00000000-0005-0000-0000-0000B5B10000}"/>
    <cellStyle name="Normal 12 7 4 2 4" xfId="34079" xr:uid="{00000000-0005-0000-0000-0000B6B10000}"/>
    <cellStyle name="Normal 12 7 4 3" xfId="9182" xr:uid="{00000000-0005-0000-0000-0000B7B10000}"/>
    <cellStyle name="Normal 12 7 4 3 2" xfId="23716" xr:uid="{00000000-0005-0000-0000-0000B8B10000}"/>
    <cellStyle name="Normal 12 7 4 3 2 2" xfId="52722" xr:uid="{00000000-0005-0000-0000-0000B9B10000}"/>
    <cellStyle name="Normal 12 7 4 3 3" xfId="38223" xr:uid="{00000000-0005-0000-0000-0000BAB10000}"/>
    <cellStyle name="Normal 12 7 4 4" xfId="16468" xr:uid="{00000000-0005-0000-0000-0000BBB10000}"/>
    <cellStyle name="Normal 12 7 4 4 2" xfId="45474" xr:uid="{00000000-0005-0000-0000-0000BCB10000}"/>
    <cellStyle name="Normal 12 7 4 5" xfId="30975" xr:uid="{00000000-0005-0000-0000-0000BDB10000}"/>
    <cellStyle name="Normal 12 7 5" xfId="2942" xr:uid="{00000000-0005-0000-0000-0000BEB10000}"/>
    <cellStyle name="Normal 12 7 5 2" xfId="6046" xr:uid="{00000000-0005-0000-0000-0000BFB10000}"/>
    <cellStyle name="Normal 12 7 5 2 2" xfId="13318" xr:uid="{00000000-0005-0000-0000-0000C0B10000}"/>
    <cellStyle name="Normal 12 7 5 2 2 2" xfId="27852" xr:uid="{00000000-0005-0000-0000-0000C1B10000}"/>
    <cellStyle name="Normal 12 7 5 2 2 2 2" xfId="56858" xr:uid="{00000000-0005-0000-0000-0000C2B10000}"/>
    <cellStyle name="Normal 12 7 5 2 2 3" xfId="42359" xr:uid="{00000000-0005-0000-0000-0000C3B10000}"/>
    <cellStyle name="Normal 12 7 5 2 3" xfId="20604" xr:uid="{00000000-0005-0000-0000-0000C4B10000}"/>
    <cellStyle name="Normal 12 7 5 2 3 2" xfId="49610" xr:uid="{00000000-0005-0000-0000-0000C5B10000}"/>
    <cellStyle name="Normal 12 7 5 2 4" xfId="35111" xr:uid="{00000000-0005-0000-0000-0000C6B10000}"/>
    <cellStyle name="Normal 12 7 5 3" xfId="10214" xr:uid="{00000000-0005-0000-0000-0000C7B10000}"/>
    <cellStyle name="Normal 12 7 5 3 2" xfId="24748" xr:uid="{00000000-0005-0000-0000-0000C8B10000}"/>
    <cellStyle name="Normal 12 7 5 3 2 2" xfId="53754" xr:uid="{00000000-0005-0000-0000-0000C9B10000}"/>
    <cellStyle name="Normal 12 7 5 3 3" xfId="39255" xr:uid="{00000000-0005-0000-0000-0000CAB10000}"/>
    <cellStyle name="Normal 12 7 5 4" xfId="17500" xr:uid="{00000000-0005-0000-0000-0000CBB10000}"/>
    <cellStyle name="Normal 12 7 5 4 2" xfId="46506" xr:uid="{00000000-0005-0000-0000-0000CCB10000}"/>
    <cellStyle name="Normal 12 7 5 5" xfId="32007" xr:uid="{00000000-0005-0000-0000-0000CDB10000}"/>
    <cellStyle name="Normal 12 7 6" xfId="3974" xr:uid="{00000000-0005-0000-0000-0000CEB10000}"/>
    <cellStyle name="Normal 12 7 6 2" xfId="11246" xr:uid="{00000000-0005-0000-0000-0000CFB10000}"/>
    <cellStyle name="Normal 12 7 6 2 2" xfId="25780" xr:uid="{00000000-0005-0000-0000-0000D0B10000}"/>
    <cellStyle name="Normal 12 7 6 2 2 2" xfId="54786" xr:uid="{00000000-0005-0000-0000-0000D1B10000}"/>
    <cellStyle name="Normal 12 7 6 2 3" xfId="40287" xr:uid="{00000000-0005-0000-0000-0000D2B10000}"/>
    <cellStyle name="Normal 12 7 6 3" xfId="18532" xr:uid="{00000000-0005-0000-0000-0000D3B10000}"/>
    <cellStyle name="Normal 12 7 6 3 2" xfId="47538" xr:uid="{00000000-0005-0000-0000-0000D4B10000}"/>
    <cellStyle name="Normal 12 7 6 4" xfId="33039" xr:uid="{00000000-0005-0000-0000-0000D5B10000}"/>
    <cellStyle name="Normal 12 7 7" xfId="7078" xr:uid="{00000000-0005-0000-0000-0000D6B10000}"/>
    <cellStyle name="Normal 12 7 7 2" xfId="14350" xr:uid="{00000000-0005-0000-0000-0000D7B10000}"/>
    <cellStyle name="Normal 12 7 7 2 2" xfId="28884" xr:uid="{00000000-0005-0000-0000-0000D8B10000}"/>
    <cellStyle name="Normal 12 7 7 2 2 2" xfId="57890" xr:uid="{00000000-0005-0000-0000-0000D9B10000}"/>
    <cellStyle name="Normal 12 7 7 2 3" xfId="43391" xr:uid="{00000000-0005-0000-0000-0000DAB10000}"/>
    <cellStyle name="Normal 12 7 7 3" xfId="21636" xr:uid="{00000000-0005-0000-0000-0000DBB10000}"/>
    <cellStyle name="Normal 12 7 7 3 2" xfId="50642" xr:uid="{00000000-0005-0000-0000-0000DCB10000}"/>
    <cellStyle name="Normal 12 7 7 4" xfId="36143" xr:uid="{00000000-0005-0000-0000-0000DDB10000}"/>
    <cellStyle name="Normal 12 7 8" xfId="8142" xr:uid="{00000000-0005-0000-0000-0000DEB10000}"/>
    <cellStyle name="Normal 12 7 8 2" xfId="22676" xr:uid="{00000000-0005-0000-0000-0000DFB10000}"/>
    <cellStyle name="Normal 12 7 8 2 2" xfId="51682" xr:uid="{00000000-0005-0000-0000-0000E0B10000}"/>
    <cellStyle name="Normal 12 7 8 3" xfId="37183" xr:uid="{00000000-0005-0000-0000-0000E1B10000}"/>
    <cellStyle name="Normal 12 7 9" xfId="15428" xr:uid="{00000000-0005-0000-0000-0000E2B10000}"/>
    <cellStyle name="Normal 12 7 9 2" xfId="44434" xr:uid="{00000000-0005-0000-0000-0000E3B10000}"/>
    <cellStyle name="Normal 12 8" xfId="1076" xr:uid="{00000000-0005-0000-0000-0000E4B10000}"/>
    <cellStyle name="Normal 12 8 2" xfId="1567" xr:uid="{00000000-0005-0000-0000-0000E5B10000}"/>
    <cellStyle name="Normal 12 8 2 2" xfId="2625" xr:uid="{00000000-0005-0000-0000-0000E6B10000}"/>
    <cellStyle name="Normal 12 8 2 2 2" xfId="5729" xr:uid="{00000000-0005-0000-0000-0000E7B10000}"/>
    <cellStyle name="Normal 12 8 2 2 2 2" xfId="13001" xr:uid="{00000000-0005-0000-0000-0000E8B10000}"/>
    <cellStyle name="Normal 12 8 2 2 2 2 2" xfId="27535" xr:uid="{00000000-0005-0000-0000-0000E9B10000}"/>
    <cellStyle name="Normal 12 8 2 2 2 2 2 2" xfId="56541" xr:uid="{00000000-0005-0000-0000-0000EAB10000}"/>
    <cellStyle name="Normal 12 8 2 2 2 2 3" xfId="42042" xr:uid="{00000000-0005-0000-0000-0000EBB10000}"/>
    <cellStyle name="Normal 12 8 2 2 2 3" xfId="20287" xr:uid="{00000000-0005-0000-0000-0000ECB10000}"/>
    <cellStyle name="Normal 12 8 2 2 2 3 2" xfId="49293" xr:uid="{00000000-0005-0000-0000-0000EDB10000}"/>
    <cellStyle name="Normal 12 8 2 2 2 4" xfId="34794" xr:uid="{00000000-0005-0000-0000-0000EEB10000}"/>
    <cellStyle name="Normal 12 8 2 2 3" xfId="9897" xr:uid="{00000000-0005-0000-0000-0000EFB10000}"/>
    <cellStyle name="Normal 12 8 2 2 3 2" xfId="24431" xr:uid="{00000000-0005-0000-0000-0000F0B10000}"/>
    <cellStyle name="Normal 12 8 2 2 3 2 2" xfId="53437" xr:uid="{00000000-0005-0000-0000-0000F1B10000}"/>
    <cellStyle name="Normal 12 8 2 2 3 3" xfId="38938" xr:uid="{00000000-0005-0000-0000-0000F2B10000}"/>
    <cellStyle name="Normal 12 8 2 2 4" xfId="17183" xr:uid="{00000000-0005-0000-0000-0000F3B10000}"/>
    <cellStyle name="Normal 12 8 2 2 4 2" xfId="46189" xr:uid="{00000000-0005-0000-0000-0000F4B10000}"/>
    <cellStyle name="Normal 12 8 2 2 5" xfId="31690" xr:uid="{00000000-0005-0000-0000-0000F5B10000}"/>
    <cellStyle name="Normal 12 8 2 3" xfId="3657" xr:uid="{00000000-0005-0000-0000-0000F6B10000}"/>
    <cellStyle name="Normal 12 8 2 3 2" xfId="6761" xr:uid="{00000000-0005-0000-0000-0000F7B10000}"/>
    <cellStyle name="Normal 12 8 2 3 2 2" xfId="14033" xr:uid="{00000000-0005-0000-0000-0000F8B10000}"/>
    <cellStyle name="Normal 12 8 2 3 2 2 2" xfId="28567" xr:uid="{00000000-0005-0000-0000-0000F9B10000}"/>
    <cellStyle name="Normal 12 8 2 3 2 2 2 2" xfId="57573" xr:uid="{00000000-0005-0000-0000-0000FAB10000}"/>
    <cellStyle name="Normal 12 8 2 3 2 2 3" xfId="43074" xr:uid="{00000000-0005-0000-0000-0000FBB10000}"/>
    <cellStyle name="Normal 12 8 2 3 2 3" xfId="21319" xr:uid="{00000000-0005-0000-0000-0000FCB10000}"/>
    <cellStyle name="Normal 12 8 2 3 2 3 2" xfId="50325" xr:uid="{00000000-0005-0000-0000-0000FDB10000}"/>
    <cellStyle name="Normal 12 8 2 3 2 4" xfId="35826" xr:uid="{00000000-0005-0000-0000-0000FEB10000}"/>
    <cellStyle name="Normal 12 8 2 3 3" xfId="10929" xr:uid="{00000000-0005-0000-0000-0000FFB10000}"/>
    <cellStyle name="Normal 12 8 2 3 3 2" xfId="25463" xr:uid="{00000000-0005-0000-0000-000000B20000}"/>
    <cellStyle name="Normal 12 8 2 3 3 2 2" xfId="54469" xr:uid="{00000000-0005-0000-0000-000001B20000}"/>
    <cellStyle name="Normal 12 8 2 3 3 3" xfId="39970" xr:uid="{00000000-0005-0000-0000-000002B20000}"/>
    <cellStyle name="Normal 12 8 2 3 4" xfId="18215" xr:uid="{00000000-0005-0000-0000-000003B20000}"/>
    <cellStyle name="Normal 12 8 2 3 4 2" xfId="47221" xr:uid="{00000000-0005-0000-0000-000004B20000}"/>
    <cellStyle name="Normal 12 8 2 3 5" xfId="32722" xr:uid="{00000000-0005-0000-0000-000005B20000}"/>
    <cellStyle name="Normal 12 8 2 4" xfId="4689" xr:uid="{00000000-0005-0000-0000-000006B20000}"/>
    <cellStyle name="Normal 12 8 2 4 2" xfId="11961" xr:uid="{00000000-0005-0000-0000-000007B20000}"/>
    <cellStyle name="Normal 12 8 2 4 2 2" xfId="26495" xr:uid="{00000000-0005-0000-0000-000008B20000}"/>
    <cellStyle name="Normal 12 8 2 4 2 2 2" xfId="55501" xr:uid="{00000000-0005-0000-0000-000009B20000}"/>
    <cellStyle name="Normal 12 8 2 4 2 3" xfId="41002" xr:uid="{00000000-0005-0000-0000-00000AB20000}"/>
    <cellStyle name="Normal 12 8 2 4 3" xfId="19247" xr:uid="{00000000-0005-0000-0000-00000BB20000}"/>
    <cellStyle name="Normal 12 8 2 4 3 2" xfId="48253" xr:uid="{00000000-0005-0000-0000-00000CB20000}"/>
    <cellStyle name="Normal 12 8 2 4 4" xfId="33754" xr:uid="{00000000-0005-0000-0000-00000DB20000}"/>
    <cellStyle name="Normal 12 8 2 5" xfId="7793" xr:uid="{00000000-0005-0000-0000-00000EB20000}"/>
    <cellStyle name="Normal 12 8 2 5 2" xfId="15065" xr:uid="{00000000-0005-0000-0000-00000FB20000}"/>
    <cellStyle name="Normal 12 8 2 5 2 2" xfId="29599" xr:uid="{00000000-0005-0000-0000-000010B20000}"/>
    <cellStyle name="Normal 12 8 2 5 2 2 2" xfId="58605" xr:uid="{00000000-0005-0000-0000-000011B20000}"/>
    <cellStyle name="Normal 12 8 2 5 2 3" xfId="44106" xr:uid="{00000000-0005-0000-0000-000012B20000}"/>
    <cellStyle name="Normal 12 8 2 5 3" xfId="22351" xr:uid="{00000000-0005-0000-0000-000013B20000}"/>
    <cellStyle name="Normal 12 8 2 5 3 2" xfId="51357" xr:uid="{00000000-0005-0000-0000-000014B20000}"/>
    <cellStyle name="Normal 12 8 2 5 4" xfId="36858" xr:uid="{00000000-0005-0000-0000-000015B20000}"/>
    <cellStyle name="Normal 12 8 2 6" xfId="8857" xr:uid="{00000000-0005-0000-0000-000016B20000}"/>
    <cellStyle name="Normal 12 8 2 6 2" xfId="23391" xr:uid="{00000000-0005-0000-0000-000017B20000}"/>
    <cellStyle name="Normal 12 8 2 6 2 2" xfId="52397" xr:uid="{00000000-0005-0000-0000-000018B20000}"/>
    <cellStyle name="Normal 12 8 2 6 3" xfId="37898" xr:uid="{00000000-0005-0000-0000-000019B20000}"/>
    <cellStyle name="Normal 12 8 2 7" xfId="16143" xr:uid="{00000000-0005-0000-0000-00001AB20000}"/>
    <cellStyle name="Normal 12 8 2 7 2" xfId="45149" xr:uid="{00000000-0005-0000-0000-00001BB20000}"/>
    <cellStyle name="Normal 12 8 2 8" xfId="30650" xr:uid="{00000000-0005-0000-0000-00001CB20000}"/>
    <cellStyle name="Normal 12 8 3" xfId="2113" xr:uid="{00000000-0005-0000-0000-00001DB20000}"/>
    <cellStyle name="Normal 12 8 3 2" xfId="5217" xr:uid="{00000000-0005-0000-0000-00001EB20000}"/>
    <cellStyle name="Normal 12 8 3 2 2" xfId="12489" xr:uid="{00000000-0005-0000-0000-00001FB20000}"/>
    <cellStyle name="Normal 12 8 3 2 2 2" xfId="27023" xr:uid="{00000000-0005-0000-0000-000020B20000}"/>
    <cellStyle name="Normal 12 8 3 2 2 2 2" xfId="56029" xr:uid="{00000000-0005-0000-0000-000021B20000}"/>
    <cellStyle name="Normal 12 8 3 2 2 3" xfId="41530" xr:uid="{00000000-0005-0000-0000-000022B20000}"/>
    <cellStyle name="Normal 12 8 3 2 3" xfId="19775" xr:uid="{00000000-0005-0000-0000-000023B20000}"/>
    <cellStyle name="Normal 12 8 3 2 3 2" xfId="48781" xr:uid="{00000000-0005-0000-0000-000024B20000}"/>
    <cellStyle name="Normal 12 8 3 2 4" xfId="34282" xr:uid="{00000000-0005-0000-0000-000025B20000}"/>
    <cellStyle name="Normal 12 8 3 3" xfId="9385" xr:uid="{00000000-0005-0000-0000-000026B20000}"/>
    <cellStyle name="Normal 12 8 3 3 2" xfId="23919" xr:uid="{00000000-0005-0000-0000-000027B20000}"/>
    <cellStyle name="Normal 12 8 3 3 2 2" xfId="52925" xr:uid="{00000000-0005-0000-0000-000028B20000}"/>
    <cellStyle name="Normal 12 8 3 3 3" xfId="38426" xr:uid="{00000000-0005-0000-0000-000029B20000}"/>
    <cellStyle name="Normal 12 8 3 4" xfId="16671" xr:uid="{00000000-0005-0000-0000-00002AB20000}"/>
    <cellStyle name="Normal 12 8 3 4 2" xfId="45677" xr:uid="{00000000-0005-0000-0000-00002BB20000}"/>
    <cellStyle name="Normal 12 8 3 5" xfId="31178" xr:uid="{00000000-0005-0000-0000-00002CB20000}"/>
    <cellStyle name="Normal 12 8 4" xfId="3145" xr:uid="{00000000-0005-0000-0000-00002DB20000}"/>
    <cellStyle name="Normal 12 8 4 2" xfId="6249" xr:uid="{00000000-0005-0000-0000-00002EB20000}"/>
    <cellStyle name="Normal 12 8 4 2 2" xfId="13521" xr:uid="{00000000-0005-0000-0000-00002FB20000}"/>
    <cellStyle name="Normal 12 8 4 2 2 2" xfId="28055" xr:uid="{00000000-0005-0000-0000-000030B20000}"/>
    <cellStyle name="Normal 12 8 4 2 2 2 2" xfId="57061" xr:uid="{00000000-0005-0000-0000-000031B20000}"/>
    <cellStyle name="Normal 12 8 4 2 2 3" xfId="42562" xr:uid="{00000000-0005-0000-0000-000032B20000}"/>
    <cellStyle name="Normal 12 8 4 2 3" xfId="20807" xr:uid="{00000000-0005-0000-0000-000033B20000}"/>
    <cellStyle name="Normal 12 8 4 2 3 2" xfId="49813" xr:uid="{00000000-0005-0000-0000-000034B20000}"/>
    <cellStyle name="Normal 12 8 4 2 4" xfId="35314" xr:uid="{00000000-0005-0000-0000-000035B20000}"/>
    <cellStyle name="Normal 12 8 4 3" xfId="10417" xr:uid="{00000000-0005-0000-0000-000036B20000}"/>
    <cellStyle name="Normal 12 8 4 3 2" xfId="24951" xr:uid="{00000000-0005-0000-0000-000037B20000}"/>
    <cellStyle name="Normal 12 8 4 3 2 2" xfId="53957" xr:uid="{00000000-0005-0000-0000-000038B20000}"/>
    <cellStyle name="Normal 12 8 4 3 3" xfId="39458" xr:uid="{00000000-0005-0000-0000-000039B20000}"/>
    <cellStyle name="Normal 12 8 4 4" xfId="17703" xr:uid="{00000000-0005-0000-0000-00003AB20000}"/>
    <cellStyle name="Normal 12 8 4 4 2" xfId="46709" xr:uid="{00000000-0005-0000-0000-00003BB20000}"/>
    <cellStyle name="Normal 12 8 4 5" xfId="32210" xr:uid="{00000000-0005-0000-0000-00003CB20000}"/>
    <cellStyle name="Normal 12 8 5" xfId="4177" xr:uid="{00000000-0005-0000-0000-00003DB20000}"/>
    <cellStyle name="Normal 12 8 5 2" xfId="11449" xr:uid="{00000000-0005-0000-0000-00003EB20000}"/>
    <cellStyle name="Normal 12 8 5 2 2" xfId="25983" xr:uid="{00000000-0005-0000-0000-00003FB20000}"/>
    <cellStyle name="Normal 12 8 5 2 2 2" xfId="54989" xr:uid="{00000000-0005-0000-0000-000040B20000}"/>
    <cellStyle name="Normal 12 8 5 2 3" xfId="40490" xr:uid="{00000000-0005-0000-0000-000041B20000}"/>
    <cellStyle name="Normal 12 8 5 3" xfId="18735" xr:uid="{00000000-0005-0000-0000-000042B20000}"/>
    <cellStyle name="Normal 12 8 5 3 2" xfId="47741" xr:uid="{00000000-0005-0000-0000-000043B20000}"/>
    <cellStyle name="Normal 12 8 5 4" xfId="33242" xr:uid="{00000000-0005-0000-0000-000044B20000}"/>
    <cellStyle name="Normal 12 8 6" xfId="7281" xr:uid="{00000000-0005-0000-0000-000045B20000}"/>
    <cellStyle name="Normal 12 8 6 2" xfId="14553" xr:uid="{00000000-0005-0000-0000-000046B20000}"/>
    <cellStyle name="Normal 12 8 6 2 2" xfId="29087" xr:uid="{00000000-0005-0000-0000-000047B20000}"/>
    <cellStyle name="Normal 12 8 6 2 2 2" xfId="58093" xr:uid="{00000000-0005-0000-0000-000048B20000}"/>
    <cellStyle name="Normal 12 8 6 2 3" xfId="43594" xr:uid="{00000000-0005-0000-0000-000049B20000}"/>
    <cellStyle name="Normal 12 8 6 3" xfId="21839" xr:uid="{00000000-0005-0000-0000-00004AB20000}"/>
    <cellStyle name="Normal 12 8 6 3 2" xfId="50845" xr:uid="{00000000-0005-0000-0000-00004BB20000}"/>
    <cellStyle name="Normal 12 8 6 4" xfId="36346" xr:uid="{00000000-0005-0000-0000-00004CB20000}"/>
    <cellStyle name="Normal 12 8 7" xfId="8345" xr:uid="{00000000-0005-0000-0000-00004DB20000}"/>
    <cellStyle name="Normal 12 8 7 2" xfId="22879" xr:uid="{00000000-0005-0000-0000-00004EB20000}"/>
    <cellStyle name="Normal 12 8 7 2 2" xfId="51885" xr:uid="{00000000-0005-0000-0000-00004FB20000}"/>
    <cellStyle name="Normal 12 8 7 3" xfId="37386" xr:uid="{00000000-0005-0000-0000-000050B20000}"/>
    <cellStyle name="Normal 12 8 8" xfId="15631" xr:uid="{00000000-0005-0000-0000-000051B20000}"/>
    <cellStyle name="Normal 12 8 8 2" xfId="44637" xr:uid="{00000000-0005-0000-0000-000052B20000}"/>
    <cellStyle name="Normal 12 8 9" xfId="30138" xr:uid="{00000000-0005-0000-0000-000053B20000}"/>
    <cellStyle name="Normal 12 9" xfId="984" xr:uid="{00000000-0005-0000-0000-000054B20000}"/>
    <cellStyle name="Normal 12 9 2" xfId="1467" xr:uid="{00000000-0005-0000-0000-000055B20000}"/>
    <cellStyle name="Normal 12 9 2 2" xfId="2525" xr:uid="{00000000-0005-0000-0000-000056B20000}"/>
    <cellStyle name="Normal 12 9 2 2 2" xfId="5629" xr:uid="{00000000-0005-0000-0000-000057B20000}"/>
    <cellStyle name="Normal 12 9 2 2 2 2" xfId="12901" xr:uid="{00000000-0005-0000-0000-000058B20000}"/>
    <cellStyle name="Normal 12 9 2 2 2 2 2" xfId="27435" xr:uid="{00000000-0005-0000-0000-000059B20000}"/>
    <cellStyle name="Normal 12 9 2 2 2 2 2 2" xfId="56441" xr:uid="{00000000-0005-0000-0000-00005AB20000}"/>
    <cellStyle name="Normal 12 9 2 2 2 2 3" xfId="41942" xr:uid="{00000000-0005-0000-0000-00005BB20000}"/>
    <cellStyle name="Normal 12 9 2 2 2 3" xfId="20187" xr:uid="{00000000-0005-0000-0000-00005CB20000}"/>
    <cellStyle name="Normal 12 9 2 2 2 3 2" xfId="49193" xr:uid="{00000000-0005-0000-0000-00005DB20000}"/>
    <cellStyle name="Normal 12 9 2 2 2 4" xfId="34694" xr:uid="{00000000-0005-0000-0000-00005EB20000}"/>
    <cellStyle name="Normal 12 9 2 2 3" xfId="9797" xr:uid="{00000000-0005-0000-0000-00005FB20000}"/>
    <cellStyle name="Normal 12 9 2 2 3 2" xfId="24331" xr:uid="{00000000-0005-0000-0000-000060B20000}"/>
    <cellStyle name="Normal 12 9 2 2 3 2 2" xfId="53337" xr:uid="{00000000-0005-0000-0000-000061B20000}"/>
    <cellStyle name="Normal 12 9 2 2 3 3" xfId="38838" xr:uid="{00000000-0005-0000-0000-000062B20000}"/>
    <cellStyle name="Normal 12 9 2 2 4" xfId="17083" xr:uid="{00000000-0005-0000-0000-000063B20000}"/>
    <cellStyle name="Normal 12 9 2 2 4 2" xfId="46089" xr:uid="{00000000-0005-0000-0000-000064B20000}"/>
    <cellStyle name="Normal 12 9 2 2 5" xfId="31590" xr:uid="{00000000-0005-0000-0000-000065B20000}"/>
    <cellStyle name="Normal 12 9 2 3" xfId="3557" xr:uid="{00000000-0005-0000-0000-000066B20000}"/>
    <cellStyle name="Normal 12 9 2 3 2" xfId="6661" xr:uid="{00000000-0005-0000-0000-000067B20000}"/>
    <cellStyle name="Normal 12 9 2 3 2 2" xfId="13933" xr:uid="{00000000-0005-0000-0000-000068B20000}"/>
    <cellStyle name="Normal 12 9 2 3 2 2 2" xfId="28467" xr:uid="{00000000-0005-0000-0000-000069B20000}"/>
    <cellStyle name="Normal 12 9 2 3 2 2 2 2" xfId="57473" xr:uid="{00000000-0005-0000-0000-00006AB20000}"/>
    <cellStyle name="Normal 12 9 2 3 2 2 3" xfId="42974" xr:uid="{00000000-0005-0000-0000-00006BB20000}"/>
    <cellStyle name="Normal 12 9 2 3 2 3" xfId="21219" xr:uid="{00000000-0005-0000-0000-00006CB20000}"/>
    <cellStyle name="Normal 12 9 2 3 2 3 2" xfId="50225" xr:uid="{00000000-0005-0000-0000-00006DB20000}"/>
    <cellStyle name="Normal 12 9 2 3 2 4" xfId="35726" xr:uid="{00000000-0005-0000-0000-00006EB20000}"/>
    <cellStyle name="Normal 12 9 2 3 3" xfId="10829" xr:uid="{00000000-0005-0000-0000-00006FB20000}"/>
    <cellStyle name="Normal 12 9 2 3 3 2" xfId="25363" xr:uid="{00000000-0005-0000-0000-000070B20000}"/>
    <cellStyle name="Normal 12 9 2 3 3 2 2" xfId="54369" xr:uid="{00000000-0005-0000-0000-000071B20000}"/>
    <cellStyle name="Normal 12 9 2 3 3 3" xfId="39870" xr:uid="{00000000-0005-0000-0000-000072B20000}"/>
    <cellStyle name="Normal 12 9 2 3 4" xfId="18115" xr:uid="{00000000-0005-0000-0000-000073B20000}"/>
    <cellStyle name="Normal 12 9 2 3 4 2" xfId="47121" xr:uid="{00000000-0005-0000-0000-000074B20000}"/>
    <cellStyle name="Normal 12 9 2 3 5" xfId="32622" xr:uid="{00000000-0005-0000-0000-000075B20000}"/>
    <cellStyle name="Normal 12 9 2 4" xfId="4589" xr:uid="{00000000-0005-0000-0000-000076B20000}"/>
    <cellStyle name="Normal 12 9 2 4 2" xfId="11861" xr:uid="{00000000-0005-0000-0000-000077B20000}"/>
    <cellStyle name="Normal 12 9 2 4 2 2" xfId="26395" xr:uid="{00000000-0005-0000-0000-000078B20000}"/>
    <cellStyle name="Normal 12 9 2 4 2 2 2" xfId="55401" xr:uid="{00000000-0005-0000-0000-000079B20000}"/>
    <cellStyle name="Normal 12 9 2 4 2 3" xfId="40902" xr:uid="{00000000-0005-0000-0000-00007AB20000}"/>
    <cellStyle name="Normal 12 9 2 4 3" xfId="19147" xr:uid="{00000000-0005-0000-0000-00007BB20000}"/>
    <cellStyle name="Normal 12 9 2 4 3 2" xfId="48153" xr:uid="{00000000-0005-0000-0000-00007CB20000}"/>
    <cellStyle name="Normal 12 9 2 4 4" xfId="33654" xr:uid="{00000000-0005-0000-0000-00007DB20000}"/>
    <cellStyle name="Normal 12 9 2 5" xfId="7693" xr:uid="{00000000-0005-0000-0000-00007EB20000}"/>
    <cellStyle name="Normal 12 9 2 5 2" xfId="14965" xr:uid="{00000000-0005-0000-0000-00007FB20000}"/>
    <cellStyle name="Normal 12 9 2 5 2 2" xfId="29499" xr:uid="{00000000-0005-0000-0000-000080B20000}"/>
    <cellStyle name="Normal 12 9 2 5 2 2 2" xfId="58505" xr:uid="{00000000-0005-0000-0000-000081B20000}"/>
    <cellStyle name="Normal 12 9 2 5 2 3" xfId="44006" xr:uid="{00000000-0005-0000-0000-000082B20000}"/>
    <cellStyle name="Normal 12 9 2 5 3" xfId="22251" xr:uid="{00000000-0005-0000-0000-000083B20000}"/>
    <cellStyle name="Normal 12 9 2 5 3 2" xfId="51257" xr:uid="{00000000-0005-0000-0000-000084B20000}"/>
    <cellStyle name="Normal 12 9 2 5 4" xfId="36758" xr:uid="{00000000-0005-0000-0000-000085B20000}"/>
    <cellStyle name="Normal 12 9 2 6" xfId="8757" xr:uid="{00000000-0005-0000-0000-000086B20000}"/>
    <cellStyle name="Normal 12 9 2 6 2" xfId="23291" xr:uid="{00000000-0005-0000-0000-000087B20000}"/>
    <cellStyle name="Normal 12 9 2 6 2 2" xfId="52297" xr:uid="{00000000-0005-0000-0000-000088B20000}"/>
    <cellStyle name="Normal 12 9 2 6 3" xfId="37798" xr:uid="{00000000-0005-0000-0000-000089B20000}"/>
    <cellStyle name="Normal 12 9 2 7" xfId="16043" xr:uid="{00000000-0005-0000-0000-00008AB20000}"/>
    <cellStyle name="Normal 12 9 2 7 2" xfId="45049" xr:uid="{00000000-0005-0000-0000-00008BB20000}"/>
    <cellStyle name="Normal 12 9 2 8" xfId="30550" xr:uid="{00000000-0005-0000-0000-00008CB20000}"/>
    <cellStyle name="Normal 12 9 3" xfId="2013" xr:uid="{00000000-0005-0000-0000-00008DB20000}"/>
    <cellStyle name="Normal 12 9 3 2" xfId="5117" xr:uid="{00000000-0005-0000-0000-00008EB20000}"/>
    <cellStyle name="Normal 12 9 3 2 2" xfId="12389" xr:uid="{00000000-0005-0000-0000-00008FB20000}"/>
    <cellStyle name="Normal 12 9 3 2 2 2" xfId="26923" xr:uid="{00000000-0005-0000-0000-000090B20000}"/>
    <cellStyle name="Normal 12 9 3 2 2 2 2" xfId="55929" xr:uid="{00000000-0005-0000-0000-000091B20000}"/>
    <cellStyle name="Normal 12 9 3 2 2 3" xfId="41430" xr:uid="{00000000-0005-0000-0000-000092B20000}"/>
    <cellStyle name="Normal 12 9 3 2 3" xfId="19675" xr:uid="{00000000-0005-0000-0000-000093B20000}"/>
    <cellStyle name="Normal 12 9 3 2 3 2" xfId="48681" xr:uid="{00000000-0005-0000-0000-000094B20000}"/>
    <cellStyle name="Normal 12 9 3 2 4" xfId="34182" xr:uid="{00000000-0005-0000-0000-000095B20000}"/>
    <cellStyle name="Normal 12 9 3 3" xfId="9285" xr:uid="{00000000-0005-0000-0000-000096B20000}"/>
    <cellStyle name="Normal 12 9 3 3 2" xfId="23819" xr:uid="{00000000-0005-0000-0000-000097B20000}"/>
    <cellStyle name="Normal 12 9 3 3 2 2" xfId="52825" xr:uid="{00000000-0005-0000-0000-000098B20000}"/>
    <cellStyle name="Normal 12 9 3 3 3" xfId="38326" xr:uid="{00000000-0005-0000-0000-000099B20000}"/>
    <cellStyle name="Normal 12 9 3 4" xfId="16571" xr:uid="{00000000-0005-0000-0000-00009AB20000}"/>
    <cellStyle name="Normal 12 9 3 4 2" xfId="45577" xr:uid="{00000000-0005-0000-0000-00009BB20000}"/>
    <cellStyle name="Normal 12 9 3 5" xfId="31078" xr:uid="{00000000-0005-0000-0000-00009CB20000}"/>
    <cellStyle name="Normal 12 9 4" xfId="3045" xr:uid="{00000000-0005-0000-0000-00009DB20000}"/>
    <cellStyle name="Normal 12 9 4 2" xfId="6149" xr:uid="{00000000-0005-0000-0000-00009EB20000}"/>
    <cellStyle name="Normal 12 9 4 2 2" xfId="13421" xr:uid="{00000000-0005-0000-0000-00009FB20000}"/>
    <cellStyle name="Normal 12 9 4 2 2 2" xfId="27955" xr:uid="{00000000-0005-0000-0000-0000A0B20000}"/>
    <cellStyle name="Normal 12 9 4 2 2 2 2" xfId="56961" xr:uid="{00000000-0005-0000-0000-0000A1B20000}"/>
    <cellStyle name="Normal 12 9 4 2 2 3" xfId="42462" xr:uid="{00000000-0005-0000-0000-0000A2B20000}"/>
    <cellStyle name="Normal 12 9 4 2 3" xfId="20707" xr:uid="{00000000-0005-0000-0000-0000A3B20000}"/>
    <cellStyle name="Normal 12 9 4 2 3 2" xfId="49713" xr:uid="{00000000-0005-0000-0000-0000A4B20000}"/>
    <cellStyle name="Normal 12 9 4 2 4" xfId="35214" xr:uid="{00000000-0005-0000-0000-0000A5B20000}"/>
    <cellStyle name="Normal 12 9 4 3" xfId="10317" xr:uid="{00000000-0005-0000-0000-0000A6B20000}"/>
    <cellStyle name="Normal 12 9 4 3 2" xfId="24851" xr:uid="{00000000-0005-0000-0000-0000A7B20000}"/>
    <cellStyle name="Normal 12 9 4 3 2 2" xfId="53857" xr:uid="{00000000-0005-0000-0000-0000A8B20000}"/>
    <cellStyle name="Normal 12 9 4 3 3" xfId="39358" xr:uid="{00000000-0005-0000-0000-0000A9B20000}"/>
    <cellStyle name="Normal 12 9 4 4" xfId="17603" xr:uid="{00000000-0005-0000-0000-0000AAB20000}"/>
    <cellStyle name="Normal 12 9 4 4 2" xfId="46609" xr:uid="{00000000-0005-0000-0000-0000ABB20000}"/>
    <cellStyle name="Normal 12 9 4 5" xfId="32110" xr:uid="{00000000-0005-0000-0000-0000ACB20000}"/>
    <cellStyle name="Normal 12 9 5" xfId="4077" xr:uid="{00000000-0005-0000-0000-0000ADB20000}"/>
    <cellStyle name="Normal 12 9 5 2" xfId="11349" xr:uid="{00000000-0005-0000-0000-0000AEB20000}"/>
    <cellStyle name="Normal 12 9 5 2 2" xfId="25883" xr:uid="{00000000-0005-0000-0000-0000AFB20000}"/>
    <cellStyle name="Normal 12 9 5 2 2 2" xfId="54889" xr:uid="{00000000-0005-0000-0000-0000B0B20000}"/>
    <cellStyle name="Normal 12 9 5 2 3" xfId="40390" xr:uid="{00000000-0005-0000-0000-0000B1B20000}"/>
    <cellStyle name="Normal 12 9 5 3" xfId="18635" xr:uid="{00000000-0005-0000-0000-0000B2B20000}"/>
    <cellStyle name="Normal 12 9 5 3 2" xfId="47641" xr:uid="{00000000-0005-0000-0000-0000B3B20000}"/>
    <cellStyle name="Normal 12 9 5 4" xfId="33142" xr:uid="{00000000-0005-0000-0000-0000B4B20000}"/>
    <cellStyle name="Normal 12 9 6" xfId="7181" xr:uid="{00000000-0005-0000-0000-0000B5B20000}"/>
    <cellStyle name="Normal 12 9 6 2" xfId="14453" xr:uid="{00000000-0005-0000-0000-0000B6B20000}"/>
    <cellStyle name="Normal 12 9 6 2 2" xfId="28987" xr:uid="{00000000-0005-0000-0000-0000B7B20000}"/>
    <cellStyle name="Normal 12 9 6 2 2 2" xfId="57993" xr:uid="{00000000-0005-0000-0000-0000B8B20000}"/>
    <cellStyle name="Normal 12 9 6 2 3" xfId="43494" xr:uid="{00000000-0005-0000-0000-0000B9B20000}"/>
    <cellStyle name="Normal 12 9 6 3" xfId="21739" xr:uid="{00000000-0005-0000-0000-0000BAB20000}"/>
    <cellStyle name="Normal 12 9 6 3 2" xfId="50745" xr:uid="{00000000-0005-0000-0000-0000BBB20000}"/>
    <cellStyle name="Normal 12 9 6 4" xfId="36246" xr:uid="{00000000-0005-0000-0000-0000BCB20000}"/>
    <cellStyle name="Normal 12 9 7" xfId="8245" xr:uid="{00000000-0005-0000-0000-0000BDB20000}"/>
    <cellStyle name="Normal 12 9 7 2" xfId="22779" xr:uid="{00000000-0005-0000-0000-0000BEB20000}"/>
    <cellStyle name="Normal 12 9 7 2 2" xfId="51785" xr:uid="{00000000-0005-0000-0000-0000BFB20000}"/>
    <cellStyle name="Normal 12 9 7 3" xfId="37286" xr:uid="{00000000-0005-0000-0000-0000C0B20000}"/>
    <cellStyle name="Normal 12 9 8" xfId="15531" xr:uid="{00000000-0005-0000-0000-0000C1B20000}"/>
    <cellStyle name="Normal 12 9 8 2" xfId="44537" xr:uid="{00000000-0005-0000-0000-0000C2B20000}"/>
    <cellStyle name="Normal 12 9 9" xfId="30038" xr:uid="{00000000-0005-0000-0000-0000C3B20000}"/>
    <cellStyle name="Normal 13" xfId="786" xr:uid="{00000000-0005-0000-0000-0000C4B20000}"/>
    <cellStyle name="Normal 13 10" xfId="1822" xr:uid="{00000000-0005-0000-0000-0000C5B20000}"/>
    <cellStyle name="Normal 13 10 2" xfId="4926" xr:uid="{00000000-0005-0000-0000-0000C6B20000}"/>
    <cellStyle name="Normal 13 10 2 2" xfId="12198" xr:uid="{00000000-0005-0000-0000-0000C7B20000}"/>
    <cellStyle name="Normal 13 10 2 2 2" xfId="26732" xr:uid="{00000000-0005-0000-0000-0000C8B20000}"/>
    <cellStyle name="Normal 13 10 2 2 2 2" xfId="55738" xr:uid="{00000000-0005-0000-0000-0000C9B20000}"/>
    <cellStyle name="Normal 13 10 2 2 3" xfId="41239" xr:uid="{00000000-0005-0000-0000-0000CAB20000}"/>
    <cellStyle name="Normal 13 10 2 3" xfId="19484" xr:uid="{00000000-0005-0000-0000-0000CBB20000}"/>
    <cellStyle name="Normal 13 10 2 3 2" xfId="48490" xr:uid="{00000000-0005-0000-0000-0000CCB20000}"/>
    <cellStyle name="Normal 13 10 2 4" xfId="33991" xr:uid="{00000000-0005-0000-0000-0000CDB20000}"/>
    <cellStyle name="Normal 13 10 3" xfId="9094" xr:uid="{00000000-0005-0000-0000-0000CEB20000}"/>
    <cellStyle name="Normal 13 10 3 2" xfId="23628" xr:uid="{00000000-0005-0000-0000-0000CFB20000}"/>
    <cellStyle name="Normal 13 10 3 2 2" xfId="52634" xr:uid="{00000000-0005-0000-0000-0000D0B20000}"/>
    <cellStyle name="Normal 13 10 3 3" xfId="38135" xr:uid="{00000000-0005-0000-0000-0000D1B20000}"/>
    <cellStyle name="Normal 13 10 4" xfId="16380" xr:uid="{00000000-0005-0000-0000-0000D2B20000}"/>
    <cellStyle name="Normal 13 10 4 2" xfId="45386" xr:uid="{00000000-0005-0000-0000-0000D3B20000}"/>
    <cellStyle name="Normal 13 10 5" xfId="30887" xr:uid="{00000000-0005-0000-0000-0000D4B20000}"/>
    <cellStyle name="Normal 13 11" xfId="2854" xr:uid="{00000000-0005-0000-0000-0000D5B20000}"/>
    <cellStyle name="Normal 13 11 2" xfId="5958" xr:uid="{00000000-0005-0000-0000-0000D6B20000}"/>
    <cellStyle name="Normal 13 11 2 2" xfId="13230" xr:uid="{00000000-0005-0000-0000-0000D7B20000}"/>
    <cellStyle name="Normal 13 11 2 2 2" xfId="27764" xr:uid="{00000000-0005-0000-0000-0000D8B20000}"/>
    <cellStyle name="Normal 13 11 2 2 2 2" xfId="56770" xr:uid="{00000000-0005-0000-0000-0000D9B20000}"/>
    <cellStyle name="Normal 13 11 2 2 3" xfId="42271" xr:uid="{00000000-0005-0000-0000-0000DAB20000}"/>
    <cellStyle name="Normal 13 11 2 3" xfId="20516" xr:uid="{00000000-0005-0000-0000-0000DBB20000}"/>
    <cellStyle name="Normal 13 11 2 3 2" xfId="49522" xr:uid="{00000000-0005-0000-0000-0000DCB20000}"/>
    <cellStyle name="Normal 13 11 2 4" xfId="35023" xr:uid="{00000000-0005-0000-0000-0000DDB20000}"/>
    <cellStyle name="Normal 13 11 3" xfId="10126" xr:uid="{00000000-0005-0000-0000-0000DEB20000}"/>
    <cellStyle name="Normal 13 11 3 2" xfId="24660" xr:uid="{00000000-0005-0000-0000-0000DFB20000}"/>
    <cellStyle name="Normal 13 11 3 2 2" xfId="53666" xr:uid="{00000000-0005-0000-0000-0000E0B20000}"/>
    <cellStyle name="Normal 13 11 3 3" xfId="39167" xr:uid="{00000000-0005-0000-0000-0000E1B20000}"/>
    <cellStyle name="Normal 13 11 4" xfId="17412" xr:uid="{00000000-0005-0000-0000-0000E2B20000}"/>
    <cellStyle name="Normal 13 11 4 2" xfId="46418" xr:uid="{00000000-0005-0000-0000-0000E3B20000}"/>
    <cellStyle name="Normal 13 11 5" xfId="31919" xr:uid="{00000000-0005-0000-0000-0000E4B20000}"/>
    <cellStyle name="Normal 13 12" xfId="3886" xr:uid="{00000000-0005-0000-0000-0000E5B20000}"/>
    <cellStyle name="Normal 13 12 2" xfId="11158" xr:uid="{00000000-0005-0000-0000-0000E6B20000}"/>
    <cellStyle name="Normal 13 12 2 2" xfId="25692" xr:uid="{00000000-0005-0000-0000-0000E7B20000}"/>
    <cellStyle name="Normal 13 12 2 2 2" xfId="54698" xr:uid="{00000000-0005-0000-0000-0000E8B20000}"/>
    <cellStyle name="Normal 13 12 2 3" xfId="40199" xr:uid="{00000000-0005-0000-0000-0000E9B20000}"/>
    <cellStyle name="Normal 13 12 3" xfId="18444" xr:uid="{00000000-0005-0000-0000-0000EAB20000}"/>
    <cellStyle name="Normal 13 12 3 2" xfId="47450" xr:uid="{00000000-0005-0000-0000-0000EBB20000}"/>
    <cellStyle name="Normal 13 12 4" xfId="32951" xr:uid="{00000000-0005-0000-0000-0000ECB20000}"/>
    <cellStyle name="Normal 13 13" xfId="6990" xr:uid="{00000000-0005-0000-0000-0000EDB20000}"/>
    <cellStyle name="Normal 13 13 2" xfId="14262" xr:uid="{00000000-0005-0000-0000-0000EEB20000}"/>
    <cellStyle name="Normal 13 13 2 2" xfId="28796" xr:uid="{00000000-0005-0000-0000-0000EFB20000}"/>
    <cellStyle name="Normal 13 13 2 2 2" xfId="57802" xr:uid="{00000000-0005-0000-0000-0000F0B20000}"/>
    <cellStyle name="Normal 13 13 2 3" xfId="43303" xr:uid="{00000000-0005-0000-0000-0000F1B20000}"/>
    <cellStyle name="Normal 13 13 3" xfId="21548" xr:uid="{00000000-0005-0000-0000-0000F2B20000}"/>
    <cellStyle name="Normal 13 13 3 2" xfId="50554" xr:uid="{00000000-0005-0000-0000-0000F3B20000}"/>
    <cellStyle name="Normal 13 13 4" xfId="36055" xr:uid="{00000000-0005-0000-0000-0000F4B20000}"/>
    <cellStyle name="Normal 13 14" xfId="8035" xr:uid="{00000000-0005-0000-0000-0000F5B20000}"/>
    <cellStyle name="Normal 13 14 2" xfId="15283" xr:uid="{00000000-0005-0000-0000-0000F6B20000}"/>
    <cellStyle name="Normal 13 14 2 2" xfId="29817" xr:uid="{00000000-0005-0000-0000-0000F7B20000}"/>
    <cellStyle name="Normal 13 14 2 2 2" xfId="58823" xr:uid="{00000000-0005-0000-0000-0000F8B20000}"/>
    <cellStyle name="Normal 13 14 2 3" xfId="44324" xr:uid="{00000000-0005-0000-0000-0000F9B20000}"/>
    <cellStyle name="Normal 13 14 3" xfId="22569" xr:uid="{00000000-0005-0000-0000-0000FAB20000}"/>
    <cellStyle name="Normal 13 14 3 2" xfId="51575" xr:uid="{00000000-0005-0000-0000-0000FBB20000}"/>
    <cellStyle name="Normal 13 14 4" xfId="37076" xr:uid="{00000000-0005-0000-0000-0000FCB20000}"/>
    <cellStyle name="Normal 13 15" xfId="8054" xr:uid="{00000000-0005-0000-0000-0000FDB20000}"/>
    <cellStyle name="Normal 13 15 2" xfId="22588" xr:uid="{00000000-0005-0000-0000-0000FEB20000}"/>
    <cellStyle name="Normal 13 15 2 2" xfId="51594" xr:uid="{00000000-0005-0000-0000-0000FFB20000}"/>
    <cellStyle name="Normal 13 15 3" xfId="37095" xr:uid="{00000000-0005-0000-0000-000000B30000}"/>
    <cellStyle name="Normal 13 16" xfId="15340" xr:uid="{00000000-0005-0000-0000-000001B30000}"/>
    <cellStyle name="Normal 13 16 2" xfId="44346" xr:uid="{00000000-0005-0000-0000-000002B30000}"/>
    <cellStyle name="Normal 13 17" xfId="29847" xr:uid="{00000000-0005-0000-0000-000003B30000}"/>
    <cellStyle name="Normal 13 2" xfId="852" xr:uid="{00000000-0005-0000-0000-000004B30000}"/>
    <cellStyle name="Normal 13 2 10" xfId="7014" xr:uid="{00000000-0005-0000-0000-000005B30000}"/>
    <cellStyle name="Normal 13 2 10 2" xfId="14286" xr:uid="{00000000-0005-0000-0000-000006B30000}"/>
    <cellStyle name="Normal 13 2 10 2 2" xfId="28820" xr:uid="{00000000-0005-0000-0000-000007B30000}"/>
    <cellStyle name="Normal 13 2 10 2 2 2" xfId="57826" xr:uid="{00000000-0005-0000-0000-000008B30000}"/>
    <cellStyle name="Normal 13 2 10 2 3" xfId="43327" xr:uid="{00000000-0005-0000-0000-000009B30000}"/>
    <cellStyle name="Normal 13 2 10 3" xfId="21572" xr:uid="{00000000-0005-0000-0000-00000AB30000}"/>
    <cellStyle name="Normal 13 2 10 3 2" xfId="50578" xr:uid="{00000000-0005-0000-0000-00000BB30000}"/>
    <cellStyle name="Normal 13 2 10 4" xfId="36079" xr:uid="{00000000-0005-0000-0000-00000CB30000}"/>
    <cellStyle name="Normal 13 2 11" xfId="8078" xr:uid="{00000000-0005-0000-0000-00000DB30000}"/>
    <cellStyle name="Normal 13 2 11 2" xfId="22612" xr:uid="{00000000-0005-0000-0000-00000EB30000}"/>
    <cellStyle name="Normal 13 2 11 2 2" xfId="51618" xr:uid="{00000000-0005-0000-0000-00000FB30000}"/>
    <cellStyle name="Normal 13 2 11 3" xfId="37119" xr:uid="{00000000-0005-0000-0000-000010B30000}"/>
    <cellStyle name="Normal 13 2 12" xfId="15364" xr:uid="{00000000-0005-0000-0000-000011B30000}"/>
    <cellStyle name="Normal 13 2 12 2" xfId="44370" xr:uid="{00000000-0005-0000-0000-000012B30000}"/>
    <cellStyle name="Normal 13 2 13" xfId="29871" xr:uid="{00000000-0005-0000-0000-000013B30000}"/>
    <cellStyle name="Normal 13 2 2" xfId="895" xr:uid="{00000000-0005-0000-0000-000014B30000}"/>
    <cellStyle name="Normal 13 2 2 10" xfId="8130" xr:uid="{00000000-0005-0000-0000-000015B30000}"/>
    <cellStyle name="Normal 13 2 2 10 2" xfId="22664" xr:uid="{00000000-0005-0000-0000-000016B30000}"/>
    <cellStyle name="Normal 13 2 2 10 2 2" xfId="51670" xr:uid="{00000000-0005-0000-0000-000017B30000}"/>
    <cellStyle name="Normal 13 2 2 10 3" xfId="37171" xr:uid="{00000000-0005-0000-0000-000018B30000}"/>
    <cellStyle name="Normal 13 2 2 11" xfId="15416" xr:uid="{00000000-0005-0000-0000-000019B30000}"/>
    <cellStyle name="Normal 13 2 2 11 2" xfId="44422" xr:uid="{00000000-0005-0000-0000-00001AB30000}"/>
    <cellStyle name="Normal 13 2 2 12" xfId="29923" xr:uid="{00000000-0005-0000-0000-00001BB30000}"/>
    <cellStyle name="Normal 13 2 2 2" xfId="975" xr:uid="{00000000-0005-0000-0000-00001CB30000}"/>
    <cellStyle name="Normal 13 2 2 2 10" xfId="30026" xr:uid="{00000000-0005-0000-0000-00001DB30000}"/>
    <cellStyle name="Normal 13 2 2 2 2" xfId="1254" xr:uid="{00000000-0005-0000-0000-00001EB30000}"/>
    <cellStyle name="Normal 13 2 2 2 2 2" xfId="1760" xr:uid="{00000000-0005-0000-0000-00001FB30000}"/>
    <cellStyle name="Normal 13 2 2 2 2 2 2" xfId="2819" xr:uid="{00000000-0005-0000-0000-000020B30000}"/>
    <cellStyle name="Normal 13 2 2 2 2 2 2 2" xfId="5923" xr:uid="{00000000-0005-0000-0000-000021B30000}"/>
    <cellStyle name="Normal 13 2 2 2 2 2 2 2 2" xfId="13195" xr:uid="{00000000-0005-0000-0000-000022B30000}"/>
    <cellStyle name="Normal 13 2 2 2 2 2 2 2 2 2" xfId="27729" xr:uid="{00000000-0005-0000-0000-000023B30000}"/>
    <cellStyle name="Normal 13 2 2 2 2 2 2 2 2 2 2" xfId="56735" xr:uid="{00000000-0005-0000-0000-000024B30000}"/>
    <cellStyle name="Normal 13 2 2 2 2 2 2 2 2 3" xfId="42236" xr:uid="{00000000-0005-0000-0000-000025B30000}"/>
    <cellStyle name="Normal 13 2 2 2 2 2 2 2 3" xfId="20481" xr:uid="{00000000-0005-0000-0000-000026B30000}"/>
    <cellStyle name="Normal 13 2 2 2 2 2 2 2 3 2" xfId="49487" xr:uid="{00000000-0005-0000-0000-000027B30000}"/>
    <cellStyle name="Normal 13 2 2 2 2 2 2 2 4" xfId="34988" xr:uid="{00000000-0005-0000-0000-000028B30000}"/>
    <cellStyle name="Normal 13 2 2 2 2 2 2 3" xfId="10091" xr:uid="{00000000-0005-0000-0000-000029B30000}"/>
    <cellStyle name="Normal 13 2 2 2 2 2 2 3 2" xfId="24625" xr:uid="{00000000-0005-0000-0000-00002AB30000}"/>
    <cellStyle name="Normal 13 2 2 2 2 2 2 3 2 2" xfId="53631" xr:uid="{00000000-0005-0000-0000-00002BB30000}"/>
    <cellStyle name="Normal 13 2 2 2 2 2 2 3 3" xfId="39132" xr:uid="{00000000-0005-0000-0000-00002CB30000}"/>
    <cellStyle name="Normal 13 2 2 2 2 2 2 4" xfId="17377" xr:uid="{00000000-0005-0000-0000-00002DB30000}"/>
    <cellStyle name="Normal 13 2 2 2 2 2 2 4 2" xfId="46383" xr:uid="{00000000-0005-0000-0000-00002EB30000}"/>
    <cellStyle name="Normal 13 2 2 2 2 2 2 5" xfId="31884" xr:uid="{00000000-0005-0000-0000-00002FB30000}"/>
    <cellStyle name="Normal 13 2 2 2 2 2 3" xfId="3851" xr:uid="{00000000-0005-0000-0000-000030B30000}"/>
    <cellStyle name="Normal 13 2 2 2 2 2 3 2" xfId="6955" xr:uid="{00000000-0005-0000-0000-000031B30000}"/>
    <cellStyle name="Normal 13 2 2 2 2 2 3 2 2" xfId="14227" xr:uid="{00000000-0005-0000-0000-000032B30000}"/>
    <cellStyle name="Normal 13 2 2 2 2 2 3 2 2 2" xfId="28761" xr:uid="{00000000-0005-0000-0000-000033B30000}"/>
    <cellStyle name="Normal 13 2 2 2 2 2 3 2 2 2 2" xfId="57767" xr:uid="{00000000-0005-0000-0000-000034B30000}"/>
    <cellStyle name="Normal 13 2 2 2 2 2 3 2 2 3" xfId="43268" xr:uid="{00000000-0005-0000-0000-000035B30000}"/>
    <cellStyle name="Normal 13 2 2 2 2 2 3 2 3" xfId="21513" xr:uid="{00000000-0005-0000-0000-000036B30000}"/>
    <cellStyle name="Normal 13 2 2 2 2 2 3 2 3 2" xfId="50519" xr:uid="{00000000-0005-0000-0000-000037B30000}"/>
    <cellStyle name="Normal 13 2 2 2 2 2 3 2 4" xfId="36020" xr:uid="{00000000-0005-0000-0000-000038B30000}"/>
    <cellStyle name="Normal 13 2 2 2 2 2 3 3" xfId="11123" xr:uid="{00000000-0005-0000-0000-000039B30000}"/>
    <cellStyle name="Normal 13 2 2 2 2 2 3 3 2" xfId="25657" xr:uid="{00000000-0005-0000-0000-00003AB30000}"/>
    <cellStyle name="Normal 13 2 2 2 2 2 3 3 2 2" xfId="54663" xr:uid="{00000000-0005-0000-0000-00003BB30000}"/>
    <cellStyle name="Normal 13 2 2 2 2 2 3 3 3" xfId="40164" xr:uid="{00000000-0005-0000-0000-00003CB30000}"/>
    <cellStyle name="Normal 13 2 2 2 2 2 3 4" xfId="18409" xr:uid="{00000000-0005-0000-0000-00003DB30000}"/>
    <cellStyle name="Normal 13 2 2 2 2 2 3 4 2" xfId="47415" xr:uid="{00000000-0005-0000-0000-00003EB30000}"/>
    <cellStyle name="Normal 13 2 2 2 2 2 3 5" xfId="32916" xr:uid="{00000000-0005-0000-0000-00003FB30000}"/>
    <cellStyle name="Normal 13 2 2 2 2 2 4" xfId="4883" xr:uid="{00000000-0005-0000-0000-000040B30000}"/>
    <cellStyle name="Normal 13 2 2 2 2 2 4 2" xfId="12155" xr:uid="{00000000-0005-0000-0000-000041B30000}"/>
    <cellStyle name="Normal 13 2 2 2 2 2 4 2 2" xfId="26689" xr:uid="{00000000-0005-0000-0000-000042B30000}"/>
    <cellStyle name="Normal 13 2 2 2 2 2 4 2 2 2" xfId="55695" xr:uid="{00000000-0005-0000-0000-000043B30000}"/>
    <cellStyle name="Normal 13 2 2 2 2 2 4 2 3" xfId="41196" xr:uid="{00000000-0005-0000-0000-000044B30000}"/>
    <cellStyle name="Normal 13 2 2 2 2 2 4 3" xfId="19441" xr:uid="{00000000-0005-0000-0000-000045B30000}"/>
    <cellStyle name="Normal 13 2 2 2 2 2 4 3 2" xfId="48447" xr:uid="{00000000-0005-0000-0000-000046B30000}"/>
    <cellStyle name="Normal 13 2 2 2 2 2 4 4" xfId="33948" xr:uid="{00000000-0005-0000-0000-000047B30000}"/>
    <cellStyle name="Normal 13 2 2 2 2 2 5" xfId="7987" xr:uid="{00000000-0005-0000-0000-000048B30000}"/>
    <cellStyle name="Normal 13 2 2 2 2 2 5 2" xfId="15259" xr:uid="{00000000-0005-0000-0000-000049B30000}"/>
    <cellStyle name="Normal 13 2 2 2 2 2 5 2 2" xfId="29793" xr:uid="{00000000-0005-0000-0000-00004AB30000}"/>
    <cellStyle name="Normal 13 2 2 2 2 2 5 2 2 2" xfId="58799" xr:uid="{00000000-0005-0000-0000-00004BB30000}"/>
    <cellStyle name="Normal 13 2 2 2 2 2 5 2 3" xfId="44300" xr:uid="{00000000-0005-0000-0000-00004CB30000}"/>
    <cellStyle name="Normal 13 2 2 2 2 2 5 3" xfId="22545" xr:uid="{00000000-0005-0000-0000-00004DB30000}"/>
    <cellStyle name="Normal 13 2 2 2 2 2 5 3 2" xfId="51551" xr:uid="{00000000-0005-0000-0000-00004EB30000}"/>
    <cellStyle name="Normal 13 2 2 2 2 2 5 4" xfId="37052" xr:uid="{00000000-0005-0000-0000-00004FB30000}"/>
    <cellStyle name="Normal 13 2 2 2 2 2 6" xfId="9051" xr:uid="{00000000-0005-0000-0000-000050B30000}"/>
    <cellStyle name="Normal 13 2 2 2 2 2 6 2" xfId="23585" xr:uid="{00000000-0005-0000-0000-000051B30000}"/>
    <cellStyle name="Normal 13 2 2 2 2 2 6 2 2" xfId="52591" xr:uid="{00000000-0005-0000-0000-000052B30000}"/>
    <cellStyle name="Normal 13 2 2 2 2 2 6 3" xfId="38092" xr:uid="{00000000-0005-0000-0000-000053B30000}"/>
    <cellStyle name="Normal 13 2 2 2 2 2 7" xfId="16337" xr:uid="{00000000-0005-0000-0000-000054B30000}"/>
    <cellStyle name="Normal 13 2 2 2 2 2 7 2" xfId="45343" xr:uid="{00000000-0005-0000-0000-000055B30000}"/>
    <cellStyle name="Normal 13 2 2 2 2 2 8" xfId="30844" xr:uid="{00000000-0005-0000-0000-000056B30000}"/>
    <cellStyle name="Normal 13 2 2 2 2 3" xfId="2307" xr:uid="{00000000-0005-0000-0000-000057B30000}"/>
    <cellStyle name="Normal 13 2 2 2 2 3 2" xfId="5411" xr:uid="{00000000-0005-0000-0000-000058B30000}"/>
    <cellStyle name="Normal 13 2 2 2 2 3 2 2" xfId="12683" xr:uid="{00000000-0005-0000-0000-000059B30000}"/>
    <cellStyle name="Normal 13 2 2 2 2 3 2 2 2" xfId="27217" xr:uid="{00000000-0005-0000-0000-00005AB30000}"/>
    <cellStyle name="Normal 13 2 2 2 2 3 2 2 2 2" xfId="56223" xr:uid="{00000000-0005-0000-0000-00005BB30000}"/>
    <cellStyle name="Normal 13 2 2 2 2 3 2 2 3" xfId="41724" xr:uid="{00000000-0005-0000-0000-00005CB30000}"/>
    <cellStyle name="Normal 13 2 2 2 2 3 2 3" xfId="19969" xr:uid="{00000000-0005-0000-0000-00005DB30000}"/>
    <cellStyle name="Normal 13 2 2 2 2 3 2 3 2" xfId="48975" xr:uid="{00000000-0005-0000-0000-00005EB30000}"/>
    <cellStyle name="Normal 13 2 2 2 2 3 2 4" xfId="34476" xr:uid="{00000000-0005-0000-0000-00005FB30000}"/>
    <cellStyle name="Normal 13 2 2 2 2 3 3" xfId="9579" xr:uid="{00000000-0005-0000-0000-000060B30000}"/>
    <cellStyle name="Normal 13 2 2 2 2 3 3 2" xfId="24113" xr:uid="{00000000-0005-0000-0000-000061B30000}"/>
    <cellStyle name="Normal 13 2 2 2 2 3 3 2 2" xfId="53119" xr:uid="{00000000-0005-0000-0000-000062B30000}"/>
    <cellStyle name="Normal 13 2 2 2 2 3 3 3" xfId="38620" xr:uid="{00000000-0005-0000-0000-000063B30000}"/>
    <cellStyle name="Normal 13 2 2 2 2 3 4" xfId="16865" xr:uid="{00000000-0005-0000-0000-000064B30000}"/>
    <cellStyle name="Normal 13 2 2 2 2 3 4 2" xfId="45871" xr:uid="{00000000-0005-0000-0000-000065B30000}"/>
    <cellStyle name="Normal 13 2 2 2 2 3 5" xfId="31372" xr:uid="{00000000-0005-0000-0000-000066B30000}"/>
    <cellStyle name="Normal 13 2 2 2 2 4" xfId="3339" xr:uid="{00000000-0005-0000-0000-000067B30000}"/>
    <cellStyle name="Normal 13 2 2 2 2 4 2" xfId="6443" xr:uid="{00000000-0005-0000-0000-000068B30000}"/>
    <cellStyle name="Normal 13 2 2 2 2 4 2 2" xfId="13715" xr:uid="{00000000-0005-0000-0000-000069B30000}"/>
    <cellStyle name="Normal 13 2 2 2 2 4 2 2 2" xfId="28249" xr:uid="{00000000-0005-0000-0000-00006AB30000}"/>
    <cellStyle name="Normal 13 2 2 2 2 4 2 2 2 2" xfId="57255" xr:uid="{00000000-0005-0000-0000-00006BB30000}"/>
    <cellStyle name="Normal 13 2 2 2 2 4 2 2 3" xfId="42756" xr:uid="{00000000-0005-0000-0000-00006CB30000}"/>
    <cellStyle name="Normal 13 2 2 2 2 4 2 3" xfId="21001" xr:uid="{00000000-0005-0000-0000-00006DB30000}"/>
    <cellStyle name="Normal 13 2 2 2 2 4 2 3 2" xfId="50007" xr:uid="{00000000-0005-0000-0000-00006EB30000}"/>
    <cellStyle name="Normal 13 2 2 2 2 4 2 4" xfId="35508" xr:uid="{00000000-0005-0000-0000-00006FB30000}"/>
    <cellStyle name="Normal 13 2 2 2 2 4 3" xfId="10611" xr:uid="{00000000-0005-0000-0000-000070B30000}"/>
    <cellStyle name="Normal 13 2 2 2 2 4 3 2" xfId="25145" xr:uid="{00000000-0005-0000-0000-000071B30000}"/>
    <cellStyle name="Normal 13 2 2 2 2 4 3 2 2" xfId="54151" xr:uid="{00000000-0005-0000-0000-000072B30000}"/>
    <cellStyle name="Normal 13 2 2 2 2 4 3 3" xfId="39652" xr:uid="{00000000-0005-0000-0000-000073B30000}"/>
    <cellStyle name="Normal 13 2 2 2 2 4 4" xfId="17897" xr:uid="{00000000-0005-0000-0000-000074B30000}"/>
    <cellStyle name="Normal 13 2 2 2 2 4 4 2" xfId="46903" xr:uid="{00000000-0005-0000-0000-000075B30000}"/>
    <cellStyle name="Normal 13 2 2 2 2 4 5" xfId="32404" xr:uid="{00000000-0005-0000-0000-000076B30000}"/>
    <cellStyle name="Normal 13 2 2 2 2 5" xfId="4371" xr:uid="{00000000-0005-0000-0000-000077B30000}"/>
    <cellStyle name="Normal 13 2 2 2 2 5 2" xfId="11643" xr:uid="{00000000-0005-0000-0000-000078B30000}"/>
    <cellStyle name="Normal 13 2 2 2 2 5 2 2" xfId="26177" xr:uid="{00000000-0005-0000-0000-000079B30000}"/>
    <cellStyle name="Normal 13 2 2 2 2 5 2 2 2" xfId="55183" xr:uid="{00000000-0005-0000-0000-00007AB30000}"/>
    <cellStyle name="Normal 13 2 2 2 2 5 2 3" xfId="40684" xr:uid="{00000000-0005-0000-0000-00007BB30000}"/>
    <cellStyle name="Normal 13 2 2 2 2 5 3" xfId="18929" xr:uid="{00000000-0005-0000-0000-00007CB30000}"/>
    <cellStyle name="Normal 13 2 2 2 2 5 3 2" xfId="47935" xr:uid="{00000000-0005-0000-0000-00007DB30000}"/>
    <cellStyle name="Normal 13 2 2 2 2 5 4" xfId="33436" xr:uid="{00000000-0005-0000-0000-00007EB30000}"/>
    <cellStyle name="Normal 13 2 2 2 2 6" xfId="7475" xr:uid="{00000000-0005-0000-0000-00007FB30000}"/>
    <cellStyle name="Normal 13 2 2 2 2 6 2" xfId="14747" xr:uid="{00000000-0005-0000-0000-000080B30000}"/>
    <cellStyle name="Normal 13 2 2 2 2 6 2 2" xfId="29281" xr:uid="{00000000-0005-0000-0000-000081B30000}"/>
    <cellStyle name="Normal 13 2 2 2 2 6 2 2 2" xfId="58287" xr:uid="{00000000-0005-0000-0000-000082B30000}"/>
    <cellStyle name="Normal 13 2 2 2 2 6 2 3" xfId="43788" xr:uid="{00000000-0005-0000-0000-000083B30000}"/>
    <cellStyle name="Normal 13 2 2 2 2 6 3" xfId="22033" xr:uid="{00000000-0005-0000-0000-000084B30000}"/>
    <cellStyle name="Normal 13 2 2 2 2 6 3 2" xfId="51039" xr:uid="{00000000-0005-0000-0000-000085B30000}"/>
    <cellStyle name="Normal 13 2 2 2 2 6 4" xfId="36540" xr:uid="{00000000-0005-0000-0000-000086B30000}"/>
    <cellStyle name="Normal 13 2 2 2 2 7" xfId="8539" xr:uid="{00000000-0005-0000-0000-000087B30000}"/>
    <cellStyle name="Normal 13 2 2 2 2 7 2" xfId="23073" xr:uid="{00000000-0005-0000-0000-000088B30000}"/>
    <cellStyle name="Normal 13 2 2 2 2 7 2 2" xfId="52079" xr:uid="{00000000-0005-0000-0000-000089B30000}"/>
    <cellStyle name="Normal 13 2 2 2 2 7 3" xfId="37580" xr:uid="{00000000-0005-0000-0000-00008AB30000}"/>
    <cellStyle name="Normal 13 2 2 2 2 8" xfId="15825" xr:uid="{00000000-0005-0000-0000-00008BB30000}"/>
    <cellStyle name="Normal 13 2 2 2 2 8 2" xfId="44831" xr:uid="{00000000-0005-0000-0000-00008CB30000}"/>
    <cellStyle name="Normal 13 2 2 2 2 9" xfId="30332" xr:uid="{00000000-0005-0000-0000-00008DB30000}"/>
    <cellStyle name="Normal 13 2 2 2 3" xfId="1455" xr:uid="{00000000-0005-0000-0000-00008EB30000}"/>
    <cellStyle name="Normal 13 2 2 2 3 2" xfId="2513" xr:uid="{00000000-0005-0000-0000-00008FB30000}"/>
    <cellStyle name="Normal 13 2 2 2 3 2 2" xfId="5617" xr:uid="{00000000-0005-0000-0000-000090B30000}"/>
    <cellStyle name="Normal 13 2 2 2 3 2 2 2" xfId="12889" xr:uid="{00000000-0005-0000-0000-000091B30000}"/>
    <cellStyle name="Normal 13 2 2 2 3 2 2 2 2" xfId="27423" xr:uid="{00000000-0005-0000-0000-000092B30000}"/>
    <cellStyle name="Normal 13 2 2 2 3 2 2 2 2 2" xfId="56429" xr:uid="{00000000-0005-0000-0000-000093B30000}"/>
    <cellStyle name="Normal 13 2 2 2 3 2 2 2 3" xfId="41930" xr:uid="{00000000-0005-0000-0000-000094B30000}"/>
    <cellStyle name="Normal 13 2 2 2 3 2 2 3" xfId="20175" xr:uid="{00000000-0005-0000-0000-000095B30000}"/>
    <cellStyle name="Normal 13 2 2 2 3 2 2 3 2" xfId="49181" xr:uid="{00000000-0005-0000-0000-000096B30000}"/>
    <cellStyle name="Normal 13 2 2 2 3 2 2 4" xfId="34682" xr:uid="{00000000-0005-0000-0000-000097B30000}"/>
    <cellStyle name="Normal 13 2 2 2 3 2 3" xfId="9785" xr:uid="{00000000-0005-0000-0000-000098B30000}"/>
    <cellStyle name="Normal 13 2 2 2 3 2 3 2" xfId="24319" xr:uid="{00000000-0005-0000-0000-000099B30000}"/>
    <cellStyle name="Normal 13 2 2 2 3 2 3 2 2" xfId="53325" xr:uid="{00000000-0005-0000-0000-00009AB30000}"/>
    <cellStyle name="Normal 13 2 2 2 3 2 3 3" xfId="38826" xr:uid="{00000000-0005-0000-0000-00009BB30000}"/>
    <cellStyle name="Normal 13 2 2 2 3 2 4" xfId="17071" xr:uid="{00000000-0005-0000-0000-00009CB30000}"/>
    <cellStyle name="Normal 13 2 2 2 3 2 4 2" xfId="46077" xr:uid="{00000000-0005-0000-0000-00009DB30000}"/>
    <cellStyle name="Normal 13 2 2 2 3 2 5" xfId="31578" xr:uid="{00000000-0005-0000-0000-00009EB30000}"/>
    <cellStyle name="Normal 13 2 2 2 3 3" xfId="3545" xr:uid="{00000000-0005-0000-0000-00009FB30000}"/>
    <cellStyle name="Normal 13 2 2 2 3 3 2" xfId="6649" xr:uid="{00000000-0005-0000-0000-0000A0B30000}"/>
    <cellStyle name="Normal 13 2 2 2 3 3 2 2" xfId="13921" xr:uid="{00000000-0005-0000-0000-0000A1B30000}"/>
    <cellStyle name="Normal 13 2 2 2 3 3 2 2 2" xfId="28455" xr:uid="{00000000-0005-0000-0000-0000A2B30000}"/>
    <cellStyle name="Normal 13 2 2 2 3 3 2 2 2 2" xfId="57461" xr:uid="{00000000-0005-0000-0000-0000A3B30000}"/>
    <cellStyle name="Normal 13 2 2 2 3 3 2 2 3" xfId="42962" xr:uid="{00000000-0005-0000-0000-0000A4B30000}"/>
    <cellStyle name="Normal 13 2 2 2 3 3 2 3" xfId="21207" xr:uid="{00000000-0005-0000-0000-0000A5B30000}"/>
    <cellStyle name="Normal 13 2 2 2 3 3 2 3 2" xfId="50213" xr:uid="{00000000-0005-0000-0000-0000A6B30000}"/>
    <cellStyle name="Normal 13 2 2 2 3 3 2 4" xfId="35714" xr:uid="{00000000-0005-0000-0000-0000A7B30000}"/>
    <cellStyle name="Normal 13 2 2 2 3 3 3" xfId="10817" xr:uid="{00000000-0005-0000-0000-0000A8B30000}"/>
    <cellStyle name="Normal 13 2 2 2 3 3 3 2" xfId="25351" xr:uid="{00000000-0005-0000-0000-0000A9B30000}"/>
    <cellStyle name="Normal 13 2 2 2 3 3 3 2 2" xfId="54357" xr:uid="{00000000-0005-0000-0000-0000AAB30000}"/>
    <cellStyle name="Normal 13 2 2 2 3 3 3 3" xfId="39858" xr:uid="{00000000-0005-0000-0000-0000ABB30000}"/>
    <cellStyle name="Normal 13 2 2 2 3 3 4" xfId="18103" xr:uid="{00000000-0005-0000-0000-0000ACB30000}"/>
    <cellStyle name="Normal 13 2 2 2 3 3 4 2" xfId="47109" xr:uid="{00000000-0005-0000-0000-0000ADB30000}"/>
    <cellStyle name="Normal 13 2 2 2 3 3 5" xfId="32610" xr:uid="{00000000-0005-0000-0000-0000AEB30000}"/>
    <cellStyle name="Normal 13 2 2 2 3 4" xfId="4577" xr:uid="{00000000-0005-0000-0000-0000AFB30000}"/>
    <cellStyle name="Normal 13 2 2 2 3 4 2" xfId="11849" xr:uid="{00000000-0005-0000-0000-0000B0B30000}"/>
    <cellStyle name="Normal 13 2 2 2 3 4 2 2" xfId="26383" xr:uid="{00000000-0005-0000-0000-0000B1B30000}"/>
    <cellStyle name="Normal 13 2 2 2 3 4 2 2 2" xfId="55389" xr:uid="{00000000-0005-0000-0000-0000B2B30000}"/>
    <cellStyle name="Normal 13 2 2 2 3 4 2 3" xfId="40890" xr:uid="{00000000-0005-0000-0000-0000B3B30000}"/>
    <cellStyle name="Normal 13 2 2 2 3 4 3" xfId="19135" xr:uid="{00000000-0005-0000-0000-0000B4B30000}"/>
    <cellStyle name="Normal 13 2 2 2 3 4 3 2" xfId="48141" xr:uid="{00000000-0005-0000-0000-0000B5B30000}"/>
    <cellStyle name="Normal 13 2 2 2 3 4 4" xfId="33642" xr:uid="{00000000-0005-0000-0000-0000B6B30000}"/>
    <cellStyle name="Normal 13 2 2 2 3 5" xfId="7681" xr:uid="{00000000-0005-0000-0000-0000B7B30000}"/>
    <cellStyle name="Normal 13 2 2 2 3 5 2" xfId="14953" xr:uid="{00000000-0005-0000-0000-0000B8B30000}"/>
    <cellStyle name="Normal 13 2 2 2 3 5 2 2" xfId="29487" xr:uid="{00000000-0005-0000-0000-0000B9B30000}"/>
    <cellStyle name="Normal 13 2 2 2 3 5 2 2 2" xfId="58493" xr:uid="{00000000-0005-0000-0000-0000BAB30000}"/>
    <cellStyle name="Normal 13 2 2 2 3 5 2 3" xfId="43994" xr:uid="{00000000-0005-0000-0000-0000BBB30000}"/>
    <cellStyle name="Normal 13 2 2 2 3 5 3" xfId="22239" xr:uid="{00000000-0005-0000-0000-0000BCB30000}"/>
    <cellStyle name="Normal 13 2 2 2 3 5 3 2" xfId="51245" xr:uid="{00000000-0005-0000-0000-0000BDB30000}"/>
    <cellStyle name="Normal 13 2 2 2 3 5 4" xfId="36746" xr:uid="{00000000-0005-0000-0000-0000BEB30000}"/>
    <cellStyle name="Normal 13 2 2 2 3 6" xfId="8745" xr:uid="{00000000-0005-0000-0000-0000BFB30000}"/>
    <cellStyle name="Normal 13 2 2 2 3 6 2" xfId="23279" xr:uid="{00000000-0005-0000-0000-0000C0B30000}"/>
    <cellStyle name="Normal 13 2 2 2 3 6 2 2" xfId="52285" xr:uid="{00000000-0005-0000-0000-0000C1B30000}"/>
    <cellStyle name="Normal 13 2 2 2 3 6 3" xfId="37786" xr:uid="{00000000-0005-0000-0000-0000C2B30000}"/>
    <cellStyle name="Normal 13 2 2 2 3 7" xfId="16031" xr:uid="{00000000-0005-0000-0000-0000C3B30000}"/>
    <cellStyle name="Normal 13 2 2 2 3 7 2" xfId="45037" xr:uid="{00000000-0005-0000-0000-0000C4B30000}"/>
    <cellStyle name="Normal 13 2 2 2 3 8" xfId="30538" xr:uid="{00000000-0005-0000-0000-0000C5B30000}"/>
    <cellStyle name="Normal 13 2 2 2 4" xfId="2001" xr:uid="{00000000-0005-0000-0000-0000C6B30000}"/>
    <cellStyle name="Normal 13 2 2 2 4 2" xfId="5105" xr:uid="{00000000-0005-0000-0000-0000C7B30000}"/>
    <cellStyle name="Normal 13 2 2 2 4 2 2" xfId="12377" xr:uid="{00000000-0005-0000-0000-0000C8B30000}"/>
    <cellStyle name="Normal 13 2 2 2 4 2 2 2" xfId="26911" xr:uid="{00000000-0005-0000-0000-0000C9B30000}"/>
    <cellStyle name="Normal 13 2 2 2 4 2 2 2 2" xfId="55917" xr:uid="{00000000-0005-0000-0000-0000CAB30000}"/>
    <cellStyle name="Normal 13 2 2 2 4 2 2 3" xfId="41418" xr:uid="{00000000-0005-0000-0000-0000CBB30000}"/>
    <cellStyle name="Normal 13 2 2 2 4 2 3" xfId="19663" xr:uid="{00000000-0005-0000-0000-0000CCB30000}"/>
    <cellStyle name="Normal 13 2 2 2 4 2 3 2" xfId="48669" xr:uid="{00000000-0005-0000-0000-0000CDB30000}"/>
    <cellStyle name="Normal 13 2 2 2 4 2 4" xfId="34170" xr:uid="{00000000-0005-0000-0000-0000CEB30000}"/>
    <cellStyle name="Normal 13 2 2 2 4 3" xfId="9273" xr:uid="{00000000-0005-0000-0000-0000CFB30000}"/>
    <cellStyle name="Normal 13 2 2 2 4 3 2" xfId="23807" xr:uid="{00000000-0005-0000-0000-0000D0B30000}"/>
    <cellStyle name="Normal 13 2 2 2 4 3 2 2" xfId="52813" xr:uid="{00000000-0005-0000-0000-0000D1B30000}"/>
    <cellStyle name="Normal 13 2 2 2 4 3 3" xfId="38314" xr:uid="{00000000-0005-0000-0000-0000D2B30000}"/>
    <cellStyle name="Normal 13 2 2 2 4 4" xfId="16559" xr:uid="{00000000-0005-0000-0000-0000D3B30000}"/>
    <cellStyle name="Normal 13 2 2 2 4 4 2" xfId="45565" xr:uid="{00000000-0005-0000-0000-0000D4B30000}"/>
    <cellStyle name="Normal 13 2 2 2 4 5" xfId="31066" xr:uid="{00000000-0005-0000-0000-0000D5B30000}"/>
    <cellStyle name="Normal 13 2 2 2 5" xfId="3033" xr:uid="{00000000-0005-0000-0000-0000D6B30000}"/>
    <cellStyle name="Normal 13 2 2 2 5 2" xfId="6137" xr:uid="{00000000-0005-0000-0000-0000D7B30000}"/>
    <cellStyle name="Normal 13 2 2 2 5 2 2" xfId="13409" xr:uid="{00000000-0005-0000-0000-0000D8B30000}"/>
    <cellStyle name="Normal 13 2 2 2 5 2 2 2" xfId="27943" xr:uid="{00000000-0005-0000-0000-0000D9B30000}"/>
    <cellStyle name="Normal 13 2 2 2 5 2 2 2 2" xfId="56949" xr:uid="{00000000-0005-0000-0000-0000DAB30000}"/>
    <cellStyle name="Normal 13 2 2 2 5 2 2 3" xfId="42450" xr:uid="{00000000-0005-0000-0000-0000DBB30000}"/>
    <cellStyle name="Normal 13 2 2 2 5 2 3" xfId="20695" xr:uid="{00000000-0005-0000-0000-0000DCB30000}"/>
    <cellStyle name="Normal 13 2 2 2 5 2 3 2" xfId="49701" xr:uid="{00000000-0005-0000-0000-0000DDB30000}"/>
    <cellStyle name="Normal 13 2 2 2 5 2 4" xfId="35202" xr:uid="{00000000-0005-0000-0000-0000DEB30000}"/>
    <cellStyle name="Normal 13 2 2 2 5 3" xfId="10305" xr:uid="{00000000-0005-0000-0000-0000DFB30000}"/>
    <cellStyle name="Normal 13 2 2 2 5 3 2" xfId="24839" xr:uid="{00000000-0005-0000-0000-0000E0B30000}"/>
    <cellStyle name="Normal 13 2 2 2 5 3 2 2" xfId="53845" xr:uid="{00000000-0005-0000-0000-0000E1B30000}"/>
    <cellStyle name="Normal 13 2 2 2 5 3 3" xfId="39346" xr:uid="{00000000-0005-0000-0000-0000E2B30000}"/>
    <cellStyle name="Normal 13 2 2 2 5 4" xfId="17591" xr:uid="{00000000-0005-0000-0000-0000E3B30000}"/>
    <cellStyle name="Normal 13 2 2 2 5 4 2" xfId="46597" xr:uid="{00000000-0005-0000-0000-0000E4B30000}"/>
    <cellStyle name="Normal 13 2 2 2 5 5" xfId="32098" xr:uid="{00000000-0005-0000-0000-0000E5B30000}"/>
    <cellStyle name="Normal 13 2 2 2 6" xfId="4065" xr:uid="{00000000-0005-0000-0000-0000E6B30000}"/>
    <cellStyle name="Normal 13 2 2 2 6 2" xfId="11337" xr:uid="{00000000-0005-0000-0000-0000E7B30000}"/>
    <cellStyle name="Normal 13 2 2 2 6 2 2" xfId="25871" xr:uid="{00000000-0005-0000-0000-0000E8B30000}"/>
    <cellStyle name="Normal 13 2 2 2 6 2 2 2" xfId="54877" xr:uid="{00000000-0005-0000-0000-0000E9B30000}"/>
    <cellStyle name="Normal 13 2 2 2 6 2 3" xfId="40378" xr:uid="{00000000-0005-0000-0000-0000EAB30000}"/>
    <cellStyle name="Normal 13 2 2 2 6 3" xfId="18623" xr:uid="{00000000-0005-0000-0000-0000EBB30000}"/>
    <cellStyle name="Normal 13 2 2 2 6 3 2" xfId="47629" xr:uid="{00000000-0005-0000-0000-0000ECB30000}"/>
    <cellStyle name="Normal 13 2 2 2 6 4" xfId="33130" xr:uid="{00000000-0005-0000-0000-0000EDB30000}"/>
    <cellStyle name="Normal 13 2 2 2 7" xfId="7169" xr:uid="{00000000-0005-0000-0000-0000EEB30000}"/>
    <cellStyle name="Normal 13 2 2 2 7 2" xfId="14441" xr:uid="{00000000-0005-0000-0000-0000EFB30000}"/>
    <cellStyle name="Normal 13 2 2 2 7 2 2" xfId="28975" xr:uid="{00000000-0005-0000-0000-0000F0B30000}"/>
    <cellStyle name="Normal 13 2 2 2 7 2 2 2" xfId="57981" xr:uid="{00000000-0005-0000-0000-0000F1B30000}"/>
    <cellStyle name="Normal 13 2 2 2 7 2 3" xfId="43482" xr:uid="{00000000-0005-0000-0000-0000F2B30000}"/>
    <cellStyle name="Normal 13 2 2 2 7 3" xfId="21727" xr:uid="{00000000-0005-0000-0000-0000F3B30000}"/>
    <cellStyle name="Normal 13 2 2 2 7 3 2" xfId="50733" xr:uid="{00000000-0005-0000-0000-0000F4B30000}"/>
    <cellStyle name="Normal 13 2 2 2 7 4" xfId="36234" xr:uid="{00000000-0005-0000-0000-0000F5B30000}"/>
    <cellStyle name="Normal 13 2 2 2 8" xfId="8233" xr:uid="{00000000-0005-0000-0000-0000F6B30000}"/>
    <cellStyle name="Normal 13 2 2 2 8 2" xfId="22767" xr:uid="{00000000-0005-0000-0000-0000F7B30000}"/>
    <cellStyle name="Normal 13 2 2 2 8 2 2" xfId="51773" xr:uid="{00000000-0005-0000-0000-0000F8B30000}"/>
    <cellStyle name="Normal 13 2 2 2 8 3" xfId="37274" xr:uid="{00000000-0005-0000-0000-0000F9B30000}"/>
    <cellStyle name="Normal 13 2 2 2 9" xfId="15519" xr:uid="{00000000-0005-0000-0000-0000FAB30000}"/>
    <cellStyle name="Normal 13 2 2 2 9 2" xfId="44525" xr:uid="{00000000-0005-0000-0000-0000FBB30000}"/>
    <cellStyle name="Normal 13 2 2 3" xfId="1158" xr:uid="{00000000-0005-0000-0000-0000FCB30000}"/>
    <cellStyle name="Normal 13 2 2 3 2" xfId="1657" xr:uid="{00000000-0005-0000-0000-0000FDB30000}"/>
    <cellStyle name="Normal 13 2 2 3 2 2" xfId="2716" xr:uid="{00000000-0005-0000-0000-0000FEB30000}"/>
    <cellStyle name="Normal 13 2 2 3 2 2 2" xfId="5820" xr:uid="{00000000-0005-0000-0000-0000FFB30000}"/>
    <cellStyle name="Normal 13 2 2 3 2 2 2 2" xfId="13092" xr:uid="{00000000-0005-0000-0000-000000B40000}"/>
    <cellStyle name="Normal 13 2 2 3 2 2 2 2 2" xfId="27626" xr:uid="{00000000-0005-0000-0000-000001B40000}"/>
    <cellStyle name="Normal 13 2 2 3 2 2 2 2 2 2" xfId="56632" xr:uid="{00000000-0005-0000-0000-000002B40000}"/>
    <cellStyle name="Normal 13 2 2 3 2 2 2 2 3" xfId="42133" xr:uid="{00000000-0005-0000-0000-000003B40000}"/>
    <cellStyle name="Normal 13 2 2 3 2 2 2 3" xfId="20378" xr:uid="{00000000-0005-0000-0000-000004B40000}"/>
    <cellStyle name="Normal 13 2 2 3 2 2 2 3 2" xfId="49384" xr:uid="{00000000-0005-0000-0000-000005B40000}"/>
    <cellStyle name="Normal 13 2 2 3 2 2 2 4" xfId="34885" xr:uid="{00000000-0005-0000-0000-000006B40000}"/>
    <cellStyle name="Normal 13 2 2 3 2 2 3" xfId="9988" xr:uid="{00000000-0005-0000-0000-000007B40000}"/>
    <cellStyle name="Normal 13 2 2 3 2 2 3 2" xfId="24522" xr:uid="{00000000-0005-0000-0000-000008B40000}"/>
    <cellStyle name="Normal 13 2 2 3 2 2 3 2 2" xfId="53528" xr:uid="{00000000-0005-0000-0000-000009B40000}"/>
    <cellStyle name="Normal 13 2 2 3 2 2 3 3" xfId="39029" xr:uid="{00000000-0005-0000-0000-00000AB40000}"/>
    <cellStyle name="Normal 13 2 2 3 2 2 4" xfId="17274" xr:uid="{00000000-0005-0000-0000-00000BB40000}"/>
    <cellStyle name="Normal 13 2 2 3 2 2 4 2" xfId="46280" xr:uid="{00000000-0005-0000-0000-00000CB40000}"/>
    <cellStyle name="Normal 13 2 2 3 2 2 5" xfId="31781" xr:uid="{00000000-0005-0000-0000-00000DB40000}"/>
    <cellStyle name="Normal 13 2 2 3 2 3" xfId="3748" xr:uid="{00000000-0005-0000-0000-00000EB40000}"/>
    <cellStyle name="Normal 13 2 2 3 2 3 2" xfId="6852" xr:uid="{00000000-0005-0000-0000-00000FB40000}"/>
    <cellStyle name="Normal 13 2 2 3 2 3 2 2" xfId="14124" xr:uid="{00000000-0005-0000-0000-000010B40000}"/>
    <cellStyle name="Normal 13 2 2 3 2 3 2 2 2" xfId="28658" xr:uid="{00000000-0005-0000-0000-000011B40000}"/>
    <cellStyle name="Normal 13 2 2 3 2 3 2 2 2 2" xfId="57664" xr:uid="{00000000-0005-0000-0000-000012B40000}"/>
    <cellStyle name="Normal 13 2 2 3 2 3 2 2 3" xfId="43165" xr:uid="{00000000-0005-0000-0000-000013B40000}"/>
    <cellStyle name="Normal 13 2 2 3 2 3 2 3" xfId="21410" xr:uid="{00000000-0005-0000-0000-000014B40000}"/>
    <cellStyle name="Normal 13 2 2 3 2 3 2 3 2" xfId="50416" xr:uid="{00000000-0005-0000-0000-000015B40000}"/>
    <cellStyle name="Normal 13 2 2 3 2 3 2 4" xfId="35917" xr:uid="{00000000-0005-0000-0000-000016B40000}"/>
    <cellStyle name="Normal 13 2 2 3 2 3 3" xfId="11020" xr:uid="{00000000-0005-0000-0000-000017B40000}"/>
    <cellStyle name="Normal 13 2 2 3 2 3 3 2" xfId="25554" xr:uid="{00000000-0005-0000-0000-000018B40000}"/>
    <cellStyle name="Normal 13 2 2 3 2 3 3 2 2" xfId="54560" xr:uid="{00000000-0005-0000-0000-000019B40000}"/>
    <cellStyle name="Normal 13 2 2 3 2 3 3 3" xfId="40061" xr:uid="{00000000-0005-0000-0000-00001AB40000}"/>
    <cellStyle name="Normal 13 2 2 3 2 3 4" xfId="18306" xr:uid="{00000000-0005-0000-0000-00001BB40000}"/>
    <cellStyle name="Normal 13 2 2 3 2 3 4 2" xfId="47312" xr:uid="{00000000-0005-0000-0000-00001CB40000}"/>
    <cellStyle name="Normal 13 2 2 3 2 3 5" xfId="32813" xr:uid="{00000000-0005-0000-0000-00001DB40000}"/>
    <cellStyle name="Normal 13 2 2 3 2 4" xfId="4780" xr:uid="{00000000-0005-0000-0000-00001EB40000}"/>
    <cellStyle name="Normal 13 2 2 3 2 4 2" xfId="12052" xr:uid="{00000000-0005-0000-0000-00001FB40000}"/>
    <cellStyle name="Normal 13 2 2 3 2 4 2 2" xfId="26586" xr:uid="{00000000-0005-0000-0000-000020B40000}"/>
    <cellStyle name="Normal 13 2 2 3 2 4 2 2 2" xfId="55592" xr:uid="{00000000-0005-0000-0000-000021B40000}"/>
    <cellStyle name="Normal 13 2 2 3 2 4 2 3" xfId="41093" xr:uid="{00000000-0005-0000-0000-000022B40000}"/>
    <cellStyle name="Normal 13 2 2 3 2 4 3" xfId="19338" xr:uid="{00000000-0005-0000-0000-000023B40000}"/>
    <cellStyle name="Normal 13 2 2 3 2 4 3 2" xfId="48344" xr:uid="{00000000-0005-0000-0000-000024B40000}"/>
    <cellStyle name="Normal 13 2 2 3 2 4 4" xfId="33845" xr:uid="{00000000-0005-0000-0000-000025B40000}"/>
    <cellStyle name="Normal 13 2 2 3 2 5" xfId="7884" xr:uid="{00000000-0005-0000-0000-000026B40000}"/>
    <cellStyle name="Normal 13 2 2 3 2 5 2" xfId="15156" xr:uid="{00000000-0005-0000-0000-000027B40000}"/>
    <cellStyle name="Normal 13 2 2 3 2 5 2 2" xfId="29690" xr:uid="{00000000-0005-0000-0000-000028B40000}"/>
    <cellStyle name="Normal 13 2 2 3 2 5 2 2 2" xfId="58696" xr:uid="{00000000-0005-0000-0000-000029B40000}"/>
    <cellStyle name="Normal 13 2 2 3 2 5 2 3" xfId="44197" xr:uid="{00000000-0005-0000-0000-00002AB40000}"/>
    <cellStyle name="Normal 13 2 2 3 2 5 3" xfId="22442" xr:uid="{00000000-0005-0000-0000-00002BB40000}"/>
    <cellStyle name="Normal 13 2 2 3 2 5 3 2" xfId="51448" xr:uid="{00000000-0005-0000-0000-00002CB40000}"/>
    <cellStyle name="Normal 13 2 2 3 2 5 4" xfId="36949" xr:uid="{00000000-0005-0000-0000-00002DB40000}"/>
    <cellStyle name="Normal 13 2 2 3 2 6" xfId="8948" xr:uid="{00000000-0005-0000-0000-00002EB40000}"/>
    <cellStyle name="Normal 13 2 2 3 2 6 2" xfId="23482" xr:uid="{00000000-0005-0000-0000-00002FB40000}"/>
    <cellStyle name="Normal 13 2 2 3 2 6 2 2" xfId="52488" xr:uid="{00000000-0005-0000-0000-000030B40000}"/>
    <cellStyle name="Normal 13 2 2 3 2 6 3" xfId="37989" xr:uid="{00000000-0005-0000-0000-000031B40000}"/>
    <cellStyle name="Normal 13 2 2 3 2 7" xfId="16234" xr:uid="{00000000-0005-0000-0000-000032B40000}"/>
    <cellStyle name="Normal 13 2 2 3 2 7 2" xfId="45240" xr:uid="{00000000-0005-0000-0000-000033B40000}"/>
    <cellStyle name="Normal 13 2 2 3 2 8" xfId="30741" xr:uid="{00000000-0005-0000-0000-000034B40000}"/>
    <cellStyle name="Normal 13 2 2 3 3" xfId="2204" xr:uid="{00000000-0005-0000-0000-000035B40000}"/>
    <cellStyle name="Normal 13 2 2 3 3 2" xfId="5308" xr:uid="{00000000-0005-0000-0000-000036B40000}"/>
    <cellStyle name="Normal 13 2 2 3 3 2 2" xfId="12580" xr:uid="{00000000-0005-0000-0000-000037B40000}"/>
    <cellStyle name="Normal 13 2 2 3 3 2 2 2" xfId="27114" xr:uid="{00000000-0005-0000-0000-000038B40000}"/>
    <cellStyle name="Normal 13 2 2 3 3 2 2 2 2" xfId="56120" xr:uid="{00000000-0005-0000-0000-000039B40000}"/>
    <cellStyle name="Normal 13 2 2 3 3 2 2 3" xfId="41621" xr:uid="{00000000-0005-0000-0000-00003AB40000}"/>
    <cellStyle name="Normal 13 2 2 3 3 2 3" xfId="19866" xr:uid="{00000000-0005-0000-0000-00003BB40000}"/>
    <cellStyle name="Normal 13 2 2 3 3 2 3 2" xfId="48872" xr:uid="{00000000-0005-0000-0000-00003CB40000}"/>
    <cellStyle name="Normal 13 2 2 3 3 2 4" xfId="34373" xr:uid="{00000000-0005-0000-0000-00003DB40000}"/>
    <cellStyle name="Normal 13 2 2 3 3 3" xfId="9476" xr:uid="{00000000-0005-0000-0000-00003EB40000}"/>
    <cellStyle name="Normal 13 2 2 3 3 3 2" xfId="24010" xr:uid="{00000000-0005-0000-0000-00003FB40000}"/>
    <cellStyle name="Normal 13 2 2 3 3 3 2 2" xfId="53016" xr:uid="{00000000-0005-0000-0000-000040B40000}"/>
    <cellStyle name="Normal 13 2 2 3 3 3 3" xfId="38517" xr:uid="{00000000-0005-0000-0000-000041B40000}"/>
    <cellStyle name="Normal 13 2 2 3 3 4" xfId="16762" xr:uid="{00000000-0005-0000-0000-000042B40000}"/>
    <cellStyle name="Normal 13 2 2 3 3 4 2" xfId="45768" xr:uid="{00000000-0005-0000-0000-000043B40000}"/>
    <cellStyle name="Normal 13 2 2 3 3 5" xfId="31269" xr:uid="{00000000-0005-0000-0000-000044B40000}"/>
    <cellStyle name="Normal 13 2 2 3 4" xfId="3236" xr:uid="{00000000-0005-0000-0000-000045B40000}"/>
    <cellStyle name="Normal 13 2 2 3 4 2" xfId="6340" xr:uid="{00000000-0005-0000-0000-000046B40000}"/>
    <cellStyle name="Normal 13 2 2 3 4 2 2" xfId="13612" xr:uid="{00000000-0005-0000-0000-000047B40000}"/>
    <cellStyle name="Normal 13 2 2 3 4 2 2 2" xfId="28146" xr:uid="{00000000-0005-0000-0000-000048B40000}"/>
    <cellStyle name="Normal 13 2 2 3 4 2 2 2 2" xfId="57152" xr:uid="{00000000-0005-0000-0000-000049B40000}"/>
    <cellStyle name="Normal 13 2 2 3 4 2 2 3" xfId="42653" xr:uid="{00000000-0005-0000-0000-00004AB40000}"/>
    <cellStyle name="Normal 13 2 2 3 4 2 3" xfId="20898" xr:uid="{00000000-0005-0000-0000-00004BB40000}"/>
    <cellStyle name="Normal 13 2 2 3 4 2 3 2" xfId="49904" xr:uid="{00000000-0005-0000-0000-00004CB40000}"/>
    <cellStyle name="Normal 13 2 2 3 4 2 4" xfId="35405" xr:uid="{00000000-0005-0000-0000-00004DB40000}"/>
    <cellStyle name="Normal 13 2 2 3 4 3" xfId="10508" xr:uid="{00000000-0005-0000-0000-00004EB40000}"/>
    <cellStyle name="Normal 13 2 2 3 4 3 2" xfId="25042" xr:uid="{00000000-0005-0000-0000-00004FB40000}"/>
    <cellStyle name="Normal 13 2 2 3 4 3 2 2" xfId="54048" xr:uid="{00000000-0005-0000-0000-000050B40000}"/>
    <cellStyle name="Normal 13 2 2 3 4 3 3" xfId="39549" xr:uid="{00000000-0005-0000-0000-000051B40000}"/>
    <cellStyle name="Normal 13 2 2 3 4 4" xfId="17794" xr:uid="{00000000-0005-0000-0000-000052B40000}"/>
    <cellStyle name="Normal 13 2 2 3 4 4 2" xfId="46800" xr:uid="{00000000-0005-0000-0000-000053B40000}"/>
    <cellStyle name="Normal 13 2 2 3 4 5" xfId="32301" xr:uid="{00000000-0005-0000-0000-000054B40000}"/>
    <cellStyle name="Normal 13 2 2 3 5" xfId="4268" xr:uid="{00000000-0005-0000-0000-000055B40000}"/>
    <cellStyle name="Normal 13 2 2 3 5 2" xfId="11540" xr:uid="{00000000-0005-0000-0000-000056B40000}"/>
    <cellStyle name="Normal 13 2 2 3 5 2 2" xfId="26074" xr:uid="{00000000-0005-0000-0000-000057B40000}"/>
    <cellStyle name="Normal 13 2 2 3 5 2 2 2" xfId="55080" xr:uid="{00000000-0005-0000-0000-000058B40000}"/>
    <cellStyle name="Normal 13 2 2 3 5 2 3" xfId="40581" xr:uid="{00000000-0005-0000-0000-000059B40000}"/>
    <cellStyle name="Normal 13 2 2 3 5 3" xfId="18826" xr:uid="{00000000-0005-0000-0000-00005AB40000}"/>
    <cellStyle name="Normal 13 2 2 3 5 3 2" xfId="47832" xr:uid="{00000000-0005-0000-0000-00005BB40000}"/>
    <cellStyle name="Normal 13 2 2 3 5 4" xfId="33333" xr:uid="{00000000-0005-0000-0000-00005CB40000}"/>
    <cellStyle name="Normal 13 2 2 3 6" xfId="7372" xr:uid="{00000000-0005-0000-0000-00005DB40000}"/>
    <cellStyle name="Normal 13 2 2 3 6 2" xfId="14644" xr:uid="{00000000-0005-0000-0000-00005EB40000}"/>
    <cellStyle name="Normal 13 2 2 3 6 2 2" xfId="29178" xr:uid="{00000000-0005-0000-0000-00005FB40000}"/>
    <cellStyle name="Normal 13 2 2 3 6 2 2 2" xfId="58184" xr:uid="{00000000-0005-0000-0000-000060B40000}"/>
    <cellStyle name="Normal 13 2 2 3 6 2 3" xfId="43685" xr:uid="{00000000-0005-0000-0000-000061B40000}"/>
    <cellStyle name="Normal 13 2 2 3 6 3" xfId="21930" xr:uid="{00000000-0005-0000-0000-000062B40000}"/>
    <cellStyle name="Normal 13 2 2 3 6 3 2" xfId="50936" xr:uid="{00000000-0005-0000-0000-000063B40000}"/>
    <cellStyle name="Normal 13 2 2 3 6 4" xfId="36437" xr:uid="{00000000-0005-0000-0000-000064B40000}"/>
    <cellStyle name="Normal 13 2 2 3 7" xfId="8436" xr:uid="{00000000-0005-0000-0000-000065B40000}"/>
    <cellStyle name="Normal 13 2 2 3 7 2" xfId="22970" xr:uid="{00000000-0005-0000-0000-000066B40000}"/>
    <cellStyle name="Normal 13 2 2 3 7 2 2" xfId="51976" xr:uid="{00000000-0005-0000-0000-000067B40000}"/>
    <cellStyle name="Normal 13 2 2 3 7 3" xfId="37477" xr:uid="{00000000-0005-0000-0000-000068B40000}"/>
    <cellStyle name="Normal 13 2 2 3 8" xfId="15722" xr:uid="{00000000-0005-0000-0000-000069B40000}"/>
    <cellStyle name="Normal 13 2 2 3 8 2" xfId="44728" xr:uid="{00000000-0005-0000-0000-00006AB40000}"/>
    <cellStyle name="Normal 13 2 2 3 9" xfId="30229" xr:uid="{00000000-0005-0000-0000-00006BB40000}"/>
    <cellStyle name="Normal 13 2 2 4" xfId="1067" xr:uid="{00000000-0005-0000-0000-00006CB40000}"/>
    <cellStyle name="Normal 13 2 2 4 2" xfId="1558" xr:uid="{00000000-0005-0000-0000-00006DB40000}"/>
    <cellStyle name="Normal 13 2 2 4 2 2" xfId="2616" xr:uid="{00000000-0005-0000-0000-00006EB40000}"/>
    <cellStyle name="Normal 13 2 2 4 2 2 2" xfId="5720" xr:uid="{00000000-0005-0000-0000-00006FB40000}"/>
    <cellStyle name="Normal 13 2 2 4 2 2 2 2" xfId="12992" xr:uid="{00000000-0005-0000-0000-000070B40000}"/>
    <cellStyle name="Normal 13 2 2 4 2 2 2 2 2" xfId="27526" xr:uid="{00000000-0005-0000-0000-000071B40000}"/>
    <cellStyle name="Normal 13 2 2 4 2 2 2 2 2 2" xfId="56532" xr:uid="{00000000-0005-0000-0000-000072B40000}"/>
    <cellStyle name="Normal 13 2 2 4 2 2 2 2 3" xfId="42033" xr:uid="{00000000-0005-0000-0000-000073B40000}"/>
    <cellStyle name="Normal 13 2 2 4 2 2 2 3" xfId="20278" xr:uid="{00000000-0005-0000-0000-000074B40000}"/>
    <cellStyle name="Normal 13 2 2 4 2 2 2 3 2" xfId="49284" xr:uid="{00000000-0005-0000-0000-000075B40000}"/>
    <cellStyle name="Normal 13 2 2 4 2 2 2 4" xfId="34785" xr:uid="{00000000-0005-0000-0000-000076B40000}"/>
    <cellStyle name="Normal 13 2 2 4 2 2 3" xfId="9888" xr:uid="{00000000-0005-0000-0000-000077B40000}"/>
    <cellStyle name="Normal 13 2 2 4 2 2 3 2" xfId="24422" xr:uid="{00000000-0005-0000-0000-000078B40000}"/>
    <cellStyle name="Normal 13 2 2 4 2 2 3 2 2" xfId="53428" xr:uid="{00000000-0005-0000-0000-000079B40000}"/>
    <cellStyle name="Normal 13 2 2 4 2 2 3 3" xfId="38929" xr:uid="{00000000-0005-0000-0000-00007AB40000}"/>
    <cellStyle name="Normal 13 2 2 4 2 2 4" xfId="17174" xr:uid="{00000000-0005-0000-0000-00007BB40000}"/>
    <cellStyle name="Normal 13 2 2 4 2 2 4 2" xfId="46180" xr:uid="{00000000-0005-0000-0000-00007CB40000}"/>
    <cellStyle name="Normal 13 2 2 4 2 2 5" xfId="31681" xr:uid="{00000000-0005-0000-0000-00007DB40000}"/>
    <cellStyle name="Normal 13 2 2 4 2 3" xfId="3648" xr:uid="{00000000-0005-0000-0000-00007EB40000}"/>
    <cellStyle name="Normal 13 2 2 4 2 3 2" xfId="6752" xr:uid="{00000000-0005-0000-0000-00007FB40000}"/>
    <cellStyle name="Normal 13 2 2 4 2 3 2 2" xfId="14024" xr:uid="{00000000-0005-0000-0000-000080B40000}"/>
    <cellStyle name="Normal 13 2 2 4 2 3 2 2 2" xfId="28558" xr:uid="{00000000-0005-0000-0000-000081B40000}"/>
    <cellStyle name="Normal 13 2 2 4 2 3 2 2 2 2" xfId="57564" xr:uid="{00000000-0005-0000-0000-000082B40000}"/>
    <cellStyle name="Normal 13 2 2 4 2 3 2 2 3" xfId="43065" xr:uid="{00000000-0005-0000-0000-000083B40000}"/>
    <cellStyle name="Normal 13 2 2 4 2 3 2 3" xfId="21310" xr:uid="{00000000-0005-0000-0000-000084B40000}"/>
    <cellStyle name="Normal 13 2 2 4 2 3 2 3 2" xfId="50316" xr:uid="{00000000-0005-0000-0000-000085B40000}"/>
    <cellStyle name="Normal 13 2 2 4 2 3 2 4" xfId="35817" xr:uid="{00000000-0005-0000-0000-000086B40000}"/>
    <cellStyle name="Normal 13 2 2 4 2 3 3" xfId="10920" xr:uid="{00000000-0005-0000-0000-000087B40000}"/>
    <cellStyle name="Normal 13 2 2 4 2 3 3 2" xfId="25454" xr:uid="{00000000-0005-0000-0000-000088B40000}"/>
    <cellStyle name="Normal 13 2 2 4 2 3 3 2 2" xfId="54460" xr:uid="{00000000-0005-0000-0000-000089B40000}"/>
    <cellStyle name="Normal 13 2 2 4 2 3 3 3" xfId="39961" xr:uid="{00000000-0005-0000-0000-00008AB40000}"/>
    <cellStyle name="Normal 13 2 2 4 2 3 4" xfId="18206" xr:uid="{00000000-0005-0000-0000-00008BB40000}"/>
    <cellStyle name="Normal 13 2 2 4 2 3 4 2" xfId="47212" xr:uid="{00000000-0005-0000-0000-00008CB40000}"/>
    <cellStyle name="Normal 13 2 2 4 2 3 5" xfId="32713" xr:uid="{00000000-0005-0000-0000-00008DB40000}"/>
    <cellStyle name="Normal 13 2 2 4 2 4" xfId="4680" xr:uid="{00000000-0005-0000-0000-00008EB40000}"/>
    <cellStyle name="Normal 13 2 2 4 2 4 2" xfId="11952" xr:uid="{00000000-0005-0000-0000-00008FB40000}"/>
    <cellStyle name="Normal 13 2 2 4 2 4 2 2" xfId="26486" xr:uid="{00000000-0005-0000-0000-000090B40000}"/>
    <cellStyle name="Normal 13 2 2 4 2 4 2 2 2" xfId="55492" xr:uid="{00000000-0005-0000-0000-000091B40000}"/>
    <cellStyle name="Normal 13 2 2 4 2 4 2 3" xfId="40993" xr:uid="{00000000-0005-0000-0000-000092B40000}"/>
    <cellStyle name="Normal 13 2 2 4 2 4 3" xfId="19238" xr:uid="{00000000-0005-0000-0000-000093B40000}"/>
    <cellStyle name="Normal 13 2 2 4 2 4 3 2" xfId="48244" xr:uid="{00000000-0005-0000-0000-000094B40000}"/>
    <cellStyle name="Normal 13 2 2 4 2 4 4" xfId="33745" xr:uid="{00000000-0005-0000-0000-000095B40000}"/>
    <cellStyle name="Normal 13 2 2 4 2 5" xfId="7784" xr:uid="{00000000-0005-0000-0000-000096B40000}"/>
    <cellStyle name="Normal 13 2 2 4 2 5 2" xfId="15056" xr:uid="{00000000-0005-0000-0000-000097B40000}"/>
    <cellStyle name="Normal 13 2 2 4 2 5 2 2" xfId="29590" xr:uid="{00000000-0005-0000-0000-000098B40000}"/>
    <cellStyle name="Normal 13 2 2 4 2 5 2 2 2" xfId="58596" xr:uid="{00000000-0005-0000-0000-000099B40000}"/>
    <cellStyle name="Normal 13 2 2 4 2 5 2 3" xfId="44097" xr:uid="{00000000-0005-0000-0000-00009AB40000}"/>
    <cellStyle name="Normal 13 2 2 4 2 5 3" xfId="22342" xr:uid="{00000000-0005-0000-0000-00009BB40000}"/>
    <cellStyle name="Normal 13 2 2 4 2 5 3 2" xfId="51348" xr:uid="{00000000-0005-0000-0000-00009CB40000}"/>
    <cellStyle name="Normal 13 2 2 4 2 5 4" xfId="36849" xr:uid="{00000000-0005-0000-0000-00009DB40000}"/>
    <cellStyle name="Normal 13 2 2 4 2 6" xfId="8848" xr:uid="{00000000-0005-0000-0000-00009EB40000}"/>
    <cellStyle name="Normal 13 2 2 4 2 6 2" xfId="23382" xr:uid="{00000000-0005-0000-0000-00009FB40000}"/>
    <cellStyle name="Normal 13 2 2 4 2 6 2 2" xfId="52388" xr:uid="{00000000-0005-0000-0000-0000A0B40000}"/>
    <cellStyle name="Normal 13 2 2 4 2 6 3" xfId="37889" xr:uid="{00000000-0005-0000-0000-0000A1B40000}"/>
    <cellStyle name="Normal 13 2 2 4 2 7" xfId="16134" xr:uid="{00000000-0005-0000-0000-0000A2B40000}"/>
    <cellStyle name="Normal 13 2 2 4 2 7 2" xfId="45140" xr:uid="{00000000-0005-0000-0000-0000A3B40000}"/>
    <cellStyle name="Normal 13 2 2 4 2 8" xfId="30641" xr:uid="{00000000-0005-0000-0000-0000A4B40000}"/>
    <cellStyle name="Normal 13 2 2 4 3" xfId="2104" xr:uid="{00000000-0005-0000-0000-0000A5B40000}"/>
    <cellStyle name="Normal 13 2 2 4 3 2" xfId="5208" xr:uid="{00000000-0005-0000-0000-0000A6B40000}"/>
    <cellStyle name="Normal 13 2 2 4 3 2 2" xfId="12480" xr:uid="{00000000-0005-0000-0000-0000A7B40000}"/>
    <cellStyle name="Normal 13 2 2 4 3 2 2 2" xfId="27014" xr:uid="{00000000-0005-0000-0000-0000A8B40000}"/>
    <cellStyle name="Normal 13 2 2 4 3 2 2 2 2" xfId="56020" xr:uid="{00000000-0005-0000-0000-0000A9B40000}"/>
    <cellStyle name="Normal 13 2 2 4 3 2 2 3" xfId="41521" xr:uid="{00000000-0005-0000-0000-0000AAB40000}"/>
    <cellStyle name="Normal 13 2 2 4 3 2 3" xfId="19766" xr:uid="{00000000-0005-0000-0000-0000ABB40000}"/>
    <cellStyle name="Normal 13 2 2 4 3 2 3 2" xfId="48772" xr:uid="{00000000-0005-0000-0000-0000ACB40000}"/>
    <cellStyle name="Normal 13 2 2 4 3 2 4" xfId="34273" xr:uid="{00000000-0005-0000-0000-0000ADB40000}"/>
    <cellStyle name="Normal 13 2 2 4 3 3" xfId="9376" xr:uid="{00000000-0005-0000-0000-0000AEB40000}"/>
    <cellStyle name="Normal 13 2 2 4 3 3 2" xfId="23910" xr:uid="{00000000-0005-0000-0000-0000AFB40000}"/>
    <cellStyle name="Normal 13 2 2 4 3 3 2 2" xfId="52916" xr:uid="{00000000-0005-0000-0000-0000B0B40000}"/>
    <cellStyle name="Normal 13 2 2 4 3 3 3" xfId="38417" xr:uid="{00000000-0005-0000-0000-0000B1B40000}"/>
    <cellStyle name="Normal 13 2 2 4 3 4" xfId="16662" xr:uid="{00000000-0005-0000-0000-0000B2B40000}"/>
    <cellStyle name="Normal 13 2 2 4 3 4 2" xfId="45668" xr:uid="{00000000-0005-0000-0000-0000B3B40000}"/>
    <cellStyle name="Normal 13 2 2 4 3 5" xfId="31169" xr:uid="{00000000-0005-0000-0000-0000B4B40000}"/>
    <cellStyle name="Normal 13 2 2 4 4" xfId="3136" xr:uid="{00000000-0005-0000-0000-0000B5B40000}"/>
    <cellStyle name="Normal 13 2 2 4 4 2" xfId="6240" xr:uid="{00000000-0005-0000-0000-0000B6B40000}"/>
    <cellStyle name="Normal 13 2 2 4 4 2 2" xfId="13512" xr:uid="{00000000-0005-0000-0000-0000B7B40000}"/>
    <cellStyle name="Normal 13 2 2 4 4 2 2 2" xfId="28046" xr:uid="{00000000-0005-0000-0000-0000B8B40000}"/>
    <cellStyle name="Normal 13 2 2 4 4 2 2 2 2" xfId="57052" xr:uid="{00000000-0005-0000-0000-0000B9B40000}"/>
    <cellStyle name="Normal 13 2 2 4 4 2 2 3" xfId="42553" xr:uid="{00000000-0005-0000-0000-0000BAB40000}"/>
    <cellStyle name="Normal 13 2 2 4 4 2 3" xfId="20798" xr:uid="{00000000-0005-0000-0000-0000BBB40000}"/>
    <cellStyle name="Normal 13 2 2 4 4 2 3 2" xfId="49804" xr:uid="{00000000-0005-0000-0000-0000BCB40000}"/>
    <cellStyle name="Normal 13 2 2 4 4 2 4" xfId="35305" xr:uid="{00000000-0005-0000-0000-0000BDB40000}"/>
    <cellStyle name="Normal 13 2 2 4 4 3" xfId="10408" xr:uid="{00000000-0005-0000-0000-0000BEB40000}"/>
    <cellStyle name="Normal 13 2 2 4 4 3 2" xfId="24942" xr:uid="{00000000-0005-0000-0000-0000BFB40000}"/>
    <cellStyle name="Normal 13 2 2 4 4 3 2 2" xfId="53948" xr:uid="{00000000-0005-0000-0000-0000C0B40000}"/>
    <cellStyle name="Normal 13 2 2 4 4 3 3" xfId="39449" xr:uid="{00000000-0005-0000-0000-0000C1B40000}"/>
    <cellStyle name="Normal 13 2 2 4 4 4" xfId="17694" xr:uid="{00000000-0005-0000-0000-0000C2B40000}"/>
    <cellStyle name="Normal 13 2 2 4 4 4 2" xfId="46700" xr:uid="{00000000-0005-0000-0000-0000C3B40000}"/>
    <cellStyle name="Normal 13 2 2 4 4 5" xfId="32201" xr:uid="{00000000-0005-0000-0000-0000C4B40000}"/>
    <cellStyle name="Normal 13 2 2 4 5" xfId="4168" xr:uid="{00000000-0005-0000-0000-0000C5B40000}"/>
    <cellStyle name="Normal 13 2 2 4 5 2" xfId="11440" xr:uid="{00000000-0005-0000-0000-0000C6B40000}"/>
    <cellStyle name="Normal 13 2 2 4 5 2 2" xfId="25974" xr:uid="{00000000-0005-0000-0000-0000C7B40000}"/>
    <cellStyle name="Normal 13 2 2 4 5 2 2 2" xfId="54980" xr:uid="{00000000-0005-0000-0000-0000C8B40000}"/>
    <cellStyle name="Normal 13 2 2 4 5 2 3" xfId="40481" xr:uid="{00000000-0005-0000-0000-0000C9B40000}"/>
    <cellStyle name="Normal 13 2 2 4 5 3" xfId="18726" xr:uid="{00000000-0005-0000-0000-0000CAB40000}"/>
    <cellStyle name="Normal 13 2 2 4 5 3 2" xfId="47732" xr:uid="{00000000-0005-0000-0000-0000CBB40000}"/>
    <cellStyle name="Normal 13 2 2 4 5 4" xfId="33233" xr:uid="{00000000-0005-0000-0000-0000CCB40000}"/>
    <cellStyle name="Normal 13 2 2 4 6" xfId="7272" xr:uid="{00000000-0005-0000-0000-0000CDB40000}"/>
    <cellStyle name="Normal 13 2 2 4 6 2" xfId="14544" xr:uid="{00000000-0005-0000-0000-0000CEB40000}"/>
    <cellStyle name="Normal 13 2 2 4 6 2 2" xfId="29078" xr:uid="{00000000-0005-0000-0000-0000CFB40000}"/>
    <cellStyle name="Normal 13 2 2 4 6 2 2 2" xfId="58084" xr:uid="{00000000-0005-0000-0000-0000D0B40000}"/>
    <cellStyle name="Normal 13 2 2 4 6 2 3" xfId="43585" xr:uid="{00000000-0005-0000-0000-0000D1B40000}"/>
    <cellStyle name="Normal 13 2 2 4 6 3" xfId="21830" xr:uid="{00000000-0005-0000-0000-0000D2B40000}"/>
    <cellStyle name="Normal 13 2 2 4 6 3 2" xfId="50836" xr:uid="{00000000-0005-0000-0000-0000D3B40000}"/>
    <cellStyle name="Normal 13 2 2 4 6 4" xfId="36337" xr:uid="{00000000-0005-0000-0000-0000D4B40000}"/>
    <cellStyle name="Normal 13 2 2 4 7" xfId="8336" xr:uid="{00000000-0005-0000-0000-0000D5B40000}"/>
    <cellStyle name="Normal 13 2 2 4 7 2" xfId="22870" xr:uid="{00000000-0005-0000-0000-0000D6B40000}"/>
    <cellStyle name="Normal 13 2 2 4 7 2 2" xfId="51876" xr:uid="{00000000-0005-0000-0000-0000D7B40000}"/>
    <cellStyle name="Normal 13 2 2 4 7 3" xfId="37377" xr:uid="{00000000-0005-0000-0000-0000D8B40000}"/>
    <cellStyle name="Normal 13 2 2 4 8" xfId="15622" xr:uid="{00000000-0005-0000-0000-0000D9B40000}"/>
    <cellStyle name="Normal 13 2 2 4 8 2" xfId="44628" xr:uid="{00000000-0005-0000-0000-0000DAB40000}"/>
    <cellStyle name="Normal 13 2 2 4 9" xfId="30129" xr:uid="{00000000-0005-0000-0000-0000DBB40000}"/>
    <cellStyle name="Normal 13 2 2 5" xfId="1353" xr:uid="{00000000-0005-0000-0000-0000DCB40000}"/>
    <cellStyle name="Normal 13 2 2 5 2" xfId="2410" xr:uid="{00000000-0005-0000-0000-0000DDB40000}"/>
    <cellStyle name="Normal 13 2 2 5 2 2" xfId="5514" xr:uid="{00000000-0005-0000-0000-0000DEB40000}"/>
    <cellStyle name="Normal 13 2 2 5 2 2 2" xfId="12786" xr:uid="{00000000-0005-0000-0000-0000DFB40000}"/>
    <cellStyle name="Normal 13 2 2 5 2 2 2 2" xfId="27320" xr:uid="{00000000-0005-0000-0000-0000E0B40000}"/>
    <cellStyle name="Normal 13 2 2 5 2 2 2 2 2" xfId="56326" xr:uid="{00000000-0005-0000-0000-0000E1B40000}"/>
    <cellStyle name="Normal 13 2 2 5 2 2 2 3" xfId="41827" xr:uid="{00000000-0005-0000-0000-0000E2B40000}"/>
    <cellStyle name="Normal 13 2 2 5 2 2 3" xfId="20072" xr:uid="{00000000-0005-0000-0000-0000E3B40000}"/>
    <cellStyle name="Normal 13 2 2 5 2 2 3 2" xfId="49078" xr:uid="{00000000-0005-0000-0000-0000E4B40000}"/>
    <cellStyle name="Normal 13 2 2 5 2 2 4" xfId="34579" xr:uid="{00000000-0005-0000-0000-0000E5B40000}"/>
    <cellStyle name="Normal 13 2 2 5 2 3" xfId="9682" xr:uid="{00000000-0005-0000-0000-0000E6B40000}"/>
    <cellStyle name="Normal 13 2 2 5 2 3 2" xfId="24216" xr:uid="{00000000-0005-0000-0000-0000E7B40000}"/>
    <cellStyle name="Normal 13 2 2 5 2 3 2 2" xfId="53222" xr:uid="{00000000-0005-0000-0000-0000E8B40000}"/>
    <cellStyle name="Normal 13 2 2 5 2 3 3" xfId="38723" xr:uid="{00000000-0005-0000-0000-0000E9B40000}"/>
    <cellStyle name="Normal 13 2 2 5 2 4" xfId="16968" xr:uid="{00000000-0005-0000-0000-0000EAB40000}"/>
    <cellStyle name="Normal 13 2 2 5 2 4 2" xfId="45974" xr:uid="{00000000-0005-0000-0000-0000EBB40000}"/>
    <cellStyle name="Normal 13 2 2 5 2 5" xfId="31475" xr:uid="{00000000-0005-0000-0000-0000ECB40000}"/>
    <cellStyle name="Normal 13 2 2 5 3" xfId="3442" xr:uid="{00000000-0005-0000-0000-0000EDB40000}"/>
    <cellStyle name="Normal 13 2 2 5 3 2" xfId="6546" xr:uid="{00000000-0005-0000-0000-0000EEB40000}"/>
    <cellStyle name="Normal 13 2 2 5 3 2 2" xfId="13818" xr:uid="{00000000-0005-0000-0000-0000EFB40000}"/>
    <cellStyle name="Normal 13 2 2 5 3 2 2 2" xfId="28352" xr:uid="{00000000-0005-0000-0000-0000F0B40000}"/>
    <cellStyle name="Normal 13 2 2 5 3 2 2 2 2" xfId="57358" xr:uid="{00000000-0005-0000-0000-0000F1B40000}"/>
    <cellStyle name="Normal 13 2 2 5 3 2 2 3" xfId="42859" xr:uid="{00000000-0005-0000-0000-0000F2B40000}"/>
    <cellStyle name="Normal 13 2 2 5 3 2 3" xfId="21104" xr:uid="{00000000-0005-0000-0000-0000F3B40000}"/>
    <cellStyle name="Normal 13 2 2 5 3 2 3 2" xfId="50110" xr:uid="{00000000-0005-0000-0000-0000F4B40000}"/>
    <cellStyle name="Normal 13 2 2 5 3 2 4" xfId="35611" xr:uid="{00000000-0005-0000-0000-0000F5B40000}"/>
    <cellStyle name="Normal 13 2 2 5 3 3" xfId="10714" xr:uid="{00000000-0005-0000-0000-0000F6B40000}"/>
    <cellStyle name="Normal 13 2 2 5 3 3 2" xfId="25248" xr:uid="{00000000-0005-0000-0000-0000F7B40000}"/>
    <cellStyle name="Normal 13 2 2 5 3 3 2 2" xfId="54254" xr:uid="{00000000-0005-0000-0000-0000F8B40000}"/>
    <cellStyle name="Normal 13 2 2 5 3 3 3" xfId="39755" xr:uid="{00000000-0005-0000-0000-0000F9B40000}"/>
    <cellStyle name="Normal 13 2 2 5 3 4" xfId="18000" xr:uid="{00000000-0005-0000-0000-0000FAB40000}"/>
    <cellStyle name="Normal 13 2 2 5 3 4 2" xfId="47006" xr:uid="{00000000-0005-0000-0000-0000FBB40000}"/>
    <cellStyle name="Normal 13 2 2 5 3 5" xfId="32507" xr:uid="{00000000-0005-0000-0000-0000FCB40000}"/>
    <cellStyle name="Normal 13 2 2 5 4" xfId="4474" xr:uid="{00000000-0005-0000-0000-0000FDB40000}"/>
    <cellStyle name="Normal 13 2 2 5 4 2" xfId="11746" xr:uid="{00000000-0005-0000-0000-0000FEB40000}"/>
    <cellStyle name="Normal 13 2 2 5 4 2 2" xfId="26280" xr:uid="{00000000-0005-0000-0000-0000FFB40000}"/>
    <cellStyle name="Normal 13 2 2 5 4 2 2 2" xfId="55286" xr:uid="{00000000-0005-0000-0000-000000B50000}"/>
    <cellStyle name="Normal 13 2 2 5 4 2 3" xfId="40787" xr:uid="{00000000-0005-0000-0000-000001B50000}"/>
    <cellStyle name="Normal 13 2 2 5 4 3" xfId="19032" xr:uid="{00000000-0005-0000-0000-000002B50000}"/>
    <cellStyle name="Normal 13 2 2 5 4 3 2" xfId="48038" xr:uid="{00000000-0005-0000-0000-000003B50000}"/>
    <cellStyle name="Normal 13 2 2 5 4 4" xfId="33539" xr:uid="{00000000-0005-0000-0000-000004B50000}"/>
    <cellStyle name="Normal 13 2 2 5 5" xfId="7578" xr:uid="{00000000-0005-0000-0000-000005B50000}"/>
    <cellStyle name="Normal 13 2 2 5 5 2" xfId="14850" xr:uid="{00000000-0005-0000-0000-000006B50000}"/>
    <cellStyle name="Normal 13 2 2 5 5 2 2" xfId="29384" xr:uid="{00000000-0005-0000-0000-000007B50000}"/>
    <cellStyle name="Normal 13 2 2 5 5 2 2 2" xfId="58390" xr:uid="{00000000-0005-0000-0000-000008B50000}"/>
    <cellStyle name="Normal 13 2 2 5 5 2 3" xfId="43891" xr:uid="{00000000-0005-0000-0000-000009B50000}"/>
    <cellStyle name="Normal 13 2 2 5 5 3" xfId="22136" xr:uid="{00000000-0005-0000-0000-00000AB50000}"/>
    <cellStyle name="Normal 13 2 2 5 5 3 2" xfId="51142" xr:uid="{00000000-0005-0000-0000-00000BB50000}"/>
    <cellStyle name="Normal 13 2 2 5 5 4" xfId="36643" xr:uid="{00000000-0005-0000-0000-00000CB50000}"/>
    <cellStyle name="Normal 13 2 2 5 6" xfId="8642" xr:uid="{00000000-0005-0000-0000-00000DB50000}"/>
    <cellStyle name="Normal 13 2 2 5 6 2" xfId="23176" xr:uid="{00000000-0005-0000-0000-00000EB50000}"/>
    <cellStyle name="Normal 13 2 2 5 6 2 2" xfId="52182" xr:uid="{00000000-0005-0000-0000-00000FB50000}"/>
    <cellStyle name="Normal 13 2 2 5 6 3" xfId="37683" xr:uid="{00000000-0005-0000-0000-000010B50000}"/>
    <cellStyle name="Normal 13 2 2 5 7" xfId="15928" xr:uid="{00000000-0005-0000-0000-000011B50000}"/>
    <cellStyle name="Normal 13 2 2 5 7 2" xfId="44934" xr:uid="{00000000-0005-0000-0000-000012B50000}"/>
    <cellStyle name="Normal 13 2 2 5 8" xfId="30435" xr:uid="{00000000-0005-0000-0000-000013B50000}"/>
    <cellStyle name="Normal 13 2 2 6" xfId="1898" xr:uid="{00000000-0005-0000-0000-000014B50000}"/>
    <cellStyle name="Normal 13 2 2 6 2" xfId="5002" xr:uid="{00000000-0005-0000-0000-000015B50000}"/>
    <cellStyle name="Normal 13 2 2 6 2 2" xfId="12274" xr:uid="{00000000-0005-0000-0000-000016B50000}"/>
    <cellStyle name="Normal 13 2 2 6 2 2 2" xfId="26808" xr:uid="{00000000-0005-0000-0000-000017B50000}"/>
    <cellStyle name="Normal 13 2 2 6 2 2 2 2" xfId="55814" xr:uid="{00000000-0005-0000-0000-000018B50000}"/>
    <cellStyle name="Normal 13 2 2 6 2 2 3" xfId="41315" xr:uid="{00000000-0005-0000-0000-000019B50000}"/>
    <cellStyle name="Normal 13 2 2 6 2 3" xfId="19560" xr:uid="{00000000-0005-0000-0000-00001AB50000}"/>
    <cellStyle name="Normal 13 2 2 6 2 3 2" xfId="48566" xr:uid="{00000000-0005-0000-0000-00001BB50000}"/>
    <cellStyle name="Normal 13 2 2 6 2 4" xfId="34067" xr:uid="{00000000-0005-0000-0000-00001CB50000}"/>
    <cellStyle name="Normal 13 2 2 6 3" xfId="9170" xr:uid="{00000000-0005-0000-0000-00001DB50000}"/>
    <cellStyle name="Normal 13 2 2 6 3 2" xfId="23704" xr:uid="{00000000-0005-0000-0000-00001EB50000}"/>
    <cellStyle name="Normal 13 2 2 6 3 2 2" xfId="52710" xr:uid="{00000000-0005-0000-0000-00001FB50000}"/>
    <cellStyle name="Normal 13 2 2 6 3 3" xfId="38211" xr:uid="{00000000-0005-0000-0000-000020B50000}"/>
    <cellStyle name="Normal 13 2 2 6 4" xfId="16456" xr:uid="{00000000-0005-0000-0000-000021B50000}"/>
    <cellStyle name="Normal 13 2 2 6 4 2" xfId="45462" xr:uid="{00000000-0005-0000-0000-000022B50000}"/>
    <cellStyle name="Normal 13 2 2 6 5" xfId="30963" xr:uid="{00000000-0005-0000-0000-000023B50000}"/>
    <cellStyle name="Normal 13 2 2 7" xfId="2930" xr:uid="{00000000-0005-0000-0000-000024B50000}"/>
    <cellStyle name="Normal 13 2 2 7 2" xfId="6034" xr:uid="{00000000-0005-0000-0000-000025B50000}"/>
    <cellStyle name="Normal 13 2 2 7 2 2" xfId="13306" xr:uid="{00000000-0005-0000-0000-000026B50000}"/>
    <cellStyle name="Normal 13 2 2 7 2 2 2" xfId="27840" xr:uid="{00000000-0005-0000-0000-000027B50000}"/>
    <cellStyle name="Normal 13 2 2 7 2 2 2 2" xfId="56846" xr:uid="{00000000-0005-0000-0000-000028B50000}"/>
    <cellStyle name="Normal 13 2 2 7 2 2 3" xfId="42347" xr:uid="{00000000-0005-0000-0000-000029B50000}"/>
    <cellStyle name="Normal 13 2 2 7 2 3" xfId="20592" xr:uid="{00000000-0005-0000-0000-00002AB50000}"/>
    <cellStyle name="Normal 13 2 2 7 2 3 2" xfId="49598" xr:uid="{00000000-0005-0000-0000-00002BB50000}"/>
    <cellStyle name="Normal 13 2 2 7 2 4" xfId="35099" xr:uid="{00000000-0005-0000-0000-00002CB50000}"/>
    <cellStyle name="Normal 13 2 2 7 3" xfId="10202" xr:uid="{00000000-0005-0000-0000-00002DB50000}"/>
    <cellStyle name="Normal 13 2 2 7 3 2" xfId="24736" xr:uid="{00000000-0005-0000-0000-00002EB50000}"/>
    <cellStyle name="Normal 13 2 2 7 3 2 2" xfId="53742" xr:uid="{00000000-0005-0000-0000-00002FB50000}"/>
    <cellStyle name="Normal 13 2 2 7 3 3" xfId="39243" xr:uid="{00000000-0005-0000-0000-000030B50000}"/>
    <cellStyle name="Normal 13 2 2 7 4" xfId="17488" xr:uid="{00000000-0005-0000-0000-000031B50000}"/>
    <cellStyle name="Normal 13 2 2 7 4 2" xfId="46494" xr:uid="{00000000-0005-0000-0000-000032B50000}"/>
    <cellStyle name="Normal 13 2 2 7 5" xfId="31995" xr:uid="{00000000-0005-0000-0000-000033B50000}"/>
    <cellStyle name="Normal 13 2 2 8" xfId="3962" xr:uid="{00000000-0005-0000-0000-000034B50000}"/>
    <cellStyle name="Normal 13 2 2 8 2" xfId="11234" xr:uid="{00000000-0005-0000-0000-000035B50000}"/>
    <cellStyle name="Normal 13 2 2 8 2 2" xfId="25768" xr:uid="{00000000-0005-0000-0000-000036B50000}"/>
    <cellStyle name="Normal 13 2 2 8 2 2 2" xfId="54774" xr:uid="{00000000-0005-0000-0000-000037B50000}"/>
    <cellStyle name="Normal 13 2 2 8 2 3" xfId="40275" xr:uid="{00000000-0005-0000-0000-000038B50000}"/>
    <cellStyle name="Normal 13 2 2 8 3" xfId="18520" xr:uid="{00000000-0005-0000-0000-000039B50000}"/>
    <cellStyle name="Normal 13 2 2 8 3 2" xfId="47526" xr:uid="{00000000-0005-0000-0000-00003AB50000}"/>
    <cellStyle name="Normal 13 2 2 8 4" xfId="33027" xr:uid="{00000000-0005-0000-0000-00003BB50000}"/>
    <cellStyle name="Normal 13 2 2 9" xfId="7066" xr:uid="{00000000-0005-0000-0000-00003CB50000}"/>
    <cellStyle name="Normal 13 2 2 9 2" xfId="14338" xr:uid="{00000000-0005-0000-0000-00003DB50000}"/>
    <cellStyle name="Normal 13 2 2 9 2 2" xfId="28872" xr:uid="{00000000-0005-0000-0000-00003EB50000}"/>
    <cellStyle name="Normal 13 2 2 9 2 2 2" xfId="57878" xr:uid="{00000000-0005-0000-0000-00003FB50000}"/>
    <cellStyle name="Normal 13 2 2 9 2 3" xfId="43379" xr:uid="{00000000-0005-0000-0000-000040B50000}"/>
    <cellStyle name="Normal 13 2 2 9 3" xfId="21624" xr:uid="{00000000-0005-0000-0000-000041B50000}"/>
    <cellStyle name="Normal 13 2 2 9 3 2" xfId="50630" xr:uid="{00000000-0005-0000-0000-000042B50000}"/>
    <cellStyle name="Normal 13 2 2 9 4" xfId="36131" xr:uid="{00000000-0005-0000-0000-000043B50000}"/>
    <cellStyle name="Normal 13 2 3" xfId="933" xr:uid="{00000000-0005-0000-0000-000044B50000}"/>
    <cellStyle name="Normal 13 2 3 10" xfId="29974" xr:uid="{00000000-0005-0000-0000-000045B50000}"/>
    <cellStyle name="Normal 13 2 3 2" xfId="1205" xr:uid="{00000000-0005-0000-0000-000046B50000}"/>
    <cellStyle name="Normal 13 2 3 2 2" xfId="1708" xr:uid="{00000000-0005-0000-0000-000047B50000}"/>
    <cellStyle name="Normal 13 2 3 2 2 2" xfId="2767" xr:uid="{00000000-0005-0000-0000-000048B50000}"/>
    <cellStyle name="Normal 13 2 3 2 2 2 2" xfId="5871" xr:uid="{00000000-0005-0000-0000-000049B50000}"/>
    <cellStyle name="Normal 13 2 3 2 2 2 2 2" xfId="13143" xr:uid="{00000000-0005-0000-0000-00004AB50000}"/>
    <cellStyle name="Normal 13 2 3 2 2 2 2 2 2" xfId="27677" xr:uid="{00000000-0005-0000-0000-00004BB50000}"/>
    <cellStyle name="Normal 13 2 3 2 2 2 2 2 2 2" xfId="56683" xr:uid="{00000000-0005-0000-0000-00004CB50000}"/>
    <cellStyle name="Normal 13 2 3 2 2 2 2 2 3" xfId="42184" xr:uid="{00000000-0005-0000-0000-00004DB50000}"/>
    <cellStyle name="Normal 13 2 3 2 2 2 2 3" xfId="20429" xr:uid="{00000000-0005-0000-0000-00004EB50000}"/>
    <cellStyle name="Normal 13 2 3 2 2 2 2 3 2" xfId="49435" xr:uid="{00000000-0005-0000-0000-00004FB50000}"/>
    <cellStyle name="Normal 13 2 3 2 2 2 2 4" xfId="34936" xr:uid="{00000000-0005-0000-0000-000050B50000}"/>
    <cellStyle name="Normal 13 2 3 2 2 2 3" xfId="10039" xr:uid="{00000000-0005-0000-0000-000051B50000}"/>
    <cellStyle name="Normal 13 2 3 2 2 2 3 2" xfId="24573" xr:uid="{00000000-0005-0000-0000-000052B50000}"/>
    <cellStyle name="Normal 13 2 3 2 2 2 3 2 2" xfId="53579" xr:uid="{00000000-0005-0000-0000-000053B50000}"/>
    <cellStyle name="Normal 13 2 3 2 2 2 3 3" xfId="39080" xr:uid="{00000000-0005-0000-0000-000054B50000}"/>
    <cellStyle name="Normal 13 2 3 2 2 2 4" xfId="17325" xr:uid="{00000000-0005-0000-0000-000055B50000}"/>
    <cellStyle name="Normal 13 2 3 2 2 2 4 2" xfId="46331" xr:uid="{00000000-0005-0000-0000-000056B50000}"/>
    <cellStyle name="Normal 13 2 3 2 2 2 5" xfId="31832" xr:uid="{00000000-0005-0000-0000-000057B50000}"/>
    <cellStyle name="Normal 13 2 3 2 2 3" xfId="3799" xr:uid="{00000000-0005-0000-0000-000058B50000}"/>
    <cellStyle name="Normal 13 2 3 2 2 3 2" xfId="6903" xr:uid="{00000000-0005-0000-0000-000059B50000}"/>
    <cellStyle name="Normal 13 2 3 2 2 3 2 2" xfId="14175" xr:uid="{00000000-0005-0000-0000-00005AB50000}"/>
    <cellStyle name="Normal 13 2 3 2 2 3 2 2 2" xfId="28709" xr:uid="{00000000-0005-0000-0000-00005BB50000}"/>
    <cellStyle name="Normal 13 2 3 2 2 3 2 2 2 2" xfId="57715" xr:uid="{00000000-0005-0000-0000-00005CB50000}"/>
    <cellStyle name="Normal 13 2 3 2 2 3 2 2 3" xfId="43216" xr:uid="{00000000-0005-0000-0000-00005DB50000}"/>
    <cellStyle name="Normal 13 2 3 2 2 3 2 3" xfId="21461" xr:uid="{00000000-0005-0000-0000-00005EB50000}"/>
    <cellStyle name="Normal 13 2 3 2 2 3 2 3 2" xfId="50467" xr:uid="{00000000-0005-0000-0000-00005FB50000}"/>
    <cellStyle name="Normal 13 2 3 2 2 3 2 4" xfId="35968" xr:uid="{00000000-0005-0000-0000-000060B50000}"/>
    <cellStyle name="Normal 13 2 3 2 2 3 3" xfId="11071" xr:uid="{00000000-0005-0000-0000-000061B50000}"/>
    <cellStyle name="Normal 13 2 3 2 2 3 3 2" xfId="25605" xr:uid="{00000000-0005-0000-0000-000062B50000}"/>
    <cellStyle name="Normal 13 2 3 2 2 3 3 2 2" xfId="54611" xr:uid="{00000000-0005-0000-0000-000063B50000}"/>
    <cellStyle name="Normal 13 2 3 2 2 3 3 3" xfId="40112" xr:uid="{00000000-0005-0000-0000-000064B50000}"/>
    <cellStyle name="Normal 13 2 3 2 2 3 4" xfId="18357" xr:uid="{00000000-0005-0000-0000-000065B50000}"/>
    <cellStyle name="Normal 13 2 3 2 2 3 4 2" xfId="47363" xr:uid="{00000000-0005-0000-0000-000066B50000}"/>
    <cellStyle name="Normal 13 2 3 2 2 3 5" xfId="32864" xr:uid="{00000000-0005-0000-0000-000067B50000}"/>
    <cellStyle name="Normal 13 2 3 2 2 4" xfId="4831" xr:uid="{00000000-0005-0000-0000-000068B50000}"/>
    <cellStyle name="Normal 13 2 3 2 2 4 2" xfId="12103" xr:uid="{00000000-0005-0000-0000-000069B50000}"/>
    <cellStyle name="Normal 13 2 3 2 2 4 2 2" xfId="26637" xr:uid="{00000000-0005-0000-0000-00006AB50000}"/>
    <cellStyle name="Normal 13 2 3 2 2 4 2 2 2" xfId="55643" xr:uid="{00000000-0005-0000-0000-00006BB50000}"/>
    <cellStyle name="Normal 13 2 3 2 2 4 2 3" xfId="41144" xr:uid="{00000000-0005-0000-0000-00006CB50000}"/>
    <cellStyle name="Normal 13 2 3 2 2 4 3" xfId="19389" xr:uid="{00000000-0005-0000-0000-00006DB50000}"/>
    <cellStyle name="Normal 13 2 3 2 2 4 3 2" xfId="48395" xr:uid="{00000000-0005-0000-0000-00006EB50000}"/>
    <cellStyle name="Normal 13 2 3 2 2 4 4" xfId="33896" xr:uid="{00000000-0005-0000-0000-00006FB50000}"/>
    <cellStyle name="Normal 13 2 3 2 2 5" xfId="7935" xr:uid="{00000000-0005-0000-0000-000070B50000}"/>
    <cellStyle name="Normal 13 2 3 2 2 5 2" xfId="15207" xr:uid="{00000000-0005-0000-0000-000071B50000}"/>
    <cellStyle name="Normal 13 2 3 2 2 5 2 2" xfId="29741" xr:uid="{00000000-0005-0000-0000-000072B50000}"/>
    <cellStyle name="Normal 13 2 3 2 2 5 2 2 2" xfId="58747" xr:uid="{00000000-0005-0000-0000-000073B50000}"/>
    <cellStyle name="Normal 13 2 3 2 2 5 2 3" xfId="44248" xr:uid="{00000000-0005-0000-0000-000074B50000}"/>
    <cellStyle name="Normal 13 2 3 2 2 5 3" xfId="22493" xr:uid="{00000000-0005-0000-0000-000075B50000}"/>
    <cellStyle name="Normal 13 2 3 2 2 5 3 2" xfId="51499" xr:uid="{00000000-0005-0000-0000-000076B50000}"/>
    <cellStyle name="Normal 13 2 3 2 2 5 4" xfId="37000" xr:uid="{00000000-0005-0000-0000-000077B50000}"/>
    <cellStyle name="Normal 13 2 3 2 2 6" xfId="8999" xr:uid="{00000000-0005-0000-0000-000078B50000}"/>
    <cellStyle name="Normal 13 2 3 2 2 6 2" xfId="23533" xr:uid="{00000000-0005-0000-0000-000079B50000}"/>
    <cellStyle name="Normal 13 2 3 2 2 6 2 2" xfId="52539" xr:uid="{00000000-0005-0000-0000-00007AB50000}"/>
    <cellStyle name="Normal 13 2 3 2 2 6 3" xfId="38040" xr:uid="{00000000-0005-0000-0000-00007BB50000}"/>
    <cellStyle name="Normal 13 2 3 2 2 7" xfId="16285" xr:uid="{00000000-0005-0000-0000-00007CB50000}"/>
    <cellStyle name="Normal 13 2 3 2 2 7 2" xfId="45291" xr:uid="{00000000-0005-0000-0000-00007DB50000}"/>
    <cellStyle name="Normal 13 2 3 2 2 8" xfId="30792" xr:uid="{00000000-0005-0000-0000-00007EB50000}"/>
    <cellStyle name="Normal 13 2 3 2 3" xfId="2255" xr:uid="{00000000-0005-0000-0000-00007FB50000}"/>
    <cellStyle name="Normal 13 2 3 2 3 2" xfId="5359" xr:uid="{00000000-0005-0000-0000-000080B50000}"/>
    <cellStyle name="Normal 13 2 3 2 3 2 2" xfId="12631" xr:uid="{00000000-0005-0000-0000-000081B50000}"/>
    <cellStyle name="Normal 13 2 3 2 3 2 2 2" xfId="27165" xr:uid="{00000000-0005-0000-0000-000082B50000}"/>
    <cellStyle name="Normal 13 2 3 2 3 2 2 2 2" xfId="56171" xr:uid="{00000000-0005-0000-0000-000083B50000}"/>
    <cellStyle name="Normal 13 2 3 2 3 2 2 3" xfId="41672" xr:uid="{00000000-0005-0000-0000-000084B50000}"/>
    <cellStyle name="Normal 13 2 3 2 3 2 3" xfId="19917" xr:uid="{00000000-0005-0000-0000-000085B50000}"/>
    <cellStyle name="Normal 13 2 3 2 3 2 3 2" xfId="48923" xr:uid="{00000000-0005-0000-0000-000086B50000}"/>
    <cellStyle name="Normal 13 2 3 2 3 2 4" xfId="34424" xr:uid="{00000000-0005-0000-0000-000087B50000}"/>
    <cellStyle name="Normal 13 2 3 2 3 3" xfId="9527" xr:uid="{00000000-0005-0000-0000-000088B50000}"/>
    <cellStyle name="Normal 13 2 3 2 3 3 2" xfId="24061" xr:uid="{00000000-0005-0000-0000-000089B50000}"/>
    <cellStyle name="Normal 13 2 3 2 3 3 2 2" xfId="53067" xr:uid="{00000000-0005-0000-0000-00008AB50000}"/>
    <cellStyle name="Normal 13 2 3 2 3 3 3" xfId="38568" xr:uid="{00000000-0005-0000-0000-00008BB50000}"/>
    <cellStyle name="Normal 13 2 3 2 3 4" xfId="16813" xr:uid="{00000000-0005-0000-0000-00008CB50000}"/>
    <cellStyle name="Normal 13 2 3 2 3 4 2" xfId="45819" xr:uid="{00000000-0005-0000-0000-00008DB50000}"/>
    <cellStyle name="Normal 13 2 3 2 3 5" xfId="31320" xr:uid="{00000000-0005-0000-0000-00008EB50000}"/>
    <cellStyle name="Normal 13 2 3 2 4" xfId="3287" xr:uid="{00000000-0005-0000-0000-00008FB50000}"/>
    <cellStyle name="Normal 13 2 3 2 4 2" xfId="6391" xr:uid="{00000000-0005-0000-0000-000090B50000}"/>
    <cellStyle name="Normal 13 2 3 2 4 2 2" xfId="13663" xr:uid="{00000000-0005-0000-0000-000091B50000}"/>
    <cellStyle name="Normal 13 2 3 2 4 2 2 2" xfId="28197" xr:uid="{00000000-0005-0000-0000-000092B50000}"/>
    <cellStyle name="Normal 13 2 3 2 4 2 2 2 2" xfId="57203" xr:uid="{00000000-0005-0000-0000-000093B50000}"/>
    <cellStyle name="Normal 13 2 3 2 4 2 2 3" xfId="42704" xr:uid="{00000000-0005-0000-0000-000094B50000}"/>
    <cellStyle name="Normal 13 2 3 2 4 2 3" xfId="20949" xr:uid="{00000000-0005-0000-0000-000095B50000}"/>
    <cellStyle name="Normal 13 2 3 2 4 2 3 2" xfId="49955" xr:uid="{00000000-0005-0000-0000-000096B50000}"/>
    <cellStyle name="Normal 13 2 3 2 4 2 4" xfId="35456" xr:uid="{00000000-0005-0000-0000-000097B50000}"/>
    <cellStyle name="Normal 13 2 3 2 4 3" xfId="10559" xr:uid="{00000000-0005-0000-0000-000098B50000}"/>
    <cellStyle name="Normal 13 2 3 2 4 3 2" xfId="25093" xr:uid="{00000000-0005-0000-0000-000099B50000}"/>
    <cellStyle name="Normal 13 2 3 2 4 3 2 2" xfId="54099" xr:uid="{00000000-0005-0000-0000-00009AB50000}"/>
    <cellStyle name="Normal 13 2 3 2 4 3 3" xfId="39600" xr:uid="{00000000-0005-0000-0000-00009BB50000}"/>
    <cellStyle name="Normal 13 2 3 2 4 4" xfId="17845" xr:uid="{00000000-0005-0000-0000-00009CB50000}"/>
    <cellStyle name="Normal 13 2 3 2 4 4 2" xfId="46851" xr:uid="{00000000-0005-0000-0000-00009DB50000}"/>
    <cellStyle name="Normal 13 2 3 2 4 5" xfId="32352" xr:uid="{00000000-0005-0000-0000-00009EB50000}"/>
    <cellStyle name="Normal 13 2 3 2 5" xfId="4319" xr:uid="{00000000-0005-0000-0000-00009FB50000}"/>
    <cellStyle name="Normal 13 2 3 2 5 2" xfId="11591" xr:uid="{00000000-0005-0000-0000-0000A0B50000}"/>
    <cellStyle name="Normal 13 2 3 2 5 2 2" xfId="26125" xr:uid="{00000000-0005-0000-0000-0000A1B50000}"/>
    <cellStyle name="Normal 13 2 3 2 5 2 2 2" xfId="55131" xr:uid="{00000000-0005-0000-0000-0000A2B50000}"/>
    <cellStyle name="Normal 13 2 3 2 5 2 3" xfId="40632" xr:uid="{00000000-0005-0000-0000-0000A3B50000}"/>
    <cellStyle name="Normal 13 2 3 2 5 3" xfId="18877" xr:uid="{00000000-0005-0000-0000-0000A4B50000}"/>
    <cellStyle name="Normal 13 2 3 2 5 3 2" xfId="47883" xr:uid="{00000000-0005-0000-0000-0000A5B50000}"/>
    <cellStyle name="Normal 13 2 3 2 5 4" xfId="33384" xr:uid="{00000000-0005-0000-0000-0000A6B50000}"/>
    <cellStyle name="Normal 13 2 3 2 6" xfId="7423" xr:uid="{00000000-0005-0000-0000-0000A7B50000}"/>
    <cellStyle name="Normal 13 2 3 2 6 2" xfId="14695" xr:uid="{00000000-0005-0000-0000-0000A8B50000}"/>
    <cellStyle name="Normal 13 2 3 2 6 2 2" xfId="29229" xr:uid="{00000000-0005-0000-0000-0000A9B50000}"/>
    <cellStyle name="Normal 13 2 3 2 6 2 2 2" xfId="58235" xr:uid="{00000000-0005-0000-0000-0000AAB50000}"/>
    <cellStyle name="Normal 13 2 3 2 6 2 3" xfId="43736" xr:uid="{00000000-0005-0000-0000-0000ABB50000}"/>
    <cellStyle name="Normal 13 2 3 2 6 3" xfId="21981" xr:uid="{00000000-0005-0000-0000-0000ACB50000}"/>
    <cellStyle name="Normal 13 2 3 2 6 3 2" xfId="50987" xr:uid="{00000000-0005-0000-0000-0000ADB50000}"/>
    <cellStyle name="Normal 13 2 3 2 6 4" xfId="36488" xr:uid="{00000000-0005-0000-0000-0000AEB50000}"/>
    <cellStyle name="Normal 13 2 3 2 7" xfId="8487" xr:uid="{00000000-0005-0000-0000-0000AFB50000}"/>
    <cellStyle name="Normal 13 2 3 2 7 2" xfId="23021" xr:uid="{00000000-0005-0000-0000-0000B0B50000}"/>
    <cellStyle name="Normal 13 2 3 2 7 2 2" xfId="52027" xr:uid="{00000000-0005-0000-0000-0000B1B50000}"/>
    <cellStyle name="Normal 13 2 3 2 7 3" xfId="37528" xr:uid="{00000000-0005-0000-0000-0000B2B50000}"/>
    <cellStyle name="Normal 13 2 3 2 8" xfId="15773" xr:uid="{00000000-0005-0000-0000-0000B3B50000}"/>
    <cellStyle name="Normal 13 2 3 2 8 2" xfId="44779" xr:uid="{00000000-0005-0000-0000-0000B4B50000}"/>
    <cellStyle name="Normal 13 2 3 2 9" xfId="30280" xr:uid="{00000000-0005-0000-0000-0000B5B50000}"/>
    <cellStyle name="Normal 13 2 3 3" xfId="1403" xr:uid="{00000000-0005-0000-0000-0000B6B50000}"/>
    <cellStyle name="Normal 13 2 3 3 2" xfId="2461" xr:uid="{00000000-0005-0000-0000-0000B7B50000}"/>
    <cellStyle name="Normal 13 2 3 3 2 2" xfId="5565" xr:uid="{00000000-0005-0000-0000-0000B8B50000}"/>
    <cellStyle name="Normal 13 2 3 3 2 2 2" xfId="12837" xr:uid="{00000000-0005-0000-0000-0000B9B50000}"/>
    <cellStyle name="Normal 13 2 3 3 2 2 2 2" xfId="27371" xr:uid="{00000000-0005-0000-0000-0000BAB50000}"/>
    <cellStyle name="Normal 13 2 3 3 2 2 2 2 2" xfId="56377" xr:uid="{00000000-0005-0000-0000-0000BBB50000}"/>
    <cellStyle name="Normal 13 2 3 3 2 2 2 3" xfId="41878" xr:uid="{00000000-0005-0000-0000-0000BCB50000}"/>
    <cellStyle name="Normal 13 2 3 3 2 2 3" xfId="20123" xr:uid="{00000000-0005-0000-0000-0000BDB50000}"/>
    <cellStyle name="Normal 13 2 3 3 2 2 3 2" xfId="49129" xr:uid="{00000000-0005-0000-0000-0000BEB50000}"/>
    <cellStyle name="Normal 13 2 3 3 2 2 4" xfId="34630" xr:uid="{00000000-0005-0000-0000-0000BFB50000}"/>
    <cellStyle name="Normal 13 2 3 3 2 3" xfId="9733" xr:uid="{00000000-0005-0000-0000-0000C0B50000}"/>
    <cellStyle name="Normal 13 2 3 3 2 3 2" xfId="24267" xr:uid="{00000000-0005-0000-0000-0000C1B50000}"/>
    <cellStyle name="Normal 13 2 3 3 2 3 2 2" xfId="53273" xr:uid="{00000000-0005-0000-0000-0000C2B50000}"/>
    <cellStyle name="Normal 13 2 3 3 2 3 3" xfId="38774" xr:uid="{00000000-0005-0000-0000-0000C3B50000}"/>
    <cellStyle name="Normal 13 2 3 3 2 4" xfId="17019" xr:uid="{00000000-0005-0000-0000-0000C4B50000}"/>
    <cellStyle name="Normal 13 2 3 3 2 4 2" xfId="46025" xr:uid="{00000000-0005-0000-0000-0000C5B50000}"/>
    <cellStyle name="Normal 13 2 3 3 2 5" xfId="31526" xr:uid="{00000000-0005-0000-0000-0000C6B50000}"/>
    <cellStyle name="Normal 13 2 3 3 3" xfId="3493" xr:uid="{00000000-0005-0000-0000-0000C7B50000}"/>
    <cellStyle name="Normal 13 2 3 3 3 2" xfId="6597" xr:uid="{00000000-0005-0000-0000-0000C8B50000}"/>
    <cellStyle name="Normal 13 2 3 3 3 2 2" xfId="13869" xr:uid="{00000000-0005-0000-0000-0000C9B50000}"/>
    <cellStyle name="Normal 13 2 3 3 3 2 2 2" xfId="28403" xr:uid="{00000000-0005-0000-0000-0000CAB50000}"/>
    <cellStyle name="Normal 13 2 3 3 3 2 2 2 2" xfId="57409" xr:uid="{00000000-0005-0000-0000-0000CBB50000}"/>
    <cellStyle name="Normal 13 2 3 3 3 2 2 3" xfId="42910" xr:uid="{00000000-0005-0000-0000-0000CCB50000}"/>
    <cellStyle name="Normal 13 2 3 3 3 2 3" xfId="21155" xr:uid="{00000000-0005-0000-0000-0000CDB50000}"/>
    <cellStyle name="Normal 13 2 3 3 3 2 3 2" xfId="50161" xr:uid="{00000000-0005-0000-0000-0000CEB50000}"/>
    <cellStyle name="Normal 13 2 3 3 3 2 4" xfId="35662" xr:uid="{00000000-0005-0000-0000-0000CFB50000}"/>
    <cellStyle name="Normal 13 2 3 3 3 3" xfId="10765" xr:uid="{00000000-0005-0000-0000-0000D0B50000}"/>
    <cellStyle name="Normal 13 2 3 3 3 3 2" xfId="25299" xr:uid="{00000000-0005-0000-0000-0000D1B50000}"/>
    <cellStyle name="Normal 13 2 3 3 3 3 2 2" xfId="54305" xr:uid="{00000000-0005-0000-0000-0000D2B50000}"/>
    <cellStyle name="Normal 13 2 3 3 3 3 3" xfId="39806" xr:uid="{00000000-0005-0000-0000-0000D3B50000}"/>
    <cellStyle name="Normal 13 2 3 3 3 4" xfId="18051" xr:uid="{00000000-0005-0000-0000-0000D4B50000}"/>
    <cellStyle name="Normal 13 2 3 3 3 4 2" xfId="47057" xr:uid="{00000000-0005-0000-0000-0000D5B50000}"/>
    <cellStyle name="Normal 13 2 3 3 3 5" xfId="32558" xr:uid="{00000000-0005-0000-0000-0000D6B50000}"/>
    <cellStyle name="Normal 13 2 3 3 4" xfId="4525" xr:uid="{00000000-0005-0000-0000-0000D7B50000}"/>
    <cellStyle name="Normal 13 2 3 3 4 2" xfId="11797" xr:uid="{00000000-0005-0000-0000-0000D8B50000}"/>
    <cellStyle name="Normal 13 2 3 3 4 2 2" xfId="26331" xr:uid="{00000000-0005-0000-0000-0000D9B50000}"/>
    <cellStyle name="Normal 13 2 3 3 4 2 2 2" xfId="55337" xr:uid="{00000000-0005-0000-0000-0000DAB50000}"/>
    <cellStyle name="Normal 13 2 3 3 4 2 3" xfId="40838" xr:uid="{00000000-0005-0000-0000-0000DBB50000}"/>
    <cellStyle name="Normal 13 2 3 3 4 3" xfId="19083" xr:uid="{00000000-0005-0000-0000-0000DCB50000}"/>
    <cellStyle name="Normal 13 2 3 3 4 3 2" xfId="48089" xr:uid="{00000000-0005-0000-0000-0000DDB50000}"/>
    <cellStyle name="Normal 13 2 3 3 4 4" xfId="33590" xr:uid="{00000000-0005-0000-0000-0000DEB50000}"/>
    <cellStyle name="Normal 13 2 3 3 5" xfId="7629" xr:uid="{00000000-0005-0000-0000-0000DFB50000}"/>
    <cellStyle name="Normal 13 2 3 3 5 2" xfId="14901" xr:uid="{00000000-0005-0000-0000-0000E0B50000}"/>
    <cellStyle name="Normal 13 2 3 3 5 2 2" xfId="29435" xr:uid="{00000000-0005-0000-0000-0000E1B50000}"/>
    <cellStyle name="Normal 13 2 3 3 5 2 2 2" xfId="58441" xr:uid="{00000000-0005-0000-0000-0000E2B50000}"/>
    <cellStyle name="Normal 13 2 3 3 5 2 3" xfId="43942" xr:uid="{00000000-0005-0000-0000-0000E3B50000}"/>
    <cellStyle name="Normal 13 2 3 3 5 3" xfId="22187" xr:uid="{00000000-0005-0000-0000-0000E4B50000}"/>
    <cellStyle name="Normal 13 2 3 3 5 3 2" xfId="51193" xr:uid="{00000000-0005-0000-0000-0000E5B50000}"/>
    <cellStyle name="Normal 13 2 3 3 5 4" xfId="36694" xr:uid="{00000000-0005-0000-0000-0000E6B50000}"/>
    <cellStyle name="Normal 13 2 3 3 6" xfId="8693" xr:uid="{00000000-0005-0000-0000-0000E7B50000}"/>
    <cellStyle name="Normal 13 2 3 3 6 2" xfId="23227" xr:uid="{00000000-0005-0000-0000-0000E8B50000}"/>
    <cellStyle name="Normal 13 2 3 3 6 2 2" xfId="52233" xr:uid="{00000000-0005-0000-0000-0000E9B50000}"/>
    <cellStyle name="Normal 13 2 3 3 6 3" xfId="37734" xr:uid="{00000000-0005-0000-0000-0000EAB50000}"/>
    <cellStyle name="Normal 13 2 3 3 7" xfId="15979" xr:uid="{00000000-0005-0000-0000-0000EBB50000}"/>
    <cellStyle name="Normal 13 2 3 3 7 2" xfId="44985" xr:uid="{00000000-0005-0000-0000-0000ECB50000}"/>
    <cellStyle name="Normal 13 2 3 3 8" xfId="30486" xr:uid="{00000000-0005-0000-0000-0000EDB50000}"/>
    <cellStyle name="Normal 13 2 3 4" xfId="1949" xr:uid="{00000000-0005-0000-0000-0000EEB50000}"/>
    <cellStyle name="Normal 13 2 3 4 2" xfId="5053" xr:uid="{00000000-0005-0000-0000-0000EFB50000}"/>
    <cellStyle name="Normal 13 2 3 4 2 2" xfId="12325" xr:uid="{00000000-0005-0000-0000-0000F0B50000}"/>
    <cellStyle name="Normal 13 2 3 4 2 2 2" xfId="26859" xr:uid="{00000000-0005-0000-0000-0000F1B50000}"/>
    <cellStyle name="Normal 13 2 3 4 2 2 2 2" xfId="55865" xr:uid="{00000000-0005-0000-0000-0000F2B50000}"/>
    <cellStyle name="Normal 13 2 3 4 2 2 3" xfId="41366" xr:uid="{00000000-0005-0000-0000-0000F3B50000}"/>
    <cellStyle name="Normal 13 2 3 4 2 3" xfId="19611" xr:uid="{00000000-0005-0000-0000-0000F4B50000}"/>
    <cellStyle name="Normal 13 2 3 4 2 3 2" xfId="48617" xr:uid="{00000000-0005-0000-0000-0000F5B50000}"/>
    <cellStyle name="Normal 13 2 3 4 2 4" xfId="34118" xr:uid="{00000000-0005-0000-0000-0000F6B50000}"/>
    <cellStyle name="Normal 13 2 3 4 3" xfId="9221" xr:uid="{00000000-0005-0000-0000-0000F7B50000}"/>
    <cellStyle name="Normal 13 2 3 4 3 2" xfId="23755" xr:uid="{00000000-0005-0000-0000-0000F8B50000}"/>
    <cellStyle name="Normal 13 2 3 4 3 2 2" xfId="52761" xr:uid="{00000000-0005-0000-0000-0000F9B50000}"/>
    <cellStyle name="Normal 13 2 3 4 3 3" xfId="38262" xr:uid="{00000000-0005-0000-0000-0000FAB50000}"/>
    <cellStyle name="Normal 13 2 3 4 4" xfId="16507" xr:uid="{00000000-0005-0000-0000-0000FBB50000}"/>
    <cellStyle name="Normal 13 2 3 4 4 2" xfId="45513" xr:uid="{00000000-0005-0000-0000-0000FCB50000}"/>
    <cellStyle name="Normal 13 2 3 4 5" xfId="31014" xr:uid="{00000000-0005-0000-0000-0000FDB50000}"/>
    <cellStyle name="Normal 13 2 3 5" xfId="2981" xr:uid="{00000000-0005-0000-0000-0000FEB50000}"/>
    <cellStyle name="Normal 13 2 3 5 2" xfId="6085" xr:uid="{00000000-0005-0000-0000-0000FFB50000}"/>
    <cellStyle name="Normal 13 2 3 5 2 2" xfId="13357" xr:uid="{00000000-0005-0000-0000-000000B60000}"/>
    <cellStyle name="Normal 13 2 3 5 2 2 2" xfId="27891" xr:uid="{00000000-0005-0000-0000-000001B60000}"/>
    <cellStyle name="Normal 13 2 3 5 2 2 2 2" xfId="56897" xr:uid="{00000000-0005-0000-0000-000002B60000}"/>
    <cellStyle name="Normal 13 2 3 5 2 2 3" xfId="42398" xr:uid="{00000000-0005-0000-0000-000003B60000}"/>
    <cellStyle name="Normal 13 2 3 5 2 3" xfId="20643" xr:uid="{00000000-0005-0000-0000-000004B60000}"/>
    <cellStyle name="Normal 13 2 3 5 2 3 2" xfId="49649" xr:uid="{00000000-0005-0000-0000-000005B60000}"/>
    <cellStyle name="Normal 13 2 3 5 2 4" xfId="35150" xr:uid="{00000000-0005-0000-0000-000006B60000}"/>
    <cellStyle name="Normal 13 2 3 5 3" xfId="10253" xr:uid="{00000000-0005-0000-0000-000007B60000}"/>
    <cellStyle name="Normal 13 2 3 5 3 2" xfId="24787" xr:uid="{00000000-0005-0000-0000-000008B60000}"/>
    <cellStyle name="Normal 13 2 3 5 3 2 2" xfId="53793" xr:uid="{00000000-0005-0000-0000-000009B60000}"/>
    <cellStyle name="Normal 13 2 3 5 3 3" xfId="39294" xr:uid="{00000000-0005-0000-0000-00000AB60000}"/>
    <cellStyle name="Normal 13 2 3 5 4" xfId="17539" xr:uid="{00000000-0005-0000-0000-00000BB60000}"/>
    <cellStyle name="Normal 13 2 3 5 4 2" xfId="46545" xr:uid="{00000000-0005-0000-0000-00000CB60000}"/>
    <cellStyle name="Normal 13 2 3 5 5" xfId="32046" xr:uid="{00000000-0005-0000-0000-00000DB60000}"/>
    <cellStyle name="Normal 13 2 3 6" xfId="4013" xr:uid="{00000000-0005-0000-0000-00000EB60000}"/>
    <cellStyle name="Normal 13 2 3 6 2" xfId="11285" xr:uid="{00000000-0005-0000-0000-00000FB60000}"/>
    <cellStyle name="Normal 13 2 3 6 2 2" xfId="25819" xr:uid="{00000000-0005-0000-0000-000010B60000}"/>
    <cellStyle name="Normal 13 2 3 6 2 2 2" xfId="54825" xr:uid="{00000000-0005-0000-0000-000011B60000}"/>
    <cellStyle name="Normal 13 2 3 6 2 3" xfId="40326" xr:uid="{00000000-0005-0000-0000-000012B60000}"/>
    <cellStyle name="Normal 13 2 3 6 3" xfId="18571" xr:uid="{00000000-0005-0000-0000-000013B60000}"/>
    <cellStyle name="Normal 13 2 3 6 3 2" xfId="47577" xr:uid="{00000000-0005-0000-0000-000014B60000}"/>
    <cellStyle name="Normal 13 2 3 6 4" xfId="33078" xr:uid="{00000000-0005-0000-0000-000015B60000}"/>
    <cellStyle name="Normal 13 2 3 7" xfId="7117" xr:uid="{00000000-0005-0000-0000-000016B60000}"/>
    <cellStyle name="Normal 13 2 3 7 2" xfId="14389" xr:uid="{00000000-0005-0000-0000-000017B60000}"/>
    <cellStyle name="Normal 13 2 3 7 2 2" xfId="28923" xr:uid="{00000000-0005-0000-0000-000018B60000}"/>
    <cellStyle name="Normal 13 2 3 7 2 2 2" xfId="57929" xr:uid="{00000000-0005-0000-0000-000019B60000}"/>
    <cellStyle name="Normal 13 2 3 7 2 3" xfId="43430" xr:uid="{00000000-0005-0000-0000-00001AB60000}"/>
    <cellStyle name="Normal 13 2 3 7 3" xfId="21675" xr:uid="{00000000-0005-0000-0000-00001BB60000}"/>
    <cellStyle name="Normal 13 2 3 7 3 2" xfId="50681" xr:uid="{00000000-0005-0000-0000-00001CB60000}"/>
    <cellStyle name="Normal 13 2 3 7 4" xfId="36182" xr:uid="{00000000-0005-0000-0000-00001DB60000}"/>
    <cellStyle name="Normal 13 2 3 8" xfId="8181" xr:uid="{00000000-0005-0000-0000-00001EB60000}"/>
    <cellStyle name="Normal 13 2 3 8 2" xfId="22715" xr:uid="{00000000-0005-0000-0000-00001FB60000}"/>
    <cellStyle name="Normal 13 2 3 8 2 2" xfId="51721" xr:uid="{00000000-0005-0000-0000-000020B60000}"/>
    <cellStyle name="Normal 13 2 3 8 3" xfId="37222" xr:uid="{00000000-0005-0000-0000-000021B60000}"/>
    <cellStyle name="Normal 13 2 3 9" xfId="15467" xr:uid="{00000000-0005-0000-0000-000022B60000}"/>
    <cellStyle name="Normal 13 2 3 9 2" xfId="44473" xr:uid="{00000000-0005-0000-0000-000023B60000}"/>
    <cellStyle name="Normal 13 2 4" xfId="1108" xr:uid="{00000000-0005-0000-0000-000024B60000}"/>
    <cellStyle name="Normal 13 2 4 2" xfId="1605" xr:uid="{00000000-0005-0000-0000-000025B60000}"/>
    <cellStyle name="Normal 13 2 4 2 2" xfId="2664" xr:uid="{00000000-0005-0000-0000-000026B60000}"/>
    <cellStyle name="Normal 13 2 4 2 2 2" xfId="5768" xr:uid="{00000000-0005-0000-0000-000027B60000}"/>
    <cellStyle name="Normal 13 2 4 2 2 2 2" xfId="13040" xr:uid="{00000000-0005-0000-0000-000028B60000}"/>
    <cellStyle name="Normal 13 2 4 2 2 2 2 2" xfId="27574" xr:uid="{00000000-0005-0000-0000-000029B60000}"/>
    <cellStyle name="Normal 13 2 4 2 2 2 2 2 2" xfId="56580" xr:uid="{00000000-0005-0000-0000-00002AB60000}"/>
    <cellStyle name="Normal 13 2 4 2 2 2 2 3" xfId="42081" xr:uid="{00000000-0005-0000-0000-00002BB60000}"/>
    <cellStyle name="Normal 13 2 4 2 2 2 3" xfId="20326" xr:uid="{00000000-0005-0000-0000-00002CB60000}"/>
    <cellStyle name="Normal 13 2 4 2 2 2 3 2" xfId="49332" xr:uid="{00000000-0005-0000-0000-00002DB60000}"/>
    <cellStyle name="Normal 13 2 4 2 2 2 4" xfId="34833" xr:uid="{00000000-0005-0000-0000-00002EB60000}"/>
    <cellStyle name="Normal 13 2 4 2 2 3" xfId="9936" xr:uid="{00000000-0005-0000-0000-00002FB60000}"/>
    <cellStyle name="Normal 13 2 4 2 2 3 2" xfId="24470" xr:uid="{00000000-0005-0000-0000-000030B60000}"/>
    <cellStyle name="Normal 13 2 4 2 2 3 2 2" xfId="53476" xr:uid="{00000000-0005-0000-0000-000031B60000}"/>
    <cellStyle name="Normal 13 2 4 2 2 3 3" xfId="38977" xr:uid="{00000000-0005-0000-0000-000032B60000}"/>
    <cellStyle name="Normal 13 2 4 2 2 4" xfId="17222" xr:uid="{00000000-0005-0000-0000-000033B60000}"/>
    <cellStyle name="Normal 13 2 4 2 2 4 2" xfId="46228" xr:uid="{00000000-0005-0000-0000-000034B60000}"/>
    <cellStyle name="Normal 13 2 4 2 2 5" xfId="31729" xr:uid="{00000000-0005-0000-0000-000035B60000}"/>
    <cellStyle name="Normal 13 2 4 2 3" xfId="3696" xr:uid="{00000000-0005-0000-0000-000036B60000}"/>
    <cellStyle name="Normal 13 2 4 2 3 2" xfId="6800" xr:uid="{00000000-0005-0000-0000-000037B60000}"/>
    <cellStyle name="Normal 13 2 4 2 3 2 2" xfId="14072" xr:uid="{00000000-0005-0000-0000-000038B60000}"/>
    <cellStyle name="Normal 13 2 4 2 3 2 2 2" xfId="28606" xr:uid="{00000000-0005-0000-0000-000039B60000}"/>
    <cellStyle name="Normal 13 2 4 2 3 2 2 2 2" xfId="57612" xr:uid="{00000000-0005-0000-0000-00003AB60000}"/>
    <cellStyle name="Normal 13 2 4 2 3 2 2 3" xfId="43113" xr:uid="{00000000-0005-0000-0000-00003BB60000}"/>
    <cellStyle name="Normal 13 2 4 2 3 2 3" xfId="21358" xr:uid="{00000000-0005-0000-0000-00003CB60000}"/>
    <cellStyle name="Normal 13 2 4 2 3 2 3 2" xfId="50364" xr:uid="{00000000-0005-0000-0000-00003DB60000}"/>
    <cellStyle name="Normal 13 2 4 2 3 2 4" xfId="35865" xr:uid="{00000000-0005-0000-0000-00003EB60000}"/>
    <cellStyle name="Normal 13 2 4 2 3 3" xfId="10968" xr:uid="{00000000-0005-0000-0000-00003FB60000}"/>
    <cellStyle name="Normal 13 2 4 2 3 3 2" xfId="25502" xr:uid="{00000000-0005-0000-0000-000040B60000}"/>
    <cellStyle name="Normal 13 2 4 2 3 3 2 2" xfId="54508" xr:uid="{00000000-0005-0000-0000-000041B60000}"/>
    <cellStyle name="Normal 13 2 4 2 3 3 3" xfId="40009" xr:uid="{00000000-0005-0000-0000-000042B60000}"/>
    <cellStyle name="Normal 13 2 4 2 3 4" xfId="18254" xr:uid="{00000000-0005-0000-0000-000043B60000}"/>
    <cellStyle name="Normal 13 2 4 2 3 4 2" xfId="47260" xr:uid="{00000000-0005-0000-0000-000044B60000}"/>
    <cellStyle name="Normal 13 2 4 2 3 5" xfId="32761" xr:uid="{00000000-0005-0000-0000-000045B60000}"/>
    <cellStyle name="Normal 13 2 4 2 4" xfId="4728" xr:uid="{00000000-0005-0000-0000-000046B60000}"/>
    <cellStyle name="Normal 13 2 4 2 4 2" xfId="12000" xr:uid="{00000000-0005-0000-0000-000047B60000}"/>
    <cellStyle name="Normal 13 2 4 2 4 2 2" xfId="26534" xr:uid="{00000000-0005-0000-0000-000048B60000}"/>
    <cellStyle name="Normal 13 2 4 2 4 2 2 2" xfId="55540" xr:uid="{00000000-0005-0000-0000-000049B60000}"/>
    <cellStyle name="Normal 13 2 4 2 4 2 3" xfId="41041" xr:uid="{00000000-0005-0000-0000-00004AB60000}"/>
    <cellStyle name="Normal 13 2 4 2 4 3" xfId="19286" xr:uid="{00000000-0005-0000-0000-00004BB60000}"/>
    <cellStyle name="Normal 13 2 4 2 4 3 2" xfId="48292" xr:uid="{00000000-0005-0000-0000-00004CB60000}"/>
    <cellStyle name="Normal 13 2 4 2 4 4" xfId="33793" xr:uid="{00000000-0005-0000-0000-00004DB60000}"/>
    <cellStyle name="Normal 13 2 4 2 5" xfId="7832" xr:uid="{00000000-0005-0000-0000-00004EB60000}"/>
    <cellStyle name="Normal 13 2 4 2 5 2" xfId="15104" xr:uid="{00000000-0005-0000-0000-00004FB60000}"/>
    <cellStyle name="Normal 13 2 4 2 5 2 2" xfId="29638" xr:uid="{00000000-0005-0000-0000-000050B60000}"/>
    <cellStyle name="Normal 13 2 4 2 5 2 2 2" xfId="58644" xr:uid="{00000000-0005-0000-0000-000051B60000}"/>
    <cellStyle name="Normal 13 2 4 2 5 2 3" xfId="44145" xr:uid="{00000000-0005-0000-0000-000052B60000}"/>
    <cellStyle name="Normal 13 2 4 2 5 3" xfId="22390" xr:uid="{00000000-0005-0000-0000-000053B60000}"/>
    <cellStyle name="Normal 13 2 4 2 5 3 2" xfId="51396" xr:uid="{00000000-0005-0000-0000-000054B60000}"/>
    <cellStyle name="Normal 13 2 4 2 5 4" xfId="36897" xr:uid="{00000000-0005-0000-0000-000055B60000}"/>
    <cellStyle name="Normal 13 2 4 2 6" xfId="8896" xr:uid="{00000000-0005-0000-0000-000056B60000}"/>
    <cellStyle name="Normal 13 2 4 2 6 2" xfId="23430" xr:uid="{00000000-0005-0000-0000-000057B60000}"/>
    <cellStyle name="Normal 13 2 4 2 6 2 2" xfId="52436" xr:uid="{00000000-0005-0000-0000-000058B60000}"/>
    <cellStyle name="Normal 13 2 4 2 6 3" xfId="37937" xr:uid="{00000000-0005-0000-0000-000059B60000}"/>
    <cellStyle name="Normal 13 2 4 2 7" xfId="16182" xr:uid="{00000000-0005-0000-0000-00005AB60000}"/>
    <cellStyle name="Normal 13 2 4 2 7 2" xfId="45188" xr:uid="{00000000-0005-0000-0000-00005BB60000}"/>
    <cellStyle name="Normal 13 2 4 2 8" xfId="30689" xr:uid="{00000000-0005-0000-0000-00005CB60000}"/>
    <cellStyle name="Normal 13 2 4 3" xfId="2152" xr:uid="{00000000-0005-0000-0000-00005DB60000}"/>
    <cellStyle name="Normal 13 2 4 3 2" xfId="5256" xr:uid="{00000000-0005-0000-0000-00005EB60000}"/>
    <cellStyle name="Normal 13 2 4 3 2 2" xfId="12528" xr:uid="{00000000-0005-0000-0000-00005FB60000}"/>
    <cellStyle name="Normal 13 2 4 3 2 2 2" xfId="27062" xr:uid="{00000000-0005-0000-0000-000060B60000}"/>
    <cellStyle name="Normal 13 2 4 3 2 2 2 2" xfId="56068" xr:uid="{00000000-0005-0000-0000-000061B60000}"/>
    <cellStyle name="Normal 13 2 4 3 2 2 3" xfId="41569" xr:uid="{00000000-0005-0000-0000-000062B60000}"/>
    <cellStyle name="Normal 13 2 4 3 2 3" xfId="19814" xr:uid="{00000000-0005-0000-0000-000063B60000}"/>
    <cellStyle name="Normal 13 2 4 3 2 3 2" xfId="48820" xr:uid="{00000000-0005-0000-0000-000064B60000}"/>
    <cellStyle name="Normal 13 2 4 3 2 4" xfId="34321" xr:uid="{00000000-0005-0000-0000-000065B60000}"/>
    <cellStyle name="Normal 13 2 4 3 3" xfId="9424" xr:uid="{00000000-0005-0000-0000-000066B60000}"/>
    <cellStyle name="Normal 13 2 4 3 3 2" xfId="23958" xr:uid="{00000000-0005-0000-0000-000067B60000}"/>
    <cellStyle name="Normal 13 2 4 3 3 2 2" xfId="52964" xr:uid="{00000000-0005-0000-0000-000068B60000}"/>
    <cellStyle name="Normal 13 2 4 3 3 3" xfId="38465" xr:uid="{00000000-0005-0000-0000-000069B60000}"/>
    <cellStyle name="Normal 13 2 4 3 4" xfId="16710" xr:uid="{00000000-0005-0000-0000-00006AB60000}"/>
    <cellStyle name="Normal 13 2 4 3 4 2" xfId="45716" xr:uid="{00000000-0005-0000-0000-00006BB60000}"/>
    <cellStyle name="Normal 13 2 4 3 5" xfId="31217" xr:uid="{00000000-0005-0000-0000-00006CB60000}"/>
    <cellStyle name="Normal 13 2 4 4" xfId="3184" xr:uid="{00000000-0005-0000-0000-00006DB60000}"/>
    <cellStyle name="Normal 13 2 4 4 2" xfId="6288" xr:uid="{00000000-0005-0000-0000-00006EB60000}"/>
    <cellStyle name="Normal 13 2 4 4 2 2" xfId="13560" xr:uid="{00000000-0005-0000-0000-00006FB60000}"/>
    <cellStyle name="Normal 13 2 4 4 2 2 2" xfId="28094" xr:uid="{00000000-0005-0000-0000-000070B60000}"/>
    <cellStyle name="Normal 13 2 4 4 2 2 2 2" xfId="57100" xr:uid="{00000000-0005-0000-0000-000071B60000}"/>
    <cellStyle name="Normal 13 2 4 4 2 2 3" xfId="42601" xr:uid="{00000000-0005-0000-0000-000072B60000}"/>
    <cellStyle name="Normal 13 2 4 4 2 3" xfId="20846" xr:uid="{00000000-0005-0000-0000-000073B60000}"/>
    <cellStyle name="Normal 13 2 4 4 2 3 2" xfId="49852" xr:uid="{00000000-0005-0000-0000-000074B60000}"/>
    <cellStyle name="Normal 13 2 4 4 2 4" xfId="35353" xr:uid="{00000000-0005-0000-0000-000075B60000}"/>
    <cellStyle name="Normal 13 2 4 4 3" xfId="10456" xr:uid="{00000000-0005-0000-0000-000076B60000}"/>
    <cellStyle name="Normal 13 2 4 4 3 2" xfId="24990" xr:uid="{00000000-0005-0000-0000-000077B60000}"/>
    <cellStyle name="Normal 13 2 4 4 3 2 2" xfId="53996" xr:uid="{00000000-0005-0000-0000-000078B60000}"/>
    <cellStyle name="Normal 13 2 4 4 3 3" xfId="39497" xr:uid="{00000000-0005-0000-0000-000079B60000}"/>
    <cellStyle name="Normal 13 2 4 4 4" xfId="17742" xr:uid="{00000000-0005-0000-0000-00007AB60000}"/>
    <cellStyle name="Normal 13 2 4 4 4 2" xfId="46748" xr:uid="{00000000-0005-0000-0000-00007BB60000}"/>
    <cellStyle name="Normal 13 2 4 4 5" xfId="32249" xr:uid="{00000000-0005-0000-0000-00007CB60000}"/>
    <cellStyle name="Normal 13 2 4 5" xfId="4216" xr:uid="{00000000-0005-0000-0000-00007DB60000}"/>
    <cellStyle name="Normal 13 2 4 5 2" xfId="11488" xr:uid="{00000000-0005-0000-0000-00007EB60000}"/>
    <cellStyle name="Normal 13 2 4 5 2 2" xfId="26022" xr:uid="{00000000-0005-0000-0000-00007FB60000}"/>
    <cellStyle name="Normal 13 2 4 5 2 2 2" xfId="55028" xr:uid="{00000000-0005-0000-0000-000080B60000}"/>
    <cellStyle name="Normal 13 2 4 5 2 3" xfId="40529" xr:uid="{00000000-0005-0000-0000-000081B60000}"/>
    <cellStyle name="Normal 13 2 4 5 3" xfId="18774" xr:uid="{00000000-0005-0000-0000-000082B60000}"/>
    <cellStyle name="Normal 13 2 4 5 3 2" xfId="47780" xr:uid="{00000000-0005-0000-0000-000083B60000}"/>
    <cellStyle name="Normal 13 2 4 5 4" xfId="33281" xr:uid="{00000000-0005-0000-0000-000084B60000}"/>
    <cellStyle name="Normal 13 2 4 6" xfId="7320" xr:uid="{00000000-0005-0000-0000-000085B60000}"/>
    <cellStyle name="Normal 13 2 4 6 2" xfId="14592" xr:uid="{00000000-0005-0000-0000-000086B60000}"/>
    <cellStyle name="Normal 13 2 4 6 2 2" xfId="29126" xr:uid="{00000000-0005-0000-0000-000087B60000}"/>
    <cellStyle name="Normal 13 2 4 6 2 2 2" xfId="58132" xr:uid="{00000000-0005-0000-0000-000088B60000}"/>
    <cellStyle name="Normal 13 2 4 6 2 3" xfId="43633" xr:uid="{00000000-0005-0000-0000-000089B60000}"/>
    <cellStyle name="Normal 13 2 4 6 3" xfId="21878" xr:uid="{00000000-0005-0000-0000-00008AB60000}"/>
    <cellStyle name="Normal 13 2 4 6 3 2" xfId="50884" xr:uid="{00000000-0005-0000-0000-00008BB60000}"/>
    <cellStyle name="Normal 13 2 4 6 4" xfId="36385" xr:uid="{00000000-0005-0000-0000-00008CB60000}"/>
    <cellStyle name="Normal 13 2 4 7" xfId="8384" xr:uid="{00000000-0005-0000-0000-00008DB60000}"/>
    <cellStyle name="Normal 13 2 4 7 2" xfId="22918" xr:uid="{00000000-0005-0000-0000-00008EB60000}"/>
    <cellStyle name="Normal 13 2 4 7 2 2" xfId="51924" xr:uid="{00000000-0005-0000-0000-00008FB60000}"/>
    <cellStyle name="Normal 13 2 4 7 3" xfId="37425" xr:uid="{00000000-0005-0000-0000-000090B60000}"/>
    <cellStyle name="Normal 13 2 4 8" xfId="15670" xr:uid="{00000000-0005-0000-0000-000091B60000}"/>
    <cellStyle name="Normal 13 2 4 8 2" xfId="44676" xr:uid="{00000000-0005-0000-0000-000092B60000}"/>
    <cellStyle name="Normal 13 2 4 9" xfId="30177" xr:uid="{00000000-0005-0000-0000-000093B60000}"/>
    <cellStyle name="Normal 13 2 5" xfId="1018" xr:uid="{00000000-0005-0000-0000-000094B60000}"/>
    <cellStyle name="Normal 13 2 5 2" xfId="1506" xr:uid="{00000000-0005-0000-0000-000095B60000}"/>
    <cellStyle name="Normal 13 2 5 2 2" xfId="2564" xr:uid="{00000000-0005-0000-0000-000096B60000}"/>
    <cellStyle name="Normal 13 2 5 2 2 2" xfId="5668" xr:uid="{00000000-0005-0000-0000-000097B60000}"/>
    <cellStyle name="Normal 13 2 5 2 2 2 2" xfId="12940" xr:uid="{00000000-0005-0000-0000-000098B60000}"/>
    <cellStyle name="Normal 13 2 5 2 2 2 2 2" xfId="27474" xr:uid="{00000000-0005-0000-0000-000099B60000}"/>
    <cellStyle name="Normal 13 2 5 2 2 2 2 2 2" xfId="56480" xr:uid="{00000000-0005-0000-0000-00009AB60000}"/>
    <cellStyle name="Normal 13 2 5 2 2 2 2 3" xfId="41981" xr:uid="{00000000-0005-0000-0000-00009BB60000}"/>
    <cellStyle name="Normal 13 2 5 2 2 2 3" xfId="20226" xr:uid="{00000000-0005-0000-0000-00009CB60000}"/>
    <cellStyle name="Normal 13 2 5 2 2 2 3 2" xfId="49232" xr:uid="{00000000-0005-0000-0000-00009DB60000}"/>
    <cellStyle name="Normal 13 2 5 2 2 2 4" xfId="34733" xr:uid="{00000000-0005-0000-0000-00009EB60000}"/>
    <cellStyle name="Normal 13 2 5 2 2 3" xfId="9836" xr:uid="{00000000-0005-0000-0000-00009FB60000}"/>
    <cellStyle name="Normal 13 2 5 2 2 3 2" xfId="24370" xr:uid="{00000000-0005-0000-0000-0000A0B60000}"/>
    <cellStyle name="Normal 13 2 5 2 2 3 2 2" xfId="53376" xr:uid="{00000000-0005-0000-0000-0000A1B60000}"/>
    <cellStyle name="Normal 13 2 5 2 2 3 3" xfId="38877" xr:uid="{00000000-0005-0000-0000-0000A2B60000}"/>
    <cellStyle name="Normal 13 2 5 2 2 4" xfId="17122" xr:uid="{00000000-0005-0000-0000-0000A3B60000}"/>
    <cellStyle name="Normal 13 2 5 2 2 4 2" xfId="46128" xr:uid="{00000000-0005-0000-0000-0000A4B60000}"/>
    <cellStyle name="Normal 13 2 5 2 2 5" xfId="31629" xr:uid="{00000000-0005-0000-0000-0000A5B60000}"/>
    <cellStyle name="Normal 13 2 5 2 3" xfId="3596" xr:uid="{00000000-0005-0000-0000-0000A6B60000}"/>
    <cellStyle name="Normal 13 2 5 2 3 2" xfId="6700" xr:uid="{00000000-0005-0000-0000-0000A7B60000}"/>
    <cellStyle name="Normal 13 2 5 2 3 2 2" xfId="13972" xr:uid="{00000000-0005-0000-0000-0000A8B60000}"/>
    <cellStyle name="Normal 13 2 5 2 3 2 2 2" xfId="28506" xr:uid="{00000000-0005-0000-0000-0000A9B60000}"/>
    <cellStyle name="Normal 13 2 5 2 3 2 2 2 2" xfId="57512" xr:uid="{00000000-0005-0000-0000-0000AAB60000}"/>
    <cellStyle name="Normal 13 2 5 2 3 2 2 3" xfId="43013" xr:uid="{00000000-0005-0000-0000-0000ABB60000}"/>
    <cellStyle name="Normal 13 2 5 2 3 2 3" xfId="21258" xr:uid="{00000000-0005-0000-0000-0000ACB60000}"/>
    <cellStyle name="Normal 13 2 5 2 3 2 3 2" xfId="50264" xr:uid="{00000000-0005-0000-0000-0000ADB60000}"/>
    <cellStyle name="Normal 13 2 5 2 3 2 4" xfId="35765" xr:uid="{00000000-0005-0000-0000-0000AEB60000}"/>
    <cellStyle name="Normal 13 2 5 2 3 3" xfId="10868" xr:uid="{00000000-0005-0000-0000-0000AFB60000}"/>
    <cellStyle name="Normal 13 2 5 2 3 3 2" xfId="25402" xr:uid="{00000000-0005-0000-0000-0000B0B60000}"/>
    <cellStyle name="Normal 13 2 5 2 3 3 2 2" xfId="54408" xr:uid="{00000000-0005-0000-0000-0000B1B60000}"/>
    <cellStyle name="Normal 13 2 5 2 3 3 3" xfId="39909" xr:uid="{00000000-0005-0000-0000-0000B2B60000}"/>
    <cellStyle name="Normal 13 2 5 2 3 4" xfId="18154" xr:uid="{00000000-0005-0000-0000-0000B3B60000}"/>
    <cellStyle name="Normal 13 2 5 2 3 4 2" xfId="47160" xr:uid="{00000000-0005-0000-0000-0000B4B60000}"/>
    <cellStyle name="Normal 13 2 5 2 3 5" xfId="32661" xr:uid="{00000000-0005-0000-0000-0000B5B60000}"/>
    <cellStyle name="Normal 13 2 5 2 4" xfId="4628" xr:uid="{00000000-0005-0000-0000-0000B6B60000}"/>
    <cellStyle name="Normal 13 2 5 2 4 2" xfId="11900" xr:uid="{00000000-0005-0000-0000-0000B7B60000}"/>
    <cellStyle name="Normal 13 2 5 2 4 2 2" xfId="26434" xr:uid="{00000000-0005-0000-0000-0000B8B60000}"/>
    <cellStyle name="Normal 13 2 5 2 4 2 2 2" xfId="55440" xr:uid="{00000000-0005-0000-0000-0000B9B60000}"/>
    <cellStyle name="Normal 13 2 5 2 4 2 3" xfId="40941" xr:uid="{00000000-0005-0000-0000-0000BAB60000}"/>
    <cellStyle name="Normal 13 2 5 2 4 3" xfId="19186" xr:uid="{00000000-0005-0000-0000-0000BBB60000}"/>
    <cellStyle name="Normal 13 2 5 2 4 3 2" xfId="48192" xr:uid="{00000000-0005-0000-0000-0000BCB60000}"/>
    <cellStyle name="Normal 13 2 5 2 4 4" xfId="33693" xr:uid="{00000000-0005-0000-0000-0000BDB60000}"/>
    <cellStyle name="Normal 13 2 5 2 5" xfId="7732" xr:uid="{00000000-0005-0000-0000-0000BEB60000}"/>
    <cellStyle name="Normal 13 2 5 2 5 2" xfId="15004" xr:uid="{00000000-0005-0000-0000-0000BFB60000}"/>
    <cellStyle name="Normal 13 2 5 2 5 2 2" xfId="29538" xr:uid="{00000000-0005-0000-0000-0000C0B60000}"/>
    <cellStyle name="Normal 13 2 5 2 5 2 2 2" xfId="58544" xr:uid="{00000000-0005-0000-0000-0000C1B60000}"/>
    <cellStyle name="Normal 13 2 5 2 5 2 3" xfId="44045" xr:uid="{00000000-0005-0000-0000-0000C2B60000}"/>
    <cellStyle name="Normal 13 2 5 2 5 3" xfId="22290" xr:uid="{00000000-0005-0000-0000-0000C3B60000}"/>
    <cellStyle name="Normal 13 2 5 2 5 3 2" xfId="51296" xr:uid="{00000000-0005-0000-0000-0000C4B60000}"/>
    <cellStyle name="Normal 13 2 5 2 5 4" xfId="36797" xr:uid="{00000000-0005-0000-0000-0000C5B60000}"/>
    <cellStyle name="Normal 13 2 5 2 6" xfId="8796" xr:uid="{00000000-0005-0000-0000-0000C6B60000}"/>
    <cellStyle name="Normal 13 2 5 2 6 2" xfId="23330" xr:uid="{00000000-0005-0000-0000-0000C7B60000}"/>
    <cellStyle name="Normal 13 2 5 2 6 2 2" xfId="52336" xr:uid="{00000000-0005-0000-0000-0000C8B60000}"/>
    <cellStyle name="Normal 13 2 5 2 6 3" xfId="37837" xr:uid="{00000000-0005-0000-0000-0000C9B60000}"/>
    <cellStyle name="Normal 13 2 5 2 7" xfId="16082" xr:uid="{00000000-0005-0000-0000-0000CAB60000}"/>
    <cellStyle name="Normal 13 2 5 2 7 2" xfId="45088" xr:uid="{00000000-0005-0000-0000-0000CBB60000}"/>
    <cellStyle name="Normal 13 2 5 2 8" xfId="30589" xr:uid="{00000000-0005-0000-0000-0000CCB60000}"/>
    <cellStyle name="Normal 13 2 5 3" xfId="2052" xr:uid="{00000000-0005-0000-0000-0000CDB60000}"/>
    <cellStyle name="Normal 13 2 5 3 2" xfId="5156" xr:uid="{00000000-0005-0000-0000-0000CEB60000}"/>
    <cellStyle name="Normal 13 2 5 3 2 2" xfId="12428" xr:uid="{00000000-0005-0000-0000-0000CFB60000}"/>
    <cellStyle name="Normal 13 2 5 3 2 2 2" xfId="26962" xr:uid="{00000000-0005-0000-0000-0000D0B60000}"/>
    <cellStyle name="Normal 13 2 5 3 2 2 2 2" xfId="55968" xr:uid="{00000000-0005-0000-0000-0000D1B60000}"/>
    <cellStyle name="Normal 13 2 5 3 2 2 3" xfId="41469" xr:uid="{00000000-0005-0000-0000-0000D2B60000}"/>
    <cellStyle name="Normal 13 2 5 3 2 3" xfId="19714" xr:uid="{00000000-0005-0000-0000-0000D3B60000}"/>
    <cellStyle name="Normal 13 2 5 3 2 3 2" xfId="48720" xr:uid="{00000000-0005-0000-0000-0000D4B60000}"/>
    <cellStyle name="Normal 13 2 5 3 2 4" xfId="34221" xr:uid="{00000000-0005-0000-0000-0000D5B60000}"/>
    <cellStyle name="Normal 13 2 5 3 3" xfId="9324" xr:uid="{00000000-0005-0000-0000-0000D6B60000}"/>
    <cellStyle name="Normal 13 2 5 3 3 2" xfId="23858" xr:uid="{00000000-0005-0000-0000-0000D7B60000}"/>
    <cellStyle name="Normal 13 2 5 3 3 2 2" xfId="52864" xr:uid="{00000000-0005-0000-0000-0000D8B60000}"/>
    <cellStyle name="Normal 13 2 5 3 3 3" xfId="38365" xr:uid="{00000000-0005-0000-0000-0000D9B60000}"/>
    <cellStyle name="Normal 13 2 5 3 4" xfId="16610" xr:uid="{00000000-0005-0000-0000-0000DAB60000}"/>
    <cellStyle name="Normal 13 2 5 3 4 2" xfId="45616" xr:uid="{00000000-0005-0000-0000-0000DBB60000}"/>
    <cellStyle name="Normal 13 2 5 3 5" xfId="31117" xr:uid="{00000000-0005-0000-0000-0000DCB60000}"/>
    <cellStyle name="Normal 13 2 5 4" xfId="3084" xr:uid="{00000000-0005-0000-0000-0000DDB60000}"/>
    <cellStyle name="Normal 13 2 5 4 2" xfId="6188" xr:uid="{00000000-0005-0000-0000-0000DEB60000}"/>
    <cellStyle name="Normal 13 2 5 4 2 2" xfId="13460" xr:uid="{00000000-0005-0000-0000-0000DFB60000}"/>
    <cellStyle name="Normal 13 2 5 4 2 2 2" xfId="27994" xr:uid="{00000000-0005-0000-0000-0000E0B60000}"/>
    <cellStyle name="Normal 13 2 5 4 2 2 2 2" xfId="57000" xr:uid="{00000000-0005-0000-0000-0000E1B60000}"/>
    <cellStyle name="Normal 13 2 5 4 2 2 3" xfId="42501" xr:uid="{00000000-0005-0000-0000-0000E2B60000}"/>
    <cellStyle name="Normal 13 2 5 4 2 3" xfId="20746" xr:uid="{00000000-0005-0000-0000-0000E3B60000}"/>
    <cellStyle name="Normal 13 2 5 4 2 3 2" xfId="49752" xr:uid="{00000000-0005-0000-0000-0000E4B60000}"/>
    <cellStyle name="Normal 13 2 5 4 2 4" xfId="35253" xr:uid="{00000000-0005-0000-0000-0000E5B60000}"/>
    <cellStyle name="Normal 13 2 5 4 3" xfId="10356" xr:uid="{00000000-0005-0000-0000-0000E6B60000}"/>
    <cellStyle name="Normal 13 2 5 4 3 2" xfId="24890" xr:uid="{00000000-0005-0000-0000-0000E7B60000}"/>
    <cellStyle name="Normal 13 2 5 4 3 2 2" xfId="53896" xr:uid="{00000000-0005-0000-0000-0000E8B60000}"/>
    <cellStyle name="Normal 13 2 5 4 3 3" xfId="39397" xr:uid="{00000000-0005-0000-0000-0000E9B60000}"/>
    <cellStyle name="Normal 13 2 5 4 4" xfId="17642" xr:uid="{00000000-0005-0000-0000-0000EAB60000}"/>
    <cellStyle name="Normal 13 2 5 4 4 2" xfId="46648" xr:uid="{00000000-0005-0000-0000-0000EBB60000}"/>
    <cellStyle name="Normal 13 2 5 4 5" xfId="32149" xr:uid="{00000000-0005-0000-0000-0000ECB60000}"/>
    <cellStyle name="Normal 13 2 5 5" xfId="4116" xr:uid="{00000000-0005-0000-0000-0000EDB60000}"/>
    <cellStyle name="Normal 13 2 5 5 2" xfId="11388" xr:uid="{00000000-0005-0000-0000-0000EEB60000}"/>
    <cellStyle name="Normal 13 2 5 5 2 2" xfId="25922" xr:uid="{00000000-0005-0000-0000-0000EFB60000}"/>
    <cellStyle name="Normal 13 2 5 5 2 2 2" xfId="54928" xr:uid="{00000000-0005-0000-0000-0000F0B60000}"/>
    <cellStyle name="Normal 13 2 5 5 2 3" xfId="40429" xr:uid="{00000000-0005-0000-0000-0000F1B60000}"/>
    <cellStyle name="Normal 13 2 5 5 3" xfId="18674" xr:uid="{00000000-0005-0000-0000-0000F2B60000}"/>
    <cellStyle name="Normal 13 2 5 5 3 2" xfId="47680" xr:uid="{00000000-0005-0000-0000-0000F3B60000}"/>
    <cellStyle name="Normal 13 2 5 5 4" xfId="33181" xr:uid="{00000000-0005-0000-0000-0000F4B60000}"/>
    <cellStyle name="Normal 13 2 5 6" xfId="7220" xr:uid="{00000000-0005-0000-0000-0000F5B60000}"/>
    <cellStyle name="Normal 13 2 5 6 2" xfId="14492" xr:uid="{00000000-0005-0000-0000-0000F6B60000}"/>
    <cellStyle name="Normal 13 2 5 6 2 2" xfId="29026" xr:uid="{00000000-0005-0000-0000-0000F7B60000}"/>
    <cellStyle name="Normal 13 2 5 6 2 2 2" xfId="58032" xr:uid="{00000000-0005-0000-0000-0000F8B60000}"/>
    <cellStyle name="Normal 13 2 5 6 2 3" xfId="43533" xr:uid="{00000000-0005-0000-0000-0000F9B60000}"/>
    <cellStyle name="Normal 13 2 5 6 3" xfId="21778" xr:uid="{00000000-0005-0000-0000-0000FAB60000}"/>
    <cellStyle name="Normal 13 2 5 6 3 2" xfId="50784" xr:uid="{00000000-0005-0000-0000-0000FBB60000}"/>
    <cellStyle name="Normal 13 2 5 6 4" xfId="36285" xr:uid="{00000000-0005-0000-0000-0000FCB60000}"/>
    <cellStyle name="Normal 13 2 5 7" xfId="8284" xr:uid="{00000000-0005-0000-0000-0000FDB60000}"/>
    <cellStyle name="Normal 13 2 5 7 2" xfId="22818" xr:uid="{00000000-0005-0000-0000-0000FEB60000}"/>
    <cellStyle name="Normal 13 2 5 7 2 2" xfId="51824" xr:uid="{00000000-0005-0000-0000-0000FFB60000}"/>
    <cellStyle name="Normal 13 2 5 7 3" xfId="37325" xr:uid="{00000000-0005-0000-0000-000000B70000}"/>
    <cellStyle name="Normal 13 2 5 8" xfId="15570" xr:uid="{00000000-0005-0000-0000-000001B70000}"/>
    <cellStyle name="Normal 13 2 5 8 2" xfId="44576" xr:uid="{00000000-0005-0000-0000-000002B70000}"/>
    <cellStyle name="Normal 13 2 5 9" xfId="30077" xr:uid="{00000000-0005-0000-0000-000003B70000}"/>
    <cellStyle name="Normal 13 2 6" xfId="1302" xr:uid="{00000000-0005-0000-0000-000004B70000}"/>
    <cellStyle name="Normal 13 2 6 2" xfId="2358" xr:uid="{00000000-0005-0000-0000-000005B70000}"/>
    <cellStyle name="Normal 13 2 6 2 2" xfId="5462" xr:uid="{00000000-0005-0000-0000-000006B70000}"/>
    <cellStyle name="Normal 13 2 6 2 2 2" xfId="12734" xr:uid="{00000000-0005-0000-0000-000007B70000}"/>
    <cellStyle name="Normal 13 2 6 2 2 2 2" xfId="27268" xr:uid="{00000000-0005-0000-0000-000008B70000}"/>
    <cellStyle name="Normal 13 2 6 2 2 2 2 2" xfId="56274" xr:uid="{00000000-0005-0000-0000-000009B70000}"/>
    <cellStyle name="Normal 13 2 6 2 2 2 3" xfId="41775" xr:uid="{00000000-0005-0000-0000-00000AB70000}"/>
    <cellStyle name="Normal 13 2 6 2 2 3" xfId="20020" xr:uid="{00000000-0005-0000-0000-00000BB70000}"/>
    <cellStyle name="Normal 13 2 6 2 2 3 2" xfId="49026" xr:uid="{00000000-0005-0000-0000-00000CB70000}"/>
    <cellStyle name="Normal 13 2 6 2 2 4" xfId="34527" xr:uid="{00000000-0005-0000-0000-00000DB70000}"/>
    <cellStyle name="Normal 13 2 6 2 3" xfId="9630" xr:uid="{00000000-0005-0000-0000-00000EB70000}"/>
    <cellStyle name="Normal 13 2 6 2 3 2" xfId="24164" xr:uid="{00000000-0005-0000-0000-00000FB70000}"/>
    <cellStyle name="Normal 13 2 6 2 3 2 2" xfId="53170" xr:uid="{00000000-0005-0000-0000-000010B70000}"/>
    <cellStyle name="Normal 13 2 6 2 3 3" xfId="38671" xr:uid="{00000000-0005-0000-0000-000011B70000}"/>
    <cellStyle name="Normal 13 2 6 2 4" xfId="16916" xr:uid="{00000000-0005-0000-0000-000012B70000}"/>
    <cellStyle name="Normal 13 2 6 2 4 2" xfId="45922" xr:uid="{00000000-0005-0000-0000-000013B70000}"/>
    <cellStyle name="Normal 13 2 6 2 5" xfId="31423" xr:uid="{00000000-0005-0000-0000-000014B70000}"/>
    <cellStyle name="Normal 13 2 6 3" xfId="3390" xr:uid="{00000000-0005-0000-0000-000015B70000}"/>
    <cellStyle name="Normal 13 2 6 3 2" xfId="6494" xr:uid="{00000000-0005-0000-0000-000016B70000}"/>
    <cellStyle name="Normal 13 2 6 3 2 2" xfId="13766" xr:uid="{00000000-0005-0000-0000-000017B70000}"/>
    <cellStyle name="Normal 13 2 6 3 2 2 2" xfId="28300" xr:uid="{00000000-0005-0000-0000-000018B70000}"/>
    <cellStyle name="Normal 13 2 6 3 2 2 2 2" xfId="57306" xr:uid="{00000000-0005-0000-0000-000019B70000}"/>
    <cellStyle name="Normal 13 2 6 3 2 2 3" xfId="42807" xr:uid="{00000000-0005-0000-0000-00001AB70000}"/>
    <cellStyle name="Normal 13 2 6 3 2 3" xfId="21052" xr:uid="{00000000-0005-0000-0000-00001BB70000}"/>
    <cellStyle name="Normal 13 2 6 3 2 3 2" xfId="50058" xr:uid="{00000000-0005-0000-0000-00001CB70000}"/>
    <cellStyle name="Normal 13 2 6 3 2 4" xfId="35559" xr:uid="{00000000-0005-0000-0000-00001DB70000}"/>
    <cellStyle name="Normal 13 2 6 3 3" xfId="10662" xr:uid="{00000000-0005-0000-0000-00001EB70000}"/>
    <cellStyle name="Normal 13 2 6 3 3 2" xfId="25196" xr:uid="{00000000-0005-0000-0000-00001FB70000}"/>
    <cellStyle name="Normal 13 2 6 3 3 2 2" xfId="54202" xr:uid="{00000000-0005-0000-0000-000020B70000}"/>
    <cellStyle name="Normal 13 2 6 3 3 3" xfId="39703" xr:uid="{00000000-0005-0000-0000-000021B70000}"/>
    <cellStyle name="Normal 13 2 6 3 4" xfId="17948" xr:uid="{00000000-0005-0000-0000-000022B70000}"/>
    <cellStyle name="Normal 13 2 6 3 4 2" xfId="46954" xr:uid="{00000000-0005-0000-0000-000023B70000}"/>
    <cellStyle name="Normal 13 2 6 3 5" xfId="32455" xr:uid="{00000000-0005-0000-0000-000024B70000}"/>
    <cellStyle name="Normal 13 2 6 4" xfId="4422" xr:uid="{00000000-0005-0000-0000-000025B70000}"/>
    <cellStyle name="Normal 13 2 6 4 2" xfId="11694" xr:uid="{00000000-0005-0000-0000-000026B70000}"/>
    <cellStyle name="Normal 13 2 6 4 2 2" xfId="26228" xr:uid="{00000000-0005-0000-0000-000027B70000}"/>
    <cellStyle name="Normal 13 2 6 4 2 2 2" xfId="55234" xr:uid="{00000000-0005-0000-0000-000028B70000}"/>
    <cellStyle name="Normal 13 2 6 4 2 3" xfId="40735" xr:uid="{00000000-0005-0000-0000-000029B70000}"/>
    <cellStyle name="Normal 13 2 6 4 3" xfId="18980" xr:uid="{00000000-0005-0000-0000-00002AB70000}"/>
    <cellStyle name="Normal 13 2 6 4 3 2" xfId="47986" xr:uid="{00000000-0005-0000-0000-00002BB70000}"/>
    <cellStyle name="Normal 13 2 6 4 4" xfId="33487" xr:uid="{00000000-0005-0000-0000-00002CB70000}"/>
    <cellStyle name="Normal 13 2 6 5" xfId="7526" xr:uid="{00000000-0005-0000-0000-00002DB70000}"/>
    <cellStyle name="Normal 13 2 6 5 2" xfId="14798" xr:uid="{00000000-0005-0000-0000-00002EB70000}"/>
    <cellStyle name="Normal 13 2 6 5 2 2" xfId="29332" xr:uid="{00000000-0005-0000-0000-00002FB70000}"/>
    <cellStyle name="Normal 13 2 6 5 2 2 2" xfId="58338" xr:uid="{00000000-0005-0000-0000-000030B70000}"/>
    <cellStyle name="Normal 13 2 6 5 2 3" xfId="43839" xr:uid="{00000000-0005-0000-0000-000031B70000}"/>
    <cellStyle name="Normal 13 2 6 5 3" xfId="22084" xr:uid="{00000000-0005-0000-0000-000032B70000}"/>
    <cellStyle name="Normal 13 2 6 5 3 2" xfId="51090" xr:uid="{00000000-0005-0000-0000-000033B70000}"/>
    <cellStyle name="Normal 13 2 6 5 4" xfId="36591" xr:uid="{00000000-0005-0000-0000-000034B70000}"/>
    <cellStyle name="Normal 13 2 6 6" xfId="8590" xr:uid="{00000000-0005-0000-0000-000035B70000}"/>
    <cellStyle name="Normal 13 2 6 6 2" xfId="23124" xr:uid="{00000000-0005-0000-0000-000036B70000}"/>
    <cellStyle name="Normal 13 2 6 6 2 2" xfId="52130" xr:uid="{00000000-0005-0000-0000-000037B70000}"/>
    <cellStyle name="Normal 13 2 6 6 3" xfId="37631" xr:uid="{00000000-0005-0000-0000-000038B70000}"/>
    <cellStyle name="Normal 13 2 6 7" xfId="15876" xr:uid="{00000000-0005-0000-0000-000039B70000}"/>
    <cellStyle name="Normal 13 2 6 7 2" xfId="44882" xr:uid="{00000000-0005-0000-0000-00003AB70000}"/>
    <cellStyle name="Normal 13 2 6 8" xfId="30383" xr:uid="{00000000-0005-0000-0000-00003BB70000}"/>
    <cellStyle name="Normal 13 2 7" xfId="1846" xr:uid="{00000000-0005-0000-0000-00003CB70000}"/>
    <cellStyle name="Normal 13 2 7 2" xfId="4950" xr:uid="{00000000-0005-0000-0000-00003DB70000}"/>
    <cellStyle name="Normal 13 2 7 2 2" xfId="12222" xr:uid="{00000000-0005-0000-0000-00003EB70000}"/>
    <cellStyle name="Normal 13 2 7 2 2 2" xfId="26756" xr:uid="{00000000-0005-0000-0000-00003FB70000}"/>
    <cellStyle name="Normal 13 2 7 2 2 2 2" xfId="55762" xr:uid="{00000000-0005-0000-0000-000040B70000}"/>
    <cellStyle name="Normal 13 2 7 2 2 3" xfId="41263" xr:uid="{00000000-0005-0000-0000-000041B70000}"/>
    <cellStyle name="Normal 13 2 7 2 3" xfId="19508" xr:uid="{00000000-0005-0000-0000-000042B70000}"/>
    <cellStyle name="Normal 13 2 7 2 3 2" xfId="48514" xr:uid="{00000000-0005-0000-0000-000043B70000}"/>
    <cellStyle name="Normal 13 2 7 2 4" xfId="34015" xr:uid="{00000000-0005-0000-0000-000044B70000}"/>
    <cellStyle name="Normal 13 2 7 3" xfId="9118" xr:uid="{00000000-0005-0000-0000-000045B70000}"/>
    <cellStyle name="Normal 13 2 7 3 2" xfId="23652" xr:uid="{00000000-0005-0000-0000-000046B70000}"/>
    <cellStyle name="Normal 13 2 7 3 2 2" xfId="52658" xr:uid="{00000000-0005-0000-0000-000047B70000}"/>
    <cellStyle name="Normal 13 2 7 3 3" xfId="38159" xr:uid="{00000000-0005-0000-0000-000048B70000}"/>
    <cellStyle name="Normal 13 2 7 4" xfId="16404" xr:uid="{00000000-0005-0000-0000-000049B70000}"/>
    <cellStyle name="Normal 13 2 7 4 2" xfId="45410" xr:uid="{00000000-0005-0000-0000-00004AB70000}"/>
    <cellStyle name="Normal 13 2 7 5" xfId="30911" xr:uid="{00000000-0005-0000-0000-00004BB70000}"/>
    <cellStyle name="Normal 13 2 8" xfId="2878" xr:uid="{00000000-0005-0000-0000-00004CB70000}"/>
    <cellStyle name="Normal 13 2 8 2" xfId="5982" xr:uid="{00000000-0005-0000-0000-00004DB70000}"/>
    <cellStyle name="Normal 13 2 8 2 2" xfId="13254" xr:uid="{00000000-0005-0000-0000-00004EB70000}"/>
    <cellStyle name="Normal 13 2 8 2 2 2" xfId="27788" xr:uid="{00000000-0005-0000-0000-00004FB70000}"/>
    <cellStyle name="Normal 13 2 8 2 2 2 2" xfId="56794" xr:uid="{00000000-0005-0000-0000-000050B70000}"/>
    <cellStyle name="Normal 13 2 8 2 2 3" xfId="42295" xr:uid="{00000000-0005-0000-0000-000051B70000}"/>
    <cellStyle name="Normal 13 2 8 2 3" xfId="20540" xr:uid="{00000000-0005-0000-0000-000052B70000}"/>
    <cellStyle name="Normal 13 2 8 2 3 2" xfId="49546" xr:uid="{00000000-0005-0000-0000-000053B70000}"/>
    <cellStyle name="Normal 13 2 8 2 4" xfId="35047" xr:uid="{00000000-0005-0000-0000-000054B70000}"/>
    <cellStyle name="Normal 13 2 8 3" xfId="10150" xr:uid="{00000000-0005-0000-0000-000055B70000}"/>
    <cellStyle name="Normal 13 2 8 3 2" xfId="24684" xr:uid="{00000000-0005-0000-0000-000056B70000}"/>
    <cellStyle name="Normal 13 2 8 3 2 2" xfId="53690" xr:uid="{00000000-0005-0000-0000-000057B70000}"/>
    <cellStyle name="Normal 13 2 8 3 3" xfId="39191" xr:uid="{00000000-0005-0000-0000-000058B70000}"/>
    <cellStyle name="Normal 13 2 8 4" xfId="17436" xr:uid="{00000000-0005-0000-0000-000059B70000}"/>
    <cellStyle name="Normal 13 2 8 4 2" xfId="46442" xr:uid="{00000000-0005-0000-0000-00005AB70000}"/>
    <cellStyle name="Normal 13 2 8 5" xfId="31943" xr:uid="{00000000-0005-0000-0000-00005BB70000}"/>
    <cellStyle name="Normal 13 2 9" xfId="3910" xr:uid="{00000000-0005-0000-0000-00005CB70000}"/>
    <cellStyle name="Normal 13 2 9 2" xfId="11182" xr:uid="{00000000-0005-0000-0000-00005DB70000}"/>
    <cellStyle name="Normal 13 2 9 2 2" xfId="25716" xr:uid="{00000000-0005-0000-0000-00005EB70000}"/>
    <cellStyle name="Normal 13 2 9 2 2 2" xfId="54722" xr:uid="{00000000-0005-0000-0000-00005FB70000}"/>
    <cellStyle name="Normal 13 2 9 2 3" xfId="40223" xr:uid="{00000000-0005-0000-0000-000060B70000}"/>
    <cellStyle name="Normal 13 2 9 3" xfId="18468" xr:uid="{00000000-0005-0000-0000-000061B70000}"/>
    <cellStyle name="Normal 13 2 9 3 2" xfId="47474" xr:uid="{00000000-0005-0000-0000-000062B70000}"/>
    <cellStyle name="Normal 13 2 9 4" xfId="32975" xr:uid="{00000000-0005-0000-0000-000063B70000}"/>
    <cellStyle name="Normal 13 3" xfId="876" xr:uid="{00000000-0005-0000-0000-000064B70000}"/>
    <cellStyle name="Normal 13 3 10" xfId="8106" xr:uid="{00000000-0005-0000-0000-000065B70000}"/>
    <cellStyle name="Normal 13 3 10 2" xfId="22640" xr:uid="{00000000-0005-0000-0000-000066B70000}"/>
    <cellStyle name="Normal 13 3 10 2 2" xfId="51646" xr:uid="{00000000-0005-0000-0000-000067B70000}"/>
    <cellStyle name="Normal 13 3 10 3" xfId="37147" xr:uid="{00000000-0005-0000-0000-000068B70000}"/>
    <cellStyle name="Normal 13 3 11" xfId="15392" xr:uid="{00000000-0005-0000-0000-000069B70000}"/>
    <cellStyle name="Normal 13 3 11 2" xfId="44398" xr:uid="{00000000-0005-0000-0000-00006AB70000}"/>
    <cellStyle name="Normal 13 3 12" xfId="29899" xr:uid="{00000000-0005-0000-0000-00006BB70000}"/>
    <cellStyle name="Normal 13 3 2" xfId="956" xr:uid="{00000000-0005-0000-0000-00006CB70000}"/>
    <cellStyle name="Normal 13 3 2 10" xfId="30002" xr:uid="{00000000-0005-0000-0000-00006DB70000}"/>
    <cellStyle name="Normal 13 3 2 2" xfId="1231" xr:uid="{00000000-0005-0000-0000-00006EB70000}"/>
    <cellStyle name="Normal 13 3 2 2 2" xfId="1736" xr:uid="{00000000-0005-0000-0000-00006FB70000}"/>
    <cellStyle name="Normal 13 3 2 2 2 2" xfId="2795" xr:uid="{00000000-0005-0000-0000-000070B70000}"/>
    <cellStyle name="Normal 13 3 2 2 2 2 2" xfId="5899" xr:uid="{00000000-0005-0000-0000-000071B70000}"/>
    <cellStyle name="Normal 13 3 2 2 2 2 2 2" xfId="13171" xr:uid="{00000000-0005-0000-0000-000072B70000}"/>
    <cellStyle name="Normal 13 3 2 2 2 2 2 2 2" xfId="27705" xr:uid="{00000000-0005-0000-0000-000073B70000}"/>
    <cellStyle name="Normal 13 3 2 2 2 2 2 2 2 2" xfId="56711" xr:uid="{00000000-0005-0000-0000-000074B70000}"/>
    <cellStyle name="Normal 13 3 2 2 2 2 2 2 3" xfId="42212" xr:uid="{00000000-0005-0000-0000-000075B70000}"/>
    <cellStyle name="Normal 13 3 2 2 2 2 2 3" xfId="20457" xr:uid="{00000000-0005-0000-0000-000076B70000}"/>
    <cellStyle name="Normal 13 3 2 2 2 2 2 3 2" xfId="49463" xr:uid="{00000000-0005-0000-0000-000077B70000}"/>
    <cellStyle name="Normal 13 3 2 2 2 2 2 4" xfId="34964" xr:uid="{00000000-0005-0000-0000-000078B70000}"/>
    <cellStyle name="Normal 13 3 2 2 2 2 3" xfId="10067" xr:uid="{00000000-0005-0000-0000-000079B70000}"/>
    <cellStyle name="Normal 13 3 2 2 2 2 3 2" xfId="24601" xr:uid="{00000000-0005-0000-0000-00007AB70000}"/>
    <cellStyle name="Normal 13 3 2 2 2 2 3 2 2" xfId="53607" xr:uid="{00000000-0005-0000-0000-00007BB70000}"/>
    <cellStyle name="Normal 13 3 2 2 2 2 3 3" xfId="39108" xr:uid="{00000000-0005-0000-0000-00007CB70000}"/>
    <cellStyle name="Normal 13 3 2 2 2 2 4" xfId="17353" xr:uid="{00000000-0005-0000-0000-00007DB70000}"/>
    <cellStyle name="Normal 13 3 2 2 2 2 4 2" xfId="46359" xr:uid="{00000000-0005-0000-0000-00007EB70000}"/>
    <cellStyle name="Normal 13 3 2 2 2 2 5" xfId="31860" xr:uid="{00000000-0005-0000-0000-00007FB70000}"/>
    <cellStyle name="Normal 13 3 2 2 2 3" xfId="3827" xr:uid="{00000000-0005-0000-0000-000080B70000}"/>
    <cellStyle name="Normal 13 3 2 2 2 3 2" xfId="6931" xr:uid="{00000000-0005-0000-0000-000081B70000}"/>
    <cellStyle name="Normal 13 3 2 2 2 3 2 2" xfId="14203" xr:uid="{00000000-0005-0000-0000-000082B70000}"/>
    <cellStyle name="Normal 13 3 2 2 2 3 2 2 2" xfId="28737" xr:uid="{00000000-0005-0000-0000-000083B70000}"/>
    <cellStyle name="Normal 13 3 2 2 2 3 2 2 2 2" xfId="57743" xr:uid="{00000000-0005-0000-0000-000084B70000}"/>
    <cellStyle name="Normal 13 3 2 2 2 3 2 2 3" xfId="43244" xr:uid="{00000000-0005-0000-0000-000085B70000}"/>
    <cellStyle name="Normal 13 3 2 2 2 3 2 3" xfId="21489" xr:uid="{00000000-0005-0000-0000-000086B70000}"/>
    <cellStyle name="Normal 13 3 2 2 2 3 2 3 2" xfId="50495" xr:uid="{00000000-0005-0000-0000-000087B70000}"/>
    <cellStyle name="Normal 13 3 2 2 2 3 2 4" xfId="35996" xr:uid="{00000000-0005-0000-0000-000088B70000}"/>
    <cellStyle name="Normal 13 3 2 2 2 3 3" xfId="11099" xr:uid="{00000000-0005-0000-0000-000089B70000}"/>
    <cellStyle name="Normal 13 3 2 2 2 3 3 2" xfId="25633" xr:uid="{00000000-0005-0000-0000-00008AB70000}"/>
    <cellStyle name="Normal 13 3 2 2 2 3 3 2 2" xfId="54639" xr:uid="{00000000-0005-0000-0000-00008BB70000}"/>
    <cellStyle name="Normal 13 3 2 2 2 3 3 3" xfId="40140" xr:uid="{00000000-0005-0000-0000-00008CB70000}"/>
    <cellStyle name="Normal 13 3 2 2 2 3 4" xfId="18385" xr:uid="{00000000-0005-0000-0000-00008DB70000}"/>
    <cellStyle name="Normal 13 3 2 2 2 3 4 2" xfId="47391" xr:uid="{00000000-0005-0000-0000-00008EB70000}"/>
    <cellStyle name="Normal 13 3 2 2 2 3 5" xfId="32892" xr:uid="{00000000-0005-0000-0000-00008FB70000}"/>
    <cellStyle name="Normal 13 3 2 2 2 4" xfId="4859" xr:uid="{00000000-0005-0000-0000-000090B70000}"/>
    <cellStyle name="Normal 13 3 2 2 2 4 2" xfId="12131" xr:uid="{00000000-0005-0000-0000-000091B70000}"/>
    <cellStyle name="Normal 13 3 2 2 2 4 2 2" xfId="26665" xr:uid="{00000000-0005-0000-0000-000092B70000}"/>
    <cellStyle name="Normal 13 3 2 2 2 4 2 2 2" xfId="55671" xr:uid="{00000000-0005-0000-0000-000093B70000}"/>
    <cellStyle name="Normal 13 3 2 2 2 4 2 3" xfId="41172" xr:uid="{00000000-0005-0000-0000-000094B70000}"/>
    <cellStyle name="Normal 13 3 2 2 2 4 3" xfId="19417" xr:uid="{00000000-0005-0000-0000-000095B70000}"/>
    <cellStyle name="Normal 13 3 2 2 2 4 3 2" xfId="48423" xr:uid="{00000000-0005-0000-0000-000096B70000}"/>
    <cellStyle name="Normal 13 3 2 2 2 4 4" xfId="33924" xr:uid="{00000000-0005-0000-0000-000097B70000}"/>
    <cellStyle name="Normal 13 3 2 2 2 5" xfId="7963" xr:uid="{00000000-0005-0000-0000-000098B70000}"/>
    <cellStyle name="Normal 13 3 2 2 2 5 2" xfId="15235" xr:uid="{00000000-0005-0000-0000-000099B70000}"/>
    <cellStyle name="Normal 13 3 2 2 2 5 2 2" xfId="29769" xr:uid="{00000000-0005-0000-0000-00009AB70000}"/>
    <cellStyle name="Normal 13 3 2 2 2 5 2 2 2" xfId="58775" xr:uid="{00000000-0005-0000-0000-00009BB70000}"/>
    <cellStyle name="Normal 13 3 2 2 2 5 2 3" xfId="44276" xr:uid="{00000000-0005-0000-0000-00009CB70000}"/>
    <cellStyle name="Normal 13 3 2 2 2 5 3" xfId="22521" xr:uid="{00000000-0005-0000-0000-00009DB70000}"/>
    <cellStyle name="Normal 13 3 2 2 2 5 3 2" xfId="51527" xr:uid="{00000000-0005-0000-0000-00009EB70000}"/>
    <cellStyle name="Normal 13 3 2 2 2 5 4" xfId="37028" xr:uid="{00000000-0005-0000-0000-00009FB70000}"/>
    <cellStyle name="Normal 13 3 2 2 2 6" xfId="9027" xr:uid="{00000000-0005-0000-0000-0000A0B70000}"/>
    <cellStyle name="Normal 13 3 2 2 2 6 2" xfId="23561" xr:uid="{00000000-0005-0000-0000-0000A1B70000}"/>
    <cellStyle name="Normal 13 3 2 2 2 6 2 2" xfId="52567" xr:uid="{00000000-0005-0000-0000-0000A2B70000}"/>
    <cellStyle name="Normal 13 3 2 2 2 6 3" xfId="38068" xr:uid="{00000000-0005-0000-0000-0000A3B70000}"/>
    <cellStyle name="Normal 13 3 2 2 2 7" xfId="16313" xr:uid="{00000000-0005-0000-0000-0000A4B70000}"/>
    <cellStyle name="Normal 13 3 2 2 2 7 2" xfId="45319" xr:uid="{00000000-0005-0000-0000-0000A5B70000}"/>
    <cellStyle name="Normal 13 3 2 2 2 8" xfId="30820" xr:uid="{00000000-0005-0000-0000-0000A6B70000}"/>
    <cellStyle name="Normal 13 3 2 2 3" xfId="2283" xr:uid="{00000000-0005-0000-0000-0000A7B70000}"/>
    <cellStyle name="Normal 13 3 2 2 3 2" xfId="5387" xr:uid="{00000000-0005-0000-0000-0000A8B70000}"/>
    <cellStyle name="Normal 13 3 2 2 3 2 2" xfId="12659" xr:uid="{00000000-0005-0000-0000-0000A9B70000}"/>
    <cellStyle name="Normal 13 3 2 2 3 2 2 2" xfId="27193" xr:uid="{00000000-0005-0000-0000-0000AAB70000}"/>
    <cellStyle name="Normal 13 3 2 2 3 2 2 2 2" xfId="56199" xr:uid="{00000000-0005-0000-0000-0000ABB70000}"/>
    <cellStyle name="Normal 13 3 2 2 3 2 2 3" xfId="41700" xr:uid="{00000000-0005-0000-0000-0000ACB70000}"/>
    <cellStyle name="Normal 13 3 2 2 3 2 3" xfId="19945" xr:uid="{00000000-0005-0000-0000-0000ADB70000}"/>
    <cellStyle name="Normal 13 3 2 2 3 2 3 2" xfId="48951" xr:uid="{00000000-0005-0000-0000-0000AEB70000}"/>
    <cellStyle name="Normal 13 3 2 2 3 2 4" xfId="34452" xr:uid="{00000000-0005-0000-0000-0000AFB70000}"/>
    <cellStyle name="Normal 13 3 2 2 3 3" xfId="9555" xr:uid="{00000000-0005-0000-0000-0000B0B70000}"/>
    <cellStyle name="Normal 13 3 2 2 3 3 2" xfId="24089" xr:uid="{00000000-0005-0000-0000-0000B1B70000}"/>
    <cellStyle name="Normal 13 3 2 2 3 3 2 2" xfId="53095" xr:uid="{00000000-0005-0000-0000-0000B2B70000}"/>
    <cellStyle name="Normal 13 3 2 2 3 3 3" xfId="38596" xr:uid="{00000000-0005-0000-0000-0000B3B70000}"/>
    <cellStyle name="Normal 13 3 2 2 3 4" xfId="16841" xr:uid="{00000000-0005-0000-0000-0000B4B70000}"/>
    <cellStyle name="Normal 13 3 2 2 3 4 2" xfId="45847" xr:uid="{00000000-0005-0000-0000-0000B5B70000}"/>
    <cellStyle name="Normal 13 3 2 2 3 5" xfId="31348" xr:uid="{00000000-0005-0000-0000-0000B6B70000}"/>
    <cellStyle name="Normal 13 3 2 2 4" xfId="3315" xr:uid="{00000000-0005-0000-0000-0000B7B70000}"/>
    <cellStyle name="Normal 13 3 2 2 4 2" xfId="6419" xr:uid="{00000000-0005-0000-0000-0000B8B70000}"/>
    <cellStyle name="Normal 13 3 2 2 4 2 2" xfId="13691" xr:uid="{00000000-0005-0000-0000-0000B9B70000}"/>
    <cellStyle name="Normal 13 3 2 2 4 2 2 2" xfId="28225" xr:uid="{00000000-0005-0000-0000-0000BAB70000}"/>
    <cellStyle name="Normal 13 3 2 2 4 2 2 2 2" xfId="57231" xr:uid="{00000000-0005-0000-0000-0000BBB70000}"/>
    <cellStyle name="Normal 13 3 2 2 4 2 2 3" xfId="42732" xr:uid="{00000000-0005-0000-0000-0000BCB70000}"/>
    <cellStyle name="Normal 13 3 2 2 4 2 3" xfId="20977" xr:uid="{00000000-0005-0000-0000-0000BDB70000}"/>
    <cellStyle name="Normal 13 3 2 2 4 2 3 2" xfId="49983" xr:uid="{00000000-0005-0000-0000-0000BEB70000}"/>
    <cellStyle name="Normal 13 3 2 2 4 2 4" xfId="35484" xr:uid="{00000000-0005-0000-0000-0000BFB70000}"/>
    <cellStyle name="Normal 13 3 2 2 4 3" xfId="10587" xr:uid="{00000000-0005-0000-0000-0000C0B70000}"/>
    <cellStyle name="Normal 13 3 2 2 4 3 2" xfId="25121" xr:uid="{00000000-0005-0000-0000-0000C1B70000}"/>
    <cellStyle name="Normal 13 3 2 2 4 3 2 2" xfId="54127" xr:uid="{00000000-0005-0000-0000-0000C2B70000}"/>
    <cellStyle name="Normal 13 3 2 2 4 3 3" xfId="39628" xr:uid="{00000000-0005-0000-0000-0000C3B70000}"/>
    <cellStyle name="Normal 13 3 2 2 4 4" xfId="17873" xr:uid="{00000000-0005-0000-0000-0000C4B70000}"/>
    <cellStyle name="Normal 13 3 2 2 4 4 2" xfId="46879" xr:uid="{00000000-0005-0000-0000-0000C5B70000}"/>
    <cellStyle name="Normal 13 3 2 2 4 5" xfId="32380" xr:uid="{00000000-0005-0000-0000-0000C6B70000}"/>
    <cellStyle name="Normal 13 3 2 2 5" xfId="4347" xr:uid="{00000000-0005-0000-0000-0000C7B70000}"/>
    <cellStyle name="Normal 13 3 2 2 5 2" xfId="11619" xr:uid="{00000000-0005-0000-0000-0000C8B70000}"/>
    <cellStyle name="Normal 13 3 2 2 5 2 2" xfId="26153" xr:uid="{00000000-0005-0000-0000-0000C9B70000}"/>
    <cellStyle name="Normal 13 3 2 2 5 2 2 2" xfId="55159" xr:uid="{00000000-0005-0000-0000-0000CAB70000}"/>
    <cellStyle name="Normal 13 3 2 2 5 2 3" xfId="40660" xr:uid="{00000000-0005-0000-0000-0000CBB70000}"/>
    <cellStyle name="Normal 13 3 2 2 5 3" xfId="18905" xr:uid="{00000000-0005-0000-0000-0000CCB70000}"/>
    <cellStyle name="Normal 13 3 2 2 5 3 2" xfId="47911" xr:uid="{00000000-0005-0000-0000-0000CDB70000}"/>
    <cellStyle name="Normal 13 3 2 2 5 4" xfId="33412" xr:uid="{00000000-0005-0000-0000-0000CEB70000}"/>
    <cellStyle name="Normal 13 3 2 2 6" xfId="7451" xr:uid="{00000000-0005-0000-0000-0000CFB70000}"/>
    <cellStyle name="Normal 13 3 2 2 6 2" xfId="14723" xr:uid="{00000000-0005-0000-0000-0000D0B70000}"/>
    <cellStyle name="Normal 13 3 2 2 6 2 2" xfId="29257" xr:uid="{00000000-0005-0000-0000-0000D1B70000}"/>
    <cellStyle name="Normal 13 3 2 2 6 2 2 2" xfId="58263" xr:uid="{00000000-0005-0000-0000-0000D2B70000}"/>
    <cellStyle name="Normal 13 3 2 2 6 2 3" xfId="43764" xr:uid="{00000000-0005-0000-0000-0000D3B70000}"/>
    <cellStyle name="Normal 13 3 2 2 6 3" xfId="22009" xr:uid="{00000000-0005-0000-0000-0000D4B70000}"/>
    <cellStyle name="Normal 13 3 2 2 6 3 2" xfId="51015" xr:uid="{00000000-0005-0000-0000-0000D5B70000}"/>
    <cellStyle name="Normal 13 3 2 2 6 4" xfId="36516" xr:uid="{00000000-0005-0000-0000-0000D6B70000}"/>
    <cellStyle name="Normal 13 3 2 2 7" xfId="8515" xr:uid="{00000000-0005-0000-0000-0000D7B70000}"/>
    <cellStyle name="Normal 13 3 2 2 7 2" xfId="23049" xr:uid="{00000000-0005-0000-0000-0000D8B70000}"/>
    <cellStyle name="Normal 13 3 2 2 7 2 2" xfId="52055" xr:uid="{00000000-0005-0000-0000-0000D9B70000}"/>
    <cellStyle name="Normal 13 3 2 2 7 3" xfId="37556" xr:uid="{00000000-0005-0000-0000-0000DAB70000}"/>
    <cellStyle name="Normal 13 3 2 2 8" xfId="15801" xr:uid="{00000000-0005-0000-0000-0000DBB70000}"/>
    <cellStyle name="Normal 13 3 2 2 8 2" xfId="44807" xr:uid="{00000000-0005-0000-0000-0000DCB70000}"/>
    <cellStyle name="Normal 13 3 2 2 9" xfId="30308" xr:uid="{00000000-0005-0000-0000-0000DDB70000}"/>
    <cellStyle name="Normal 13 3 2 3" xfId="1431" xr:uid="{00000000-0005-0000-0000-0000DEB70000}"/>
    <cellStyle name="Normal 13 3 2 3 2" xfId="2489" xr:uid="{00000000-0005-0000-0000-0000DFB70000}"/>
    <cellStyle name="Normal 13 3 2 3 2 2" xfId="5593" xr:uid="{00000000-0005-0000-0000-0000E0B70000}"/>
    <cellStyle name="Normal 13 3 2 3 2 2 2" xfId="12865" xr:uid="{00000000-0005-0000-0000-0000E1B70000}"/>
    <cellStyle name="Normal 13 3 2 3 2 2 2 2" xfId="27399" xr:uid="{00000000-0005-0000-0000-0000E2B70000}"/>
    <cellStyle name="Normal 13 3 2 3 2 2 2 2 2" xfId="56405" xr:uid="{00000000-0005-0000-0000-0000E3B70000}"/>
    <cellStyle name="Normal 13 3 2 3 2 2 2 3" xfId="41906" xr:uid="{00000000-0005-0000-0000-0000E4B70000}"/>
    <cellStyle name="Normal 13 3 2 3 2 2 3" xfId="20151" xr:uid="{00000000-0005-0000-0000-0000E5B70000}"/>
    <cellStyle name="Normal 13 3 2 3 2 2 3 2" xfId="49157" xr:uid="{00000000-0005-0000-0000-0000E6B70000}"/>
    <cellStyle name="Normal 13 3 2 3 2 2 4" xfId="34658" xr:uid="{00000000-0005-0000-0000-0000E7B70000}"/>
    <cellStyle name="Normal 13 3 2 3 2 3" xfId="9761" xr:uid="{00000000-0005-0000-0000-0000E8B70000}"/>
    <cellStyle name="Normal 13 3 2 3 2 3 2" xfId="24295" xr:uid="{00000000-0005-0000-0000-0000E9B70000}"/>
    <cellStyle name="Normal 13 3 2 3 2 3 2 2" xfId="53301" xr:uid="{00000000-0005-0000-0000-0000EAB70000}"/>
    <cellStyle name="Normal 13 3 2 3 2 3 3" xfId="38802" xr:uid="{00000000-0005-0000-0000-0000EBB70000}"/>
    <cellStyle name="Normal 13 3 2 3 2 4" xfId="17047" xr:uid="{00000000-0005-0000-0000-0000ECB70000}"/>
    <cellStyle name="Normal 13 3 2 3 2 4 2" xfId="46053" xr:uid="{00000000-0005-0000-0000-0000EDB70000}"/>
    <cellStyle name="Normal 13 3 2 3 2 5" xfId="31554" xr:uid="{00000000-0005-0000-0000-0000EEB70000}"/>
    <cellStyle name="Normal 13 3 2 3 3" xfId="3521" xr:uid="{00000000-0005-0000-0000-0000EFB70000}"/>
    <cellStyle name="Normal 13 3 2 3 3 2" xfId="6625" xr:uid="{00000000-0005-0000-0000-0000F0B70000}"/>
    <cellStyle name="Normal 13 3 2 3 3 2 2" xfId="13897" xr:uid="{00000000-0005-0000-0000-0000F1B70000}"/>
    <cellStyle name="Normal 13 3 2 3 3 2 2 2" xfId="28431" xr:uid="{00000000-0005-0000-0000-0000F2B70000}"/>
    <cellStyle name="Normal 13 3 2 3 3 2 2 2 2" xfId="57437" xr:uid="{00000000-0005-0000-0000-0000F3B70000}"/>
    <cellStyle name="Normal 13 3 2 3 3 2 2 3" xfId="42938" xr:uid="{00000000-0005-0000-0000-0000F4B70000}"/>
    <cellStyle name="Normal 13 3 2 3 3 2 3" xfId="21183" xr:uid="{00000000-0005-0000-0000-0000F5B70000}"/>
    <cellStyle name="Normal 13 3 2 3 3 2 3 2" xfId="50189" xr:uid="{00000000-0005-0000-0000-0000F6B70000}"/>
    <cellStyle name="Normal 13 3 2 3 3 2 4" xfId="35690" xr:uid="{00000000-0005-0000-0000-0000F7B70000}"/>
    <cellStyle name="Normal 13 3 2 3 3 3" xfId="10793" xr:uid="{00000000-0005-0000-0000-0000F8B70000}"/>
    <cellStyle name="Normal 13 3 2 3 3 3 2" xfId="25327" xr:uid="{00000000-0005-0000-0000-0000F9B70000}"/>
    <cellStyle name="Normal 13 3 2 3 3 3 2 2" xfId="54333" xr:uid="{00000000-0005-0000-0000-0000FAB70000}"/>
    <cellStyle name="Normal 13 3 2 3 3 3 3" xfId="39834" xr:uid="{00000000-0005-0000-0000-0000FBB70000}"/>
    <cellStyle name="Normal 13 3 2 3 3 4" xfId="18079" xr:uid="{00000000-0005-0000-0000-0000FCB70000}"/>
    <cellStyle name="Normal 13 3 2 3 3 4 2" xfId="47085" xr:uid="{00000000-0005-0000-0000-0000FDB70000}"/>
    <cellStyle name="Normal 13 3 2 3 3 5" xfId="32586" xr:uid="{00000000-0005-0000-0000-0000FEB70000}"/>
    <cellStyle name="Normal 13 3 2 3 4" xfId="4553" xr:uid="{00000000-0005-0000-0000-0000FFB70000}"/>
    <cellStyle name="Normal 13 3 2 3 4 2" xfId="11825" xr:uid="{00000000-0005-0000-0000-000000B80000}"/>
    <cellStyle name="Normal 13 3 2 3 4 2 2" xfId="26359" xr:uid="{00000000-0005-0000-0000-000001B80000}"/>
    <cellStyle name="Normal 13 3 2 3 4 2 2 2" xfId="55365" xr:uid="{00000000-0005-0000-0000-000002B80000}"/>
    <cellStyle name="Normal 13 3 2 3 4 2 3" xfId="40866" xr:uid="{00000000-0005-0000-0000-000003B80000}"/>
    <cellStyle name="Normal 13 3 2 3 4 3" xfId="19111" xr:uid="{00000000-0005-0000-0000-000004B80000}"/>
    <cellStyle name="Normal 13 3 2 3 4 3 2" xfId="48117" xr:uid="{00000000-0005-0000-0000-000005B80000}"/>
    <cellStyle name="Normal 13 3 2 3 4 4" xfId="33618" xr:uid="{00000000-0005-0000-0000-000006B80000}"/>
    <cellStyle name="Normal 13 3 2 3 5" xfId="7657" xr:uid="{00000000-0005-0000-0000-000007B80000}"/>
    <cellStyle name="Normal 13 3 2 3 5 2" xfId="14929" xr:uid="{00000000-0005-0000-0000-000008B80000}"/>
    <cellStyle name="Normal 13 3 2 3 5 2 2" xfId="29463" xr:uid="{00000000-0005-0000-0000-000009B80000}"/>
    <cellStyle name="Normal 13 3 2 3 5 2 2 2" xfId="58469" xr:uid="{00000000-0005-0000-0000-00000AB80000}"/>
    <cellStyle name="Normal 13 3 2 3 5 2 3" xfId="43970" xr:uid="{00000000-0005-0000-0000-00000BB80000}"/>
    <cellStyle name="Normal 13 3 2 3 5 3" xfId="22215" xr:uid="{00000000-0005-0000-0000-00000CB80000}"/>
    <cellStyle name="Normal 13 3 2 3 5 3 2" xfId="51221" xr:uid="{00000000-0005-0000-0000-00000DB80000}"/>
    <cellStyle name="Normal 13 3 2 3 5 4" xfId="36722" xr:uid="{00000000-0005-0000-0000-00000EB80000}"/>
    <cellStyle name="Normal 13 3 2 3 6" xfId="8721" xr:uid="{00000000-0005-0000-0000-00000FB80000}"/>
    <cellStyle name="Normal 13 3 2 3 6 2" xfId="23255" xr:uid="{00000000-0005-0000-0000-000010B80000}"/>
    <cellStyle name="Normal 13 3 2 3 6 2 2" xfId="52261" xr:uid="{00000000-0005-0000-0000-000011B80000}"/>
    <cellStyle name="Normal 13 3 2 3 6 3" xfId="37762" xr:uid="{00000000-0005-0000-0000-000012B80000}"/>
    <cellStyle name="Normal 13 3 2 3 7" xfId="16007" xr:uid="{00000000-0005-0000-0000-000013B80000}"/>
    <cellStyle name="Normal 13 3 2 3 7 2" xfId="45013" xr:uid="{00000000-0005-0000-0000-000014B80000}"/>
    <cellStyle name="Normal 13 3 2 3 8" xfId="30514" xr:uid="{00000000-0005-0000-0000-000015B80000}"/>
    <cellStyle name="Normal 13 3 2 4" xfId="1977" xr:uid="{00000000-0005-0000-0000-000016B80000}"/>
    <cellStyle name="Normal 13 3 2 4 2" xfId="5081" xr:uid="{00000000-0005-0000-0000-000017B80000}"/>
    <cellStyle name="Normal 13 3 2 4 2 2" xfId="12353" xr:uid="{00000000-0005-0000-0000-000018B80000}"/>
    <cellStyle name="Normal 13 3 2 4 2 2 2" xfId="26887" xr:uid="{00000000-0005-0000-0000-000019B80000}"/>
    <cellStyle name="Normal 13 3 2 4 2 2 2 2" xfId="55893" xr:uid="{00000000-0005-0000-0000-00001AB80000}"/>
    <cellStyle name="Normal 13 3 2 4 2 2 3" xfId="41394" xr:uid="{00000000-0005-0000-0000-00001BB80000}"/>
    <cellStyle name="Normal 13 3 2 4 2 3" xfId="19639" xr:uid="{00000000-0005-0000-0000-00001CB80000}"/>
    <cellStyle name="Normal 13 3 2 4 2 3 2" xfId="48645" xr:uid="{00000000-0005-0000-0000-00001DB80000}"/>
    <cellStyle name="Normal 13 3 2 4 2 4" xfId="34146" xr:uid="{00000000-0005-0000-0000-00001EB80000}"/>
    <cellStyle name="Normal 13 3 2 4 3" xfId="9249" xr:uid="{00000000-0005-0000-0000-00001FB80000}"/>
    <cellStyle name="Normal 13 3 2 4 3 2" xfId="23783" xr:uid="{00000000-0005-0000-0000-000020B80000}"/>
    <cellStyle name="Normal 13 3 2 4 3 2 2" xfId="52789" xr:uid="{00000000-0005-0000-0000-000021B80000}"/>
    <cellStyle name="Normal 13 3 2 4 3 3" xfId="38290" xr:uid="{00000000-0005-0000-0000-000022B80000}"/>
    <cellStyle name="Normal 13 3 2 4 4" xfId="16535" xr:uid="{00000000-0005-0000-0000-000023B80000}"/>
    <cellStyle name="Normal 13 3 2 4 4 2" xfId="45541" xr:uid="{00000000-0005-0000-0000-000024B80000}"/>
    <cellStyle name="Normal 13 3 2 4 5" xfId="31042" xr:uid="{00000000-0005-0000-0000-000025B80000}"/>
    <cellStyle name="Normal 13 3 2 5" xfId="3009" xr:uid="{00000000-0005-0000-0000-000026B80000}"/>
    <cellStyle name="Normal 13 3 2 5 2" xfId="6113" xr:uid="{00000000-0005-0000-0000-000027B80000}"/>
    <cellStyle name="Normal 13 3 2 5 2 2" xfId="13385" xr:uid="{00000000-0005-0000-0000-000028B80000}"/>
    <cellStyle name="Normal 13 3 2 5 2 2 2" xfId="27919" xr:uid="{00000000-0005-0000-0000-000029B80000}"/>
    <cellStyle name="Normal 13 3 2 5 2 2 2 2" xfId="56925" xr:uid="{00000000-0005-0000-0000-00002AB80000}"/>
    <cellStyle name="Normal 13 3 2 5 2 2 3" xfId="42426" xr:uid="{00000000-0005-0000-0000-00002BB80000}"/>
    <cellStyle name="Normal 13 3 2 5 2 3" xfId="20671" xr:uid="{00000000-0005-0000-0000-00002CB80000}"/>
    <cellStyle name="Normal 13 3 2 5 2 3 2" xfId="49677" xr:uid="{00000000-0005-0000-0000-00002DB80000}"/>
    <cellStyle name="Normal 13 3 2 5 2 4" xfId="35178" xr:uid="{00000000-0005-0000-0000-00002EB80000}"/>
    <cellStyle name="Normal 13 3 2 5 3" xfId="10281" xr:uid="{00000000-0005-0000-0000-00002FB80000}"/>
    <cellStyle name="Normal 13 3 2 5 3 2" xfId="24815" xr:uid="{00000000-0005-0000-0000-000030B80000}"/>
    <cellStyle name="Normal 13 3 2 5 3 2 2" xfId="53821" xr:uid="{00000000-0005-0000-0000-000031B80000}"/>
    <cellStyle name="Normal 13 3 2 5 3 3" xfId="39322" xr:uid="{00000000-0005-0000-0000-000032B80000}"/>
    <cellStyle name="Normal 13 3 2 5 4" xfId="17567" xr:uid="{00000000-0005-0000-0000-000033B80000}"/>
    <cellStyle name="Normal 13 3 2 5 4 2" xfId="46573" xr:uid="{00000000-0005-0000-0000-000034B80000}"/>
    <cellStyle name="Normal 13 3 2 5 5" xfId="32074" xr:uid="{00000000-0005-0000-0000-000035B80000}"/>
    <cellStyle name="Normal 13 3 2 6" xfId="4041" xr:uid="{00000000-0005-0000-0000-000036B80000}"/>
    <cellStyle name="Normal 13 3 2 6 2" xfId="11313" xr:uid="{00000000-0005-0000-0000-000037B80000}"/>
    <cellStyle name="Normal 13 3 2 6 2 2" xfId="25847" xr:uid="{00000000-0005-0000-0000-000038B80000}"/>
    <cellStyle name="Normal 13 3 2 6 2 2 2" xfId="54853" xr:uid="{00000000-0005-0000-0000-000039B80000}"/>
    <cellStyle name="Normal 13 3 2 6 2 3" xfId="40354" xr:uid="{00000000-0005-0000-0000-00003AB80000}"/>
    <cellStyle name="Normal 13 3 2 6 3" xfId="18599" xr:uid="{00000000-0005-0000-0000-00003BB80000}"/>
    <cellStyle name="Normal 13 3 2 6 3 2" xfId="47605" xr:uid="{00000000-0005-0000-0000-00003CB80000}"/>
    <cellStyle name="Normal 13 3 2 6 4" xfId="33106" xr:uid="{00000000-0005-0000-0000-00003DB80000}"/>
    <cellStyle name="Normal 13 3 2 7" xfId="7145" xr:uid="{00000000-0005-0000-0000-00003EB80000}"/>
    <cellStyle name="Normal 13 3 2 7 2" xfId="14417" xr:uid="{00000000-0005-0000-0000-00003FB80000}"/>
    <cellStyle name="Normal 13 3 2 7 2 2" xfId="28951" xr:uid="{00000000-0005-0000-0000-000040B80000}"/>
    <cellStyle name="Normal 13 3 2 7 2 2 2" xfId="57957" xr:uid="{00000000-0005-0000-0000-000041B80000}"/>
    <cellStyle name="Normal 13 3 2 7 2 3" xfId="43458" xr:uid="{00000000-0005-0000-0000-000042B80000}"/>
    <cellStyle name="Normal 13 3 2 7 3" xfId="21703" xr:uid="{00000000-0005-0000-0000-000043B80000}"/>
    <cellStyle name="Normal 13 3 2 7 3 2" xfId="50709" xr:uid="{00000000-0005-0000-0000-000044B80000}"/>
    <cellStyle name="Normal 13 3 2 7 4" xfId="36210" xr:uid="{00000000-0005-0000-0000-000045B80000}"/>
    <cellStyle name="Normal 13 3 2 8" xfId="8209" xr:uid="{00000000-0005-0000-0000-000046B80000}"/>
    <cellStyle name="Normal 13 3 2 8 2" xfId="22743" xr:uid="{00000000-0005-0000-0000-000047B80000}"/>
    <cellStyle name="Normal 13 3 2 8 2 2" xfId="51749" xr:uid="{00000000-0005-0000-0000-000048B80000}"/>
    <cellStyle name="Normal 13 3 2 8 3" xfId="37250" xr:uid="{00000000-0005-0000-0000-000049B80000}"/>
    <cellStyle name="Normal 13 3 2 9" xfId="15495" xr:uid="{00000000-0005-0000-0000-00004AB80000}"/>
    <cellStyle name="Normal 13 3 2 9 2" xfId="44501" xr:uid="{00000000-0005-0000-0000-00004BB80000}"/>
    <cellStyle name="Normal 13 3 3" xfId="1135" xr:uid="{00000000-0005-0000-0000-00004CB80000}"/>
    <cellStyle name="Normal 13 3 3 2" xfId="1633" xr:uid="{00000000-0005-0000-0000-00004DB80000}"/>
    <cellStyle name="Normal 13 3 3 2 2" xfId="2692" xr:uid="{00000000-0005-0000-0000-00004EB80000}"/>
    <cellStyle name="Normal 13 3 3 2 2 2" xfId="5796" xr:uid="{00000000-0005-0000-0000-00004FB80000}"/>
    <cellStyle name="Normal 13 3 3 2 2 2 2" xfId="13068" xr:uid="{00000000-0005-0000-0000-000050B80000}"/>
    <cellStyle name="Normal 13 3 3 2 2 2 2 2" xfId="27602" xr:uid="{00000000-0005-0000-0000-000051B80000}"/>
    <cellStyle name="Normal 13 3 3 2 2 2 2 2 2" xfId="56608" xr:uid="{00000000-0005-0000-0000-000052B80000}"/>
    <cellStyle name="Normal 13 3 3 2 2 2 2 3" xfId="42109" xr:uid="{00000000-0005-0000-0000-000053B80000}"/>
    <cellStyle name="Normal 13 3 3 2 2 2 3" xfId="20354" xr:uid="{00000000-0005-0000-0000-000054B80000}"/>
    <cellStyle name="Normal 13 3 3 2 2 2 3 2" xfId="49360" xr:uid="{00000000-0005-0000-0000-000055B80000}"/>
    <cellStyle name="Normal 13 3 3 2 2 2 4" xfId="34861" xr:uid="{00000000-0005-0000-0000-000056B80000}"/>
    <cellStyle name="Normal 13 3 3 2 2 3" xfId="9964" xr:uid="{00000000-0005-0000-0000-000057B80000}"/>
    <cellStyle name="Normal 13 3 3 2 2 3 2" xfId="24498" xr:uid="{00000000-0005-0000-0000-000058B80000}"/>
    <cellStyle name="Normal 13 3 3 2 2 3 2 2" xfId="53504" xr:uid="{00000000-0005-0000-0000-000059B80000}"/>
    <cellStyle name="Normal 13 3 3 2 2 3 3" xfId="39005" xr:uid="{00000000-0005-0000-0000-00005AB80000}"/>
    <cellStyle name="Normal 13 3 3 2 2 4" xfId="17250" xr:uid="{00000000-0005-0000-0000-00005BB80000}"/>
    <cellStyle name="Normal 13 3 3 2 2 4 2" xfId="46256" xr:uid="{00000000-0005-0000-0000-00005CB80000}"/>
    <cellStyle name="Normal 13 3 3 2 2 5" xfId="31757" xr:uid="{00000000-0005-0000-0000-00005DB80000}"/>
    <cellStyle name="Normal 13 3 3 2 3" xfId="3724" xr:uid="{00000000-0005-0000-0000-00005EB80000}"/>
    <cellStyle name="Normal 13 3 3 2 3 2" xfId="6828" xr:uid="{00000000-0005-0000-0000-00005FB80000}"/>
    <cellStyle name="Normal 13 3 3 2 3 2 2" xfId="14100" xr:uid="{00000000-0005-0000-0000-000060B80000}"/>
    <cellStyle name="Normal 13 3 3 2 3 2 2 2" xfId="28634" xr:uid="{00000000-0005-0000-0000-000061B80000}"/>
    <cellStyle name="Normal 13 3 3 2 3 2 2 2 2" xfId="57640" xr:uid="{00000000-0005-0000-0000-000062B80000}"/>
    <cellStyle name="Normal 13 3 3 2 3 2 2 3" xfId="43141" xr:uid="{00000000-0005-0000-0000-000063B80000}"/>
    <cellStyle name="Normal 13 3 3 2 3 2 3" xfId="21386" xr:uid="{00000000-0005-0000-0000-000064B80000}"/>
    <cellStyle name="Normal 13 3 3 2 3 2 3 2" xfId="50392" xr:uid="{00000000-0005-0000-0000-000065B80000}"/>
    <cellStyle name="Normal 13 3 3 2 3 2 4" xfId="35893" xr:uid="{00000000-0005-0000-0000-000066B80000}"/>
    <cellStyle name="Normal 13 3 3 2 3 3" xfId="10996" xr:uid="{00000000-0005-0000-0000-000067B80000}"/>
    <cellStyle name="Normal 13 3 3 2 3 3 2" xfId="25530" xr:uid="{00000000-0005-0000-0000-000068B80000}"/>
    <cellStyle name="Normal 13 3 3 2 3 3 2 2" xfId="54536" xr:uid="{00000000-0005-0000-0000-000069B80000}"/>
    <cellStyle name="Normal 13 3 3 2 3 3 3" xfId="40037" xr:uid="{00000000-0005-0000-0000-00006AB80000}"/>
    <cellStyle name="Normal 13 3 3 2 3 4" xfId="18282" xr:uid="{00000000-0005-0000-0000-00006BB80000}"/>
    <cellStyle name="Normal 13 3 3 2 3 4 2" xfId="47288" xr:uid="{00000000-0005-0000-0000-00006CB80000}"/>
    <cellStyle name="Normal 13 3 3 2 3 5" xfId="32789" xr:uid="{00000000-0005-0000-0000-00006DB80000}"/>
    <cellStyle name="Normal 13 3 3 2 4" xfId="4756" xr:uid="{00000000-0005-0000-0000-00006EB80000}"/>
    <cellStyle name="Normal 13 3 3 2 4 2" xfId="12028" xr:uid="{00000000-0005-0000-0000-00006FB80000}"/>
    <cellStyle name="Normal 13 3 3 2 4 2 2" xfId="26562" xr:uid="{00000000-0005-0000-0000-000070B80000}"/>
    <cellStyle name="Normal 13 3 3 2 4 2 2 2" xfId="55568" xr:uid="{00000000-0005-0000-0000-000071B80000}"/>
    <cellStyle name="Normal 13 3 3 2 4 2 3" xfId="41069" xr:uid="{00000000-0005-0000-0000-000072B80000}"/>
    <cellStyle name="Normal 13 3 3 2 4 3" xfId="19314" xr:uid="{00000000-0005-0000-0000-000073B80000}"/>
    <cellStyle name="Normal 13 3 3 2 4 3 2" xfId="48320" xr:uid="{00000000-0005-0000-0000-000074B80000}"/>
    <cellStyle name="Normal 13 3 3 2 4 4" xfId="33821" xr:uid="{00000000-0005-0000-0000-000075B80000}"/>
    <cellStyle name="Normal 13 3 3 2 5" xfId="7860" xr:uid="{00000000-0005-0000-0000-000076B80000}"/>
    <cellStyle name="Normal 13 3 3 2 5 2" xfId="15132" xr:uid="{00000000-0005-0000-0000-000077B80000}"/>
    <cellStyle name="Normal 13 3 3 2 5 2 2" xfId="29666" xr:uid="{00000000-0005-0000-0000-000078B80000}"/>
    <cellStyle name="Normal 13 3 3 2 5 2 2 2" xfId="58672" xr:uid="{00000000-0005-0000-0000-000079B80000}"/>
    <cellStyle name="Normal 13 3 3 2 5 2 3" xfId="44173" xr:uid="{00000000-0005-0000-0000-00007AB80000}"/>
    <cellStyle name="Normal 13 3 3 2 5 3" xfId="22418" xr:uid="{00000000-0005-0000-0000-00007BB80000}"/>
    <cellStyle name="Normal 13 3 3 2 5 3 2" xfId="51424" xr:uid="{00000000-0005-0000-0000-00007CB80000}"/>
    <cellStyle name="Normal 13 3 3 2 5 4" xfId="36925" xr:uid="{00000000-0005-0000-0000-00007DB80000}"/>
    <cellStyle name="Normal 13 3 3 2 6" xfId="8924" xr:uid="{00000000-0005-0000-0000-00007EB80000}"/>
    <cellStyle name="Normal 13 3 3 2 6 2" xfId="23458" xr:uid="{00000000-0005-0000-0000-00007FB80000}"/>
    <cellStyle name="Normal 13 3 3 2 6 2 2" xfId="52464" xr:uid="{00000000-0005-0000-0000-000080B80000}"/>
    <cellStyle name="Normal 13 3 3 2 6 3" xfId="37965" xr:uid="{00000000-0005-0000-0000-000081B80000}"/>
    <cellStyle name="Normal 13 3 3 2 7" xfId="16210" xr:uid="{00000000-0005-0000-0000-000082B80000}"/>
    <cellStyle name="Normal 13 3 3 2 7 2" xfId="45216" xr:uid="{00000000-0005-0000-0000-000083B80000}"/>
    <cellStyle name="Normal 13 3 3 2 8" xfId="30717" xr:uid="{00000000-0005-0000-0000-000084B80000}"/>
    <cellStyle name="Normal 13 3 3 3" xfId="2180" xr:uid="{00000000-0005-0000-0000-000085B80000}"/>
    <cellStyle name="Normal 13 3 3 3 2" xfId="5284" xr:uid="{00000000-0005-0000-0000-000086B80000}"/>
    <cellStyle name="Normal 13 3 3 3 2 2" xfId="12556" xr:uid="{00000000-0005-0000-0000-000087B80000}"/>
    <cellStyle name="Normal 13 3 3 3 2 2 2" xfId="27090" xr:uid="{00000000-0005-0000-0000-000088B80000}"/>
    <cellStyle name="Normal 13 3 3 3 2 2 2 2" xfId="56096" xr:uid="{00000000-0005-0000-0000-000089B80000}"/>
    <cellStyle name="Normal 13 3 3 3 2 2 3" xfId="41597" xr:uid="{00000000-0005-0000-0000-00008AB80000}"/>
    <cellStyle name="Normal 13 3 3 3 2 3" xfId="19842" xr:uid="{00000000-0005-0000-0000-00008BB80000}"/>
    <cellStyle name="Normal 13 3 3 3 2 3 2" xfId="48848" xr:uid="{00000000-0005-0000-0000-00008CB80000}"/>
    <cellStyle name="Normal 13 3 3 3 2 4" xfId="34349" xr:uid="{00000000-0005-0000-0000-00008DB80000}"/>
    <cellStyle name="Normal 13 3 3 3 3" xfId="9452" xr:uid="{00000000-0005-0000-0000-00008EB80000}"/>
    <cellStyle name="Normal 13 3 3 3 3 2" xfId="23986" xr:uid="{00000000-0005-0000-0000-00008FB80000}"/>
    <cellStyle name="Normal 13 3 3 3 3 2 2" xfId="52992" xr:uid="{00000000-0005-0000-0000-000090B80000}"/>
    <cellStyle name="Normal 13 3 3 3 3 3" xfId="38493" xr:uid="{00000000-0005-0000-0000-000091B80000}"/>
    <cellStyle name="Normal 13 3 3 3 4" xfId="16738" xr:uid="{00000000-0005-0000-0000-000092B80000}"/>
    <cellStyle name="Normal 13 3 3 3 4 2" xfId="45744" xr:uid="{00000000-0005-0000-0000-000093B80000}"/>
    <cellStyle name="Normal 13 3 3 3 5" xfId="31245" xr:uid="{00000000-0005-0000-0000-000094B80000}"/>
    <cellStyle name="Normal 13 3 3 4" xfId="3212" xr:uid="{00000000-0005-0000-0000-000095B80000}"/>
    <cellStyle name="Normal 13 3 3 4 2" xfId="6316" xr:uid="{00000000-0005-0000-0000-000096B80000}"/>
    <cellStyle name="Normal 13 3 3 4 2 2" xfId="13588" xr:uid="{00000000-0005-0000-0000-000097B80000}"/>
    <cellStyle name="Normal 13 3 3 4 2 2 2" xfId="28122" xr:uid="{00000000-0005-0000-0000-000098B80000}"/>
    <cellStyle name="Normal 13 3 3 4 2 2 2 2" xfId="57128" xr:uid="{00000000-0005-0000-0000-000099B80000}"/>
    <cellStyle name="Normal 13 3 3 4 2 2 3" xfId="42629" xr:uid="{00000000-0005-0000-0000-00009AB80000}"/>
    <cellStyle name="Normal 13 3 3 4 2 3" xfId="20874" xr:uid="{00000000-0005-0000-0000-00009BB80000}"/>
    <cellStyle name="Normal 13 3 3 4 2 3 2" xfId="49880" xr:uid="{00000000-0005-0000-0000-00009CB80000}"/>
    <cellStyle name="Normal 13 3 3 4 2 4" xfId="35381" xr:uid="{00000000-0005-0000-0000-00009DB80000}"/>
    <cellStyle name="Normal 13 3 3 4 3" xfId="10484" xr:uid="{00000000-0005-0000-0000-00009EB80000}"/>
    <cellStyle name="Normal 13 3 3 4 3 2" xfId="25018" xr:uid="{00000000-0005-0000-0000-00009FB80000}"/>
    <cellStyle name="Normal 13 3 3 4 3 2 2" xfId="54024" xr:uid="{00000000-0005-0000-0000-0000A0B80000}"/>
    <cellStyle name="Normal 13 3 3 4 3 3" xfId="39525" xr:uid="{00000000-0005-0000-0000-0000A1B80000}"/>
    <cellStyle name="Normal 13 3 3 4 4" xfId="17770" xr:uid="{00000000-0005-0000-0000-0000A2B80000}"/>
    <cellStyle name="Normal 13 3 3 4 4 2" xfId="46776" xr:uid="{00000000-0005-0000-0000-0000A3B80000}"/>
    <cellStyle name="Normal 13 3 3 4 5" xfId="32277" xr:uid="{00000000-0005-0000-0000-0000A4B80000}"/>
    <cellStyle name="Normal 13 3 3 5" xfId="4244" xr:uid="{00000000-0005-0000-0000-0000A5B80000}"/>
    <cellStyle name="Normal 13 3 3 5 2" xfId="11516" xr:uid="{00000000-0005-0000-0000-0000A6B80000}"/>
    <cellStyle name="Normal 13 3 3 5 2 2" xfId="26050" xr:uid="{00000000-0005-0000-0000-0000A7B80000}"/>
    <cellStyle name="Normal 13 3 3 5 2 2 2" xfId="55056" xr:uid="{00000000-0005-0000-0000-0000A8B80000}"/>
    <cellStyle name="Normal 13 3 3 5 2 3" xfId="40557" xr:uid="{00000000-0005-0000-0000-0000A9B80000}"/>
    <cellStyle name="Normal 13 3 3 5 3" xfId="18802" xr:uid="{00000000-0005-0000-0000-0000AAB80000}"/>
    <cellStyle name="Normal 13 3 3 5 3 2" xfId="47808" xr:uid="{00000000-0005-0000-0000-0000ABB80000}"/>
    <cellStyle name="Normal 13 3 3 5 4" xfId="33309" xr:uid="{00000000-0005-0000-0000-0000ACB80000}"/>
    <cellStyle name="Normal 13 3 3 6" xfId="7348" xr:uid="{00000000-0005-0000-0000-0000ADB80000}"/>
    <cellStyle name="Normal 13 3 3 6 2" xfId="14620" xr:uid="{00000000-0005-0000-0000-0000AEB80000}"/>
    <cellStyle name="Normal 13 3 3 6 2 2" xfId="29154" xr:uid="{00000000-0005-0000-0000-0000AFB80000}"/>
    <cellStyle name="Normal 13 3 3 6 2 2 2" xfId="58160" xr:uid="{00000000-0005-0000-0000-0000B0B80000}"/>
    <cellStyle name="Normal 13 3 3 6 2 3" xfId="43661" xr:uid="{00000000-0005-0000-0000-0000B1B80000}"/>
    <cellStyle name="Normal 13 3 3 6 3" xfId="21906" xr:uid="{00000000-0005-0000-0000-0000B2B80000}"/>
    <cellStyle name="Normal 13 3 3 6 3 2" xfId="50912" xr:uid="{00000000-0005-0000-0000-0000B3B80000}"/>
    <cellStyle name="Normal 13 3 3 6 4" xfId="36413" xr:uid="{00000000-0005-0000-0000-0000B4B80000}"/>
    <cellStyle name="Normal 13 3 3 7" xfId="8412" xr:uid="{00000000-0005-0000-0000-0000B5B80000}"/>
    <cellStyle name="Normal 13 3 3 7 2" xfId="22946" xr:uid="{00000000-0005-0000-0000-0000B6B80000}"/>
    <cellStyle name="Normal 13 3 3 7 2 2" xfId="51952" xr:uid="{00000000-0005-0000-0000-0000B7B80000}"/>
    <cellStyle name="Normal 13 3 3 7 3" xfId="37453" xr:uid="{00000000-0005-0000-0000-0000B8B80000}"/>
    <cellStyle name="Normal 13 3 3 8" xfId="15698" xr:uid="{00000000-0005-0000-0000-0000B9B80000}"/>
    <cellStyle name="Normal 13 3 3 8 2" xfId="44704" xr:uid="{00000000-0005-0000-0000-0000BAB80000}"/>
    <cellStyle name="Normal 13 3 3 9" xfId="30205" xr:uid="{00000000-0005-0000-0000-0000BBB80000}"/>
    <cellStyle name="Normal 13 3 4" xfId="1044" xr:uid="{00000000-0005-0000-0000-0000BCB80000}"/>
    <cellStyle name="Normal 13 3 4 2" xfId="1534" xr:uid="{00000000-0005-0000-0000-0000BDB80000}"/>
    <cellStyle name="Normal 13 3 4 2 2" xfId="2592" xr:uid="{00000000-0005-0000-0000-0000BEB80000}"/>
    <cellStyle name="Normal 13 3 4 2 2 2" xfId="5696" xr:uid="{00000000-0005-0000-0000-0000BFB80000}"/>
    <cellStyle name="Normal 13 3 4 2 2 2 2" xfId="12968" xr:uid="{00000000-0005-0000-0000-0000C0B80000}"/>
    <cellStyle name="Normal 13 3 4 2 2 2 2 2" xfId="27502" xr:uid="{00000000-0005-0000-0000-0000C1B80000}"/>
    <cellStyle name="Normal 13 3 4 2 2 2 2 2 2" xfId="56508" xr:uid="{00000000-0005-0000-0000-0000C2B80000}"/>
    <cellStyle name="Normal 13 3 4 2 2 2 2 3" xfId="42009" xr:uid="{00000000-0005-0000-0000-0000C3B80000}"/>
    <cellStyle name="Normal 13 3 4 2 2 2 3" xfId="20254" xr:uid="{00000000-0005-0000-0000-0000C4B80000}"/>
    <cellStyle name="Normal 13 3 4 2 2 2 3 2" xfId="49260" xr:uid="{00000000-0005-0000-0000-0000C5B80000}"/>
    <cellStyle name="Normal 13 3 4 2 2 2 4" xfId="34761" xr:uid="{00000000-0005-0000-0000-0000C6B80000}"/>
    <cellStyle name="Normal 13 3 4 2 2 3" xfId="9864" xr:uid="{00000000-0005-0000-0000-0000C7B80000}"/>
    <cellStyle name="Normal 13 3 4 2 2 3 2" xfId="24398" xr:uid="{00000000-0005-0000-0000-0000C8B80000}"/>
    <cellStyle name="Normal 13 3 4 2 2 3 2 2" xfId="53404" xr:uid="{00000000-0005-0000-0000-0000C9B80000}"/>
    <cellStyle name="Normal 13 3 4 2 2 3 3" xfId="38905" xr:uid="{00000000-0005-0000-0000-0000CAB80000}"/>
    <cellStyle name="Normal 13 3 4 2 2 4" xfId="17150" xr:uid="{00000000-0005-0000-0000-0000CBB80000}"/>
    <cellStyle name="Normal 13 3 4 2 2 4 2" xfId="46156" xr:uid="{00000000-0005-0000-0000-0000CCB80000}"/>
    <cellStyle name="Normal 13 3 4 2 2 5" xfId="31657" xr:uid="{00000000-0005-0000-0000-0000CDB80000}"/>
    <cellStyle name="Normal 13 3 4 2 3" xfId="3624" xr:uid="{00000000-0005-0000-0000-0000CEB80000}"/>
    <cellStyle name="Normal 13 3 4 2 3 2" xfId="6728" xr:uid="{00000000-0005-0000-0000-0000CFB80000}"/>
    <cellStyle name="Normal 13 3 4 2 3 2 2" xfId="14000" xr:uid="{00000000-0005-0000-0000-0000D0B80000}"/>
    <cellStyle name="Normal 13 3 4 2 3 2 2 2" xfId="28534" xr:uid="{00000000-0005-0000-0000-0000D1B80000}"/>
    <cellStyle name="Normal 13 3 4 2 3 2 2 2 2" xfId="57540" xr:uid="{00000000-0005-0000-0000-0000D2B80000}"/>
    <cellStyle name="Normal 13 3 4 2 3 2 2 3" xfId="43041" xr:uid="{00000000-0005-0000-0000-0000D3B80000}"/>
    <cellStyle name="Normal 13 3 4 2 3 2 3" xfId="21286" xr:uid="{00000000-0005-0000-0000-0000D4B80000}"/>
    <cellStyle name="Normal 13 3 4 2 3 2 3 2" xfId="50292" xr:uid="{00000000-0005-0000-0000-0000D5B80000}"/>
    <cellStyle name="Normal 13 3 4 2 3 2 4" xfId="35793" xr:uid="{00000000-0005-0000-0000-0000D6B80000}"/>
    <cellStyle name="Normal 13 3 4 2 3 3" xfId="10896" xr:uid="{00000000-0005-0000-0000-0000D7B80000}"/>
    <cellStyle name="Normal 13 3 4 2 3 3 2" xfId="25430" xr:uid="{00000000-0005-0000-0000-0000D8B80000}"/>
    <cellStyle name="Normal 13 3 4 2 3 3 2 2" xfId="54436" xr:uid="{00000000-0005-0000-0000-0000D9B80000}"/>
    <cellStyle name="Normal 13 3 4 2 3 3 3" xfId="39937" xr:uid="{00000000-0005-0000-0000-0000DAB80000}"/>
    <cellStyle name="Normal 13 3 4 2 3 4" xfId="18182" xr:uid="{00000000-0005-0000-0000-0000DBB80000}"/>
    <cellStyle name="Normal 13 3 4 2 3 4 2" xfId="47188" xr:uid="{00000000-0005-0000-0000-0000DCB80000}"/>
    <cellStyle name="Normal 13 3 4 2 3 5" xfId="32689" xr:uid="{00000000-0005-0000-0000-0000DDB80000}"/>
    <cellStyle name="Normal 13 3 4 2 4" xfId="4656" xr:uid="{00000000-0005-0000-0000-0000DEB80000}"/>
    <cellStyle name="Normal 13 3 4 2 4 2" xfId="11928" xr:uid="{00000000-0005-0000-0000-0000DFB80000}"/>
    <cellStyle name="Normal 13 3 4 2 4 2 2" xfId="26462" xr:uid="{00000000-0005-0000-0000-0000E0B80000}"/>
    <cellStyle name="Normal 13 3 4 2 4 2 2 2" xfId="55468" xr:uid="{00000000-0005-0000-0000-0000E1B80000}"/>
    <cellStyle name="Normal 13 3 4 2 4 2 3" xfId="40969" xr:uid="{00000000-0005-0000-0000-0000E2B80000}"/>
    <cellStyle name="Normal 13 3 4 2 4 3" xfId="19214" xr:uid="{00000000-0005-0000-0000-0000E3B80000}"/>
    <cellStyle name="Normal 13 3 4 2 4 3 2" xfId="48220" xr:uid="{00000000-0005-0000-0000-0000E4B80000}"/>
    <cellStyle name="Normal 13 3 4 2 4 4" xfId="33721" xr:uid="{00000000-0005-0000-0000-0000E5B80000}"/>
    <cellStyle name="Normal 13 3 4 2 5" xfId="7760" xr:uid="{00000000-0005-0000-0000-0000E6B80000}"/>
    <cellStyle name="Normal 13 3 4 2 5 2" xfId="15032" xr:uid="{00000000-0005-0000-0000-0000E7B80000}"/>
    <cellStyle name="Normal 13 3 4 2 5 2 2" xfId="29566" xr:uid="{00000000-0005-0000-0000-0000E8B80000}"/>
    <cellStyle name="Normal 13 3 4 2 5 2 2 2" xfId="58572" xr:uid="{00000000-0005-0000-0000-0000E9B80000}"/>
    <cellStyle name="Normal 13 3 4 2 5 2 3" xfId="44073" xr:uid="{00000000-0005-0000-0000-0000EAB80000}"/>
    <cellStyle name="Normal 13 3 4 2 5 3" xfId="22318" xr:uid="{00000000-0005-0000-0000-0000EBB80000}"/>
    <cellStyle name="Normal 13 3 4 2 5 3 2" xfId="51324" xr:uid="{00000000-0005-0000-0000-0000ECB80000}"/>
    <cellStyle name="Normal 13 3 4 2 5 4" xfId="36825" xr:uid="{00000000-0005-0000-0000-0000EDB80000}"/>
    <cellStyle name="Normal 13 3 4 2 6" xfId="8824" xr:uid="{00000000-0005-0000-0000-0000EEB80000}"/>
    <cellStyle name="Normal 13 3 4 2 6 2" xfId="23358" xr:uid="{00000000-0005-0000-0000-0000EFB80000}"/>
    <cellStyle name="Normal 13 3 4 2 6 2 2" xfId="52364" xr:uid="{00000000-0005-0000-0000-0000F0B80000}"/>
    <cellStyle name="Normal 13 3 4 2 6 3" xfId="37865" xr:uid="{00000000-0005-0000-0000-0000F1B80000}"/>
    <cellStyle name="Normal 13 3 4 2 7" xfId="16110" xr:uid="{00000000-0005-0000-0000-0000F2B80000}"/>
    <cellStyle name="Normal 13 3 4 2 7 2" xfId="45116" xr:uid="{00000000-0005-0000-0000-0000F3B80000}"/>
    <cellStyle name="Normal 13 3 4 2 8" xfId="30617" xr:uid="{00000000-0005-0000-0000-0000F4B80000}"/>
    <cellStyle name="Normal 13 3 4 3" xfId="2080" xr:uid="{00000000-0005-0000-0000-0000F5B80000}"/>
    <cellStyle name="Normal 13 3 4 3 2" xfId="5184" xr:uid="{00000000-0005-0000-0000-0000F6B80000}"/>
    <cellStyle name="Normal 13 3 4 3 2 2" xfId="12456" xr:uid="{00000000-0005-0000-0000-0000F7B80000}"/>
    <cellStyle name="Normal 13 3 4 3 2 2 2" xfId="26990" xr:uid="{00000000-0005-0000-0000-0000F8B80000}"/>
    <cellStyle name="Normal 13 3 4 3 2 2 2 2" xfId="55996" xr:uid="{00000000-0005-0000-0000-0000F9B80000}"/>
    <cellStyle name="Normal 13 3 4 3 2 2 3" xfId="41497" xr:uid="{00000000-0005-0000-0000-0000FAB80000}"/>
    <cellStyle name="Normal 13 3 4 3 2 3" xfId="19742" xr:uid="{00000000-0005-0000-0000-0000FBB80000}"/>
    <cellStyle name="Normal 13 3 4 3 2 3 2" xfId="48748" xr:uid="{00000000-0005-0000-0000-0000FCB80000}"/>
    <cellStyle name="Normal 13 3 4 3 2 4" xfId="34249" xr:uid="{00000000-0005-0000-0000-0000FDB80000}"/>
    <cellStyle name="Normal 13 3 4 3 3" xfId="9352" xr:uid="{00000000-0005-0000-0000-0000FEB80000}"/>
    <cellStyle name="Normal 13 3 4 3 3 2" xfId="23886" xr:uid="{00000000-0005-0000-0000-0000FFB80000}"/>
    <cellStyle name="Normal 13 3 4 3 3 2 2" xfId="52892" xr:uid="{00000000-0005-0000-0000-000000B90000}"/>
    <cellStyle name="Normal 13 3 4 3 3 3" xfId="38393" xr:uid="{00000000-0005-0000-0000-000001B90000}"/>
    <cellStyle name="Normal 13 3 4 3 4" xfId="16638" xr:uid="{00000000-0005-0000-0000-000002B90000}"/>
    <cellStyle name="Normal 13 3 4 3 4 2" xfId="45644" xr:uid="{00000000-0005-0000-0000-000003B90000}"/>
    <cellStyle name="Normal 13 3 4 3 5" xfId="31145" xr:uid="{00000000-0005-0000-0000-000004B90000}"/>
    <cellStyle name="Normal 13 3 4 4" xfId="3112" xr:uid="{00000000-0005-0000-0000-000005B90000}"/>
    <cellStyle name="Normal 13 3 4 4 2" xfId="6216" xr:uid="{00000000-0005-0000-0000-000006B90000}"/>
    <cellStyle name="Normal 13 3 4 4 2 2" xfId="13488" xr:uid="{00000000-0005-0000-0000-000007B90000}"/>
    <cellStyle name="Normal 13 3 4 4 2 2 2" xfId="28022" xr:uid="{00000000-0005-0000-0000-000008B90000}"/>
    <cellStyle name="Normal 13 3 4 4 2 2 2 2" xfId="57028" xr:uid="{00000000-0005-0000-0000-000009B90000}"/>
    <cellStyle name="Normal 13 3 4 4 2 2 3" xfId="42529" xr:uid="{00000000-0005-0000-0000-00000AB90000}"/>
    <cellStyle name="Normal 13 3 4 4 2 3" xfId="20774" xr:uid="{00000000-0005-0000-0000-00000BB90000}"/>
    <cellStyle name="Normal 13 3 4 4 2 3 2" xfId="49780" xr:uid="{00000000-0005-0000-0000-00000CB90000}"/>
    <cellStyle name="Normal 13 3 4 4 2 4" xfId="35281" xr:uid="{00000000-0005-0000-0000-00000DB90000}"/>
    <cellStyle name="Normal 13 3 4 4 3" xfId="10384" xr:uid="{00000000-0005-0000-0000-00000EB90000}"/>
    <cellStyle name="Normal 13 3 4 4 3 2" xfId="24918" xr:uid="{00000000-0005-0000-0000-00000FB90000}"/>
    <cellStyle name="Normal 13 3 4 4 3 2 2" xfId="53924" xr:uid="{00000000-0005-0000-0000-000010B90000}"/>
    <cellStyle name="Normal 13 3 4 4 3 3" xfId="39425" xr:uid="{00000000-0005-0000-0000-000011B90000}"/>
    <cellStyle name="Normal 13 3 4 4 4" xfId="17670" xr:uid="{00000000-0005-0000-0000-000012B90000}"/>
    <cellStyle name="Normal 13 3 4 4 4 2" xfId="46676" xr:uid="{00000000-0005-0000-0000-000013B90000}"/>
    <cellStyle name="Normal 13 3 4 4 5" xfId="32177" xr:uid="{00000000-0005-0000-0000-000014B90000}"/>
    <cellStyle name="Normal 13 3 4 5" xfId="4144" xr:uid="{00000000-0005-0000-0000-000015B90000}"/>
    <cellStyle name="Normal 13 3 4 5 2" xfId="11416" xr:uid="{00000000-0005-0000-0000-000016B90000}"/>
    <cellStyle name="Normal 13 3 4 5 2 2" xfId="25950" xr:uid="{00000000-0005-0000-0000-000017B90000}"/>
    <cellStyle name="Normal 13 3 4 5 2 2 2" xfId="54956" xr:uid="{00000000-0005-0000-0000-000018B90000}"/>
    <cellStyle name="Normal 13 3 4 5 2 3" xfId="40457" xr:uid="{00000000-0005-0000-0000-000019B90000}"/>
    <cellStyle name="Normal 13 3 4 5 3" xfId="18702" xr:uid="{00000000-0005-0000-0000-00001AB90000}"/>
    <cellStyle name="Normal 13 3 4 5 3 2" xfId="47708" xr:uid="{00000000-0005-0000-0000-00001BB90000}"/>
    <cellStyle name="Normal 13 3 4 5 4" xfId="33209" xr:uid="{00000000-0005-0000-0000-00001CB90000}"/>
    <cellStyle name="Normal 13 3 4 6" xfId="7248" xr:uid="{00000000-0005-0000-0000-00001DB90000}"/>
    <cellStyle name="Normal 13 3 4 6 2" xfId="14520" xr:uid="{00000000-0005-0000-0000-00001EB90000}"/>
    <cellStyle name="Normal 13 3 4 6 2 2" xfId="29054" xr:uid="{00000000-0005-0000-0000-00001FB90000}"/>
    <cellStyle name="Normal 13 3 4 6 2 2 2" xfId="58060" xr:uid="{00000000-0005-0000-0000-000020B90000}"/>
    <cellStyle name="Normal 13 3 4 6 2 3" xfId="43561" xr:uid="{00000000-0005-0000-0000-000021B90000}"/>
    <cellStyle name="Normal 13 3 4 6 3" xfId="21806" xr:uid="{00000000-0005-0000-0000-000022B90000}"/>
    <cellStyle name="Normal 13 3 4 6 3 2" xfId="50812" xr:uid="{00000000-0005-0000-0000-000023B90000}"/>
    <cellStyle name="Normal 13 3 4 6 4" xfId="36313" xr:uid="{00000000-0005-0000-0000-000024B90000}"/>
    <cellStyle name="Normal 13 3 4 7" xfId="8312" xr:uid="{00000000-0005-0000-0000-000025B90000}"/>
    <cellStyle name="Normal 13 3 4 7 2" xfId="22846" xr:uid="{00000000-0005-0000-0000-000026B90000}"/>
    <cellStyle name="Normal 13 3 4 7 2 2" xfId="51852" xr:uid="{00000000-0005-0000-0000-000027B90000}"/>
    <cellStyle name="Normal 13 3 4 7 3" xfId="37353" xr:uid="{00000000-0005-0000-0000-000028B90000}"/>
    <cellStyle name="Normal 13 3 4 8" xfId="15598" xr:uid="{00000000-0005-0000-0000-000029B90000}"/>
    <cellStyle name="Normal 13 3 4 8 2" xfId="44604" xr:uid="{00000000-0005-0000-0000-00002AB90000}"/>
    <cellStyle name="Normal 13 3 4 9" xfId="30105" xr:uid="{00000000-0005-0000-0000-00002BB90000}"/>
    <cellStyle name="Normal 13 3 5" xfId="1329" xr:uid="{00000000-0005-0000-0000-00002CB90000}"/>
    <cellStyle name="Normal 13 3 5 2" xfId="2386" xr:uid="{00000000-0005-0000-0000-00002DB90000}"/>
    <cellStyle name="Normal 13 3 5 2 2" xfId="5490" xr:uid="{00000000-0005-0000-0000-00002EB90000}"/>
    <cellStyle name="Normal 13 3 5 2 2 2" xfId="12762" xr:uid="{00000000-0005-0000-0000-00002FB90000}"/>
    <cellStyle name="Normal 13 3 5 2 2 2 2" xfId="27296" xr:uid="{00000000-0005-0000-0000-000030B90000}"/>
    <cellStyle name="Normal 13 3 5 2 2 2 2 2" xfId="56302" xr:uid="{00000000-0005-0000-0000-000031B90000}"/>
    <cellStyle name="Normal 13 3 5 2 2 2 3" xfId="41803" xr:uid="{00000000-0005-0000-0000-000032B90000}"/>
    <cellStyle name="Normal 13 3 5 2 2 3" xfId="20048" xr:uid="{00000000-0005-0000-0000-000033B90000}"/>
    <cellStyle name="Normal 13 3 5 2 2 3 2" xfId="49054" xr:uid="{00000000-0005-0000-0000-000034B90000}"/>
    <cellStyle name="Normal 13 3 5 2 2 4" xfId="34555" xr:uid="{00000000-0005-0000-0000-000035B90000}"/>
    <cellStyle name="Normal 13 3 5 2 3" xfId="9658" xr:uid="{00000000-0005-0000-0000-000036B90000}"/>
    <cellStyle name="Normal 13 3 5 2 3 2" xfId="24192" xr:uid="{00000000-0005-0000-0000-000037B90000}"/>
    <cellStyle name="Normal 13 3 5 2 3 2 2" xfId="53198" xr:uid="{00000000-0005-0000-0000-000038B90000}"/>
    <cellStyle name="Normal 13 3 5 2 3 3" xfId="38699" xr:uid="{00000000-0005-0000-0000-000039B90000}"/>
    <cellStyle name="Normal 13 3 5 2 4" xfId="16944" xr:uid="{00000000-0005-0000-0000-00003AB90000}"/>
    <cellStyle name="Normal 13 3 5 2 4 2" xfId="45950" xr:uid="{00000000-0005-0000-0000-00003BB90000}"/>
    <cellStyle name="Normal 13 3 5 2 5" xfId="31451" xr:uid="{00000000-0005-0000-0000-00003CB90000}"/>
    <cellStyle name="Normal 13 3 5 3" xfId="3418" xr:uid="{00000000-0005-0000-0000-00003DB90000}"/>
    <cellStyle name="Normal 13 3 5 3 2" xfId="6522" xr:uid="{00000000-0005-0000-0000-00003EB90000}"/>
    <cellStyle name="Normal 13 3 5 3 2 2" xfId="13794" xr:uid="{00000000-0005-0000-0000-00003FB90000}"/>
    <cellStyle name="Normal 13 3 5 3 2 2 2" xfId="28328" xr:uid="{00000000-0005-0000-0000-000040B90000}"/>
    <cellStyle name="Normal 13 3 5 3 2 2 2 2" xfId="57334" xr:uid="{00000000-0005-0000-0000-000041B90000}"/>
    <cellStyle name="Normal 13 3 5 3 2 2 3" xfId="42835" xr:uid="{00000000-0005-0000-0000-000042B90000}"/>
    <cellStyle name="Normal 13 3 5 3 2 3" xfId="21080" xr:uid="{00000000-0005-0000-0000-000043B90000}"/>
    <cellStyle name="Normal 13 3 5 3 2 3 2" xfId="50086" xr:uid="{00000000-0005-0000-0000-000044B90000}"/>
    <cellStyle name="Normal 13 3 5 3 2 4" xfId="35587" xr:uid="{00000000-0005-0000-0000-000045B90000}"/>
    <cellStyle name="Normal 13 3 5 3 3" xfId="10690" xr:uid="{00000000-0005-0000-0000-000046B90000}"/>
    <cellStyle name="Normal 13 3 5 3 3 2" xfId="25224" xr:uid="{00000000-0005-0000-0000-000047B90000}"/>
    <cellStyle name="Normal 13 3 5 3 3 2 2" xfId="54230" xr:uid="{00000000-0005-0000-0000-000048B90000}"/>
    <cellStyle name="Normal 13 3 5 3 3 3" xfId="39731" xr:uid="{00000000-0005-0000-0000-000049B90000}"/>
    <cellStyle name="Normal 13 3 5 3 4" xfId="17976" xr:uid="{00000000-0005-0000-0000-00004AB90000}"/>
    <cellStyle name="Normal 13 3 5 3 4 2" xfId="46982" xr:uid="{00000000-0005-0000-0000-00004BB90000}"/>
    <cellStyle name="Normal 13 3 5 3 5" xfId="32483" xr:uid="{00000000-0005-0000-0000-00004CB90000}"/>
    <cellStyle name="Normal 13 3 5 4" xfId="4450" xr:uid="{00000000-0005-0000-0000-00004DB90000}"/>
    <cellStyle name="Normal 13 3 5 4 2" xfId="11722" xr:uid="{00000000-0005-0000-0000-00004EB90000}"/>
    <cellStyle name="Normal 13 3 5 4 2 2" xfId="26256" xr:uid="{00000000-0005-0000-0000-00004FB90000}"/>
    <cellStyle name="Normal 13 3 5 4 2 2 2" xfId="55262" xr:uid="{00000000-0005-0000-0000-000050B90000}"/>
    <cellStyle name="Normal 13 3 5 4 2 3" xfId="40763" xr:uid="{00000000-0005-0000-0000-000051B90000}"/>
    <cellStyle name="Normal 13 3 5 4 3" xfId="19008" xr:uid="{00000000-0005-0000-0000-000052B90000}"/>
    <cellStyle name="Normal 13 3 5 4 3 2" xfId="48014" xr:uid="{00000000-0005-0000-0000-000053B90000}"/>
    <cellStyle name="Normal 13 3 5 4 4" xfId="33515" xr:uid="{00000000-0005-0000-0000-000054B90000}"/>
    <cellStyle name="Normal 13 3 5 5" xfId="7554" xr:uid="{00000000-0005-0000-0000-000055B90000}"/>
    <cellStyle name="Normal 13 3 5 5 2" xfId="14826" xr:uid="{00000000-0005-0000-0000-000056B90000}"/>
    <cellStyle name="Normal 13 3 5 5 2 2" xfId="29360" xr:uid="{00000000-0005-0000-0000-000057B90000}"/>
    <cellStyle name="Normal 13 3 5 5 2 2 2" xfId="58366" xr:uid="{00000000-0005-0000-0000-000058B90000}"/>
    <cellStyle name="Normal 13 3 5 5 2 3" xfId="43867" xr:uid="{00000000-0005-0000-0000-000059B90000}"/>
    <cellStyle name="Normal 13 3 5 5 3" xfId="22112" xr:uid="{00000000-0005-0000-0000-00005AB90000}"/>
    <cellStyle name="Normal 13 3 5 5 3 2" xfId="51118" xr:uid="{00000000-0005-0000-0000-00005BB90000}"/>
    <cellStyle name="Normal 13 3 5 5 4" xfId="36619" xr:uid="{00000000-0005-0000-0000-00005CB90000}"/>
    <cellStyle name="Normal 13 3 5 6" xfId="8618" xr:uid="{00000000-0005-0000-0000-00005DB90000}"/>
    <cellStyle name="Normal 13 3 5 6 2" xfId="23152" xr:uid="{00000000-0005-0000-0000-00005EB90000}"/>
    <cellStyle name="Normal 13 3 5 6 2 2" xfId="52158" xr:uid="{00000000-0005-0000-0000-00005FB90000}"/>
    <cellStyle name="Normal 13 3 5 6 3" xfId="37659" xr:uid="{00000000-0005-0000-0000-000060B90000}"/>
    <cellStyle name="Normal 13 3 5 7" xfId="15904" xr:uid="{00000000-0005-0000-0000-000061B90000}"/>
    <cellStyle name="Normal 13 3 5 7 2" xfId="44910" xr:uid="{00000000-0005-0000-0000-000062B90000}"/>
    <cellStyle name="Normal 13 3 5 8" xfId="30411" xr:uid="{00000000-0005-0000-0000-000063B90000}"/>
    <cellStyle name="Normal 13 3 6" xfId="1874" xr:uid="{00000000-0005-0000-0000-000064B90000}"/>
    <cellStyle name="Normal 13 3 6 2" xfId="4978" xr:uid="{00000000-0005-0000-0000-000065B90000}"/>
    <cellStyle name="Normal 13 3 6 2 2" xfId="12250" xr:uid="{00000000-0005-0000-0000-000066B90000}"/>
    <cellStyle name="Normal 13 3 6 2 2 2" xfId="26784" xr:uid="{00000000-0005-0000-0000-000067B90000}"/>
    <cellStyle name="Normal 13 3 6 2 2 2 2" xfId="55790" xr:uid="{00000000-0005-0000-0000-000068B90000}"/>
    <cellStyle name="Normal 13 3 6 2 2 3" xfId="41291" xr:uid="{00000000-0005-0000-0000-000069B90000}"/>
    <cellStyle name="Normal 13 3 6 2 3" xfId="19536" xr:uid="{00000000-0005-0000-0000-00006AB90000}"/>
    <cellStyle name="Normal 13 3 6 2 3 2" xfId="48542" xr:uid="{00000000-0005-0000-0000-00006BB90000}"/>
    <cellStyle name="Normal 13 3 6 2 4" xfId="34043" xr:uid="{00000000-0005-0000-0000-00006CB90000}"/>
    <cellStyle name="Normal 13 3 6 3" xfId="9146" xr:uid="{00000000-0005-0000-0000-00006DB90000}"/>
    <cellStyle name="Normal 13 3 6 3 2" xfId="23680" xr:uid="{00000000-0005-0000-0000-00006EB90000}"/>
    <cellStyle name="Normal 13 3 6 3 2 2" xfId="52686" xr:uid="{00000000-0005-0000-0000-00006FB90000}"/>
    <cellStyle name="Normal 13 3 6 3 3" xfId="38187" xr:uid="{00000000-0005-0000-0000-000070B90000}"/>
    <cellStyle name="Normal 13 3 6 4" xfId="16432" xr:uid="{00000000-0005-0000-0000-000071B90000}"/>
    <cellStyle name="Normal 13 3 6 4 2" xfId="45438" xr:uid="{00000000-0005-0000-0000-000072B90000}"/>
    <cellStyle name="Normal 13 3 6 5" xfId="30939" xr:uid="{00000000-0005-0000-0000-000073B90000}"/>
    <cellStyle name="Normal 13 3 7" xfId="2906" xr:uid="{00000000-0005-0000-0000-000074B90000}"/>
    <cellStyle name="Normal 13 3 7 2" xfId="6010" xr:uid="{00000000-0005-0000-0000-000075B90000}"/>
    <cellStyle name="Normal 13 3 7 2 2" xfId="13282" xr:uid="{00000000-0005-0000-0000-000076B90000}"/>
    <cellStyle name="Normal 13 3 7 2 2 2" xfId="27816" xr:uid="{00000000-0005-0000-0000-000077B90000}"/>
    <cellStyle name="Normal 13 3 7 2 2 2 2" xfId="56822" xr:uid="{00000000-0005-0000-0000-000078B90000}"/>
    <cellStyle name="Normal 13 3 7 2 2 3" xfId="42323" xr:uid="{00000000-0005-0000-0000-000079B90000}"/>
    <cellStyle name="Normal 13 3 7 2 3" xfId="20568" xr:uid="{00000000-0005-0000-0000-00007AB90000}"/>
    <cellStyle name="Normal 13 3 7 2 3 2" xfId="49574" xr:uid="{00000000-0005-0000-0000-00007BB90000}"/>
    <cellStyle name="Normal 13 3 7 2 4" xfId="35075" xr:uid="{00000000-0005-0000-0000-00007CB90000}"/>
    <cellStyle name="Normal 13 3 7 3" xfId="10178" xr:uid="{00000000-0005-0000-0000-00007DB90000}"/>
    <cellStyle name="Normal 13 3 7 3 2" xfId="24712" xr:uid="{00000000-0005-0000-0000-00007EB90000}"/>
    <cellStyle name="Normal 13 3 7 3 2 2" xfId="53718" xr:uid="{00000000-0005-0000-0000-00007FB90000}"/>
    <cellStyle name="Normal 13 3 7 3 3" xfId="39219" xr:uid="{00000000-0005-0000-0000-000080B90000}"/>
    <cellStyle name="Normal 13 3 7 4" xfId="17464" xr:uid="{00000000-0005-0000-0000-000081B90000}"/>
    <cellStyle name="Normal 13 3 7 4 2" xfId="46470" xr:uid="{00000000-0005-0000-0000-000082B90000}"/>
    <cellStyle name="Normal 13 3 7 5" xfId="31971" xr:uid="{00000000-0005-0000-0000-000083B90000}"/>
    <cellStyle name="Normal 13 3 8" xfId="3938" xr:uid="{00000000-0005-0000-0000-000084B90000}"/>
    <cellStyle name="Normal 13 3 8 2" xfId="11210" xr:uid="{00000000-0005-0000-0000-000085B90000}"/>
    <cellStyle name="Normal 13 3 8 2 2" xfId="25744" xr:uid="{00000000-0005-0000-0000-000086B90000}"/>
    <cellStyle name="Normal 13 3 8 2 2 2" xfId="54750" xr:uid="{00000000-0005-0000-0000-000087B90000}"/>
    <cellStyle name="Normal 13 3 8 2 3" xfId="40251" xr:uid="{00000000-0005-0000-0000-000088B90000}"/>
    <cellStyle name="Normal 13 3 8 3" xfId="18496" xr:uid="{00000000-0005-0000-0000-000089B90000}"/>
    <cellStyle name="Normal 13 3 8 3 2" xfId="47502" xr:uid="{00000000-0005-0000-0000-00008AB90000}"/>
    <cellStyle name="Normal 13 3 8 4" xfId="33003" xr:uid="{00000000-0005-0000-0000-00008BB90000}"/>
    <cellStyle name="Normal 13 3 9" xfId="7042" xr:uid="{00000000-0005-0000-0000-00008CB90000}"/>
    <cellStyle name="Normal 13 3 9 2" xfId="14314" xr:uid="{00000000-0005-0000-0000-00008DB90000}"/>
    <cellStyle name="Normal 13 3 9 2 2" xfId="28848" xr:uid="{00000000-0005-0000-0000-00008EB90000}"/>
    <cellStyle name="Normal 13 3 9 2 2 2" xfId="57854" xr:uid="{00000000-0005-0000-0000-00008FB90000}"/>
    <cellStyle name="Normal 13 3 9 2 3" xfId="43355" xr:uid="{00000000-0005-0000-0000-000090B90000}"/>
    <cellStyle name="Normal 13 3 9 3" xfId="21600" xr:uid="{00000000-0005-0000-0000-000091B90000}"/>
    <cellStyle name="Normal 13 3 9 3 2" xfId="50606" xr:uid="{00000000-0005-0000-0000-000092B90000}"/>
    <cellStyle name="Normal 13 3 9 4" xfId="36107" xr:uid="{00000000-0005-0000-0000-000093B90000}"/>
    <cellStyle name="Normal 13 4" xfId="915" xr:uid="{00000000-0005-0000-0000-000094B90000}"/>
    <cellStyle name="Normal 13 4 10" xfId="29950" xr:uid="{00000000-0005-0000-0000-000095B90000}"/>
    <cellStyle name="Normal 13 4 2" xfId="1183" xr:uid="{00000000-0005-0000-0000-000096B90000}"/>
    <cellStyle name="Normal 13 4 2 2" xfId="1684" xr:uid="{00000000-0005-0000-0000-000097B90000}"/>
    <cellStyle name="Normal 13 4 2 2 2" xfId="2743" xr:uid="{00000000-0005-0000-0000-000098B90000}"/>
    <cellStyle name="Normal 13 4 2 2 2 2" xfId="5847" xr:uid="{00000000-0005-0000-0000-000099B90000}"/>
    <cellStyle name="Normal 13 4 2 2 2 2 2" xfId="13119" xr:uid="{00000000-0005-0000-0000-00009AB90000}"/>
    <cellStyle name="Normal 13 4 2 2 2 2 2 2" xfId="27653" xr:uid="{00000000-0005-0000-0000-00009BB90000}"/>
    <cellStyle name="Normal 13 4 2 2 2 2 2 2 2" xfId="56659" xr:uid="{00000000-0005-0000-0000-00009CB90000}"/>
    <cellStyle name="Normal 13 4 2 2 2 2 2 3" xfId="42160" xr:uid="{00000000-0005-0000-0000-00009DB90000}"/>
    <cellStyle name="Normal 13 4 2 2 2 2 3" xfId="20405" xr:uid="{00000000-0005-0000-0000-00009EB90000}"/>
    <cellStyle name="Normal 13 4 2 2 2 2 3 2" xfId="49411" xr:uid="{00000000-0005-0000-0000-00009FB90000}"/>
    <cellStyle name="Normal 13 4 2 2 2 2 4" xfId="34912" xr:uid="{00000000-0005-0000-0000-0000A0B90000}"/>
    <cellStyle name="Normal 13 4 2 2 2 3" xfId="10015" xr:uid="{00000000-0005-0000-0000-0000A1B90000}"/>
    <cellStyle name="Normal 13 4 2 2 2 3 2" xfId="24549" xr:uid="{00000000-0005-0000-0000-0000A2B90000}"/>
    <cellStyle name="Normal 13 4 2 2 2 3 2 2" xfId="53555" xr:uid="{00000000-0005-0000-0000-0000A3B90000}"/>
    <cellStyle name="Normal 13 4 2 2 2 3 3" xfId="39056" xr:uid="{00000000-0005-0000-0000-0000A4B90000}"/>
    <cellStyle name="Normal 13 4 2 2 2 4" xfId="17301" xr:uid="{00000000-0005-0000-0000-0000A5B90000}"/>
    <cellStyle name="Normal 13 4 2 2 2 4 2" xfId="46307" xr:uid="{00000000-0005-0000-0000-0000A6B90000}"/>
    <cellStyle name="Normal 13 4 2 2 2 5" xfId="31808" xr:uid="{00000000-0005-0000-0000-0000A7B90000}"/>
    <cellStyle name="Normal 13 4 2 2 3" xfId="3775" xr:uid="{00000000-0005-0000-0000-0000A8B90000}"/>
    <cellStyle name="Normal 13 4 2 2 3 2" xfId="6879" xr:uid="{00000000-0005-0000-0000-0000A9B90000}"/>
    <cellStyle name="Normal 13 4 2 2 3 2 2" xfId="14151" xr:uid="{00000000-0005-0000-0000-0000AAB90000}"/>
    <cellStyle name="Normal 13 4 2 2 3 2 2 2" xfId="28685" xr:uid="{00000000-0005-0000-0000-0000ABB90000}"/>
    <cellStyle name="Normal 13 4 2 2 3 2 2 2 2" xfId="57691" xr:uid="{00000000-0005-0000-0000-0000ACB90000}"/>
    <cellStyle name="Normal 13 4 2 2 3 2 2 3" xfId="43192" xr:uid="{00000000-0005-0000-0000-0000ADB90000}"/>
    <cellStyle name="Normal 13 4 2 2 3 2 3" xfId="21437" xr:uid="{00000000-0005-0000-0000-0000AEB90000}"/>
    <cellStyle name="Normal 13 4 2 2 3 2 3 2" xfId="50443" xr:uid="{00000000-0005-0000-0000-0000AFB90000}"/>
    <cellStyle name="Normal 13 4 2 2 3 2 4" xfId="35944" xr:uid="{00000000-0005-0000-0000-0000B0B90000}"/>
    <cellStyle name="Normal 13 4 2 2 3 3" xfId="11047" xr:uid="{00000000-0005-0000-0000-0000B1B90000}"/>
    <cellStyle name="Normal 13 4 2 2 3 3 2" xfId="25581" xr:uid="{00000000-0005-0000-0000-0000B2B90000}"/>
    <cellStyle name="Normal 13 4 2 2 3 3 2 2" xfId="54587" xr:uid="{00000000-0005-0000-0000-0000B3B90000}"/>
    <cellStyle name="Normal 13 4 2 2 3 3 3" xfId="40088" xr:uid="{00000000-0005-0000-0000-0000B4B90000}"/>
    <cellStyle name="Normal 13 4 2 2 3 4" xfId="18333" xr:uid="{00000000-0005-0000-0000-0000B5B90000}"/>
    <cellStyle name="Normal 13 4 2 2 3 4 2" xfId="47339" xr:uid="{00000000-0005-0000-0000-0000B6B90000}"/>
    <cellStyle name="Normal 13 4 2 2 3 5" xfId="32840" xr:uid="{00000000-0005-0000-0000-0000B7B90000}"/>
    <cellStyle name="Normal 13 4 2 2 4" xfId="4807" xr:uid="{00000000-0005-0000-0000-0000B8B90000}"/>
    <cellStyle name="Normal 13 4 2 2 4 2" xfId="12079" xr:uid="{00000000-0005-0000-0000-0000B9B90000}"/>
    <cellStyle name="Normal 13 4 2 2 4 2 2" xfId="26613" xr:uid="{00000000-0005-0000-0000-0000BAB90000}"/>
    <cellStyle name="Normal 13 4 2 2 4 2 2 2" xfId="55619" xr:uid="{00000000-0005-0000-0000-0000BBB90000}"/>
    <cellStyle name="Normal 13 4 2 2 4 2 3" xfId="41120" xr:uid="{00000000-0005-0000-0000-0000BCB90000}"/>
    <cellStyle name="Normal 13 4 2 2 4 3" xfId="19365" xr:uid="{00000000-0005-0000-0000-0000BDB90000}"/>
    <cellStyle name="Normal 13 4 2 2 4 3 2" xfId="48371" xr:uid="{00000000-0005-0000-0000-0000BEB90000}"/>
    <cellStyle name="Normal 13 4 2 2 4 4" xfId="33872" xr:uid="{00000000-0005-0000-0000-0000BFB90000}"/>
    <cellStyle name="Normal 13 4 2 2 5" xfId="7911" xr:uid="{00000000-0005-0000-0000-0000C0B90000}"/>
    <cellStyle name="Normal 13 4 2 2 5 2" xfId="15183" xr:uid="{00000000-0005-0000-0000-0000C1B90000}"/>
    <cellStyle name="Normal 13 4 2 2 5 2 2" xfId="29717" xr:uid="{00000000-0005-0000-0000-0000C2B90000}"/>
    <cellStyle name="Normal 13 4 2 2 5 2 2 2" xfId="58723" xr:uid="{00000000-0005-0000-0000-0000C3B90000}"/>
    <cellStyle name="Normal 13 4 2 2 5 2 3" xfId="44224" xr:uid="{00000000-0005-0000-0000-0000C4B90000}"/>
    <cellStyle name="Normal 13 4 2 2 5 3" xfId="22469" xr:uid="{00000000-0005-0000-0000-0000C5B90000}"/>
    <cellStyle name="Normal 13 4 2 2 5 3 2" xfId="51475" xr:uid="{00000000-0005-0000-0000-0000C6B90000}"/>
    <cellStyle name="Normal 13 4 2 2 5 4" xfId="36976" xr:uid="{00000000-0005-0000-0000-0000C7B90000}"/>
    <cellStyle name="Normal 13 4 2 2 6" xfId="8975" xr:uid="{00000000-0005-0000-0000-0000C8B90000}"/>
    <cellStyle name="Normal 13 4 2 2 6 2" xfId="23509" xr:uid="{00000000-0005-0000-0000-0000C9B90000}"/>
    <cellStyle name="Normal 13 4 2 2 6 2 2" xfId="52515" xr:uid="{00000000-0005-0000-0000-0000CAB90000}"/>
    <cellStyle name="Normal 13 4 2 2 6 3" xfId="38016" xr:uid="{00000000-0005-0000-0000-0000CBB90000}"/>
    <cellStyle name="Normal 13 4 2 2 7" xfId="16261" xr:uid="{00000000-0005-0000-0000-0000CCB90000}"/>
    <cellStyle name="Normal 13 4 2 2 7 2" xfId="45267" xr:uid="{00000000-0005-0000-0000-0000CDB90000}"/>
    <cellStyle name="Normal 13 4 2 2 8" xfId="30768" xr:uid="{00000000-0005-0000-0000-0000CEB90000}"/>
    <cellStyle name="Normal 13 4 2 3" xfId="2231" xr:uid="{00000000-0005-0000-0000-0000CFB90000}"/>
    <cellStyle name="Normal 13 4 2 3 2" xfId="5335" xr:uid="{00000000-0005-0000-0000-0000D0B90000}"/>
    <cellStyle name="Normal 13 4 2 3 2 2" xfId="12607" xr:uid="{00000000-0005-0000-0000-0000D1B90000}"/>
    <cellStyle name="Normal 13 4 2 3 2 2 2" xfId="27141" xr:uid="{00000000-0005-0000-0000-0000D2B90000}"/>
    <cellStyle name="Normal 13 4 2 3 2 2 2 2" xfId="56147" xr:uid="{00000000-0005-0000-0000-0000D3B90000}"/>
    <cellStyle name="Normal 13 4 2 3 2 2 3" xfId="41648" xr:uid="{00000000-0005-0000-0000-0000D4B90000}"/>
    <cellStyle name="Normal 13 4 2 3 2 3" xfId="19893" xr:uid="{00000000-0005-0000-0000-0000D5B90000}"/>
    <cellStyle name="Normal 13 4 2 3 2 3 2" xfId="48899" xr:uid="{00000000-0005-0000-0000-0000D6B90000}"/>
    <cellStyle name="Normal 13 4 2 3 2 4" xfId="34400" xr:uid="{00000000-0005-0000-0000-0000D7B90000}"/>
    <cellStyle name="Normal 13 4 2 3 3" xfId="9503" xr:uid="{00000000-0005-0000-0000-0000D8B90000}"/>
    <cellStyle name="Normal 13 4 2 3 3 2" xfId="24037" xr:uid="{00000000-0005-0000-0000-0000D9B90000}"/>
    <cellStyle name="Normal 13 4 2 3 3 2 2" xfId="53043" xr:uid="{00000000-0005-0000-0000-0000DAB90000}"/>
    <cellStyle name="Normal 13 4 2 3 3 3" xfId="38544" xr:uid="{00000000-0005-0000-0000-0000DBB90000}"/>
    <cellStyle name="Normal 13 4 2 3 4" xfId="16789" xr:uid="{00000000-0005-0000-0000-0000DCB90000}"/>
    <cellStyle name="Normal 13 4 2 3 4 2" xfId="45795" xr:uid="{00000000-0005-0000-0000-0000DDB90000}"/>
    <cellStyle name="Normal 13 4 2 3 5" xfId="31296" xr:uid="{00000000-0005-0000-0000-0000DEB90000}"/>
    <cellStyle name="Normal 13 4 2 4" xfId="3263" xr:uid="{00000000-0005-0000-0000-0000DFB90000}"/>
    <cellStyle name="Normal 13 4 2 4 2" xfId="6367" xr:uid="{00000000-0005-0000-0000-0000E0B90000}"/>
    <cellStyle name="Normal 13 4 2 4 2 2" xfId="13639" xr:uid="{00000000-0005-0000-0000-0000E1B90000}"/>
    <cellStyle name="Normal 13 4 2 4 2 2 2" xfId="28173" xr:uid="{00000000-0005-0000-0000-0000E2B90000}"/>
    <cellStyle name="Normal 13 4 2 4 2 2 2 2" xfId="57179" xr:uid="{00000000-0005-0000-0000-0000E3B90000}"/>
    <cellStyle name="Normal 13 4 2 4 2 2 3" xfId="42680" xr:uid="{00000000-0005-0000-0000-0000E4B90000}"/>
    <cellStyle name="Normal 13 4 2 4 2 3" xfId="20925" xr:uid="{00000000-0005-0000-0000-0000E5B90000}"/>
    <cellStyle name="Normal 13 4 2 4 2 3 2" xfId="49931" xr:uid="{00000000-0005-0000-0000-0000E6B90000}"/>
    <cellStyle name="Normal 13 4 2 4 2 4" xfId="35432" xr:uid="{00000000-0005-0000-0000-0000E7B90000}"/>
    <cellStyle name="Normal 13 4 2 4 3" xfId="10535" xr:uid="{00000000-0005-0000-0000-0000E8B90000}"/>
    <cellStyle name="Normal 13 4 2 4 3 2" xfId="25069" xr:uid="{00000000-0005-0000-0000-0000E9B90000}"/>
    <cellStyle name="Normal 13 4 2 4 3 2 2" xfId="54075" xr:uid="{00000000-0005-0000-0000-0000EAB90000}"/>
    <cellStyle name="Normal 13 4 2 4 3 3" xfId="39576" xr:uid="{00000000-0005-0000-0000-0000EBB90000}"/>
    <cellStyle name="Normal 13 4 2 4 4" xfId="17821" xr:uid="{00000000-0005-0000-0000-0000ECB90000}"/>
    <cellStyle name="Normal 13 4 2 4 4 2" xfId="46827" xr:uid="{00000000-0005-0000-0000-0000EDB90000}"/>
    <cellStyle name="Normal 13 4 2 4 5" xfId="32328" xr:uid="{00000000-0005-0000-0000-0000EEB90000}"/>
    <cellStyle name="Normal 13 4 2 5" xfId="4295" xr:uid="{00000000-0005-0000-0000-0000EFB90000}"/>
    <cellStyle name="Normal 13 4 2 5 2" xfId="11567" xr:uid="{00000000-0005-0000-0000-0000F0B90000}"/>
    <cellStyle name="Normal 13 4 2 5 2 2" xfId="26101" xr:uid="{00000000-0005-0000-0000-0000F1B90000}"/>
    <cellStyle name="Normal 13 4 2 5 2 2 2" xfId="55107" xr:uid="{00000000-0005-0000-0000-0000F2B90000}"/>
    <cellStyle name="Normal 13 4 2 5 2 3" xfId="40608" xr:uid="{00000000-0005-0000-0000-0000F3B90000}"/>
    <cellStyle name="Normal 13 4 2 5 3" xfId="18853" xr:uid="{00000000-0005-0000-0000-0000F4B90000}"/>
    <cellStyle name="Normal 13 4 2 5 3 2" xfId="47859" xr:uid="{00000000-0005-0000-0000-0000F5B90000}"/>
    <cellStyle name="Normal 13 4 2 5 4" xfId="33360" xr:uid="{00000000-0005-0000-0000-0000F6B90000}"/>
    <cellStyle name="Normal 13 4 2 6" xfId="7399" xr:uid="{00000000-0005-0000-0000-0000F7B90000}"/>
    <cellStyle name="Normal 13 4 2 6 2" xfId="14671" xr:uid="{00000000-0005-0000-0000-0000F8B90000}"/>
    <cellStyle name="Normal 13 4 2 6 2 2" xfId="29205" xr:uid="{00000000-0005-0000-0000-0000F9B90000}"/>
    <cellStyle name="Normal 13 4 2 6 2 2 2" xfId="58211" xr:uid="{00000000-0005-0000-0000-0000FAB90000}"/>
    <cellStyle name="Normal 13 4 2 6 2 3" xfId="43712" xr:uid="{00000000-0005-0000-0000-0000FBB90000}"/>
    <cellStyle name="Normal 13 4 2 6 3" xfId="21957" xr:uid="{00000000-0005-0000-0000-0000FCB90000}"/>
    <cellStyle name="Normal 13 4 2 6 3 2" xfId="50963" xr:uid="{00000000-0005-0000-0000-0000FDB90000}"/>
    <cellStyle name="Normal 13 4 2 6 4" xfId="36464" xr:uid="{00000000-0005-0000-0000-0000FEB90000}"/>
    <cellStyle name="Normal 13 4 2 7" xfId="8463" xr:uid="{00000000-0005-0000-0000-0000FFB90000}"/>
    <cellStyle name="Normal 13 4 2 7 2" xfId="22997" xr:uid="{00000000-0005-0000-0000-000000BA0000}"/>
    <cellStyle name="Normal 13 4 2 7 2 2" xfId="52003" xr:uid="{00000000-0005-0000-0000-000001BA0000}"/>
    <cellStyle name="Normal 13 4 2 7 3" xfId="37504" xr:uid="{00000000-0005-0000-0000-000002BA0000}"/>
    <cellStyle name="Normal 13 4 2 8" xfId="15749" xr:uid="{00000000-0005-0000-0000-000003BA0000}"/>
    <cellStyle name="Normal 13 4 2 8 2" xfId="44755" xr:uid="{00000000-0005-0000-0000-000004BA0000}"/>
    <cellStyle name="Normal 13 4 2 9" xfId="30256" xr:uid="{00000000-0005-0000-0000-000005BA0000}"/>
    <cellStyle name="Normal 13 4 3" xfId="1380" xr:uid="{00000000-0005-0000-0000-000006BA0000}"/>
    <cellStyle name="Normal 13 4 3 2" xfId="2437" xr:uid="{00000000-0005-0000-0000-000007BA0000}"/>
    <cellStyle name="Normal 13 4 3 2 2" xfId="5541" xr:uid="{00000000-0005-0000-0000-000008BA0000}"/>
    <cellStyle name="Normal 13 4 3 2 2 2" xfId="12813" xr:uid="{00000000-0005-0000-0000-000009BA0000}"/>
    <cellStyle name="Normal 13 4 3 2 2 2 2" xfId="27347" xr:uid="{00000000-0005-0000-0000-00000ABA0000}"/>
    <cellStyle name="Normal 13 4 3 2 2 2 2 2" xfId="56353" xr:uid="{00000000-0005-0000-0000-00000BBA0000}"/>
    <cellStyle name="Normal 13 4 3 2 2 2 3" xfId="41854" xr:uid="{00000000-0005-0000-0000-00000CBA0000}"/>
    <cellStyle name="Normal 13 4 3 2 2 3" xfId="20099" xr:uid="{00000000-0005-0000-0000-00000DBA0000}"/>
    <cellStyle name="Normal 13 4 3 2 2 3 2" xfId="49105" xr:uid="{00000000-0005-0000-0000-00000EBA0000}"/>
    <cellStyle name="Normal 13 4 3 2 2 4" xfId="34606" xr:uid="{00000000-0005-0000-0000-00000FBA0000}"/>
    <cellStyle name="Normal 13 4 3 2 3" xfId="9709" xr:uid="{00000000-0005-0000-0000-000010BA0000}"/>
    <cellStyle name="Normal 13 4 3 2 3 2" xfId="24243" xr:uid="{00000000-0005-0000-0000-000011BA0000}"/>
    <cellStyle name="Normal 13 4 3 2 3 2 2" xfId="53249" xr:uid="{00000000-0005-0000-0000-000012BA0000}"/>
    <cellStyle name="Normal 13 4 3 2 3 3" xfId="38750" xr:uid="{00000000-0005-0000-0000-000013BA0000}"/>
    <cellStyle name="Normal 13 4 3 2 4" xfId="16995" xr:uid="{00000000-0005-0000-0000-000014BA0000}"/>
    <cellStyle name="Normal 13 4 3 2 4 2" xfId="46001" xr:uid="{00000000-0005-0000-0000-000015BA0000}"/>
    <cellStyle name="Normal 13 4 3 2 5" xfId="31502" xr:uid="{00000000-0005-0000-0000-000016BA0000}"/>
    <cellStyle name="Normal 13 4 3 3" xfId="3469" xr:uid="{00000000-0005-0000-0000-000017BA0000}"/>
    <cellStyle name="Normal 13 4 3 3 2" xfId="6573" xr:uid="{00000000-0005-0000-0000-000018BA0000}"/>
    <cellStyle name="Normal 13 4 3 3 2 2" xfId="13845" xr:uid="{00000000-0005-0000-0000-000019BA0000}"/>
    <cellStyle name="Normal 13 4 3 3 2 2 2" xfId="28379" xr:uid="{00000000-0005-0000-0000-00001ABA0000}"/>
    <cellStyle name="Normal 13 4 3 3 2 2 2 2" xfId="57385" xr:uid="{00000000-0005-0000-0000-00001BBA0000}"/>
    <cellStyle name="Normal 13 4 3 3 2 2 3" xfId="42886" xr:uid="{00000000-0005-0000-0000-00001CBA0000}"/>
    <cellStyle name="Normal 13 4 3 3 2 3" xfId="21131" xr:uid="{00000000-0005-0000-0000-00001DBA0000}"/>
    <cellStyle name="Normal 13 4 3 3 2 3 2" xfId="50137" xr:uid="{00000000-0005-0000-0000-00001EBA0000}"/>
    <cellStyle name="Normal 13 4 3 3 2 4" xfId="35638" xr:uid="{00000000-0005-0000-0000-00001FBA0000}"/>
    <cellStyle name="Normal 13 4 3 3 3" xfId="10741" xr:uid="{00000000-0005-0000-0000-000020BA0000}"/>
    <cellStyle name="Normal 13 4 3 3 3 2" xfId="25275" xr:uid="{00000000-0005-0000-0000-000021BA0000}"/>
    <cellStyle name="Normal 13 4 3 3 3 2 2" xfId="54281" xr:uid="{00000000-0005-0000-0000-000022BA0000}"/>
    <cellStyle name="Normal 13 4 3 3 3 3" xfId="39782" xr:uid="{00000000-0005-0000-0000-000023BA0000}"/>
    <cellStyle name="Normal 13 4 3 3 4" xfId="18027" xr:uid="{00000000-0005-0000-0000-000024BA0000}"/>
    <cellStyle name="Normal 13 4 3 3 4 2" xfId="47033" xr:uid="{00000000-0005-0000-0000-000025BA0000}"/>
    <cellStyle name="Normal 13 4 3 3 5" xfId="32534" xr:uid="{00000000-0005-0000-0000-000026BA0000}"/>
    <cellStyle name="Normal 13 4 3 4" xfId="4501" xr:uid="{00000000-0005-0000-0000-000027BA0000}"/>
    <cellStyle name="Normal 13 4 3 4 2" xfId="11773" xr:uid="{00000000-0005-0000-0000-000028BA0000}"/>
    <cellStyle name="Normal 13 4 3 4 2 2" xfId="26307" xr:uid="{00000000-0005-0000-0000-000029BA0000}"/>
    <cellStyle name="Normal 13 4 3 4 2 2 2" xfId="55313" xr:uid="{00000000-0005-0000-0000-00002ABA0000}"/>
    <cellStyle name="Normal 13 4 3 4 2 3" xfId="40814" xr:uid="{00000000-0005-0000-0000-00002BBA0000}"/>
    <cellStyle name="Normal 13 4 3 4 3" xfId="19059" xr:uid="{00000000-0005-0000-0000-00002CBA0000}"/>
    <cellStyle name="Normal 13 4 3 4 3 2" xfId="48065" xr:uid="{00000000-0005-0000-0000-00002DBA0000}"/>
    <cellStyle name="Normal 13 4 3 4 4" xfId="33566" xr:uid="{00000000-0005-0000-0000-00002EBA0000}"/>
    <cellStyle name="Normal 13 4 3 5" xfId="7605" xr:uid="{00000000-0005-0000-0000-00002FBA0000}"/>
    <cellStyle name="Normal 13 4 3 5 2" xfId="14877" xr:uid="{00000000-0005-0000-0000-000030BA0000}"/>
    <cellStyle name="Normal 13 4 3 5 2 2" xfId="29411" xr:uid="{00000000-0005-0000-0000-000031BA0000}"/>
    <cellStyle name="Normal 13 4 3 5 2 2 2" xfId="58417" xr:uid="{00000000-0005-0000-0000-000032BA0000}"/>
    <cellStyle name="Normal 13 4 3 5 2 3" xfId="43918" xr:uid="{00000000-0005-0000-0000-000033BA0000}"/>
    <cellStyle name="Normal 13 4 3 5 3" xfId="22163" xr:uid="{00000000-0005-0000-0000-000034BA0000}"/>
    <cellStyle name="Normal 13 4 3 5 3 2" xfId="51169" xr:uid="{00000000-0005-0000-0000-000035BA0000}"/>
    <cellStyle name="Normal 13 4 3 5 4" xfId="36670" xr:uid="{00000000-0005-0000-0000-000036BA0000}"/>
    <cellStyle name="Normal 13 4 3 6" xfId="8669" xr:uid="{00000000-0005-0000-0000-000037BA0000}"/>
    <cellStyle name="Normal 13 4 3 6 2" xfId="23203" xr:uid="{00000000-0005-0000-0000-000038BA0000}"/>
    <cellStyle name="Normal 13 4 3 6 2 2" xfId="52209" xr:uid="{00000000-0005-0000-0000-000039BA0000}"/>
    <cellStyle name="Normal 13 4 3 6 3" xfId="37710" xr:uid="{00000000-0005-0000-0000-00003ABA0000}"/>
    <cellStyle name="Normal 13 4 3 7" xfId="15955" xr:uid="{00000000-0005-0000-0000-00003BBA0000}"/>
    <cellStyle name="Normal 13 4 3 7 2" xfId="44961" xr:uid="{00000000-0005-0000-0000-00003CBA0000}"/>
    <cellStyle name="Normal 13 4 3 8" xfId="30462" xr:uid="{00000000-0005-0000-0000-00003DBA0000}"/>
    <cellStyle name="Normal 13 4 4" xfId="1925" xr:uid="{00000000-0005-0000-0000-00003EBA0000}"/>
    <cellStyle name="Normal 13 4 4 2" xfId="5029" xr:uid="{00000000-0005-0000-0000-00003FBA0000}"/>
    <cellStyle name="Normal 13 4 4 2 2" xfId="12301" xr:uid="{00000000-0005-0000-0000-000040BA0000}"/>
    <cellStyle name="Normal 13 4 4 2 2 2" xfId="26835" xr:uid="{00000000-0005-0000-0000-000041BA0000}"/>
    <cellStyle name="Normal 13 4 4 2 2 2 2" xfId="55841" xr:uid="{00000000-0005-0000-0000-000042BA0000}"/>
    <cellStyle name="Normal 13 4 4 2 2 3" xfId="41342" xr:uid="{00000000-0005-0000-0000-000043BA0000}"/>
    <cellStyle name="Normal 13 4 4 2 3" xfId="19587" xr:uid="{00000000-0005-0000-0000-000044BA0000}"/>
    <cellStyle name="Normal 13 4 4 2 3 2" xfId="48593" xr:uid="{00000000-0005-0000-0000-000045BA0000}"/>
    <cellStyle name="Normal 13 4 4 2 4" xfId="34094" xr:uid="{00000000-0005-0000-0000-000046BA0000}"/>
    <cellStyle name="Normal 13 4 4 3" xfId="9197" xr:uid="{00000000-0005-0000-0000-000047BA0000}"/>
    <cellStyle name="Normal 13 4 4 3 2" xfId="23731" xr:uid="{00000000-0005-0000-0000-000048BA0000}"/>
    <cellStyle name="Normal 13 4 4 3 2 2" xfId="52737" xr:uid="{00000000-0005-0000-0000-000049BA0000}"/>
    <cellStyle name="Normal 13 4 4 3 3" xfId="38238" xr:uid="{00000000-0005-0000-0000-00004ABA0000}"/>
    <cellStyle name="Normal 13 4 4 4" xfId="16483" xr:uid="{00000000-0005-0000-0000-00004BBA0000}"/>
    <cellStyle name="Normal 13 4 4 4 2" xfId="45489" xr:uid="{00000000-0005-0000-0000-00004CBA0000}"/>
    <cellStyle name="Normal 13 4 4 5" xfId="30990" xr:uid="{00000000-0005-0000-0000-00004DBA0000}"/>
    <cellStyle name="Normal 13 4 5" xfId="2957" xr:uid="{00000000-0005-0000-0000-00004EBA0000}"/>
    <cellStyle name="Normal 13 4 5 2" xfId="6061" xr:uid="{00000000-0005-0000-0000-00004FBA0000}"/>
    <cellStyle name="Normal 13 4 5 2 2" xfId="13333" xr:uid="{00000000-0005-0000-0000-000050BA0000}"/>
    <cellStyle name="Normal 13 4 5 2 2 2" xfId="27867" xr:uid="{00000000-0005-0000-0000-000051BA0000}"/>
    <cellStyle name="Normal 13 4 5 2 2 2 2" xfId="56873" xr:uid="{00000000-0005-0000-0000-000052BA0000}"/>
    <cellStyle name="Normal 13 4 5 2 2 3" xfId="42374" xr:uid="{00000000-0005-0000-0000-000053BA0000}"/>
    <cellStyle name="Normal 13 4 5 2 3" xfId="20619" xr:uid="{00000000-0005-0000-0000-000054BA0000}"/>
    <cellStyle name="Normal 13 4 5 2 3 2" xfId="49625" xr:uid="{00000000-0005-0000-0000-000055BA0000}"/>
    <cellStyle name="Normal 13 4 5 2 4" xfId="35126" xr:uid="{00000000-0005-0000-0000-000056BA0000}"/>
    <cellStyle name="Normal 13 4 5 3" xfId="10229" xr:uid="{00000000-0005-0000-0000-000057BA0000}"/>
    <cellStyle name="Normal 13 4 5 3 2" xfId="24763" xr:uid="{00000000-0005-0000-0000-000058BA0000}"/>
    <cellStyle name="Normal 13 4 5 3 2 2" xfId="53769" xr:uid="{00000000-0005-0000-0000-000059BA0000}"/>
    <cellStyle name="Normal 13 4 5 3 3" xfId="39270" xr:uid="{00000000-0005-0000-0000-00005ABA0000}"/>
    <cellStyle name="Normal 13 4 5 4" xfId="17515" xr:uid="{00000000-0005-0000-0000-00005BBA0000}"/>
    <cellStyle name="Normal 13 4 5 4 2" xfId="46521" xr:uid="{00000000-0005-0000-0000-00005CBA0000}"/>
    <cellStyle name="Normal 13 4 5 5" xfId="32022" xr:uid="{00000000-0005-0000-0000-00005DBA0000}"/>
    <cellStyle name="Normal 13 4 6" xfId="3989" xr:uid="{00000000-0005-0000-0000-00005EBA0000}"/>
    <cellStyle name="Normal 13 4 6 2" xfId="11261" xr:uid="{00000000-0005-0000-0000-00005FBA0000}"/>
    <cellStyle name="Normal 13 4 6 2 2" xfId="25795" xr:uid="{00000000-0005-0000-0000-000060BA0000}"/>
    <cellStyle name="Normal 13 4 6 2 2 2" xfId="54801" xr:uid="{00000000-0005-0000-0000-000061BA0000}"/>
    <cellStyle name="Normal 13 4 6 2 3" xfId="40302" xr:uid="{00000000-0005-0000-0000-000062BA0000}"/>
    <cellStyle name="Normal 13 4 6 3" xfId="18547" xr:uid="{00000000-0005-0000-0000-000063BA0000}"/>
    <cellStyle name="Normal 13 4 6 3 2" xfId="47553" xr:uid="{00000000-0005-0000-0000-000064BA0000}"/>
    <cellStyle name="Normal 13 4 6 4" xfId="33054" xr:uid="{00000000-0005-0000-0000-000065BA0000}"/>
    <cellStyle name="Normal 13 4 7" xfId="7093" xr:uid="{00000000-0005-0000-0000-000066BA0000}"/>
    <cellStyle name="Normal 13 4 7 2" xfId="14365" xr:uid="{00000000-0005-0000-0000-000067BA0000}"/>
    <cellStyle name="Normal 13 4 7 2 2" xfId="28899" xr:uid="{00000000-0005-0000-0000-000068BA0000}"/>
    <cellStyle name="Normal 13 4 7 2 2 2" xfId="57905" xr:uid="{00000000-0005-0000-0000-000069BA0000}"/>
    <cellStyle name="Normal 13 4 7 2 3" xfId="43406" xr:uid="{00000000-0005-0000-0000-00006ABA0000}"/>
    <cellStyle name="Normal 13 4 7 3" xfId="21651" xr:uid="{00000000-0005-0000-0000-00006BBA0000}"/>
    <cellStyle name="Normal 13 4 7 3 2" xfId="50657" xr:uid="{00000000-0005-0000-0000-00006CBA0000}"/>
    <cellStyle name="Normal 13 4 7 4" xfId="36158" xr:uid="{00000000-0005-0000-0000-00006DBA0000}"/>
    <cellStyle name="Normal 13 4 8" xfId="8157" xr:uid="{00000000-0005-0000-0000-00006EBA0000}"/>
    <cellStyle name="Normal 13 4 8 2" xfId="22691" xr:uid="{00000000-0005-0000-0000-00006FBA0000}"/>
    <cellStyle name="Normal 13 4 8 2 2" xfId="51697" xr:uid="{00000000-0005-0000-0000-000070BA0000}"/>
    <cellStyle name="Normal 13 4 8 3" xfId="37198" xr:uid="{00000000-0005-0000-0000-000071BA0000}"/>
    <cellStyle name="Normal 13 4 9" xfId="15443" xr:uid="{00000000-0005-0000-0000-000072BA0000}"/>
    <cellStyle name="Normal 13 4 9 2" xfId="44449" xr:uid="{00000000-0005-0000-0000-000073BA0000}"/>
    <cellStyle name="Normal 13 5" xfId="1089" xr:uid="{00000000-0005-0000-0000-000074BA0000}"/>
    <cellStyle name="Normal 13 5 2" xfId="1581" xr:uid="{00000000-0005-0000-0000-000075BA0000}"/>
    <cellStyle name="Normal 13 5 2 2" xfId="2640" xr:uid="{00000000-0005-0000-0000-000076BA0000}"/>
    <cellStyle name="Normal 13 5 2 2 2" xfId="5744" xr:uid="{00000000-0005-0000-0000-000077BA0000}"/>
    <cellStyle name="Normal 13 5 2 2 2 2" xfId="13016" xr:uid="{00000000-0005-0000-0000-000078BA0000}"/>
    <cellStyle name="Normal 13 5 2 2 2 2 2" xfId="27550" xr:uid="{00000000-0005-0000-0000-000079BA0000}"/>
    <cellStyle name="Normal 13 5 2 2 2 2 2 2" xfId="56556" xr:uid="{00000000-0005-0000-0000-00007ABA0000}"/>
    <cellStyle name="Normal 13 5 2 2 2 2 3" xfId="42057" xr:uid="{00000000-0005-0000-0000-00007BBA0000}"/>
    <cellStyle name="Normal 13 5 2 2 2 3" xfId="20302" xr:uid="{00000000-0005-0000-0000-00007CBA0000}"/>
    <cellStyle name="Normal 13 5 2 2 2 3 2" xfId="49308" xr:uid="{00000000-0005-0000-0000-00007DBA0000}"/>
    <cellStyle name="Normal 13 5 2 2 2 4" xfId="34809" xr:uid="{00000000-0005-0000-0000-00007EBA0000}"/>
    <cellStyle name="Normal 13 5 2 2 3" xfId="9912" xr:uid="{00000000-0005-0000-0000-00007FBA0000}"/>
    <cellStyle name="Normal 13 5 2 2 3 2" xfId="24446" xr:uid="{00000000-0005-0000-0000-000080BA0000}"/>
    <cellStyle name="Normal 13 5 2 2 3 2 2" xfId="53452" xr:uid="{00000000-0005-0000-0000-000081BA0000}"/>
    <cellStyle name="Normal 13 5 2 2 3 3" xfId="38953" xr:uid="{00000000-0005-0000-0000-000082BA0000}"/>
    <cellStyle name="Normal 13 5 2 2 4" xfId="17198" xr:uid="{00000000-0005-0000-0000-000083BA0000}"/>
    <cellStyle name="Normal 13 5 2 2 4 2" xfId="46204" xr:uid="{00000000-0005-0000-0000-000084BA0000}"/>
    <cellStyle name="Normal 13 5 2 2 5" xfId="31705" xr:uid="{00000000-0005-0000-0000-000085BA0000}"/>
    <cellStyle name="Normal 13 5 2 3" xfId="3672" xr:uid="{00000000-0005-0000-0000-000086BA0000}"/>
    <cellStyle name="Normal 13 5 2 3 2" xfId="6776" xr:uid="{00000000-0005-0000-0000-000087BA0000}"/>
    <cellStyle name="Normal 13 5 2 3 2 2" xfId="14048" xr:uid="{00000000-0005-0000-0000-000088BA0000}"/>
    <cellStyle name="Normal 13 5 2 3 2 2 2" xfId="28582" xr:uid="{00000000-0005-0000-0000-000089BA0000}"/>
    <cellStyle name="Normal 13 5 2 3 2 2 2 2" xfId="57588" xr:uid="{00000000-0005-0000-0000-00008ABA0000}"/>
    <cellStyle name="Normal 13 5 2 3 2 2 3" xfId="43089" xr:uid="{00000000-0005-0000-0000-00008BBA0000}"/>
    <cellStyle name="Normal 13 5 2 3 2 3" xfId="21334" xr:uid="{00000000-0005-0000-0000-00008CBA0000}"/>
    <cellStyle name="Normal 13 5 2 3 2 3 2" xfId="50340" xr:uid="{00000000-0005-0000-0000-00008DBA0000}"/>
    <cellStyle name="Normal 13 5 2 3 2 4" xfId="35841" xr:uid="{00000000-0005-0000-0000-00008EBA0000}"/>
    <cellStyle name="Normal 13 5 2 3 3" xfId="10944" xr:uid="{00000000-0005-0000-0000-00008FBA0000}"/>
    <cellStyle name="Normal 13 5 2 3 3 2" xfId="25478" xr:uid="{00000000-0005-0000-0000-000090BA0000}"/>
    <cellStyle name="Normal 13 5 2 3 3 2 2" xfId="54484" xr:uid="{00000000-0005-0000-0000-000091BA0000}"/>
    <cellStyle name="Normal 13 5 2 3 3 3" xfId="39985" xr:uid="{00000000-0005-0000-0000-000092BA0000}"/>
    <cellStyle name="Normal 13 5 2 3 4" xfId="18230" xr:uid="{00000000-0005-0000-0000-000093BA0000}"/>
    <cellStyle name="Normal 13 5 2 3 4 2" xfId="47236" xr:uid="{00000000-0005-0000-0000-000094BA0000}"/>
    <cellStyle name="Normal 13 5 2 3 5" xfId="32737" xr:uid="{00000000-0005-0000-0000-000095BA0000}"/>
    <cellStyle name="Normal 13 5 2 4" xfId="4704" xr:uid="{00000000-0005-0000-0000-000096BA0000}"/>
    <cellStyle name="Normal 13 5 2 4 2" xfId="11976" xr:uid="{00000000-0005-0000-0000-000097BA0000}"/>
    <cellStyle name="Normal 13 5 2 4 2 2" xfId="26510" xr:uid="{00000000-0005-0000-0000-000098BA0000}"/>
    <cellStyle name="Normal 13 5 2 4 2 2 2" xfId="55516" xr:uid="{00000000-0005-0000-0000-000099BA0000}"/>
    <cellStyle name="Normal 13 5 2 4 2 3" xfId="41017" xr:uid="{00000000-0005-0000-0000-00009ABA0000}"/>
    <cellStyle name="Normal 13 5 2 4 3" xfId="19262" xr:uid="{00000000-0005-0000-0000-00009BBA0000}"/>
    <cellStyle name="Normal 13 5 2 4 3 2" xfId="48268" xr:uid="{00000000-0005-0000-0000-00009CBA0000}"/>
    <cellStyle name="Normal 13 5 2 4 4" xfId="33769" xr:uid="{00000000-0005-0000-0000-00009DBA0000}"/>
    <cellStyle name="Normal 13 5 2 5" xfId="7808" xr:uid="{00000000-0005-0000-0000-00009EBA0000}"/>
    <cellStyle name="Normal 13 5 2 5 2" xfId="15080" xr:uid="{00000000-0005-0000-0000-00009FBA0000}"/>
    <cellStyle name="Normal 13 5 2 5 2 2" xfId="29614" xr:uid="{00000000-0005-0000-0000-0000A0BA0000}"/>
    <cellStyle name="Normal 13 5 2 5 2 2 2" xfId="58620" xr:uid="{00000000-0005-0000-0000-0000A1BA0000}"/>
    <cellStyle name="Normal 13 5 2 5 2 3" xfId="44121" xr:uid="{00000000-0005-0000-0000-0000A2BA0000}"/>
    <cellStyle name="Normal 13 5 2 5 3" xfId="22366" xr:uid="{00000000-0005-0000-0000-0000A3BA0000}"/>
    <cellStyle name="Normal 13 5 2 5 3 2" xfId="51372" xr:uid="{00000000-0005-0000-0000-0000A4BA0000}"/>
    <cellStyle name="Normal 13 5 2 5 4" xfId="36873" xr:uid="{00000000-0005-0000-0000-0000A5BA0000}"/>
    <cellStyle name="Normal 13 5 2 6" xfId="8872" xr:uid="{00000000-0005-0000-0000-0000A6BA0000}"/>
    <cellStyle name="Normal 13 5 2 6 2" xfId="23406" xr:uid="{00000000-0005-0000-0000-0000A7BA0000}"/>
    <cellStyle name="Normal 13 5 2 6 2 2" xfId="52412" xr:uid="{00000000-0005-0000-0000-0000A8BA0000}"/>
    <cellStyle name="Normal 13 5 2 6 3" xfId="37913" xr:uid="{00000000-0005-0000-0000-0000A9BA0000}"/>
    <cellStyle name="Normal 13 5 2 7" xfId="16158" xr:uid="{00000000-0005-0000-0000-0000AABA0000}"/>
    <cellStyle name="Normal 13 5 2 7 2" xfId="45164" xr:uid="{00000000-0005-0000-0000-0000ABBA0000}"/>
    <cellStyle name="Normal 13 5 2 8" xfId="30665" xr:uid="{00000000-0005-0000-0000-0000ACBA0000}"/>
    <cellStyle name="Normal 13 5 3" xfId="2128" xr:uid="{00000000-0005-0000-0000-0000ADBA0000}"/>
    <cellStyle name="Normal 13 5 3 2" xfId="5232" xr:uid="{00000000-0005-0000-0000-0000AEBA0000}"/>
    <cellStyle name="Normal 13 5 3 2 2" xfId="12504" xr:uid="{00000000-0005-0000-0000-0000AFBA0000}"/>
    <cellStyle name="Normal 13 5 3 2 2 2" xfId="27038" xr:uid="{00000000-0005-0000-0000-0000B0BA0000}"/>
    <cellStyle name="Normal 13 5 3 2 2 2 2" xfId="56044" xr:uid="{00000000-0005-0000-0000-0000B1BA0000}"/>
    <cellStyle name="Normal 13 5 3 2 2 3" xfId="41545" xr:uid="{00000000-0005-0000-0000-0000B2BA0000}"/>
    <cellStyle name="Normal 13 5 3 2 3" xfId="19790" xr:uid="{00000000-0005-0000-0000-0000B3BA0000}"/>
    <cellStyle name="Normal 13 5 3 2 3 2" xfId="48796" xr:uid="{00000000-0005-0000-0000-0000B4BA0000}"/>
    <cellStyle name="Normal 13 5 3 2 4" xfId="34297" xr:uid="{00000000-0005-0000-0000-0000B5BA0000}"/>
    <cellStyle name="Normal 13 5 3 3" xfId="9400" xr:uid="{00000000-0005-0000-0000-0000B6BA0000}"/>
    <cellStyle name="Normal 13 5 3 3 2" xfId="23934" xr:uid="{00000000-0005-0000-0000-0000B7BA0000}"/>
    <cellStyle name="Normal 13 5 3 3 2 2" xfId="52940" xr:uid="{00000000-0005-0000-0000-0000B8BA0000}"/>
    <cellStyle name="Normal 13 5 3 3 3" xfId="38441" xr:uid="{00000000-0005-0000-0000-0000B9BA0000}"/>
    <cellStyle name="Normal 13 5 3 4" xfId="16686" xr:uid="{00000000-0005-0000-0000-0000BABA0000}"/>
    <cellStyle name="Normal 13 5 3 4 2" xfId="45692" xr:uid="{00000000-0005-0000-0000-0000BBBA0000}"/>
    <cellStyle name="Normal 13 5 3 5" xfId="31193" xr:uid="{00000000-0005-0000-0000-0000BCBA0000}"/>
    <cellStyle name="Normal 13 5 4" xfId="3160" xr:uid="{00000000-0005-0000-0000-0000BDBA0000}"/>
    <cellStyle name="Normal 13 5 4 2" xfId="6264" xr:uid="{00000000-0005-0000-0000-0000BEBA0000}"/>
    <cellStyle name="Normal 13 5 4 2 2" xfId="13536" xr:uid="{00000000-0005-0000-0000-0000BFBA0000}"/>
    <cellStyle name="Normal 13 5 4 2 2 2" xfId="28070" xr:uid="{00000000-0005-0000-0000-0000C0BA0000}"/>
    <cellStyle name="Normal 13 5 4 2 2 2 2" xfId="57076" xr:uid="{00000000-0005-0000-0000-0000C1BA0000}"/>
    <cellStyle name="Normal 13 5 4 2 2 3" xfId="42577" xr:uid="{00000000-0005-0000-0000-0000C2BA0000}"/>
    <cellStyle name="Normal 13 5 4 2 3" xfId="20822" xr:uid="{00000000-0005-0000-0000-0000C3BA0000}"/>
    <cellStyle name="Normal 13 5 4 2 3 2" xfId="49828" xr:uid="{00000000-0005-0000-0000-0000C4BA0000}"/>
    <cellStyle name="Normal 13 5 4 2 4" xfId="35329" xr:uid="{00000000-0005-0000-0000-0000C5BA0000}"/>
    <cellStyle name="Normal 13 5 4 3" xfId="10432" xr:uid="{00000000-0005-0000-0000-0000C6BA0000}"/>
    <cellStyle name="Normal 13 5 4 3 2" xfId="24966" xr:uid="{00000000-0005-0000-0000-0000C7BA0000}"/>
    <cellStyle name="Normal 13 5 4 3 2 2" xfId="53972" xr:uid="{00000000-0005-0000-0000-0000C8BA0000}"/>
    <cellStyle name="Normal 13 5 4 3 3" xfId="39473" xr:uid="{00000000-0005-0000-0000-0000C9BA0000}"/>
    <cellStyle name="Normal 13 5 4 4" xfId="17718" xr:uid="{00000000-0005-0000-0000-0000CABA0000}"/>
    <cellStyle name="Normal 13 5 4 4 2" xfId="46724" xr:uid="{00000000-0005-0000-0000-0000CBBA0000}"/>
    <cellStyle name="Normal 13 5 4 5" xfId="32225" xr:uid="{00000000-0005-0000-0000-0000CCBA0000}"/>
    <cellStyle name="Normal 13 5 5" xfId="4192" xr:uid="{00000000-0005-0000-0000-0000CDBA0000}"/>
    <cellStyle name="Normal 13 5 5 2" xfId="11464" xr:uid="{00000000-0005-0000-0000-0000CEBA0000}"/>
    <cellStyle name="Normal 13 5 5 2 2" xfId="25998" xr:uid="{00000000-0005-0000-0000-0000CFBA0000}"/>
    <cellStyle name="Normal 13 5 5 2 2 2" xfId="55004" xr:uid="{00000000-0005-0000-0000-0000D0BA0000}"/>
    <cellStyle name="Normal 13 5 5 2 3" xfId="40505" xr:uid="{00000000-0005-0000-0000-0000D1BA0000}"/>
    <cellStyle name="Normal 13 5 5 3" xfId="18750" xr:uid="{00000000-0005-0000-0000-0000D2BA0000}"/>
    <cellStyle name="Normal 13 5 5 3 2" xfId="47756" xr:uid="{00000000-0005-0000-0000-0000D3BA0000}"/>
    <cellStyle name="Normal 13 5 5 4" xfId="33257" xr:uid="{00000000-0005-0000-0000-0000D4BA0000}"/>
    <cellStyle name="Normal 13 5 6" xfId="7296" xr:uid="{00000000-0005-0000-0000-0000D5BA0000}"/>
    <cellStyle name="Normal 13 5 6 2" xfId="14568" xr:uid="{00000000-0005-0000-0000-0000D6BA0000}"/>
    <cellStyle name="Normal 13 5 6 2 2" xfId="29102" xr:uid="{00000000-0005-0000-0000-0000D7BA0000}"/>
    <cellStyle name="Normal 13 5 6 2 2 2" xfId="58108" xr:uid="{00000000-0005-0000-0000-0000D8BA0000}"/>
    <cellStyle name="Normal 13 5 6 2 3" xfId="43609" xr:uid="{00000000-0005-0000-0000-0000D9BA0000}"/>
    <cellStyle name="Normal 13 5 6 3" xfId="21854" xr:uid="{00000000-0005-0000-0000-0000DABA0000}"/>
    <cellStyle name="Normal 13 5 6 3 2" xfId="50860" xr:uid="{00000000-0005-0000-0000-0000DBBA0000}"/>
    <cellStyle name="Normal 13 5 6 4" xfId="36361" xr:uid="{00000000-0005-0000-0000-0000DCBA0000}"/>
    <cellStyle name="Normal 13 5 7" xfId="8360" xr:uid="{00000000-0005-0000-0000-0000DDBA0000}"/>
    <cellStyle name="Normal 13 5 7 2" xfId="22894" xr:uid="{00000000-0005-0000-0000-0000DEBA0000}"/>
    <cellStyle name="Normal 13 5 7 2 2" xfId="51900" xr:uid="{00000000-0005-0000-0000-0000DFBA0000}"/>
    <cellStyle name="Normal 13 5 7 3" xfId="37401" xr:uid="{00000000-0005-0000-0000-0000E0BA0000}"/>
    <cellStyle name="Normal 13 5 8" xfId="15646" xr:uid="{00000000-0005-0000-0000-0000E1BA0000}"/>
    <cellStyle name="Normal 13 5 8 2" xfId="44652" xr:uid="{00000000-0005-0000-0000-0000E2BA0000}"/>
    <cellStyle name="Normal 13 5 9" xfId="30153" xr:uid="{00000000-0005-0000-0000-0000E3BA0000}"/>
    <cellStyle name="Normal 13 6" xfId="997" xr:uid="{00000000-0005-0000-0000-0000E4BA0000}"/>
    <cellStyle name="Normal 13 6 2" xfId="1482" xr:uid="{00000000-0005-0000-0000-0000E5BA0000}"/>
    <cellStyle name="Normal 13 6 2 2" xfId="2540" xr:uid="{00000000-0005-0000-0000-0000E6BA0000}"/>
    <cellStyle name="Normal 13 6 2 2 2" xfId="5644" xr:uid="{00000000-0005-0000-0000-0000E7BA0000}"/>
    <cellStyle name="Normal 13 6 2 2 2 2" xfId="12916" xr:uid="{00000000-0005-0000-0000-0000E8BA0000}"/>
    <cellStyle name="Normal 13 6 2 2 2 2 2" xfId="27450" xr:uid="{00000000-0005-0000-0000-0000E9BA0000}"/>
    <cellStyle name="Normal 13 6 2 2 2 2 2 2" xfId="56456" xr:uid="{00000000-0005-0000-0000-0000EABA0000}"/>
    <cellStyle name="Normal 13 6 2 2 2 2 3" xfId="41957" xr:uid="{00000000-0005-0000-0000-0000EBBA0000}"/>
    <cellStyle name="Normal 13 6 2 2 2 3" xfId="20202" xr:uid="{00000000-0005-0000-0000-0000ECBA0000}"/>
    <cellStyle name="Normal 13 6 2 2 2 3 2" xfId="49208" xr:uid="{00000000-0005-0000-0000-0000EDBA0000}"/>
    <cellStyle name="Normal 13 6 2 2 2 4" xfId="34709" xr:uid="{00000000-0005-0000-0000-0000EEBA0000}"/>
    <cellStyle name="Normal 13 6 2 2 3" xfId="9812" xr:uid="{00000000-0005-0000-0000-0000EFBA0000}"/>
    <cellStyle name="Normal 13 6 2 2 3 2" xfId="24346" xr:uid="{00000000-0005-0000-0000-0000F0BA0000}"/>
    <cellStyle name="Normal 13 6 2 2 3 2 2" xfId="53352" xr:uid="{00000000-0005-0000-0000-0000F1BA0000}"/>
    <cellStyle name="Normal 13 6 2 2 3 3" xfId="38853" xr:uid="{00000000-0005-0000-0000-0000F2BA0000}"/>
    <cellStyle name="Normal 13 6 2 2 4" xfId="17098" xr:uid="{00000000-0005-0000-0000-0000F3BA0000}"/>
    <cellStyle name="Normal 13 6 2 2 4 2" xfId="46104" xr:uid="{00000000-0005-0000-0000-0000F4BA0000}"/>
    <cellStyle name="Normal 13 6 2 2 5" xfId="31605" xr:uid="{00000000-0005-0000-0000-0000F5BA0000}"/>
    <cellStyle name="Normal 13 6 2 3" xfId="3572" xr:uid="{00000000-0005-0000-0000-0000F6BA0000}"/>
    <cellStyle name="Normal 13 6 2 3 2" xfId="6676" xr:uid="{00000000-0005-0000-0000-0000F7BA0000}"/>
    <cellStyle name="Normal 13 6 2 3 2 2" xfId="13948" xr:uid="{00000000-0005-0000-0000-0000F8BA0000}"/>
    <cellStyle name="Normal 13 6 2 3 2 2 2" xfId="28482" xr:uid="{00000000-0005-0000-0000-0000F9BA0000}"/>
    <cellStyle name="Normal 13 6 2 3 2 2 2 2" xfId="57488" xr:uid="{00000000-0005-0000-0000-0000FABA0000}"/>
    <cellStyle name="Normal 13 6 2 3 2 2 3" xfId="42989" xr:uid="{00000000-0005-0000-0000-0000FBBA0000}"/>
    <cellStyle name="Normal 13 6 2 3 2 3" xfId="21234" xr:uid="{00000000-0005-0000-0000-0000FCBA0000}"/>
    <cellStyle name="Normal 13 6 2 3 2 3 2" xfId="50240" xr:uid="{00000000-0005-0000-0000-0000FDBA0000}"/>
    <cellStyle name="Normal 13 6 2 3 2 4" xfId="35741" xr:uid="{00000000-0005-0000-0000-0000FEBA0000}"/>
    <cellStyle name="Normal 13 6 2 3 3" xfId="10844" xr:uid="{00000000-0005-0000-0000-0000FFBA0000}"/>
    <cellStyle name="Normal 13 6 2 3 3 2" xfId="25378" xr:uid="{00000000-0005-0000-0000-000000BB0000}"/>
    <cellStyle name="Normal 13 6 2 3 3 2 2" xfId="54384" xr:uid="{00000000-0005-0000-0000-000001BB0000}"/>
    <cellStyle name="Normal 13 6 2 3 3 3" xfId="39885" xr:uid="{00000000-0005-0000-0000-000002BB0000}"/>
    <cellStyle name="Normal 13 6 2 3 4" xfId="18130" xr:uid="{00000000-0005-0000-0000-000003BB0000}"/>
    <cellStyle name="Normal 13 6 2 3 4 2" xfId="47136" xr:uid="{00000000-0005-0000-0000-000004BB0000}"/>
    <cellStyle name="Normal 13 6 2 3 5" xfId="32637" xr:uid="{00000000-0005-0000-0000-000005BB0000}"/>
    <cellStyle name="Normal 13 6 2 4" xfId="4604" xr:uid="{00000000-0005-0000-0000-000006BB0000}"/>
    <cellStyle name="Normal 13 6 2 4 2" xfId="11876" xr:uid="{00000000-0005-0000-0000-000007BB0000}"/>
    <cellStyle name="Normal 13 6 2 4 2 2" xfId="26410" xr:uid="{00000000-0005-0000-0000-000008BB0000}"/>
    <cellStyle name="Normal 13 6 2 4 2 2 2" xfId="55416" xr:uid="{00000000-0005-0000-0000-000009BB0000}"/>
    <cellStyle name="Normal 13 6 2 4 2 3" xfId="40917" xr:uid="{00000000-0005-0000-0000-00000ABB0000}"/>
    <cellStyle name="Normal 13 6 2 4 3" xfId="19162" xr:uid="{00000000-0005-0000-0000-00000BBB0000}"/>
    <cellStyle name="Normal 13 6 2 4 3 2" xfId="48168" xr:uid="{00000000-0005-0000-0000-00000CBB0000}"/>
    <cellStyle name="Normal 13 6 2 4 4" xfId="33669" xr:uid="{00000000-0005-0000-0000-00000DBB0000}"/>
    <cellStyle name="Normal 13 6 2 5" xfId="7708" xr:uid="{00000000-0005-0000-0000-00000EBB0000}"/>
    <cellStyle name="Normal 13 6 2 5 2" xfId="14980" xr:uid="{00000000-0005-0000-0000-00000FBB0000}"/>
    <cellStyle name="Normal 13 6 2 5 2 2" xfId="29514" xr:uid="{00000000-0005-0000-0000-000010BB0000}"/>
    <cellStyle name="Normal 13 6 2 5 2 2 2" xfId="58520" xr:uid="{00000000-0005-0000-0000-000011BB0000}"/>
    <cellStyle name="Normal 13 6 2 5 2 3" xfId="44021" xr:uid="{00000000-0005-0000-0000-000012BB0000}"/>
    <cellStyle name="Normal 13 6 2 5 3" xfId="22266" xr:uid="{00000000-0005-0000-0000-000013BB0000}"/>
    <cellStyle name="Normal 13 6 2 5 3 2" xfId="51272" xr:uid="{00000000-0005-0000-0000-000014BB0000}"/>
    <cellStyle name="Normal 13 6 2 5 4" xfId="36773" xr:uid="{00000000-0005-0000-0000-000015BB0000}"/>
    <cellStyle name="Normal 13 6 2 6" xfId="8772" xr:uid="{00000000-0005-0000-0000-000016BB0000}"/>
    <cellStyle name="Normal 13 6 2 6 2" xfId="23306" xr:uid="{00000000-0005-0000-0000-000017BB0000}"/>
    <cellStyle name="Normal 13 6 2 6 2 2" xfId="52312" xr:uid="{00000000-0005-0000-0000-000018BB0000}"/>
    <cellStyle name="Normal 13 6 2 6 3" xfId="37813" xr:uid="{00000000-0005-0000-0000-000019BB0000}"/>
    <cellStyle name="Normal 13 6 2 7" xfId="16058" xr:uid="{00000000-0005-0000-0000-00001ABB0000}"/>
    <cellStyle name="Normal 13 6 2 7 2" xfId="45064" xr:uid="{00000000-0005-0000-0000-00001BBB0000}"/>
    <cellStyle name="Normal 13 6 2 8" xfId="30565" xr:uid="{00000000-0005-0000-0000-00001CBB0000}"/>
    <cellStyle name="Normal 13 6 3" xfId="2028" xr:uid="{00000000-0005-0000-0000-00001DBB0000}"/>
    <cellStyle name="Normal 13 6 3 2" xfId="5132" xr:uid="{00000000-0005-0000-0000-00001EBB0000}"/>
    <cellStyle name="Normal 13 6 3 2 2" xfId="12404" xr:uid="{00000000-0005-0000-0000-00001FBB0000}"/>
    <cellStyle name="Normal 13 6 3 2 2 2" xfId="26938" xr:uid="{00000000-0005-0000-0000-000020BB0000}"/>
    <cellStyle name="Normal 13 6 3 2 2 2 2" xfId="55944" xr:uid="{00000000-0005-0000-0000-000021BB0000}"/>
    <cellStyle name="Normal 13 6 3 2 2 3" xfId="41445" xr:uid="{00000000-0005-0000-0000-000022BB0000}"/>
    <cellStyle name="Normal 13 6 3 2 3" xfId="19690" xr:uid="{00000000-0005-0000-0000-000023BB0000}"/>
    <cellStyle name="Normal 13 6 3 2 3 2" xfId="48696" xr:uid="{00000000-0005-0000-0000-000024BB0000}"/>
    <cellStyle name="Normal 13 6 3 2 4" xfId="34197" xr:uid="{00000000-0005-0000-0000-000025BB0000}"/>
    <cellStyle name="Normal 13 6 3 3" xfId="9300" xr:uid="{00000000-0005-0000-0000-000026BB0000}"/>
    <cellStyle name="Normal 13 6 3 3 2" xfId="23834" xr:uid="{00000000-0005-0000-0000-000027BB0000}"/>
    <cellStyle name="Normal 13 6 3 3 2 2" xfId="52840" xr:uid="{00000000-0005-0000-0000-000028BB0000}"/>
    <cellStyle name="Normal 13 6 3 3 3" xfId="38341" xr:uid="{00000000-0005-0000-0000-000029BB0000}"/>
    <cellStyle name="Normal 13 6 3 4" xfId="16586" xr:uid="{00000000-0005-0000-0000-00002ABB0000}"/>
    <cellStyle name="Normal 13 6 3 4 2" xfId="45592" xr:uid="{00000000-0005-0000-0000-00002BBB0000}"/>
    <cellStyle name="Normal 13 6 3 5" xfId="31093" xr:uid="{00000000-0005-0000-0000-00002CBB0000}"/>
    <cellStyle name="Normal 13 6 4" xfId="3060" xr:uid="{00000000-0005-0000-0000-00002DBB0000}"/>
    <cellStyle name="Normal 13 6 4 2" xfId="6164" xr:uid="{00000000-0005-0000-0000-00002EBB0000}"/>
    <cellStyle name="Normal 13 6 4 2 2" xfId="13436" xr:uid="{00000000-0005-0000-0000-00002FBB0000}"/>
    <cellStyle name="Normal 13 6 4 2 2 2" xfId="27970" xr:uid="{00000000-0005-0000-0000-000030BB0000}"/>
    <cellStyle name="Normal 13 6 4 2 2 2 2" xfId="56976" xr:uid="{00000000-0005-0000-0000-000031BB0000}"/>
    <cellStyle name="Normal 13 6 4 2 2 3" xfId="42477" xr:uid="{00000000-0005-0000-0000-000032BB0000}"/>
    <cellStyle name="Normal 13 6 4 2 3" xfId="20722" xr:uid="{00000000-0005-0000-0000-000033BB0000}"/>
    <cellStyle name="Normal 13 6 4 2 3 2" xfId="49728" xr:uid="{00000000-0005-0000-0000-000034BB0000}"/>
    <cellStyle name="Normal 13 6 4 2 4" xfId="35229" xr:uid="{00000000-0005-0000-0000-000035BB0000}"/>
    <cellStyle name="Normal 13 6 4 3" xfId="10332" xr:uid="{00000000-0005-0000-0000-000036BB0000}"/>
    <cellStyle name="Normal 13 6 4 3 2" xfId="24866" xr:uid="{00000000-0005-0000-0000-000037BB0000}"/>
    <cellStyle name="Normal 13 6 4 3 2 2" xfId="53872" xr:uid="{00000000-0005-0000-0000-000038BB0000}"/>
    <cellStyle name="Normal 13 6 4 3 3" xfId="39373" xr:uid="{00000000-0005-0000-0000-000039BB0000}"/>
    <cellStyle name="Normal 13 6 4 4" xfId="17618" xr:uid="{00000000-0005-0000-0000-00003ABB0000}"/>
    <cellStyle name="Normal 13 6 4 4 2" xfId="46624" xr:uid="{00000000-0005-0000-0000-00003BBB0000}"/>
    <cellStyle name="Normal 13 6 4 5" xfId="32125" xr:uid="{00000000-0005-0000-0000-00003CBB0000}"/>
    <cellStyle name="Normal 13 6 5" xfId="4092" xr:uid="{00000000-0005-0000-0000-00003DBB0000}"/>
    <cellStyle name="Normal 13 6 5 2" xfId="11364" xr:uid="{00000000-0005-0000-0000-00003EBB0000}"/>
    <cellStyle name="Normal 13 6 5 2 2" xfId="25898" xr:uid="{00000000-0005-0000-0000-00003FBB0000}"/>
    <cellStyle name="Normal 13 6 5 2 2 2" xfId="54904" xr:uid="{00000000-0005-0000-0000-000040BB0000}"/>
    <cellStyle name="Normal 13 6 5 2 3" xfId="40405" xr:uid="{00000000-0005-0000-0000-000041BB0000}"/>
    <cellStyle name="Normal 13 6 5 3" xfId="18650" xr:uid="{00000000-0005-0000-0000-000042BB0000}"/>
    <cellStyle name="Normal 13 6 5 3 2" xfId="47656" xr:uid="{00000000-0005-0000-0000-000043BB0000}"/>
    <cellStyle name="Normal 13 6 5 4" xfId="33157" xr:uid="{00000000-0005-0000-0000-000044BB0000}"/>
    <cellStyle name="Normal 13 6 6" xfId="7196" xr:uid="{00000000-0005-0000-0000-000045BB0000}"/>
    <cellStyle name="Normal 13 6 6 2" xfId="14468" xr:uid="{00000000-0005-0000-0000-000046BB0000}"/>
    <cellStyle name="Normal 13 6 6 2 2" xfId="29002" xr:uid="{00000000-0005-0000-0000-000047BB0000}"/>
    <cellStyle name="Normal 13 6 6 2 2 2" xfId="58008" xr:uid="{00000000-0005-0000-0000-000048BB0000}"/>
    <cellStyle name="Normal 13 6 6 2 3" xfId="43509" xr:uid="{00000000-0005-0000-0000-000049BB0000}"/>
    <cellStyle name="Normal 13 6 6 3" xfId="21754" xr:uid="{00000000-0005-0000-0000-00004ABB0000}"/>
    <cellStyle name="Normal 13 6 6 3 2" xfId="50760" xr:uid="{00000000-0005-0000-0000-00004BBB0000}"/>
    <cellStyle name="Normal 13 6 6 4" xfId="36261" xr:uid="{00000000-0005-0000-0000-00004CBB0000}"/>
    <cellStyle name="Normal 13 6 7" xfId="8260" xr:uid="{00000000-0005-0000-0000-00004DBB0000}"/>
    <cellStyle name="Normal 13 6 7 2" xfId="22794" xr:uid="{00000000-0005-0000-0000-00004EBB0000}"/>
    <cellStyle name="Normal 13 6 7 2 2" xfId="51800" xr:uid="{00000000-0005-0000-0000-00004FBB0000}"/>
    <cellStyle name="Normal 13 6 7 3" xfId="37301" xr:uid="{00000000-0005-0000-0000-000050BB0000}"/>
    <cellStyle name="Normal 13 6 8" xfId="15546" xr:uid="{00000000-0005-0000-0000-000051BB0000}"/>
    <cellStyle name="Normal 13 6 8 2" xfId="44552" xr:uid="{00000000-0005-0000-0000-000052BB0000}"/>
    <cellStyle name="Normal 13 6 9" xfId="30053" xr:uid="{00000000-0005-0000-0000-000053BB0000}"/>
    <cellStyle name="Normal 13 7" xfId="1279" xr:uid="{00000000-0005-0000-0000-000054BB0000}"/>
    <cellStyle name="Normal 13 7 2" xfId="2334" xr:uid="{00000000-0005-0000-0000-000055BB0000}"/>
    <cellStyle name="Normal 13 7 2 2" xfId="5438" xr:uid="{00000000-0005-0000-0000-000056BB0000}"/>
    <cellStyle name="Normal 13 7 2 2 2" xfId="12710" xr:uid="{00000000-0005-0000-0000-000057BB0000}"/>
    <cellStyle name="Normal 13 7 2 2 2 2" xfId="27244" xr:uid="{00000000-0005-0000-0000-000058BB0000}"/>
    <cellStyle name="Normal 13 7 2 2 2 2 2" xfId="56250" xr:uid="{00000000-0005-0000-0000-000059BB0000}"/>
    <cellStyle name="Normal 13 7 2 2 2 3" xfId="41751" xr:uid="{00000000-0005-0000-0000-00005ABB0000}"/>
    <cellStyle name="Normal 13 7 2 2 3" xfId="19996" xr:uid="{00000000-0005-0000-0000-00005BBB0000}"/>
    <cellStyle name="Normal 13 7 2 2 3 2" xfId="49002" xr:uid="{00000000-0005-0000-0000-00005CBB0000}"/>
    <cellStyle name="Normal 13 7 2 2 4" xfId="34503" xr:uid="{00000000-0005-0000-0000-00005DBB0000}"/>
    <cellStyle name="Normal 13 7 2 3" xfId="9606" xr:uid="{00000000-0005-0000-0000-00005EBB0000}"/>
    <cellStyle name="Normal 13 7 2 3 2" xfId="24140" xr:uid="{00000000-0005-0000-0000-00005FBB0000}"/>
    <cellStyle name="Normal 13 7 2 3 2 2" xfId="53146" xr:uid="{00000000-0005-0000-0000-000060BB0000}"/>
    <cellStyle name="Normal 13 7 2 3 3" xfId="38647" xr:uid="{00000000-0005-0000-0000-000061BB0000}"/>
    <cellStyle name="Normal 13 7 2 4" xfId="16892" xr:uid="{00000000-0005-0000-0000-000062BB0000}"/>
    <cellStyle name="Normal 13 7 2 4 2" xfId="45898" xr:uid="{00000000-0005-0000-0000-000063BB0000}"/>
    <cellStyle name="Normal 13 7 2 5" xfId="31399" xr:uid="{00000000-0005-0000-0000-000064BB0000}"/>
    <cellStyle name="Normal 13 7 3" xfId="3366" xr:uid="{00000000-0005-0000-0000-000065BB0000}"/>
    <cellStyle name="Normal 13 7 3 2" xfId="6470" xr:uid="{00000000-0005-0000-0000-000066BB0000}"/>
    <cellStyle name="Normal 13 7 3 2 2" xfId="13742" xr:uid="{00000000-0005-0000-0000-000067BB0000}"/>
    <cellStyle name="Normal 13 7 3 2 2 2" xfId="28276" xr:uid="{00000000-0005-0000-0000-000068BB0000}"/>
    <cellStyle name="Normal 13 7 3 2 2 2 2" xfId="57282" xr:uid="{00000000-0005-0000-0000-000069BB0000}"/>
    <cellStyle name="Normal 13 7 3 2 2 3" xfId="42783" xr:uid="{00000000-0005-0000-0000-00006ABB0000}"/>
    <cellStyle name="Normal 13 7 3 2 3" xfId="21028" xr:uid="{00000000-0005-0000-0000-00006BBB0000}"/>
    <cellStyle name="Normal 13 7 3 2 3 2" xfId="50034" xr:uid="{00000000-0005-0000-0000-00006CBB0000}"/>
    <cellStyle name="Normal 13 7 3 2 4" xfId="35535" xr:uid="{00000000-0005-0000-0000-00006DBB0000}"/>
    <cellStyle name="Normal 13 7 3 3" xfId="10638" xr:uid="{00000000-0005-0000-0000-00006EBB0000}"/>
    <cellStyle name="Normal 13 7 3 3 2" xfId="25172" xr:uid="{00000000-0005-0000-0000-00006FBB0000}"/>
    <cellStyle name="Normal 13 7 3 3 2 2" xfId="54178" xr:uid="{00000000-0005-0000-0000-000070BB0000}"/>
    <cellStyle name="Normal 13 7 3 3 3" xfId="39679" xr:uid="{00000000-0005-0000-0000-000071BB0000}"/>
    <cellStyle name="Normal 13 7 3 4" xfId="17924" xr:uid="{00000000-0005-0000-0000-000072BB0000}"/>
    <cellStyle name="Normal 13 7 3 4 2" xfId="46930" xr:uid="{00000000-0005-0000-0000-000073BB0000}"/>
    <cellStyle name="Normal 13 7 3 5" xfId="32431" xr:uid="{00000000-0005-0000-0000-000074BB0000}"/>
    <cellStyle name="Normal 13 7 4" xfId="4398" xr:uid="{00000000-0005-0000-0000-000075BB0000}"/>
    <cellStyle name="Normal 13 7 4 2" xfId="11670" xr:uid="{00000000-0005-0000-0000-000076BB0000}"/>
    <cellStyle name="Normal 13 7 4 2 2" xfId="26204" xr:uid="{00000000-0005-0000-0000-000077BB0000}"/>
    <cellStyle name="Normal 13 7 4 2 2 2" xfId="55210" xr:uid="{00000000-0005-0000-0000-000078BB0000}"/>
    <cellStyle name="Normal 13 7 4 2 3" xfId="40711" xr:uid="{00000000-0005-0000-0000-000079BB0000}"/>
    <cellStyle name="Normal 13 7 4 3" xfId="18956" xr:uid="{00000000-0005-0000-0000-00007ABB0000}"/>
    <cellStyle name="Normal 13 7 4 3 2" xfId="47962" xr:uid="{00000000-0005-0000-0000-00007BBB0000}"/>
    <cellStyle name="Normal 13 7 4 4" xfId="33463" xr:uid="{00000000-0005-0000-0000-00007CBB0000}"/>
    <cellStyle name="Normal 13 7 5" xfId="7502" xr:uid="{00000000-0005-0000-0000-00007DBB0000}"/>
    <cellStyle name="Normal 13 7 5 2" xfId="14774" xr:uid="{00000000-0005-0000-0000-00007EBB0000}"/>
    <cellStyle name="Normal 13 7 5 2 2" xfId="29308" xr:uid="{00000000-0005-0000-0000-00007FBB0000}"/>
    <cellStyle name="Normal 13 7 5 2 2 2" xfId="58314" xr:uid="{00000000-0005-0000-0000-000080BB0000}"/>
    <cellStyle name="Normal 13 7 5 2 3" xfId="43815" xr:uid="{00000000-0005-0000-0000-000081BB0000}"/>
    <cellStyle name="Normal 13 7 5 3" xfId="22060" xr:uid="{00000000-0005-0000-0000-000082BB0000}"/>
    <cellStyle name="Normal 13 7 5 3 2" xfId="51066" xr:uid="{00000000-0005-0000-0000-000083BB0000}"/>
    <cellStyle name="Normal 13 7 5 4" xfId="36567" xr:uid="{00000000-0005-0000-0000-000084BB0000}"/>
    <cellStyle name="Normal 13 7 6" xfId="8566" xr:uid="{00000000-0005-0000-0000-000085BB0000}"/>
    <cellStyle name="Normal 13 7 6 2" xfId="23100" xr:uid="{00000000-0005-0000-0000-000086BB0000}"/>
    <cellStyle name="Normal 13 7 6 2 2" xfId="52106" xr:uid="{00000000-0005-0000-0000-000087BB0000}"/>
    <cellStyle name="Normal 13 7 6 3" xfId="37607" xr:uid="{00000000-0005-0000-0000-000088BB0000}"/>
    <cellStyle name="Normal 13 7 7" xfId="15852" xr:uid="{00000000-0005-0000-0000-000089BB0000}"/>
    <cellStyle name="Normal 13 7 7 2" xfId="44858" xr:uid="{00000000-0005-0000-0000-00008ABB0000}"/>
    <cellStyle name="Normal 13 7 8" xfId="30359" xr:uid="{00000000-0005-0000-0000-00008BBB0000}"/>
    <cellStyle name="Normal 13 8" xfId="1793" xr:uid="{00000000-0005-0000-0000-00008CBB0000}"/>
    <cellStyle name="Normal 13 8 2" xfId="2835" xr:uid="{00000000-0005-0000-0000-00008DBB0000}"/>
    <cellStyle name="Normal 13 8 2 2" xfId="5939" xr:uid="{00000000-0005-0000-0000-00008EBB0000}"/>
    <cellStyle name="Normal 13 8 2 2 2" xfId="13211" xr:uid="{00000000-0005-0000-0000-00008FBB0000}"/>
    <cellStyle name="Normal 13 8 2 2 2 2" xfId="27745" xr:uid="{00000000-0005-0000-0000-000090BB0000}"/>
    <cellStyle name="Normal 13 8 2 2 2 2 2" xfId="56751" xr:uid="{00000000-0005-0000-0000-000091BB0000}"/>
    <cellStyle name="Normal 13 8 2 2 2 3" xfId="42252" xr:uid="{00000000-0005-0000-0000-000092BB0000}"/>
    <cellStyle name="Normal 13 8 2 2 3" xfId="20497" xr:uid="{00000000-0005-0000-0000-000093BB0000}"/>
    <cellStyle name="Normal 13 8 2 2 3 2" xfId="49503" xr:uid="{00000000-0005-0000-0000-000094BB0000}"/>
    <cellStyle name="Normal 13 8 2 2 4" xfId="35004" xr:uid="{00000000-0005-0000-0000-000095BB0000}"/>
    <cellStyle name="Normal 13 8 2 3" xfId="10107" xr:uid="{00000000-0005-0000-0000-000096BB0000}"/>
    <cellStyle name="Normal 13 8 2 3 2" xfId="24641" xr:uid="{00000000-0005-0000-0000-000097BB0000}"/>
    <cellStyle name="Normal 13 8 2 3 2 2" xfId="53647" xr:uid="{00000000-0005-0000-0000-000098BB0000}"/>
    <cellStyle name="Normal 13 8 2 3 3" xfId="39148" xr:uid="{00000000-0005-0000-0000-000099BB0000}"/>
    <cellStyle name="Normal 13 8 2 4" xfId="17393" xr:uid="{00000000-0005-0000-0000-00009ABB0000}"/>
    <cellStyle name="Normal 13 8 2 4 2" xfId="46399" xr:uid="{00000000-0005-0000-0000-00009BBB0000}"/>
    <cellStyle name="Normal 13 8 2 5" xfId="31900" xr:uid="{00000000-0005-0000-0000-00009CBB0000}"/>
    <cellStyle name="Normal 13 8 3" xfId="3867" xr:uid="{00000000-0005-0000-0000-00009DBB0000}"/>
    <cellStyle name="Normal 13 8 3 2" xfId="6971" xr:uid="{00000000-0005-0000-0000-00009EBB0000}"/>
    <cellStyle name="Normal 13 8 3 2 2" xfId="14243" xr:uid="{00000000-0005-0000-0000-00009FBB0000}"/>
    <cellStyle name="Normal 13 8 3 2 2 2" xfId="28777" xr:uid="{00000000-0005-0000-0000-0000A0BB0000}"/>
    <cellStyle name="Normal 13 8 3 2 2 2 2" xfId="57783" xr:uid="{00000000-0005-0000-0000-0000A1BB0000}"/>
    <cellStyle name="Normal 13 8 3 2 2 3" xfId="43284" xr:uid="{00000000-0005-0000-0000-0000A2BB0000}"/>
    <cellStyle name="Normal 13 8 3 2 3" xfId="21529" xr:uid="{00000000-0005-0000-0000-0000A3BB0000}"/>
    <cellStyle name="Normal 13 8 3 2 3 2" xfId="50535" xr:uid="{00000000-0005-0000-0000-0000A4BB0000}"/>
    <cellStyle name="Normal 13 8 3 2 4" xfId="36036" xr:uid="{00000000-0005-0000-0000-0000A5BB0000}"/>
    <cellStyle name="Normal 13 8 3 3" xfId="11139" xr:uid="{00000000-0005-0000-0000-0000A6BB0000}"/>
    <cellStyle name="Normal 13 8 3 3 2" xfId="25673" xr:uid="{00000000-0005-0000-0000-0000A7BB0000}"/>
    <cellStyle name="Normal 13 8 3 3 2 2" xfId="54679" xr:uid="{00000000-0005-0000-0000-0000A8BB0000}"/>
    <cellStyle name="Normal 13 8 3 3 3" xfId="40180" xr:uid="{00000000-0005-0000-0000-0000A9BB0000}"/>
    <cellStyle name="Normal 13 8 3 4" xfId="18425" xr:uid="{00000000-0005-0000-0000-0000AABB0000}"/>
    <cellStyle name="Normal 13 8 3 4 2" xfId="47431" xr:uid="{00000000-0005-0000-0000-0000ABBB0000}"/>
    <cellStyle name="Normal 13 8 3 5" xfId="32932" xr:uid="{00000000-0005-0000-0000-0000ACBB0000}"/>
    <cellStyle name="Normal 13 8 4" xfId="4899" xr:uid="{00000000-0005-0000-0000-0000ADBB0000}"/>
    <cellStyle name="Normal 13 8 4 2" xfId="12171" xr:uid="{00000000-0005-0000-0000-0000AEBB0000}"/>
    <cellStyle name="Normal 13 8 4 2 2" xfId="26705" xr:uid="{00000000-0005-0000-0000-0000AFBB0000}"/>
    <cellStyle name="Normal 13 8 4 2 2 2" xfId="55711" xr:uid="{00000000-0005-0000-0000-0000B0BB0000}"/>
    <cellStyle name="Normal 13 8 4 2 3" xfId="41212" xr:uid="{00000000-0005-0000-0000-0000B1BB0000}"/>
    <cellStyle name="Normal 13 8 4 3" xfId="19457" xr:uid="{00000000-0005-0000-0000-0000B2BB0000}"/>
    <cellStyle name="Normal 13 8 4 3 2" xfId="48463" xr:uid="{00000000-0005-0000-0000-0000B3BB0000}"/>
    <cellStyle name="Normal 13 8 4 4" xfId="33964" xr:uid="{00000000-0005-0000-0000-0000B4BB0000}"/>
    <cellStyle name="Normal 13 8 5" xfId="8003" xr:uid="{00000000-0005-0000-0000-0000B5BB0000}"/>
    <cellStyle name="Normal 13 8 5 2" xfId="15275" xr:uid="{00000000-0005-0000-0000-0000B6BB0000}"/>
    <cellStyle name="Normal 13 8 5 2 2" xfId="29809" xr:uid="{00000000-0005-0000-0000-0000B7BB0000}"/>
    <cellStyle name="Normal 13 8 5 2 2 2" xfId="58815" xr:uid="{00000000-0005-0000-0000-0000B8BB0000}"/>
    <cellStyle name="Normal 13 8 5 2 3" xfId="44316" xr:uid="{00000000-0005-0000-0000-0000B9BB0000}"/>
    <cellStyle name="Normal 13 8 5 3" xfId="22561" xr:uid="{00000000-0005-0000-0000-0000BABB0000}"/>
    <cellStyle name="Normal 13 8 5 3 2" xfId="51567" xr:uid="{00000000-0005-0000-0000-0000BBBB0000}"/>
    <cellStyle name="Normal 13 8 5 4" xfId="37068" xr:uid="{00000000-0005-0000-0000-0000BCBB0000}"/>
    <cellStyle name="Normal 13 8 6" xfId="9067" xr:uid="{00000000-0005-0000-0000-0000BDBB0000}"/>
    <cellStyle name="Normal 13 8 6 2" xfId="23601" xr:uid="{00000000-0005-0000-0000-0000BEBB0000}"/>
    <cellStyle name="Normal 13 8 6 2 2" xfId="52607" xr:uid="{00000000-0005-0000-0000-0000BFBB0000}"/>
    <cellStyle name="Normal 13 8 6 3" xfId="38108" xr:uid="{00000000-0005-0000-0000-0000C0BB0000}"/>
    <cellStyle name="Normal 13 8 7" xfId="16353" xr:uid="{00000000-0005-0000-0000-0000C1BB0000}"/>
    <cellStyle name="Normal 13 8 7 2" xfId="45359" xr:uid="{00000000-0005-0000-0000-0000C2BB0000}"/>
    <cellStyle name="Normal 13 8 8" xfId="30860" xr:uid="{00000000-0005-0000-0000-0000C3BB0000}"/>
    <cellStyle name="Normal 13 9" xfId="1803" xr:uid="{00000000-0005-0000-0000-0000C4BB0000}"/>
    <cellStyle name="Normal 13 9 2" xfId="4907" xr:uid="{00000000-0005-0000-0000-0000C5BB0000}"/>
    <cellStyle name="Normal 13 9 2 2" xfId="12179" xr:uid="{00000000-0005-0000-0000-0000C6BB0000}"/>
    <cellStyle name="Normal 13 9 2 2 2" xfId="26713" xr:uid="{00000000-0005-0000-0000-0000C7BB0000}"/>
    <cellStyle name="Normal 13 9 2 2 2 2" xfId="55719" xr:uid="{00000000-0005-0000-0000-0000C8BB0000}"/>
    <cellStyle name="Normal 13 9 2 2 3" xfId="41220" xr:uid="{00000000-0005-0000-0000-0000C9BB0000}"/>
    <cellStyle name="Normal 13 9 2 3" xfId="19465" xr:uid="{00000000-0005-0000-0000-0000CABB0000}"/>
    <cellStyle name="Normal 13 9 2 3 2" xfId="48471" xr:uid="{00000000-0005-0000-0000-0000CBBB0000}"/>
    <cellStyle name="Normal 13 9 2 4" xfId="33972" xr:uid="{00000000-0005-0000-0000-0000CCBB0000}"/>
    <cellStyle name="Normal 13 9 3" xfId="9075" xr:uid="{00000000-0005-0000-0000-0000CDBB0000}"/>
    <cellStyle name="Normal 13 9 3 2" xfId="23609" xr:uid="{00000000-0005-0000-0000-0000CEBB0000}"/>
    <cellStyle name="Normal 13 9 3 2 2" xfId="52615" xr:uid="{00000000-0005-0000-0000-0000CFBB0000}"/>
    <cellStyle name="Normal 13 9 3 3" xfId="38116" xr:uid="{00000000-0005-0000-0000-0000D0BB0000}"/>
    <cellStyle name="Normal 13 9 4" xfId="16361" xr:uid="{00000000-0005-0000-0000-0000D1BB0000}"/>
    <cellStyle name="Normal 13 9 4 2" xfId="45367" xr:uid="{00000000-0005-0000-0000-0000D2BB0000}"/>
    <cellStyle name="Normal 13 9 5" xfId="30868" xr:uid="{00000000-0005-0000-0000-0000D3BB0000}"/>
    <cellStyle name="Normal 14" xfId="805" xr:uid="{00000000-0005-0000-0000-0000D4BB0000}"/>
    <cellStyle name="Normal 14 10" xfId="2857" xr:uid="{00000000-0005-0000-0000-0000D5BB0000}"/>
    <cellStyle name="Normal 14 10 2" xfId="5961" xr:uid="{00000000-0005-0000-0000-0000D6BB0000}"/>
    <cellStyle name="Normal 14 10 2 2" xfId="13233" xr:uid="{00000000-0005-0000-0000-0000D7BB0000}"/>
    <cellStyle name="Normal 14 10 2 2 2" xfId="27767" xr:uid="{00000000-0005-0000-0000-0000D8BB0000}"/>
    <cellStyle name="Normal 14 10 2 2 2 2" xfId="56773" xr:uid="{00000000-0005-0000-0000-0000D9BB0000}"/>
    <cellStyle name="Normal 14 10 2 2 3" xfId="42274" xr:uid="{00000000-0005-0000-0000-0000DABB0000}"/>
    <cellStyle name="Normal 14 10 2 3" xfId="20519" xr:uid="{00000000-0005-0000-0000-0000DBBB0000}"/>
    <cellStyle name="Normal 14 10 2 3 2" xfId="49525" xr:uid="{00000000-0005-0000-0000-0000DCBB0000}"/>
    <cellStyle name="Normal 14 10 2 4" xfId="35026" xr:uid="{00000000-0005-0000-0000-0000DDBB0000}"/>
    <cellStyle name="Normal 14 10 3" xfId="10129" xr:uid="{00000000-0005-0000-0000-0000DEBB0000}"/>
    <cellStyle name="Normal 14 10 3 2" xfId="24663" xr:uid="{00000000-0005-0000-0000-0000DFBB0000}"/>
    <cellStyle name="Normal 14 10 3 2 2" xfId="53669" xr:uid="{00000000-0005-0000-0000-0000E0BB0000}"/>
    <cellStyle name="Normal 14 10 3 3" xfId="39170" xr:uid="{00000000-0005-0000-0000-0000E1BB0000}"/>
    <cellStyle name="Normal 14 10 4" xfId="17415" xr:uid="{00000000-0005-0000-0000-0000E2BB0000}"/>
    <cellStyle name="Normal 14 10 4 2" xfId="46421" xr:uid="{00000000-0005-0000-0000-0000E3BB0000}"/>
    <cellStyle name="Normal 14 10 5" xfId="31922" xr:uid="{00000000-0005-0000-0000-0000E4BB0000}"/>
    <cellStyle name="Normal 14 11" xfId="3889" xr:uid="{00000000-0005-0000-0000-0000E5BB0000}"/>
    <cellStyle name="Normal 14 11 2" xfId="11161" xr:uid="{00000000-0005-0000-0000-0000E6BB0000}"/>
    <cellStyle name="Normal 14 11 2 2" xfId="25695" xr:uid="{00000000-0005-0000-0000-0000E7BB0000}"/>
    <cellStyle name="Normal 14 11 2 2 2" xfId="54701" xr:uid="{00000000-0005-0000-0000-0000E8BB0000}"/>
    <cellStyle name="Normal 14 11 2 3" xfId="40202" xr:uid="{00000000-0005-0000-0000-0000E9BB0000}"/>
    <cellStyle name="Normal 14 11 3" xfId="18447" xr:uid="{00000000-0005-0000-0000-0000EABB0000}"/>
    <cellStyle name="Normal 14 11 3 2" xfId="47453" xr:uid="{00000000-0005-0000-0000-0000EBBB0000}"/>
    <cellStyle name="Normal 14 11 4" xfId="32954" xr:uid="{00000000-0005-0000-0000-0000ECBB0000}"/>
    <cellStyle name="Normal 14 12" xfId="6993" xr:uid="{00000000-0005-0000-0000-0000EDBB0000}"/>
    <cellStyle name="Normal 14 12 2" xfId="14265" xr:uid="{00000000-0005-0000-0000-0000EEBB0000}"/>
    <cellStyle name="Normal 14 12 2 2" xfId="28799" xr:uid="{00000000-0005-0000-0000-0000EFBB0000}"/>
    <cellStyle name="Normal 14 12 2 2 2" xfId="57805" xr:uid="{00000000-0005-0000-0000-0000F0BB0000}"/>
    <cellStyle name="Normal 14 12 2 3" xfId="43306" xr:uid="{00000000-0005-0000-0000-0000F1BB0000}"/>
    <cellStyle name="Normal 14 12 3" xfId="21551" xr:uid="{00000000-0005-0000-0000-0000F2BB0000}"/>
    <cellStyle name="Normal 14 12 3 2" xfId="50557" xr:uid="{00000000-0005-0000-0000-0000F3BB0000}"/>
    <cellStyle name="Normal 14 12 4" xfId="36058" xr:uid="{00000000-0005-0000-0000-0000F4BB0000}"/>
    <cellStyle name="Normal 14 13" xfId="8057" xr:uid="{00000000-0005-0000-0000-0000F5BB0000}"/>
    <cellStyle name="Normal 14 13 2" xfId="22591" xr:uid="{00000000-0005-0000-0000-0000F6BB0000}"/>
    <cellStyle name="Normal 14 13 2 2" xfId="51597" xr:uid="{00000000-0005-0000-0000-0000F7BB0000}"/>
    <cellStyle name="Normal 14 13 3" xfId="37098" xr:uid="{00000000-0005-0000-0000-0000F8BB0000}"/>
    <cellStyle name="Normal 14 14" xfId="15343" xr:uid="{00000000-0005-0000-0000-0000F9BB0000}"/>
    <cellStyle name="Normal 14 14 2" xfId="44349" xr:uid="{00000000-0005-0000-0000-0000FABB0000}"/>
    <cellStyle name="Normal 14 15" xfId="29850" xr:uid="{00000000-0005-0000-0000-0000FBBB0000}"/>
    <cellStyle name="Normal 14 2" xfId="812" xr:uid="{00000000-0005-0000-0000-0000FCBB0000}"/>
    <cellStyle name="Normal 14 3" xfId="854" xr:uid="{00000000-0005-0000-0000-0000FDBB0000}"/>
    <cellStyle name="Normal 14 3 10" xfId="7017" xr:uid="{00000000-0005-0000-0000-0000FEBB0000}"/>
    <cellStyle name="Normal 14 3 10 2" xfId="14289" xr:uid="{00000000-0005-0000-0000-0000FFBB0000}"/>
    <cellStyle name="Normal 14 3 10 2 2" xfId="28823" xr:uid="{00000000-0005-0000-0000-000000BC0000}"/>
    <cellStyle name="Normal 14 3 10 2 2 2" xfId="57829" xr:uid="{00000000-0005-0000-0000-000001BC0000}"/>
    <cellStyle name="Normal 14 3 10 2 3" xfId="43330" xr:uid="{00000000-0005-0000-0000-000002BC0000}"/>
    <cellStyle name="Normal 14 3 10 3" xfId="21575" xr:uid="{00000000-0005-0000-0000-000003BC0000}"/>
    <cellStyle name="Normal 14 3 10 3 2" xfId="50581" xr:uid="{00000000-0005-0000-0000-000004BC0000}"/>
    <cellStyle name="Normal 14 3 10 4" xfId="36082" xr:uid="{00000000-0005-0000-0000-000005BC0000}"/>
    <cellStyle name="Normal 14 3 11" xfId="8081" xr:uid="{00000000-0005-0000-0000-000006BC0000}"/>
    <cellStyle name="Normal 14 3 11 2" xfId="22615" xr:uid="{00000000-0005-0000-0000-000007BC0000}"/>
    <cellStyle name="Normal 14 3 11 2 2" xfId="51621" xr:uid="{00000000-0005-0000-0000-000008BC0000}"/>
    <cellStyle name="Normal 14 3 11 3" xfId="37122" xr:uid="{00000000-0005-0000-0000-000009BC0000}"/>
    <cellStyle name="Normal 14 3 12" xfId="15367" xr:uid="{00000000-0005-0000-0000-00000ABC0000}"/>
    <cellStyle name="Normal 14 3 12 2" xfId="44373" xr:uid="{00000000-0005-0000-0000-00000BBC0000}"/>
    <cellStyle name="Normal 14 3 13" xfId="29874" xr:uid="{00000000-0005-0000-0000-00000CBC0000}"/>
    <cellStyle name="Normal 14 3 2" xfId="897" xr:uid="{00000000-0005-0000-0000-00000DBC0000}"/>
    <cellStyle name="Normal 14 3 2 10" xfId="8133" xr:uid="{00000000-0005-0000-0000-00000EBC0000}"/>
    <cellStyle name="Normal 14 3 2 10 2" xfId="22667" xr:uid="{00000000-0005-0000-0000-00000FBC0000}"/>
    <cellStyle name="Normal 14 3 2 10 2 2" xfId="51673" xr:uid="{00000000-0005-0000-0000-000010BC0000}"/>
    <cellStyle name="Normal 14 3 2 10 3" xfId="37174" xr:uid="{00000000-0005-0000-0000-000011BC0000}"/>
    <cellStyle name="Normal 14 3 2 11" xfId="15419" xr:uid="{00000000-0005-0000-0000-000012BC0000}"/>
    <cellStyle name="Normal 14 3 2 11 2" xfId="44425" xr:uid="{00000000-0005-0000-0000-000013BC0000}"/>
    <cellStyle name="Normal 14 3 2 12" xfId="29926" xr:uid="{00000000-0005-0000-0000-000014BC0000}"/>
    <cellStyle name="Normal 14 3 2 2" xfId="977" xr:uid="{00000000-0005-0000-0000-000015BC0000}"/>
    <cellStyle name="Normal 14 3 2 2 10" xfId="30029" xr:uid="{00000000-0005-0000-0000-000016BC0000}"/>
    <cellStyle name="Normal 14 3 2 2 2" xfId="1257" xr:uid="{00000000-0005-0000-0000-000017BC0000}"/>
    <cellStyle name="Normal 14 3 2 2 2 2" xfId="1763" xr:uid="{00000000-0005-0000-0000-000018BC0000}"/>
    <cellStyle name="Normal 14 3 2 2 2 2 2" xfId="2822" xr:uid="{00000000-0005-0000-0000-000019BC0000}"/>
    <cellStyle name="Normal 14 3 2 2 2 2 2 2" xfId="5926" xr:uid="{00000000-0005-0000-0000-00001ABC0000}"/>
    <cellStyle name="Normal 14 3 2 2 2 2 2 2 2" xfId="13198" xr:uid="{00000000-0005-0000-0000-00001BBC0000}"/>
    <cellStyle name="Normal 14 3 2 2 2 2 2 2 2 2" xfId="27732" xr:uid="{00000000-0005-0000-0000-00001CBC0000}"/>
    <cellStyle name="Normal 14 3 2 2 2 2 2 2 2 2 2" xfId="56738" xr:uid="{00000000-0005-0000-0000-00001DBC0000}"/>
    <cellStyle name="Normal 14 3 2 2 2 2 2 2 2 3" xfId="42239" xr:uid="{00000000-0005-0000-0000-00001EBC0000}"/>
    <cellStyle name="Normal 14 3 2 2 2 2 2 2 3" xfId="20484" xr:uid="{00000000-0005-0000-0000-00001FBC0000}"/>
    <cellStyle name="Normal 14 3 2 2 2 2 2 2 3 2" xfId="49490" xr:uid="{00000000-0005-0000-0000-000020BC0000}"/>
    <cellStyle name="Normal 14 3 2 2 2 2 2 2 4" xfId="34991" xr:uid="{00000000-0005-0000-0000-000021BC0000}"/>
    <cellStyle name="Normal 14 3 2 2 2 2 2 3" xfId="10094" xr:uid="{00000000-0005-0000-0000-000022BC0000}"/>
    <cellStyle name="Normal 14 3 2 2 2 2 2 3 2" xfId="24628" xr:uid="{00000000-0005-0000-0000-000023BC0000}"/>
    <cellStyle name="Normal 14 3 2 2 2 2 2 3 2 2" xfId="53634" xr:uid="{00000000-0005-0000-0000-000024BC0000}"/>
    <cellStyle name="Normal 14 3 2 2 2 2 2 3 3" xfId="39135" xr:uid="{00000000-0005-0000-0000-000025BC0000}"/>
    <cellStyle name="Normal 14 3 2 2 2 2 2 4" xfId="17380" xr:uid="{00000000-0005-0000-0000-000026BC0000}"/>
    <cellStyle name="Normal 14 3 2 2 2 2 2 4 2" xfId="46386" xr:uid="{00000000-0005-0000-0000-000027BC0000}"/>
    <cellStyle name="Normal 14 3 2 2 2 2 2 5" xfId="31887" xr:uid="{00000000-0005-0000-0000-000028BC0000}"/>
    <cellStyle name="Normal 14 3 2 2 2 2 3" xfId="3854" xr:uid="{00000000-0005-0000-0000-000029BC0000}"/>
    <cellStyle name="Normal 14 3 2 2 2 2 3 2" xfId="6958" xr:uid="{00000000-0005-0000-0000-00002ABC0000}"/>
    <cellStyle name="Normal 14 3 2 2 2 2 3 2 2" xfId="14230" xr:uid="{00000000-0005-0000-0000-00002BBC0000}"/>
    <cellStyle name="Normal 14 3 2 2 2 2 3 2 2 2" xfId="28764" xr:uid="{00000000-0005-0000-0000-00002CBC0000}"/>
    <cellStyle name="Normal 14 3 2 2 2 2 3 2 2 2 2" xfId="57770" xr:uid="{00000000-0005-0000-0000-00002DBC0000}"/>
    <cellStyle name="Normal 14 3 2 2 2 2 3 2 2 3" xfId="43271" xr:uid="{00000000-0005-0000-0000-00002EBC0000}"/>
    <cellStyle name="Normal 14 3 2 2 2 2 3 2 3" xfId="21516" xr:uid="{00000000-0005-0000-0000-00002FBC0000}"/>
    <cellStyle name="Normal 14 3 2 2 2 2 3 2 3 2" xfId="50522" xr:uid="{00000000-0005-0000-0000-000030BC0000}"/>
    <cellStyle name="Normal 14 3 2 2 2 2 3 2 4" xfId="36023" xr:uid="{00000000-0005-0000-0000-000031BC0000}"/>
    <cellStyle name="Normal 14 3 2 2 2 2 3 3" xfId="11126" xr:uid="{00000000-0005-0000-0000-000032BC0000}"/>
    <cellStyle name="Normal 14 3 2 2 2 2 3 3 2" xfId="25660" xr:uid="{00000000-0005-0000-0000-000033BC0000}"/>
    <cellStyle name="Normal 14 3 2 2 2 2 3 3 2 2" xfId="54666" xr:uid="{00000000-0005-0000-0000-000034BC0000}"/>
    <cellStyle name="Normal 14 3 2 2 2 2 3 3 3" xfId="40167" xr:uid="{00000000-0005-0000-0000-000035BC0000}"/>
    <cellStyle name="Normal 14 3 2 2 2 2 3 4" xfId="18412" xr:uid="{00000000-0005-0000-0000-000036BC0000}"/>
    <cellStyle name="Normal 14 3 2 2 2 2 3 4 2" xfId="47418" xr:uid="{00000000-0005-0000-0000-000037BC0000}"/>
    <cellStyle name="Normal 14 3 2 2 2 2 3 5" xfId="32919" xr:uid="{00000000-0005-0000-0000-000038BC0000}"/>
    <cellStyle name="Normal 14 3 2 2 2 2 4" xfId="4886" xr:uid="{00000000-0005-0000-0000-000039BC0000}"/>
    <cellStyle name="Normal 14 3 2 2 2 2 4 2" xfId="12158" xr:uid="{00000000-0005-0000-0000-00003ABC0000}"/>
    <cellStyle name="Normal 14 3 2 2 2 2 4 2 2" xfId="26692" xr:uid="{00000000-0005-0000-0000-00003BBC0000}"/>
    <cellStyle name="Normal 14 3 2 2 2 2 4 2 2 2" xfId="55698" xr:uid="{00000000-0005-0000-0000-00003CBC0000}"/>
    <cellStyle name="Normal 14 3 2 2 2 2 4 2 3" xfId="41199" xr:uid="{00000000-0005-0000-0000-00003DBC0000}"/>
    <cellStyle name="Normal 14 3 2 2 2 2 4 3" xfId="19444" xr:uid="{00000000-0005-0000-0000-00003EBC0000}"/>
    <cellStyle name="Normal 14 3 2 2 2 2 4 3 2" xfId="48450" xr:uid="{00000000-0005-0000-0000-00003FBC0000}"/>
    <cellStyle name="Normal 14 3 2 2 2 2 4 4" xfId="33951" xr:uid="{00000000-0005-0000-0000-000040BC0000}"/>
    <cellStyle name="Normal 14 3 2 2 2 2 5" xfId="7990" xr:uid="{00000000-0005-0000-0000-000041BC0000}"/>
    <cellStyle name="Normal 14 3 2 2 2 2 5 2" xfId="15262" xr:uid="{00000000-0005-0000-0000-000042BC0000}"/>
    <cellStyle name="Normal 14 3 2 2 2 2 5 2 2" xfId="29796" xr:uid="{00000000-0005-0000-0000-000043BC0000}"/>
    <cellStyle name="Normal 14 3 2 2 2 2 5 2 2 2" xfId="58802" xr:uid="{00000000-0005-0000-0000-000044BC0000}"/>
    <cellStyle name="Normal 14 3 2 2 2 2 5 2 3" xfId="44303" xr:uid="{00000000-0005-0000-0000-000045BC0000}"/>
    <cellStyle name="Normal 14 3 2 2 2 2 5 3" xfId="22548" xr:uid="{00000000-0005-0000-0000-000046BC0000}"/>
    <cellStyle name="Normal 14 3 2 2 2 2 5 3 2" xfId="51554" xr:uid="{00000000-0005-0000-0000-000047BC0000}"/>
    <cellStyle name="Normal 14 3 2 2 2 2 5 4" xfId="37055" xr:uid="{00000000-0005-0000-0000-000048BC0000}"/>
    <cellStyle name="Normal 14 3 2 2 2 2 6" xfId="9054" xr:uid="{00000000-0005-0000-0000-000049BC0000}"/>
    <cellStyle name="Normal 14 3 2 2 2 2 6 2" xfId="23588" xr:uid="{00000000-0005-0000-0000-00004ABC0000}"/>
    <cellStyle name="Normal 14 3 2 2 2 2 6 2 2" xfId="52594" xr:uid="{00000000-0005-0000-0000-00004BBC0000}"/>
    <cellStyle name="Normal 14 3 2 2 2 2 6 3" xfId="38095" xr:uid="{00000000-0005-0000-0000-00004CBC0000}"/>
    <cellStyle name="Normal 14 3 2 2 2 2 7" xfId="16340" xr:uid="{00000000-0005-0000-0000-00004DBC0000}"/>
    <cellStyle name="Normal 14 3 2 2 2 2 7 2" xfId="45346" xr:uid="{00000000-0005-0000-0000-00004EBC0000}"/>
    <cellStyle name="Normal 14 3 2 2 2 2 8" xfId="30847" xr:uid="{00000000-0005-0000-0000-00004FBC0000}"/>
    <cellStyle name="Normal 14 3 2 2 2 3" xfId="2310" xr:uid="{00000000-0005-0000-0000-000050BC0000}"/>
    <cellStyle name="Normal 14 3 2 2 2 3 2" xfId="5414" xr:uid="{00000000-0005-0000-0000-000051BC0000}"/>
    <cellStyle name="Normal 14 3 2 2 2 3 2 2" xfId="12686" xr:uid="{00000000-0005-0000-0000-000052BC0000}"/>
    <cellStyle name="Normal 14 3 2 2 2 3 2 2 2" xfId="27220" xr:uid="{00000000-0005-0000-0000-000053BC0000}"/>
    <cellStyle name="Normal 14 3 2 2 2 3 2 2 2 2" xfId="56226" xr:uid="{00000000-0005-0000-0000-000054BC0000}"/>
    <cellStyle name="Normal 14 3 2 2 2 3 2 2 3" xfId="41727" xr:uid="{00000000-0005-0000-0000-000055BC0000}"/>
    <cellStyle name="Normal 14 3 2 2 2 3 2 3" xfId="19972" xr:uid="{00000000-0005-0000-0000-000056BC0000}"/>
    <cellStyle name="Normal 14 3 2 2 2 3 2 3 2" xfId="48978" xr:uid="{00000000-0005-0000-0000-000057BC0000}"/>
    <cellStyle name="Normal 14 3 2 2 2 3 2 4" xfId="34479" xr:uid="{00000000-0005-0000-0000-000058BC0000}"/>
    <cellStyle name="Normal 14 3 2 2 2 3 3" xfId="9582" xr:uid="{00000000-0005-0000-0000-000059BC0000}"/>
    <cellStyle name="Normal 14 3 2 2 2 3 3 2" xfId="24116" xr:uid="{00000000-0005-0000-0000-00005ABC0000}"/>
    <cellStyle name="Normal 14 3 2 2 2 3 3 2 2" xfId="53122" xr:uid="{00000000-0005-0000-0000-00005BBC0000}"/>
    <cellStyle name="Normal 14 3 2 2 2 3 3 3" xfId="38623" xr:uid="{00000000-0005-0000-0000-00005CBC0000}"/>
    <cellStyle name="Normal 14 3 2 2 2 3 4" xfId="16868" xr:uid="{00000000-0005-0000-0000-00005DBC0000}"/>
    <cellStyle name="Normal 14 3 2 2 2 3 4 2" xfId="45874" xr:uid="{00000000-0005-0000-0000-00005EBC0000}"/>
    <cellStyle name="Normal 14 3 2 2 2 3 5" xfId="31375" xr:uid="{00000000-0005-0000-0000-00005FBC0000}"/>
    <cellStyle name="Normal 14 3 2 2 2 4" xfId="3342" xr:uid="{00000000-0005-0000-0000-000060BC0000}"/>
    <cellStyle name="Normal 14 3 2 2 2 4 2" xfId="6446" xr:uid="{00000000-0005-0000-0000-000061BC0000}"/>
    <cellStyle name="Normal 14 3 2 2 2 4 2 2" xfId="13718" xr:uid="{00000000-0005-0000-0000-000062BC0000}"/>
    <cellStyle name="Normal 14 3 2 2 2 4 2 2 2" xfId="28252" xr:uid="{00000000-0005-0000-0000-000063BC0000}"/>
    <cellStyle name="Normal 14 3 2 2 2 4 2 2 2 2" xfId="57258" xr:uid="{00000000-0005-0000-0000-000064BC0000}"/>
    <cellStyle name="Normal 14 3 2 2 2 4 2 2 3" xfId="42759" xr:uid="{00000000-0005-0000-0000-000065BC0000}"/>
    <cellStyle name="Normal 14 3 2 2 2 4 2 3" xfId="21004" xr:uid="{00000000-0005-0000-0000-000066BC0000}"/>
    <cellStyle name="Normal 14 3 2 2 2 4 2 3 2" xfId="50010" xr:uid="{00000000-0005-0000-0000-000067BC0000}"/>
    <cellStyle name="Normal 14 3 2 2 2 4 2 4" xfId="35511" xr:uid="{00000000-0005-0000-0000-000068BC0000}"/>
    <cellStyle name="Normal 14 3 2 2 2 4 3" xfId="10614" xr:uid="{00000000-0005-0000-0000-000069BC0000}"/>
    <cellStyle name="Normal 14 3 2 2 2 4 3 2" xfId="25148" xr:uid="{00000000-0005-0000-0000-00006ABC0000}"/>
    <cellStyle name="Normal 14 3 2 2 2 4 3 2 2" xfId="54154" xr:uid="{00000000-0005-0000-0000-00006BBC0000}"/>
    <cellStyle name="Normal 14 3 2 2 2 4 3 3" xfId="39655" xr:uid="{00000000-0005-0000-0000-00006CBC0000}"/>
    <cellStyle name="Normal 14 3 2 2 2 4 4" xfId="17900" xr:uid="{00000000-0005-0000-0000-00006DBC0000}"/>
    <cellStyle name="Normal 14 3 2 2 2 4 4 2" xfId="46906" xr:uid="{00000000-0005-0000-0000-00006EBC0000}"/>
    <cellStyle name="Normal 14 3 2 2 2 4 5" xfId="32407" xr:uid="{00000000-0005-0000-0000-00006FBC0000}"/>
    <cellStyle name="Normal 14 3 2 2 2 5" xfId="4374" xr:uid="{00000000-0005-0000-0000-000070BC0000}"/>
    <cellStyle name="Normal 14 3 2 2 2 5 2" xfId="11646" xr:uid="{00000000-0005-0000-0000-000071BC0000}"/>
    <cellStyle name="Normal 14 3 2 2 2 5 2 2" xfId="26180" xr:uid="{00000000-0005-0000-0000-000072BC0000}"/>
    <cellStyle name="Normal 14 3 2 2 2 5 2 2 2" xfId="55186" xr:uid="{00000000-0005-0000-0000-000073BC0000}"/>
    <cellStyle name="Normal 14 3 2 2 2 5 2 3" xfId="40687" xr:uid="{00000000-0005-0000-0000-000074BC0000}"/>
    <cellStyle name="Normal 14 3 2 2 2 5 3" xfId="18932" xr:uid="{00000000-0005-0000-0000-000075BC0000}"/>
    <cellStyle name="Normal 14 3 2 2 2 5 3 2" xfId="47938" xr:uid="{00000000-0005-0000-0000-000076BC0000}"/>
    <cellStyle name="Normal 14 3 2 2 2 5 4" xfId="33439" xr:uid="{00000000-0005-0000-0000-000077BC0000}"/>
    <cellStyle name="Normal 14 3 2 2 2 6" xfId="7478" xr:uid="{00000000-0005-0000-0000-000078BC0000}"/>
    <cellStyle name="Normal 14 3 2 2 2 6 2" xfId="14750" xr:uid="{00000000-0005-0000-0000-000079BC0000}"/>
    <cellStyle name="Normal 14 3 2 2 2 6 2 2" xfId="29284" xr:uid="{00000000-0005-0000-0000-00007ABC0000}"/>
    <cellStyle name="Normal 14 3 2 2 2 6 2 2 2" xfId="58290" xr:uid="{00000000-0005-0000-0000-00007BBC0000}"/>
    <cellStyle name="Normal 14 3 2 2 2 6 2 3" xfId="43791" xr:uid="{00000000-0005-0000-0000-00007CBC0000}"/>
    <cellStyle name="Normal 14 3 2 2 2 6 3" xfId="22036" xr:uid="{00000000-0005-0000-0000-00007DBC0000}"/>
    <cellStyle name="Normal 14 3 2 2 2 6 3 2" xfId="51042" xr:uid="{00000000-0005-0000-0000-00007EBC0000}"/>
    <cellStyle name="Normal 14 3 2 2 2 6 4" xfId="36543" xr:uid="{00000000-0005-0000-0000-00007FBC0000}"/>
    <cellStyle name="Normal 14 3 2 2 2 7" xfId="8542" xr:uid="{00000000-0005-0000-0000-000080BC0000}"/>
    <cellStyle name="Normal 14 3 2 2 2 7 2" xfId="23076" xr:uid="{00000000-0005-0000-0000-000081BC0000}"/>
    <cellStyle name="Normal 14 3 2 2 2 7 2 2" xfId="52082" xr:uid="{00000000-0005-0000-0000-000082BC0000}"/>
    <cellStyle name="Normal 14 3 2 2 2 7 3" xfId="37583" xr:uid="{00000000-0005-0000-0000-000083BC0000}"/>
    <cellStyle name="Normal 14 3 2 2 2 8" xfId="15828" xr:uid="{00000000-0005-0000-0000-000084BC0000}"/>
    <cellStyle name="Normal 14 3 2 2 2 8 2" xfId="44834" xr:uid="{00000000-0005-0000-0000-000085BC0000}"/>
    <cellStyle name="Normal 14 3 2 2 2 9" xfId="30335" xr:uid="{00000000-0005-0000-0000-000086BC0000}"/>
    <cellStyle name="Normal 14 3 2 2 3" xfId="1458" xr:uid="{00000000-0005-0000-0000-000087BC0000}"/>
    <cellStyle name="Normal 14 3 2 2 3 2" xfId="2516" xr:uid="{00000000-0005-0000-0000-000088BC0000}"/>
    <cellStyle name="Normal 14 3 2 2 3 2 2" xfId="5620" xr:uid="{00000000-0005-0000-0000-000089BC0000}"/>
    <cellStyle name="Normal 14 3 2 2 3 2 2 2" xfId="12892" xr:uid="{00000000-0005-0000-0000-00008ABC0000}"/>
    <cellStyle name="Normal 14 3 2 2 3 2 2 2 2" xfId="27426" xr:uid="{00000000-0005-0000-0000-00008BBC0000}"/>
    <cellStyle name="Normal 14 3 2 2 3 2 2 2 2 2" xfId="56432" xr:uid="{00000000-0005-0000-0000-00008CBC0000}"/>
    <cellStyle name="Normal 14 3 2 2 3 2 2 2 3" xfId="41933" xr:uid="{00000000-0005-0000-0000-00008DBC0000}"/>
    <cellStyle name="Normal 14 3 2 2 3 2 2 3" xfId="20178" xr:uid="{00000000-0005-0000-0000-00008EBC0000}"/>
    <cellStyle name="Normal 14 3 2 2 3 2 2 3 2" xfId="49184" xr:uid="{00000000-0005-0000-0000-00008FBC0000}"/>
    <cellStyle name="Normal 14 3 2 2 3 2 2 4" xfId="34685" xr:uid="{00000000-0005-0000-0000-000090BC0000}"/>
    <cellStyle name="Normal 14 3 2 2 3 2 3" xfId="9788" xr:uid="{00000000-0005-0000-0000-000091BC0000}"/>
    <cellStyle name="Normal 14 3 2 2 3 2 3 2" xfId="24322" xr:uid="{00000000-0005-0000-0000-000092BC0000}"/>
    <cellStyle name="Normal 14 3 2 2 3 2 3 2 2" xfId="53328" xr:uid="{00000000-0005-0000-0000-000093BC0000}"/>
    <cellStyle name="Normal 14 3 2 2 3 2 3 3" xfId="38829" xr:uid="{00000000-0005-0000-0000-000094BC0000}"/>
    <cellStyle name="Normal 14 3 2 2 3 2 4" xfId="17074" xr:uid="{00000000-0005-0000-0000-000095BC0000}"/>
    <cellStyle name="Normal 14 3 2 2 3 2 4 2" xfId="46080" xr:uid="{00000000-0005-0000-0000-000096BC0000}"/>
    <cellStyle name="Normal 14 3 2 2 3 2 5" xfId="31581" xr:uid="{00000000-0005-0000-0000-000097BC0000}"/>
    <cellStyle name="Normal 14 3 2 2 3 3" xfId="3548" xr:uid="{00000000-0005-0000-0000-000098BC0000}"/>
    <cellStyle name="Normal 14 3 2 2 3 3 2" xfId="6652" xr:uid="{00000000-0005-0000-0000-000099BC0000}"/>
    <cellStyle name="Normal 14 3 2 2 3 3 2 2" xfId="13924" xr:uid="{00000000-0005-0000-0000-00009ABC0000}"/>
    <cellStyle name="Normal 14 3 2 2 3 3 2 2 2" xfId="28458" xr:uid="{00000000-0005-0000-0000-00009BBC0000}"/>
    <cellStyle name="Normal 14 3 2 2 3 3 2 2 2 2" xfId="57464" xr:uid="{00000000-0005-0000-0000-00009CBC0000}"/>
    <cellStyle name="Normal 14 3 2 2 3 3 2 2 3" xfId="42965" xr:uid="{00000000-0005-0000-0000-00009DBC0000}"/>
    <cellStyle name="Normal 14 3 2 2 3 3 2 3" xfId="21210" xr:uid="{00000000-0005-0000-0000-00009EBC0000}"/>
    <cellStyle name="Normal 14 3 2 2 3 3 2 3 2" xfId="50216" xr:uid="{00000000-0005-0000-0000-00009FBC0000}"/>
    <cellStyle name="Normal 14 3 2 2 3 3 2 4" xfId="35717" xr:uid="{00000000-0005-0000-0000-0000A0BC0000}"/>
    <cellStyle name="Normal 14 3 2 2 3 3 3" xfId="10820" xr:uid="{00000000-0005-0000-0000-0000A1BC0000}"/>
    <cellStyle name="Normal 14 3 2 2 3 3 3 2" xfId="25354" xr:uid="{00000000-0005-0000-0000-0000A2BC0000}"/>
    <cellStyle name="Normal 14 3 2 2 3 3 3 2 2" xfId="54360" xr:uid="{00000000-0005-0000-0000-0000A3BC0000}"/>
    <cellStyle name="Normal 14 3 2 2 3 3 3 3" xfId="39861" xr:uid="{00000000-0005-0000-0000-0000A4BC0000}"/>
    <cellStyle name="Normal 14 3 2 2 3 3 4" xfId="18106" xr:uid="{00000000-0005-0000-0000-0000A5BC0000}"/>
    <cellStyle name="Normal 14 3 2 2 3 3 4 2" xfId="47112" xr:uid="{00000000-0005-0000-0000-0000A6BC0000}"/>
    <cellStyle name="Normal 14 3 2 2 3 3 5" xfId="32613" xr:uid="{00000000-0005-0000-0000-0000A7BC0000}"/>
    <cellStyle name="Normal 14 3 2 2 3 4" xfId="4580" xr:uid="{00000000-0005-0000-0000-0000A8BC0000}"/>
    <cellStyle name="Normal 14 3 2 2 3 4 2" xfId="11852" xr:uid="{00000000-0005-0000-0000-0000A9BC0000}"/>
    <cellStyle name="Normal 14 3 2 2 3 4 2 2" xfId="26386" xr:uid="{00000000-0005-0000-0000-0000AABC0000}"/>
    <cellStyle name="Normal 14 3 2 2 3 4 2 2 2" xfId="55392" xr:uid="{00000000-0005-0000-0000-0000ABBC0000}"/>
    <cellStyle name="Normal 14 3 2 2 3 4 2 3" xfId="40893" xr:uid="{00000000-0005-0000-0000-0000ACBC0000}"/>
    <cellStyle name="Normal 14 3 2 2 3 4 3" xfId="19138" xr:uid="{00000000-0005-0000-0000-0000ADBC0000}"/>
    <cellStyle name="Normal 14 3 2 2 3 4 3 2" xfId="48144" xr:uid="{00000000-0005-0000-0000-0000AEBC0000}"/>
    <cellStyle name="Normal 14 3 2 2 3 4 4" xfId="33645" xr:uid="{00000000-0005-0000-0000-0000AFBC0000}"/>
    <cellStyle name="Normal 14 3 2 2 3 5" xfId="7684" xr:uid="{00000000-0005-0000-0000-0000B0BC0000}"/>
    <cellStyle name="Normal 14 3 2 2 3 5 2" xfId="14956" xr:uid="{00000000-0005-0000-0000-0000B1BC0000}"/>
    <cellStyle name="Normal 14 3 2 2 3 5 2 2" xfId="29490" xr:uid="{00000000-0005-0000-0000-0000B2BC0000}"/>
    <cellStyle name="Normal 14 3 2 2 3 5 2 2 2" xfId="58496" xr:uid="{00000000-0005-0000-0000-0000B3BC0000}"/>
    <cellStyle name="Normal 14 3 2 2 3 5 2 3" xfId="43997" xr:uid="{00000000-0005-0000-0000-0000B4BC0000}"/>
    <cellStyle name="Normal 14 3 2 2 3 5 3" xfId="22242" xr:uid="{00000000-0005-0000-0000-0000B5BC0000}"/>
    <cellStyle name="Normal 14 3 2 2 3 5 3 2" xfId="51248" xr:uid="{00000000-0005-0000-0000-0000B6BC0000}"/>
    <cellStyle name="Normal 14 3 2 2 3 5 4" xfId="36749" xr:uid="{00000000-0005-0000-0000-0000B7BC0000}"/>
    <cellStyle name="Normal 14 3 2 2 3 6" xfId="8748" xr:uid="{00000000-0005-0000-0000-0000B8BC0000}"/>
    <cellStyle name="Normal 14 3 2 2 3 6 2" xfId="23282" xr:uid="{00000000-0005-0000-0000-0000B9BC0000}"/>
    <cellStyle name="Normal 14 3 2 2 3 6 2 2" xfId="52288" xr:uid="{00000000-0005-0000-0000-0000BABC0000}"/>
    <cellStyle name="Normal 14 3 2 2 3 6 3" xfId="37789" xr:uid="{00000000-0005-0000-0000-0000BBBC0000}"/>
    <cellStyle name="Normal 14 3 2 2 3 7" xfId="16034" xr:uid="{00000000-0005-0000-0000-0000BCBC0000}"/>
    <cellStyle name="Normal 14 3 2 2 3 7 2" xfId="45040" xr:uid="{00000000-0005-0000-0000-0000BDBC0000}"/>
    <cellStyle name="Normal 14 3 2 2 3 8" xfId="30541" xr:uid="{00000000-0005-0000-0000-0000BEBC0000}"/>
    <cellStyle name="Normal 14 3 2 2 4" xfId="2004" xr:uid="{00000000-0005-0000-0000-0000BFBC0000}"/>
    <cellStyle name="Normal 14 3 2 2 4 2" xfId="5108" xr:uid="{00000000-0005-0000-0000-0000C0BC0000}"/>
    <cellStyle name="Normal 14 3 2 2 4 2 2" xfId="12380" xr:uid="{00000000-0005-0000-0000-0000C1BC0000}"/>
    <cellStyle name="Normal 14 3 2 2 4 2 2 2" xfId="26914" xr:uid="{00000000-0005-0000-0000-0000C2BC0000}"/>
    <cellStyle name="Normal 14 3 2 2 4 2 2 2 2" xfId="55920" xr:uid="{00000000-0005-0000-0000-0000C3BC0000}"/>
    <cellStyle name="Normal 14 3 2 2 4 2 2 3" xfId="41421" xr:uid="{00000000-0005-0000-0000-0000C4BC0000}"/>
    <cellStyle name="Normal 14 3 2 2 4 2 3" xfId="19666" xr:uid="{00000000-0005-0000-0000-0000C5BC0000}"/>
    <cellStyle name="Normal 14 3 2 2 4 2 3 2" xfId="48672" xr:uid="{00000000-0005-0000-0000-0000C6BC0000}"/>
    <cellStyle name="Normal 14 3 2 2 4 2 4" xfId="34173" xr:uid="{00000000-0005-0000-0000-0000C7BC0000}"/>
    <cellStyle name="Normal 14 3 2 2 4 3" xfId="9276" xr:uid="{00000000-0005-0000-0000-0000C8BC0000}"/>
    <cellStyle name="Normal 14 3 2 2 4 3 2" xfId="23810" xr:uid="{00000000-0005-0000-0000-0000C9BC0000}"/>
    <cellStyle name="Normal 14 3 2 2 4 3 2 2" xfId="52816" xr:uid="{00000000-0005-0000-0000-0000CABC0000}"/>
    <cellStyle name="Normal 14 3 2 2 4 3 3" xfId="38317" xr:uid="{00000000-0005-0000-0000-0000CBBC0000}"/>
    <cellStyle name="Normal 14 3 2 2 4 4" xfId="16562" xr:uid="{00000000-0005-0000-0000-0000CCBC0000}"/>
    <cellStyle name="Normal 14 3 2 2 4 4 2" xfId="45568" xr:uid="{00000000-0005-0000-0000-0000CDBC0000}"/>
    <cellStyle name="Normal 14 3 2 2 4 5" xfId="31069" xr:uid="{00000000-0005-0000-0000-0000CEBC0000}"/>
    <cellStyle name="Normal 14 3 2 2 5" xfId="3036" xr:uid="{00000000-0005-0000-0000-0000CFBC0000}"/>
    <cellStyle name="Normal 14 3 2 2 5 2" xfId="6140" xr:uid="{00000000-0005-0000-0000-0000D0BC0000}"/>
    <cellStyle name="Normal 14 3 2 2 5 2 2" xfId="13412" xr:uid="{00000000-0005-0000-0000-0000D1BC0000}"/>
    <cellStyle name="Normal 14 3 2 2 5 2 2 2" xfId="27946" xr:uid="{00000000-0005-0000-0000-0000D2BC0000}"/>
    <cellStyle name="Normal 14 3 2 2 5 2 2 2 2" xfId="56952" xr:uid="{00000000-0005-0000-0000-0000D3BC0000}"/>
    <cellStyle name="Normal 14 3 2 2 5 2 2 3" xfId="42453" xr:uid="{00000000-0005-0000-0000-0000D4BC0000}"/>
    <cellStyle name="Normal 14 3 2 2 5 2 3" xfId="20698" xr:uid="{00000000-0005-0000-0000-0000D5BC0000}"/>
    <cellStyle name="Normal 14 3 2 2 5 2 3 2" xfId="49704" xr:uid="{00000000-0005-0000-0000-0000D6BC0000}"/>
    <cellStyle name="Normal 14 3 2 2 5 2 4" xfId="35205" xr:uid="{00000000-0005-0000-0000-0000D7BC0000}"/>
    <cellStyle name="Normal 14 3 2 2 5 3" xfId="10308" xr:uid="{00000000-0005-0000-0000-0000D8BC0000}"/>
    <cellStyle name="Normal 14 3 2 2 5 3 2" xfId="24842" xr:uid="{00000000-0005-0000-0000-0000D9BC0000}"/>
    <cellStyle name="Normal 14 3 2 2 5 3 2 2" xfId="53848" xr:uid="{00000000-0005-0000-0000-0000DABC0000}"/>
    <cellStyle name="Normal 14 3 2 2 5 3 3" xfId="39349" xr:uid="{00000000-0005-0000-0000-0000DBBC0000}"/>
    <cellStyle name="Normal 14 3 2 2 5 4" xfId="17594" xr:uid="{00000000-0005-0000-0000-0000DCBC0000}"/>
    <cellStyle name="Normal 14 3 2 2 5 4 2" xfId="46600" xr:uid="{00000000-0005-0000-0000-0000DDBC0000}"/>
    <cellStyle name="Normal 14 3 2 2 5 5" xfId="32101" xr:uid="{00000000-0005-0000-0000-0000DEBC0000}"/>
    <cellStyle name="Normal 14 3 2 2 6" xfId="4068" xr:uid="{00000000-0005-0000-0000-0000DFBC0000}"/>
    <cellStyle name="Normal 14 3 2 2 6 2" xfId="11340" xr:uid="{00000000-0005-0000-0000-0000E0BC0000}"/>
    <cellStyle name="Normal 14 3 2 2 6 2 2" xfId="25874" xr:uid="{00000000-0005-0000-0000-0000E1BC0000}"/>
    <cellStyle name="Normal 14 3 2 2 6 2 2 2" xfId="54880" xr:uid="{00000000-0005-0000-0000-0000E2BC0000}"/>
    <cellStyle name="Normal 14 3 2 2 6 2 3" xfId="40381" xr:uid="{00000000-0005-0000-0000-0000E3BC0000}"/>
    <cellStyle name="Normal 14 3 2 2 6 3" xfId="18626" xr:uid="{00000000-0005-0000-0000-0000E4BC0000}"/>
    <cellStyle name="Normal 14 3 2 2 6 3 2" xfId="47632" xr:uid="{00000000-0005-0000-0000-0000E5BC0000}"/>
    <cellStyle name="Normal 14 3 2 2 6 4" xfId="33133" xr:uid="{00000000-0005-0000-0000-0000E6BC0000}"/>
    <cellStyle name="Normal 14 3 2 2 7" xfId="7172" xr:uid="{00000000-0005-0000-0000-0000E7BC0000}"/>
    <cellStyle name="Normal 14 3 2 2 7 2" xfId="14444" xr:uid="{00000000-0005-0000-0000-0000E8BC0000}"/>
    <cellStyle name="Normal 14 3 2 2 7 2 2" xfId="28978" xr:uid="{00000000-0005-0000-0000-0000E9BC0000}"/>
    <cellStyle name="Normal 14 3 2 2 7 2 2 2" xfId="57984" xr:uid="{00000000-0005-0000-0000-0000EABC0000}"/>
    <cellStyle name="Normal 14 3 2 2 7 2 3" xfId="43485" xr:uid="{00000000-0005-0000-0000-0000EBBC0000}"/>
    <cellStyle name="Normal 14 3 2 2 7 3" xfId="21730" xr:uid="{00000000-0005-0000-0000-0000ECBC0000}"/>
    <cellStyle name="Normal 14 3 2 2 7 3 2" xfId="50736" xr:uid="{00000000-0005-0000-0000-0000EDBC0000}"/>
    <cellStyle name="Normal 14 3 2 2 7 4" xfId="36237" xr:uid="{00000000-0005-0000-0000-0000EEBC0000}"/>
    <cellStyle name="Normal 14 3 2 2 8" xfId="8236" xr:uid="{00000000-0005-0000-0000-0000EFBC0000}"/>
    <cellStyle name="Normal 14 3 2 2 8 2" xfId="22770" xr:uid="{00000000-0005-0000-0000-0000F0BC0000}"/>
    <cellStyle name="Normal 14 3 2 2 8 2 2" xfId="51776" xr:uid="{00000000-0005-0000-0000-0000F1BC0000}"/>
    <cellStyle name="Normal 14 3 2 2 8 3" xfId="37277" xr:uid="{00000000-0005-0000-0000-0000F2BC0000}"/>
    <cellStyle name="Normal 14 3 2 2 9" xfId="15522" xr:uid="{00000000-0005-0000-0000-0000F3BC0000}"/>
    <cellStyle name="Normal 14 3 2 2 9 2" xfId="44528" xr:uid="{00000000-0005-0000-0000-0000F4BC0000}"/>
    <cellStyle name="Normal 14 3 2 3" xfId="1161" xr:uid="{00000000-0005-0000-0000-0000F5BC0000}"/>
    <cellStyle name="Normal 14 3 2 3 2" xfId="1660" xr:uid="{00000000-0005-0000-0000-0000F6BC0000}"/>
    <cellStyle name="Normal 14 3 2 3 2 2" xfId="2719" xr:uid="{00000000-0005-0000-0000-0000F7BC0000}"/>
    <cellStyle name="Normal 14 3 2 3 2 2 2" xfId="5823" xr:uid="{00000000-0005-0000-0000-0000F8BC0000}"/>
    <cellStyle name="Normal 14 3 2 3 2 2 2 2" xfId="13095" xr:uid="{00000000-0005-0000-0000-0000F9BC0000}"/>
    <cellStyle name="Normal 14 3 2 3 2 2 2 2 2" xfId="27629" xr:uid="{00000000-0005-0000-0000-0000FABC0000}"/>
    <cellStyle name="Normal 14 3 2 3 2 2 2 2 2 2" xfId="56635" xr:uid="{00000000-0005-0000-0000-0000FBBC0000}"/>
    <cellStyle name="Normal 14 3 2 3 2 2 2 2 3" xfId="42136" xr:uid="{00000000-0005-0000-0000-0000FCBC0000}"/>
    <cellStyle name="Normal 14 3 2 3 2 2 2 3" xfId="20381" xr:uid="{00000000-0005-0000-0000-0000FDBC0000}"/>
    <cellStyle name="Normal 14 3 2 3 2 2 2 3 2" xfId="49387" xr:uid="{00000000-0005-0000-0000-0000FEBC0000}"/>
    <cellStyle name="Normal 14 3 2 3 2 2 2 4" xfId="34888" xr:uid="{00000000-0005-0000-0000-0000FFBC0000}"/>
    <cellStyle name="Normal 14 3 2 3 2 2 3" xfId="9991" xr:uid="{00000000-0005-0000-0000-000000BD0000}"/>
    <cellStyle name="Normal 14 3 2 3 2 2 3 2" xfId="24525" xr:uid="{00000000-0005-0000-0000-000001BD0000}"/>
    <cellStyle name="Normal 14 3 2 3 2 2 3 2 2" xfId="53531" xr:uid="{00000000-0005-0000-0000-000002BD0000}"/>
    <cellStyle name="Normal 14 3 2 3 2 2 3 3" xfId="39032" xr:uid="{00000000-0005-0000-0000-000003BD0000}"/>
    <cellStyle name="Normal 14 3 2 3 2 2 4" xfId="17277" xr:uid="{00000000-0005-0000-0000-000004BD0000}"/>
    <cellStyle name="Normal 14 3 2 3 2 2 4 2" xfId="46283" xr:uid="{00000000-0005-0000-0000-000005BD0000}"/>
    <cellStyle name="Normal 14 3 2 3 2 2 5" xfId="31784" xr:uid="{00000000-0005-0000-0000-000006BD0000}"/>
    <cellStyle name="Normal 14 3 2 3 2 3" xfId="3751" xr:uid="{00000000-0005-0000-0000-000007BD0000}"/>
    <cellStyle name="Normal 14 3 2 3 2 3 2" xfId="6855" xr:uid="{00000000-0005-0000-0000-000008BD0000}"/>
    <cellStyle name="Normal 14 3 2 3 2 3 2 2" xfId="14127" xr:uid="{00000000-0005-0000-0000-000009BD0000}"/>
    <cellStyle name="Normal 14 3 2 3 2 3 2 2 2" xfId="28661" xr:uid="{00000000-0005-0000-0000-00000ABD0000}"/>
    <cellStyle name="Normal 14 3 2 3 2 3 2 2 2 2" xfId="57667" xr:uid="{00000000-0005-0000-0000-00000BBD0000}"/>
    <cellStyle name="Normal 14 3 2 3 2 3 2 2 3" xfId="43168" xr:uid="{00000000-0005-0000-0000-00000CBD0000}"/>
    <cellStyle name="Normal 14 3 2 3 2 3 2 3" xfId="21413" xr:uid="{00000000-0005-0000-0000-00000DBD0000}"/>
    <cellStyle name="Normal 14 3 2 3 2 3 2 3 2" xfId="50419" xr:uid="{00000000-0005-0000-0000-00000EBD0000}"/>
    <cellStyle name="Normal 14 3 2 3 2 3 2 4" xfId="35920" xr:uid="{00000000-0005-0000-0000-00000FBD0000}"/>
    <cellStyle name="Normal 14 3 2 3 2 3 3" xfId="11023" xr:uid="{00000000-0005-0000-0000-000010BD0000}"/>
    <cellStyle name="Normal 14 3 2 3 2 3 3 2" xfId="25557" xr:uid="{00000000-0005-0000-0000-000011BD0000}"/>
    <cellStyle name="Normal 14 3 2 3 2 3 3 2 2" xfId="54563" xr:uid="{00000000-0005-0000-0000-000012BD0000}"/>
    <cellStyle name="Normal 14 3 2 3 2 3 3 3" xfId="40064" xr:uid="{00000000-0005-0000-0000-000013BD0000}"/>
    <cellStyle name="Normal 14 3 2 3 2 3 4" xfId="18309" xr:uid="{00000000-0005-0000-0000-000014BD0000}"/>
    <cellStyle name="Normal 14 3 2 3 2 3 4 2" xfId="47315" xr:uid="{00000000-0005-0000-0000-000015BD0000}"/>
    <cellStyle name="Normal 14 3 2 3 2 3 5" xfId="32816" xr:uid="{00000000-0005-0000-0000-000016BD0000}"/>
    <cellStyle name="Normal 14 3 2 3 2 4" xfId="4783" xr:uid="{00000000-0005-0000-0000-000017BD0000}"/>
    <cellStyle name="Normal 14 3 2 3 2 4 2" xfId="12055" xr:uid="{00000000-0005-0000-0000-000018BD0000}"/>
    <cellStyle name="Normal 14 3 2 3 2 4 2 2" xfId="26589" xr:uid="{00000000-0005-0000-0000-000019BD0000}"/>
    <cellStyle name="Normal 14 3 2 3 2 4 2 2 2" xfId="55595" xr:uid="{00000000-0005-0000-0000-00001ABD0000}"/>
    <cellStyle name="Normal 14 3 2 3 2 4 2 3" xfId="41096" xr:uid="{00000000-0005-0000-0000-00001BBD0000}"/>
    <cellStyle name="Normal 14 3 2 3 2 4 3" xfId="19341" xr:uid="{00000000-0005-0000-0000-00001CBD0000}"/>
    <cellStyle name="Normal 14 3 2 3 2 4 3 2" xfId="48347" xr:uid="{00000000-0005-0000-0000-00001DBD0000}"/>
    <cellStyle name="Normal 14 3 2 3 2 4 4" xfId="33848" xr:uid="{00000000-0005-0000-0000-00001EBD0000}"/>
    <cellStyle name="Normal 14 3 2 3 2 5" xfId="7887" xr:uid="{00000000-0005-0000-0000-00001FBD0000}"/>
    <cellStyle name="Normal 14 3 2 3 2 5 2" xfId="15159" xr:uid="{00000000-0005-0000-0000-000020BD0000}"/>
    <cellStyle name="Normal 14 3 2 3 2 5 2 2" xfId="29693" xr:uid="{00000000-0005-0000-0000-000021BD0000}"/>
    <cellStyle name="Normal 14 3 2 3 2 5 2 2 2" xfId="58699" xr:uid="{00000000-0005-0000-0000-000022BD0000}"/>
    <cellStyle name="Normal 14 3 2 3 2 5 2 3" xfId="44200" xr:uid="{00000000-0005-0000-0000-000023BD0000}"/>
    <cellStyle name="Normal 14 3 2 3 2 5 3" xfId="22445" xr:uid="{00000000-0005-0000-0000-000024BD0000}"/>
    <cellStyle name="Normal 14 3 2 3 2 5 3 2" xfId="51451" xr:uid="{00000000-0005-0000-0000-000025BD0000}"/>
    <cellStyle name="Normal 14 3 2 3 2 5 4" xfId="36952" xr:uid="{00000000-0005-0000-0000-000026BD0000}"/>
    <cellStyle name="Normal 14 3 2 3 2 6" xfId="8951" xr:uid="{00000000-0005-0000-0000-000027BD0000}"/>
    <cellStyle name="Normal 14 3 2 3 2 6 2" xfId="23485" xr:uid="{00000000-0005-0000-0000-000028BD0000}"/>
    <cellStyle name="Normal 14 3 2 3 2 6 2 2" xfId="52491" xr:uid="{00000000-0005-0000-0000-000029BD0000}"/>
    <cellStyle name="Normal 14 3 2 3 2 6 3" xfId="37992" xr:uid="{00000000-0005-0000-0000-00002ABD0000}"/>
    <cellStyle name="Normal 14 3 2 3 2 7" xfId="16237" xr:uid="{00000000-0005-0000-0000-00002BBD0000}"/>
    <cellStyle name="Normal 14 3 2 3 2 7 2" xfId="45243" xr:uid="{00000000-0005-0000-0000-00002CBD0000}"/>
    <cellStyle name="Normal 14 3 2 3 2 8" xfId="30744" xr:uid="{00000000-0005-0000-0000-00002DBD0000}"/>
    <cellStyle name="Normal 14 3 2 3 3" xfId="2207" xr:uid="{00000000-0005-0000-0000-00002EBD0000}"/>
    <cellStyle name="Normal 14 3 2 3 3 2" xfId="5311" xr:uid="{00000000-0005-0000-0000-00002FBD0000}"/>
    <cellStyle name="Normal 14 3 2 3 3 2 2" xfId="12583" xr:uid="{00000000-0005-0000-0000-000030BD0000}"/>
    <cellStyle name="Normal 14 3 2 3 3 2 2 2" xfId="27117" xr:uid="{00000000-0005-0000-0000-000031BD0000}"/>
    <cellStyle name="Normal 14 3 2 3 3 2 2 2 2" xfId="56123" xr:uid="{00000000-0005-0000-0000-000032BD0000}"/>
    <cellStyle name="Normal 14 3 2 3 3 2 2 3" xfId="41624" xr:uid="{00000000-0005-0000-0000-000033BD0000}"/>
    <cellStyle name="Normal 14 3 2 3 3 2 3" xfId="19869" xr:uid="{00000000-0005-0000-0000-000034BD0000}"/>
    <cellStyle name="Normal 14 3 2 3 3 2 3 2" xfId="48875" xr:uid="{00000000-0005-0000-0000-000035BD0000}"/>
    <cellStyle name="Normal 14 3 2 3 3 2 4" xfId="34376" xr:uid="{00000000-0005-0000-0000-000036BD0000}"/>
    <cellStyle name="Normal 14 3 2 3 3 3" xfId="9479" xr:uid="{00000000-0005-0000-0000-000037BD0000}"/>
    <cellStyle name="Normal 14 3 2 3 3 3 2" xfId="24013" xr:uid="{00000000-0005-0000-0000-000038BD0000}"/>
    <cellStyle name="Normal 14 3 2 3 3 3 2 2" xfId="53019" xr:uid="{00000000-0005-0000-0000-000039BD0000}"/>
    <cellStyle name="Normal 14 3 2 3 3 3 3" xfId="38520" xr:uid="{00000000-0005-0000-0000-00003ABD0000}"/>
    <cellStyle name="Normal 14 3 2 3 3 4" xfId="16765" xr:uid="{00000000-0005-0000-0000-00003BBD0000}"/>
    <cellStyle name="Normal 14 3 2 3 3 4 2" xfId="45771" xr:uid="{00000000-0005-0000-0000-00003CBD0000}"/>
    <cellStyle name="Normal 14 3 2 3 3 5" xfId="31272" xr:uid="{00000000-0005-0000-0000-00003DBD0000}"/>
    <cellStyle name="Normal 14 3 2 3 4" xfId="3239" xr:uid="{00000000-0005-0000-0000-00003EBD0000}"/>
    <cellStyle name="Normal 14 3 2 3 4 2" xfId="6343" xr:uid="{00000000-0005-0000-0000-00003FBD0000}"/>
    <cellStyle name="Normal 14 3 2 3 4 2 2" xfId="13615" xr:uid="{00000000-0005-0000-0000-000040BD0000}"/>
    <cellStyle name="Normal 14 3 2 3 4 2 2 2" xfId="28149" xr:uid="{00000000-0005-0000-0000-000041BD0000}"/>
    <cellStyle name="Normal 14 3 2 3 4 2 2 2 2" xfId="57155" xr:uid="{00000000-0005-0000-0000-000042BD0000}"/>
    <cellStyle name="Normal 14 3 2 3 4 2 2 3" xfId="42656" xr:uid="{00000000-0005-0000-0000-000043BD0000}"/>
    <cellStyle name="Normal 14 3 2 3 4 2 3" xfId="20901" xr:uid="{00000000-0005-0000-0000-000044BD0000}"/>
    <cellStyle name="Normal 14 3 2 3 4 2 3 2" xfId="49907" xr:uid="{00000000-0005-0000-0000-000045BD0000}"/>
    <cellStyle name="Normal 14 3 2 3 4 2 4" xfId="35408" xr:uid="{00000000-0005-0000-0000-000046BD0000}"/>
    <cellStyle name="Normal 14 3 2 3 4 3" xfId="10511" xr:uid="{00000000-0005-0000-0000-000047BD0000}"/>
    <cellStyle name="Normal 14 3 2 3 4 3 2" xfId="25045" xr:uid="{00000000-0005-0000-0000-000048BD0000}"/>
    <cellStyle name="Normal 14 3 2 3 4 3 2 2" xfId="54051" xr:uid="{00000000-0005-0000-0000-000049BD0000}"/>
    <cellStyle name="Normal 14 3 2 3 4 3 3" xfId="39552" xr:uid="{00000000-0005-0000-0000-00004ABD0000}"/>
    <cellStyle name="Normal 14 3 2 3 4 4" xfId="17797" xr:uid="{00000000-0005-0000-0000-00004BBD0000}"/>
    <cellStyle name="Normal 14 3 2 3 4 4 2" xfId="46803" xr:uid="{00000000-0005-0000-0000-00004CBD0000}"/>
    <cellStyle name="Normal 14 3 2 3 4 5" xfId="32304" xr:uid="{00000000-0005-0000-0000-00004DBD0000}"/>
    <cellStyle name="Normal 14 3 2 3 5" xfId="4271" xr:uid="{00000000-0005-0000-0000-00004EBD0000}"/>
    <cellStyle name="Normal 14 3 2 3 5 2" xfId="11543" xr:uid="{00000000-0005-0000-0000-00004FBD0000}"/>
    <cellStyle name="Normal 14 3 2 3 5 2 2" xfId="26077" xr:uid="{00000000-0005-0000-0000-000050BD0000}"/>
    <cellStyle name="Normal 14 3 2 3 5 2 2 2" xfId="55083" xr:uid="{00000000-0005-0000-0000-000051BD0000}"/>
    <cellStyle name="Normal 14 3 2 3 5 2 3" xfId="40584" xr:uid="{00000000-0005-0000-0000-000052BD0000}"/>
    <cellStyle name="Normal 14 3 2 3 5 3" xfId="18829" xr:uid="{00000000-0005-0000-0000-000053BD0000}"/>
    <cellStyle name="Normal 14 3 2 3 5 3 2" xfId="47835" xr:uid="{00000000-0005-0000-0000-000054BD0000}"/>
    <cellStyle name="Normal 14 3 2 3 5 4" xfId="33336" xr:uid="{00000000-0005-0000-0000-000055BD0000}"/>
    <cellStyle name="Normal 14 3 2 3 6" xfId="7375" xr:uid="{00000000-0005-0000-0000-000056BD0000}"/>
    <cellStyle name="Normal 14 3 2 3 6 2" xfId="14647" xr:uid="{00000000-0005-0000-0000-000057BD0000}"/>
    <cellStyle name="Normal 14 3 2 3 6 2 2" xfId="29181" xr:uid="{00000000-0005-0000-0000-000058BD0000}"/>
    <cellStyle name="Normal 14 3 2 3 6 2 2 2" xfId="58187" xr:uid="{00000000-0005-0000-0000-000059BD0000}"/>
    <cellStyle name="Normal 14 3 2 3 6 2 3" xfId="43688" xr:uid="{00000000-0005-0000-0000-00005ABD0000}"/>
    <cellStyle name="Normal 14 3 2 3 6 3" xfId="21933" xr:uid="{00000000-0005-0000-0000-00005BBD0000}"/>
    <cellStyle name="Normal 14 3 2 3 6 3 2" xfId="50939" xr:uid="{00000000-0005-0000-0000-00005CBD0000}"/>
    <cellStyle name="Normal 14 3 2 3 6 4" xfId="36440" xr:uid="{00000000-0005-0000-0000-00005DBD0000}"/>
    <cellStyle name="Normal 14 3 2 3 7" xfId="8439" xr:uid="{00000000-0005-0000-0000-00005EBD0000}"/>
    <cellStyle name="Normal 14 3 2 3 7 2" xfId="22973" xr:uid="{00000000-0005-0000-0000-00005FBD0000}"/>
    <cellStyle name="Normal 14 3 2 3 7 2 2" xfId="51979" xr:uid="{00000000-0005-0000-0000-000060BD0000}"/>
    <cellStyle name="Normal 14 3 2 3 7 3" xfId="37480" xr:uid="{00000000-0005-0000-0000-000061BD0000}"/>
    <cellStyle name="Normal 14 3 2 3 8" xfId="15725" xr:uid="{00000000-0005-0000-0000-000062BD0000}"/>
    <cellStyle name="Normal 14 3 2 3 8 2" xfId="44731" xr:uid="{00000000-0005-0000-0000-000063BD0000}"/>
    <cellStyle name="Normal 14 3 2 3 9" xfId="30232" xr:uid="{00000000-0005-0000-0000-000064BD0000}"/>
    <cellStyle name="Normal 14 3 2 4" xfId="1070" xr:uid="{00000000-0005-0000-0000-000065BD0000}"/>
    <cellStyle name="Normal 14 3 2 4 2" xfId="1561" xr:uid="{00000000-0005-0000-0000-000066BD0000}"/>
    <cellStyle name="Normal 14 3 2 4 2 2" xfId="2619" xr:uid="{00000000-0005-0000-0000-000067BD0000}"/>
    <cellStyle name="Normal 14 3 2 4 2 2 2" xfId="5723" xr:uid="{00000000-0005-0000-0000-000068BD0000}"/>
    <cellStyle name="Normal 14 3 2 4 2 2 2 2" xfId="12995" xr:uid="{00000000-0005-0000-0000-000069BD0000}"/>
    <cellStyle name="Normal 14 3 2 4 2 2 2 2 2" xfId="27529" xr:uid="{00000000-0005-0000-0000-00006ABD0000}"/>
    <cellStyle name="Normal 14 3 2 4 2 2 2 2 2 2" xfId="56535" xr:uid="{00000000-0005-0000-0000-00006BBD0000}"/>
    <cellStyle name="Normal 14 3 2 4 2 2 2 2 3" xfId="42036" xr:uid="{00000000-0005-0000-0000-00006CBD0000}"/>
    <cellStyle name="Normal 14 3 2 4 2 2 2 3" xfId="20281" xr:uid="{00000000-0005-0000-0000-00006DBD0000}"/>
    <cellStyle name="Normal 14 3 2 4 2 2 2 3 2" xfId="49287" xr:uid="{00000000-0005-0000-0000-00006EBD0000}"/>
    <cellStyle name="Normal 14 3 2 4 2 2 2 4" xfId="34788" xr:uid="{00000000-0005-0000-0000-00006FBD0000}"/>
    <cellStyle name="Normal 14 3 2 4 2 2 3" xfId="9891" xr:uid="{00000000-0005-0000-0000-000070BD0000}"/>
    <cellStyle name="Normal 14 3 2 4 2 2 3 2" xfId="24425" xr:uid="{00000000-0005-0000-0000-000071BD0000}"/>
    <cellStyle name="Normal 14 3 2 4 2 2 3 2 2" xfId="53431" xr:uid="{00000000-0005-0000-0000-000072BD0000}"/>
    <cellStyle name="Normal 14 3 2 4 2 2 3 3" xfId="38932" xr:uid="{00000000-0005-0000-0000-000073BD0000}"/>
    <cellStyle name="Normal 14 3 2 4 2 2 4" xfId="17177" xr:uid="{00000000-0005-0000-0000-000074BD0000}"/>
    <cellStyle name="Normal 14 3 2 4 2 2 4 2" xfId="46183" xr:uid="{00000000-0005-0000-0000-000075BD0000}"/>
    <cellStyle name="Normal 14 3 2 4 2 2 5" xfId="31684" xr:uid="{00000000-0005-0000-0000-000076BD0000}"/>
    <cellStyle name="Normal 14 3 2 4 2 3" xfId="3651" xr:uid="{00000000-0005-0000-0000-000077BD0000}"/>
    <cellStyle name="Normal 14 3 2 4 2 3 2" xfId="6755" xr:uid="{00000000-0005-0000-0000-000078BD0000}"/>
    <cellStyle name="Normal 14 3 2 4 2 3 2 2" xfId="14027" xr:uid="{00000000-0005-0000-0000-000079BD0000}"/>
    <cellStyle name="Normal 14 3 2 4 2 3 2 2 2" xfId="28561" xr:uid="{00000000-0005-0000-0000-00007ABD0000}"/>
    <cellStyle name="Normal 14 3 2 4 2 3 2 2 2 2" xfId="57567" xr:uid="{00000000-0005-0000-0000-00007BBD0000}"/>
    <cellStyle name="Normal 14 3 2 4 2 3 2 2 3" xfId="43068" xr:uid="{00000000-0005-0000-0000-00007CBD0000}"/>
    <cellStyle name="Normal 14 3 2 4 2 3 2 3" xfId="21313" xr:uid="{00000000-0005-0000-0000-00007DBD0000}"/>
    <cellStyle name="Normal 14 3 2 4 2 3 2 3 2" xfId="50319" xr:uid="{00000000-0005-0000-0000-00007EBD0000}"/>
    <cellStyle name="Normal 14 3 2 4 2 3 2 4" xfId="35820" xr:uid="{00000000-0005-0000-0000-00007FBD0000}"/>
    <cellStyle name="Normal 14 3 2 4 2 3 3" xfId="10923" xr:uid="{00000000-0005-0000-0000-000080BD0000}"/>
    <cellStyle name="Normal 14 3 2 4 2 3 3 2" xfId="25457" xr:uid="{00000000-0005-0000-0000-000081BD0000}"/>
    <cellStyle name="Normal 14 3 2 4 2 3 3 2 2" xfId="54463" xr:uid="{00000000-0005-0000-0000-000082BD0000}"/>
    <cellStyle name="Normal 14 3 2 4 2 3 3 3" xfId="39964" xr:uid="{00000000-0005-0000-0000-000083BD0000}"/>
    <cellStyle name="Normal 14 3 2 4 2 3 4" xfId="18209" xr:uid="{00000000-0005-0000-0000-000084BD0000}"/>
    <cellStyle name="Normal 14 3 2 4 2 3 4 2" xfId="47215" xr:uid="{00000000-0005-0000-0000-000085BD0000}"/>
    <cellStyle name="Normal 14 3 2 4 2 3 5" xfId="32716" xr:uid="{00000000-0005-0000-0000-000086BD0000}"/>
    <cellStyle name="Normal 14 3 2 4 2 4" xfId="4683" xr:uid="{00000000-0005-0000-0000-000087BD0000}"/>
    <cellStyle name="Normal 14 3 2 4 2 4 2" xfId="11955" xr:uid="{00000000-0005-0000-0000-000088BD0000}"/>
    <cellStyle name="Normal 14 3 2 4 2 4 2 2" xfId="26489" xr:uid="{00000000-0005-0000-0000-000089BD0000}"/>
    <cellStyle name="Normal 14 3 2 4 2 4 2 2 2" xfId="55495" xr:uid="{00000000-0005-0000-0000-00008ABD0000}"/>
    <cellStyle name="Normal 14 3 2 4 2 4 2 3" xfId="40996" xr:uid="{00000000-0005-0000-0000-00008BBD0000}"/>
    <cellStyle name="Normal 14 3 2 4 2 4 3" xfId="19241" xr:uid="{00000000-0005-0000-0000-00008CBD0000}"/>
    <cellStyle name="Normal 14 3 2 4 2 4 3 2" xfId="48247" xr:uid="{00000000-0005-0000-0000-00008DBD0000}"/>
    <cellStyle name="Normal 14 3 2 4 2 4 4" xfId="33748" xr:uid="{00000000-0005-0000-0000-00008EBD0000}"/>
    <cellStyle name="Normal 14 3 2 4 2 5" xfId="7787" xr:uid="{00000000-0005-0000-0000-00008FBD0000}"/>
    <cellStyle name="Normal 14 3 2 4 2 5 2" xfId="15059" xr:uid="{00000000-0005-0000-0000-000090BD0000}"/>
    <cellStyle name="Normal 14 3 2 4 2 5 2 2" xfId="29593" xr:uid="{00000000-0005-0000-0000-000091BD0000}"/>
    <cellStyle name="Normal 14 3 2 4 2 5 2 2 2" xfId="58599" xr:uid="{00000000-0005-0000-0000-000092BD0000}"/>
    <cellStyle name="Normal 14 3 2 4 2 5 2 3" xfId="44100" xr:uid="{00000000-0005-0000-0000-000093BD0000}"/>
    <cellStyle name="Normal 14 3 2 4 2 5 3" xfId="22345" xr:uid="{00000000-0005-0000-0000-000094BD0000}"/>
    <cellStyle name="Normal 14 3 2 4 2 5 3 2" xfId="51351" xr:uid="{00000000-0005-0000-0000-000095BD0000}"/>
    <cellStyle name="Normal 14 3 2 4 2 5 4" xfId="36852" xr:uid="{00000000-0005-0000-0000-000096BD0000}"/>
    <cellStyle name="Normal 14 3 2 4 2 6" xfId="8851" xr:uid="{00000000-0005-0000-0000-000097BD0000}"/>
    <cellStyle name="Normal 14 3 2 4 2 6 2" xfId="23385" xr:uid="{00000000-0005-0000-0000-000098BD0000}"/>
    <cellStyle name="Normal 14 3 2 4 2 6 2 2" xfId="52391" xr:uid="{00000000-0005-0000-0000-000099BD0000}"/>
    <cellStyle name="Normal 14 3 2 4 2 6 3" xfId="37892" xr:uid="{00000000-0005-0000-0000-00009ABD0000}"/>
    <cellStyle name="Normal 14 3 2 4 2 7" xfId="16137" xr:uid="{00000000-0005-0000-0000-00009BBD0000}"/>
    <cellStyle name="Normal 14 3 2 4 2 7 2" xfId="45143" xr:uid="{00000000-0005-0000-0000-00009CBD0000}"/>
    <cellStyle name="Normal 14 3 2 4 2 8" xfId="30644" xr:uid="{00000000-0005-0000-0000-00009DBD0000}"/>
    <cellStyle name="Normal 14 3 2 4 3" xfId="2107" xr:uid="{00000000-0005-0000-0000-00009EBD0000}"/>
    <cellStyle name="Normal 14 3 2 4 3 2" xfId="5211" xr:uid="{00000000-0005-0000-0000-00009FBD0000}"/>
    <cellStyle name="Normal 14 3 2 4 3 2 2" xfId="12483" xr:uid="{00000000-0005-0000-0000-0000A0BD0000}"/>
    <cellStyle name="Normal 14 3 2 4 3 2 2 2" xfId="27017" xr:uid="{00000000-0005-0000-0000-0000A1BD0000}"/>
    <cellStyle name="Normal 14 3 2 4 3 2 2 2 2" xfId="56023" xr:uid="{00000000-0005-0000-0000-0000A2BD0000}"/>
    <cellStyle name="Normal 14 3 2 4 3 2 2 3" xfId="41524" xr:uid="{00000000-0005-0000-0000-0000A3BD0000}"/>
    <cellStyle name="Normal 14 3 2 4 3 2 3" xfId="19769" xr:uid="{00000000-0005-0000-0000-0000A4BD0000}"/>
    <cellStyle name="Normal 14 3 2 4 3 2 3 2" xfId="48775" xr:uid="{00000000-0005-0000-0000-0000A5BD0000}"/>
    <cellStyle name="Normal 14 3 2 4 3 2 4" xfId="34276" xr:uid="{00000000-0005-0000-0000-0000A6BD0000}"/>
    <cellStyle name="Normal 14 3 2 4 3 3" xfId="9379" xr:uid="{00000000-0005-0000-0000-0000A7BD0000}"/>
    <cellStyle name="Normal 14 3 2 4 3 3 2" xfId="23913" xr:uid="{00000000-0005-0000-0000-0000A8BD0000}"/>
    <cellStyle name="Normal 14 3 2 4 3 3 2 2" xfId="52919" xr:uid="{00000000-0005-0000-0000-0000A9BD0000}"/>
    <cellStyle name="Normal 14 3 2 4 3 3 3" xfId="38420" xr:uid="{00000000-0005-0000-0000-0000AABD0000}"/>
    <cellStyle name="Normal 14 3 2 4 3 4" xfId="16665" xr:uid="{00000000-0005-0000-0000-0000ABBD0000}"/>
    <cellStyle name="Normal 14 3 2 4 3 4 2" xfId="45671" xr:uid="{00000000-0005-0000-0000-0000ACBD0000}"/>
    <cellStyle name="Normal 14 3 2 4 3 5" xfId="31172" xr:uid="{00000000-0005-0000-0000-0000ADBD0000}"/>
    <cellStyle name="Normal 14 3 2 4 4" xfId="3139" xr:uid="{00000000-0005-0000-0000-0000AEBD0000}"/>
    <cellStyle name="Normal 14 3 2 4 4 2" xfId="6243" xr:uid="{00000000-0005-0000-0000-0000AFBD0000}"/>
    <cellStyle name="Normal 14 3 2 4 4 2 2" xfId="13515" xr:uid="{00000000-0005-0000-0000-0000B0BD0000}"/>
    <cellStyle name="Normal 14 3 2 4 4 2 2 2" xfId="28049" xr:uid="{00000000-0005-0000-0000-0000B1BD0000}"/>
    <cellStyle name="Normal 14 3 2 4 4 2 2 2 2" xfId="57055" xr:uid="{00000000-0005-0000-0000-0000B2BD0000}"/>
    <cellStyle name="Normal 14 3 2 4 4 2 2 3" xfId="42556" xr:uid="{00000000-0005-0000-0000-0000B3BD0000}"/>
    <cellStyle name="Normal 14 3 2 4 4 2 3" xfId="20801" xr:uid="{00000000-0005-0000-0000-0000B4BD0000}"/>
    <cellStyle name="Normal 14 3 2 4 4 2 3 2" xfId="49807" xr:uid="{00000000-0005-0000-0000-0000B5BD0000}"/>
    <cellStyle name="Normal 14 3 2 4 4 2 4" xfId="35308" xr:uid="{00000000-0005-0000-0000-0000B6BD0000}"/>
    <cellStyle name="Normal 14 3 2 4 4 3" xfId="10411" xr:uid="{00000000-0005-0000-0000-0000B7BD0000}"/>
    <cellStyle name="Normal 14 3 2 4 4 3 2" xfId="24945" xr:uid="{00000000-0005-0000-0000-0000B8BD0000}"/>
    <cellStyle name="Normal 14 3 2 4 4 3 2 2" xfId="53951" xr:uid="{00000000-0005-0000-0000-0000B9BD0000}"/>
    <cellStyle name="Normal 14 3 2 4 4 3 3" xfId="39452" xr:uid="{00000000-0005-0000-0000-0000BABD0000}"/>
    <cellStyle name="Normal 14 3 2 4 4 4" xfId="17697" xr:uid="{00000000-0005-0000-0000-0000BBBD0000}"/>
    <cellStyle name="Normal 14 3 2 4 4 4 2" xfId="46703" xr:uid="{00000000-0005-0000-0000-0000BCBD0000}"/>
    <cellStyle name="Normal 14 3 2 4 4 5" xfId="32204" xr:uid="{00000000-0005-0000-0000-0000BDBD0000}"/>
    <cellStyle name="Normal 14 3 2 4 5" xfId="4171" xr:uid="{00000000-0005-0000-0000-0000BEBD0000}"/>
    <cellStyle name="Normal 14 3 2 4 5 2" xfId="11443" xr:uid="{00000000-0005-0000-0000-0000BFBD0000}"/>
    <cellStyle name="Normal 14 3 2 4 5 2 2" xfId="25977" xr:uid="{00000000-0005-0000-0000-0000C0BD0000}"/>
    <cellStyle name="Normal 14 3 2 4 5 2 2 2" xfId="54983" xr:uid="{00000000-0005-0000-0000-0000C1BD0000}"/>
    <cellStyle name="Normal 14 3 2 4 5 2 3" xfId="40484" xr:uid="{00000000-0005-0000-0000-0000C2BD0000}"/>
    <cellStyle name="Normal 14 3 2 4 5 3" xfId="18729" xr:uid="{00000000-0005-0000-0000-0000C3BD0000}"/>
    <cellStyle name="Normal 14 3 2 4 5 3 2" xfId="47735" xr:uid="{00000000-0005-0000-0000-0000C4BD0000}"/>
    <cellStyle name="Normal 14 3 2 4 5 4" xfId="33236" xr:uid="{00000000-0005-0000-0000-0000C5BD0000}"/>
    <cellStyle name="Normal 14 3 2 4 6" xfId="7275" xr:uid="{00000000-0005-0000-0000-0000C6BD0000}"/>
    <cellStyle name="Normal 14 3 2 4 6 2" xfId="14547" xr:uid="{00000000-0005-0000-0000-0000C7BD0000}"/>
    <cellStyle name="Normal 14 3 2 4 6 2 2" xfId="29081" xr:uid="{00000000-0005-0000-0000-0000C8BD0000}"/>
    <cellStyle name="Normal 14 3 2 4 6 2 2 2" xfId="58087" xr:uid="{00000000-0005-0000-0000-0000C9BD0000}"/>
    <cellStyle name="Normal 14 3 2 4 6 2 3" xfId="43588" xr:uid="{00000000-0005-0000-0000-0000CABD0000}"/>
    <cellStyle name="Normal 14 3 2 4 6 3" xfId="21833" xr:uid="{00000000-0005-0000-0000-0000CBBD0000}"/>
    <cellStyle name="Normal 14 3 2 4 6 3 2" xfId="50839" xr:uid="{00000000-0005-0000-0000-0000CCBD0000}"/>
    <cellStyle name="Normal 14 3 2 4 6 4" xfId="36340" xr:uid="{00000000-0005-0000-0000-0000CDBD0000}"/>
    <cellStyle name="Normal 14 3 2 4 7" xfId="8339" xr:uid="{00000000-0005-0000-0000-0000CEBD0000}"/>
    <cellStyle name="Normal 14 3 2 4 7 2" xfId="22873" xr:uid="{00000000-0005-0000-0000-0000CFBD0000}"/>
    <cellStyle name="Normal 14 3 2 4 7 2 2" xfId="51879" xr:uid="{00000000-0005-0000-0000-0000D0BD0000}"/>
    <cellStyle name="Normal 14 3 2 4 7 3" xfId="37380" xr:uid="{00000000-0005-0000-0000-0000D1BD0000}"/>
    <cellStyle name="Normal 14 3 2 4 8" xfId="15625" xr:uid="{00000000-0005-0000-0000-0000D2BD0000}"/>
    <cellStyle name="Normal 14 3 2 4 8 2" xfId="44631" xr:uid="{00000000-0005-0000-0000-0000D3BD0000}"/>
    <cellStyle name="Normal 14 3 2 4 9" xfId="30132" xr:uid="{00000000-0005-0000-0000-0000D4BD0000}"/>
    <cellStyle name="Normal 14 3 2 5" xfId="1356" xr:uid="{00000000-0005-0000-0000-0000D5BD0000}"/>
    <cellStyle name="Normal 14 3 2 5 2" xfId="2413" xr:uid="{00000000-0005-0000-0000-0000D6BD0000}"/>
    <cellStyle name="Normal 14 3 2 5 2 2" xfId="5517" xr:uid="{00000000-0005-0000-0000-0000D7BD0000}"/>
    <cellStyle name="Normal 14 3 2 5 2 2 2" xfId="12789" xr:uid="{00000000-0005-0000-0000-0000D8BD0000}"/>
    <cellStyle name="Normal 14 3 2 5 2 2 2 2" xfId="27323" xr:uid="{00000000-0005-0000-0000-0000D9BD0000}"/>
    <cellStyle name="Normal 14 3 2 5 2 2 2 2 2" xfId="56329" xr:uid="{00000000-0005-0000-0000-0000DABD0000}"/>
    <cellStyle name="Normal 14 3 2 5 2 2 2 3" xfId="41830" xr:uid="{00000000-0005-0000-0000-0000DBBD0000}"/>
    <cellStyle name="Normal 14 3 2 5 2 2 3" xfId="20075" xr:uid="{00000000-0005-0000-0000-0000DCBD0000}"/>
    <cellStyle name="Normal 14 3 2 5 2 2 3 2" xfId="49081" xr:uid="{00000000-0005-0000-0000-0000DDBD0000}"/>
    <cellStyle name="Normal 14 3 2 5 2 2 4" xfId="34582" xr:uid="{00000000-0005-0000-0000-0000DEBD0000}"/>
    <cellStyle name="Normal 14 3 2 5 2 3" xfId="9685" xr:uid="{00000000-0005-0000-0000-0000DFBD0000}"/>
    <cellStyle name="Normal 14 3 2 5 2 3 2" xfId="24219" xr:uid="{00000000-0005-0000-0000-0000E0BD0000}"/>
    <cellStyle name="Normal 14 3 2 5 2 3 2 2" xfId="53225" xr:uid="{00000000-0005-0000-0000-0000E1BD0000}"/>
    <cellStyle name="Normal 14 3 2 5 2 3 3" xfId="38726" xr:uid="{00000000-0005-0000-0000-0000E2BD0000}"/>
    <cellStyle name="Normal 14 3 2 5 2 4" xfId="16971" xr:uid="{00000000-0005-0000-0000-0000E3BD0000}"/>
    <cellStyle name="Normal 14 3 2 5 2 4 2" xfId="45977" xr:uid="{00000000-0005-0000-0000-0000E4BD0000}"/>
    <cellStyle name="Normal 14 3 2 5 2 5" xfId="31478" xr:uid="{00000000-0005-0000-0000-0000E5BD0000}"/>
    <cellStyle name="Normal 14 3 2 5 3" xfId="3445" xr:uid="{00000000-0005-0000-0000-0000E6BD0000}"/>
    <cellStyle name="Normal 14 3 2 5 3 2" xfId="6549" xr:uid="{00000000-0005-0000-0000-0000E7BD0000}"/>
    <cellStyle name="Normal 14 3 2 5 3 2 2" xfId="13821" xr:uid="{00000000-0005-0000-0000-0000E8BD0000}"/>
    <cellStyle name="Normal 14 3 2 5 3 2 2 2" xfId="28355" xr:uid="{00000000-0005-0000-0000-0000E9BD0000}"/>
    <cellStyle name="Normal 14 3 2 5 3 2 2 2 2" xfId="57361" xr:uid="{00000000-0005-0000-0000-0000EABD0000}"/>
    <cellStyle name="Normal 14 3 2 5 3 2 2 3" xfId="42862" xr:uid="{00000000-0005-0000-0000-0000EBBD0000}"/>
    <cellStyle name="Normal 14 3 2 5 3 2 3" xfId="21107" xr:uid="{00000000-0005-0000-0000-0000ECBD0000}"/>
    <cellStyle name="Normal 14 3 2 5 3 2 3 2" xfId="50113" xr:uid="{00000000-0005-0000-0000-0000EDBD0000}"/>
    <cellStyle name="Normal 14 3 2 5 3 2 4" xfId="35614" xr:uid="{00000000-0005-0000-0000-0000EEBD0000}"/>
    <cellStyle name="Normal 14 3 2 5 3 3" xfId="10717" xr:uid="{00000000-0005-0000-0000-0000EFBD0000}"/>
    <cellStyle name="Normal 14 3 2 5 3 3 2" xfId="25251" xr:uid="{00000000-0005-0000-0000-0000F0BD0000}"/>
    <cellStyle name="Normal 14 3 2 5 3 3 2 2" xfId="54257" xr:uid="{00000000-0005-0000-0000-0000F1BD0000}"/>
    <cellStyle name="Normal 14 3 2 5 3 3 3" xfId="39758" xr:uid="{00000000-0005-0000-0000-0000F2BD0000}"/>
    <cellStyle name="Normal 14 3 2 5 3 4" xfId="18003" xr:uid="{00000000-0005-0000-0000-0000F3BD0000}"/>
    <cellStyle name="Normal 14 3 2 5 3 4 2" xfId="47009" xr:uid="{00000000-0005-0000-0000-0000F4BD0000}"/>
    <cellStyle name="Normal 14 3 2 5 3 5" xfId="32510" xr:uid="{00000000-0005-0000-0000-0000F5BD0000}"/>
    <cellStyle name="Normal 14 3 2 5 4" xfId="4477" xr:uid="{00000000-0005-0000-0000-0000F6BD0000}"/>
    <cellStyle name="Normal 14 3 2 5 4 2" xfId="11749" xr:uid="{00000000-0005-0000-0000-0000F7BD0000}"/>
    <cellStyle name="Normal 14 3 2 5 4 2 2" xfId="26283" xr:uid="{00000000-0005-0000-0000-0000F8BD0000}"/>
    <cellStyle name="Normal 14 3 2 5 4 2 2 2" xfId="55289" xr:uid="{00000000-0005-0000-0000-0000F9BD0000}"/>
    <cellStyle name="Normal 14 3 2 5 4 2 3" xfId="40790" xr:uid="{00000000-0005-0000-0000-0000FABD0000}"/>
    <cellStyle name="Normal 14 3 2 5 4 3" xfId="19035" xr:uid="{00000000-0005-0000-0000-0000FBBD0000}"/>
    <cellStyle name="Normal 14 3 2 5 4 3 2" xfId="48041" xr:uid="{00000000-0005-0000-0000-0000FCBD0000}"/>
    <cellStyle name="Normal 14 3 2 5 4 4" xfId="33542" xr:uid="{00000000-0005-0000-0000-0000FDBD0000}"/>
    <cellStyle name="Normal 14 3 2 5 5" xfId="7581" xr:uid="{00000000-0005-0000-0000-0000FEBD0000}"/>
    <cellStyle name="Normal 14 3 2 5 5 2" xfId="14853" xr:uid="{00000000-0005-0000-0000-0000FFBD0000}"/>
    <cellStyle name="Normal 14 3 2 5 5 2 2" xfId="29387" xr:uid="{00000000-0005-0000-0000-000000BE0000}"/>
    <cellStyle name="Normal 14 3 2 5 5 2 2 2" xfId="58393" xr:uid="{00000000-0005-0000-0000-000001BE0000}"/>
    <cellStyle name="Normal 14 3 2 5 5 2 3" xfId="43894" xr:uid="{00000000-0005-0000-0000-000002BE0000}"/>
    <cellStyle name="Normal 14 3 2 5 5 3" xfId="22139" xr:uid="{00000000-0005-0000-0000-000003BE0000}"/>
    <cellStyle name="Normal 14 3 2 5 5 3 2" xfId="51145" xr:uid="{00000000-0005-0000-0000-000004BE0000}"/>
    <cellStyle name="Normal 14 3 2 5 5 4" xfId="36646" xr:uid="{00000000-0005-0000-0000-000005BE0000}"/>
    <cellStyle name="Normal 14 3 2 5 6" xfId="8645" xr:uid="{00000000-0005-0000-0000-000006BE0000}"/>
    <cellStyle name="Normal 14 3 2 5 6 2" xfId="23179" xr:uid="{00000000-0005-0000-0000-000007BE0000}"/>
    <cellStyle name="Normal 14 3 2 5 6 2 2" xfId="52185" xr:uid="{00000000-0005-0000-0000-000008BE0000}"/>
    <cellStyle name="Normal 14 3 2 5 6 3" xfId="37686" xr:uid="{00000000-0005-0000-0000-000009BE0000}"/>
    <cellStyle name="Normal 14 3 2 5 7" xfId="15931" xr:uid="{00000000-0005-0000-0000-00000ABE0000}"/>
    <cellStyle name="Normal 14 3 2 5 7 2" xfId="44937" xr:uid="{00000000-0005-0000-0000-00000BBE0000}"/>
    <cellStyle name="Normal 14 3 2 5 8" xfId="30438" xr:uid="{00000000-0005-0000-0000-00000CBE0000}"/>
    <cellStyle name="Normal 14 3 2 6" xfId="1901" xr:uid="{00000000-0005-0000-0000-00000DBE0000}"/>
    <cellStyle name="Normal 14 3 2 6 2" xfId="5005" xr:uid="{00000000-0005-0000-0000-00000EBE0000}"/>
    <cellStyle name="Normal 14 3 2 6 2 2" xfId="12277" xr:uid="{00000000-0005-0000-0000-00000FBE0000}"/>
    <cellStyle name="Normal 14 3 2 6 2 2 2" xfId="26811" xr:uid="{00000000-0005-0000-0000-000010BE0000}"/>
    <cellStyle name="Normal 14 3 2 6 2 2 2 2" xfId="55817" xr:uid="{00000000-0005-0000-0000-000011BE0000}"/>
    <cellStyle name="Normal 14 3 2 6 2 2 3" xfId="41318" xr:uid="{00000000-0005-0000-0000-000012BE0000}"/>
    <cellStyle name="Normal 14 3 2 6 2 3" xfId="19563" xr:uid="{00000000-0005-0000-0000-000013BE0000}"/>
    <cellStyle name="Normal 14 3 2 6 2 3 2" xfId="48569" xr:uid="{00000000-0005-0000-0000-000014BE0000}"/>
    <cellStyle name="Normal 14 3 2 6 2 4" xfId="34070" xr:uid="{00000000-0005-0000-0000-000015BE0000}"/>
    <cellStyle name="Normal 14 3 2 6 3" xfId="9173" xr:uid="{00000000-0005-0000-0000-000016BE0000}"/>
    <cellStyle name="Normal 14 3 2 6 3 2" xfId="23707" xr:uid="{00000000-0005-0000-0000-000017BE0000}"/>
    <cellStyle name="Normal 14 3 2 6 3 2 2" xfId="52713" xr:uid="{00000000-0005-0000-0000-000018BE0000}"/>
    <cellStyle name="Normal 14 3 2 6 3 3" xfId="38214" xr:uid="{00000000-0005-0000-0000-000019BE0000}"/>
    <cellStyle name="Normal 14 3 2 6 4" xfId="16459" xr:uid="{00000000-0005-0000-0000-00001ABE0000}"/>
    <cellStyle name="Normal 14 3 2 6 4 2" xfId="45465" xr:uid="{00000000-0005-0000-0000-00001BBE0000}"/>
    <cellStyle name="Normal 14 3 2 6 5" xfId="30966" xr:uid="{00000000-0005-0000-0000-00001CBE0000}"/>
    <cellStyle name="Normal 14 3 2 7" xfId="2933" xr:uid="{00000000-0005-0000-0000-00001DBE0000}"/>
    <cellStyle name="Normal 14 3 2 7 2" xfId="6037" xr:uid="{00000000-0005-0000-0000-00001EBE0000}"/>
    <cellStyle name="Normal 14 3 2 7 2 2" xfId="13309" xr:uid="{00000000-0005-0000-0000-00001FBE0000}"/>
    <cellStyle name="Normal 14 3 2 7 2 2 2" xfId="27843" xr:uid="{00000000-0005-0000-0000-000020BE0000}"/>
    <cellStyle name="Normal 14 3 2 7 2 2 2 2" xfId="56849" xr:uid="{00000000-0005-0000-0000-000021BE0000}"/>
    <cellStyle name="Normal 14 3 2 7 2 2 3" xfId="42350" xr:uid="{00000000-0005-0000-0000-000022BE0000}"/>
    <cellStyle name="Normal 14 3 2 7 2 3" xfId="20595" xr:uid="{00000000-0005-0000-0000-000023BE0000}"/>
    <cellStyle name="Normal 14 3 2 7 2 3 2" xfId="49601" xr:uid="{00000000-0005-0000-0000-000024BE0000}"/>
    <cellStyle name="Normal 14 3 2 7 2 4" xfId="35102" xr:uid="{00000000-0005-0000-0000-000025BE0000}"/>
    <cellStyle name="Normal 14 3 2 7 3" xfId="10205" xr:uid="{00000000-0005-0000-0000-000026BE0000}"/>
    <cellStyle name="Normal 14 3 2 7 3 2" xfId="24739" xr:uid="{00000000-0005-0000-0000-000027BE0000}"/>
    <cellStyle name="Normal 14 3 2 7 3 2 2" xfId="53745" xr:uid="{00000000-0005-0000-0000-000028BE0000}"/>
    <cellStyle name="Normal 14 3 2 7 3 3" xfId="39246" xr:uid="{00000000-0005-0000-0000-000029BE0000}"/>
    <cellStyle name="Normal 14 3 2 7 4" xfId="17491" xr:uid="{00000000-0005-0000-0000-00002ABE0000}"/>
    <cellStyle name="Normal 14 3 2 7 4 2" xfId="46497" xr:uid="{00000000-0005-0000-0000-00002BBE0000}"/>
    <cellStyle name="Normal 14 3 2 7 5" xfId="31998" xr:uid="{00000000-0005-0000-0000-00002CBE0000}"/>
    <cellStyle name="Normal 14 3 2 8" xfId="3965" xr:uid="{00000000-0005-0000-0000-00002DBE0000}"/>
    <cellStyle name="Normal 14 3 2 8 2" xfId="11237" xr:uid="{00000000-0005-0000-0000-00002EBE0000}"/>
    <cellStyle name="Normal 14 3 2 8 2 2" xfId="25771" xr:uid="{00000000-0005-0000-0000-00002FBE0000}"/>
    <cellStyle name="Normal 14 3 2 8 2 2 2" xfId="54777" xr:uid="{00000000-0005-0000-0000-000030BE0000}"/>
    <cellStyle name="Normal 14 3 2 8 2 3" xfId="40278" xr:uid="{00000000-0005-0000-0000-000031BE0000}"/>
    <cellStyle name="Normal 14 3 2 8 3" xfId="18523" xr:uid="{00000000-0005-0000-0000-000032BE0000}"/>
    <cellStyle name="Normal 14 3 2 8 3 2" xfId="47529" xr:uid="{00000000-0005-0000-0000-000033BE0000}"/>
    <cellStyle name="Normal 14 3 2 8 4" xfId="33030" xr:uid="{00000000-0005-0000-0000-000034BE0000}"/>
    <cellStyle name="Normal 14 3 2 9" xfId="7069" xr:uid="{00000000-0005-0000-0000-000035BE0000}"/>
    <cellStyle name="Normal 14 3 2 9 2" xfId="14341" xr:uid="{00000000-0005-0000-0000-000036BE0000}"/>
    <cellStyle name="Normal 14 3 2 9 2 2" xfId="28875" xr:uid="{00000000-0005-0000-0000-000037BE0000}"/>
    <cellStyle name="Normal 14 3 2 9 2 2 2" xfId="57881" xr:uid="{00000000-0005-0000-0000-000038BE0000}"/>
    <cellStyle name="Normal 14 3 2 9 2 3" xfId="43382" xr:uid="{00000000-0005-0000-0000-000039BE0000}"/>
    <cellStyle name="Normal 14 3 2 9 3" xfId="21627" xr:uid="{00000000-0005-0000-0000-00003ABE0000}"/>
    <cellStyle name="Normal 14 3 2 9 3 2" xfId="50633" xr:uid="{00000000-0005-0000-0000-00003BBE0000}"/>
    <cellStyle name="Normal 14 3 2 9 4" xfId="36134" xr:uid="{00000000-0005-0000-0000-00003CBE0000}"/>
    <cellStyle name="Normal 14 3 3" xfId="935" xr:uid="{00000000-0005-0000-0000-00003DBE0000}"/>
    <cellStyle name="Normal 14 3 3 10" xfId="29977" xr:uid="{00000000-0005-0000-0000-00003EBE0000}"/>
    <cellStyle name="Normal 14 3 3 2" xfId="1208" xr:uid="{00000000-0005-0000-0000-00003FBE0000}"/>
    <cellStyle name="Normal 14 3 3 2 2" xfId="1711" xr:uid="{00000000-0005-0000-0000-000040BE0000}"/>
    <cellStyle name="Normal 14 3 3 2 2 2" xfId="2770" xr:uid="{00000000-0005-0000-0000-000041BE0000}"/>
    <cellStyle name="Normal 14 3 3 2 2 2 2" xfId="5874" xr:uid="{00000000-0005-0000-0000-000042BE0000}"/>
    <cellStyle name="Normal 14 3 3 2 2 2 2 2" xfId="13146" xr:uid="{00000000-0005-0000-0000-000043BE0000}"/>
    <cellStyle name="Normal 14 3 3 2 2 2 2 2 2" xfId="27680" xr:uid="{00000000-0005-0000-0000-000044BE0000}"/>
    <cellStyle name="Normal 14 3 3 2 2 2 2 2 2 2" xfId="56686" xr:uid="{00000000-0005-0000-0000-000045BE0000}"/>
    <cellStyle name="Normal 14 3 3 2 2 2 2 2 3" xfId="42187" xr:uid="{00000000-0005-0000-0000-000046BE0000}"/>
    <cellStyle name="Normal 14 3 3 2 2 2 2 3" xfId="20432" xr:uid="{00000000-0005-0000-0000-000047BE0000}"/>
    <cellStyle name="Normal 14 3 3 2 2 2 2 3 2" xfId="49438" xr:uid="{00000000-0005-0000-0000-000048BE0000}"/>
    <cellStyle name="Normal 14 3 3 2 2 2 2 4" xfId="34939" xr:uid="{00000000-0005-0000-0000-000049BE0000}"/>
    <cellStyle name="Normal 14 3 3 2 2 2 3" xfId="10042" xr:uid="{00000000-0005-0000-0000-00004ABE0000}"/>
    <cellStyle name="Normal 14 3 3 2 2 2 3 2" xfId="24576" xr:uid="{00000000-0005-0000-0000-00004BBE0000}"/>
    <cellStyle name="Normal 14 3 3 2 2 2 3 2 2" xfId="53582" xr:uid="{00000000-0005-0000-0000-00004CBE0000}"/>
    <cellStyle name="Normal 14 3 3 2 2 2 3 3" xfId="39083" xr:uid="{00000000-0005-0000-0000-00004DBE0000}"/>
    <cellStyle name="Normal 14 3 3 2 2 2 4" xfId="17328" xr:uid="{00000000-0005-0000-0000-00004EBE0000}"/>
    <cellStyle name="Normal 14 3 3 2 2 2 4 2" xfId="46334" xr:uid="{00000000-0005-0000-0000-00004FBE0000}"/>
    <cellStyle name="Normal 14 3 3 2 2 2 5" xfId="31835" xr:uid="{00000000-0005-0000-0000-000050BE0000}"/>
    <cellStyle name="Normal 14 3 3 2 2 3" xfId="3802" xr:uid="{00000000-0005-0000-0000-000051BE0000}"/>
    <cellStyle name="Normal 14 3 3 2 2 3 2" xfId="6906" xr:uid="{00000000-0005-0000-0000-000052BE0000}"/>
    <cellStyle name="Normal 14 3 3 2 2 3 2 2" xfId="14178" xr:uid="{00000000-0005-0000-0000-000053BE0000}"/>
    <cellStyle name="Normal 14 3 3 2 2 3 2 2 2" xfId="28712" xr:uid="{00000000-0005-0000-0000-000054BE0000}"/>
    <cellStyle name="Normal 14 3 3 2 2 3 2 2 2 2" xfId="57718" xr:uid="{00000000-0005-0000-0000-000055BE0000}"/>
    <cellStyle name="Normal 14 3 3 2 2 3 2 2 3" xfId="43219" xr:uid="{00000000-0005-0000-0000-000056BE0000}"/>
    <cellStyle name="Normal 14 3 3 2 2 3 2 3" xfId="21464" xr:uid="{00000000-0005-0000-0000-000057BE0000}"/>
    <cellStyle name="Normal 14 3 3 2 2 3 2 3 2" xfId="50470" xr:uid="{00000000-0005-0000-0000-000058BE0000}"/>
    <cellStyle name="Normal 14 3 3 2 2 3 2 4" xfId="35971" xr:uid="{00000000-0005-0000-0000-000059BE0000}"/>
    <cellStyle name="Normal 14 3 3 2 2 3 3" xfId="11074" xr:uid="{00000000-0005-0000-0000-00005ABE0000}"/>
    <cellStyle name="Normal 14 3 3 2 2 3 3 2" xfId="25608" xr:uid="{00000000-0005-0000-0000-00005BBE0000}"/>
    <cellStyle name="Normal 14 3 3 2 2 3 3 2 2" xfId="54614" xr:uid="{00000000-0005-0000-0000-00005CBE0000}"/>
    <cellStyle name="Normal 14 3 3 2 2 3 3 3" xfId="40115" xr:uid="{00000000-0005-0000-0000-00005DBE0000}"/>
    <cellStyle name="Normal 14 3 3 2 2 3 4" xfId="18360" xr:uid="{00000000-0005-0000-0000-00005EBE0000}"/>
    <cellStyle name="Normal 14 3 3 2 2 3 4 2" xfId="47366" xr:uid="{00000000-0005-0000-0000-00005FBE0000}"/>
    <cellStyle name="Normal 14 3 3 2 2 3 5" xfId="32867" xr:uid="{00000000-0005-0000-0000-000060BE0000}"/>
    <cellStyle name="Normal 14 3 3 2 2 4" xfId="4834" xr:uid="{00000000-0005-0000-0000-000061BE0000}"/>
    <cellStyle name="Normal 14 3 3 2 2 4 2" xfId="12106" xr:uid="{00000000-0005-0000-0000-000062BE0000}"/>
    <cellStyle name="Normal 14 3 3 2 2 4 2 2" xfId="26640" xr:uid="{00000000-0005-0000-0000-000063BE0000}"/>
    <cellStyle name="Normal 14 3 3 2 2 4 2 2 2" xfId="55646" xr:uid="{00000000-0005-0000-0000-000064BE0000}"/>
    <cellStyle name="Normal 14 3 3 2 2 4 2 3" xfId="41147" xr:uid="{00000000-0005-0000-0000-000065BE0000}"/>
    <cellStyle name="Normal 14 3 3 2 2 4 3" xfId="19392" xr:uid="{00000000-0005-0000-0000-000066BE0000}"/>
    <cellStyle name="Normal 14 3 3 2 2 4 3 2" xfId="48398" xr:uid="{00000000-0005-0000-0000-000067BE0000}"/>
    <cellStyle name="Normal 14 3 3 2 2 4 4" xfId="33899" xr:uid="{00000000-0005-0000-0000-000068BE0000}"/>
    <cellStyle name="Normal 14 3 3 2 2 5" xfId="7938" xr:uid="{00000000-0005-0000-0000-000069BE0000}"/>
    <cellStyle name="Normal 14 3 3 2 2 5 2" xfId="15210" xr:uid="{00000000-0005-0000-0000-00006ABE0000}"/>
    <cellStyle name="Normal 14 3 3 2 2 5 2 2" xfId="29744" xr:uid="{00000000-0005-0000-0000-00006BBE0000}"/>
    <cellStyle name="Normal 14 3 3 2 2 5 2 2 2" xfId="58750" xr:uid="{00000000-0005-0000-0000-00006CBE0000}"/>
    <cellStyle name="Normal 14 3 3 2 2 5 2 3" xfId="44251" xr:uid="{00000000-0005-0000-0000-00006DBE0000}"/>
    <cellStyle name="Normal 14 3 3 2 2 5 3" xfId="22496" xr:uid="{00000000-0005-0000-0000-00006EBE0000}"/>
    <cellStyle name="Normal 14 3 3 2 2 5 3 2" xfId="51502" xr:uid="{00000000-0005-0000-0000-00006FBE0000}"/>
    <cellStyle name="Normal 14 3 3 2 2 5 4" xfId="37003" xr:uid="{00000000-0005-0000-0000-000070BE0000}"/>
    <cellStyle name="Normal 14 3 3 2 2 6" xfId="9002" xr:uid="{00000000-0005-0000-0000-000071BE0000}"/>
    <cellStyle name="Normal 14 3 3 2 2 6 2" xfId="23536" xr:uid="{00000000-0005-0000-0000-000072BE0000}"/>
    <cellStyle name="Normal 14 3 3 2 2 6 2 2" xfId="52542" xr:uid="{00000000-0005-0000-0000-000073BE0000}"/>
    <cellStyle name="Normal 14 3 3 2 2 6 3" xfId="38043" xr:uid="{00000000-0005-0000-0000-000074BE0000}"/>
    <cellStyle name="Normal 14 3 3 2 2 7" xfId="16288" xr:uid="{00000000-0005-0000-0000-000075BE0000}"/>
    <cellStyle name="Normal 14 3 3 2 2 7 2" xfId="45294" xr:uid="{00000000-0005-0000-0000-000076BE0000}"/>
    <cellStyle name="Normal 14 3 3 2 2 8" xfId="30795" xr:uid="{00000000-0005-0000-0000-000077BE0000}"/>
    <cellStyle name="Normal 14 3 3 2 3" xfId="2258" xr:uid="{00000000-0005-0000-0000-000078BE0000}"/>
    <cellStyle name="Normal 14 3 3 2 3 2" xfId="5362" xr:uid="{00000000-0005-0000-0000-000079BE0000}"/>
    <cellStyle name="Normal 14 3 3 2 3 2 2" xfId="12634" xr:uid="{00000000-0005-0000-0000-00007ABE0000}"/>
    <cellStyle name="Normal 14 3 3 2 3 2 2 2" xfId="27168" xr:uid="{00000000-0005-0000-0000-00007BBE0000}"/>
    <cellStyle name="Normal 14 3 3 2 3 2 2 2 2" xfId="56174" xr:uid="{00000000-0005-0000-0000-00007CBE0000}"/>
    <cellStyle name="Normal 14 3 3 2 3 2 2 3" xfId="41675" xr:uid="{00000000-0005-0000-0000-00007DBE0000}"/>
    <cellStyle name="Normal 14 3 3 2 3 2 3" xfId="19920" xr:uid="{00000000-0005-0000-0000-00007EBE0000}"/>
    <cellStyle name="Normal 14 3 3 2 3 2 3 2" xfId="48926" xr:uid="{00000000-0005-0000-0000-00007FBE0000}"/>
    <cellStyle name="Normal 14 3 3 2 3 2 4" xfId="34427" xr:uid="{00000000-0005-0000-0000-000080BE0000}"/>
    <cellStyle name="Normal 14 3 3 2 3 3" xfId="9530" xr:uid="{00000000-0005-0000-0000-000081BE0000}"/>
    <cellStyle name="Normal 14 3 3 2 3 3 2" xfId="24064" xr:uid="{00000000-0005-0000-0000-000082BE0000}"/>
    <cellStyle name="Normal 14 3 3 2 3 3 2 2" xfId="53070" xr:uid="{00000000-0005-0000-0000-000083BE0000}"/>
    <cellStyle name="Normal 14 3 3 2 3 3 3" xfId="38571" xr:uid="{00000000-0005-0000-0000-000084BE0000}"/>
    <cellStyle name="Normal 14 3 3 2 3 4" xfId="16816" xr:uid="{00000000-0005-0000-0000-000085BE0000}"/>
    <cellStyle name="Normal 14 3 3 2 3 4 2" xfId="45822" xr:uid="{00000000-0005-0000-0000-000086BE0000}"/>
    <cellStyle name="Normal 14 3 3 2 3 5" xfId="31323" xr:uid="{00000000-0005-0000-0000-000087BE0000}"/>
    <cellStyle name="Normal 14 3 3 2 4" xfId="3290" xr:uid="{00000000-0005-0000-0000-000088BE0000}"/>
    <cellStyle name="Normal 14 3 3 2 4 2" xfId="6394" xr:uid="{00000000-0005-0000-0000-000089BE0000}"/>
    <cellStyle name="Normal 14 3 3 2 4 2 2" xfId="13666" xr:uid="{00000000-0005-0000-0000-00008ABE0000}"/>
    <cellStyle name="Normal 14 3 3 2 4 2 2 2" xfId="28200" xr:uid="{00000000-0005-0000-0000-00008BBE0000}"/>
    <cellStyle name="Normal 14 3 3 2 4 2 2 2 2" xfId="57206" xr:uid="{00000000-0005-0000-0000-00008CBE0000}"/>
    <cellStyle name="Normal 14 3 3 2 4 2 2 3" xfId="42707" xr:uid="{00000000-0005-0000-0000-00008DBE0000}"/>
    <cellStyle name="Normal 14 3 3 2 4 2 3" xfId="20952" xr:uid="{00000000-0005-0000-0000-00008EBE0000}"/>
    <cellStyle name="Normal 14 3 3 2 4 2 3 2" xfId="49958" xr:uid="{00000000-0005-0000-0000-00008FBE0000}"/>
    <cellStyle name="Normal 14 3 3 2 4 2 4" xfId="35459" xr:uid="{00000000-0005-0000-0000-000090BE0000}"/>
    <cellStyle name="Normal 14 3 3 2 4 3" xfId="10562" xr:uid="{00000000-0005-0000-0000-000091BE0000}"/>
    <cellStyle name="Normal 14 3 3 2 4 3 2" xfId="25096" xr:uid="{00000000-0005-0000-0000-000092BE0000}"/>
    <cellStyle name="Normal 14 3 3 2 4 3 2 2" xfId="54102" xr:uid="{00000000-0005-0000-0000-000093BE0000}"/>
    <cellStyle name="Normal 14 3 3 2 4 3 3" xfId="39603" xr:uid="{00000000-0005-0000-0000-000094BE0000}"/>
    <cellStyle name="Normal 14 3 3 2 4 4" xfId="17848" xr:uid="{00000000-0005-0000-0000-000095BE0000}"/>
    <cellStyle name="Normal 14 3 3 2 4 4 2" xfId="46854" xr:uid="{00000000-0005-0000-0000-000096BE0000}"/>
    <cellStyle name="Normal 14 3 3 2 4 5" xfId="32355" xr:uid="{00000000-0005-0000-0000-000097BE0000}"/>
    <cellStyle name="Normal 14 3 3 2 5" xfId="4322" xr:uid="{00000000-0005-0000-0000-000098BE0000}"/>
    <cellStyle name="Normal 14 3 3 2 5 2" xfId="11594" xr:uid="{00000000-0005-0000-0000-000099BE0000}"/>
    <cellStyle name="Normal 14 3 3 2 5 2 2" xfId="26128" xr:uid="{00000000-0005-0000-0000-00009ABE0000}"/>
    <cellStyle name="Normal 14 3 3 2 5 2 2 2" xfId="55134" xr:uid="{00000000-0005-0000-0000-00009BBE0000}"/>
    <cellStyle name="Normal 14 3 3 2 5 2 3" xfId="40635" xr:uid="{00000000-0005-0000-0000-00009CBE0000}"/>
    <cellStyle name="Normal 14 3 3 2 5 3" xfId="18880" xr:uid="{00000000-0005-0000-0000-00009DBE0000}"/>
    <cellStyle name="Normal 14 3 3 2 5 3 2" xfId="47886" xr:uid="{00000000-0005-0000-0000-00009EBE0000}"/>
    <cellStyle name="Normal 14 3 3 2 5 4" xfId="33387" xr:uid="{00000000-0005-0000-0000-00009FBE0000}"/>
    <cellStyle name="Normal 14 3 3 2 6" xfId="7426" xr:uid="{00000000-0005-0000-0000-0000A0BE0000}"/>
    <cellStyle name="Normal 14 3 3 2 6 2" xfId="14698" xr:uid="{00000000-0005-0000-0000-0000A1BE0000}"/>
    <cellStyle name="Normal 14 3 3 2 6 2 2" xfId="29232" xr:uid="{00000000-0005-0000-0000-0000A2BE0000}"/>
    <cellStyle name="Normal 14 3 3 2 6 2 2 2" xfId="58238" xr:uid="{00000000-0005-0000-0000-0000A3BE0000}"/>
    <cellStyle name="Normal 14 3 3 2 6 2 3" xfId="43739" xr:uid="{00000000-0005-0000-0000-0000A4BE0000}"/>
    <cellStyle name="Normal 14 3 3 2 6 3" xfId="21984" xr:uid="{00000000-0005-0000-0000-0000A5BE0000}"/>
    <cellStyle name="Normal 14 3 3 2 6 3 2" xfId="50990" xr:uid="{00000000-0005-0000-0000-0000A6BE0000}"/>
    <cellStyle name="Normal 14 3 3 2 6 4" xfId="36491" xr:uid="{00000000-0005-0000-0000-0000A7BE0000}"/>
    <cellStyle name="Normal 14 3 3 2 7" xfId="8490" xr:uid="{00000000-0005-0000-0000-0000A8BE0000}"/>
    <cellStyle name="Normal 14 3 3 2 7 2" xfId="23024" xr:uid="{00000000-0005-0000-0000-0000A9BE0000}"/>
    <cellStyle name="Normal 14 3 3 2 7 2 2" xfId="52030" xr:uid="{00000000-0005-0000-0000-0000AABE0000}"/>
    <cellStyle name="Normal 14 3 3 2 7 3" xfId="37531" xr:uid="{00000000-0005-0000-0000-0000ABBE0000}"/>
    <cellStyle name="Normal 14 3 3 2 8" xfId="15776" xr:uid="{00000000-0005-0000-0000-0000ACBE0000}"/>
    <cellStyle name="Normal 14 3 3 2 8 2" xfId="44782" xr:uid="{00000000-0005-0000-0000-0000ADBE0000}"/>
    <cellStyle name="Normal 14 3 3 2 9" xfId="30283" xr:uid="{00000000-0005-0000-0000-0000AEBE0000}"/>
    <cellStyle name="Normal 14 3 3 3" xfId="1406" xr:uid="{00000000-0005-0000-0000-0000AFBE0000}"/>
    <cellStyle name="Normal 14 3 3 3 2" xfId="2464" xr:uid="{00000000-0005-0000-0000-0000B0BE0000}"/>
    <cellStyle name="Normal 14 3 3 3 2 2" xfId="5568" xr:uid="{00000000-0005-0000-0000-0000B1BE0000}"/>
    <cellStyle name="Normal 14 3 3 3 2 2 2" xfId="12840" xr:uid="{00000000-0005-0000-0000-0000B2BE0000}"/>
    <cellStyle name="Normal 14 3 3 3 2 2 2 2" xfId="27374" xr:uid="{00000000-0005-0000-0000-0000B3BE0000}"/>
    <cellStyle name="Normal 14 3 3 3 2 2 2 2 2" xfId="56380" xr:uid="{00000000-0005-0000-0000-0000B4BE0000}"/>
    <cellStyle name="Normal 14 3 3 3 2 2 2 3" xfId="41881" xr:uid="{00000000-0005-0000-0000-0000B5BE0000}"/>
    <cellStyle name="Normal 14 3 3 3 2 2 3" xfId="20126" xr:uid="{00000000-0005-0000-0000-0000B6BE0000}"/>
    <cellStyle name="Normal 14 3 3 3 2 2 3 2" xfId="49132" xr:uid="{00000000-0005-0000-0000-0000B7BE0000}"/>
    <cellStyle name="Normal 14 3 3 3 2 2 4" xfId="34633" xr:uid="{00000000-0005-0000-0000-0000B8BE0000}"/>
    <cellStyle name="Normal 14 3 3 3 2 3" xfId="9736" xr:uid="{00000000-0005-0000-0000-0000B9BE0000}"/>
    <cellStyle name="Normal 14 3 3 3 2 3 2" xfId="24270" xr:uid="{00000000-0005-0000-0000-0000BABE0000}"/>
    <cellStyle name="Normal 14 3 3 3 2 3 2 2" xfId="53276" xr:uid="{00000000-0005-0000-0000-0000BBBE0000}"/>
    <cellStyle name="Normal 14 3 3 3 2 3 3" xfId="38777" xr:uid="{00000000-0005-0000-0000-0000BCBE0000}"/>
    <cellStyle name="Normal 14 3 3 3 2 4" xfId="17022" xr:uid="{00000000-0005-0000-0000-0000BDBE0000}"/>
    <cellStyle name="Normal 14 3 3 3 2 4 2" xfId="46028" xr:uid="{00000000-0005-0000-0000-0000BEBE0000}"/>
    <cellStyle name="Normal 14 3 3 3 2 5" xfId="31529" xr:uid="{00000000-0005-0000-0000-0000BFBE0000}"/>
    <cellStyle name="Normal 14 3 3 3 3" xfId="3496" xr:uid="{00000000-0005-0000-0000-0000C0BE0000}"/>
    <cellStyle name="Normal 14 3 3 3 3 2" xfId="6600" xr:uid="{00000000-0005-0000-0000-0000C1BE0000}"/>
    <cellStyle name="Normal 14 3 3 3 3 2 2" xfId="13872" xr:uid="{00000000-0005-0000-0000-0000C2BE0000}"/>
    <cellStyle name="Normal 14 3 3 3 3 2 2 2" xfId="28406" xr:uid="{00000000-0005-0000-0000-0000C3BE0000}"/>
    <cellStyle name="Normal 14 3 3 3 3 2 2 2 2" xfId="57412" xr:uid="{00000000-0005-0000-0000-0000C4BE0000}"/>
    <cellStyle name="Normal 14 3 3 3 3 2 2 3" xfId="42913" xr:uid="{00000000-0005-0000-0000-0000C5BE0000}"/>
    <cellStyle name="Normal 14 3 3 3 3 2 3" xfId="21158" xr:uid="{00000000-0005-0000-0000-0000C6BE0000}"/>
    <cellStyle name="Normal 14 3 3 3 3 2 3 2" xfId="50164" xr:uid="{00000000-0005-0000-0000-0000C7BE0000}"/>
    <cellStyle name="Normal 14 3 3 3 3 2 4" xfId="35665" xr:uid="{00000000-0005-0000-0000-0000C8BE0000}"/>
    <cellStyle name="Normal 14 3 3 3 3 3" xfId="10768" xr:uid="{00000000-0005-0000-0000-0000C9BE0000}"/>
    <cellStyle name="Normal 14 3 3 3 3 3 2" xfId="25302" xr:uid="{00000000-0005-0000-0000-0000CABE0000}"/>
    <cellStyle name="Normal 14 3 3 3 3 3 2 2" xfId="54308" xr:uid="{00000000-0005-0000-0000-0000CBBE0000}"/>
    <cellStyle name="Normal 14 3 3 3 3 3 3" xfId="39809" xr:uid="{00000000-0005-0000-0000-0000CCBE0000}"/>
    <cellStyle name="Normal 14 3 3 3 3 4" xfId="18054" xr:uid="{00000000-0005-0000-0000-0000CDBE0000}"/>
    <cellStyle name="Normal 14 3 3 3 3 4 2" xfId="47060" xr:uid="{00000000-0005-0000-0000-0000CEBE0000}"/>
    <cellStyle name="Normal 14 3 3 3 3 5" xfId="32561" xr:uid="{00000000-0005-0000-0000-0000CFBE0000}"/>
    <cellStyle name="Normal 14 3 3 3 4" xfId="4528" xr:uid="{00000000-0005-0000-0000-0000D0BE0000}"/>
    <cellStyle name="Normal 14 3 3 3 4 2" xfId="11800" xr:uid="{00000000-0005-0000-0000-0000D1BE0000}"/>
    <cellStyle name="Normal 14 3 3 3 4 2 2" xfId="26334" xr:uid="{00000000-0005-0000-0000-0000D2BE0000}"/>
    <cellStyle name="Normal 14 3 3 3 4 2 2 2" xfId="55340" xr:uid="{00000000-0005-0000-0000-0000D3BE0000}"/>
    <cellStyle name="Normal 14 3 3 3 4 2 3" xfId="40841" xr:uid="{00000000-0005-0000-0000-0000D4BE0000}"/>
    <cellStyle name="Normal 14 3 3 3 4 3" xfId="19086" xr:uid="{00000000-0005-0000-0000-0000D5BE0000}"/>
    <cellStyle name="Normal 14 3 3 3 4 3 2" xfId="48092" xr:uid="{00000000-0005-0000-0000-0000D6BE0000}"/>
    <cellStyle name="Normal 14 3 3 3 4 4" xfId="33593" xr:uid="{00000000-0005-0000-0000-0000D7BE0000}"/>
    <cellStyle name="Normal 14 3 3 3 5" xfId="7632" xr:uid="{00000000-0005-0000-0000-0000D8BE0000}"/>
    <cellStyle name="Normal 14 3 3 3 5 2" xfId="14904" xr:uid="{00000000-0005-0000-0000-0000D9BE0000}"/>
    <cellStyle name="Normal 14 3 3 3 5 2 2" xfId="29438" xr:uid="{00000000-0005-0000-0000-0000DABE0000}"/>
    <cellStyle name="Normal 14 3 3 3 5 2 2 2" xfId="58444" xr:uid="{00000000-0005-0000-0000-0000DBBE0000}"/>
    <cellStyle name="Normal 14 3 3 3 5 2 3" xfId="43945" xr:uid="{00000000-0005-0000-0000-0000DCBE0000}"/>
    <cellStyle name="Normal 14 3 3 3 5 3" xfId="22190" xr:uid="{00000000-0005-0000-0000-0000DDBE0000}"/>
    <cellStyle name="Normal 14 3 3 3 5 3 2" xfId="51196" xr:uid="{00000000-0005-0000-0000-0000DEBE0000}"/>
    <cellStyle name="Normal 14 3 3 3 5 4" xfId="36697" xr:uid="{00000000-0005-0000-0000-0000DFBE0000}"/>
    <cellStyle name="Normal 14 3 3 3 6" xfId="8696" xr:uid="{00000000-0005-0000-0000-0000E0BE0000}"/>
    <cellStyle name="Normal 14 3 3 3 6 2" xfId="23230" xr:uid="{00000000-0005-0000-0000-0000E1BE0000}"/>
    <cellStyle name="Normal 14 3 3 3 6 2 2" xfId="52236" xr:uid="{00000000-0005-0000-0000-0000E2BE0000}"/>
    <cellStyle name="Normal 14 3 3 3 6 3" xfId="37737" xr:uid="{00000000-0005-0000-0000-0000E3BE0000}"/>
    <cellStyle name="Normal 14 3 3 3 7" xfId="15982" xr:uid="{00000000-0005-0000-0000-0000E4BE0000}"/>
    <cellStyle name="Normal 14 3 3 3 7 2" xfId="44988" xr:uid="{00000000-0005-0000-0000-0000E5BE0000}"/>
    <cellStyle name="Normal 14 3 3 3 8" xfId="30489" xr:uid="{00000000-0005-0000-0000-0000E6BE0000}"/>
    <cellStyle name="Normal 14 3 3 4" xfId="1952" xr:uid="{00000000-0005-0000-0000-0000E7BE0000}"/>
    <cellStyle name="Normal 14 3 3 4 2" xfId="5056" xr:uid="{00000000-0005-0000-0000-0000E8BE0000}"/>
    <cellStyle name="Normal 14 3 3 4 2 2" xfId="12328" xr:uid="{00000000-0005-0000-0000-0000E9BE0000}"/>
    <cellStyle name="Normal 14 3 3 4 2 2 2" xfId="26862" xr:uid="{00000000-0005-0000-0000-0000EABE0000}"/>
    <cellStyle name="Normal 14 3 3 4 2 2 2 2" xfId="55868" xr:uid="{00000000-0005-0000-0000-0000EBBE0000}"/>
    <cellStyle name="Normal 14 3 3 4 2 2 3" xfId="41369" xr:uid="{00000000-0005-0000-0000-0000ECBE0000}"/>
    <cellStyle name="Normal 14 3 3 4 2 3" xfId="19614" xr:uid="{00000000-0005-0000-0000-0000EDBE0000}"/>
    <cellStyle name="Normal 14 3 3 4 2 3 2" xfId="48620" xr:uid="{00000000-0005-0000-0000-0000EEBE0000}"/>
    <cellStyle name="Normal 14 3 3 4 2 4" xfId="34121" xr:uid="{00000000-0005-0000-0000-0000EFBE0000}"/>
    <cellStyle name="Normal 14 3 3 4 3" xfId="9224" xr:uid="{00000000-0005-0000-0000-0000F0BE0000}"/>
    <cellStyle name="Normal 14 3 3 4 3 2" xfId="23758" xr:uid="{00000000-0005-0000-0000-0000F1BE0000}"/>
    <cellStyle name="Normal 14 3 3 4 3 2 2" xfId="52764" xr:uid="{00000000-0005-0000-0000-0000F2BE0000}"/>
    <cellStyle name="Normal 14 3 3 4 3 3" xfId="38265" xr:uid="{00000000-0005-0000-0000-0000F3BE0000}"/>
    <cellStyle name="Normal 14 3 3 4 4" xfId="16510" xr:uid="{00000000-0005-0000-0000-0000F4BE0000}"/>
    <cellStyle name="Normal 14 3 3 4 4 2" xfId="45516" xr:uid="{00000000-0005-0000-0000-0000F5BE0000}"/>
    <cellStyle name="Normal 14 3 3 4 5" xfId="31017" xr:uid="{00000000-0005-0000-0000-0000F6BE0000}"/>
    <cellStyle name="Normal 14 3 3 5" xfId="2984" xr:uid="{00000000-0005-0000-0000-0000F7BE0000}"/>
    <cellStyle name="Normal 14 3 3 5 2" xfId="6088" xr:uid="{00000000-0005-0000-0000-0000F8BE0000}"/>
    <cellStyle name="Normal 14 3 3 5 2 2" xfId="13360" xr:uid="{00000000-0005-0000-0000-0000F9BE0000}"/>
    <cellStyle name="Normal 14 3 3 5 2 2 2" xfId="27894" xr:uid="{00000000-0005-0000-0000-0000FABE0000}"/>
    <cellStyle name="Normal 14 3 3 5 2 2 2 2" xfId="56900" xr:uid="{00000000-0005-0000-0000-0000FBBE0000}"/>
    <cellStyle name="Normal 14 3 3 5 2 2 3" xfId="42401" xr:uid="{00000000-0005-0000-0000-0000FCBE0000}"/>
    <cellStyle name="Normal 14 3 3 5 2 3" xfId="20646" xr:uid="{00000000-0005-0000-0000-0000FDBE0000}"/>
    <cellStyle name="Normal 14 3 3 5 2 3 2" xfId="49652" xr:uid="{00000000-0005-0000-0000-0000FEBE0000}"/>
    <cellStyle name="Normal 14 3 3 5 2 4" xfId="35153" xr:uid="{00000000-0005-0000-0000-0000FFBE0000}"/>
    <cellStyle name="Normal 14 3 3 5 3" xfId="10256" xr:uid="{00000000-0005-0000-0000-000000BF0000}"/>
    <cellStyle name="Normal 14 3 3 5 3 2" xfId="24790" xr:uid="{00000000-0005-0000-0000-000001BF0000}"/>
    <cellStyle name="Normal 14 3 3 5 3 2 2" xfId="53796" xr:uid="{00000000-0005-0000-0000-000002BF0000}"/>
    <cellStyle name="Normal 14 3 3 5 3 3" xfId="39297" xr:uid="{00000000-0005-0000-0000-000003BF0000}"/>
    <cellStyle name="Normal 14 3 3 5 4" xfId="17542" xr:uid="{00000000-0005-0000-0000-000004BF0000}"/>
    <cellStyle name="Normal 14 3 3 5 4 2" xfId="46548" xr:uid="{00000000-0005-0000-0000-000005BF0000}"/>
    <cellStyle name="Normal 14 3 3 5 5" xfId="32049" xr:uid="{00000000-0005-0000-0000-000006BF0000}"/>
    <cellStyle name="Normal 14 3 3 6" xfId="4016" xr:uid="{00000000-0005-0000-0000-000007BF0000}"/>
    <cellStyle name="Normal 14 3 3 6 2" xfId="11288" xr:uid="{00000000-0005-0000-0000-000008BF0000}"/>
    <cellStyle name="Normal 14 3 3 6 2 2" xfId="25822" xr:uid="{00000000-0005-0000-0000-000009BF0000}"/>
    <cellStyle name="Normal 14 3 3 6 2 2 2" xfId="54828" xr:uid="{00000000-0005-0000-0000-00000ABF0000}"/>
    <cellStyle name="Normal 14 3 3 6 2 3" xfId="40329" xr:uid="{00000000-0005-0000-0000-00000BBF0000}"/>
    <cellStyle name="Normal 14 3 3 6 3" xfId="18574" xr:uid="{00000000-0005-0000-0000-00000CBF0000}"/>
    <cellStyle name="Normal 14 3 3 6 3 2" xfId="47580" xr:uid="{00000000-0005-0000-0000-00000DBF0000}"/>
    <cellStyle name="Normal 14 3 3 6 4" xfId="33081" xr:uid="{00000000-0005-0000-0000-00000EBF0000}"/>
    <cellStyle name="Normal 14 3 3 7" xfId="7120" xr:uid="{00000000-0005-0000-0000-00000FBF0000}"/>
    <cellStyle name="Normal 14 3 3 7 2" xfId="14392" xr:uid="{00000000-0005-0000-0000-000010BF0000}"/>
    <cellStyle name="Normal 14 3 3 7 2 2" xfId="28926" xr:uid="{00000000-0005-0000-0000-000011BF0000}"/>
    <cellStyle name="Normal 14 3 3 7 2 2 2" xfId="57932" xr:uid="{00000000-0005-0000-0000-000012BF0000}"/>
    <cellStyle name="Normal 14 3 3 7 2 3" xfId="43433" xr:uid="{00000000-0005-0000-0000-000013BF0000}"/>
    <cellStyle name="Normal 14 3 3 7 3" xfId="21678" xr:uid="{00000000-0005-0000-0000-000014BF0000}"/>
    <cellStyle name="Normal 14 3 3 7 3 2" xfId="50684" xr:uid="{00000000-0005-0000-0000-000015BF0000}"/>
    <cellStyle name="Normal 14 3 3 7 4" xfId="36185" xr:uid="{00000000-0005-0000-0000-000016BF0000}"/>
    <cellStyle name="Normal 14 3 3 8" xfId="8184" xr:uid="{00000000-0005-0000-0000-000017BF0000}"/>
    <cellStyle name="Normal 14 3 3 8 2" xfId="22718" xr:uid="{00000000-0005-0000-0000-000018BF0000}"/>
    <cellStyle name="Normal 14 3 3 8 2 2" xfId="51724" xr:uid="{00000000-0005-0000-0000-000019BF0000}"/>
    <cellStyle name="Normal 14 3 3 8 3" xfId="37225" xr:uid="{00000000-0005-0000-0000-00001ABF0000}"/>
    <cellStyle name="Normal 14 3 3 9" xfId="15470" xr:uid="{00000000-0005-0000-0000-00001BBF0000}"/>
    <cellStyle name="Normal 14 3 3 9 2" xfId="44476" xr:uid="{00000000-0005-0000-0000-00001CBF0000}"/>
    <cellStyle name="Normal 14 3 4" xfId="1111" xr:uid="{00000000-0005-0000-0000-00001DBF0000}"/>
    <cellStyle name="Normal 14 3 4 2" xfId="1608" xr:uid="{00000000-0005-0000-0000-00001EBF0000}"/>
    <cellStyle name="Normal 14 3 4 2 2" xfId="2667" xr:uid="{00000000-0005-0000-0000-00001FBF0000}"/>
    <cellStyle name="Normal 14 3 4 2 2 2" xfId="5771" xr:uid="{00000000-0005-0000-0000-000020BF0000}"/>
    <cellStyle name="Normal 14 3 4 2 2 2 2" xfId="13043" xr:uid="{00000000-0005-0000-0000-000021BF0000}"/>
    <cellStyle name="Normal 14 3 4 2 2 2 2 2" xfId="27577" xr:uid="{00000000-0005-0000-0000-000022BF0000}"/>
    <cellStyle name="Normal 14 3 4 2 2 2 2 2 2" xfId="56583" xr:uid="{00000000-0005-0000-0000-000023BF0000}"/>
    <cellStyle name="Normal 14 3 4 2 2 2 2 3" xfId="42084" xr:uid="{00000000-0005-0000-0000-000024BF0000}"/>
    <cellStyle name="Normal 14 3 4 2 2 2 3" xfId="20329" xr:uid="{00000000-0005-0000-0000-000025BF0000}"/>
    <cellStyle name="Normal 14 3 4 2 2 2 3 2" xfId="49335" xr:uid="{00000000-0005-0000-0000-000026BF0000}"/>
    <cellStyle name="Normal 14 3 4 2 2 2 4" xfId="34836" xr:uid="{00000000-0005-0000-0000-000027BF0000}"/>
    <cellStyle name="Normal 14 3 4 2 2 3" xfId="9939" xr:uid="{00000000-0005-0000-0000-000028BF0000}"/>
    <cellStyle name="Normal 14 3 4 2 2 3 2" xfId="24473" xr:uid="{00000000-0005-0000-0000-000029BF0000}"/>
    <cellStyle name="Normal 14 3 4 2 2 3 2 2" xfId="53479" xr:uid="{00000000-0005-0000-0000-00002ABF0000}"/>
    <cellStyle name="Normal 14 3 4 2 2 3 3" xfId="38980" xr:uid="{00000000-0005-0000-0000-00002BBF0000}"/>
    <cellStyle name="Normal 14 3 4 2 2 4" xfId="17225" xr:uid="{00000000-0005-0000-0000-00002CBF0000}"/>
    <cellStyle name="Normal 14 3 4 2 2 4 2" xfId="46231" xr:uid="{00000000-0005-0000-0000-00002DBF0000}"/>
    <cellStyle name="Normal 14 3 4 2 2 5" xfId="31732" xr:uid="{00000000-0005-0000-0000-00002EBF0000}"/>
    <cellStyle name="Normal 14 3 4 2 3" xfId="3699" xr:uid="{00000000-0005-0000-0000-00002FBF0000}"/>
    <cellStyle name="Normal 14 3 4 2 3 2" xfId="6803" xr:uid="{00000000-0005-0000-0000-000030BF0000}"/>
    <cellStyle name="Normal 14 3 4 2 3 2 2" xfId="14075" xr:uid="{00000000-0005-0000-0000-000031BF0000}"/>
    <cellStyle name="Normal 14 3 4 2 3 2 2 2" xfId="28609" xr:uid="{00000000-0005-0000-0000-000032BF0000}"/>
    <cellStyle name="Normal 14 3 4 2 3 2 2 2 2" xfId="57615" xr:uid="{00000000-0005-0000-0000-000033BF0000}"/>
    <cellStyle name="Normal 14 3 4 2 3 2 2 3" xfId="43116" xr:uid="{00000000-0005-0000-0000-000034BF0000}"/>
    <cellStyle name="Normal 14 3 4 2 3 2 3" xfId="21361" xr:uid="{00000000-0005-0000-0000-000035BF0000}"/>
    <cellStyle name="Normal 14 3 4 2 3 2 3 2" xfId="50367" xr:uid="{00000000-0005-0000-0000-000036BF0000}"/>
    <cellStyle name="Normal 14 3 4 2 3 2 4" xfId="35868" xr:uid="{00000000-0005-0000-0000-000037BF0000}"/>
    <cellStyle name="Normal 14 3 4 2 3 3" xfId="10971" xr:uid="{00000000-0005-0000-0000-000038BF0000}"/>
    <cellStyle name="Normal 14 3 4 2 3 3 2" xfId="25505" xr:uid="{00000000-0005-0000-0000-000039BF0000}"/>
    <cellStyle name="Normal 14 3 4 2 3 3 2 2" xfId="54511" xr:uid="{00000000-0005-0000-0000-00003ABF0000}"/>
    <cellStyle name="Normal 14 3 4 2 3 3 3" xfId="40012" xr:uid="{00000000-0005-0000-0000-00003BBF0000}"/>
    <cellStyle name="Normal 14 3 4 2 3 4" xfId="18257" xr:uid="{00000000-0005-0000-0000-00003CBF0000}"/>
    <cellStyle name="Normal 14 3 4 2 3 4 2" xfId="47263" xr:uid="{00000000-0005-0000-0000-00003DBF0000}"/>
    <cellStyle name="Normal 14 3 4 2 3 5" xfId="32764" xr:uid="{00000000-0005-0000-0000-00003EBF0000}"/>
    <cellStyle name="Normal 14 3 4 2 4" xfId="4731" xr:uid="{00000000-0005-0000-0000-00003FBF0000}"/>
    <cellStyle name="Normal 14 3 4 2 4 2" xfId="12003" xr:uid="{00000000-0005-0000-0000-000040BF0000}"/>
    <cellStyle name="Normal 14 3 4 2 4 2 2" xfId="26537" xr:uid="{00000000-0005-0000-0000-000041BF0000}"/>
    <cellStyle name="Normal 14 3 4 2 4 2 2 2" xfId="55543" xr:uid="{00000000-0005-0000-0000-000042BF0000}"/>
    <cellStyle name="Normal 14 3 4 2 4 2 3" xfId="41044" xr:uid="{00000000-0005-0000-0000-000043BF0000}"/>
    <cellStyle name="Normal 14 3 4 2 4 3" xfId="19289" xr:uid="{00000000-0005-0000-0000-000044BF0000}"/>
    <cellStyle name="Normal 14 3 4 2 4 3 2" xfId="48295" xr:uid="{00000000-0005-0000-0000-000045BF0000}"/>
    <cellStyle name="Normal 14 3 4 2 4 4" xfId="33796" xr:uid="{00000000-0005-0000-0000-000046BF0000}"/>
    <cellStyle name="Normal 14 3 4 2 5" xfId="7835" xr:uid="{00000000-0005-0000-0000-000047BF0000}"/>
    <cellStyle name="Normal 14 3 4 2 5 2" xfId="15107" xr:uid="{00000000-0005-0000-0000-000048BF0000}"/>
    <cellStyle name="Normal 14 3 4 2 5 2 2" xfId="29641" xr:uid="{00000000-0005-0000-0000-000049BF0000}"/>
    <cellStyle name="Normal 14 3 4 2 5 2 2 2" xfId="58647" xr:uid="{00000000-0005-0000-0000-00004ABF0000}"/>
    <cellStyle name="Normal 14 3 4 2 5 2 3" xfId="44148" xr:uid="{00000000-0005-0000-0000-00004BBF0000}"/>
    <cellStyle name="Normal 14 3 4 2 5 3" xfId="22393" xr:uid="{00000000-0005-0000-0000-00004CBF0000}"/>
    <cellStyle name="Normal 14 3 4 2 5 3 2" xfId="51399" xr:uid="{00000000-0005-0000-0000-00004DBF0000}"/>
    <cellStyle name="Normal 14 3 4 2 5 4" xfId="36900" xr:uid="{00000000-0005-0000-0000-00004EBF0000}"/>
    <cellStyle name="Normal 14 3 4 2 6" xfId="8899" xr:uid="{00000000-0005-0000-0000-00004FBF0000}"/>
    <cellStyle name="Normal 14 3 4 2 6 2" xfId="23433" xr:uid="{00000000-0005-0000-0000-000050BF0000}"/>
    <cellStyle name="Normal 14 3 4 2 6 2 2" xfId="52439" xr:uid="{00000000-0005-0000-0000-000051BF0000}"/>
    <cellStyle name="Normal 14 3 4 2 6 3" xfId="37940" xr:uid="{00000000-0005-0000-0000-000052BF0000}"/>
    <cellStyle name="Normal 14 3 4 2 7" xfId="16185" xr:uid="{00000000-0005-0000-0000-000053BF0000}"/>
    <cellStyle name="Normal 14 3 4 2 7 2" xfId="45191" xr:uid="{00000000-0005-0000-0000-000054BF0000}"/>
    <cellStyle name="Normal 14 3 4 2 8" xfId="30692" xr:uid="{00000000-0005-0000-0000-000055BF0000}"/>
    <cellStyle name="Normal 14 3 4 3" xfId="2155" xr:uid="{00000000-0005-0000-0000-000056BF0000}"/>
    <cellStyle name="Normal 14 3 4 3 2" xfId="5259" xr:uid="{00000000-0005-0000-0000-000057BF0000}"/>
    <cellStyle name="Normal 14 3 4 3 2 2" xfId="12531" xr:uid="{00000000-0005-0000-0000-000058BF0000}"/>
    <cellStyle name="Normal 14 3 4 3 2 2 2" xfId="27065" xr:uid="{00000000-0005-0000-0000-000059BF0000}"/>
    <cellStyle name="Normal 14 3 4 3 2 2 2 2" xfId="56071" xr:uid="{00000000-0005-0000-0000-00005ABF0000}"/>
    <cellStyle name="Normal 14 3 4 3 2 2 3" xfId="41572" xr:uid="{00000000-0005-0000-0000-00005BBF0000}"/>
    <cellStyle name="Normal 14 3 4 3 2 3" xfId="19817" xr:uid="{00000000-0005-0000-0000-00005CBF0000}"/>
    <cellStyle name="Normal 14 3 4 3 2 3 2" xfId="48823" xr:uid="{00000000-0005-0000-0000-00005DBF0000}"/>
    <cellStyle name="Normal 14 3 4 3 2 4" xfId="34324" xr:uid="{00000000-0005-0000-0000-00005EBF0000}"/>
    <cellStyle name="Normal 14 3 4 3 3" xfId="9427" xr:uid="{00000000-0005-0000-0000-00005FBF0000}"/>
    <cellStyle name="Normal 14 3 4 3 3 2" xfId="23961" xr:uid="{00000000-0005-0000-0000-000060BF0000}"/>
    <cellStyle name="Normal 14 3 4 3 3 2 2" xfId="52967" xr:uid="{00000000-0005-0000-0000-000061BF0000}"/>
    <cellStyle name="Normal 14 3 4 3 3 3" xfId="38468" xr:uid="{00000000-0005-0000-0000-000062BF0000}"/>
    <cellStyle name="Normal 14 3 4 3 4" xfId="16713" xr:uid="{00000000-0005-0000-0000-000063BF0000}"/>
    <cellStyle name="Normal 14 3 4 3 4 2" xfId="45719" xr:uid="{00000000-0005-0000-0000-000064BF0000}"/>
    <cellStyle name="Normal 14 3 4 3 5" xfId="31220" xr:uid="{00000000-0005-0000-0000-000065BF0000}"/>
    <cellStyle name="Normal 14 3 4 4" xfId="3187" xr:uid="{00000000-0005-0000-0000-000066BF0000}"/>
    <cellStyle name="Normal 14 3 4 4 2" xfId="6291" xr:uid="{00000000-0005-0000-0000-000067BF0000}"/>
    <cellStyle name="Normal 14 3 4 4 2 2" xfId="13563" xr:uid="{00000000-0005-0000-0000-000068BF0000}"/>
    <cellStyle name="Normal 14 3 4 4 2 2 2" xfId="28097" xr:uid="{00000000-0005-0000-0000-000069BF0000}"/>
    <cellStyle name="Normal 14 3 4 4 2 2 2 2" xfId="57103" xr:uid="{00000000-0005-0000-0000-00006ABF0000}"/>
    <cellStyle name="Normal 14 3 4 4 2 2 3" xfId="42604" xr:uid="{00000000-0005-0000-0000-00006BBF0000}"/>
    <cellStyle name="Normal 14 3 4 4 2 3" xfId="20849" xr:uid="{00000000-0005-0000-0000-00006CBF0000}"/>
    <cellStyle name="Normal 14 3 4 4 2 3 2" xfId="49855" xr:uid="{00000000-0005-0000-0000-00006DBF0000}"/>
    <cellStyle name="Normal 14 3 4 4 2 4" xfId="35356" xr:uid="{00000000-0005-0000-0000-00006EBF0000}"/>
    <cellStyle name="Normal 14 3 4 4 3" xfId="10459" xr:uid="{00000000-0005-0000-0000-00006FBF0000}"/>
    <cellStyle name="Normal 14 3 4 4 3 2" xfId="24993" xr:uid="{00000000-0005-0000-0000-000070BF0000}"/>
    <cellStyle name="Normal 14 3 4 4 3 2 2" xfId="53999" xr:uid="{00000000-0005-0000-0000-000071BF0000}"/>
    <cellStyle name="Normal 14 3 4 4 3 3" xfId="39500" xr:uid="{00000000-0005-0000-0000-000072BF0000}"/>
    <cellStyle name="Normal 14 3 4 4 4" xfId="17745" xr:uid="{00000000-0005-0000-0000-000073BF0000}"/>
    <cellStyle name="Normal 14 3 4 4 4 2" xfId="46751" xr:uid="{00000000-0005-0000-0000-000074BF0000}"/>
    <cellStyle name="Normal 14 3 4 4 5" xfId="32252" xr:uid="{00000000-0005-0000-0000-000075BF0000}"/>
    <cellStyle name="Normal 14 3 4 5" xfId="4219" xr:uid="{00000000-0005-0000-0000-000076BF0000}"/>
    <cellStyle name="Normal 14 3 4 5 2" xfId="11491" xr:uid="{00000000-0005-0000-0000-000077BF0000}"/>
    <cellStyle name="Normal 14 3 4 5 2 2" xfId="26025" xr:uid="{00000000-0005-0000-0000-000078BF0000}"/>
    <cellStyle name="Normal 14 3 4 5 2 2 2" xfId="55031" xr:uid="{00000000-0005-0000-0000-000079BF0000}"/>
    <cellStyle name="Normal 14 3 4 5 2 3" xfId="40532" xr:uid="{00000000-0005-0000-0000-00007ABF0000}"/>
    <cellStyle name="Normal 14 3 4 5 3" xfId="18777" xr:uid="{00000000-0005-0000-0000-00007BBF0000}"/>
    <cellStyle name="Normal 14 3 4 5 3 2" xfId="47783" xr:uid="{00000000-0005-0000-0000-00007CBF0000}"/>
    <cellStyle name="Normal 14 3 4 5 4" xfId="33284" xr:uid="{00000000-0005-0000-0000-00007DBF0000}"/>
    <cellStyle name="Normal 14 3 4 6" xfId="7323" xr:uid="{00000000-0005-0000-0000-00007EBF0000}"/>
    <cellStyle name="Normal 14 3 4 6 2" xfId="14595" xr:uid="{00000000-0005-0000-0000-00007FBF0000}"/>
    <cellStyle name="Normal 14 3 4 6 2 2" xfId="29129" xr:uid="{00000000-0005-0000-0000-000080BF0000}"/>
    <cellStyle name="Normal 14 3 4 6 2 2 2" xfId="58135" xr:uid="{00000000-0005-0000-0000-000081BF0000}"/>
    <cellStyle name="Normal 14 3 4 6 2 3" xfId="43636" xr:uid="{00000000-0005-0000-0000-000082BF0000}"/>
    <cellStyle name="Normal 14 3 4 6 3" xfId="21881" xr:uid="{00000000-0005-0000-0000-000083BF0000}"/>
    <cellStyle name="Normal 14 3 4 6 3 2" xfId="50887" xr:uid="{00000000-0005-0000-0000-000084BF0000}"/>
    <cellStyle name="Normal 14 3 4 6 4" xfId="36388" xr:uid="{00000000-0005-0000-0000-000085BF0000}"/>
    <cellStyle name="Normal 14 3 4 7" xfId="8387" xr:uid="{00000000-0005-0000-0000-000086BF0000}"/>
    <cellStyle name="Normal 14 3 4 7 2" xfId="22921" xr:uid="{00000000-0005-0000-0000-000087BF0000}"/>
    <cellStyle name="Normal 14 3 4 7 2 2" xfId="51927" xr:uid="{00000000-0005-0000-0000-000088BF0000}"/>
    <cellStyle name="Normal 14 3 4 7 3" xfId="37428" xr:uid="{00000000-0005-0000-0000-000089BF0000}"/>
    <cellStyle name="Normal 14 3 4 8" xfId="15673" xr:uid="{00000000-0005-0000-0000-00008ABF0000}"/>
    <cellStyle name="Normal 14 3 4 8 2" xfId="44679" xr:uid="{00000000-0005-0000-0000-00008BBF0000}"/>
    <cellStyle name="Normal 14 3 4 9" xfId="30180" xr:uid="{00000000-0005-0000-0000-00008CBF0000}"/>
    <cellStyle name="Normal 14 3 5" xfId="1021" xr:uid="{00000000-0005-0000-0000-00008DBF0000}"/>
    <cellStyle name="Normal 14 3 5 2" xfId="1509" xr:uid="{00000000-0005-0000-0000-00008EBF0000}"/>
    <cellStyle name="Normal 14 3 5 2 2" xfId="2567" xr:uid="{00000000-0005-0000-0000-00008FBF0000}"/>
    <cellStyle name="Normal 14 3 5 2 2 2" xfId="5671" xr:uid="{00000000-0005-0000-0000-000090BF0000}"/>
    <cellStyle name="Normal 14 3 5 2 2 2 2" xfId="12943" xr:uid="{00000000-0005-0000-0000-000091BF0000}"/>
    <cellStyle name="Normal 14 3 5 2 2 2 2 2" xfId="27477" xr:uid="{00000000-0005-0000-0000-000092BF0000}"/>
    <cellStyle name="Normal 14 3 5 2 2 2 2 2 2" xfId="56483" xr:uid="{00000000-0005-0000-0000-000093BF0000}"/>
    <cellStyle name="Normal 14 3 5 2 2 2 2 3" xfId="41984" xr:uid="{00000000-0005-0000-0000-000094BF0000}"/>
    <cellStyle name="Normal 14 3 5 2 2 2 3" xfId="20229" xr:uid="{00000000-0005-0000-0000-000095BF0000}"/>
    <cellStyle name="Normal 14 3 5 2 2 2 3 2" xfId="49235" xr:uid="{00000000-0005-0000-0000-000096BF0000}"/>
    <cellStyle name="Normal 14 3 5 2 2 2 4" xfId="34736" xr:uid="{00000000-0005-0000-0000-000097BF0000}"/>
    <cellStyle name="Normal 14 3 5 2 2 3" xfId="9839" xr:uid="{00000000-0005-0000-0000-000098BF0000}"/>
    <cellStyle name="Normal 14 3 5 2 2 3 2" xfId="24373" xr:uid="{00000000-0005-0000-0000-000099BF0000}"/>
    <cellStyle name="Normal 14 3 5 2 2 3 2 2" xfId="53379" xr:uid="{00000000-0005-0000-0000-00009ABF0000}"/>
    <cellStyle name="Normal 14 3 5 2 2 3 3" xfId="38880" xr:uid="{00000000-0005-0000-0000-00009BBF0000}"/>
    <cellStyle name="Normal 14 3 5 2 2 4" xfId="17125" xr:uid="{00000000-0005-0000-0000-00009CBF0000}"/>
    <cellStyle name="Normal 14 3 5 2 2 4 2" xfId="46131" xr:uid="{00000000-0005-0000-0000-00009DBF0000}"/>
    <cellStyle name="Normal 14 3 5 2 2 5" xfId="31632" xr:uid="{00000000-0005-0000-0000-00009EBF0000}"/>
    <cellStyle name="Normal 14 3 5 2 3" xfId="3599" xr:uid="{00000000-0005-0000-0000-00009FBF0000}"/>
    <cellStyle name="Normal 14 3 5 2 3 2" xfId="6703" xr:uid="{00000000-0005-0000-0000-0000A0BF0000}"/>
    <cellStyle name="Normal 14 3 5 2 3 2 2" xfId="13975" xr:uid="{00000000-0005-0000-0000-0000A1BF0000}"/>
    <cellStyle name="Normal 14 3 5 2 3 2 2 2" xfId="28509" xr:uid="{00000000-0005-0000-0000-0000A2BF0000}"/>
    <cellStyle name="Normal 14 3 5 2 3 2 2 2 2" xfId="57515" xr:uid="{00000000-0005-0000-0000-0000A3BF0000}"/>
    <cellStyle name="Normal 14 3 5 2 3 2 2 3" xfId="43016" xr:uid="{00000000-0005-0000-0000-0000A4BF0000}"/>
    <cellStyle name="Normal 14 3 5 2 3 2 3" xfId="21261" xr:uid="{00000000-0005-0000-0000-0000A5BF0000}"/>
    <cellStyle name="Normal 14 3 5 2 3 2 3 2" xfId="50267" xr:uid="{00000000-0005-0000-0000-0000A6BF0000}"/>
    <cellStyle name="Normal 14 3 5 2 3 2 4" xfId="35768" xr:uid="{00000000-0005-0000-0000-0000A7BF0000}"/>
    <cellStyle name="Normal 14 3 5 2 3 3" xfId="10871" xr:uid="{00000000-0005-0000-0000-0000A8BF0000}"/>
    <cellStyle name="Normal 14 3 5 2 3 3 2" xfId="25405" xr:uid="{00000000-0005-0000-0000-0000A9BF0000}"/>
    <cellStyle name="Normal 14 3 5 2 3 3 2 2" xfId="54411" xr:uid="{00000000-0005-0000-0000-0000AABF0000}"/>
    <cellStyle name="Normal 14 3 5 2 3 3 3" xfId="39912" xr:uid="{00000000-0005-0000-0000-0000ABBF0000}"/>
    <cellStyle name="Normal 14 3 5 2 3 4" xfId="18157" xr:uid="{00000000-0005-0000-0000-0000ACBF0000}"/>
    <cellStyle name="Normal 14 3 5 2 3 4 2" xfId="47163" xr:uid="{00000000-0005-0000-0000-0000ADBF0000}"/>
    <cellStyle name="Normal 14 3 5 2 3 5" xfId="32664" xr:uid="{00000000-0005-0000-0000-0000AEBF0000}"/>
    <cellStyle name="Normal 14 3 5 2 4" xfId="4631" xr:uid="{00000000-0005-0000-0000-0000AFBF0000}"/>
    <cellStyle name="Normal 14 3 5 2 4 2" xfId="11903" xr:uid="{00000000-0005-0000-0000-0000B0BF0000}"/>
    <cellStyle name="Normal 14 3 5 2 4 2 2" xfId="26437" xr:uid="{00000000-0005-0000-0000-0000B1BF0000}"/>
    <cellStyle name="Normal 14 3 5 2 4 2 2 2" xfId="55443" xr:uid="{00000000-0005-0000-0000-0000B2BF0000}"/>
    <cellStyle name="Normal 14 3 5 2 4 2 3" xfId="40944" xr:uid="{00000000-0005-0000-0000-0000B3BF0000}"/>
    <cellStyle name="Normal 14 3 5 2 4 3" xfId="19189" xr:uid="{00000000-0005-0000-0000-0000B4BF0000}"/>
    <cellStyle name="Normal 14 3 5 2 4 3 2" xfId="48195" xr:uid="{00000000-0005-0000-0000-0000B5BF0000}"/>
    <cellStyle name="Normal 14 3 5 2 4 4" xfId="33696" xr:uid="{00000000-0005-0000-0000-0000B6BF0000}"/>
    <cellStyle name="Normal 14 3 5 2 5" xfId="7735" xr:uid="{00000000-0005-0000-0000-0000B7BF0000}"/>
    <cellStyle name="Normal 14 3 5 2 5 2" xfId="15007" xr:uid="{00000000-0005-0000-0000-0000B8BF0000}"/>
    <cellStyle name="Normal 14 3 5 2 5 2 2" xfId="29541" xr:uid="{00000000-0005-0000-0000-0000B9BF0000}"/>
    <cellStyle name="Normal 14 3 5 2 5 2 2 2" xfId="58547" xr:uid="{00000000-0005-0000-0000-0000BABF0000}"/>
    <cellStyle name="Normal 14 3 5 2 5 2 3" xfId="44048" xr:uid="{00000000-0005-0000-0000-0000BBBF0000}"/>
    <cellStyle name="Normal 14 3 5 2 5 3" xfId="22293" xr:uid="{00000000-0005-0000-0000-0000BCBF0000}"/>
    <cellStyle name="Normal 14 3 5 2 5 3 2" xfId="51299" xr:uid="{00000000-0005-0000-0000-0000BDBF0000}"/>
    <cellStyle name="Normal 14 3 5 2 5 4" xfId="36800" xr:uid="{00000000-0005-0000-0000-0000BEBF0000}"/>
    <cellStyle name="Normal 14 3 5 2 6" xfId="8799" xr:uid="{00000000-0005-0000-0000-0000BFBF0000}"/>
    <cellStyle name="Normal 14 3 5 2 6 2" xfId="23333" xr:uid="{00000000-0005-0000-0000-0000C0BF0000}"/>
    <cellStyle name="Normal 14 3 5 2 6 2 2" xfId="52339" xr:uid="{00000000-0005-0000-0000-0000C1BF0000}"/>
    <cellStyle name="Normal 14 3 5 2 6 3" xfId="37840" xr:uid="{00000000-0005-0000-0000-0000C2BF0000}"/>
    <cellStyle name="Normal 14 3 5 2 7" xfId="16085" xr:uid="{00000000-0005-0000-0000-0000C3BF0000}"/>
    <cellStyle name="Normal 14 3 5 2 7 2" xfId="45091" xr:uid="{00000000-0005-0000-0000-0000C4BF0000}"/>
    <cellStyle name="Normal 14 3 5 2 8" xfId="30592" xr:uid="{00000000-0005-0000-0000-0000C5BF0000}"/>
    <cellStyle name="Normal 14 3 5 3" xfId="2055" xr:uid="{00000000-0005-0000-0000-0000C6BF0000}"/>
    <cellStyle name="Normal 14 3 5 3 2" xfId="5159" xr:uid="{00000000-0005-0000-0000-0000C7BF0000}"/>
    <cellStyle name="Normal 14 3 5 3 2 2" xfId="12431" xr:uid="{00000000-0005-0000-0000-0000C8BF0000}"/>
    <cellStyle name="Normal 14 3 5 3 2 2 2" xfId="26965" xr:uid="{00000000-0005-0000-0000-0000C9BF0000}"/>
    <cellStyle name="Normal 14 3 5 3 2 2 2 2" xfId="55971" xr:uid="{00000000-0005-0000-0000-0000CABF0000}"/>
    <cellStyle name="Normal 14 3 5 3 2 2 3" xfId="41472" xr:uid="{00000000-0005-0000-0000-0000CBBF0000}"/>
    <cellStyle name="Normal 14 3 5 3 2 3" xfId="19717" xr:uid="{00000000-0005-0000-0000-0000CCBF0000}"/>
    <cellStyle name="Normal 14 3 5 3 2 3 2" xfId="48723" xr:uid="{00000000-0005-0000-0000-0000CDBF0000}"/>
    <cellStyle name="Normal 14 3 5 3 2 4" xfId="34224" xr:uid="{00000000-0005-0000-0000-0000CEBF0000}"/>
    <cellStyle name="Normal 14 3 5 3 3" xfId="9327" xr:uid="{00000000-0005-0000-0000-0000CFBF0000}"/>
    <cellStyle name="Normal 14 3 5 3 3 2" xfId="23861" xr:uid="{00000000-0005-0000-0000-0000D0BF0000}"/>
    <cellStyle name="Normal 14 3 5 3 3 2 2" xfId="52867" xr:uid="{00000000-0005-0000-0000-0000D1BF0000}"/>
    <cellStyle name="Normal 14 3 5 3 3 3" xfId="38368" xr:uid="{00000000-0005-0000-0000-0000D2BF0000}"/>
    <cellStyle name="Normal 14 3 5 3 4" xfId="16613" xr:uid="{00000000-0005-0000-0000-0000D3BF0000}"/>
    <cellStyle name="Normal 14 3 5 3 4 2" xfId="45619" xr:uid="{00000000-0005-0000-0000-0000D4BF0000}"/>
    <cellStyle name="Normal 14 3 5 3 5" xfId="31120" xr:uid="{00000000-0005-0000-0000-0000D5BF0000}"/>
    <cellStyle name="Normal 14 3 5 4" xfId="3087" xr:uid="{00000000-0005-0000-0000-0000D6BF0000}"/>
    <cellStyle name="Normal 14 3 5 4 2" xfId="6191" xr:uid="{00000000-0005-0000-0000-0000D7BF0000}"/>
    <cellStyle name="Normal 14 3 5 4 2 2" xfId="13463" xr:uid="{00000000-0005-0000-0000-0000D8BF0000}"/>
    <cellStyle name="Normal 14 3 5 4 2 2 2" xfId="27997" xr:uid="{00000000-0005-0000-0000-0000D9BF0000}"/>
    <cellStyle name="Normal 14 3 5 4 2 2 2 2" xfId="57003" xr:uid="{00000000-0005-0000-0000-0000DABF0000}"/>
    <cellStyle name="Normal 14 3 5 4 2 2 3" xfId="42504" xr:uid="{00000000-0005-0000-0000-0000DBBF0000}"/>
    <cellStyle name="Normal 14 3 5 4 2 3" xfId="20749" xr:uid="{00000000-0005-0000-0000-0000DCBF0000}"/>
    <cellStyle name="Normal 14 3 5 4 2 3 2" xfId="49755" xr:uid="{00000000-0005-0000-0000-0000DDBF0000}"/>
    <cellStyle name="Normal 14 3 5 4 2 4" xfId="35256" xr:uid="{00000000-0005-0000-0000-0000DEBF0000}"/>
    <cellStyle name="Normal 14 3 5 4 3" xfId="10359" xr:uid="{00000000-0005-0000-0000-0000DFBF0000}"/>
    <cellStyle name="Normal 14 3 5 4 3 2" xfId="24893" xr:uid="{00000000-0005-0000-0000-0000E0BF0000}"/>
    <cellStyle name="Normal 14 3 5 4 3 2 2" xfId="53899" xr:uid="{00000000-0005-0000-0000-0000E1BF0000}"/>
    <cellStyle name="Normal 14 3 5 4 3 3" xfId="39400" xr:uid="{00000000-0005-0000-0000-0000E2BF0000}"/>
    <cellStyle name="Normal 14 3 5 4 4" xfId="17645" xr:uid="{00000000-0005-0000-0000-0000E3BF0000}"/>
    <cellStyle name="Normal 14 3 5 4 4 2" xfId="46651" xr:uid="{00000000-0005-0000-0000-0000E4BF0000}"/>
    <cellStyle name="Normal 14 3 5 4 5" xfId="32152" xr:uid="{00000000-0005-0000-0000-0000E5BF0000}"/>
    <cellStyle name="Normal 14 3 5 5" xfId="4119" xr:uid="{00000000-0005-0000-0000-0000E6BF0000}"/>
    <cellStyle name="Normal 14 3 5 5 2" xfId="11391" xr:uid="{00000000-0005-0000-0000-0000E7BF0000}"/>
    <cellStyle name="Normal 14 3 5 5 2 2" xfId="25925" xr:uid="{00000000-0005-0000-0000-0000E8BF0000}"/>
    <cellStyle name="Normal 14 3 5 5 2 2 2" xfId="54931" xr:uid="{00000000-0005-0000-0000-0000E9BF0000}"/>
    <cellStyle name="Normal 14 3 5 5 2 3" xfId="40432" xr:uid="{00000000-0005-0000-0000-0000EABF0000}"/>
    <cellStyle name="Normal 14 3 5 5 3" xfId="18677" xr:uid="{00000000-0005-0000-0000-0000EBBF0000}"/>
    <cellStyle name="Normal 14 3 5 5 3 2" xfId="47683" xr:uid="{00000000-0005-0000-0000-0000ECBF0000}"/>
    <cellStyle name="Normal 14 3 5 5 4" xfId="33184" xr:uid="{00000000-0005-0000-0000-0000EDBF0000}"/>
    <cellStyle name="Normal 14 3 5 6" xfId="7223" xr:uid="{00000000-0005-0000-0000-0000EEBF0000}"/>
    <cellStyle name="Normal 14 3 5 6 2" xfId="14495" xr:uid="{00000000-0005-0000-0000-0000EFBF0000}"/>
    <cellStyle name="Normal 14 3 5 6 2 2" xfId="29029" xr:uid="{00000000-0005-0000-0000-0000F0BF0000}"/>
    <cellStyle name="Normal 14 3 5 6 2 2 2" xfId="58035" xr:uid="{00000000-0005-0000-0000-0000F1BF0000}"/>
    <cellStyle name="Normal 14 3 5 6 2 3" xfId="43536" xr:uid="{00000000-0005-0000-0000-0000F2BF0000}"/>
    <cellStyle name="Normal 14 3 5 6 3" xfId="21781" xr:uid="{00000000-0005-0000-0000-0000F3BF0000}"/>
    <cellStyle name="Normal 14 3 5 6 3 2" xfId="50787" xr:uid="{00000000-0005-0000-0000-0000F4BF0000}"/>
    <cellStyle name="Normal 14 3 5 6 4" xfId="36288" xr:uid="{00000000-0005-0000-0000-0000F5BF0000}"/>
    <cellStyle name="Normal 14 3 5 7" xfId="8287" xr:uid="{00000000-0005-0000-0000-0000F6BF0000}"/>
    <cellStyle name="Normal 14 3 5 7 2" xfId="22821" xr:uid="{00000000-0005-0000-0000-0000F7BF0000}"/>
    <cellStyle name="Normal 14 3 5 7 2 2" xfId="51827" xr:uid="{00000000-0005-0000-0000-0000F8BF0000}"/>
    <cellStyle name="Normal 14 3 5 7 3" xfId="37328" xr:uid="{00000000-0005-0000-0000-0000F9BF0000}"/>
    <cellStyle name="Normal 14 3 5 8" xfId="15573" xr:uid="{00000000-0005-0000-0000-0000FABF0000}"/>
    <cellStyle name="Normal 14 3 5 8 2" xfId="44579" xr:uid="{00000000-0005-0000-0000-0000FBBF0000}"/>
    <cellStyle name="Normal 14 3 5 9" xfId="30080" xr:uid="{00000000-0005-0000-0000-0000FCBF0000}"/>
    <cellStyle name="Normal 14 3 6" xfId="1305" xr:uid="{00000000-0005-0000-0000-0000FDBF0000}"/>
    <cellStyle name="Normal 14 3 6 2" xfId="2361" xr:uid="{00000000-0005-0000-0000-0000FEBF0000}"/>
    <cellStyle name="Normal 14 3 6 2 2" xfId="5465" xr:uid="{00000000-0005-0000-0000-0000FFBF0000}"/>
    <cellStyle name="Normal 14 3 6 2 2 2" xfId="12737" xr:uid="{00000000-0005-0000-0000-000000C00000}"/>
    <cellStyle name="Normal 14 3 6 2 2 2 2" xfId="27271" xr:uid="{00000000-0005-0000-0000-000001C00000}"/>
    <cellStyle name="Normal 14 3 6 2 2 2 2 2" xfId="56277" xr:uid="{00000000-0005-0000-0000-000002C00000}"/>
    <cellStyle name="Normal 14 3 6 2 2 2 3" xfId="41778" xr:uid="{00000000-0005-0000-0000-000003C00000}"/>
    <cellStyle name="Normal 14 3 6 2 2 3" xfId="20023" xr:uid="{00000000-0005-0000-0000-000004C00000}"/>
    <cellStyle name="Normal 14 3 6 2 2 3 2" xfId="49029" xr:uid="{00000000-0005-0000-0000-000005C00000}"/>
    <cellStyle name="Normal 14 3 6 2 2 4" xfId="34530" xr:uid="{00000000-0005-0000-0000-000006C00000}"/>
    <cellStyle name="Normal 14 3 6 2 3" xfId="9633" xr:uid="{00000000-0005-0000-0000-000007C00000}"/>
    <cellStyle name="Normal 14 3 6 2 3 2" xfId="24167" xr:uid="{00000000-0005-0000-0000-000008C00000}"/>
    <cellStyle name="Normal 14 3 6 2 3 2 2" xfId="53173" xr:uid="{00000000-0005-0000-0000-000009C00000}"/>
    <cellStyle name="Normal 14 3 6 2 3 3" xfId="38674" xr:uid="{00000000-0005-0000-0000-00000AC00000}"/>
    <cellStyle name="Normal 14 3 6 2 4" xfId="16919" xr:uid="{00000000-0005-0000-0000-00000BC00000}"/>
    <cellStyle name="Normal 14 3 6 2 4 2" xfId="45925" xr:uid="{00000000-0005-0000-0000-00000CC00000}"/>
    <cellStyle name="Normal 14 3 6 2 5" xfId="31426" xr:uid="{00000000-0005-0000-0000-00000DC00000}"/>
    <cellStyle name="Normal 14 3 6 3" xfId="3393" xr:uid="{00000000-0005-0000-0000-00000EC00000}"/>
    <cellStyle name="Normal 14 3 6 3 2" xfId="6497" xr:uid="{00000000-0005-0000-0000-00000FC00000}"/>
    <cellStyle name="Normal 14 3 6 3 2 2" xfId="13769" xr:uid="{00000000-0005-0000-0000-000010C00000}"/>
    <cellStyle name="Normal 14 3 6 3 2 2 2" xfId="28303" xr:uid="{00000000-0005-0000-0000-000011C00000}"/>
    <cellStyle name="Normal 14 3 6 3 2 2 2 2" xfId="57309" xr:uid="{00000000-0005-0000-0000-000012C00000}"/>
    <cellStyle name="Normal 14 3 6 3 2 2 3" xfId="42810" xr:uid="{00000000-0005-0000-0000-000013C00000}"/>
    <cellStyle name="Normal 14 3 6 3 2 3" xfId="21055" xr:uid="{00000000-0005-0000-0000-000014C00000}"/>
    <cellStyle name="Normal 14 3 6 3 2 3 2" xfId="50061" xr:uid="{00000000-0005-0000-0000-000015C00000}"/>
    <cellStyle name="Normal 14 3 6 3 2 4" xfId="35562" xr:uid="{00000000-0005-0000-0000-000016C00000}"/>
    <cellStyle name="Normal 14 3 6 3 3" xfId="10665" xr:uid="{00000000-0005-0000-0000-000017C00000}"/>
    <cellStyle name="Normal 14 3 6 3 3 2" xfId="25199" xr:uid="{00000000-0005-0000-0000-000018C00000}"/>
    <cellStyle name="Normal 14 3 6 3 3 2 2" xfId="54205" xr:uid="{00000000-0005-0000-0000-000019C00000}"/>
    <cellStyle name="Normal 14 3 6 3 3 3" xfId="39706" xr:uid="{00000000-0005-0000-0000-00001AC00000}"/>
    <cellStyle name="Normal 14 3 6 3 4" xfId="17951" xr:uid="{00000000-0005-0000-0000-00001BC00000}"/>
    <cellStyle name="Normal 14 3 6 3 4 2" xfId="46957" xr:uid="{00000000-0005-0000-0000-00001CC00000}"/>
    <cellStyle name="Normal 14 3 6 3 5" xfId="32458" xr:uid="{00000000-0005-0000-0000-00001DC00000}"/>
    <cellStyle name="Normal 14 3 6 4" xfId="4425" xr:uid="{00000000-0005-0000-0000-00001EC00000}"/>
    <cellStyle name="Normal 14 3 6 4 2" xfId="11697" xr:uid="{00000000-0005-0000-0000-00001FC00000}"/>
    <cellStyle name="Normal 14 3 6 4 2 2" xfId="26231" xr:uid="{00000000-0005-0000-0000-000020C00000}"/>
    <cellStyle name="Normal 14 3 6 4 2 2 2" xfId="55237" xr:uid="{00000000-0005-0000-0000-000021C00000}"/>
    <cellStyle name="Normal 14 3 6 4 2 3" xfId="40738" xr:uid="{00000000-0005-0000-0000-000022C00000}"/>
    <cellStyle name="Normal 14 3 6 4 3" xfId="18983" xr:uid="{00000000-0005-0000-0000-000023C00000}"/>
    <cellStyle name="Normal 14 3 6 4 3 2" xfId="47989" xr:uid="{00000000-0005-0000-0000-000024C00000}"/>
    <cellStyle name="Normal 14 3 6 4 4" xfId="33490" xr:uid="{00000000-0005-0000-0000-000025C00000}"/>
    <cellStyle name="Normal 14 3 6 5" xfId="7529" xr:uid="{00000000-0005-0000-0000-000026C00000}"/>
    <cellStyle name="Normal 14 3 6 5 2" xfId="14801" xr:uid="{00000000-0005-0000-0000-000027C00000}"/>
    <cellStyle name="Normal 14 3 6 5 2 2" xfId="29335" xr:uid="{00000000-0005-0000-0000-000028C00000}"/>
    <cellStyle name="Normal 14 3 6 5 2 2 2" xfId="58341" xr:uid="{00000000-0005-0000-0000-000029C00000}"/>
    <cellStyle name="Normal 14 3 6 5 2 3" xfId="43842" xr:uid="{00000000-0005-0000-0000-00002AC00000}"/>
    <cellStyle name="Normal 14 3 6 5 3" xfId="22087" xr:uid="{00000000-0005-0000-0000-00002BC00000}"/>
    <cellStyle name="Normal 14 3 6 5 3 2" xfId="51093" xr:uid="{00000000-0005-0000-0000-00002CC00000}"/>
    <cellStyle name="Normal 14 3 6 5 4" xfId="36594" xr:uid="{00000000-0005-0000-0000-00002DC00000}"/>
    <cellStyle name="Normal 14 3 6 6" xfId="8593" xr:uid="{00000000-0005-0000-0000-00002EC00000}"/>
    <cellStyle name="Normal 14 3 6 6 2" xfId="23127" xr:uid="{00000000-0005-0000-0000-00002FC00000}"/>
    <cellStyle name="Normal 14 3 6 6 2 2" xfId="52133" xr:uid="{00000000-0005-0000-0000-000030C00000}"/>
    <cellStyle name="Normal 14 3 6 6 3" xfId="37634" xr:uid="{00000000-0005-0000-0000-000031C00000}"/>
    <cellStyle name="Normal 14 3 6 7" xfId="15879" xr:uid="{00000000-0005-0000-0000-000032C00000}"/>
    <cellStyle name="Normal 14 3 6 7 2" xfId="44885" xr:uid="{00000000-0005-0000-0000-000033C00000}"/>
    <cellStyle name="Normal 14 3 6 8" xfId="30386" xr:uid="{00000000-0005-0000-0000-000034C00000}"/>
    <cellStyle name="Normal 14 3 7" xfId="1849" xr:uid="{00000000-0005-0000-0000-000035C00000}"/>
    <cellStyle name="Normal 14 3 7 2" xfId="4953" xr:uid="{00000000-0005-0000-0000-000036C00000}"/>
    <cellStyle name="Normal 14 3 7 2 2" xfId="12225" xr:uid="{00000000-0005-0000-0000-000037C00000}"/>
    <cellStyle name="Normal 14 3 7 2 2 2" xfId="26759" xr:uid="{00000000-0005-0000-0000-000038C00000}"/>
    <cellStyle name="Normal 14 3 7 2 2 2 2" xfId="55765" xr:uid="{00000000-0005-0000-0000-000039C00000}"/>
    <cellStyle name="Normal 14 3 7 2 2 3" xfId="41266" xr:uid="{00000000-0005-0000-0000-00003AC00000}"/>
    <cellStyle name="Normal 14 3 7 2 3" xfId="19511" xr:uid="{00000000-0005-0000-0000-00003BC00000}"/>
    <cellStyle name="Normal 14 3 7 2 3 2" xfId="48517" xr:uid="{00000000-0005-0000-0000-00003CC00000}"/>
    <cellStyle name="Normal 14 3 7 2 4" xfId="34018" xr:uid="{00000000-0005-0000-0000-00003DC00000}"/>
    <cellStyle name="Normal 14 3 7 3" xfId="9121" xr:uid="{00000000-0005-0000-0000-00003EC00000}"/>
    <cellStyle name="Normal 14 3 7 3 2" xfId="23655" xr:uid="{00000000-0005-0000-0000-00003FC00000}"/>
    <cellStyle name="Normal 14 3 7 3 2 2" xfId="52661" xr:uid="{00000000-0005-0000-0000-000040C00000}"/>
    <cellStyle name="Normal 14 3 7 3 3" xfId="38162" xr:uid="{00000000-0005-0000-0000-000041C00000}"/>
    <cellStyle name="Normal 14 3 7 4" xfId="16407" xr:uid="{00000000-0005-0000-0000-000042C00000}"/>
    <cellStyle name="Normal 14 3 7 4 2" xfId="45413" xr:uid="{00000000-0005-0000-0000-000043C00000}"/>
    <cellStyle name="Normal 14 3 7 5" xfId="30914" xr:uid="{00000000-0005-0000-0000-000044C00000}"/>
    <cellStyle name="Normal 14 3 8" xfId="2881" xr:uid="{00000000-0005-0000-0000-000045C00000}"/>
    <cellStyle name="Normal 14 3 8 2" xfId="5985" xr:uid="{00000000-0005-0000-0000-000046C00000}"/>
    <cellStyle name="Normal 14 3 8 2 2" xfId="13257" xr:uid="{00000000-0005-0000-0000-000047C00000}"/>
    <cellStyle name="Normal 14 3 8 2 2 2" xfId="27791" xr:uid="{00000000-0005-0000-0000-000048C00000}"/>
    <cellStyle name="Normal 14 3 8 2 2 2 2" xfId="56797" xr:uid="{00000000-0005-0000-0000-000049C00000}"/>
    <cellStyle name="Normal 14 3 8 2 2 3" xfId="42298" xr:uid="{00000000-0005-0000-0000-00004AC00000}"/>
    <cellStyle name="Normal 14 3 8 2 3" xfId="20543" xr:uid="{00000000-0005-0000-0000-00004BC00000}"/>
    <cellStyle name="Normal 14 3 8 2 3 2" xfId="49549" xr:uid="{00000000-0005-0000-0000-00004CC00000}"/>
    <cellStyle name="Normal 14 3 8 2 4" xfId="35050" xr:uid="{00000000-0005-0000-0000-00004DC00000}"/>
    <cellStyle name="Normal 14 3 8 3" xfId="10153" xr:uid="{00000000-0005-0000-0000-00004EC00000}"/>
    <cellStyle name="Normal 14 3 8 3 2" xfId="24687" xr:uid="{00000000-0005-0000-0000-00004FC00000}"/>
    <cellStyle name="Normal 14 3 8 3 2 2" xfId="53693" xr:uid="{00000000-0005-0000-0000-000050C00000}"/>
    <cellStyle name="Normal 14 3 8 3 3" xfId="39194" xr:uid="{00000000-0005-0000-0000-000051C00000}"/>
    <cellStyle name="Normal 14 3 8 4" xfId="17439" xr:uid="{00000000-0005-0000-0000-000052C00000}"/>
    <cellStyle name="Normal 14 3 8 4 2" xfId="46445" xr:uid="{00000000-0005-0000-0000-000053C00000}"/>
    <cellStyle name="Normal 14 3 8 5" xfId="31946" xr:uid="{00000000-0005-0000-0000-000054C00000}"/>
    <cellStyle name="Normal 14 3 9" xfId="3913" xr:uid="{00000000-0005-0000-0000-000055C00000}"/>
    <cellStyle name="Normal 14 3 9 2" xfId="11185" xr:uid="{00000000-0005-0000-0000-000056C00000}"/>
    <cellStyle name="Normal 14 3 9 2 2" xfId="25719" xr:uid="{00000000-0005-0000-0000-000057C00000}"/>
    <cellStyle name="Normal 14 3 9 2 2 2" xfId="54725" xr:uid="{00000000-0005-0000-0000-000058C00000}"/>
    <cellStyle name="Normal 14 3 9 2 3" xfId="40226" xr:uid="{00000000-0005-0000-0000-000059C00000}"/>
    <cellStyle name="Normal 14 3 9 3" xfId="18471" xr:uid="{00000000-0005-0000-0000-00005AC00000}"/>
    <cellStyle name="Normal 14 3 9 3 2" xfId="47477" xr:uid="{00000000-0005-0000-0000-00005BC00000}"/>
    <cellStyle name="Normal 14 3 9 4" xfId="32978" xr:uid="{00000000-0005-0000-0000-00005CC00000}"/>
    <cellStyle name="Normal 14 4" xfId="878" xr:uid="{00000000-0005-0000-0000-00005DC00000}"/>
    <cellStyle name="Normal 14 4 10" xfId="8109" xr:uid="{00000000-0005-0000-0000-00005EC00000}"/>
    <cellStyle name="Normal 14 4 10 2" xfId="22643" xr:uid="{00000000-0005-0000-0000-00005FC00000}"/>
    <cellStyle name="Normal 14 4 10 2 2" xfId="51649" xr:uid="{00000000-0005-0000-0000-000060C00000}"/>
    <cellStyle name="Normal 14 4 10 3" xfId="37150" xr:uid="{00000000-0005-0000-0000-000061C00000}"/>
    <cellStyle name="Normal 14 4 11" xfId="15395" xr:uid="{00000000-0005-0000-0000-000062C00000}"/>
    <cellStyle name="Normal 14 4 11 2" xfId="44401" xr:uid="{00000000-0005-0000-0000-000063C00000}"/>
    <cellStyle name="Normal 14 4 12" xfId="29902" xr:uid="{00000000-0005-0000-0000-000064C00000}"/>
    <cellStyle name="Normal 14 4 2" xfId="958" xr:uid="{00000000-0005-0000-0000-000065C00000}"/>
    <cellStyle name="Normal 14 4 2 10" xfId="30005" xr:uid="{00000000-0005-0000-0000-000066C00000}"/>
    <cellStyle name="Normal 14 4 2 2" xfId="1234" xr:uid="{00000000-0005-0000-0000-000067C00000}"/>
    <cellStyle name="Normal 14 4 2 2 2" xfId="1739" xr:uid="{00000000-0005-0000-0000-000068C00000}"/>
    <cellStyle name="Normal 14 4 2 2 2 2" xfId="2798" xr:uid="{00000000-0005-0000-0000-000069C00000}"/>
    <cellStyle name="Normal 14 4 2 2 2 2 2" xfId="5902" xr:uid="{00000000-0005-0000-0000-00006AC00000}"/>
    <cellStyle name="Normal 14 4 2 2 2 2 2 2" xfId="13174" xr:uid="{00000000-0005-0000-0000-00006BC00000}"/>
    <cellStyle name="Normal 14 4 2 2 2 2 2 2 2" xfId="27708" xr:uid="{00000000-0005-0000-0000-00006CC00000}"/>
    <cellStyle name="Normal 14 4 2 2 2 2 2 2 2 2" xfId="56714" xr:uid="{00000000-0005-0000-0000-00006DC00000}"/>
    <cellStyle name="Normal 14 4 2 2 2 2 2 2 3" xfId="42215" xr:uid="{00000000-0005-0000-0000-00006EC00000}"/>
    <cellStyle name="Normal 14 4 2 2 2 2 2 3" xfId="20460" xr:uid="{00000000-0005-0000-0000-00006FC00000}"/>
    <cellStyle name="Normal 14 4 2 2 2 2 2 3 2" xfId="49466" xr:uid="{00000000-0005-0000-0000-000070C00000}"/>
    <cellStyle name="Normal 14 4 2 2 2 2 2 4" xfId="34967" xr:uid="{00000000-0005-0000-0000-000071C00000}"/>
    <cellStyle name="Normal 14 4 2 2 2 2 3" xfId="10070" xr:uid="{00000000-0005-0000-0000-000072C00000}"/>
    <cellStyle name="Normal 14 4 2 2 2 2 3 2" xfId="24604" xr:uid="{00000000-0005-0000-0000-000073C00000}"/>
    <cellStyle name="Normal 14 4 2 2 2 2 3 2 2" xfId="53610" xr:uid="{00000000-0005-0000-0000-000074C00000}"/>
    <cellStyle name="Normal 14 4 2 2 2 2 3 3" xfId="39111" xr:uid="{00000000-0005-0000-0000-000075C00000}"/>
    <cellStyle name="Normal 14 4 2 2 2 2 4" xfId="17356" xr:uid="{00000000-0005-0000-0000-000076C00000}"/>
    <cellStyle name="Normal 14 4 2 2 2 2 4 2" xfId="46362" xr:uid="{00000000-0005-0000-0000-000077C00000}"/>
    <cellStyle name="Normal 14 4 2 2 2 2 5" xfId="31863" xr:uid="{00000000-0005-0000-0000-000078C00000}"/>
    <cellStyle name="Normal 14 4 2 2 2 3" xfId="3830" xr:uid="{00000000-0005-0000-0000-000079C00000}"/>
    <cellStyle name="Normal 14 4 2 2 2 3 2" xfId="6934" xr:uid="{00000000-0005-0000-0000-00007AC00000}"/>
    <cellStyle name="Normal 14 4 2 2 2 3 2 2" xfId="14206" xr:uid="{00000000-0005-0000-0000-00007BC00000}"/>
    <cellStyle name="Normal 14 4 2 2 2 3 2 2 2" xfId="28740" xr:uid="{00000000-0005-0000-0000-00007CC00000}"/>
    <cellStyle name="Normal 14 4 2 2 2 3 2 2 2 2" xfId="57746" xr:uid="{00000000-0005-0000-0000-00007DC00000}"/>
    <cellStyle name="Normal 14 4 2 2 2 3 2 2 3" xfId="43247" xr:uid="{00000000-0005-0000-0000-00007EC00000}"/>
    <cellStyle name="Normal 14 4 2 2 2 3 2 3" xfId="21492" xr:uid="{00000000-0005-0000-0000-00007FC00000}"/>
    <cellStyle name="Normal 14 4 2 2 2 3 2 3 2" xfId="50498" xr:uid="{00000000-0005-0000-0000-000080C00000}"/>
    <cellStyle name="Normal 14 4 2 2 2 3 2 4" xfId="35999" xr:uid="{00000000-0005-0000-0000-000081C00000}"/>
    <cellStyle name="Normal 14 4 2 2 2 3 3" xfId="11102" xr:uid="{00000000-0005-0000-0000-000082C00000}"/>
    <cellStyle name="Normal 14 4 2 2 2 3 3 2" xfId="25636" xr:uid="{00000000-0005-0000-0000-000083C00000}"/>
    <cellStyle name="Normal 14 4 2 2 2 3 3 2 2" xfId="54642" xr:uid="{00000000-0005-0000-0000-000084C00000}"/>
    <cellStyle name="Normal 14 4 2 2 2 3 3 3" xfId="40143" xr:uid="{00000000-0005-0000-0000-000085C00000}"/>
    <cellStyle name="Normal 14 4 2 2 2 3 4" xfId="18388" xr:uid="{00000000-0005-0000-0000-000086C00000}"/>
    <cellStyle name="Normal 14 4 2 2 2 3 4 2" xfId="47394" xr:uid="{00000000-0005-0000-0000-000087C00000}"/>
    <cellStyle name="Normal 14 4 2 2 2 3 5" xfId="32895" xr:uid="{00000000-0005-0000-0000-000088C00000}"/>
    <cellStyle name="Normal 14 4 2 2 2 4" xfId="4862" xr:uid="{00000000-0005-0000-0000-000089C00000}"/>
    <cellStyle name="Normal 14 4 2 2 2 4 2" xfId="12134" xr:uid="{00000000-0005-0000-0000-00008AC00000}"/>
    <cellStyle name="Normal 14 4 2 2 2 4 2 2" xfId="26668" xr:uid="{00000000-0005-0000-0000-00008BC00000}"/>
    <cellStyle name="Normal 14 4 2 2 2 4 2 2 2" xfId="55674" xr:uid="{00000000-0005-0000-0000-00008CC00000}"/>
    <cellStyle name="Normal 14 4 2 2 2 4 2 3" xfId="41175" xr:uid="{00000000-0005-0000-0000-00008DC00000}"/>
    <cellStyle name="Normal 14 4 2 2 2 4 3" xfId="19420" xr:uid="{00000000-0005-0000-0000-00008EC00000}"/>
    <cellStyle name="Normal 14 4 2 2 2 4 3 2" xfId="48426" xr:uid="{00000000-0005-0000-0000-00008FC00000}"/>
    <cellStyle name="Normal 14 4 2 2 2 4 4" xfId="33927" xr:uid="{00000000-0005-0000-0000-000090C00000}"/>
    <cellStyle name="Normal 14 4 2 2 2 5" xfId="7966" xr:uid="{00000000-0005-0000-0000-000091C00000}"/>
    <cellStyle name="Normal 14 4 2 2 2 5 2" xfId="15238" xr:uid="{00000000-0005-0000-0000-000092C00000}"/>
    <cellStyle name="Normal 14 4 2 2 2 5 2 2" xfId="29772" xr:uid="{00000000-0005-0000-0000-000093C00000}"/>
    <cellStyle name="Normal 14 4 2 2 2 5 2 2 2" xfId="58778" xr:uid="{00000000-0005-0000-0000-000094C00000}"/>
    <cellStyle name="Normal 14 4 2 2 2 5 2 3" xfId="44279" xr:uid="{00000000-0005-0000-0000-000095C00000}"/>
    <cellStyle name="Normal 14 4 2 2 2 5 3" xfId="22524" xr:uid="{00000000-0005-0000-0000-000096C00000}"/>
    <cellStyle name="Normal 14 4 2 2 2 5 3 2" xfId="51530" xr:uid="{00000000-0005-0000-0000-000097C00000}"/>
    <cellStyle name="Normal 14 4 2 2 2 5 4" xfId="37031" xr:uid="{00000000-0005-0000-0000-000098C00000}"/>
    <cellStyle name="Normal 14 4 2 2 2 6" xfId="9030" xr:uid="{00000000-0005-0000-0000-000099C00000}"/>
    <cellStyle name="Normal 14 4 2 2 2 6 2" xfId="23564" xr:uid="{00000000-0005-0000-0000-00009AC00000}"/>
    <cellStyle name="Normal 14 4 2 2 2 6 2 2" xfId="52570" xr:uid="{00000000-0005-0000-0000-00009BC00000}"/>
    <cellStyle name="Normal 14 4 2 2 2 6 3" xfId="38071" xr:uid="{00000000-0005-0000-0000-00009CC00000}"/>
    <cellStyle name="Normal 14 4 2 2 2 7" xfId="16316" xr:uid="{00000000-0005-0000-0000-00009DC00000}"/>
    <cellStyle name="Normal 14 4 2 2 2 7 2" xfId="45322" xr:uid="{00000000-0005-0000-0000-00009EC00000}"/>
    <cellStyle name="Normal 14 4 2 2 2 8" xfId="30823" xr:uid="{00000000-0005-0000-0000-00009FC00000}"/>
    <cellStyle name="Normal 14 4 2 2 3" xfId="2286" xr:uid="{00000000-0005-0000-0000-0000A0C00000}"/>
    <cellStyle name="Normal 14 4 2 2 3 2" xfId="5390" xr:uid="{00000000-0005-0000-0000-0000A1C00000}"/>
    <cellStyle name="Normal 14 4 2 2 3 2 2" xfId="12662" xr:uid="{00000000-0005-0000-0000-0000A2C00000}"/>
    <cellStyle name="Normal 14 4 2 2 3 2 2 2" xfId="27196" xr:uid="{00000000-0005-0000-0000-0000A3C00000}"/>
    <cellStyle name="Normal 14 4 2 2 3 2 2 2 2" xfId="56202" xr:uid="{00000000-0005-0000-0000-0000A4C00000}"/>
    <cellStyle name="Normal 14 4 2 2 3 2 2 3" xfId="41703" xr:uid="{00000000-0005-0000-0000-0000A5C00000}"/>
    <cellStyle name="Normal 14 4 2 2 3 2 3" xfId="19948" xr:uid="{00000000-0005-0000-0000-0000A6C00000}"/>
    <cellStyle name="Normal 14 4 2 2 3 2 3 2" xfId="48954" xr:uid="{00000000-0005-0000-0000-0000A7C00000}"/>
    <cellStyle name="Normal 14 4 2 2 3 2 4" xfId="34455" xr:uid="{00000000-0005-0000-0000-0000A8C00000}"/>
    <cellStyle name="Normal 14 4 2 2 3 3" xfId="9558" xr:uid="{00000000-0005-0000-0000-0000A9C00000}"/>
    <cellStyle name="Normal 14 4 2 2 3 3 2" xfId="24092" xr:uid="{00000000-0005-0000-0000-0000AAC00000}"/>
    <cellStyle name="Normal 14 4 2 2 3 3 2 2" xfId="53098" xr:uid="{00000000-0005-0000-0000-0000ABC00000}"/>
    <cellStyle name="Normal 14 4 2 2 3 3 3" xfId="38599" xr:uid="{00000000-0005-0000-0000-0000ACC00000}"/>
    <cellStyle name="Normal 14 4 2 2 3 4" xfId="16844" xr:uid="{00000000-0005-0000-0000-0000ADC00000}"/>
    <cellStyle name="Normal 14 4 2 2 3 4 2" xfId="45850" xr:uid="{00000000-0005-0000-0000-0000AEC00000}"/>
    <cellStyle name="Normal 14 4 2 2 3 5" xfId="31351" xr:uid="{00000000-0005-0000-0000-0000AFC00000}"/>
    <cellStyle name="Normal 14 4 2 2 4" xfId="3318" xr:uid="{00000000-0005-0000-0000-0000B0C00000}"/>
    <cellStyle name="Normal 14 4 2 2 4 2" xfId="6422" xr:uid="{00000000-0005-0000-0000-0000B1C00000}"/>
    <cellStyle name="Normal 14 4 2 2 4 2 2" xfId="13694" xr:uid="{00000000-0005-0000-0000-0000B2C00000}"/>
    <cellStyle name="Normal 14 4 2 2 4 2 2 2" xfId="28228" xr:uid="{00000000-0005-0000-0000-0000B3C00000}"/>
    <cellStyle name="Normal 14 4 2 2 4 2 2 2 2" xfId="57234" xr:uid="{00000000-0005-0000-0000-0000B4C00000}"/>
    <cellStyle name="Normal 14 4 2 2 4 2 2 3" xfId="42735" xr:uid="{00000000-0005-0000-0000-0000B5C00000}"/>
    <cellStyle name="Normal 14 4 2 2 4 2 3" xfId="20980" xr:uid="{00000000-0005-0000-0000-0000B6C00000}"/>
    <cellStyle name="Normal 14 4 2 2 4 2 3 2" xfId="49986" xr:uid="{00000000-0005-0000-0000-0000B7C00000}"/>
    <cellStyle name="Normal 14 4 2 2 4 2 4" xfId="35487" xr:uid="{00000000-0005-0000-0000-0000B8C00000}"/>
    <cellStyle name="Normal 14 4 2 2 4 3" xfId="10590" xr:uid="{00000000-0005-0000-0000-0000B9C00000}"/>
    <cellStyle name="Normal 14 4 2 2 4 3 2" xfId="25124" xr:uid="{00000000-0005-0000-0000-0000BAC00000}"/>
    <cellStyle name="Normal 14 4 2 2 4 3 2 2" xfId="54130" xr:uid="{00000000-0005-0000-0000-0000BBC00000}"/>
    <cellStyle name="Normal 14 4 2 2 4 3 3" xfId="39631" xr:uid="{00000000-0005-0000-0000-0000BCC00000}"/>
    <cellStyle name="Normal 14 4 2 2 4 4" xfId="17876" xr:uid="{00000000-0005-0000-0000-0000BDC00000}"/>
    <cellStyle name="Normal 14 4 2 2 4 4 2" xfId="46882" xr:uid="{00000000-0005-0000-0000-0000BEC00000}"/>
    <cellStyle name="Normal 14 4 2 2 4 5" xfId="32383" xr:uid="{00000000-0005-0000-0000-0000BFC00000}"/>
    <cellStyle name="Normal 14 4 2 2 5" xfId="4350" xr:uid="{00000000-0005-0000-0000-0000C0C00000}"/>
    <cellStyle name="Normal 14 4 2 2 5 2" xfId="11622" xr:uid="{00000000-0005-0000-0000-0000C1C00000}"/>
    <cellStyle name="Normal 14 4 2 2 5 2 2" xfId="26156" xr:uid="{00000000-0005-0000-0000-0000C2C00000}"/>
    <cellStyle name="Normal 14 4 2 2 5 2 2 2" xfId="55162" xr:uid="{00000000-0005-0000-0000-0000C3C00000}"/>
    <cellStyle name="Normal 14 4 2 2 5 2 3" xfId="40663" xr:uid="{00000000-0005-0000-0000-0000C4C00000}"/>
    <cellStyle name="Normal 14 4 2 2 5 3" xfId="18908" xr:uid="{00000000-0005-0000-0000-0000C5C00000}"/>
    <cellStyle name="Normal 14 4 2 2 5 3 2" xfId="47914" xr:uid="{00000000-0005-0000-0000-0000C6C00000}"/>
    <cellStyle name="Normal 14 4 2 2 5 4" xfId="33415" xr:uid="{00000000-0005-0000-0000-0000C7C00000}"/>
    <cellStyle name="Normal 14 4 2 2 6" xfId="7454" xr:uid="{00000000-0005-0000-0000-0000C8C00000}"/>
    <cellStyle name="Normal 14 4 2 2 6 2" xfId="14726" xr:uid="{00000000-0005-0000-0000-0000C9C00000}"/>
    <cellStyle name="Normal 14 4 2 2 6 2 2" xfId="29260" xr:uid="{00000000-0005-0000-0000-0000CAC00000}"/>
    <cellStyle name="Normal 14 4 2 2 6 2 2 2" xfId="58266" xr:uid="{00000000-0005-0000-0000-0000CBC00000}"/>
    <cellStyle name="Normal 14 4 2 2 6 2 3" xfId="43767" xr:uid="{00000000-0005-0000-0000-0000CCC00000}"/>
    <cellStyle name="Normal 14 4 2 2 6 3" xfId="22012" xr:uid="{00000000-0005-0000-0000-0000CDC00000}"/>
    <cellStyle name="Normal 14 4 2 2 6 3 2" xfId="51018" xr:uid="{00000000-0005-0000-0000-0000CEC00000}"/>
    <cellStyle name="Normal 14 4 2 2 6 4" xfId="36519" xr:uid="{00000000-0005-0000-0000-0000CFC00000}"/>
    <cellStyle name="Normal 14 4 2 2 7" xfId="8518" xr:uid="{00000000-0005-0000-0000-0000D0C00000}"/>
    <cellStyle name="Normal 14 4 2 2 7 2" xfId="23052" xr:uid="{00000000-0005-0000-0000-0000D1C00000}"/>
    <cellStyle name="Normal 14 4 2 2 7 2 2" xfId="52058" xr:uid="{00000000-0005-0000-0000-0000D2C00000}"/>
    <cellStyle name="Normal 14 4 2 2 7 3" xfId="37559" xr:uid="{00000000-0005-0000-0000-0000D3C00000}"/>
    <cellStyle name="Normal 14 4 2 2 8" xfId="15804" xr:uid="{00000000-0005-0000-0000-0000D4C00000}"/>
    <cellStyle name="Normal 14 4 2 2 8 2" xfId="44810" xr:uid="{00000000-0005-0000-0000-0000D5C00000}"/>
    <cellStyle name="Normal 14 4 2 2 9" xfId="30311" xr:uid="{00000000-0005-0000-0000-0000D6C00000}"/>
    <cellStyle name="Normal 14 4 2 3" xfId="1434" xr:uid="{00000000-0005-0000-0000-0000D7C00000}"/>
    <cellStyle name="Normal 14 4 2 3 2" xfId="2492" xr:uid="{00000000-0005-0000-0000-0000D8C00000}"/>
    <cellStyle name="Normal 14 4 2 3 2 2" xfId="5596" xr:uid="{00000000-0005-0000-0000-0000D9C00000}"/>
    <cellStyle name="Normal 14 4 2 3 2 2 2" xfId="12868" xr:uid="{00000000-0005-0000-0000-0000DAC00000}"/>
    <cellStyle name="Normal 14 4 2 3 2 2 2 2" xfId="27402" xr:uid="{00000000-0005-0000-0000-0000DBC00000}"/>
    <cellStyle name="Normal 14 4 2 3 2 2 2 2 2" xfId="56408" xr:uid="{00000000-0005-0000-0000-0000DCC00000}"/>
    <cellStyle name="Normal 14 4 2 3 2 2 2 3" xfId="41909" xr:uid="{00000000-0005-0000-0000-0000DDC00000}"/>
    <cellStyle name="Normal 14 4 2 3 2 2 3" xfId="20154" xr:uid="{00000000-0005-0000-0000-0000DEC00000}"/>
    <cellStyle name="Normal 14 4 2 3 2 2 3 2" xfId="49160" xr:uid="{00000000-0005-0000-0000-0000DFC00000}"/>
    <cellStyle name="Normal 14 4 2 3 2 2 4" xfId="34661" xr:uid="{00000000-0005-0000-0000-0000E0C00000}"/>
    <cellStyle name="Normal 14 4 2 3 2 3" xfId="9764" xr:uid="{00000000-0005-0000-0000-0000E1C00000}"/>
    <cellStyle name="Normal 14 4 2 3 2 3 2" xfId="24298" xr:uid="{00000000-0005-0000-0000-0000E2C00000}"/>
    <cellStyle name="Normal 14 4 2 3 2 3 2 2" xfId="53304" xr:uid="{00000000-0005-0000-0000-0000E3C00000}"/>
    <cellStyle name="Normal 14 4 2 3 2 3 3" xfId="38805" xr:uid="{00000000-0005-0000-0000-0000E4C00000}"/>
    <cellStyle name="Normal 14 4 2 3 2 4" xfId="17050" xr:uid="{00000000-0005-0000-0000-0000E5C00000}"/>
    <cellStyle name="Normal 14 4 2 3 2 4 2" xfId="46056" xr:uid="{00000000-0005-0000-0000-0000E6C00000}"/>
    <cellStyle name="Normal 14 4 2 3 2 5" xfId="31557" xr:uid="{00000000-0005-0000-0000-0000E7C00000}"/>
    <cellStyle name="Normal 14 4 2 3 3" xfId="3524" xr:uid="{00000000-0005-0000-0000-0000E8C00000}"/>
    <cellStyle name="Normal 14 4 2 3 3 2" xfId="6628" xr:uid="{00000000-0005-0000-0000-0000E9C00000}"/>
    <cellStyle name="Normal 14 4 2 3 3 2 2" xfId="13900" xr:uid="{00000000-0005-0000-0000-0000EAC00000}"/>
    <cellStyle name="Normal 14 4 2 3 3 2 2 2" xfId="28434" xr:uid="{00000000-0005-0000-0000-0000EBC00000}"/>
    <cellStyle name="Normal 14 4 2 3 3 2 2 2 2" xfId="57440" xr:uid="{00000000-0005-0000-0000-0000ECC00000}"/>
    <cellStyle name="Normal 14 4 2 3 3 2 2 3" xfId="42941" xr:uid="{00000000-0005-0000-0000-0000EDC00000}"/>
    <cellStyle name="Normal 14 4 2 3 3 2 3" xfId="21186" xr:uid="{00000000-0005-0000-0000-0000EEC00000}"/>
    <cellStyle name="Normal 14 4 2 3 3 2 3 2" xfId="50192" xr:uid="{00000000-0005-0000-0000-0000EFC00000}"/>
    <cellStyle name="Normal 14 4 2 3 3 2 4" xfId="35693" xr:uid="{00000000-0005-0000-0000-0000F0C00000}"/>
    <cellStyle name="Normal 14 4 2 3 3 3" xfId="10796" xr:uid="{00000000-0005-0000-0000-0000F1C00000}"/>
    <cellStyle name="Normal 14 4 2 3 3 3 2" xfId="25330" xr:uid="{00000000-0005-0000-0000-0000F2C00000}"/>
    <cellStyle name="Normal 14 4 2 3 3 3 2 2" xfId="54336" xr:uid="{00000000-0005-0000-0000-0000F3C00000}"/>
    <cellStyle name="Normal 14 4 2 3 3 3 3" xfId="39837" xr:uid="{00000000-0005-0000-0000-0000F4C00000}"/>
    <cellStyle name="Normal 14 4 2 3 3 4" xfId="18082" xr:uid="{00000000-0005-0000-0000-0000F5C00000}"/>
    <cellStyle name="Normal 14 4 2 3 3 4 2" xfId="47088" xr:uid="{00000000-0005-0000-0000-0000F6C00000}"/>
    <cellStyle name="Normal 14 4 2 3 3 5" xfId="32589" xr:uid="{00000000-0005-0000-0000-0000F7C00000}"/>
    <cellStyle name="Normal 14 4 2 3 4" xfId="4556" xr:uid="{00000000-0005-0000-0000-0000F8C00000}"/>
    <cellStyle name="Normal 14 4 2 3 4 2" xfId="11828" xr:uid="{00000000-0005-0000-0000-0000F9C00000}"/>
    <cellStyle name="Normal 14 4 2 3 4 2 2" xfId="26362" xr:uid="{00000000-0005-0000-0000-0000FAC00000}"/>
    <cellStyle name="Normal 14 4 2 3 4 2 2 2" xfId="55368" xr:uid="{00000000-0005-0000-0000-0000FBC00000}"/>
    <cellStyle name="Normal 14 4 2 3 4 2 3" xfId="40869" xr:uid="{00000000-0005-0000-0000-0000FCC00000}"/>
    <cellStyle name="Normal 14 4 2 3 4 3" xfId="19114" xr:uid="{00000000-0005-0000-0000-0000FDC00000}"/>
    <cellStyle name="Normal 14 4 2 3 4 3 2" xfId="48120" xr:uid="{00000000-0005-0000-0000-0000FEC00000}"/>
    <cellStyle name="Normal 14 4 2 3 4 4" xfId="33621" xr:uid="{00000000-0005-0000-0000-0000FFC00000}"/>
    <cellStyle name="Normal 14 4 2 3 5" xfId="7660" xr:uid="{00000000-0005-0000-0000-000000C10000}"/>
    <cellStyle name="Normal 14 4 2 3 5 2" xfId="14932" xr:uid="{00000000-0005-0000-0000-000001C10000}"/>
    <cellStyle name="Normal 14 4 2 3 5 2 2" xfId="29466" xr:uid="{00000000-0005-0000-0000-000002C10000}"/>
    <cellStyle name="Normal 14 4 2 3 5 2 2 2" xfId="58472" xr:uid="{00000000-0005-0000-0000-000003C10000}"/>
    <cellStyle name="Normal 14 4 2 3 5 2 3" xfId="43973" xr:uid="{00000000-0005-0000-0000-000004C10000}"/>
    <cellStyle name="Normal 14 4 2 3 5 3" xfId="22218" xr:uid="{00000000-0005-0000-0000-000005C10000}"/>
    <cellStyle name="Normal 14 4 2 3 5 3 2" xfId="51224" xr:uid="{00000000-0005-0000-0000-000006C10000}"/>
    <cellStyle name="Normal 14 4 2 3 5 4" xfId="36725" xr:uid="{00000000-0005-0000-0000-000007C10000}"/>
    <cellStyle name="Normal 14 4 2 3 6" xfId="8724" xr:uid="{00000000-0005-0000-0000-000008C10000}"/>
    <cellStyle name="Normal 14 4 2 3 6 2" xfId="23258" xr:uid="{00000000-0005-0000-0000-000009C10000}"/>
    <cellStyle name="Normal 14 4 2 3 6 2 2" xfId="52264" xr:uid="{00000000-0005-0000-0000-00000AC10000}"/>
    <cellStyle name="Normal 14 4 2 3 6 3" xfId="37765" xr:uid="{00000000-0005-0000-0000-00000BC10000}"/>
    <cellStyle name="Normal 14 4 2 3 7" xfId="16010" xr:uid="{00000000-0005-0000-0000-00000CC10000}"/>
    <cellStyle name="Normal 14 4 2 3 7 2" xfId="45016" xr:uid="{00000000-0005-0000-0000-00000DC10000}"/>
    <cellStyle name="Normal 14 4 2 3 8" xfId="30517" xr:uid="{00000000-0005-0000-0000-00000EC10000}"/>
    <cellStyle name="Normal 14 4 2 4" xfId="1980" xr:uid="{00000000-0005-0000-0000-00000FC10000}"/>
    <cellStyle name="Normal 14 4 2 4 2" xfId="5084" xr:uid="{00000000-0005-0000-0000-000010C10000}"/>
    <cellStyle name="Normal 14 4 2 4 2 2" xfId="12356" xr:uid="{00000000-0005-0000-0000-000011C10000}"/>
    <cellStyle name="Normal 14 4 2 4 2 2 2" xfId="26890" xr:uid="{00000000-0005-0000-0000-000012C10000}"/>
    <cellStyle name="Normal 14 4 2 4 2 2 2 2" xfId="55896" xr:uid="{00000000-0005-0000-0000-000013C10000}"/>
    <cellStyle name="Normal 14 4 2 4 2 2 3" xfId="41397" xr:uid="{00000000-0005-0000-0000-000014C10000}"/>
    <cellStyle name="Normal 14 4 2 4 2 3" xfId="19642" xr:uid="{00000000-0005-0000-0000-000015C10000}"/>
    <cellStyle name="Normal 14 4 2 4 2 3 2" xfId="48648" xr:uid="{00000000-0005-0000-0000-000016C10000}"/>
    <cellStyle name="Normal 14 4 2 4 2 4" xfId="34149" xr:uid="{00000000-0005-0000-0000-000017C10000}"/>
    <cellStyle name="Normal 14 4 2 4 3" xfId="9252" xr:uid="{00000000-0005-0000-0000-000018C10000}"/>
    <cellStyle name="Normal 14 4 2 4 3 2" xfId="23786" xr:uid="{00000000-0005-0000-0000-000019C10000}"/>
    <cellStyle name="Normal 14 4 2 4 3 2 2" xfId="52792" xr:uid="{00000000-0005-0000-0000-00001AC10000}"/>
    <cellStyle name="Normal 14 4 2 4 3 3" xfId="38293" xr:uid="{00000000-0005-0000-0000-00001BC10000}"/>
    <cellStyle name="Normal 14 4 2 4 4" xfId="16538" xr:uid="{00000000-0005-0000-0000-00001CC10000}"/>
    <cellStyle name="Normal 14 4 2 4 4 2" xfId="45544" xr:uid="{00000000-0005-0000-0000-00001DC10000}"/>
    <cellStyle name="Normal 14 4 2 4 5" xfId="31045" xr:uid="{00000000-0005-0000-0000-00001EC10000}"/>
    <cellStyle name="Normal 14 4 2 5" xfId="3012" xr:uid="{00000000-0005-0000-0000-00001FC10000}"/>
    <cellStyle name="Normal 14 4 2 5 2" xfId="6116" xr:uid="{00000000-0005-0000-0000-000020C10000}"/>
    <cellStyle name="Normal 14 4 2 5 2 2" xfId="13388" xr:uid="{00000000-0005-0000-0000-000021C10000}"/>
    <cellStyle name="Normal 14 4 2 5 2 2 2" xfId="27922" xr:uid="{00000000-0005-0000-0000-000022C10000}"/>
    <cellStyle name="Normal 14 4 2 5 2 2 2 2" xfId="56928" xr:uid="{00000000-0005-0000-0000-000023C10000}"/>
    <cellStyle name="Normal 14 4 2 5 2 2 3" xfId="42429" xr:uid="{00000000-0005-0000-0000-000024C10000}"/>
    <cellStyle name="Normal 14 4 2 5 2 3" xfId="20674" xr:uid="{00000000-0005-0000-0000-000025C10000}"/>
    <cellStyle name="Normal 14 4 2 5 2 3 2" xfId="49680" xr:uid="{00000000-0005-0000-0000-000026C10000}"/>
    <cellStyle name="Normal 14 4 2 5 2 4" xfId="35181" xr:uid="{00000000-0005-0000-0000-000027C10000}"/>
    <cellStyle name="Normal 14 4 2 5 3" xfId="10284" xr:uid="{00000000-0005-0000-0000-000028C10000}"/>
    <cellStyle name="Normal 14 4 2 5 3 2" xfId="24818" xr:uid="{00000000-0005-0000-0000-000029C10000}"/>
    <cellStyle name="Normal 14 4 2 5 3 2 2" xfId="53824" xr:uid="{00000000-0005-0000-0000-00002AC10000}"/>
    <cellStyle name="Normal 14 4 2 5 3 3" xfId="39325" xr:uid="{00000000-0005-0000-0000-00002BC10000}"/>
    <cellStyle name="Normal 14 4 2 5 4" xfId="17570" xr:uid="{00000000-0005-0000-0000-00002CC10000}"/>
    <cellStyle name="Normal 14 4 2 5 4 2" xfId="46576" xr:uid="{00000000-0005-0000-0000-00002DC10000}"/>
    <cellStyle name="Normal 14 4 2 5 5" xfId="32077" xr:uid="{00000000-0005-0000-0000-00002EC10000}"/>
    <cellStyle name="Normal 14 4 2 6" xfId="4044" xr:uid="{00000000-0005-0000-0000-00002FC10000}"/>
    <cellStyle name="Normal 14 4 2 6 2" xfId="11316" xr:uid="{00000000-0005-0000-0000-000030C10000}"/>
    <cellStyle name="Normal 14 4 2 6 2 2" xfId="25850" xr:uid="{00000000-0005-0000-0000-000031C10000}"/>
    <cellStyle name="Normal 14 4 2 6 2 2 2" xfId="54856" xr:uid="{00000000-0005-0000-0000-000032C10000}"/>
    <cellStyle name="Normal 14 4 2 6 2 3" xfId="40357" xr:uid="{00000000-0005-0000-0000-000033C10000}"/>
    <cellStyle name="Normal 14 4 2 6 3" xfId="18602" xr:uid="{00000000-0005-0000-0000-000034C10000}"/>
    <cellStyle name="Normal 14 4 2 6 3 2" xfId="47608" xr:uid="{00000000-0005-0000-0000-000035C10000}"/>
    <cellStyle name="Normal 14 4 2 6 4" xfId="33109" xr:uid="{00000000-0005-0000-0000-000036C10000}"/>
    <cellStyle name="Normal 14 4 2 7" xfId="7148" xr:uid="{00000000-0005-0000-0000-000037C10000}"/>
    <cellStyle name="Normal 14 4 2 7 2" xfId="14420" xr:uid="{00000000-0005-0000-0000-000038C10000}"/>
    <cellStyle name="Normal 14 4 2 7 2 2" xfId="28954" xr:uid="{00000000-0005-0000-0000-000039C10000}"/>
    <cellStyle name="Normal 14 4 2 7 2 2 2" xfId="57960" xr:uid="{00000000-0005-0000-0000-00003AC10000}"/>
    <cellStyle name="Normal 14 4 2 7 2 3" xfId="43461" xr:uid="{00000000-0005-0000-0000-00003BC10000}"/>
    <cellStyle name="Normal 14 4 2 7 3" xfId="21706" xr:uid="{00000000-0005-0000-0000-00003CC10000}"/>
    <cellStyle name="Normal 14 4 2 7 3 2" xfId="50712" xr:uid="{00000000-0005-0000-0000-00003DC10000}"/>
    <cellStyle name="Normal 14 4 2 7 4" xfId="36213" xr:uid="{00000000-0005-0000-0000-00003EC10000}"/>
    <cellStyle name="Normal 14 4 2 8" xfId="8212" xr:uid="{00000000-0005-0000-0000-00003FC10000}"/>
    <cellStyle name="Normal 14 4 2 8 2" xfId="22746" xr:uid="{00000000-0005-0000-0000-000040C10000}"/>
    <cellStyle name="Normal 14 4 2 8 2 2" xfId="51752" xr:uid="{00000000-0005-0000-0000-000041C10000}"/>
    <cellStyle name="Normal 14 4 2 8 3" xfId="37253" xr:uid="{00000000-0005-0000-0000-000042C10000}"/>
    <cellStyle name="Normal 14 4 2 9" xfId="15498" xr:uid="{00000000-0005-0000-0000-000043C10000}"/>
    <cellStyle name="Normal 14 4 2 9 2" xfId="44504" xr:uid="{00000000-0005-0000-0000-000044C10000}"/>
    <cellStyle name="Normal 14 4 3" xfId="1138" xr:uid="{00000000-0005-0000-0000-000045C10000}"/>
    <cellStyle name="Normal 14 4 3 2" xfId="1636" xr:uid="{00000000-0005-0000-0000-000046C10000}"/>
    <cellStyle name="Normal 14 4 3 2 2" xfId="2695" xr:uid="{00000000-0005-0000-0000-000047C10000}"/>
    <cellStyle name="Normal 14 4 3 2 2 2" xfId="5799" xr:uid="{00000000-0005-0000-0000-000048C10000}"/>
    <cellStyle name="Normal 14 4 3 2 2 2 2" xfId="13071" xr:uid="{00000000-0005-0000-0000-000049C10000}"/>
    <cellStyle name="Normal 14 4 3 2 2 2 2 2" xfId="27605" xr:uid="{00000000-0005-0000-0000-00004AC10000}"/>
    <cellStyle name="Normal 14 4 3 2 2 2 2 2 2" xfId="56611" xr:uid="{00000000-0005-0000-0000-00004BC10000}"/>
    <cellStyle name="Normal 14 4 3 2 2 2 2 3" xfId="42112" xr:uid="{00000000-0005-0000-0000-00004CC10000}"/>
    <cellStyle name="Normal 14 4 3 2 2 2 3" xfId="20357" xr:uid="{00000000-0005-0000-0000-00004DC10000}"/>
    <cellStyle name="Normal 14 4 3 2 2 2 3 2" xfId="49363" xr:uid="{00000000-0005-0000-0000-00004EC10000}"/>
    <cellStyle name="Normal 14 4 3 2 2 2 4" xfId="34864" xr:uid="{00000000-0005-0000-0000-00004FC10000}"/>
    <cellStyle name="Normal 14 4 3 2 2 3" xfId="9967" xr:uid="{00000000-0005-0000-0000-000050C10000}"/>
    <cellStyle name="Normal 14 4 3 2 2 3 2" xfId="24501" xr:uid="{00000000-0005-0000-0000-000051C10000}"/>
    <cellStyle name="Normal 14 4 3 2 2 3 2 2" xfId="53507" xr:uid="{00000000-0005-0000-0000-000052C10000}"/>
    <cellStyle name="Normal 14 4 3 2 2 3 3" xfId="39008" xr:uid="{00000000-0005-0000-0000-000053C10000}"/>
    <cellStyle name="Normal 14 4 3 2 2 4" xfId="17253" xr:uid="{00000000-0005-0000-0000-000054C10000}"/>
    <cellStyle name="Normal 14 4 3 2 2 4 2" xfId="46259" xr:uid="{00000000-0005-0000-0000-000055C10000}"/>
    <cellStyle name="Normal 14 4 3 2 2 5" xfId="31760" xr:uid="{00000000-0005-0000-0000-000056C10000}"/>
    <cellStyle name="Normal 14 4 3 2 3" xfId="3727" xr:uid="{00000000-0005-0000-0000-000057C10000}"/>
    <cellStyle name="Normal 14 4 3 2 3 2" xfId="6831" xr:uid="{00000000-0005-0000-0000-000058C10000}"/>
    <cellStyle name="Normal 14 4 3 2 3 2 2" xfId="14103" xr:uid="{00000000-0005-0000-0000-000059C10000}"/>
    <cellStyle name="Normal 14 4 3 2 3 2 2 2" xfId="28637" xr:uid="{00000000-0005-0000-0000-00005AC10000}"/>
    <cellStyle name="Normal 14 4 3 2 3 2 2 2 2" xfId="57643" xr:uid="{00000000-0005-0000-0000-00005BC10000}"/>
    <cellStyle name="Normal 14 4 3 2 3 2 2 3" xfId="43144" xr:uid="{00000000-0005-0000-0000-00005CC10000}"/>
    <cellStyle name="Normal 14 4 3 2 3 2 3" xfId="21389" xr:uid="{00000000-0005-0000-0000-00005DC10000}"/>
    <cellStyle name="Normal 14 4 3 2 3 2 3 2" xfId="50395" xr:uid="{00000000-0005-0000-0000-00005EC10000}"/>
    <cellStyle name="Normal 14 4 3 2 3 2 4" xfId="35896" xr:uid="{00000000-0005-0000-0000-00005FC10000}"/>
    <cellStyle name="Normal 14 4 3 2 3 3" xfId="10999" xr:uid="{00000000-0005-0000-0000-000060C10000}"/>
    <cellStyle name="Normal 14 4 3 2 3 3 2" xfId="25533" xr:uid="{00000000-0005-0000-0000-000061C10000}"/>
    <cellStyle name="Normal 14 4 3 2 3 3 2 2" xfId="54539" xr:uid="{00000000-0005-0000-0000-000062C10000}"/>
    <cellStyle name="Normal 14 4 3 2 3 3 3" xfId="40040" xr:uid="{00000000-0005-0000-0000-000063C10000}"/>
    <cellStyle name="Normal 14 4 3 2 3 4" xfId="18285" xr:uid="{00000000-0005-0000-0000-000064C10000}"/>
    <cellStyle name="Normal 14 4 3 2 3 4 2" xfId="47291" xr:uid="{00000000-0005-0000-0000-000065C10000}"/>
    <cellStyle name="Normal 14 4 3 2 3 5" xfId="32792" xr:uid="{00000000-0005-0000-0000-000066C10000}"/>
    <cellStyle name="Normal 14 4 3 2 4" xfId="4759" xr:uid="{00000000-0005-0000-0000-000067C10000}"/>
    <cellStyle name="Normal 14 4 3 2 4 2" xfId="12031" xr:uid="{00000000-0005-0000-0000-000068C10000}"/>
    <cellStyle name="Normal 14 4 3 2 4 2 2" xfId="26565" xr:uid="{00000000-0005-0000-0000-000069C10000}"/>
    <cellStyle name="Normal 14 4 3 2 4 2 2 2" xfId="55571" xr:uid="{00000000-0005-0000-0000-00006AC10000}"/>
    <cellStyle name="Normal 14 4 3 2 4 2 3" xfId="41072" xr:uid="{00000000-0005-0000-0000-00006BC10000}"/>
    <cellStyle name="Normal 14 4 3 2 4 3" xfId="19317" xr:uid="{00000000-0005-0000-0000-00006CC10000}"/>
    <cellStyle name="Normal 14 4 3 2 4 3 2" xfId="48323" xr:uid="{00000000-0005-0000-0000-00006DC10000}"/>
    <cellStyle name="Normal 14 4 3 2 4 4" xfId="33824" xr:uid="{00000000-0005-0000-0000-00006EC10000}"/>
    <cellStyle name="Normal 14 4 3 2 5" xfId="7863" xr:uid="{00000000-0005-0000-0000-00006FC10000}"/>
    <cellStyle name="Normal 14 4 3 2 5 2" xfId="15135" xr:uid="{00000000-0005-0000-0000-000070C10000}"/>
    <cellStyle name="Normal 14 4 3 2 5 2 2" xfId="29669" xr:uid="{00000000-0005-0000-0000-000071C10000}"/>
    <cellStyle name="Normal 14 4 3 2 5 2 2 2" xfId="58675" xr:uid="{00000000-0005-0000-0000-000072C10000}"/>
    <cellStyle name="Normal 14 4 3 2 5 2 3" xfId="44176" xr:uid="{00000000-0005-0000-0000-000073C10000}"/>
    <cellStyle name="Normal 14 4 3 2 5 3" xfId="22421" xr:uid="{00000000-0005-0000-0000-000074C10000}"/>
    <cellStyle name="Normal 14 4 3 2 5 3 2" xfId="51427" xr:uid="{00000000-0005-0000-0000-000075C10000}"/>
    <cellStyle name="Normal 14 4 3 2 5 4" xfId="36928" xr:uid="{00000000-0005-0000-0000-000076C10000}"/>
    <cellStyle name="Normal 14 4 3 2 6" xfId="8927" xr:uid="{00000000-0005-0000-0000-000077C10000}"/>
    <cellStyle name="Normal 14 4 3 2 6 2" xfId="23461" xr:uid="{00000000-0005-0000-0000-000078C10000}"/>
    <cellStyle name="Normal 14 4 3 2 6 2 2" xfId="52467" xr:uid="{00000000-0005-0000-0000-000079C10000}"/>
    <cellStyle name="Normal 14 4 3 2 6 3" xfId="37968" xr:uid="{00000000-0005-0000-0000-00007AC10000}"/>
    <cellStyle name="Normal 14 4 3 2 7" xfId="16213" xr:uid="{00000000-0005-0000-0000-00007BC10000}"/>
    <cellStyle name="Normal 14 4 3 2 7 2" xfId="45219" xr:uid="{00000000-0005-0000-0000-00007CC10000}"/>
    <cellStyle name="Normal 14 4 3 2 8" xfId="30720" xr:uid="{00000000-0005-0000-0000-00007DC10000}"/>
    <cellStyle name="Normal 14 4 3 3" xfId="2183" xr:uid="{00000000-0005-0000-0000-00007EC10000}"/>
    <cellStyle name="Normal 14 4 3 3 2" xfId="5287" xr:uid="{00000000-0005-0000-0000-00007FC10000}"/>
    <cellStyle name="Normal 14 4 3 3 2 2" xfId="12559" xr:uid="{00000000-0005-0000-0000-000080C10000}"/>
    <cellStyle name="Normal 14 4 3 3 2 2 2" xfId="27093" xr:uid="{00000000-0005-0000-0000-000081C10000}"/>
    <cellStyle name="Normal 14 4 3 3 2 2 2 2" xfId="56099" xr:uid="{00000000-0005-0000-0000-000082C10000}"/>
    <cellStyle name="Normal 14 4 3 3 2 2 3" xfId="41600" xr:uid="{00000000-0005-0000-0000-000083C10000}"/>
    <cellStyle name="Normal 14 4 3 3 2 3" xfId="19845" xr:uid="{00000000-0005-0000-0000-000084C10000}"/>
    <cellStyle name="Normal 14 4 3 3 2 3 2" xfId="48851" xr:uid="{00000000-0005-0000-0000-000085C10000}"/>
    <cellStyle name="Normal 14 4 3 3 2 4" xfId="34352" xr:uid="{00000000-0005-0000-0000-000086C10000}"/>
    <cellStyle name="Normal 14 4 3 3 3" xfId="9455" xr:uid="{00000000-0005-0000-0000-000087C10000}"/>
    <cellStyle name="Normal 14 4 3 3 3 2" xfId="23989" xr:uid="{00000000-0005-0000-0000-000088C10000}"/>
    <cellStyle name="Normal 14 4 3 3 3 2 2" xfId="52995" xr:uid="{00000000-0005-0000-0000-000089C10000}"/>
    <cellStyle name="Normal 14 4 3 3 3 3" xfId="38496" xr:uid="{00000000-0005-0000-0000-00008AC10000}"/>
    <cellStyle name="Normal 14 4 3 3 4" xfId="16741" xr:uid="{00000000-0005-0000-0000-00008BC10000}"/>
    <cellStyle name="Normal 14 4 3 3 4 2" xfId="45747" xr:uid="{00000000-0005-0000-0000-00008CC10000}"/>
    <cellStyle name="Normal 14 4 3 3 5" xfId="31248" xr:uid="{00000000-0005-0000-0000-00008DC10000}"/>
    <cellStyle name="Normal 14 4 3 4" xfId="3215" xr:uid="{00000000-0005-0000-0000-00008EC10000}"/>
    <cellStyle name="Normal 14 4 3 4 2" xfId="6319" xr:uid="{00000000-0005-0000-0000-00008FC10000}"/>
    <cellStyle name="Normal 14 4 3 4 2 2" xfId="13591" xr:uid="{00000000-0005-0000-0000-000090C10000}"/>
    <cellStyle name="Normal 14 4 3 4 2 2 2" xfId="28125" xr:uid="{00000000-0005-0000-0000-000091C10000}"/>
    <cellStyle name="Normal 14 4 3 4 2 2 2 2" xfId="57131" xr:uid="{00000000-0005-0000-0000-000092C10000}"/>
    <cellStyle name="Normal 14 4 3 4 2 2 3" xfId="42632" xr:uid="{00000000-0005-0000-0000-000093C10000}"/>
    <cellStyle name="Normal 14 4 3 4 2 3" xfId="20877" xr:uid="{00000000-0005-0000-0000-000094C10000}"/>
    <cellStyle name="Normal 14 4 3 4 2 3 2" xfId="49883" xr:uid="{00000000-0005-0000-0000-000095C10000}"/>
    <cellStyle name="Normal 14 4 3 4 2 4" xfId="35384" xr:uid="{00000000-0005-0000-0000-000096C10000}"/>
    <cellStyle name="Normal 14 4 3 4 3" xfId="10487" xr:uid="{00000000-0005-0000-0000-000097C10000}"/>
    <cellStyle name="Normal 14 4 3 4 3 2" xfId="25021" xr:uid="{00000000-0005-0000-0000-000098C10000}"/>
    <cellStyle name="Normal 14 4 3 4 3 2 2" xfId="54027" xr:uid="{00000000-0005-0000-0000-000099C10000}"/>
    <cellStyle name="Normal 14 4 3 4 3 3" xfId="39528" xr:uid="{00000000-0005-0000-0000-00009AC10000}"/>
    <cellStyle name="Normal 14 4 3 4 4" xfId="17773" xr:uid="{00000000-0005-0000-0000-00009BC10000}"/>
    <cellStyle name="Normal 14 4 3 4 4 2" xfId="46779" xr:uid="{00000000-0005-0000-0000-00009CC10000}"/>
    <cellStyle name="Normal 14 4 3 4 5" xfId="32280" xr:uid="{00000000-0005-0000-0000-00009DC10000}"/>
    <cellStyle name="Normal 14 4 3 5" xfId="4247" xr:uid="{00000000-0005-0000-0000-00009EC10000}"/>
    <cellStyle name="Normal 14 4 3 5 2" xfId="11519" xr:uid="{00000000-0005-0000-0000-00009FC10000}"/>
    <cellStyle name="Normal 14 4 3 5 2 2" xfId="26053" xr:uid="{00000000-0005-0000-0000-0000A0C10000}"/>
    <cellStyle name="Normal 14 4 3 5 2 2 2" xfId="55059" xr:uid="{00000000-0005-0000-0000-0000A1C10000}"/>
    <cellStyle name="Normal 14 4 3 5 2 3" xfId="40560" xr:uid="{00000000-0005-0000-0000-0000A2C10000}"/>
    <cellStyle name="Normal 14 4 3 5 3" xfId="18805" xr:uid="{00000000-0005-0000-0000-0000A3C10000}"/>
    <cellStyle name="Normal 14 4 3 5 3 2" xfId="47811" xr:uid="{00000000-0005-0000-0000-0000A4C10000}"/>
    <cellStyle name="Normal 14 4 3 5 4" xfId="33312" xr:uid="{00000000-0005-0000-0000-0000A5C10000}"/>
    <cellStyle name="Normal 14 4 3 6" xfId="7351" xr:uid="{00000000-0005-0000-0000-0000A6C10000}"/>
    <cellStyle name="Normal 14 4 3 6 2" xfId="14623" xr:uid="{00000000-0005-0000-0000-0000A7C10000}"/>
    <cellStyle name="Normal 14 4 3 6 2 2" xfId="29157" xr:uid="{00000000-0005-0000-0000-0000A8C10000}"/>
    <cellStyle name="Normal 14 4 3 6 2 2 2" xfId="58163" xr:uid="{00000000-0005-0000-0000-0000A9C10000}"/>
    <cellStyle name="Normal 14 4 3 6 2 3" xfId="43664" xr:uid="{00000000-0005-0000-0000-0000AAC10000}"/>
    <cellStyle name="Normal 14 4 3 6 3" xfId="21909" xr:uid="{00000000-0005-0000-0000-0000ABC10000}"/>
    <cellStyle name="Normal 14 4 3 6 3 2" xfId="50915" xr:uid="{00000000-0005-0000-0000-0000ACC10000}"/>
    <cellStyle name="Normal 14 4 3 6 4" xfId="36416" xr:uid="{00000000-0005-0000-0000-0000ADC10000}"/>
    <cellStyle name="Normal 14 4 3 7" xfId="8415" xr:uid="{00000000-0005-0000-0000-0000AEC10000}"/>
    <cellStyle name="Normal 14 4 3 7 2" xfId="22949" xr:uid="{00000000-0005-0000-0000-0000AFC10000}"/>
    <cellStyle name="Normal 14 4 3 7 2 2" xfId="51955" xr:uid="{00000000-0005-0000-0000-0000B0C10000}"/>
    <cellStyle name="Normal 14 4 3 7 3" xfId="37456" xr:uid="{00000000-0005-0000-0000-0000B1C10000}"/>
    <cellStyle name="Normal 14 4 3 8" xfId="15701" xr:uid="{00000000-0005-0000-0000-0000B2C10000}"/>
    <cellStyle name="Normal 14 4 3 8 2" xfId="44707" xr:uid="{00000000-0005-0000-0000-0000B3C10000}"/>
    <cellStyle name="Normal 14 4 3 9" xfId="30208" xr:uid="{00000000-0005-0000-0000-0000B4C10000}"/>
    <cellStyle name="Normal 14 4 4" xfId="1047" xr:uid="{00000000-0005-0000-0000-0000B5C10000}"/>
    <cellStyle name="Normal 14 4 4 2" xfId="1537" xr:uid="{00000000-0005-0000-0000-0000B6C10000}"/>
    <cellStyle name="Normal 14 4 4 2 2" xfId="2595" xr:uid="{00000000-0005-0000-0000-0000B7C10000}"/>
    <cellStyle name="Normal 14 4 4 2 2 2" xfId="5699" xr:uid="{00000000-0005-0000-0000-0000B8C10000}"/>
    <cellStyle name="Normal 14 4 4 2 2 2 2" xfId="12971" xr:uid="{00000000-0005-0000-0000-0000B9C10000}"/>
    <cellStyle name="Normal 14 4 4 2 2 2 2 2" xfId="27505" xr:uid="{00000000-0005-0000-0000-0000BAC10000}"/>
    <cellStyle name="Normal 14 4 4 2 2 2 2 2 2" xfId="56511" xr:uid="{00000000-0005-0000-0000-0000BBC10000}"/>
    <cellStyle name="Normal 14 4 4 2 2 2 2 3" xfId="42012" xr:uid="{00000000-0005-0000-0000-0000BCC10000}"/>
    <cellStyle name="Normal 14 4 4 2 2 2 3" xfId="20257" xr:uid="{00000000-0005-0000-0000-0000BDC10000}"/>
    <cellStyle name="Normal 14 4 4 2 2 2 3 2" xfId="49263" xr:uid="{00000000-0005-0000-0000-0000BEC10000}"/>
    <cellStyle name="Normal 14 4 4 2 2 2 4" xfId="34764" xr:uid="{00000000-0005-0000-0000-0000BFC10000}"/>
    <cellStyle name="Normal 14 4 4 2 2 3" xfId="9867" xr:uid="{00000000-0005-0000-0000-0000C0C10000}"/>
    <cellStyle name="Normal 14 4 4 2 2 3 2" xfId="24401" xr:uid="{00000000-0005-0000-0000-0000C1C10000}"/>
    <cellStyle name="Normal 14 4 4 2 2 3 2 2" xfId="53407" xr:uid="{00000000-0005-0000-0000-0000C2C10000}"/>
    <cellStyle name="Normal 14 4 4 2 2 3 3" xfId="38908" xr:uid="{00000000-0005-0000-0000-0000C3C10000}"/>
    <cellStyle name="Normal 14 4 4 2 2 4" xfId="17153" xr:uid="{00000000-0005-0000-0000-0000C4C10000}"/>
    <cellStyle name="Normal 14 4 4 2 2 4 2" xfId="46159" xr:uid="{00000000-0005-0000-0000-0000C5C10000}"/>
    <cellStyle name="Normal 14 4 4 2 2 5" xfId="31660" xr:uid="{00000000-0005-0000-0000-0000C6C10000}"/>
    <cellStyle name="Normal 14 4 4 2 3" xfId="3627" xr:uid="{00000000-0005-0000-0000-0000C7C10000}"/>
    <cellStyle name="Normal 14 4 4 2 3 2" xfId="6731" xr:uid="{00000000-0005-0000-0000-0000C8C10000}"/>
    <cellStyle name="Normal 14 4 4 2 3 2 2" xfId="14003" xr:uid="{00000000-0005-0000-0000-0000C9C10000}"/>
    <cellStyle name="Normal 14 4 4 2 3 2 2 2" xfId="28537" xr:uid="{00000000-0005-0000-0000-0000CAC10000}"/>
    <cellStyle name="Normal 14 4 4 2 3 2 2 2 2" xfId="57543" xr:uid="{00000000-0005-0000-0000-0000CBC10000}"/>
    <cellStyle name="Normal 14 4 4 2 3 2 2 3" xfId="43044" xr:uid="{00000000-0005-0000-0000-0000CCC10000}"/>
    <cellStyle name="Normal 14 4 4 2 3 2 3" xfId="21289" xr:uid="{00000000-0005-0000-0000-0000CDC10000}"/>
    <cellStyle name="Normal 14 4 4 2 3 2 3 2" xfId="50295" xr:uid="{00000000-0005-0000-0000-0000CEC10000}"/>
    <cellStyle name="Normal 14 4 4 2 3 2 4" xfId="35796" xr:uid="{00000000-0005-0000-0000-0000CFC10000}"/>
    <cellStyle name="Normal 14 4 4 2 3 3" xfId="10899" xr:uid="{00000000-0005-0000-0000-0000D0C10000}"/>
    <cellStyle name="Normal 14 4 4 2 3 3 2" xfId="25433" xr:uid="{00000000-0005-0000-0000-0000D1C10000}"/>
    <cellStyle name="Normal 14 4 4 2 3 3 2 2" xfId="54439" xr:uid="{00000000-0005-0000-0000-0000D2C10000}"/>
    <cellStyle name="Normal 14 4 4 2 3 3 3" xfId="39940" xr:uid="{00000000-0005-0000-0000-0000D3C10000}"/>
    <cellStyle name="Normal 14 4 4 2 3 4" xfId="18185" xr:uid="{00000000-0005-0000-0000-0000D4C10000}"/>
    <cellStyle name="Normal 14 4 4 2 3 4 2" xfId="47191" xr:uid="{00000000-0005-0000-0000-0000D5C10000}"/>
    <cellStyle name="Normal 14 4 4 2 3 5" xfId="32692" xr:uid="{00000000-0005-0000-0000-0000D6C10000}"/>
    <cellStyle name="Normal 14 4 4 2 4" xfId="4659" xr:uid="{00000000-0005-0000-0000-0000D7C10000}"/>
    <cellStyle name="Normal 14 4 4 2 4 2" xfId="11931" xr:uid="{00000000-0005-0000-0000-0000D8C10000}"/>
    <cellStyle name="Normal 14 4 4 2 4 2 2" xfId="26465" xr:uid="{00000000-0005-0000-0000-0000D9C10000}"/>
    <cellStyle name="Normal 14 4 4 2 4 2 2 2" xfId="55471" xr:uid="{00000000-0005-0000-0000-0000DAC10000}"/>
    <cellStyle name="Normal 14 4 4 2 4 2 3" xfId="40972" xr:uid="{00000000-0005-0000-0000-0000DBC10000}"/>
    <cellStyle name="Normal 14 4 4 2 4 3" xfId="19217" xr:uid="{00000000-0005-0000-0000-0000DCC10000}"/>
    <cellStyle name="Normal 14 4 4 2 4 3 2" xfId="48223" xr:uid="{00000000-0005-0000-0000-0000DDC10000}"/>
    <cellStyle name="Normal 14 4 4 2 4 4" xfId="33724" xr:uid="{00000000-0005-0000-0000-0000DEC10000}"/>
    <cellStyle name="Normal 14 4 4 2 5" xfId="7763" xr:uid="{00000000-0005-0000-0000-0000DFC10000}"/>
    <cellStyle name="Normal 14 4 4 2 5 2" xfId="15035" xr:uid="{00000000-0005-0000-0000-0000E0C10000}"/>
    <cellStyle name="Normal 14 4 4 2 5 2 2" xfId="29569" xr:uid="{00000000-0005-0000-0000-0000E1C10000}"/>
    <cellStyle name="Normal 14 4 4 2 5 2 2 2" xfId="58575" xr:uid="{00000000-0005-0000-0000-0000E2C10000}"/>
    <cellStyle name="Normal 14 4 4 2 5 2 3" xfId="44076" xr:uid="{00000000-0005-0000-0000-0000E3C10000}"/>
    <cellStyle name="Normal 14 4 4 2 5 3" xfId="22321" xr:uid="{00000000-0005-0000-0000-0000E4C10000}"/>
    <cellStyle name="Normal 14 4 4 2 5 3 2" xfId="51327" xr:uid="{00000000-0005-0000-0000-0000E5C10000}"/>
    <cellStyle name="Normal 14 4 4 2 5 4" xfId="36828" xr:uid="{00000000-0005-0000-0000-0000E6C10000}"/>
    <cellStyle name="Normal 14 4 4 2 6" xfId="8827" xr:uid="{00000000-0005-0000-0000-0000E7C10000}"/>
    <cellStyle name="Normal 14 4 4 2 6 2" xfId="23361" xr:uid="{00000000-0005-0000-0000-0000E8C10000}"/>
    <cellStyle name="Normal 14 4 4 2 6 2 2" xfId="52367" xr:uid="{00000000-0005-0000-0000-0000E9C10000}"/>
    <cellStyle name="Normal 14 4 4 2 6 3" xfId="37868" xr:uid="{00000000-0005-0000-0000-0000EAC10000}"/>
    <cellStyle name="Normal 14 4 4 2 7" xfId="16113" xr:uid="{00000000-0005-0000-0000-0000EBC10000}"/>
    <cellStyle name="Normal 14 4 4 2 7 2" xfId="45119" xr:uid="{00000000-0005-0000-0000-0000ECC10000}"/>
    <cellStyle name="Normal 14 4 4 2 8" xfId="30620" xr:uid="{00000000-0005-0000-0000-0000EDC10000}"/>
    <cellStyle name="Normal 14 4 4 3" xfId="2083" xr:uid="{00000000-0005-0000-0000-0000EEC10000}"/>
    <cellStyle name="Normal 14 4 4 3 2" xfId="5187" xr:uid="{00000000-0005-0000-0000-0000EFC10000}"/>
    <cellStyle name="Normal 14 4 4 3 2 2" xfId="12459" xr:uid="{00000000-0005-0000-0000-0000F0C10000}"/>
    <cellStyle name="Normal 14 4 4 3 2 2 2" xfId="26993" xr:uid="{00000000-0005-0000-0000-0000F1C10000}"/>
    <cellStyle name="Normal 14 4 4 3 2 2 2 2" xfId="55999" xr:uid="{00000000-0005-0000-0000-0000F2C10000}"/>
    <cellStyle name="Normal 14 4 4 3 2 2 3" xfId="41500" xr:uid="{00000000-0005-0000-0000-0000F3C10000}"/>
    <cellStyle name="Normal 14 4 4 3 2 3" xfId="19745" xr:uid="{00000000-0005-0000-0000-0000F4C10000}"/>
    <cellStyle name="Normal 14 4 4 3 2 3 2" xfId="48751" xr:uid="{00000000-0005-0000-0000-0000F5C10000}"/>
    <cellStyle name="Normal 14 4 4 3 2 4" xfId="34252" xr:uid="{00000000-0005-0000-0000-0000F6C10000}"/>
    <cellStyle name="Normal 14 4 4 3 3" xfId="9355" xr:uid="{00000000-0005-0000-0000-0000F7C10000}"/>
    <cellStyle name="Normal 14 4 4 3 3 2" xfId="23889" xr:uid="{00000000-0005-0000-0000-0000F8C10000}"/>
    <cellStyle name="Normal 14 4 4 3 3 2 2" xfId="52895" xr:uid="{00000000-0005-0000-0000-0000F9C10000}"/>
    <cellStyle name="Normal 14 4 4 3 3 3" xfId="38396" xr:uid="{00000000-0005-0000-0000-0000FAC10000}"/>
    <cellStyle name="Normal 14 4 4 3 4" xfId="16641" xr:uid="{00000000-0005-0000-0000-0000FBC10000}"/>
    <cellStyle name="Normal 14 4 4 3 4 2" xfId="45647" xr:uid="{00000000-0005-0000-0000-0000FCC10000}"/>
    <cellStyle name="Normal 14 4 4 3 5" xfId="31148" xr:uid="{00000000-0005-0000-0000-0000FDC10000}"/>
    <cellStyle name="Normal 14 4 4 4" xfId="3115" xr:uid="{00000000-0005-0000-0000-0000FEC10000}"/>
    <cellStyle name="Normal 14 4 4 4 2" xfId="6219" xr:uid="{00000000-0005-0000-0000-0000FFC10000}"/>
    <cellStyle name="Normal 14 4 4 4 2 2" xfId="13491" xr:uid="{00000000-0005-0000-0000-000000C20000}"/>
    <cellStyle name="Normal 14 4 4 4 2 2 2" xfId="28025" xr:uid="{00000000-0005-0000-0000-000001C20000}"/>
    <cellStyle name="Normal 14 4 4 4 2 2 2 2" xfId="57031" xr:uid="{00000000-0005-0000-0000-000002C20000}"/>
    <cellStyle name="Normal 14 4 4 4 2 2 3" xfId="42532" xr:uid="{00000000-0005-0000-0000-000003C20000}"/>
    <cellStyle name="Normal 14 4 4 4 2 3" xfId="20777" xr:uid="{00000000-0005-0000-0000-000004C20000}"/>
    <cellStyle name="Normal 14 4 4 4 2 3 2" xfId="49783" xr:uid="{00000000-0005-0000-0000-000005C20000}"/>
    <cellStyle name="Normal 14 4 4 4 2 4" xfId="35284" xr:uid="{00000000-0005-0000-0000-000006C20000}"/>
    <cellStyle name="Normal 14 4 4 4 3" xfId="10387" xr:uid="{00000000-0005-0000-0000-000007C20000}"/>
    <cellStyle name="Normal 14 4 4 4 3 2" xfId="24921" xr:uid="{00000000-0005-0000-0000-000008C20000}"/>
    <cellStyle name="Normal 14 4 4 4 3 2 2" xfId="53927" xr:uid="{00000000-0005-0000-0000-000009C20000}"/>
    <cellStyle name="Normal 14 4 4 4 3 3" xfId="39428" xr:uid="{00000000-0005-0000-0000-00000AC20000}"/>
    <cellStyle name="Normal 14 4 4 4 4" xfId="17673" xr:uid="{00000000-0005-0000-0000-00000BC20000}"/>
    <cellStyle name="Normal 14 4 4 4 4 2" xfId="46679" xr:uid="{00000000-0005-0000-0000-00000CC20000}"/>
    <cellStyle name="Normal 14 4 4 4 5" xfId="32180" xr:uid="{00000000-0005-0000-0000-00000DC20000}"/>
    <cellStyle name="Normal 14 4 4 5" xfId="4147" xr:uid="{00000000-0005-0000-0000-00000EC20000}"/>
    <cellStyle name="Normal 14 4 4 5 2" xfId="11419" xr:uid="{00000000-0005-0000-0000-00000FC20000}"/>
    <cellStyle name="Normal 14 4 4 5 2 2" xfId="25953" xr:uid="{00000000-0005-0000-0000-000010C20000}"/>
    <cellStyle name="Normal 14 4 4 5 2 2 2" xfId="54959" xr:uid="{00000000-0005-0000-0000-000011C20000}"/>
    <cellStyle name="Normal 14 4 4 5 2 3" xfId="40460" xr:uid="{00000000-0005-0000-0000-000012C20000}"/>
    <cellStyle name="Normal 14 4 4 5 3" xfId="18705" xr:uid="{00000000-0005-0000-0000-000013C20000}"/>
    <cellStyle name="Normal 14 4 4 5 3 2" xfId="47711" xr:uid="{00000000-0005-0000-0000-000014C20000}"/>
    <cellStyle name="Normal 14 4 4 5 4" xfId="33212" xr:uid="{00000000-0005-0000-0000-000015C20000}"/>
    <cellStyle name="Normal 14 4 4 6" xfId="7251" xr:uid="{00000000-0005-0000-0000-000016C20000}"/>
    <cellStyle name="Normal 14 4 4 6 2" xfId="14523" xr:uid="{00000000-0005-0000-0000-000017C20000}"/>
    <cellStyle name="Normal 14 4 4 6 2 2" xfId="29057" xr:uid="{00000000-0005-0000-0000-000018C20000}"/>
    <cellStyle name="Normal 14 4 4 6 2 2 2" xfId="58063" xr:uid="{00000000-0005-0000-0000-000019C20000}"/>
    <cellStyle name="Normal 14 4 4 6 2 3" xfId="43564" xr:uid="{00000000-0005-0000-0000-00001AC20000}"/>
    <cellStyle name="Normal 14 4 4 6 3" xfId="21809" xr:uid="{00000000-0005-0000-0000-00001BC20000}"/>
    <cellStyle name="Normal 14 4 4 6 3 2" xfId="50815" xr:uid="{00000000-0005-0000-0000-00001CC20000}"/>
    <cellStyle name="Normal 14 4 4 6 4" xfId="36316" xr:uid="{00000000-0005-0000-0000-00001DC20000}"/>
    <cellStyle name="Normal 14 4 4 7" xfId="8315" xr:uid="{00000000-0005-0000-0000-00001EC20000}"/>
    <cellStyle name="Normal 14 4 4 7 2" xfId="22849" xr:uid="{00000000-0005-0000-0000-00001FC20000}"/>
    <cellStyle name="Normal 14 4 4 7 2 2" xfId="51855" xr:uid="{00000000-0005-0000-0000-000020C20000}"/>
    <cellStyle name="Normal 14 4 4 7 3" xfId="37356" xr:uid="{00000000-0005-0000-0000-000021C20000}"/>
    <cellStyle name="Normal 14 4 4 8" xfId="15601" xr:uid="{00000000-0005-0000-0000-000022C20000}"/>
    <cellStyle name="Normal 14 4 4 8 2" xfId="44607" xr:uid="{00000000-0005-0000-0000-000023C20000}"/>
    <cellStyle name="Normal 14 4 4 9" xfId="30108" xr:uid="{00000000-0005-0000-0000-000024C20000}"/>
    <cellStyle name="Normal 14 4 5" xfId="1332" xr:uid="{00000000-0005-0000-0000-000025C20000}"/>
    <cellStyle name="Normal 14 4 5 2" xfId="2389" xr:uid="{00000000-0005-0000-0000-000026C20000}"/>
    <cellStyle name="Normal 14 4 5 2 2" xfId="5493" xr:uid="{00000000-0005-0000-0000-000027C20000}"/>
    <cellStyle name="Normal 14 4 5 2 2 2" xfId="12765" xr:uid="{00000000-0005-0000-0000-000028C20000}"/>
    <cellStyle name="Normal 14 4 5 2 2 2 2" xfId="27299" xr:uid="{00000000-0005-0000-0000-000029C20000}"/>
    <cellStyle name="Normal 14 4 5 2 2 2 2 2" xfId="56305" xr:uid="{00000000-0005-0000-0000-00002AC20000}"/>
    <cellStyle name="Normal 14 4 5 2 2 2 3" xfId="41806" xr:uid="{00000000-0005-0000-0000-00002BC20000}"/>
    <cellStyle name="Normal 14 4 5 2 2 3" xfId="20051" xr:uid="{00000000-0005-0000-0000-00002CC20000}"/>
    <cellStyle name="Normal 14 4 5 2 2 3 2" xfId="49057" xr:uid="{00000000-0005-0000-0000-00002DC20000}"/>
    <cellStyle name="Normal 14 4 5 2 2 4" xfId="34558" xr:uid="{00000000-0005-0000-0000-00002EC20000}"/>
    <cellStyle name="Normal 14 4 5 2 3" xfId="9661" xr:uid="{00000000-0005-0000-0000-00002FC20000}"/>
    <cellStyle name="Normal 14 4 5 2 3 2" xfId="24195" xr:uid="{00000000-0005-0000-0000-000030C20000}"/>
    <cellStyle name="Normal 14 4 5 2 3 2 2" xfId="53201" xr:uid="{00000000-0005-0000-0000-000031C20000}"/>
    <cellStyle name="Normal 14 4 5 2 3 3" xfId="38702" xr:uid="{00000000-0005-0000-0000-000032C20000}"/>
    <cellStyle name="Normal 14 4 5 2 4" xfId="16947" xr:uid="{00000000-0005-0000-0000-000033C20000}"/>
    <cellStyle name="Normal 14 4 5 2 4 2" xfId="45953" xr:uid="{00000000-0005-0000-0000-000034C20000}"/>
    <cellStyle name="Normal 14 4 5 2 5" xfId="31454" xr:uid="{00000000-0005-0000-0000-000035C20000}"/>
    <cellStyle name="Normal 14 4 5 3" xfId="3421" xr:uid="{00000000-0005-0000-0000-000036C20000}"/>
    <cellStyle name="Normal 14 4 5 3 2" xfId="6525" xr:uid="{00000000-0005-0000-0000-000037C20000}"/>
    <cellStyle name="Normal 14 4 5 3 2 2" xfId="13797" xr:uid="{00000000-0005-0000-0000-000038C20000}"/>
    <cellStyle name="Normal 14 4 5 3 2 2 2" xfId="28331" xr:uid="{00000000-0005-0000-0000-000039C20000}"/>
    <cellStyle name="Normal 14 4 5 3 2 2 2 2" xfId="57337" xr:uid="{00000000-0005-0000-0000-00003AC20000}"/>
    <cellStyle name="Normal 14 4 5 3 2 2 3" xfId="42838" xr:uid="{00000000-0005-0000-0000-00003BC20000}"/>
    <cellStyle name="Normal 14 4 5 3 2 3" xfId="21083" xr:uid="{00000000-0005-0000-0000-00003CC20000}"/>
    <cellStyle name="Normal 14 4 5 3 2 3 2" xfId="50089" xr:uid="{00000000-0005-0000-0000-00003DC20000}"/>
    <cellStyle name="Normal 14 4 5 3 2 4" xfId="35590" xr:uid="{00000000-0005-0000-0000-00003EC20000}"/>
    <cellStyle name="Normal 14 4 5 3 3" xfId="10693" xr:uid="{00000000-0005-0000-0000-00003FC20000}"/>
    <cellStyle name="Normal 14 4 5 3 3 2" xfId="25227" xr:uid="{00000000-0005-0000-0000-000040C20000}"/>
    <cellStyle name="Normal 14 4 5 3 3 2 2" xfId="54233" xr:uid="{00000000-0005-0000-0000-000041C20000}"/>
    <cellStyle name="Normal 14 4 5 3 3 3" xfId="39734" xr:uid="{00000000-0005-0000-0000-000042C20000}"/>
    <cellStyle name="Normal 14 4 5 3 4" xfId="17979" xr:uid="{00000000-0005-0000-0000-000043C20000}"/>
    <cellStyle name="Normal 14 4 5 3 4 2" xfId="46985" xr:uid="{00000000-0005-0000-0000-000044C20000}"/>
    <cellStyle name="Normal 14 4 5 3 5" xfId="32486" xr:uid="{00000000-0005-0000-0000-000045C20000}"/>
    <cellStyle name="Normal 14 4 5 4" xfId="4453" xr:uid="{00000000-0005-0000-0000-000046C20000}"/>
    <cellStyle name="Normal 14 4 5 4 2" xfId="11725" xr:uid="{00000000-0005-0000-0000-000047C20000}"/>
    <cellStyle name="Normal 14 4 5 4 2 2" xfId="26259" xr:uid="{00000000-0005-0000-0000-000048C20000}"/>
    <cellStyle name="Normal 14 4 5 4 2 2 2" xfId="55265" xr:uid="{00000000-0005-0000-0000-000049C20000}"/>
    <cellStyle name="Normal 14 4 5 4 2 3" xfId="40766" xr:uid="{00000000-0005-0000-0000-00004AC20000}"/>
    <cellStyle name="Normal 14 4 5 4 3" xfId="19011" xr:uid="{00000000-0005-0000-0000-00004BC20000}"/>
    <cellStyle name="Normal 14 4 5 4 3 2" xfId="48017" xr:uid="{00000000-0005-0000-0000-00004CC20000}"/>
    <cellStyle name="Normal 14 4 5 4 4" xfId="33518" xr:uid="{00000000-0005-0000-0000-00004DC20000}"/>
    <cellStyle name="Normal 14 4 5 5" xfId="7557" xr:uid="{00000000-0005-0000-0000-00004EC20000}"/>
    <cellStyle name="Normal 14 4 5 5 2" xfId="14829" xr:uid="{00000000-0005-0000-0000-00004FC20000}"/>
    <cellStyle name="Normal 14 4 5 5 2 2" xfId="29363" xr:uid="{00000000-0005-0000-0000-000050C20000}"/>
    <cellStyle name="Normal 14 4 5 5 2 2 2" xfId="58369" xr:uid="{00000000-0005-0000-0000-000051C20000}"/>
    <cellStyle name="Normal 14 4 5 5 2 3" xfId="43870" xr:uid="{00000000-0005-0000-0000-000052C20000}"/>
    <cellStyle name="Normal 14 4 5 5 3" xfId="22115" xr:uid="{00000000-0005-0000-0000-000053C20000}"/>
    <cellStyle name="Normal 14 4 5 5 3 2" xfId="51121" xr:uid="{00000000-0005-0000-0000-000054C20000}"/>
    <cellStyle name="Normal 14 4 5 5 4" xfId="36622" xr:uid="{00000000-0005-0000-0000-000055C20000}"/>
    <cellStyle name="Normal 14 4 5 6" xfId="8621" xr:uid="{00000000-0005-0000-0000-000056C20000}"/>
    <cellStyle name="Normal 14 4 5 6 2" xfId="23155" xr:uid="{00000000-0005-0000-0000-000057C20000}"/>
    <cellStyle name="Normal 14 4 5 6 2 2" xfId="52161" xr:uid="{00000000-0005-0000-0000-000058C20000}"/>
    <cellStyle name="Normal 14 4 5 6 3" xfId="37662" xr:uid="{00000000-0005-0000-0000-000059C20000}"/>
    <cellStyle name="Normal 14 4 5 7" xfId="15907" xr:uid="{00000000-0005-0000-0000-00005AC20000}"/>
    <cellStyle name="Normal 14 4 5 7 2" xfId="44913" xr:uid="{00000000-0005-0000-0000-00005BC20000}"/>
    <cellStyle name="Normal 14 4 5 8" xfId="30414" xr:uid="{00000000-0005-0000-0000-00005CC20000}"/>
    <cellStyle name="Normal 14 4 6" xfId="1877" xr:uid="{00000000-0005-0000-0000-00005DC20000}"/>
    <cellStyle name="Normal 14 4 6 2" xfId="4981" xr:uid="{00000000-0005-0000-0000-00005EC20000}"/>
    <cellStyle name="Normal 14 4 6 2 2" xfId="12253" xr:uid="{00000000-0005-0000-0000-00005FC20000}"/>
    <cellStyle name="Normal 14 4 6 2 2 2" xfId="26787" xr:uid="{00000000-0005-0000-0000-000060C20000}"/>
    <cellStyle name="Normal 14 4 6 2 2 2 2" xfId="55793" xr:uid="{00000000-0005-0000-0000-000061C20000}"/>
    <cellStyle name="Normal 14 4 6 2 2 3" xfId="41294" xr:uid="{00000000-0005-0000-0000-000062C20000}"/>
    <cellStyle name="Normal 14 4 6 2 3" xfId="19539" xr:uid="{00000000-0005-0000-0000-000063C20000}"/>
    <cellStyle name="Normal 14 4 6 2 3 2" xfId="48545" xr:uid="{00000000-0005-0000-0000-000064C20000}"/>
    <cellStyle name="Normal 14 4 6 2 4" xfId="34046" xr:uid="{00000000-0005-0000-0000-000065C20000}"/>
    <cellStyle name="Normal 14 4 6 3" xfId="9149" xr:uid="{00000000-0005-0000-0000-000066C20000}"/>
    <cellStyle name="Normal 14 4 6 3 2" xfId="23683" xr:uid="{00000000-0005-0000-0000-000067C20000}"/>
    <cellStyle name="Normal 14 4 6 3 2 2" xfId="52689" xr:uid="{00000000-0005-0000-0000-000068C20000}"/>
    <cellStyle name="Normal 14 4 6 3 3" xfId="38190" xr:uid="{00000000-0005-0000-0000-000069C20000}"/>
    <cellStyle name="Normal 14 4 6 4" xfId="16435" xr:uid="{00000000-0005-0000-0000-00006AC20000}"/>
    <cellStyle name="Normal 14 4 6 4 2" xfId="45441" xr:uid="{00000000-0005-0000-0000-00006BC20000}"/>
    <cellStyle name="Normal 14 4 6 5" xfId="30942" xr:uid="{00000000-0005-0000-0000-00006CC20000}"/>
    <cellStyle name="Normal 14 4 7" xfId="2909" xr:uid="{00000000-0005-0000-0000-00006DC20000}"/>
    <cellStyle name="Normal 14 4 7 2" xfId="6013" xr:uid="{00000000-0005-0000-0000-00006EC20000}"/>
    <cellStyle name="Normal 14 4 7 2 2" xfId="13285" xr:uid="{00000000-0005-0000-0000-00006FC20000}"/>
    <cellStyle name="Normal 14 4 7 2 2 2" xfId="27819" xr:uid="{00000000-0005-0000-0000-000070C20000}"/>
    <cellStyle name="Normal 14 4 7 2 2 2 2" xfId="56825" xr:uid="{00000000-0005-0000-0000-000071C20000}"/>
    <cellStyle name="Normal 14 4 7 2 2 3" xfId="42326" xr:uid="{00000000-0005-0000-0000-000072C20000}"/>
    <cellStyle name="Normal 14 4 7 2 3" xfId="20571" xr:uid="{00000000-0005-0000-0000-000073C20000}"/>
    <cellStyle name="Normal 14 4 7 2 3 2" xfId="49577" xr:uid="{00000000-0005-0000-0000-000074C20000}"/>
    <cellStyle name="Normal 14 4 7 2 4" xfId="35078" xr:uid="{00000000-0005-0000-0000-000075C20000}"/>
    <cellStyle name="Normal 14 4 7 3" xfId="10181" xr:uid="{00000000-0005-0000-0000-000076C20000}"/>
    <cellStyle name="Normal 14 4 7 3 2" xfId="24715" xr:uid="{00000000-0005-0000-0000-000077C20000}"/>
    <cellStyle name="Normal 14 4 7 3 2 2" xfId="53721" xr:uid="{00000000-0005-0000-0000-000078C20000}"/>
    <cellStyle name="Normal 14 4 7 3 3" xfId="39222" xr:uid="{00000000-0005-0000-0000-000079C20000}"/>
    <cellStyle name="Normal 14 4 7 4" xfId="17467" xr:uid="{00000000-0005-0000-0000-00007AC20000}"/>
    <cellStyle name="Normal 14 4 7 4 2" xfId="46473" xr:uid="{00000000-0005-0000-0000-00007BC20000}"/>
    <cellStyle name="Normal 14 4 7 5" xfId="31974" xr:uid="{00000000-0005-0000-0000-00007CC20000}"/>
    <cellStyle name="Normal 14 4 8" xfId="3941" xr:uid="{00000000-0005-0000-0000-00007DC20000}"/>
    <cellStyle name="Normal 14 4 8 2" xfId="11213" xr:uid="{00000000-0005-0000-0000-00007EC20000}"/>
    <cellStyle name="Normal 14 4 8 2 2" xfId="25747" xr:uid="{00000000-0005-0000-0000-00007FC20000}"/>
    <cellStyle name="Normal 14 4 8 2 2 2" xfId="54753" xr:uid="{00000000-0005-0000-0000-000080C20000}"/>
    <cellStyle name="Normal 14 4 8 2 3" xfId="40254" xr:uid="{00000000-0005-0000-0000-000081C20000}"/>
    <cellStyle name="Normal 14 4 8 3" xfId="18499" xr:uid="{00000000-0005-0000-0000-000082C20000}"/>
    <cellStyle name="Normal 14 4 8 3 2" xfId="47505" xr:uid="{00000000-0005-0000-0000-000083C20000}"/>
    <cellStyle name="Normal 14 4 8 4" xfId="33006" xr:uid="{00000000-0005-0000-0000-000084C20000}"/>
    <cellStyle name="Normal 14 4 9" xfId="7045" xr:uid="{00000000-0005-0000-0000-000085C20000}"/>
    <cellStyle name="Normal 14 4 9 2" xfId="14317" xr:uid="{00000000-0005-0000-0000-000086C20000}"/>
    <cellStyle name="Normal 14 4 9 2 2" xfId="28851" xr:uid="{00000000-0005-0000-0000-000087C20000}"/>
    <cellStyle name="Normal 14 4 9 2 2 2" xfId="57857" xr:uid="{00000000-0005-0000-0000-000088C20000}"/>
    <cellStyle name="Normal 14 4 9 2 3" xfId="43358" xr:uid="{00000000-0005-0000-0000-000089C20000}"/>
    <cellStyle name="Normal 14 4 9 3" xfId="21603" xr:uid="{00000000-0005-0000-0000-00008AC20000}"/>
    <cellStyle name="Normal 14 4 9 3 2" xfId="50609" xr:uid="{00000000-0005-0000-0000-00008BC20000}"/>
    <cellStyle name="Normal 14 4 9 4" xfId="36110" xr:uid="{00000000-0005-0000-0000-00008CC20000}"/>
    <cellStyle name="Normal 14 5" xfId="917" xr:uid="{00000000-0005-0000-0000-00008DC20000}"/>
    <cellStyle name="Normal 14 5 10" xfId="29953" xr:uid="{00000000-0005-0000-0000-00008EC20000}"/>
    <cellStyle name="Normal 14 5 2" xfId="1185" xr:uid="{00000000-0005-0000-0000-00008FC20000}"/>
    <cellStyle name="Normal 14 5 2 2" xfId="1687" xr:uid="{00000000-0005-0000-0000-000090C20000}"/>
    <cellStyle name="Normal 14 5 2 2 2" xfId="2746" xr:uid="{00000000-0005-0000-0000-000091C20000}"/>
    <cellStyle name="Normal 14 5 2 2 2 2" xfId="5850" xr:uid="{00000000-0005-0000-0000-000092C20000}"/>
    <cellStyle name="Normal 14 5 2 2 2 2 2" xfId="13122" xr:uid="{00000000-0005-0000-0000-000093C20000}"/>
    <cellStyle name="Normal 14 5 2 2 2 2 2 2" xfId="27656" xr:uid="{00000000-0005-0000-0000-000094C20000}"/>
    <cellStyle name="Normal 14 5 2 2 2 2 2 2 2" xfId="56662" xr:uid="{00000000-0005-0000-0000-000095C20000}"/>
    <cellStyle name="Normal 14 5 2 2 2 2 2 3" xfId="42163" xr:uid="{00000000-0005-0000-0000-000096C20000}"/>
    <cellStyle name="Normal 14 5 2 2 2 2 3" xfId="20408" xr:uid="{00000000-0005-0000-0000-000097C20000}"/>
    <cellStyle name="Normal 14 5 2 2 2 2 3 2" xfId="49414" xr:uid="{00000000-0005-0000-0000-000098C20000}"/>
    <cellStyle name="Normal 14 5 2 2 2 2 4" xfId="34915" xr:uid="{00000000-0005-0000-0000-000099C20000}"/>
    <cellStyle name="Normal 14 5 2 2 2 3" xfId="10018" xr:uid="{00000000-0005-0000-0000-00009AC20000}"/>
    <cellStyle name="Normal 14 5 2 2 2 3 2" xfId="24552" xr:uid="{00000000-0005-0000-0000-00009BC20000}"/>
    <cellStyle name="Normal 14 5 2 2 2 3 2 2" xfId="53558" xr:uid="{00000000-0005-0000-0000-00009CC20000}"/>
    <cellStyle name="Normal 14 5 2 2 2 3 3" xfId="39059" xr:uid="{00000000-0005-0000-0000-00009DC20000}"/>
    <cellStyle name="Normal 14 5 2 2 2 4" xfId="17304" xr:uid="{00000000-0005-0000-0000-00009EC20000}"/>
    <cellStyle name="Normal 14 5 2 2 2 4 2" xfId="46310" xr:uid="{00000000-0005-0000-0000-00009FC20000}"/>
    <cellStyle name="Normal 14 5 2 2 2 5" xfId="31811" xr:uid="{00000000-0005-0000-0000-0000A0C20000}"/>
    <cellStyle name="Normal 14 5 2 2 3" xfId="3778" xr:uid="{00000000-0005-0000-0000-0000A1C20000}"/>
    <cellStyle name="Normal 14 5 2 2 3 2" xfId="6882" xr:uid="{00000000-0005-0000-0000-0000A2C20000}"/>
    <cellStyle name="Normal 14 5 2 2 3 2 2" xfId="14154" xr:uid="{00000000-0005-0000-0000-0000A3C20000}"/>
    <cellStyle name="Normal 14 5 2 2 3 2 2 2" xfId="28688" xr:uid="{00000000-0005-0000-0000-0000A4C20000}"/>
    <cellStyle name="Normal 14 5 2 2 3 2 2 2 2" xfId="57694" xr:uid="{00000000-0005-0000-0000-0000A5C20000}"/>
    <cellStyle name="Normal 14 5 2 2 3 2 2 3" xfId="43195" xr:uid="{00000000-0005-0000-0000-0000A6C20000}"/>
    <cellStyle name="Normal 14 5 2 2 3 2 3" xfId="21440" xr:uid="{00000000-0005-0000-0000-0000A7C20000}"/>
    <cellStyle name="Normal 14 5 2 2 3 2 3 2" xfId="50446" xr:uid="{00000000-0005-0000-0000-0000A8C20000}"/>
    <cellStyle name="Normal 14 5 2 2 3 2 4" xfId="35947" xr:uid="{00000000-0005-0000-0000-0000A9C20000}"/>
    <cellStyle name="Normal 14 5 2 2 3 3" xfId="11050" xr:uid="{00000000-0005-0000-0000-0000AAC20000}"/>
    <cellStyle name="Normal 14 5 2 2 3 3 2" xfId="25584" xr:uid="{00000000-0005-0000-0000-0000ABC20000}"/>
    <cellStyle name="Normal 14 5 2 2 3 3 2 2" xfId="54590" xr:uid="{00000000-0005-0000-0000-0000ACC20000}"/>
    <cellStyle name="Normal 14 5 2 2 3 3 3" xfId="40091" xr:uid="{00000000-0005-0000-0000-0000ADC20000}"/>
    <cellStyle name="Normal 14 5 2 2 3 4" xfId="18336" xr:uid="{00000000-0005-0000-0000-0000AEC20000}"/>
    <cellStyle name="Normal 14 5 2 2 3 4 2" xfId="47342" xr:uid="{00000000-0005-0000-0000-0000AFC20000}"/>
    <cellStyle name="Normal 14 5 2 2 3 5" xfId="32843" xr:uid="{00000000-0005-0000-0000-0000B0C20000}"/>
    <cellStyle name="Normal 14 5 2 2 4" xfId="4810" xr:uid="{00000000-0005-0000-0000-0000B1C20000}"/>
    <cellStyle name="Normal 14 5 2 2 4 2" xfId="12082" xr:uid="{00000000-0005-0000-0000-0000B2C20000}"/>
    <cellStyle name="Normal 14 5 2 2 4 2 2" xfId="26616" xr:uid="{00000000-0005-0000-0000-0000B3C20000}"/>
    <cellStyle name="Normal 14 5 2 2 4 2 2 2" xfId="55622" xr:uid="{00000000-0005-0000-0000-0000B4C20000}"/>
    <cellStyle name="Normal 14 5 2 2 4 2 3" xfId="41123" xr:uid="{00000000-0005-0000-0000-0000B5C20000}"/>
    <cellStyle name="Normal 14 5 2 2 4 3" xfId="19368" xr:uid="{00000000-0005-0000-0000-0000B6C20000}"/>
    <cellStyle name="Normal 14 5 2 2 4 3 2" xfId="48374" xr:uid="{00000000-0005-0000-0000-0000B7C20000}"/>
    <cellStyle name="Normal 14 5 2 2 4 4" xfId="33875" xr:uid="{00000000-0005-0000-0000-0000B8C20000}"/>
    <cellStyle name="Normal 14 5 2 2 5" xfId="7914" xr:uid="{00000000-0005-0000-0000-0000B9C20000}"/>
    <cellStyle name="Normal 14 5 2 2 5 2" xfId="15186" xr:uid="{00000000-0005-0000-0000-0000BAC20000}"/>
    <cellStyle name="Normal 14 5 2 2 5 2 2" xfId="29720" xr:uid="{00000000-0005-0000-0000-0000BBC20000}"/>
    <cellStyle name="Normal 14 5 2 2 5 2 2 2" xfId="58726" xr:uid="{00000000-0005-0000-0000-0000BCC20000}"/>
    <cellStyle name="Normal 14 5 2 2 5 2 3" xfId="44227" xr:uid="{00000000-0005-0000-0000-0000BDC20000}"/>
    <cellStyle name="Normal 14 5 2 2 5 3" xfId="22472" xr:uid="{00000000-0005-0000-0000-0000BEC20000}"/>
    <cellStyle name="Normal 14 5 2 2 5 3 2" xfId="51478" xr:uid="{00000000-0005-0000-0000-0000BFC20000}"/>
    <cellStyle name="Normal 14 5 2 2 5 4" xfId="36979" xr:uid="{00000000-0005-0000-0000-0000C0C20000}"/>
    <cellStyle name="Normal 14 5 2 2 6" xfId="8978" xr:uid="{00000000-0005-0000-0000-0000C1C20000}"/>
    <cellStyle name="Normal 14 5 2 2 6 2" xfId="23512" xr:uid="{00000000-0005-0000-0000-0000C2C20000}"/>
    <cellStyle name="Normal 14 5 2 2 6 2 2" xfId="52518" xr:uid="{00000000-0005-0000-0000-0000C3C20000}"/>
    <cellStyle name="Normal 14 5 2 2 6 3" xfId="38019" xr:uid="{00000000-0005-0000-0000-0000C4C20000}"/>
    <cellStyle name="Normal 14 5 2 2 7" xfId="16264" xr:uid="{00000000-0005-0000-0000-0000C5C20000}"/>
    <cellStyle name="Normal 14 5 2 2 7 2" xfId="45270" xr:uid="{00000000-0005-0000-0000-0000C6C20000}"/>
    <cellStyle name="Normal 14 5 2 2 8" xfId="30771" xr:uid="{00000000-0005-0000-0000-0000C7C20000}"/>
    <cellStyle name="Normal 14 5 2 3" xfId="2234" xr:uid="{00000000-0005-0000-0000-0000C8C20000}"/>
    <cellStyle name="Normal 14 5 2 3 2" xfId="5338" xr:uid="{00000000-0005-0000-0000-0000C9C20000}"/>
    <cellStyle name="Normal 14 5 2 3 2 2" xfId="12610" xr:uid="{00000000-0005-0000-0000-0000CAC20000}"/>
    <cellStyle name="Normal 14 5 2 3 2 2 2" xfId="27144" xr:uid="{00000000-0005-0000-0000-0000CBC20000}"/>
    <cellStyle name="Normal 14 5 2 3 2 2 2 2" xfId="56150" xr:uid="{00000000-0005-0000-0000-0000CCC20000}"/>
    <cellStyle name="Normal 14 5 2 3 2 2 3" xfId="41651" xr:uid="{00000000-0005-0000-0000-0000CDC20000}"/>
    <cellStyle name="Normal 14 5 2 3 2 3" xfId="19896" xr:uid="{00000000-0005-0000-0000-0000CEC20000}"/>
    <cellStyle name="Normal 14 5 2 3 2 3 2" xfId="48902" xr:uid="{00000000-0005-0000-0000-0000CFC20000}"/>
    <cellStyle name="Normal 14 5 2 3 2 4" xfId="34403" xr:uid="{00000000-0005-0000-0000-0000D0C20000}"/>
    <cellStyle name="Normal 14 5 2 3 3" xfId="9506" xr:uid="{00000000-0005-0000-0000-0000D1C20000}"/>
    <cellStyle name="Normal 14 5 2 3 3 2" xfId="24040" xr:uid="{00000000-0005-0000-0000-0000D2C20000}"/>
    <cellStyle name="Normal 14 5 2 3 3 2 2" xfId="53046" xr:uid="{00000000-0005-0000-0000-0000D3C20000}"/>
    <cellStyle name="Normal 14 5 2 3 3 3" xfId="38547" xr:uid="{00000000-0005-0000-0000-0000D4C20000}"/>
    <cellStyle name="Normal 14 5 2 3 4" xfId="16792" xr:uid="{00000000-0005-0000-0000-0000D5C20000}"/>
    <cellStyle name="Normal 14 5 2 3 4 2" xfId="45798" xr:uid="{00000000-0005-0000-0000-0000D6C20000}"/>
    <cellStyle name="Normal 14 5 2 3 5" xfId="31299" xr:uid="{00000000-0005-0000-0000-0000D7C20000}"/>
    <cellStyle name="Normal 14 5 2 4" xfId="3266" xr:uid="{00000000-0005-0000-0000-0000D8C20000}"/>
    <cellStyle name="Normal 14 5 2 4 2" xfId="6370" xr:uid="{00000000-0005-0000-0000-0000D9C20000}"/>
    <cellStyle name="Normal 14 5 2 4 2 2" xfId="13642" xr:uid="{00000000-0005-0000-0000-0000DAC20000}"/>
    <cellStyle name="Normal 14 5 2 4 2 2 2" xfId="28176" xr:uid="{00000000-0005-0000-0000-0000DBC20000}"/>
    <cellStyle name="Normal 14 5 2 4 2 2 2 2" xfId="57182" xr:uid="{00000000-0005-0000-0000-0000DCC20000}"/>
    <cellStyle name="Normal 14 5 2 4 2 2 3" xfId="42683" xr:uid="{00000000-0005-0000-0000-0000DDC20000}"/>
    <cellStyle name="Normal 14 5 2 4 2 3" xfId="20928" xr:uid="{00000000-0005-0000-0000-0000DEC20000}"/>
    <cellStyle name="Normal 14 5 2 4 2 3 2" xfId="49934" xr:uid="{00000000-0005-0000-0000-0000DFC20000}"/>
    <cellStyle name="Normal 14 5 2 4 2 4" xfId="35435" xr:uid="{00000000-0005-0000-0000-0000E0C20000}"/>
    <cellStyle name="Normal 14 5 2 4 3" xfId="10538" xr:uid="{00000000-0005-0000-0000-0000E1C20000}"/>
    <cellStyle name="Normal 14 5 2 4 3 2" xfId="25072" xr:uid="{00000000-0005-0000-0000-0000E2C20000}"/>
    <cellStyle name="Normal 14 5 2 4 3 2 2" xfId="54078" xr:uid="{00000000-0005-0000-0000-0000E3C20000}"/>
    <cellStyle name="Normal 14 5 2 4 3 3" xfId="39579" xr:uid="{00000000-0005-0000-0000-0000E4C20000}"/>
    <cellStyle name="Normal 14 5 2 4 4" xfId="17824" xr:uid="{00000000-0005-0000-0000-0000E5C20000}"/>
    <cellStyle name="Normal 14 5 2 4 4 2" xfId="46830" xr:uid="{00000000-0005-0000-0000-0000E6C20000}"/>
    <cellStyle name="Normal 14 5 2 4 5" xfId="32331" xr:uid="{00000000-0005-0000-0000-0000E7C20000}"/>
    <cellStyle name="Normal 14 5 2 5" xfId="4298" xr:uid="{00000000-0005-0000-0000-0000E8C20000}"/>
    <cellStyle name="Normal 14 5 2 5 2" xfId="11570" xr:uid="{00000000-0005-0000-0000-0000E9C20000}"/>
    <cellStyle name="Normal 14 5 2 5 2 2" xfId="26104" xr:uid="{00000000-0005-0000-0000-0000EAC20000}"/>
    <cellStyle name="Normal 14 5 2 5 2 2 2" xfId="55110" xr:uid="{00000000-0005-0000-0000-0000EBC20000}"/>
    <cellStyle name="Normal 14 5 2 5 2 3" xfId="40611" xr:uid="{00000000-0005-0000-0000-0000ECC20000}"/>
    <cellStyle name="Normal 14 5 2 5 3" xfId="18856" xr:uid="{00000000-0005-0000-0000-0000EDC20000}"/>
    <cellStyle name="Normal 14 5 2 5 3 2" xfId="47862" xr:uid="{00000000-0005-0000-0000-0000EEC20000}"/>
    <cellStyle name="Normal 14 5 2 5 4" xfId="33363" xr:uid="{00000000-0005-0000-0000-0000EFC20000}"/>
    <cellStyle name="Normal 14 5 2 6" xfId="7402" xr:uid="{00000000-0005-0000-0000-0000F0C20000}"/>
    <cellStyle name="Normal 14 5 2 6 2" xfId="14674" xr:uid="{00000000-0005-0000-0000-0000F1C20000}"/>
    <cellStyle name="Normal 14 5 2 6 2 2" xfId="29208" xr:uid="{00000000-0005-0000-0000-0000F2C20000}"/>
    <cellStyle name="Normal 14 5 2 6 2 2 2" xfId="58214" xr:uid="{00000000-0005-0000-0000-0000F3C20000}"/>
    <cellStyle name="Normal 14 5 2 6 2 3" xfId="43715" xr:uid="{00000000-0005-0000-0000-0000F4C20000}"/>
    <cellStyle name="Normal 14 5 2 6 3" xfId="21960" xr:uid="{00000000-0005-0000-0000-0000F5C20000}"/>
    <cellStyle name="Normal 14 5 2 6 3 2" xfId="50966" xr:uid="{00000000-0005-0000-0000-0000F6C20000}"/>
    <cellStyle name="Normal 14 5 2 6 4" xfId="36467" xr:uid="{00000000-0005-0000-0000-0000F7C20000}"/>
    <cellStyle name="Normal 14 5 2 7" xfId="8466" xr:uid="{00000000-0005-0000-0000-0000F8C20000}"/>
    <cellStyle name="Normal 14 5 2 7 2" xfId="23000" xr:uid="{00000000-0005-0000-0000-0000F9C20000}"/>
    <cellStyle name="Normal 14 5 2 7 2 2" xfId="52006" xr:uid="{00000000-0005-0000-0000-0000FAC20000}"/>
    <cellStyle name="Normal 14 5 2 7 3" xfId="37507" xr:uid="{00000000-0005-0000-0000-0000FBC20000}"/>
    <cellStyle name="Normal 14 5 2 8" xfId="15752" xr:uid="{00000000-0005-0000-0000-0000FCC20000}"/>
    <cellStyle name="Normal 14 5 2 8 2" xfId="44758" xr:uid="{00000000-0005-0000-0000-0000FDC20000}"/>
    <cellStyle name="Normal 14 5 2 9" xfId="30259" xr:uid="{00000000-0005-0000-0000-0000FEC20000}"/>
    <cellStyle name="Normal 14 5 3" xfId="1383" xr:uid="{00000000-0005-0000-0000-0000FFC20000}"/>
    <cellStyle name="Normal 14 5 3 2" xfId="2440" xr:uid="{00000000-0005-0000-0000-000000C30000}"/>
    <cellStyle name="Normal 14 5 3 2 2" xfId="5544" xr:uid="{00000000-0005-0000-0000-000001C30000}"/>
    <cellStyle name="Normal 14 5 3 2 2 2" xfId="12816" xr:uid="{00000000-0005-0000-0000-000002C30000}"/>
    <cellStyle name="Normal 14 5 3 2 2 2 2" xfId="27350" xr:uid="{00000000-0005-0000-0000-000003C30000}"/>
    <cellStyle name="Normal 14 5 3 2 2 2 2 2" xfId="56356" xr:uid="{00000000-0005-0000-0000-000004C30000}"/>
    <cellStyle name="Normal 14 5 3 2 2 2 3" xfId="41857" xr:uid="{00000000-0005-0000-0000-000005C30000}"/>
    <cellStyle name="Normal 14 5 3 2 2 3" xfId="20102" xr:uid="{00000000-0005-0000-0000-000006C30000}"/>
    <cellStyle name="Normal 14 5 3 2 2 3 2" xfId="49108" xr:uid="{00000000-0005-0000-0000-000007C30000}"/>
    <cellStyle name="Normal 14 5 3 2 2 4" xfId="34609" xr:uid="{00000000-0005-0000-0000-000008C30000}"/>
    <cellStyle name="Normal 14 5 3 2 3" xfId="9712" xr:uid="{00000000-0005-0000-0000-000009C30000}"/>
    <cellStyle name="Normal 14 5 3 2 3 2" xfId="24246" xr:uid="{00000000-0005-0000-0000-00000AC30000}"/>
    <cellStyle name="Normal 14 5 3 2 3 2 2" xfId="53252" xr:uid="{00000000-0005-0000-0000-00000BC30000}"/>
    <cellStyle name="Normal 14 5 3 2 3 3" xfId="38753" xr:uid="{00000000-0005-0000-0000-00000CC30000}"/>
    <cellStyle name="Normal 14 5 3 2 4" xfId="16998" xr:uid="{00000000-0005-0000-0000-00000DC30000}"/>
    <cellStyle name="Normal 14 5 3 2 4 2" xfId="46004" xr:uid="{00000000-0005-0000-0000-00000EC30000}"/>
    <cellStyle name="Normal 14 5 3 2 5" xfId="31505" xr:uid="{00000000-0005-0000-0000-00000FC30000}"/>
    <cellStyle name="Normal 14 5 3 3" xfId="3472" xr:uid="{00000000-0005-0000-0000-000010C30000}"/>
    <cellStyle name="Normal 14 5 3 3 2" xfId="6576" xr:uid="{00000000-0005-0000-0000-000011C30000}"/>
    <cellStyle name="Normal 14 5 3 3 2 2" xfId="13848" xr:uid="{00000000-0005-0000-0000-000012C30000}"/>
    <cellStyle name="Normal 14 5 3 3 2 2 2" xfId="28382" xr:uid="{00000000-0005-0000-0000-000013C30000}"/>
    <cellStyle name="Normal 14 5 3 3 2 2 2 2" xfId="57388" xr:uid="{00000000-0005-0000-0000-000014C30000}"/>
    <cellStyle name="Normal 14 5 3 3 2 2 3" xfId="42889" xr:uid="{00000000-0005-0000-0000-000015C30000}"/>
    <cellStyle name="Normal 14 5 3 3 2 3" xfId="21134" xr:uid="{00000000-0005-0000-0000-000016C30000}"/>
    <cellStyle name="Normal 14 5 3 3 2 3 2" xfId="50140" xr:uid="{00000000-0005-0000-0000-000017C30000}"/>
    <cellStyle name="Normal 14 5 3 3 2 4" xfId="35641" xr:uid="{00000000-0005-0000-0000-000018C30000}"/>
    <cellStyle name="Normal 14 5 3 3 3" xfId="10744" xr:uid="{00000000-0005-0000-0000-000019C30000}"/>
    <cellStyle name="Normal 14 5 3 3 3 2" xfId="25278" xr:uid="{00000000-0005-0000-0000-00001AC30000}"/>
    <cellStyle name="Normal 14 5 3 3 3 2 2" xfId="54284" xr:uid="{00000000-0005-0000-0000-00001BC30000}"/>
    <cellStyle name="Normal 14 5 3 3 3 3" xfId="39785" xr:uid="{00000000-0005-0000-0000-00001CC30000}"/>
    <cellStyle name="Normal 14 5 3 3 4" xfId="18030" xr:uid="{00000000-0005-0000-0000-00001DC30000}"/>
    <cellStyle name="Normal 14 5 3 3 4 2" xfId="47036" xr:uid="{00000000-0005-0000-0000-00001EC30000}"/>
    <cellStyle name="Normal 14 5 3 3 5" xfId="32537" xr:uid="{00000000-0005-0000-0000-00001FC30000}"/>
    <cellStyle name="Normal 14 5 3 4" xfId="4504" xr:uid="{00000000-0005-0000-0000-000020C30000}"/>
    <cellStyle name="Normal 14 5 3 4 2" xfId="11776" xr:uid="{00000000-0005-0000-0000-000021C30000}"/>
    <cellStyle name="Normal 14 5 3 4 2 2" xfId="26310" xr:uid="{00000000-0005-0000-0000-000022C30000}"/>
    <cellStyle name="Normal 14 5 3 4 2 2 2" xfId="55316" xr:uid="{00000000-0005-0000-0000-000023C30000}"/>
    <cellStyle name="Normal 14 5 3 4 2 3" xfId="40817" xr:uid="{00000000-0005-0000-0000-000024C30000}"/>
    <cellStyle name="Normal 14 5 3 4 3" xfId="19062" xr:uid="{00000000-0005-0000-0000-000025C30000}"/>
    <cellStyle name="Normal 14 5 3 4 3 2" xfId="48068" xr:uid="{00000000-0005-0000-0000-000026C30000}"/>
    <cellStyle name="Normal 14 5 3 4 4" xfId="33569" xr:uid="{00000000-0005-0000-0000-000027C30000}"/>
    <cellStyle name="Normal 14 5 3 5" xfId="7608" xr:uid="{00000000-0005-0000-0000-000028C30000}"/>
    <cellStyle name="Normal 14 5 3 5 2" xfId="14880" xr:uid="{00000000-0005-0000-0000-000029C30000}"/>
    <cellStyle name="Normal 14 5 3 5 2 2" xfId="29414" xr:uid="{00000000-0005-0000-0000-00002AC30000}"/>
    <cellStyle name="Normal 14 5 3 5 2 2 2" xfId="58420" xr:uid="{00000000-0005-0000-0000-00002BC30000}"/>
    <cellStyle name="Normal 14 5 3 5 2 3" xfId="43921" xr:uid="{00000000-0005-0000-0000-00002CC30000}"/>
    <cellStyle name="Normal 14 5 3 5 3" xfId="22166" xr:uid="{00000000-0005-0000-0000-00002DC30000}"/>
    <cellStyle name="Normal 14 5 3 5 3 2" xfId="51172" xr:uid="{00000000-0005-0000-0000-00002EC30000}"/>
    <cellStyle name="Normal 14 5 3 5 4" xfId="36673" xr:uid="{00000000-0005-0000-0000-00002FC30000}"/>
    <cellStyle name="Normal 14 5 3 6" xfId="8672" xr:uid="{00000000-0005-0000-0000-000030C30000}"/>
    <cellStyle name="Normal 14 5 3 6 2" xfId="23206" xr:uid="{00000000-0005-0000-0000-000031C30000}"/>
    <cellStyle name="Normal 14 5 3 6 2 2" xfId="52212" xr:uid="{00000000-0005-0000-0000-000032C30000}"/>
    <cellStyle name="Normal 14 5 3 6 3" xfId="37713" xr:uid="{00000000-0005-0000-0000-000033C30000}"/>
    <cellStyle name="Normal 14 5 3 7" xfId="15958" xr:uid="{00000000-0005-0000-0000-000034C30000}"/>
    <cellStyle name="Normal 14 5 3 7 2" xfId="44964" xr:uid="{00000000-0005-0000-0000-000035C30000}"/>
    <cellStyle name="Normal 14 5 3 8" xfId="30465" xr:uid="{00000000-0005-0000-0000-000036C30000}"/>
    <cellStyle name="Normal 14 5 4" xfId="1928" xr:uid="{00000000-0005-0000-0000-000037C30000}"/>
    <cellStyle name="Normal 14 5 4 2" xfId="5032" xr:uid="{00000000-0005-0000-0000-000038C30000}"/>
    <cellStyle name="Normal 14 5 4 2 2" xfId="12304" xr:uid="{00000000-0005-0000-0000-000039C30000}"/>
    <cellStyle name="Normal 14 5 4 2 2 2" xfId="26838" xr:uid="{00000000-0005-0000-0000-00003AC30000}"/>
    <cellStyle name="Normal 14 5 4 2 2 2 2" xfId="55844" xr:uid="{00000000-0005-0000-0000-00003BC30000}"/>
    <cellStyle name="Normal 14 5 4 2 2 3" xfId="41345" xr:uid="{00000000-0005-0000-0000-00003CC30000}"/>
    <cellStyle name="Normal 14 5 4 2 3" xfId="19590" xr:uid="{00000000-0005-0000-0000-00003DC30000}"/>
    <cellStyle name="Normal 14 5 4 2 3 2" xfId="48596" xr:uid="{00000000-0005-0000-0000-00003EC30000}"/>
    <cellStyle name="Normal 14 5 4 2 4" xfId="34097" xr:uid="{00000000-0005-0000-0000-00003FC30000}"/>
    <cellStyle name="Normal 14 5 4 3" xfId="9200" xr:uid="{00000000-0005-0000-0000-000040C30000}"/>
    <cellStyle name="Normal 14 5 4 3 2" xfId="23734" xr:uid="{00000000-0005-0000-0000-000041C30000}"/>
    <cellStyle name="Normal 14 5 4 3 2 2" xfId="52740" xr:uid="{00000000-0005-0000-0000-000042C30000}"/>
    <cellStyle name="Normal 14 5 4 3 3" xfId="38241" xr:uid="{00000000-0005-0000-0000-000043C30000}"/>
    <cellStyle name="Normal 14 5 4 4" xfId="16486" xr:uid="{00000000-0005-0000-0000-000044C30000}"/>
    <cellStyle name="Normal 14 5 4 4 2" xfId="45492" xr:uid="{00000000-0005-0000-0000-000045C30000}"/>
    <cellStyle name="Normal 14 5 4 5" xfId="30993" xr:uid="{00000000-0005-0000-0000-000046C30000}"/>
    <cellStyle name="Normal 14 5 5" xfId="2960" xr:uid="{00000000-0005-0000-0000-000047C30000}"/>
    <cellStyle name="Normal 14 5 5 2" xfId="6064" xr:uid="{00000000-0005-0000-0000-000048C30000}"/>
    <cellStyle name="Normal 14 5 5 2 2" xfId="13336" xr:uid="{00000000-0005-0000-0000-000049C30000}"/>
    <cellStyle name="Normal 14 5 5 2 2 2" xfId="27870" xr:uid="{00000000-0005-0000-0000-00004AC30000}"/>
    <cellStyle name="Normal 14 5 5 2 2 2 2" xfId="56876" xr:uid="{00000000-0005-0000-0000-00004BC30000}"/>
    <cellStyle name="Normal 14 5 5 2 2 3" xfId="42377" xr:uid="{00000000-0005-0000-0000-00004CC30000}"/>
    <cellStyle name="Normal 14 5 5 2 3" xfId="20622" xr:uid="{00000000-0005-0000-0000-00004DC30000}"/>
    <cellStyle name="Normal 14 5 5 2 3 2" xfId="49628" xr:uid="{00000000-0005-0000-0000-00004EC30000}"/>
    <cellStyle name="Normal 14 5 5 2 4" xfId="35129" xr:uid="{00000000-0005-0000-0000-00004FC30000}"/>
    <cellStyle name="Normal 14 5 5 3" xfId="10232" xr:uid="{00000000-0005-0000-0000-000050C30000}"/>
    <cellStyle name="Normal 14 5 5 3 2" xfId="24766" xr:uid="{00000000-0005-0000-0000-000051C30000}"/>
    <cellStyle name="Normal 14 5 5 3 2 2" xfId="53772" xr:uid="{00000000-0005-0000-0000-000052C30000}"/>
    <cellStyle name="Normal 14 5 5 3 3" xfId="39273" xr:uid="{00000000-0005-0000-0000-000053C30000}"/>
    <cellStyle name="Normal 14 5 5 4" xfId="17518" xr:uid="{00000000-0005-0000-0000-000054C30000}"/>
    <cellStyle name="Normal 14 5 5 4 2" xfId="46524" xr:uid="{00000000-0005-0000-0000-000055C30000}"/>
    <cellStyle name="Normal 14 5 5 5" xfId="32025" xr:uid="{00000000-0005-0000-0000-000056C30000}"/>
    <cellStyle name="Normal 14 5 6" xfId="3992" xr:uid="{00000000-0005-0000-0000-000057C30000}"/>
    <cellStyle name="Normal 14 5 6 2" xfId="11264" xr:uid="{00000000-0005-0000-0000-000058C30000}"/>
    <cellStyle name="Normal 14 5 6 2 2" xfId="25798" xr:uid="{00000000-0005-0000-0000-000059C30000}"/>
    <cellStyle name="Normal 14 5 6 2 2 2" xfId="54804" xr:uid="{00000000-0005-0000-0000-00005AC30000}"/>
    <cellStyle name="Normal 14 5 6 2 3" xfId="40305" xr:uid="{00000000-0005-0000-0000-00005BC30000}"/>
    <cellStyle name="Normal 14 5 6 3" xfId="18550" xr:uid="{00000000-0005-0000-0000-00005CC30000}"/>
    <cellStyle name="Normal 14 5 6 3 2" xfId="47556" xr:uid="{00000000-0005-0000-0000-00005DC30000}"/>
    <cellStyle name="Normal 14 5 6 4" xfId="33057" xr:uid="{00000000-0005-0000-0000-00005EC30000}"/>
    <cellStyle name="Normal 14 5 7" xfId="7096" xr:uid="{00000000-0005-0000-0000-00005FC30000}"/>
    <cellStyle name="Normal 14 5 7 2" xfId="14368" xr:uid="{00000000-0005-0000-0000-000060C30000}"/>
    <cellStyle name="Normal 14 5 7 2 2" xfId="28902" xr:uid="{00000000-0005-0000-0000-000061C30000}"/>
    <cellStyle name="Normal 14 5 7 2 2 2" xfId="57908" xr:uid="{00000000-0005-0000-0000-000062C30000}"/>
    <cellStyle name="Normal 14 5 7 2 3" xfId="43409" xr:uid="{00000000-0005-0000-0000-000063C30000}"/>
    <cellStyle name="Normal 14 5 7 3" xfId="21654" xr:uid="{00000000-0005-0000-0000-000064C30000}"/>
    <cellStyle name="Normal 14 5 7 3 2" xfId="50660" xr:uid="{00000000-0005-0000-0000-000065C30000}"/>
    <cellStyle name="Normal 14 5 7 4" xfId="36161" xr:uid="{00000000-0005-0000-0000-000066C30000}"/>
    <cellStyle name="Normal 14 5 8" xfId="8160" xr:uid="{00000000-0005-0000-0000-000067C30000}"/>
    <cellStyle name="Normal 14 5 8 2" xfId="22694" xr:uid="{00000000-0005-0000-0000-000068C30000}"/>
    <cellStyle name="Normal 14 5 8 2 2" xfId="51700" xr:uid="{00000000-0005-0000-0000-000069C30000}"/>
    <cellStyle name="Normal 14 5 8 3" xfId="37201" xr:uid="{00000000-0005-0000-0000-00006AC30000}"/>
    <cellStyle name="Normal 14 5 9" xfId="15446" xr:uid="{00000000-0005-0000-0000-00006BC30000}"/>
    <cellStyle name="Normal 14 5 9 2" xfId="44452" xr:uid="{00000000-0005-0000-0000-00006CC30000}"/>
    <cellStyle name="Normal 14 6" xfId="1091" xr:uid="{00000000-0005-0000-0000-00006DC30000}"/>
    <cellStyle name="Normal 14 6 2" xfId="1584" xr:uid="{00000000-0005-0000-0000-00006EC30000}"/>
    <cellStyle name="Normal 14 6 2 2" xfId="2643" xr:uid="{00000000-0005-0000-0000-00006FC30000}"/>
    <cellStyle name="Normal 14 6 2 2 2" xfId="5747" xr:uid="{00000000-0005-0000-0000-000070C30000}"/>
    <cellStyle name="Normal 14 6 2 2 2 2" xfId="13019" xr:uid="{00000000-0005-0000-0000-000071C30000}"/>
    <cellStyle name="Normal 14 6 2 2 2 2 2" xfId="27553" xr:uid="{00000000-0005-0000-0000-000072C30000}"/>
    <cellStyle name="Normal 14 6 2 2 2 2 2 2" xfId="56559" xr:uid="{00000000-0005-0000-0000-000073C30000}"/>
    <cellStyle name="Normal 14 6 2 2 2 2 3" xfId="42060" xr:uid="{00000000-0005-0000-0000-000074C30000}"/>
    <cellStyle name="Normal 14 6 2 2 2 3" xfId="20305" xr:uid="{00000000-0005-0000-0000-000075C30000}"/>
    <cellStyle name="Normal 14 6 2 2 2 3 2" xfId="49311" xr:uid="{00000000-0005-0000-0000-000076C30000}"/>
    <cellStyle name="Normal 14 6 2 2 2 4" xfId="34812" xr:uid="{00000000-0005-0000-0000-000077C30000}"/>
    <cellStyle name="Normal 14 6 2 2 3" xfId="9915" xr:uid="{00000000-0005-0000-0000-000078C30000}"/>
    <cellStyle name="Normal 14 6 2 2 3 2" xfId="24449" xr:uid="{00000000-0005-0000-0000-000079C30000}"/>
    <cellStyle name="Normal 14 6 2 2 3 2 2" xfId="53455" xr:uid="{00000000-0005-0000-0000-00007AC30000}"/>
    <cellStyle name="Normal 14 6 2 2 3 3" xfId="38956" xr:uid="{00000000-0005-0000-0000-00007BC30000}"/>
    <cellStyle name="Normal 14 6 2 2 4" xfId="17201" xr:uid="{00000000-0005-0000-0000-00007CC30000}"/>
    <cellStyle name="Normal 14 6 2 2 4 2" xfId="46207" xr:uid="{00000000-0005-0000-0000-00007DC30000}"/>
    <cellStyle name="Normal 14 6 2 2 5" xfId="31708" xr:uid="{00000000-0005-0000-0000-00007EC30000}"/>
    <cellStyle name="Normal 14 6 2 3" xfId="3675" xr:uid="{00000000-0005-0000-0000-00007FC30000}"/>
    <cellStyle name="Normal 14 6 2 3 2" xfId="6779" xr:uid="{00000000-0005-0000-0000-000080C30000}"/>
    <cellStyle name="Normal 14 6 2 3 2 2" xfId="14051" xr:uid="{00000000-0005-0000-0000-000081C30000}"/>
    <cellStyle name="Normal 14 6 2 3 2 2 2" xfId="28585" xr:uid="{00000000-0005-0000-0000-000082C30000}"/>
    <cellStyle name="Normal 14 6 2 3 2 2 2 2" xfId="57591" xr:uid="{00000000-0005-0000-0000-000083C30000}"/>
    <cellStyle name="Normal 14 6 2 3 2 2 3" xfId="43092" xr:uid="{00000000-0005-0000-0000-000084C30000}"/>
    <cellStyle name="Normal 14 6 2 3 2 3" xfId="21337" xr:uid="{00000000-0005-0000-0000-000085C30000}"/>
    <cellStyle name="Normal 14 6 2 3 2 3 2" xfId="50343" xr:uid="{00000000-0005-0000-0000-000086C30000}"/>
    <cellStyle name="Normal 14 6 2 3 2 4" xfId="35844" xr:uid="{00000000-0005-0000-0000-000087C30000}"/>
    <cellStyle name="Normal 14 6 2 3 3" xfId="10947" xr:uid="{00000000-0005-0000-0000-000088C30000}"/>
    <cellStyle name="Normal 14 6 2 3 3 2" xfId="25481" xr:uid="{00000000-0005-0000-0000-000089C30000}"/>
    <cellStyle name="Normal 14 6 2 3 3 2 2" xfId="54487" xr:uid="{00000000-0005-0000-0000-00008AC30000}"/>
    <cellStyle name="Normal 14 6 2 3 3 3" xfId="39988" xr:uid="{00000000-0005-0000-0000-00008BC30000}"/>
    <cellStyle name="Normal 14 6 2 3 4" xfId="18233" xr:uid="{00000000-0005-0000-0000-00008CC30000}"/>
    <cellStyle name="Normal 14 6 2 3 4 2" xfId="47239" xr:uid="{00000000-0005-0000-0000-00008DC30000}"/>
    <cellStyle name="Normal 14 6 2 3 5" xfId="32740" xr:uid="{00000000-0005-0000-0000-00008EC30000}"/>
    <cellStyle name="Normal 14 6 2 4" xfId="4707" xr:uid="{00000000-0005-0000-0000-00008FC30000}"/>
    <cellStyle name="Normal 14 6 2 4 2" xfId="11979" xr:uid="{00000000-0005-0000-0000-000090C30000}"/>
    <cellStyle name="Normal 14 6 2 4 2 2" xfId="26513" xr:uid="{00000000-0005-0000-0000-000091C30000}"/>
    <cellStyle name="Normal 14 6 2 4 2 2 2" xfId="55519" xr:uid="{00000000-0005-0000-0000-000092C30000}"/>
    <cellStyle name="Normal 14 6 2 4 2 3" xfId="41020" xr:uid="{00000000-0005-0000-0000-000093C30000}"/>
    <cellStyle name="Normal 14 6 2 4 3" xfId="19265" xr:uid="{00000000-0005-0000-0000-000094C30000}"/>
    <cellStyle name="Normal 14 6 2 4 3 2" xfId="48271" xr:uid="{00000000-0005-0000-0000-000095C30000}"/>
    <cellStyle name="Normal 14 6 2 4 4" xfId="33772" xr:uid="{00000000-0005-0000-0000-000096C30000}"/>
    <cellStyle name="Normal 14 6 2 5" xfId="7811" xr:uid="{00000000-0005-0000-0000-000097C30000}"/>
    <cellStyle name="Normal 14 6 2 5 2" xfId="15083" xr:uid="{00000000-0005-0000-0000-000098C30000}"/>
    <cellStyle name="Normal 14 6 2 5 2 2" xfId="29617" xr:uid="{00000000-0005-0000-0000-000099C30000}"/>
    <cellStyle name="Normal 14 6 2 5 2 2 2" xfId="58623" xr:uid="{00000000-0005-0000-0000-00009AC30000}"/>
    <cellStyle name="Normal 14 6 2 5 2 3" xfId="44124" xr:uid="{00000000-0005-0000-0000-00009BC30000}"/>
    <cellStyle name="Normal 14 6 2 5 3" xfId="22369" xr:uid="{00000000-0005-0000-0000-00009CC30000}"/>
    <cellStyle name="Normal 14 6 2 5 3 2" xfId="51375" xr:uid="{00000000-0005-0000-0000-00009DC30000}"/>
    <cellStyle name="Normal 14 6 2 5 4" xfId="36876" xr:uid="{00000000-0005-0000-0000-00009EC30000}"/>
    <cellStyle name="Normal 14 6 2 6" xfId="8875" xr:uid="{00000000-0005-0000-0000-00009FC30000}"/>
    <cellStyle name="Normal 14 6 2 6 2" xfId="23409" xr:uid="{00000000-0005-0000-0000-0000A0C30000}"/>
    <cellStyle name="Normal 14 6 2 6 2 2" xfId="52415" xr:uid="{00000000-0005-0000-0000-0000A1C30000}"/>
    <cellStyle name="Normal 14 6 2 6 3" xfId="37916" xr:uid="{00000000-0005-0000-0000-0000A2C30000}"/>
    <cellStyle name="Normal 14 6 2 7" xfId="16161" xr:uid="{00000000-0005-0000-0000-0000A3C30000}"/>
    <cellStyle name="Normal 14 6 2 7 2" xfId="45167" xr:uid="{00000000-0005-0000-0000-0000A4C30000}"/>
    <cellStyle name="Normal 14 6 2 8" xfId="30668" xr:uid="{00000000-0005-0000-0000-0000A5C30000}"/>
    <cellStyle name="Normal 14 6 3" xfId="2131" xr:uid="{00000000-0005-0000-0000-0000A6C30000}"/>
    <cellStyle name="Normal 14 6 3 2" xfId="5235" xr:uid="{00000000-0005-0000-0000-0000A7C30000}"/>
    <cellStyle name="Normal 14 6 3 2 2" xfId="12507" xr:uid="{00000000-0005-0000-0000-0000A8C30000}"/>
    <cellStyle name="Normal 14 6 3 2 2 2" xfId="27041" xr:uid="{00000000-0005-0000-0000-0000A9C30000}"/>
    <cellStyle name="Normal 14 6 3 2 2 2 2" xfId="56047" xr:uid="{00000000-0005-0000-0000-0000AAC30000}"/>
    <cellStyle name="Normal 14 6 3 2 2 3" xfId="41548" xr:uid="{00000000-0005-0000-0000-0000ABC30000}"/>
    <cellStyle name="Normal 14 6 3 2 3" xfId="19793" xr:uid="{00000000-0005-0000-0000-0000ACC30000}"/>
    <cellStyle name="Normal 14 6 3 2 3 2" xfId="48799" xr:uid="{00000000-0005-0000-0000-0000ADC30000}"/>
    <cellStyle name="Normal 14 6 3 2 4" xfId="34300" xr:uid="{00000000-0005-0000-0000-0000AEC30000}"/>
    <cellStyle name="Normal 14 6 3 3" xfId="9403" xr:uid="{00000000-0005-0000-0000-0000AFC30000}"/>
    <cellStyle name="Normal 14 6 3 3 2" xfId="23937" xr:uid="{00000000-0005-0000-0000-0000B0C30000}"/>
    <cellStyle name="Normal 14 6 3 3 2 2" xfId="52943" xr:uid="{00000000-0005-0000-0000-0000B1C30000}"/>
    <cellStyle name="Normal 14 6 3 3 3" xfId="38444" xr:uid="{00000000-0005-0000-0000-0000B2C30000}"/>
    <cellStyle name="Normal 14 6 3 4" xfId="16689" xr:uid="{00000000-0005-0000-0000-0000B3C30000}"/>
    <cellStyle name="Normal 14 6 3 4 2" xfId="45695" xr:uid="{00000000-0005-0000-0000-0000B4C30000}"/>
    <cellStyle name="Normal 14 6 3 5" xfId="31196" xr:uid="{00000000-0005-0000-0000-0000B5C30000}"/>
    <cellStyle name="Normal 14 6 4" xfId="3163" xr:uid="{00000000-0005-0000-0000-0000B6C30000}"/>
    <cellStyle name="Normal 14 6 4 2" xfId="6267" xr:uid="{00000000-0005-0000-0000-0000B7C30000}"/>
    <cellStyle name="Normal 14 6 4 2 2" xfId="13539" xr:uid="{00000000-0005-0000-0000-0000B8C30000}"/>
    <cellStyle name="Normal 14 6 4 2 2 2" xfId="28073" xr:uid="{00000000-0005-0000-0000-0000B9C30000}"/>
    <cellStyle name="Normal 14 6 4 2 2 2 2" xfId="57079" xr:uid="{00000000-0005-0000-0000-0000BAC30000}"/>
    <cellStyle name="Normal 14 6 4 2 2 3" xfId="42580" xr:uid="{00000000-0005-0000-0000-0000BBC30000}"/>
    <cellStyle name="Normal 14 6 4 2 3" xfId="20825" xr:uid="{00000000-0005-0000-0000-0000BCC30000}"/>
    <cellStyle name="Normal 14 6 4 2 3 2" xfId="49831" xr:uid="{00000000-0005-0000-0000-0000BDC30000}"/>
    <cellStyle name="Normal 14 6 4 2 4" xfId="35332" xr:uid="{00000000-0005-0000-0000-0000BEC30000}"/>
    <cellStyle name="Normal 14 6 4 3" xfId="10435" xr:uid="{00000000-0005-0000-0000-0000BFC30000}"/>
    <cellStyle name="Normal 14 6 4 3 2" xfId="24969" xr:uid="{00000000-0005-0000-0000-0000C0C30000}"/>
    <cellStyle name="Normal 14 6 4 3 2 2" xfId="53975" xr:uid="{00000000-0005-0000-0000-0000C1C30000}"/>
    <cellStyle name="Normal 14 6 4 3 3" xfId="39476" xr:uid="{00000000-0005-0000-0000-0000C2C30000}"/>
    <cellStyle name="Normal 14 6 4 4" xfId="17721" xr:uid="{00000000-0005-0000-0000-0000C3C30000}"/>
    <cellStyle name="Normal 14 6 4 4 2" xfId="46727" xr:uid="{00000000-0005-0000-0000-0000C4C30000}"/>
    <cellStyle name="Normal 14 6 4 5" xfId="32228" xr:uid="{00000000-0005-0000-0000-0000C5C30000}"/>
    <cellStyle name="Normal 14 6 5" xfId="4195" xr:uid="{00000000-0005-0000-0000-0000C6C30000}"/>
    <cellStyle name="Normal 14 6 5 2" xfId="11467" xr:uid="{00000000-0005-0000-0000-0000C7C30000}"/>
    <cellStyle name="Normal 14 6 5 2 2" xfId="26001" xr:uid="{00000000-0005-0000-0000-0000C8C30000}"/>
    <cellStyle name="Normal 14 6 5 2 2 2" xfId="55007" xr:uid="{00000000-0005-0000-0000-0000C9C30000}"/>
    <cellStyle name="Normal 14 6 5 2 3" xfId="40508" xr:uid="{00000000-0005-0000-0000-0000CAC30000}"/>
    <cellStyle name="Normal 14 6 5 3" xfId="18753" xr:uid="{00000000-0005-0000-0000-0000CBC30000}"/>
    <cellStyle name="Normal 14 6 5 3 2" xfId="47759" xr:uid="{00000000-0005-0000-0000-0000CCC30000}"/>
    <cellStyle name="Normal 14 6 5 4" xfId="33260" xr:uid="{00000000-0005-0000-0000-0000CDC30000}"/>
    <cellStyle name="Normal 14 6 6" xfId="7299" xr:uid="{00000000-0005-0000-0000-0000CEC30000}"/>
    <cellStyle name="Normal 14 6 6 2" xfId="14571" xr:uid="{00000000-0005-0000-0000-0000CFC30000}"/>
    <cellStyle name="Normal 14 6 6 2 2" xfId="29105" xr:uid="{00000000-0005-0000-0000-0000D0C30000}"/>
    <cellStyle name="Normal 14 6 6 2 2 2" xfId="58111" xr:uid="{00000000-0005-0000-0000-0000D1C30000}"/>
    <cellStyle name="Normal 14 6 6 2 3" xfId="43612" xr:uid="{00000000-0005-0000-0000-0000D2C30000}"/>
    <cellStyle name="Normal 14 6 6 3" xfId="21857" xr:uid="{00000000-0005-0000-0000-0000D3C30000}"/>
    <cellStyle name="Normal 14 6 6 3 2" xfId="50863" xr:uid="{00000000-0005-0000-0000-0000D4C30000}"/>
    <cellStyle name="Normal 14 6 6 4" xfId="36364" xr:uid="{00000000-0005-0000-0000-0000D5C30000}"/>
    <cellStyle name="Normal 14 6 7" xfId="8363" xr:uid="{00000000-0005-0000-0000-0000D6C30000}"/>
    <cellStyle name="Normal 14 6 7 2" xfId="22897" xr:uid="{00000000-0005-0000-0000-0000D7C30000}"/>
    <cellStyle name="Normal 14 6 7 2 2" xfId="51903" xr:uid="{00000000-0005-0000-0000-0000D8C30000}"/>
    <cellStyle name="Normal 14 6 7 3" xfId="37404" xr:uid="{00000000-0005-0000-0000-0000D9C30000}"/>
    <cellStyle name="Normal 14 6 8" xfId="15649" xr:uid="{00000000-0005-0000-0000-0000DAC30000}"/>
    <cellStyle name="Normal 14 6 8 2" xfId="44655" xr:uid="{00000000-0005-0000-0000-0000DBC30000}"/>
    <cellStyle name="Normal 14 6 9" xfId="30156" xr:uid="{00000000-0005-0000-0000-0000DCC30000}"/>
    <cellStyle name="Normal 14 7" xfId="999" xr:uid="{00000000-0005-0000-0000-0000DDC30000}"/>
    <cellStyle name="Normal 14 7 2" xfId="1485" xr:uid="{00000000-0005-0000-0000-0000DEC30000}"/>
    <cellStyle name="Normal 14 7 2 2" xfId="2543" xr:uid="{00000000-0005-0000-0000-0000DFC30000}"/>
    <cellStyle name="Normal 14 7 2 2 2" xfId="5647" xr:uid="{00000000-0005-0000-0000-0000E0C30000}"/>
    <cellStyle name="Normal 14 7 2 2 2 2" xfId="12919" xr:uid="{00000000-0005-0000-0000-0000E1C30000}"/>
    <cellStyle name="Normal 14 7 2 2 2 2 2" xfId="27453" xr:uid="{00000000-0005-0000-0000-0000E2C30000}"/>
    <cellStyle name="Normal 14 7 2 2 2 2 2 2" xfId="56459" xr:uid="{00000000-0005-0000-0000-0000E3C30000}"/>
    <cellStyle name="Normal 14 7 2 2 2 2 3" xfId="41960" xr:uid="{00000000-0005-0000-0000-0000E4C30000}"/>
    <cellStyle name="Normal 14 7 2 2 2 3" xfId="20205" xr:uid="{00000000-0005-0000-0000-0000E5C30000}"/>
    <cellStyle name="Normal 14 7 2 2 2 3 2" xfId="49211" xr:uid="{00000000-0005-0000-0000-0000E6C30000}"/>
    <cellStyle name="Normal 14 7 2 2 2 4" xfId="34712" xr:uid="{00000000-0005-0000-0000-0000E7C30000}"/>
    <cellStyle name="Normal 14 7 2 2 3" xfId="9815" xr:uid="{00000000-0005-0000-0000-0000E8C30000}"/>
    <cellStyle name="Normal 14 7 2 2 3 2" xfId="24349" xr:uid="{00000000-0005-0000-0000-0000E9C30000}"/>
    <cellStyle name="Normal 14 7 2 2 3 2 2" xfId="53355" xr:uid="{00000000-0005-0000-0000-0000EAC30000}"/>
    <cellStyle name="Normal 14 7 2 2 3 3" xfId="38856" xr:uid="{00000000-0005-0000-0000-0000EBC30000}"/>
    <cellStyle name="Normal 14 7 2 2 4" xfId="17101" xr:uid="{00000000-0005-0000-0000-0000ECC30000}"/>
    <cellStyle name="Normal 14 7 2 2 4 2" xfId="46107" xr:uid="{00000000-0005-0000-0000-0000EDC30000}"/>
    <cellStyle name="Normal 14 7 2 2 5" xfId="31608" xr:uid="{00000000-0005-0000-0000-0000EEC30000}"/>
    <cellStyle name="Normal 14 7 2 3" xfId="3575" xr:uid="{00000000-0005-0000-0000-0000EFC30000}"/>
    <cellStyle name="Normal 14 7 2 3 2" xfId="6679" xr:uid="{00000000-0005-0000-0000-0000F0C30000}"/>
    <cellStyle name="Normal 14 7 2 3 2 2" xfId="13951" xr:uid="{00000000-0005-0000-0000-0000F1C30000}"/>
    <cellStyle name="Normal 14 7 2 3 2 2 2" xfId="28485" xr:uid="{00000000-0005-0000-0000-0000F2C30000}"/>
    <cellStyle name="Normal 14 7 2 3 2 2 2 2" xfId="57491" xr:uid="{00000000-0005-0000-0000-0000F3C30000}"/>
    <cellStyle name="Normal 14 7 2 3 2 2 3" xfId="42992" xr:uid="{00000000-0005-0000-0000-0000F4C30000}"/>
    <cellStyle name="Normal 14 7 2 3 2 3" xfId="21237" xr:uid="{00000000-0005-0000-0000-0000F5C30000}"/>
    <cellStyle name="Normal 14 7 2 3 2 3 2" xfId="50243" xr:uid="{00000000-0005-0000-0000-0000F6C30000}"/>
    <cellStyle name="Normal 14 7 2 3 2 4" xfId="35744" xr:uid="{00000000-0005-0000-0000-0000F7C30000}"/>
    <cellStyle name="Normal 14 7 2 3 3" xfId="10847" xr:uid="{00000000-0005-0000-0000-0000F8C30000}"/>
    <cellStyle name="Normal 14 7 2 3 3 2" xfId="25381" xr:uid="{00000000-0005-0000-0000-0000F9C30000}"/>
    <cellStyle name="Normal 14 7 2 3 3 2 2" xfId="54387" xr:uid="{00000000-0005-0000-0000-0000FAC30000}"/>
    <cellStyle name="Normal 14 7 2 3 3 3" xfId="39888" xr:uid="{00000000-0005-0000-0000-0000FBC30000}"/>
    <cellStyle name="Normal 14 7 2 3 4" xfId="18133" xr:uid="{00000000-0005-0000-0000-0000FCC30000}"/>
    <cellStyle name="Normal 14 7 2 3 4 2" xfId="47139" xr:uid="{00000000-0005-0000-0000-0000FDC30000}"/>
    <cellStyle name="Normal 14 7 2 3 5" xfId="32640" xr:uid="{00000000-0005-0000-0000-0000FEC30000}"/>
    <cellStyle name="Normal 14 7 2 4" xfId="4607" xr:uid="{00000000-0005-0000-0000-0000FFC30000}"/>
    <cellStyle name="Normal 14 7 2 4 2" xfId="11879" xr:uid="{00000000-0005-0000-0000-000000C40000}"/>
    <cellStyle name="Normal 14 7 2 4 2 2" xfId="26413" xr:uid="{00000000-0005-0000-0000-000001C40000}"/>
    <cellStyle name="Normal 14 7 2 4 2 2 2" xfId="55419" xr:uid="{00000000-0005-0000-0000-000002C40000}"/>
    <cellStyle name="Normal 14 7 2 4 2 3" xfId="40920" xr:uid="{00000000-0005-0000-0000-000003C40000}"/>
    <cellStyle name="Normal 14 7 2 4 3" xfId="19165" xr:uid="{00000000-0005-0000-0000-000004C40000}"/>
    <cellStyle name="Normal 14 7 2 4 3 2" xfId="48171" xr:uid="{00000000-0005-0000-0000-000005C40000}"/>
    <cellStyle name="Normal 14 7 2 4 4" xfId="33672" xr:uid="{00000000-0005-0000-0000-000006C40000}"/>
    <cellStyle name="Normal 14 7 2 5" xfId="7711" xr:uid="{00000000-0005-0000-0000-000007C40000}"/>
    <cellStyle name="Normal 14 7 2 5 2" xfId="14983" xr:uid="{00000000-0005-0000-0000-000008C40000}"/>
    <cellStyle name="Normal 14 7 2 5 2 2" xfId="29517" xr:uid="{00000000-0005-0000-0000-000009C40000}"/>
    <cellStyle name="Normal 14 7 2 5 2 2 2" xfId="58523" xr:uid="{00000000-0005-0000-0000-00000AC40000}"/>
    <cellStyle name="Normal 14 7 2 5 2 3" xfId="44024" xr:uid="{00000000-0005-0000-0000-00000BC40000}"/>
    <cellStyle name="Normal 14 7 2 5 3" xfId="22269" xr:uid="{00000000-0005-0000-0000-00000CC40000}"/>
    <cellStyle name="Normal 14 7 2 5 3 2" xfId="51275" xr:uid="{00000000-0005-0000-0000-00000DC40000}"/>
    <cellStyle name="Normal 14 7 2 5 4" xfId="36776" xr:uid="{00000000-0005-0000-0000-00000EC40000}"/>
    <cellStyle name="Normal 14 7 2 6" xfId="8775" xr:uid="{00000000-0005-0000-0000-00000FC40000}"/>
    <cellStyle name="Normal 14 7 2 6 2" xfId="23309" xr:uid="{00000000-0005-0000-0000-000010C40000}"/>
    <cellStyle name="Normal 14 7 2 6 2 2" xfId="52315" xr:uid="{00000000-0005-0000-0000-000011C40000}"/>
    <cellStyle name="Normal 14 7 2 6 3" xfId="37816" xr:uid="{00000000-0005-0000-0000-000012C40000}"/>
    <cellStyle name="Normal 14 7 2 7" xfId="16061" xr:uid="{00000000-0005-0000-0000-000013C40000}"/>
    <cellStyle name="Normal 14 7 2 7 2" xfId="45067" xr:uid="{00000000-0005-0000-0000-000014C40000}"/>
    <cellStyle name="Normal 14 7 2 8" xfId="30568" xr:uid="{00000000-0005-0000-0000-000015C40000}"/>
    <cellStyle name="Normal 14 7 3" xfId="2031" xr:uid="{00000000-0005-0000-0000-000016C40000}"/>
    <cellStyle name="Normal 14 7 3 2" xfId="5135" xr:uid="{00000000-0005-0000-0000-000017C40000}"/>
    <cellStyle name="Normal 14 7 3 2 2" xfId="12407" xr:uid="{00000000-0005-0000-0000-000018C40000}"/>
    <cellStyle name="Normal 14 7 3 2 2 2" xfId="26941" xr:uid="{00000000-0005-0000-0000-000019C40000}"/>
    <cellStyle name="Normal 14 7 3 2 2 2 2" xfId="55947" xr:uid="{00000000-0005-0000-0000-00001AC40000}"/>
    <cellStyle name="Normal 14 7 3 2 2 3" xfId="41448" xr:uid="{00000000-0005-0000-0000-00001BC40000}"/>
    <cellStyle name="Normal 14 7 3 2 3" xfId="19693" xr:uid="{00000000-0005-0000-0000-00001CC40000}"/>
    <cellStyle name="Normal 14 7 3 2 3 2" xfId="48699" xr:uid="{00000000-0005-0000-0000-00001DC40000}"/>
    <cellStyle name="Normal 14 7 3 2 4" xfId="34200" xr:uid="{00000000-0005-0000-0000-00001EC40000}"/>
    <cellStyle name="Normal 14 7 3 3" xfId="9303" xr:uid="{00000000-0005-0000-0000-00001FC40000}"/>
    <cellStyle name="Normal 14 7 3 3 2" xfId="23837" xr:uid="{00000000-0005-0000-0000-000020C40000}"/>
    <cellStyle name="Normal 14 7 3 3 2 2" xfId="52843" xr:uid="{00000000-0005-0000-0000-000021C40000}"/>
    <cellStyle name="Normal 14 7 3 3 3" xfId="38344" xr:uid="{00000000-0005-0000-0000-000022C40000}"/>
    <cellStyle name="Normal 14 7 3 4" xfId="16589" xr:uid="{00000000-0005-0000-0000-000023C40000}"/>
    <cellStyle name="Normal 14 7 3 4 2" xfId="45595" xr:uid="{00000000-0005-0000-0000-000024C40000}"/>
    <cellStyle name="Normal 14 7 3 5" xfId="31096" xr:uid="{00000000-0005-0000-0000-000025C40000}"/>
    <cellStyle name="Normal 14 7 4" xfId="3063" xr:uid="{00000000-0005-0000-0000-000026C40000}"/>
    <cellStyle name="Normal 14 7 4 2" xfId="6167" xr:uid="{00000000-0005-0000-0000-000027C40000}"/>
    <cellStyle name="Normal 14 7 4 2 2" xfId="13439" xr:uid="{00000000-0005-0000-0000-000028C40000}"/>
    <cellStyle name="Normal 14 7 4 2 2 2" xfId="27973" xr:uid="{00000000-0005-0000-0000-000029C40000}"/>
    <cellStyle name="Normal 14 7 4 2 2 2 2" xfId="56979" xr:uid="{00000000-0005-0000-0000-00002AC40000}"/>
    <cellStyle name="Normal 14 7 4 2 2 3" xfId="42480" xr:uid="{00000000-0005-0000-0000-00002BC40000}"/>
    <cellStyle name="Normal 14 7 4 2 3" xfId="20725" xr:uid="{00000000-0005-0000-0000-00002CC40000}"/>
    <cellStyle name="Normal 14 7 4 2 3 2" xfId="49731" xr:uid="{00000000-0005-0000-0000-00002DC40000}"/>
    <cellStyle name="Normal 14 7 4 2 4" xfId="35232" xr:uid="{00000000-0005-0000-0000-00002EC40000}"/>
    <cellStyle name="Normal 14 7 4 3" xfId="10335" xr:uid="{00000000-0005-0000-0000-00002FC40000}"/>
    <cellStyle name="Normal 14 7 4 3 2" xfId="24869" xr:uid="{00000000-0005-0000-0000-000030C40000}"/>
    <cellStyle name="Normal 14 7 4 3 2 2" xfId="53875" xr:uid="{00000000-0005-0000-0000-000031C40000}"/>
    <cellStyle name="Normal 14 7 4 3 3" xfId="39376" xr:uid="{00000000-0005-0000-0000-000032C40000}"/>
    <cellStyle name="Normal 14 7 4 4" xfId="17621" xr:uid="{00000000-0005-0000-0000-000033C40000}"/>
    <cellStyle name="Normal 14 7 4 4 2" xfId="46627" xr:uid="{00000000-0005-0000-0000-000034C40000}"/>
    <cellStyle name="Normal 14 7 4 5" xfId="32128" xr:uid="{00000000-0005-0000-0000-000035C40000}"/>
    <cellStyle name="Normal 14 7 5" xfId="4095" xr:uid="{00000000-0005-0000-0000-000036C40000}"/>
    <cellStyle name="Normal 14 7 5 2" xfId="11367" xr:uid="{00000000-0005-0000-0000-000037C40000}"/>
    <cellStyle name="Normal 14 7 5 2 2" xfId="25901" xr:uid="{00000000-0005-0000-0000-000038C40000}"/>
    <cellStyle name="Normal 14 7 5 2 2 2" xfId="54907" xr:uid="{00000000-0005-0000-0000-000039C40000}"/>
    <cellStyle name="Normal 14 7 5 2 3" xfId="40408" xr:uid="{00000000-0005-0000-0000-00003AC40000}"/>
    <cellStyle name="Normal 14 7 5 3" xfId="18653" xr:uid="{00000000-0005-0000-0000-00003BC40000}"/>
    <cellStyle name="Normal 14 7 5 3 2" xfId="47659" xr:uid="{00000000-0005-0000-0000-00003CC40000}"/>
    <cellStyle name="Normal 14 7 5 4" xfId="33160" xr:uid="{00000000-0005-0000-0000-00003DC40000}"/>
    <cellStyle name="Normal 14 7 6" xfId="7199" xr:uid="{00000000-0005-0000-0000-00003EC40000}"/>
    <cellStyle name="Normal 14 7 6 2" xfId="14471" xr:uid="{00000000-0005-0000-0000-00003FC40000}"/>
    <cellStyle name="Normal 14 7 6 2 2" xfId="29005" xr:uid="{00000000-0005-0000-0000-000040C40000}"/>
    <cellStyle name="Normal 14 7 6 2 2 2" xfId="58011" xr:uid="{00000000-0005-0000-0000-000041C40000}"/>
    <cellStyle name="Normal 14 7 6 2 3" xfId="43512" xr:uid="{00000000-0005-0000-0000-000042C40000}"/>
    <cellStyle name="Normal 14 7 6 3" xfId="21757" xr:uid="{00000000-0005-0000-0000-000043C40000}"/>
    <cellStyle name="Normal 14 7 6 3 2" xfId="50763" xr:uid="{00000000-0005-0000-0000-000044C40000}"/>
    <cellStyle name="Normal 14 7 6 4" xfId="36264" xr:uid="{00000000-0005-0000-0000-000045C40000}"/>
    <cellStyle name="Normal 14 7 7" xfId="8263" xr:uid="{00000000-0005-0000-0000-000046C40000}"/>
    <cellStyle name="Normal 14 7 7 2" xfId="22797" xr:uid="{00000000-0005-0000-0000-000047C40000}"/>
    <cellStyle name="Normal 14 7 7 2 2" xfId="51803" xr:uid="{00000000-0005-0000-0000-000048C40000}"/>
    <cellStyle name="Normal 14 7 7 3" xfId="37304" xr:uid="{00000000-0005-0000-0000-000049C40000}"/>
    <cellStyle name="Normal 14 7 8" xfId="15549" xr:uid="{00000000-0005-0000-0000-00004AC40000}"/>
    <cellStyle name="Normal 14 7 8 2" xfId="44555" xr:uid="{00000000-0005-0000-0000-00004BC40000}"/>
    <cellStyle name="Normal 14 7 9" xfId="30056" xr:uid="{00000000-0005-0000-0000-00004CC40000}"/>
    <cellStyle name="Normal 14 8" xfId="1282" xr:uid="{00000000-0005-0000-0000-00004DC40000}"/>
    <cellStyle name="Normal 14 8 2" xfId="2337" xr:uid="{00000000-0005-0000-0000-00004EC40000}"/>
    <cellStyle name="Normal 14 8 2 2" xfId="5441" xr:uid="{00000000-0005-0000-0000-00004FC40000}"/>
    <cellStyle name="Normal 14 8 2 2 2" xfId="12713" xr:uid="{00000000-0005-0000-0000-000050C40000}"/>
    <cellStyle name="Normal 14 8 2 2 2 2" xfId="27247" xr:uid="{00000000-0005-0000-0000-000051C40000}"/>
    <cellStyle name="Normal 14 8 2 2 2 2 2" xfId="56253" xr:uid="{00000000-0005-0000-0000-000052C40000}"/>
    <cellStyle name="Normal 14 8 2 2 2 3" xfId="41754" xr:uid="{00000000-0005-0000-0000-000053C40000}"/>
    <cellStyle name="Normal 14 8 2 2 3" xfId="19999" xr:uid="{00000000-0005-0000-0000-000054C40000}"/>
    <cellStyle name="Normal 14 8 2 2 3 2" xfId="49005" xr:uid="{00000000-0005-0000-0000-000055C40000}"/>
    <cellStyle name="Normal 14 8 2 2 4" xfId="34506" xr:uid="{00000000-0005-0000-0000-000056C40000}"/>
    <cellStyle name="Normal 14 8 2 3" xfId="9609" xr:uid="{00000000-0005-0000-0000-000057C40000}"/>
    <cellStyle name="Normal 14 8 2 3 2" xfId="24143" xr:uid="{00000000-0005-0000-0000-000058C40000}"/>
    <cellStyle name="Normal 14 8 2 3 2 2" xfId="53149" xr:uid="{00000000-0005-0000-0000-000059C40000}"/>
    <cellStyle name="Normal 14 8 2 3 3" xfId="38650" xr:uid="{00000000-0005-0000-0000-00005AC40000}"/>
    <cellStyle name="Normal 14 8 2 4" xfId="16895" xr:uid="{00000000-0005-0000-0000-00005BC40000}"/>
    <cellStyle name="Normal 14 8 2 4 2" xfId="45901" xr:uid="{00000000-0005-0000-0000-00005CC40000}"/>
    <cellStyle name="Normal 14 8 2 5" xfId="31402" xr:uid="{00000000-0005-0000-0000-00005DC40000}"/>
    <cellStyle name="Normal 14 8 3" xfId="3369" xr:uid="{00000000-0005-0000-0000-00005EC40000}"/>
    <cellStyle name="Normal 14 8 3 2" xfId="6473" xr:uid="{00000000-0005-0000-0000-00005FC40000}"/>
    <cellStyle name="Normal 14 8 3 2 2" xfId="13745" xr:uid="{00000000-0005-0000-0000-000060C40000}"/>
    <cellStyle name="Normal 14 8 3 2 2 2" xfId="28279" xr:uid="{00000000-0005-0000-0000-000061C40000}"/>
    <cellStyle name="Normal 14 8 3 2 2 2 2" xfId="57285" xr:uid="{00000000-0005-0000-0000-000062C40000}"/>
    <cellStyle name="Normal 14 8 3 2 2 3" xfId="42786" xr:uid="{00000000-0005-0000-0000-000063C40000}"/>
    <cellStyle name="Normal 14 8 3 2 3" xfId="21031" xr:uid="{00000000-0005-0000-0000-000064C40000}"/>
    <cellStyle name="Normal 14 8 3 2 3 2" xfId="50037" xr:uid="{00000000-0005-0000-0000-000065C40000}"/>
    <cellStyle name="Normal 14 8 3 2 4" xfId="35538" xr:uid="{00000000-0005-0000-0000-000066C40000}"/>
    <cellStyle name="Normal 14 8 3 3" xfId="10641" xr:uid="{00000000-0005-0000-0000-000067C40000}"/>
    <cellStyle name="Normal 14 8 3 3 2" xfId="25175" xr:uid="{00000000-0005-0000-0000-000068C40000}"/>
    <cellStyle name="Normal 14 8 3 3 2 2" xfId="54181" xr:uid="{00000000-0005-0000-0000-000069C40000}"/>
    <cellStyle name="Normal 14 8 3 3 3" xfId="39682" xr:uid="{00000000-0005-0000-0000-00006AC40000}"/>
    <cellStyle name="Normal 14 8 3 4" xfId="17927" xr:uid="{00000000-0005-0000-0000-00006BC40000}"/>
    <cellStyle name="Normal 14 8 3 4 2" xfId="46933" xr:uid="{00000000-0005-0000-0000-00006CC40000}"/>
    <cellStyle name="Normal 14 8 3 5" xfId="32434" xr:uid="{00000000-0005-0000-0000-00006DC40000}"/>
    <cellStyle name="Normal 14 8 4" xfId="4401" xr:uid="{00000000-0005-0000-0000-00006EC40000}"/>
    <cellStyle name="Normal 14 8 4 2" xfId="11673" xr:uid="{00000000-0005-0000-0000-00006FC40000}"/>
    <cellStyle name="Normal 14 8 4 2 2" xfId="26207" xr:uid="{00000000-0005-0000-0000-000070C40000}"/>
    <cellStyle name="Normal 14 8 4 2 2 2" xfId="55213" xr:uid="{00000000-0005-0000-0000-000071C40000}"/>
    <cellStyle name="Normal 14 8 4 2 3" xfId="40714" xr:uid="{00000000-0005-0000-0000-000072C40000}"/>
    <cellStyle name="Normal 14 8 4 3" xfId="18959" xr:uid="{00000000-0005-0000-0000-000073C40000}"/>
    <cellStyle name="Normal 14 8 4 3 2" xfId="47965" xr:uid="{00000000-0005-0000-0000-000074C40000}"/>
    <cellStyle name="Normal 14 8 4 4" xfId="33466" xr:uid="{00000000-0005-0000-0000-000075C40000}"/>
    <cellStyle name="Normal 14 8 5" xfId="7505" xr:uid="{00000000-0005-0000-0000-000076C40000}"/>
    <cellStyle name="Normal 14 8 5 2" xfId="14777" xr:uid="{00000000-0005-0000-0000-000077C40000}"/>
    <cellStyle name="Normal 14 8 5 2 2" xfId="29311" xr:uid="{00000000-0005-0000-0000-000078C40000}"/>
    <cellStyle name="Normal 14 8 5 2 2 2" xfId="58317" xr:uid="{00000000-0005-0000-0000-000079C40000}"/>
    <cellStyle name="Normal 14 8 5 2 3" xfId="43818" xr:uid="{00000000-0005-0000-0000-00007AC40000}"/>
    <cellStyle name="Normal 14 8 5 3" xfId="22063" xr:uid="{00000000-0005-0000-0000-00007BC40000}"/>
    <cellStyle name="Normal 14 8 5 3 2" xfId="51069" xr:uid="{00000000-0005-0000-0000-00007CC40000}"/>
    <cellStyle name="Normal 14 8 5 4" xfId="36570" xr:uid="{00000000-0005-0000-0000-00007DC40000}"/>
    <cellStyle name="Normal 14 8 6" xfId="8569" xr:uid="{00000000-0005-0000-0000-00007EC40000}"/>
    <cellStyle name="Normal 14 8 6 2" xfId="23103" xr:uid="{00000000-0005-0000-0000-00007FC40000}"/>
    <cellStyle name="Normal 14 8 6 2 2" xfId="52109" xr:uid="{00000000-0005-0000-0000-000080C40000}"/>
    <cellStyle name="Normal 14 8 6 3" xfId="37610" xr:uid="{00000000-0005-0000-0000-000081C40000}"/>
    <cellStyle name="Normal 14 8 7" xfId="15855" xr:uid="{00000000-0005-0000-0000-000082C40000}"/>
    <cellStyle name="Normal 14 8 7 2" xfId="44861" xr:uid="{00000000-0005-0000-0000-000083C40000}"/>
    <cellStyle name="Normal 14 8 8" xfId="30362" xr:uid="{00000000-0005-0000-0000-000084C40000}"/>
    <cellStyle name="Normal 14 9" xfId="1825" xr:uid="{00000000-0005-0000-0000-000085C40000}"/>
    <cellStyle name="Normal 14 9 2" xfId="4929" xr:uid="{00000000-0005-0000-0000-000086C40000}"/>
    <cellStyle name="Normal 14 9 2 2" xfId="12201" xr:uid="{00000000-0005-0000-0000-000087C40000}"/>
    <cellStyle name="Normal 14 9 2 2 2" xfId="26735" xr:uid="{00000000-0005-0000-0000-000088C40000}"/>
    <cellStyle name="Normal 14 9 2 2 2 2" xfId="55741" xr:uid="{00000000-0005-0000-0000-000089C40000}"/>
    <cellStyle name="Normal 14 9 2 2 3" xfId="41242" xr:uid="{00000000-0005-0000-0000-00008AC40000}"/>
    <cellStyle name="Normal 14 9 2 3" xfId="19487" xr:uid="{00000000-0005-0000-0000-00008BC40000}"/>
    <cellStyle name="Normal 14 9 2 3 2" xfId="48493" xr:uid="{00000000-0005-0000-0000-00008CC40000}"/>
    <cellStyle name="Normal 14 9 2 4" xfId="33994" xr:uid="{00000000-0005-0000-0000-00008DC40000}"/>
    <cellStyle name="Normal 14 9 3" xfId="9097" xr:uid="{00000000-0005-0000-0000-00008EC40000}"/>
    <cellStyle name="Normal 14 9 3 2" xfId="23631" xr:uid="{00000000-0005-0000-0000-00008FC40000}"/>
    <cellStyle name="Normal 14 9 3 2 2" xfId="52637" xr:uid="{00000000-0005-0000-0000-000090C40000}"/>
    <cellStyle name="Normal 14 9 3 3" xfId="38138" xr:uid="{00000000-0005-0000-0000-000091C40000}"/>
    <cellStyle name="Normal 14 9 4" xfId="16383" xr:uid="{00000000-0005-0000-0000-000092C40000}"/>
    <cellStyle name="Normal 14 9 4 2" xfId="45389" xr:uid="{00000000-0005-0000-0000-000093C40000}"/>
    <cellStyle name="Normal 14 9 5" xfId="30890" xr:uid="{00000000-0005-0000-0000-000094C40000}"/>
    <cellStyle name="Normal 15" xfId="807" xr:uid="{00000000-0005-0000-0000-000095C40000}"/>
    <cellStyle name="Normal 15 2" xfId="861" xr:uid="{00000000-0005-0000-0000-000096C40000}"/>
    <cellStyle name="Normal 16" xfId="699" xr:uid="{00000000-0005-0000-0000-000097C40000}"/>
    <cellStyle name="Normal 16 10" xfId="7023" xr:uid="{00000000-0005-0000-0000-000098C40000}"/>
    <cellStyle name="Normal 16 10 2" xfId="14295" xr:uid="{00000000-0005-0000-0000-000099C40000}"/>
    <cellStyle name="Normal 16 10 2 2" xfId="28829" xr:uid="{00000000-0005-0000-0000-00009AC40000}"/>
    <cellStyle name="Normal 16 10 2 2 2" xfId="57835" xr:uid="{00000000-0005-0000-0000-00009BC40000}"/>
    <cellStyle name="Normal 16 10 2 3" xfId="43336" xr:uid="{00000000-0005-0000-0000-00009CC40000}"/>
    <cellStyle name="Normal 16 10 3" xfId="21581" xr:uid="{00000000-0005-0000-0000-00009DC40000}"/>
    <cellStyle name="Normal 16 10 3 2" xfId="50587" xr:uid="{00000000-0005-0000-0000-00009EC40000}"/>
    <cellStyle name="Normal 16 10 4" xfId="36088" xr:uid="{00000000-0005-0000-0000-00009FC40000}"/>
    <cellStyle name="Normal 16 11" xfId="8087" xr:uid="{00000000-0005-0000-0000-0000A0C40000}"/>
    <cellStyle name="Normal 16 11 2" xfId="22621" xr:uid="{00000000-0005-0000-0000-0000A1C40000}"/>
    <cellStyle name="Normal 16 11 2 2" xfId="51627" xr:uid="{00000000-0005-0000-0000-0000A2C40000}"/>
    <cellStyle name="Normal 16 11 3" xfId="37128" xr:uid="{00000000-0005-0000-0000-0000A3C40000}"/>
    <cellStyle name="Normal 16 12" xfId="15373" xr:uid="{00000000-0005-0000-0000-0000A4C40000}"/>
    <cellStyle name="Normal 16 12 2" xfId="44379" xr:uid="{00000000-0005-0000-0000-0000A5C40000}"/>
    <cellStyle name="Normal 16 13" xfId="858" xr:uid="{00000000-0005-0000-0000-0000A6C40000}"/>
    <cellStyle name="Normal 16 13 2" xfId="29880" xr:uid="{00000000-0005-0000-0000-0000A7C40000}"/>
    <cellStyle name="Normal 16 14" xfId="29840" xr:uid="{00000000-0005-0000-0000-0000A8C40000}"/>
    <cellStyle name="Normal 16 2" xfId="939" xr:uid="{00000000-0005-0000-0000-0000A9C40000}"/>
    <cellStyle name="Normal 16 2 10" xfId="29983" xr:uid="{00000000-0005-0000-0000-0000AAC40000}"/>
    <cellStyle name="Normal 16 2 2" xfId="1213" xr:uid="{00000000-0005-0000-0000-0000ABC40000}"/>
    <cellStyle name="Normal 16 2 2 2" xfId="1717" xr:uid="{00000000-0005-0000-0000-0000ACC40000}"/>
    <cellStyle name="Normal 16 2 2 2 2" xfId="2776" xr:uid="{00000000-0005-0000-0000-0000ADC40000}"/>
    <cellStyle name="Normal 16 2 2 2 2 2" xfId="5880" xr:uid="{00000000-0005-0000-0000-0000AEC40000}"/>
    <cellStyle name="Normal 16 2 2 2 2 2 2" xfId="13152" xr:uid="{00000000-0005-0000-0000-0000AFC40000}"/>
    <cellStyle name="Normal 16 2 2 2 2 2 2 2" xfId="27686" xr:uid="{00000000-0005-0000-0000-0000B0C40000}"/>
    <cellStyle name="Normal 16 2 2 2 2 2 2 2 2" xfId="56692" xr:uid="{00000000-0005-0000-0000-0000B1C40000}"/>
    <cellStyle name="Normal 16 2 2 2 2 2 2 3" xfId="42193" xr:uid="{00000000-0005-0000-0000-0000B2C40000}"/>
    <cellStyle name="Normal 16 2 2 2 2 2 3" xfId="20438" xr:uid="{00000000-0005-0000-0000-0000B3C40000}"/>
    <cellStyle name="Normal 16 2 2 2 2 2 3 2" xfId="49444" xr:uid="{00000000-0005-0000-0000-0000B4C40000}"/>
    <cellStyle name="Normal 16 2 2 2 2 2 4" xfId="34945" xr:uid="{00000000-0005-0000-0000-0000B5C40000}"/>
    <cellStyle name="Normal 16 2 2 2 2 3" xfId="10048" xr:uid="{00000000-0005-0000-0000-0000B6C40000}"/>
    <cellStyle name="Normal 16 2 2 2 2 3 2" xfId="24582" xr:uid="{00000000-0005-0000-0000-0000B7C40000}"/>
    <cellStyle name="Normal 16 2 2 2 2 3 2 2" xfId="53588" xr:uid="{00000000-0005-0000-0000-0000B8C40000}"/>
    <cellStyle name="Normal 16 2 2 2 2 3 3" xfId="39089" xr:uid="{00000000-0005-0000-0000-0000B9C40000}"/>
    <cellStyle name="Normal 16 2 2 2 2 4" xfId="17334" xr:uid="{00000000-0005-0000-0000-0000BAC40000}"/>
    <cellStyle name="Normal 16 2 2 2 2 4 2" xfId="46340" xr:uid="{00000000-0005-0000-0000-0000BBC40000}"/>
    <cellStyle name="Normal 16 2 2 2 2 5" xfId="31841" xr:uid="{00000000-0005-0000-0000-0000BCC40000}"/>
    <cellStyle name="Normal 16 2 2 2 3" xfId="3808" xr:uid="{00000000-0005-0000-0000-0000BDC40000}"/>
    <cellStyle name="Normal 16 2 2 2 3 2" xfId="6912" xr:uid="{00000000-0005-0000-0000-0000BEC40000}"/>
    <cellStyle name="Normal 16 2 2 2 3 2 2" xfId="14184" xr:uid="{00000000-0005-0000-0000-0000BFC40000}"/>
    <cellStyle name="Normal 16 2 2 2 3 2 2 2" xfId="28718" xr:uid="{00000000-0005-0000-0000-0000C0C40000}"/>
    <cellStyle name="Normal 16 2 2 2 3 2 2 2 2" xfId="57724" xr:uid="{00000000-0005-0000-0000-0000C1C40000}"/>
    <cellStyle name="Normal 16 2 2 2 3 2 2 3" xfId="43225" xr:uid="{00000000-0005-0000-0000-0000C2C40000}"/>
    <cellStyle name="Normal 16 2 2 2 3 2 3" xfId="21470" xr:uid="{00000000-0005-0000-0000-0000C3C40000}"/>
    <cellStyle name="Normal 16 2 2 2 3 2 3 2" xfId="50476" xr:uid="{00000000-0005-0000-0000-0000C4C40000}"/>
    <cellStyle name="Normal 16 2 2 2 3 2 4" xfId="35977" xr:uid="{00000000-0005-0000-0000-0000C5C40000}"/>
    <cellStyle name="Normal 16 2 2 2 3 3" xfId="11080" xr:uid="{00000000-0005-0000-0000-0000C6C40000}"/>
    <cellStyle name="Normal 16 2 2 2 3 3 2" xfId="25614" xr:uid="{00000000-0005-0000-0000-0000C7C40000}"/>
    <cellStyle name="Normal 16 2 2 2 3 3 2 2" xfId="54620" xr:uid="{00000000-0005-0000-0000-0000C8C40000}"/>
    <cellStyle name="Normal 16 2 2 2 3 3 3" xfId="40121" xr:uid="{00000000-0005-0000-0000-0000C9C40000}"/>
    <cellStyle name="Normal 16 2 2 2 3 4" xfId="18366" xr:uid="{00000000-0005-0000-0000-0000CAC40000}"/>
    <cellStyle name="Normal 16 2 2 2 3 4 2" xfId="47372" xr:uid="{00000000-0005-0000-0000-0000CBC40000}"/>
    <cellStyle name="Normal 16 2 2 2 3 5" xfId="32873" xr:uid="{00000000-0005-0000-0000-0000CCC40000}"/>
    <cellStyle name="Normal 16 2 2 2 4" xfId="4840" xr:uid="{00000000-0005-0000-0000-0000CDC40000}"/>
    <cellStyle name="Normal 16 2 2 2 4 2" xfId="12112" xr:uid="{00000000-0005-0000-0000-0000CEC40000}"/>
    <cellStyle name="Normal 16 2 2 2 4 2 2" xfId="26646" xr:uid="{00000000-0005-0000-0000-0000CFC40000}"/>
    <cellStyle name="Normal 16 2 2 2 4 2 2 2" xfId="55652" xr:uid="{00000000-0005-0000-0000-0000D0C40000}"/>
    <cellStyle name="Normal 16 2 2 2 4 2 3" xfId="41153" xr:uid="{00000000-0005-0000-0000-0000D1C40000}"/>
    <cellStyle name="Normal 16 2 2 2 4 3" xfId="19398" xr:uid="{00000000-0005-0000-0000-0000D2C40000}"/>
    <cellStyle name="Normal 16 2 2 2 4 3 2" xfId="48404" xr:uid="{00000000-0005-0000-0000-0000D3C40000}"/>
    <cellStyle name="Normal 16 2 2 2 4 4" xfId="33905" xr:uid="{00000000-0005-0000-0000-0000D4C40000}"/>
    <cellStyle name="Normal 16 2 2 2 5" xfId="7944" xr:uid="{00000000-0005-0000-0000-0000D5C40000}"/>
    <cellStyle name="Normal 16 2 2 2 5 2" xfId="15216" xr:uid="{00000000-0005-0000-0000-0000D6C40000}"/>
    <cellStyle name="Normal 16 2 2 2 5 2 2" xfId="29750" xr:uid="{00000000-0005-0000-0000-0000D7C40000}"/>
    <cellStyle name="Normal 16 2 2 2 5 2 2 2" xfId="58756" xr:uid="{00000000-0005-0000-0000-0000D8C40000}"/>
    <cellStyle name="Normal 16 2 2 2 5 2 3" xfId="44257" xr:uid="{00000000-0005-0000-0000-0000D9C40000}"/>
    <cellStyle name="Normal 16 2 2 2 5 3" xfId="22502" xr:uid="{00000000-0005-0000-0000-0000DAC40000}"/>
    <cellStyle name="Normal 16 2 2 2 5 3 2" xfId="51508" xr:uid="{00000000-0005-0000-0000-0000DBC40000}"/>
    <cellStyle name="Normal 16 2 2 2 5 4" xfId="37009" xr:uid="{00000000-0005-0000-0000-0000DCC40000}"/>
    <cellStyle name="Normal 16 2 2 2 6" xfId="9008" xr:uid="{00000000-0005-0000-0000-0000DDC40000}"/>
    <cellStyle name="Normal 16 2 2 2 6 2" xfId="23542" xr:uid="{00000000-0005-0000-0000-0000DEC40000}"/>
    <cellStyle name="Normal 16 2 2 2 6 2 2" xfId="52548" xr:uid="{00000000-0005-0000-0000-0000DFC40000}"/>
    <cellStyle name="Normal 16 2 2 2 6 3" xfId="38049" xr:uid="{00000000-0005-0000-0000-0000E0C40000}"/>
    <cellStyle name="Normal 16 2 2 2 7" xfId="16294" xr:uid="{00000000-0005-0000-0000-0000E1C40000}"/>
    <cellStyle name="Normal 16 2 2 2 7 2" xfId="45300" xr:uid="{00000000-0005-0000-0000-0000E2C40000}"/>
    <cellStyle name="Normal 16 2 2 2 8" xfId="30801" xr:uid="{00000000-0005-0000-0000-0000E3C40000}"/>
    <cellStyle name="Normal 16 2 2 3" xfId="2264" xr:uid="{00000000-0005-0000-0000-0000E4C40000}"/>
    <cellStyle name="Normal 16 2 2 3 2" xfId="5368" xr:uid="{00000000-0005-0000-0000-0000E5C40000}"/>
    <cellStyle name="Normal 16 2 2 3 2 2" xfId="12640" xr:uid="{00000000-0005-0000-0000-0000E6C40000}"/>
    <cellStyle name="Normal 16 2 2 3 2 2 2" xfId="27174" xr:uid="{00000000-0005-0000-0000-0000E7C40000}"/>
    <cellStyle name="Normal 16 2 2 3 2 2 2 2" xfId="56180" xr:uid="{00000000-0005-0000-0000-0000E8C40000}"/>
    <cellStyle name="Normal 16 2 2 3 2 2 3" xfId="41681" xr:uid="{00000000-0005-0000-0000-0000E9C40000}"/>
    <cellStyle name="Normal 16 2 2 3 2 3" xfId="19926" xr:uid="{00000000-0005-0000-0000-0000EAC40000}"/>
    <cellStyle name="Normal 16 2 2 3 2 3 2" xfId="48932" xr:uid="{00000000-0005-0000-0000-0000EBC40000}"/>
    <cellStyle name="Normal 16 2 2 3 2 4" xfId="34433" xr:uid="{00000000-0005-0000-0000-0000ECC40000}"/>
    <cellStyle name="Normal 16 2 2 3 3" xfId="9536" xr:uid="{00000000-0005-0000-0000-0000EDC40000}"/>
    <cellStyle name="Normal 16 2 2 3 3 2" xfId="24070" xr:uid="{00000000-0005-0000-0000-0000EEC40000}"/>
    <cellStyle name="Normal 16 2 2 3 3 2 2" xfId="53076" xr:uid="{00000000-0005-0000-0000-0000EFC40000}"/>
    <cellStyle name="Normal 16 2 2 3 3 3" xfId="38577" xr:uid="{00000000-0005-0000-0000-0000F0C40000}"/>
    <cellStyle name="Normal 16 2 2 3 4" xfId="16822" xr:uid="{00000000-0005-0000-0000-0000F1C40000}"/>
    <cellStyle name="Normal 16 2 2 3 4 2" xfId="45828" xr:uid="{00000000-0005-0000-0000-0000F2C40000}"/>
    <cellStyle name="Normal 16 2 2 3 5" xfId="31329" xr:uid="{00000000-0005-0000-0000-0000F3C40000}"/>
    <cellStyle name="Normal 16 2 2 4" xfId="3296" xr:uid="{00000000-0005-0000-0000-0000F4C40000}"/>
    <cellStyle name="Normal 16 2 2 4 2" xfId="6400" xr:uid="{00000000-0005-0000-0000-0000F5C40000}"/>
    <cellStyle name="Normal 16 2 2 4 2 2" xfId="13672" xr:uid="{00000000-0005-0000-0000-0000F6C40000}"/>
    <cellStyle name="Normal 16 2 2 4 2 2 2" xfId="28206" xr:uid="{00000000-0005-0000-0000-0000F7C40000}"/>
    <cellStyle name="Normal 16 2 2 4 2 2 2 2" xfId="57212" xr:uid="{00000000-0005-0000-0000-0000F8C40000}"/>
    <cellStyle name="Normal 16 2 2 4 2 2 3" xfId="42713" xr:uid="{00000000-0005-0000-0000-0000F9C40000}"/>
    <cellStyle name="Normal 16 2 2 4 2 3" xfId="20958" xr:uid="{00000000-0005-0000-0000-0000FAC40000}"/>
    <cellStyle name="Normal 16 2 2 4 2 3 2" xfId="49964" xr:uid="{00000000-0005-0000-0000-0000FBC40000}"/>
    <cellStyle name="Normal 16 2 2 4 2 4" xfId="35465" xr:uid="{00000000-0005-0000-0000-0000FCC40000}"/>
    <cellStyle name="Normal 16 2 2 4 3" xfId="10568" xr:uid="{00000000-0005-0000-0000-0000FDC40000}"/>
    <cellStyle name="Normal 16 2 2 4 3 2" xfId="25102" xr:uid="{00000000-0005-0000-0000-0000FEC40000}"/>
    <cellStyle name="Normal 16 2 2 4 3 2 2" xfId="54108" xr:uid="{00000000-0005-0000-0000-0000FFC40000}"/>
    <cellStyle name="Normal 16 2 2 4 3 3" xfId="39609" xr:uid="{00000000-0005-0000-0000-000000C50000}"/>
    <cellStyle name="Normal 16 2 2 4 4" xfId="17854" xr:uid="{00000000-0005-0000-0000-000001C50000}"/>
    <cellStyle name="Normal 16 2 2 4 4 2" xfId="46860" xr:uid="{00000000-0005-0000-0000-000002C50000}"/>
    <cellStyle name="Normal 16 2 2 4 5" xfId="32361" xr:uid="{00000000-0005-0000-0000-000003C50000}"/>
    <cellStyle name="Normal 16 2 2 5" xfId="4328" xr:uid="{00000000-0005-0000-0000-000004C50000}"/>
    <cellStyle name="Normal 16 2 2 5 2" xfId="11600" xr:uid="{00000000-0005-0000-0000-000005C50000}"/>
    <cellStyle name="Normal 16 2 2 5 2 2" xfId="26134" xr:uid="{00000000-0005-0000-0000-000006C50000}"/>
    <cellStyle name="Normal 16 2 2 5 2 2 2" xfId="55140" xr:uid="{00000000-0005-0000-0000-000007C50000}"/>
    <cellStyle name="Normal 16 2 2 5 2 3" xfId="40641" xr:uid="{00000000-0005-0000-0000-000008C50000}"/>
    <cellStyle name="Normal 16 2 2 5 3" xfId="18886" xr:uid="{00000000-0005-0000-0000-000009C50000}"/>
    <cellStyle name="Normal 16 2 2 5 3 2" xfId="47892" xr:uid="{00000000-0005-0000-0000-00000AC50000}"/>
    <cellStyle name="Normal 16 2 2 5 4" xfId="33393" xr:uid="{00000000-0005-0000-0000-00000BC50000}"/>
    <cellStyle name="Normal 16 2 2 6" xfId="7432" xr:uid="{00000000-0005-0000-0000-00000CC50000}"/>
    <cellStyle name="Normal 16 2 2 6 2" xfId="14704" xr:uid="{00000000-0005-0000-0000-00000DC50000}"/>
    <cellStyle name="Normal 16 2 2 6 2 2" xfId="29238" xr:uid="{00000000-0005-0000-0000-00000EC50000}"/>
    <cellStyle name="Normal 16 2 2 6 2 2 2" xfId="58244" xr:uid="{00000000-0005-0000-0000-00000FC50000}"/>
    <cellStyle name="Normal 16 2 2 6 2 3" xfId="43745" xr:uid="{00000000-0005-0000-0000-000010C50000}"/>
    <cellStyle name="Normal 16 2 2 6 3" xfId="21990" xr:uid="{00000000-0005-0000-0000-000011C50000}"/>
    <cellStyle name="Normal 16 2 2 6 3 2" xfId="50996" xr:uid="{00000000-0005-0000-0000-000012C50000}"/>
    <cellStyle name="Normal 16 2 2 6 4" xfId="36497" xr:uid="{00000000-0005-0000-0000-000013C50000}"/>
    <cellStyle name="Normal 16 2 2 7" xfId="8496" xr:uid="{00000000-0005-0000-0000-000014C50000}"/>
    <cellStyle name="Normal 16 2 2 7 2" xfId="23030" xr:uid="{00000000-0005-0000-0000-000015C50000}"/>
    <cellStyle name="Normal 16 2 2 7 2 2" xfId="52036" xr:uid="{00000000-0005-0000-0000-000016C50000}"/>
    <cellStyle name="Normal 16 2 2 7 3" xfId="37537" xr:uid="{00000000-0005-0000-0000-000017C50000}"/>
    <cellStyle name="Normal 16 2 2 8" xfId="15782" xr:uid="{00000000-0005-0000-0000-000018C50000}"/>
    <cellStyle name="Normal 16 2 2 8 2" xfId="44788" xr:uid="{00000000-0005-0000-0000-000019C50000}"/>
    <cellStyle name="Normal 16 2 2 9" xfId="30289" xr:uid="{00000000-0005-0000-0000-00001AC50000}"/>
    <cellStyle name="Normal 16 2 3" xfId="1412" xr:uid="{00000000-0005-0000-0000-00001BC50000}"/>
    <cellStyle name="Normal 16 2 3 2" xfId="2470" xr:uid="{00000000-0005-0000-0000-00001CC50000}"/>
    <cellStyle name="Normal 16 2 3 2 2" xfId="5574" xr:uid="{00000000-0005-0000-0000-00001DC50000}"/>
    <cellStyle name="Normal 16 2 3 2 2 2" xfId="12846" xr:uid="{00000000-0005-0000-0000-00001EC50000}"/>
    <cellStyle name="Normal 16 2 3 2 2 2 2" xfId="27380" xr:uid="{00000000-0005-0000-0000-00001FC50000}"/>
    <cellStyle name="Normal 16 2 3 2 2 2 2 2" xfId="56386" xr:uid="{00000000-0005-0000-0000-000020C50000}"/>
    <cellStyle name="Normal 16 2 3 2 2 2 3" xfId="41887" xr:uid="{00000000-0005-0000-0000-000021C50000}"/>
    <cellStyle name="Normal 16 2 3 2 2 3" xfId="20132" xr:uid="{00000000-0005-0000-0000-000022C50000}"/>
    <cellStyle name="Normal 16 2 3 2 2 3 2" xfId="49138" xr:uid="{00000000-0005-0000-0000-000023C50000}"/>
    <cellStyle name="Normal 16 2 3 2 2 4" xfId="34639" xr:uid="{00000000-0005-0000-0000-000024C50000}"/>
    <cellStyle name="Normal 16 2 3 2 3" xfId="9742" xr:uid="{00000000-0005-0000-0000-000025C50000}"/>
    <cellStyle name="Normal 16 2 3 2 3 2" xfId="24276" xr:uid="{00000000-0005-0000-0000-000026C50000}"/>
    <cellStyle name="Normal 16 2 3 2 3 2 2" xfId="53282" xr:uid="{00000000-0005-0000-0000-000027C50000}"/>
    <cellStyle name="Normal 16 2 3 2 3 3" xfId="38783" xr:uid="{00000000-0005-0000-0000-000028C50000}"/>
    <cellStyle name="Normal 16 2 3 2 4" xfId="17028" xr:uid="{00000000-0005-0000-0000-000029C50000}"/>
    <cellStyle name="Normal 16 2 3 2 4 2" xfId="46034" xr:uid="{00000000-0005-0000-0000-00002AC50000}"/>
    <cellStyle name="Normal 16 2 3 2 5" xfId="31535" xr:uid="{00000000-0005-0000-0000-00002BC50000}"/>
    <cellStyle name="Normal 16 2 3 3" xfId="3502" xr:uid="{00000000-0005-0000-0000-00002CC50000}"/>
    <cellStyle name="Normal 16 2 3 3 2" xfId="6606" xr:uid="{00000000-0005-0000-0000-00002DC50000}"/>
    <cellStyle name="Normal 16 2 3 3 2 2" xfId="13878" xr:uid="{00000000-0005-0000-0000-00002EC50000}"/>
    <cellStyle name="Normal 16 2 3 3 2 2 2" xfId="28412" xr:uid="{00000000-0005-0000-0000-00002FC50000}"/>
    <cellStyle name="Normal 16 2 3 3 2 2 2 2" xfId="57418" xr:uid="{00000000-0005-0000-0000-000030C50000}"/>
    <cellStyle name="Normal 16 2 3 3 2 2 3" xfId="42919" xr:uid="{00000000-0005-0000-0000-000031C50000}"/>
    <cellStyle name="Normal 16 2 3 3 2 3" xfId="21164" xr:uid="{00000000-0005-0000-0000-000032C50000}"/>
    <cellStyle name="Normal 16 2 3 3 2 3 2" xfId="50170" xr:uid="{00000000-0005-0000-0000-000033C50000}"/>
    <cellStyle name="Normal 16 2 3 3 2 4" xfId="35671" xr:uid="{00000000-0005-0000-0000-000034C50000}"/>
    <cellStyle name="Normal 16 2 3 3 3" xfId="10774" xr:uid="{00000000-0005-0000-0000-000035C50000}"/>
    <cellStyle name="Normal 16 2 3 3 3 2" xfId="25308" xr:uid="{00000000-0005-0000-0000-000036C50000}"/>
    <cellStyle name="Normal 16 2 3 3 3 2 2" xfId="54314" xr:uid="{00000000-0005-0000-0000-000037C50000}"/>
    <cellStyle name="Normal 16 2 3 3 3 3" xfId="39815" xr:uid="{00000000-0005-0000-0000-000038C50000}"/>
    <cellStyle name="Normal 16 2 3 3 4" xfId="18060" xr:uid="{00000000-0005-0000-0000-000039C50000}"/>
    <cellStyle name="Normal 16 2 3 3 4 2" xfId="47066" xr:uid="{00000000-0005-0000-0000-00003AC50000}"/>
    <cellStyle name="Normal 16 2 3 3 5" xfId="32567" xr:uid="{00000000-0005-0000-0000-00003BC50000}"/>
    <cellStyle name="Normal 16 2 3 4" xfId="4534" xr:uid="{00000000-0005-0000-0000-00003CC50000}"/>
    <cellStyle name="Normal 16 2 3 4 2" xfId="11806" xr:uid="{00000000-0005-0000-0000-00003DC50000}"/>
    <cellStyle name="Normal 16 2 3 4 2 2" xfId="26340" xr:uid="{00000000-0005-0000-0000-00003EC50000}"/>
    <cellStyle name="Normal 16 2 3 4 2 2 2" xfId="55346" xr:uid="{00000000-0005-0000-0000-00003FC50000}"/>
    <cellStyle name="Normal 16 2 3 4 2 3" xfId="40847" xr:uid="{00000000-0005-0000-0000-000040C50000}"/>
    <cellStyle name="Normal 16 2 3 4 3" xfId="19092" xr:uid="{00000000-0005-0000-0000-000041C50000}"/>
    <cellStyle name="Normal 16 2 3 4 3 2" xfId="48098" xr:uid="{00000000-0005-0000-0000-000042C50000}"/>
    <cellStyle name="Normal 16 2 3 4 4" xfId="33599" xr:uid="{00000000-0005-0000-0000-000043C50000}"/>
    <cellStyle name="Normal 16 2 3 5" xfId="7638" xr:uid="{00000000-0005-0000-0000-000044C50000}"/>
    <cellStyle name="Normal 16 2 3 5 2" xfId="14910" xr:uid="{00000000-0005-0000-0000-000045C50000}"/>
    <cellStyle name="Normal 16 2 3 5 2 2" xfId="29444" xr:uid="{00000000-0005-0000-0000-000046C50000}"/>
    <cellStyle name="Normal 16 2 3 5 2 2 2" xfId="58450" xr:uid="{00000000-0005-0000-0000-000047C50000}"/>
    <cellStyle name="Normal 16 2 3 5 2 3" xfId="43951" xr:uid="{00000000-0005-0000-0000-000048C50000}"/>
    <cellStyle name="Normal 16 2 3 5 3" xfId="22196" xr:uid="{00000000-0005-0000-0000-000049C50000}"/>
    <cellStyle name="Normal 16 2 3 5 3 2" xfId="51202" xr:uid="{00000000-0005-0000-0000-00004AC50000}"/>
    <cellStyle name="Normal 16 2 3 5 4" xfId="36703" xr:uid="{00000000-0005-0000-0000-00004BC50000}"/>
    <cellStyle name="Normal 16 2 3 6" xfId="8702" xr:uid="{00000000-0005-0000-0000-00004CC50000}"/>
    <cellStyle name="Normal 16 2 3 6 2" xfId="23236" xr:uid="{00000000-0005-0000-0000-00004DC50000}"/>
    <cellStyle name="Normal 16 2 3 6 2 2" xfId="52242" xr:uid="{00000000-0005-0000-0000-00004EC50000}"/>
    <cellStyle name="Normal 16 2 3 6 3" xfId="37743" xr:uid="{00000000-0005-0000-0000-00004FC50000}"/>
    <cellStyle name="Normal 16 2 3 7" xfId="15988" xr:uid="{00000000-0005-0000-0000-000050C50000}"/>
    <cellStyle name="Normal 16 2 3 7 2" xfId="44994" xr:uid="{00000000-0005-0000-0000-000051C50000}"/>
    <cellStyle name="Normal 16 2 3 8" xfId="30495" xr:uid="{00000000-0005-0000-0000-000052C50000}"/>
    <cellStyle name="Normal 16 2 4" xfId="1958" xr:uid="{00000000-0005-0000-0000-000053C50000}"/>
    <cellStyle name="Normal 16 2 4 2" xfId="5062" xr:uid="{00000000-0005-0000-0000-000054C50000}"/>
    <cellStyle name="Normal 16 2 4 2 2" xfId="12334" xr:uid="{00000000-0005-0000-0000-000055C50000}"/>
    <cellStyle name="Normal 16 2 4 2 2 2" xfId="26868" xr:uid="{00000000-0005-0000-0000-000056C50000}"/>
    <cellStyle name="Normal 16 2 4 2 2 2 2" xfId="55874" xr:uid="{00000000-0005-0000-0000-000057C50000}"/>
    <cellStyle name="Normal 16 2 4 2 2 3" xfId="41375" xr:uid="{00000000-0005-0000-0000-000058C50000}"/>
    <cellStyle name="Normal 16 2 4 2 3" xfId="19620" xr:uid="{00000000-0005-0000-0000-000059C50000}"/>
    <cellStyle name="Normal 16 2 4 2 3 2" xfId="48626" xr:uid="{00000000-0005-0000-0000-00005AC50000}"/>
    <cellStyle name="Normal 16 2 4 2 4" xfId="34127" xr:uid="{00000000-0005-0000-0000-00005BC50000}"/>
    <cellStyle name="Normal 16 2 4 3" xfId="9230" xr:uid="{00000000-0005-0000-0000-00005CC50000}"/>
    <cellStyle name="Normal 16 2 4 3 2" xfId="23764" xr:uid="{00000000-0005-0000-0000-00005DC50000}"/>
    <cellStyle name="Normal 16 2 4 3 2 2" xfId="52770" xr:uid="{00000000-0005-0000-0000-00005EC50000}"/>
    <cellStyle name="Normal 16 2 4 3 3" xfId="38271" xr:uid="{00000000-0005-0000-0000-00005FC50000}"/>
    <cellStyle name="Normal 16 2 4 4" xfId="16516" xr:uid="{00000000-0005-0000-0000-000060C50000}"/>
    <cellStyle name="Normal 16 2 4 4 2" xfId="45522" xr:uid="{00000000-0005-0000-0000-000061C50000}"/>
    <cellStyle name="Normal 16 2 4 5" xfId="31023" xr:uid="{00000000-0005-0000-0000-000062C50000}"/>
    <cellStyle name="Normal 16 2 5" xfId="2990" xr:uid="{00000000-0005-0000-0000-000063C50000}"/>
    <cellStyle name="Normal 16 2 5 2" xfId="6094" xr:uid="{00000000-0005-0000-0000-000064C50000}"/>
    <cellStyle name="Normal 16 2 5 2 2" xfId="13366" xr:uid="{00000000-0005-0000-0000-000065C50000}"/>
    <cellStyle name="Normal 16 2 5 2 2 2" xfId="27900" xr:uid="{00000000-0005-0000-0000-000066C50000}"/>
    <cellStyle name="Normal 16 2 5 2 2 2 2" xfId="56906" xr:uid="{00000000-0005-0000-0000-000067C50000}"/>
    <cellStyle name="Normal 16 2 5 2 2 3" xfId="42407" xr:uid="{00000000-0005-0000-0000-000068C50000}"/>
    <cellStyle name="Normal 16 2 5 2 3" xfId="20652" xr:uid="{00000000-0005-0000-0000-000069C50000}"/>
    <cellStyle name="Normal 16 2 5 2 3 2" xfId="49658" xr:uid="{00000000-0005-0000-0000-00006AC50000}"/>
    <cellStyle name="Normal 16 2 5 2 4" xfId="35159" xr:uid="{00000000-0005-0000-0000-00006BC50000}"/>
    <cellStyle name="Normal 16 2 5 3" xfId="10262" xr:uid="{00000000-0005-0000-0000-00006CC50000}"/>
    <cellStyle name="Normal 16 2 5 3 2" xfId="24796" xr:uid="{00000000-0005-0000-0000-00006DC50000}"/>
    <cellStyle name="Normal 16 2 5 3 2 2" xfId="53802" xr:uid="{00000000-0005-0000-0000-00006EC50000}"/>
    <cellStyle name="Normal 16 2 5 3 3" xfId="39303" xr:uid="{00000000-0005-0000-0000-00006FC50000}"/>
    <cellStyle name="Normal 16 2 5 4" xfId="17548" xr:uid="{00000000-0005-0000-0000-000070C50000}"/>
    <cellStyle name="Normal 16 2 5 4 2" xfId="46554" xr:uid="{00000000-0005-0000-0000-000071C50000}"/>
    <cellStyle name="Normal 16 2 5 5" xfId="32055" xr:uid="{00000000-0005-0000-0000-000072C50000}"/>
    <cellStyle name="Normal 16 2 6" xfId="4022" xr:uid="{00000000-0005-0000-0000-000073C50000}"/>
    <cellStyle name="Normal 16 2 6 2" xfId="11294" xr:uid="{00000000-0005-0000-0000-000074C50000}"/>
    <cellStyle name="Normal 16 2 6 2 2" xfId="25828" xr:uid="{00000000-0005-0000-0000-000075C50000}"/>
    <cellStyle name="Normal 16 2 6 2 2 2" xfId="54834" xr:uid="{00000000-0005-0000-0000-000076C50000}"/>
    <cellStyle name="Normal 16 2 6 2 3" xfId="40335" xr:uid="{00000000-0005-0000-0000-000077C50000}"/>
    <cellStyle name="Normal 16 2 6 3" xfId="18580" xr:uid="{00000000-0005-0000-0000-000078C50000}"/>
    <cellStyle name="Normal 16 2 6 3 2" xfId="47586" xr:uid="{00000000-0005-0000-0000-000079C50000}"/>
    <cellStyle name="Normal 16 2 6 4" xfId="33087" xr:uid="{00000000-0005-0000-0000-00007AC50000}"/>
    <cellStyle name="Normal 16 2 7" xfId="7126" xr:uid="{00000000-0005-0000-0000-00007BC50000}"/>
    <cellStyle name="Normal 16 2 7 2" xfId="14398" xr:uid="{00000000-0005-0000-0000-00007CC50000}"/>
    <cellStyle name="Normal 16 2 7 2 2" xfId="28932" xr:uid="{00000000-0005-0000-0000-00007DC50000}"/>
    <cellStyle name="Normal 16 2 7 2 2 2" xfId="57938" xr:uid="{00000000-0005-0000-0000-00007EC50000}"/>
    <cellStyle name="Normal 16 2 7 2 3" xfId="43439" xr:uid="{00000000-0005-0000-0000-00007FC50000}"/>
    <cellStyle name="Normal 16 2 7 3" xfId="21684" xr:uid="{00000000-0005-0000-0000-000080C50000}"/>
    <cellStyle name="Normal 16 2 7 3 2" xfId="50690" xr:uid="{00000000-0005-0000-0000-000081C50000}"/>
    <cellStyle name="Normal 16 2 7 4" xfId="36191" xr:uid="{00000000-0005-0000-0000-000082C50000}"/>
    <cellStyle name="Normal 16 2 8" xfId="8190" xr:uid="{00000000-0005-0000-0000-000083C50000}"/>
    <cellStyle name="Normal 16 2 8 2" xfId="22724" xr:uid="{00000000-0005-0000-0000-000084C50000}"/>
    <cellStyle name="Normal 16 2 8 2 2" xfId="51730" xr:uid="{00000000-0005-0000-0000-000085C50000}"/>
    <cellStyle name="Normal 16 2 8 3" xfId="37231" xr:uid="{00000000-0005-0000-0000-000086C50000}"/>
    <cellStyle name="Normal 16 2 9" xfId="15476" xr:uid="{00000000-0005-0000-0000-000087C50000}"/>
    <cellStyle name="Normal 16 2 9 2" xfId="44482" xr:uid="{00000000-0005-0000-0000-000088C50000}"/>
    <cellStyle name="Normal 16 3" xfId="1116" xr:uid="{00000000-0005-0000-0000-000089C50000}"/>
    <cellStyle name="Normal 16 3 2" xfId="1614" xr:uid="{00000000-0005-0000-0000-00008AC50000}"/>
    <cellStyle name="Normal 16 3 2 2" xfId="2673" xr:uid="{00000000-0005-0000-0000-00008BC50000}"/>
    <cellStyle name="Normal 16 3 2 2 2" xfId="5777" xr:uid="{00000000-0005-0000-0000-00008CC50000}"/>
    <cellStyle name="Normal 16 3 2 2 2 2" xfId="13049" xr:uid="{00000000-0005-0000-0000-00008DC50000}"/>
    <cellStyle name="Normal 16 3 2 2 2 2 2" xfId="27583" xr:uid="{00000000-0005-0000-0000-00008EC50000}"/>
    <cellStyle name="Normal 16 3 2 2 2 2 2 2" xfId="56589" xr:uid="{00000000-0005-0000-0000-00008FC50000}"/>
    <cellStyle name="Normal 16 3 2 2 2 2 3" xfId="42090" xr:uid="{00000000-0005-0000-0000-000090C50000}"/>
    <cellStyle name="Normal 16 3 2 2 2 3" xfId="20335" xr:uid="{00000000-0005-0000-0000-000091C50000}"/>
    <cellStyle name="Normal 16 3 2 2 2 3 2" xfId="49341" xr:uid="{00000000-0005-0000-0000-000092C50000}"/>
    <cellStyle name="Normal 16 3 2 2 2 4" xfId="34842" xr:uid="{00000000-0005-0000-0000-000093C50000}"/>
    <cellStyle name="Normal 16 3 2 2 3" xfId="9945" xr:uid="{00000000-0005-0000-0000-000094C50000}"/>
    <cellStyle name="Normal 16 3 2 2 3 2" xfId="24479" xr:uid="{00000000-0005-0000-0000-000095C50000}"/>
    <cellStyle name="Normal 16 3 2 2 3 2 2" xfId="53485" xr:uid="{00000000-0005-0000-0000-000096C50000}"/>
    <cellStyle name="Normal 16 3 2 2 3 3" xfId="38986" xr:uid="{00000000-0005-0000-0000-000097C50000}"/>
    <cellStyle name="Normal 16 3 2 2 4" xfId="17231" xr:uid="{00000000-0005-0000-0000-000098C50000}"/>
    <cellStyle name="Normal 16 3 2 2 4 2" xfId="46237" xr:uid="{00000000-0005-0000-0000-000099C50000}"/>
    <cellStyle name="Normal 16 3 2 2 5" xfId="31738" xr:uid="{00000000-0005-0000-0000-00009AC50000}"/>
    <cellStyle name="Normal 16 3 2 3" xfId="3705" xr:uid="{00000000-0005-0000-0000-00009BC50000}"/>
    <cellStyle name="Normal 16 3 2 3 2" xfId="6809" xr:uid="{00000000-0005-0000-0000-00009CC50000}"/>
    <cellStyle name="Normal 16 3 2 3 2 2" xfId="14081" xr:uid="{00000000-0005-0000-0000-00009DC50000}"/>
    <cellStyle name="Normal 16 3 2 3 2 2 2" xfId="28615" xr:uid="{00000000-0005-0000-0000-00009EC50000}"/>
    <cellStyle name="Normal 16 3 2 3 2 2 2 2" xfId="57621" xr:uid="{00000000-0005-0000-0000-00009FC50000}"/>
    <cellStyle name="Normal 16 3 2 3 2 2 3" xfId="43122" xr:uid="{00000000-0005-0000-0000-0000A0C50000}"/>
    <cellStyle name="Normal 16 3 2 3 2 3" xfId="21367" xr:uid="{00000000-0005-0000-0000-0000A1C50000}"/>
    <cellStyle name="Normal 16 3 2 3 2 3 2" xfId="50373" xr:uid="{00000000-0005-0000-0000-0000A2C50000}"/>
    <cellStyle name="Normal 16 3 2 3 2 4" xfId="35874" xr:uid="{00000000-0005-0000-0000-0000A3C50000}"/>
    <cellStyle name="Normal 16 3 2 3 3" xfId="10977" xr:uid="{00000000-0005-0000-0000-0000A4C50000}"/>
    <cellStyle name="Normal 16 3 2 3 3 2" xfId="25511" xr:uid="{00000000-0005-0000-0000-0000A5C50000}"/>
    <cellStyle name="Normal 16 3 2 3 3 2 2" xfId="54517" xr:uid="{00000000-0005-0000-0000-0000A6C50000}"/>
    <cellStyle name="Normal 16 3 2 3 3 3" xfId="40018" xr:uid="{00000000-0005-0000-0000-0000A7C50000}"/>
    <cellStyle name="Normal 16 3 2 3 4" xfId="18263" xr:uid="{00000000-0005-0000-0000-0000A8C50000}"/>
    <cellStyle name="Normal 16 3 2 3 4 2" xfId="47269" xr:uid="{00000000-0005-0000-0000-0000A9C50000}"/>
    <cellStyle name="Normal 16 3 2 3 5" xfId="32770" xr:uid="{00000000-0005-0000-0000-0000AAC50000}"/>
    <cellStyle name="Normal 16 3 2 4" xfId="4737" xr:uid="{00000000-0005-0000-0000-0000ABC50000}"/>
    <cellStyle name="Normal 16 3 2 4 2" xfId="12009" xr:uid="{00000000-0005-0000-0000-0000ACC50000}"/>
    <cellStyle name="Normal 16 3 2 4 2 2" xfId="26543" xr:uid="{00000000-0005-0000-0000-0000ADC50000}"/>
    <cellStyle name="Normal 16 3 2 4 2 2 2" xfId="55549" xr:uid="{00000000-0005-0000-0000-0000AEC50000}"/>
    <cellStyle name="Normal 16 3 2 4 2 3" xfId="41050" xr:uid="{00000000-0005-0000-0000-0000AFC50000}"/>
    <cellStyle name="Normal 16 3 2 4 3" xfId="19295" xr:uid="{00000000-0005-0000-0000-0000B0C50000}"/>
    <cellStyle name="Normal 16 3 2 4 3 2" xfId="48301" xr:uid="{00000000-0005-0000-0000-0000B1C50000}"/>
    <cellStyle name="Normal 16 3 2 4 4" xfId="33802" xr:uid="{00000000-0005-0000-0000-0000B2C50000}"/>
    <cellStyle name="Normal 16 3 2 5" xfId="7841" xr:uid="{00000000-0005-0000-0000-0000B3C50000}"/>
    <cellStyle name="Normal 16 3 2 5 2" xfId="15113" xr:uid="{00000000-0005-0000-0000-0000B4C50000}"/>
    <cellStyle name="Normal 16 3 2 5 2 2" xfId="29647" xr:uid="{00000000-0005-0000-0000-0000B5C50000}"/>
    <cellStyle name="Normal 16 3 2 5 2 2 2" xfId="58653" xr:uid="{00000000-0005-0000-0000-0000B6C50000}"/>
    <cellStyle name="Normal 16 3 2 5 2 3" xfId="44154" xr:uid="{00000000-0005-0000-0000-0000B7C50000}"/>
    <cellStyle name="Normal 16 3 2 5 3" xfId="22399" xr:uid="{00000000-0005-0000-0000-0000B8C50000}"/>
    <cellStyle name="Normal 16 3 2 5 3 2" xfId="51405" xr:uid="{00000000-0005-0000-0000-0000B9C50000}"/>
    <cellStyle name="Normal 16 3 2 5 4" xfId="36906" xr:uid="{00000000-0005-0000-0000-0000BAC50000}"/>
    <cellStyle name="Normal 16 3 2 6" xfId="8905" xr:uid="{00000000-0005-0000-0000-0000BBC50000}"/>
    <cellStyle name="Normal 16 3 2 6 2" xfId="23439" xr:uid="{00000000-0005-0000-0000-0000BCC50000}"/>
    <cellStyle name="Normal 16 3 2 6 2 2" xfId="52445" xr:uid="{00000000-0005-0000-0000-0000BDC50000}"/>
    <cellStyle name="Normal 16 3 2 6 3" xfId="37946" xr:uid="{00000000-0005-0000-0000-0000BEC50000}"/>
    <cellStyle name="Normal 16 3 2 7" xfId="16191" xr:uid="{00000000-0005-0000-0000-0000BFC50000}"/>
    <cellStyle name="Normal 16 3 2 7 2" xfId="45197" xr:uid="{00000000-0005-0000-0000-0000C0C50000}"/>
    <cellStyle name="Normal 16 3 2 8" xfId="30698" xr:uid="{00000000-0005-0000-0000-0000C1C50000}"/>
    <cellStyle name="Normal 16 3 3" xfId="2161" xr:uid="{00000000-0005-0000-0000-0000C2C50000}"/>
    <cellStyle name="Normal 16 3 3 2" xfId="5265" xr:uid="{00000000-0005-0000-0000-0000C3C50000}"/>
    <cellStyle name="Normal 16 3 3 2 2" xfId="12537" xr:uid="{00000000-0005-0000-0000-0000C4C50000}"/>
    <cellStyle name="Normal 16 3 3 2 2 2" xfId="27071" xr:uid="{00000000-0005-0000-0000-0000C5C50000}"/>
    <cellStyle name="Normal 16 3 3 2 2 2 2" xfId="56077" xr:uid="{00000000-0005-0000-0000-0000C6C50000}"/>
    <cellStyle name="Normal 16 3 3 2 2 3" xfId="41578" xr:uid="{00000000-0005-0000-0000-0000C7C50000}"/>
    <cellStyle name="Normal 16 3 3 2 3" xfId="19823" xr:uid="{00000000-0005-0000-0000-0000C8C50000}"/>
    <cellStyle name="Normal 16 3 3 2 3 2" xfId="48829" xr:uid="{00000000-0005-0000-0000-0000C9C50000}"/>
    <cellStyle name="Normal 16 3 3 2 4" xfId="34330" xr:uid="{00000000-0005-0000-0000-0000CAC50000}"/>
    <cellStyle name="Normal 16 3 3 3" xfId="9433" xr:uid="{00000000-0005-0000-0000-0000CBC50000}"/>
    <cellStyle name="Normal 16 3 3 3 2" xfId="23967" xr:uid="{00000000-0005-0000-0000-0000CCC50000}"/>
    <cellStyle name="Normal 16 3 3 3 2 2" xfId="52973" xr:uid="{00000000-0005-0000-0000-0000CDC50000}"/>
    <cellStyle name="Normal 16 3 3 3 3" xfId="38474" xr:uid="{00000000-0005-0000-0000-0000CEC50000}"/>
    <cellStyle name="Normal 16 3 3 4" xfId="16719" xr:uid="{00000000-0005-0000-0000-0000CFC50000}"/>
    <cellStyle name="Normal 16 3 3 4 2" xfId="45725" xr:uid="{00000000-0005-0000-0000-0000D0C50000}"/>
    <cellStyle name="Normal 16 3 3 5" xfId="31226" xr:uid="{00000000-0005-0000-0000-0000D1C50000}"/>
    <cellStyle name="Normal 16 3 4" xfId="3193" xr:uid="{00000000-0005-0000-0000-0000D2C50000}"/>
    <cellStyle name="Normal 16 3 4 2" xfId="6297" xr:uid="{00000000-0005-0000-0000-0000D3C50000}"/>
    <cellStyle name="Normal 16 3 4 2 2" xfId="13569" xr:uid="{00000000-0005-0000-0000-0000D4C50000}"/>
    <cellStyle name="Normal 16 3 4 2 2 2" xfId="28103" xr:uid="{00000000-0005-0000-0000-0000D5C50000}"/>
    <cellStyle name="Normal 16 3 4 2 2 2 2" xfId="57109" xr:uid="{00000000-0005-0000-0000-0000D6C50000}"/>
    <cellStyle name="Normal 16 3 4 2 2 3" xfId="42610" xr:uid="{00000000-0005-0000-0000-0000D7C50000}"/>
    <cellStyle name="Normal 16 3 4 2 3" xfId="20855" xr:uid="{00000000-0005-0000-0000-0000D8C50000}"/>
    <cellStyle name="Normal 16 3 4 2 3 2" xfId="49861" xr:uid="{00000000-0005-0000-0000-0000D9C50000}"/>
    <cellStyle name="Normal 16 3 4 2 4" xfId="35362" xr:uid="{00000000-0005-0000-0000-0000DAC50000}"/>
    <cellStyle name="Normal 16 3 4 3" xfId="10465" xr:uid="{00000000-0005-0000-0000-0000DBC50000}"/>
    <cellStyle name="Normal 16 3 4 3 2" xfId="24999" xr:uid="{00000000-0005-0000-0000-0000DCC50000}"/>
    <cellStyle name="Normal 16 3 4 3 2 2" xfId="54005" xr:uid="{00000000-0005-0000-0000-0000DDC50000}"/>
    <cellStyle name="Normal 16 3 4 3 3" xfId="39506" xr:uid="{00000000-0005-0000-0000-0000DEC50000}"/>
    <cellStyle name="Normal 16 3 4 4" xfId="17751" xr:uid="{00000000-0005-0000-0000-0000DFC50000}"/>
    <cellStyle name="Normal 16 3 4 4 2" xfId="46757" xr:uid="{00000000-0005-0000-0000-0000E0C50000}"/>
    <cellStyle name="Normal 16 3 4 5" xfId="32258" xr:uid="{00000000-0005-0000-0000-0000E1C50000}"/>
    <cellStyle name="Normal 16 3 5" xfId="4225" xr:uid="{00000000-0005-0000-0000-0000E2C50000}"/>
    <cellStyle name="Normal 16 3 5 2" xfId="11497" xr:uid="{00000000-0005-0000-0000-0000E3C50000}"/>
    <cellStyle name="Normal 16 3 5 2 2" xfId="26031" xr:uid="{00000000-0005-0000-0000-0000E4C50000}"/>
    <cellStyle name="Normal 16 3 5 2 2 2" xfId="55037" xr:uid="{00000000-0005-0000-0000-0000E5C50000}"/>
    <cellStyle name="Normal 16 3 5 2 3" xfId="40538" xr:uid="{00000000-0005-0000-0000-0000E6C50000}"/>
    <cellStyle name="Normal 16 3 5 3" xfId="18783" xr:uid="{00000000-0005-0000-0000-0000E7C50000}"/>
    <cellStyle name="Normal 16 3 5 3 2" xfId="47789" xr:uid="{00000000-0005-0000-0000-0000E8C50000}"/>
    <cellStyle name="Normal 16 3 5 4" xfId="33290" xr:uid="{00000000-0005-0000-0000-0000E9C50000}"/>
    <cellStyle name="Normal 16 3 6" xfId="7329" xr:uid="{00000000-0005-0000-0000-0000EAC50000}"/>
    <cellStyle name="Normal 16 3 6 2" xfId="14601" xr:uid="{00000000-0005-0000-0000-0000EBC50000}"/>
    <cellStyle name="Normal 16 3 6 2 2" xfId="29135" xr:uid="{00000000-0005-0000-0000-0000ECC50000}"/>
    <cellStyle name="Normal 16 3 6 2 2 2" xfId="58141" xr:uid="{00000000-0005-0000-0000-0000EDC50000}"/>
    <cellStyle name="Normal 16 3 6 2 3" xfId="43642" xr:uid="{00000000-0005-0000-0000-0000EEC50000}"/>
    <cellStyle name="Normal 16 3 6 3" xfId="21887" xr:uid="{00000000-0005-0000-0000-0000EFC50000}"/>
    <cellStyle name="Normal 16 3 6 3 2" xfId="50893" xr:uid="{00000000-0005-0000-0000-0000F0C50000}"/>
    <cellStyle name="Normal 16 3 6 4" xfId="36394" xr:uid="{00000000-0005-0000-0000-0000F1C50000}"/>
    <cellStyle name="Normal 16 3 7" xfId="8393" xr:uid="{00000000-0005-0000-0000-0000F2C50000}"/>
    <cellStyle name="Normal 16 3 7 2" xfId="22927" xr:uid="{00000000-0005-0000-0000-0000F3C50000}"/>
    <cellStyle name="Normal 16 3 7 2 2" xfId="51933" xr:uid="{00000000-0005-0000-0000-0000F4C50000}"/>
    <cellStyle name="Normal 16 3 7 3" xfId="37434" xr:uid="{00000000-0005-0000-0000-0000F5C50000}"/>
    <cellStyle name="Normal 16 3 8" xfId="15679" xr:uid="{00000000-0005-0000-0000-0000F6C50000}"/>
    <cellStyle name="Normal 16 3 8 2" xfId="44685" xr:uid="{00000000-0005-0000-0000-0000F7C50000}"/>
    <cellStyle name="Normal 16 3 9" xfId="30186" xr:uid="{00000000-0005-0000-0000-0000F8C50000}"/>
    <cellStyle name="Normal 16 4" xfId="1026" xr:uid="{00000000-0005-0000-0000-0000F9C50000}"/>
    <cellStyle name="Normal 16 4 2" xfId="1515" xr:uid="{00000000-0005-0000-0000-0000FAC50000}"/>
    <cellStyle name="Normal 16 4 2 2" xfId="2573" xr:uid="{00000000-0005-0000-0000-0000FBC50000}"/>
    <cellStyle name="Normal 16 4 2 2 2" xfId="5677" xr:uid="{00000000-0005-0000-0000-0000FCC50000}"/>
    <cellStyle name="Normal 16 4 2 2 2 2" xfId="12949" xr:uid="{00000000-0005-0000-0000-0000FDC50000}"/>
    <cellStyle name="Normal 16 4 2 2 2 2 2" xfId="27483" xr:uid="{00000000-0005-0000-0000-0000FEC50000}"/>
    <cellStyle name="Normal 16 4 2 2 2 2 2 2" xfId="56489" xr:uid="{00000000-0005-0000-0000-0000FFC50000}"/>
    <cellStyle name="Normal 16 4 2 2 2 2 3" xfId="41990" xr:uid="{00000000-0005-0000-0000-000000C60000}"/>
    <cellStyle name="Normal 16 4 2 2 2 3" xfId="20235" xr:uid="{00000000-0005-0000-0000-000001C60000}"/>
    <cellStyle name="Normal 16 4 2 2 2 3 2" xfId="49241" xr:uid="{00000000-0005-0000-0000-000002C60000}"/>
    <cellStyle name="Normal 16 4 2 2 2 4" xfId="34742" xr:uid="{00000000-0005-0000-0000-000003C60000}"/>
    <cellStyle name="Normal 16 4 2 2 3" xfId="9845" xr:uid="{00000000-0005-0000-0000-000004C60000}"/>
    <cellStyle name="Normal 16 4 2 2 3 2" xfId="24379" xr:uid="{00000000-0005-0000-0000-000005C60000}"/>
    <cellStyle name="Normal 16 4 2 2 3 2 2" xfId="53385" xr:uid="{00000000-0005-0000-0000-000006C60000}"/>
    <cellStyle name="Normal 16 4 2 2 3 3" xfId="38886" xr:uid="{00000000-0005-0000-0000-000007C60000}"/>
    <cellStyle name="Normal 16 4 2 2 4" xfId="17131" xr:uid="{00000000-0005-0000-0000-000008C60000}"/>
    <cellStyle name="Normal 16 4 2 2 4 2" xfId="46137" xr:uid="{00000000-0005-0000-0000-000009C60000}"/>
    <cellStyle name="Normal 16 4 2 2 5" xfId="31638" xr:uid="{00000000-0005-0000-0000-00000AC60000}"/>
    <cellStyle name="Normal 16 4 2 3" xfId="3605" xr:uid="{00000000-0005-0000-0000-00000BC60000}"/>
    <cellStyle name="Normal 16 4 2 3 2" xfId="6709" xr:uid="{00000000-0005-0000-0000-00000CC60000}"/>
    <cellStyle name="Normal 16 4 2 3 2 2" xfId="13981" xr:uid="{00000000-0005-0000-0000-00000DC60000}"/>
    <cellStyle name="Normal 16 4 2 3 2 2 2" xfId="28515" xr:uid="{00000000-0005-0000-0000-00000EC60000}"/>
    <cellStyle name="Normal 16 4 2 3 2 2 2 2" xfId="57521" xr:uid="{00000000-0005-0000-0000-00000FC60000}"/>
    <cellStyle name="Normal 16 4 2 3 2 2 3" xfId="43022" xr:uid="{00000000-0005-0000-0000-000010C60000}"/>
    <cellStyle name="Normal 16 4 2 3 2 3" xfId="21267" xr:uid="{00000000-0005-0000-0000-000011C60000}"/>
    <cellStyle name="Normal 16 4 2 3 2 3 2" xfId="50273" xr:uid="{00000000-0005-0000-0000-000012C60000}"/>
    <cellStyle name="Normal 16 4 2 3 2 4" xfId="35774" xr:uid="{00000000-0005-0000-0000-000013C60000}"/>
    <cellStyle name="Normal 16 4 2 3 3" xfId="10877" xr:uid="{00000000-0005-0000-0000-000014C60000}"/>
    <cellStyle name="Normal 16 4 2 3 3 2" xfId="25411" xr:uid="{00000000-0005-0000-0000-000015C60000}"/>
    <cellStyle name="Normal 16 4 2 3 3 2 2" xfId="54417" xr:uid="{00000000-0005-0000-0000-000016C60000}"/>
    <cellStyle name="Normal 16 4 2 3 3 3" xfId="39918" xr:uid="{00000000-0005-0000-0000-000017C60000}"/>
    <cellStyle name="Normal 16 4 2 3 4" xfId="18163" xr:uid="{00000000-0005-0000-0000-000018C60000}"/>
    <cellStyle name="Normal 16 4 2 3 4 2" xfId="47169" xr:uid="{00000000-0005-0000-0000-000019C60000}"/>
    <cellStyle name="Normal 16 4 2 3 5" xfId="32670" xr:uid="{00000000-0005-0000-0000-00001AC60000}"/>
    <cellStyle name="Normal 16 4 2 4" xfId="4637" xr:uid="{00000000-0005-0000-0000-00001BC60000}"/>
    <cellStyle name="Normal 16 4 2 4 2" xfId="11909" xr:uid="{00000000-0005-0000-0000-00001CC60000}"/>
    <cellStyle name="Normal 16 4 2 4 2 2" xfId="26443" xr:uid="{00000000-0005-0000-0000-00001DC60000}"/>
    <cellStyle name="Normal 16 4 2 4 2 2 2" xfId="55449" xr:uid="{00000000-0005-0000-0000-00001EC60000}"/>
    <cellStyle name="Normal 16 4 2 4 2 3" xfId="40950" xr:uid="{00000000-0005-0000-0000-00001FC60000}"/>
    <cellStyle name="Normal 16 4 2 4 3" xfId="19195" xr:uid="{00000000-0005-0000-0000-000020C60000}"/>
    <cellStyle name="Normal 16 4 2 4 3 2" xfId="48201" xr:uid="{00000000-0005-0000-0000-000021C60000}"/>
    <cellStyle name="Normal 16 4 2 4 4" xfId="33702" xr:uid="{00000000-0005-0000-0000-000022C60000}"/>
    <cellStyle name="Normal 16 4 2 5" xfId="7741" xr:uid="{00000000-0005-0000-0000-000023C60000}"/>
    <cellStyle name="Normal 16 4 2 5 2" xfId="15013" xr:uid="{00000000-0005-0000-0000-000024C60000}"/>
    <cellStyle name="Normal 16 4 2 5 2 2" xfId="29547" xr:uid="{00000000-0005-0000-0000-000025C60000}"/>
    <cellStyle name="Normal 16 4 2 5 2 2 2" xfId="58553" xr:uid="{00000000-0005-0000-0000-000026C60000}"/>
    <cellStyle name="Normal 16 4 2 5 2 3" xfId="44054" xr:uid="{00000000-0005-0000-0000-000027C60000}"/>
    <cellStyle name="Normal 16 4 2 5 3" xfId="22299" xr:uid="{00000000-0005-0000-0000-000028C60000}"/>
    <cellStyle name="Normal 16 4 2 5 3 2" xfId="51305" xr:uid="{00000000-0005-0000-0000-000029C60000}"/>
    <cellStyle name="Normal 16 4 2 5 4" xfId="36806" xr:uid="{00000000-0005-0000-0000-00002AC60000}"/>
    <cellStyle name="Normal 16 4 2 6" xfId="8805" xr:uid="{00000000-0005-0000-0000-00002BC60000}"/>
    <cellStyle name="Normal 16 4 2 6 2" xfId="23339" xr:uid="{00000000-0005-0000-0000-00002CC60000}"/>
    <cellStyle name="Normal 16 4 2 6 2 2" xfId="52345" xr:uid="{00000000-0005-0000-0000-00002DC60000}"/>
    <cellStyle name="Normal 16 4 2 6 3" xfId="37846" xr:uid="{00000000-0005-0000-0000-00002EC60000}"/>
    <cellStyle name="Normal 16 4 2 7" xfId="16091" xr:uid="{00000000-0005-0000-0000-00002FC60000}"/>
    <cellStyle name="Normal 16 4 2 7 2" xfId="45097" xr:uid="{00000000-0005-0000-0000-000030C60000}"/>
    <cellStyle name="Normal 16 4 2 8" xfId="30598" xr:uid="{00000000-0005-0000-0000-000031C60000}"/>
    <cellStyle name="Normal 16 4 3" xfId="2061" xr:uid="{00000000-0005-0000-0000-000032C60000}"/>
    <cellStyle name="Normal 16 4 3 2" xfId="5165" xr:uid="{00000000-0005-0000-0000-000033C60000}"/>
    <cellStyle name="Normal 16 4 3 2 2" xfId="12437" xr:uid="{00000000-0005-0000-0000-000034C60000}"/>
    <cellStyle name="Normal 16 4 3 2 2 2" xfId="26971" xr:uid="{00000000-0005-0000-0000-000035C60000}"/>
    <cellStyle name="Normal 16 4 3 2 2 2 2" xfId="55977" xr:uid="{00000000-0005-0000-0000-000036C60000}"/>
    <cellStyle name="Normal 16 4 3 2 2 3" xfId="41478" xr:uid="{00000000-0005-0000-0000-000037C60000}"/>
    <cellStyle name="Normal 16 4 3 2 3" xfId="19723" xr:uid="{00000000-0005-0000-0000-000038C60000}"/>
    <cellStyle name="Normal 16 4 3 2 3 2" xfId="48729" xr:uid="{00000000-0005-0000-0000-000039C60000}"/>
    <cellStyle name="Normal 16 4 3 2 4" xfId="34230" xr:uid="{00000000-0005-0000-0000-00003AC60000}"/>
    <cellStyle name="Normal 16 4 3 3" xfId="9333" xr:uid="{00000000-0005-0000-0000-00003BC60000}"/>
    <cellStyle name="Normal 16 4 3 3 2" xfId="23867" xr:uid="{00000000-0005-0000-0000-00003CC60000}"/>
    <cellStyle name="Normal 16 4 3 3 2 2" xfId="52873" xr:uid="{00000000-0005-0000-0000-00003DC60000}"/>
    <cellStyle name="Normal 16 4 3 3 3" xfId="38374" xr:uid="{00000000-0005-0000-0000-00003EC60000}"/>
    <cellStyle name="Normal 16 4 3 4" xfId="16619" xr:uid="{00000000-0005-0000-0000-00003FC60000}"/>
    <cellStyle name="Normal 16 4 3 4 2" xfId="45625" xr:uid="{00000000-0005-0000-0000-000040C60000}"/>
    <cellStyle name="Normal 16 4 3 5" xfId="31126" xr:uid="{00000000-0005-0000-0000-000041C60000}"/>
    <cellStyle name="Normal 16 4 4" xfId="3093" xr:uid="{00000000-0005-0000-0000-000042C60000}"/>
    <cellStyle name="Normal 16 4 4 2" xfId="6197" xr:uid="{00000000-0005-0000-0000-000043C60000}"/>
    <cellStyle name="Normal 16 4 4 2 2" xfId="13469" xr:uid="{00000000-0005-0000-0000-000044C60000}"/>
    <cellStyle name="Normal 16 4 4 2 2 2" xfId="28003" xr:uid="{00000000-0005-0000-0000-000045C60000}"/>
    <cellStyle name="Normal 16 4 4 2 2 2 2" xfId="57009" xr:uid="{00000000-0005-0000-0000-000046C60000}"/>
    <cellStyle name="Normal 16 4 4 2 2 3" xfId="42510" xr:uid="{00000000-0005-0000-0000-000047C60000}"/>
    <cellStyle name="Normal 16 4 4 2 3" xfId="20755" xr:uid="{00000000-0005-0000-0000-000048C60000}"/>
    <cellStyle name="Normal 16 4 4 2 3 2" xfId="49761" xr:uid="{00000000-0005-0000-0000-000049C60000}"/>
    <cellStyle name="Normal 16 4 4 2 4" xfId="35262" xr:uid="{00000000-0005-0000-0000-00004AC60000}"/>
    <cellStyle name="Normal 16 4 4 3" xfId="10365" xr:uid="{00000000-0005-0000-0000-00004BC60000}"/>
    <cellStyle name="Normal 16 4 4 3 2" xfId="24899" xr:uid="{00000000-0005-0000-0000-00004CC60000}"/>
    <cellStyle name="Normal 16 4 4 3 2 2" xfId="53905" xr:uid="{00000000-0005-0000-0000-00004DC60000}"/>
    <cellStyle name="Normal 16 4 4 3 3" xfId="39406" xr:uid="{00000000-0005-0000-0000-00004EC60000}"/>
    <cellStyle name="Normal 16 4 4 4" xfId="17651" xr:uid="{00000000-0005-0000-0000-00004FC60000}"/>
    <cellStyle name="Normal 16 4 4 4 2" xfId="46657" xr:uid="{00000000-0005-0000-0000-000050C60000}"/>
    <cellStyle name="Normal 16 4 4 5" xfId="32158" xr:uid="{00000000-0005-0000-0000-000051C60000}"/>
    <cellStyle name="Normal 16 4 5" xfId="4125" xr:uid="{00000000-0005-0000-0000-000052C60000}"/>
    <cellStyle name="Normal 16 4 5 2" xfId="11397" xr:uid="{00000000-0005-0000-0000-000053C60000}"/>
    <cellStyle name="Normal 16 4 5 2 2" xfId="25931" xr:uid="{00000000-0005-0000-0000-000054C60000}"/>
    <cellStyle name="Normal 16 4 5 2 2 2" xfId="54937" xr:uid="{00000000-0005-0000-0000-000055C60000}"/>
    <cellStyle name="Normal 16 4 5 2 3" xfId="40438" xr:uid="{00000000-0005-0000-0000-000056C60000}"/>
    <cellStyle name="Normal 16 4 5 3" xfId="18683" xr:uid="{00000000-0005-0000-0000-000057C60000}"/>
    <cellStyle name="Normal 16 4 5 3 2" xfId="47689" xr:uid="{00000000-0005-0000-0000-000058C60000}"/>
    <cellStyle name="Normal 16 4 5 4" xfId="33190" xr:uid="{00000000-0005-0000-0000-000059C60000}"/>
    <cellStyle name="Normal 16 4 6" xfId="7229" xr:uid="{00000000-0005-0000-0000-00005AC60000}"/>
    <cellStyle name="Normal 16 4 6 2" xfId="14501" xr:uid="{00000000-0005-0000-0000-00005BC60000}"/>
    <cellStyle name="Normal 16 4 6 2 2" xfId="29035" xr:uid="{00000000-0005-0000-0000-00005CC60000}"/>
    <cellStyle name="Normal 16 4 6 2 2 2" xfId="58041" xr:uid="{00000000-0005-0000-0000-00005DC60000}"/>
    <cellStyle name="Normal 16 4 6 2 3" xfId="43542" xr:uid="{00000000-0005-0000-0000-00005EC60000}"/>
    <cellStyle name="Normal 16 4 6 3" xfId="21787" xr:uid="{00000000-0005-0000-0000-00005FC60000}"/>
    <cellStyle name="Normal 16 4 6 3 2" xfId="50793" xr:uid="{00000000-0005-0000-0000-000060C60000}"/>
    <cellStyle name="Normal 16 4 6 4" xfId="36294" xr:uid="{00000000-0005-0000-0000-000061C60000}"/>
    <cellStyle name="Normal 16 4 7" xfId="8293" xr:uid="{00000000-0005-0000-0000-000062C60000}"/>
    <cellStyle name="Normal 16 4 7 2" xfId="22827" xr:uid="{00000000-0005-0000-0000-000063C60000}"/>
    <cellStyle name="Normal 16 4 7 2 2" xfId="51833" xr:uid="{00000000-0005-0000-0000-000064C60000}"/>
    <cellStyle name="Normal 16 4 7 3" xfId="37334" xr:uid="{00000000-0005-0000-0000-000065C60000}"/>
    <cellStyle name="Normal 16 4 8" xfId="15579" xr:uid="{00000000-0005-0000-0000-000066C60000}"/>
    <cellStyle name="Normal 16 4 8 2" xfId="44585" xr:uid="{00000000-0005-0000-0000-000067C60000}"/>
    <cellStyle name="Normal 16 4 9" xfId="30086" xr:uid="{00000000-0005-0000-0000-000068C60000}"/>
    <cellStyle name="Normal 16 5" xfId="1310" xr:uid="{00000000-0005-0000-0000-000069C60000}"/>
    <cellStyle name="Normal 16 5 2" xfId="2367" xr:uid="{00000000-0005-0000-0000-00006AC60000}"/>
    <cellStyle name="Normal 16 5 2 2" xfId="5471" xr:uid="{00000000-0005-0000-0000-00006BC60000}"/>
    <cellStyle name="Normal 16 5 2 2 2" xfId="12743" xr:uid="{00000000-0005-0000-0000-00006CC60000}"/>
    <cellStyle name="Normal 16 5 2 2 2 2" xfId="27277" xr:uid="{00000000-0005-0000-0000-00006DC60000}"/>
    <cellStyle name="Normal 16 5 2 2 2 2 2" xfId="56283" xr:uid="{00000000-0005-0000-0000-00006EC60000}"/>
    <cellStyle name="Normal 16 5 2 2 2 3" xfId="41784" xr:uid="{00000000-0005-0000-0000-00006FC60000}"/>
    <cellStyle name="Normal 16 5 2 2 3" xfId="20029" xr:uid="{00000000-0005-0000-0000-000070C60000}"/>
    <cellStyle name="Normal 16 5 2 2 3 2" xfId="49035" xr:uid="{00000000-0005-0000-0000-000071C60000}"/>
    <cellStyle name="Normal 16 5 2 2 4" xfId="34536" xr:uid="{00000000-0005-0000-0000-000072C60000}"/>
    <cellStyle name="Normal 16 5 2 3" xfId="9639" xr:uid="{00000000-0005-0000-0000-000073C60000}"/>
    <cellStyle name="Normal 16 5 2 3 2" xfId="24173" xr:uid="{00000000-0005-0000-0000-000074C60000}"/>
    <cellStyle name="Normal 16 5 2 3 2 2" xfId="53179" xr:uid="{00000000-0005-0000-0000-000075C60000}"/>
    <cellStyle name="Normal 16 5 2 3 3" xfId="38680" xr:uid="{00000000-0005-0000-0000-000076C60000}"/>
    <cellStyle name="Normal 16 5 2 4" xfId="16925" xr:uid="{00000000-0005-0000-0000-000077C60000}"/>
    <cellStyle name="Normal 16 5 2 4 2" xfId="45931" xr:uid="{00000000-0005-0000-0000-000078C60000}"/>
    <cellStyle name="Normal 16 5 2 5" xfId="31432" xr:uid="{00000000-0005-0000-0000-000079C60000}"/>
    <cellStyle name="Normal 16 5 3" xfId="3399" xr:uid="{00000000-0005-0000-0000-00007AC60000}"/>
    <cellStyle name="Normal 16 5 3 2" xfId="6503" xr:uid="{00000000-0005-0000-0000-00007BC60000}"/>
    <cellStyle name="Normal 16 5 3 2 2" xfId="13775" xr:uid="{00000000-0005-0000-0000-00007CC60000}"/>
    <cellStyle name="Normal 16 5 3 2 2 2" xfId="28309" xr:uid="{00000000-0005-0000-0000-00007DC60000}"/>
    <cellStyle name="Normal 16 5 3 2 2 2 2" xfId="57315" xr:uid="{00000000-0005-0000-0000-00007EC60000}"/>
    <cellStyle name="Normal 16 5 3 2 2 3" xfId="42816" xr:uid="{00000000-0005-0000-0000-00007FC60000}"/>
    <cellStyle name="Normal 16 5 3 2 3" xfId="21061" xr:uid="{00000000-0005-0000-0000-000080C60000}"/>
    <cellStyle name="Normal 16 5 3 2 3 2" xfId="50067" xr:uid="{00000000-0005-0000-0000-000081C60000}"/>
    <cellStyle name="Normal 16 5 3 2 4" xfId="35568" xr:uid="{00000000-0005-0000-0000-000082C60000}"/>
    <cellStyle name="Normal 16 5 3 3" xfId="10671" xr:uid="{00000000-0005-0000-0000-000083C60000}"/>
    <cellStyle name="Normal 16 5 3 3 2" xfId="25205" xr:uid="{00000000-0005-0000-0000-000084C60000}"/>
    <cellStyle name="Normal 16 5 3 3 2 2" xfId="54211" xr:uid="{00000000-0005-0000-0000-000085C60000}"/>
    <cellStyle name="Normal 16 5 3 3 3" xfId="39712" xr:uid="{00000000-0005-0000-0000-000086C60000}"/>
    <cellStyle name="Normal 16 5 3 4" xfId="17957" xr:uid="{00000000-0005-0000-0000-000087C60000}"/>
    <cellStyle name="Normal 16 5 3 4 2" xfId="46963" xr:uid="{00000000-0005-0000-0000-000088C60000}"/>
    <cellStyle name="Normal 16 5 3 5" xfId="32464" xr:uid="{00000000-0005-0000-0000-000089C60000}"/>
    <cellStyle name="Normal 16 5 4" xfId="4431" xr:uid="{00000000-0005-0000-0000-00008AC60000}"/>
    <cellStyle name="Normal 16 5 4 2" xfId="11703" xr:uid="{00000000-0005-0000-0000-00008BC60000}"/>
    <cellStyle name="Normal 16 5 4 2 2" xfId="26237" xr:uid="{00000000-0005-0000-0000-00008CC60000}"/>
    <cellStyle name="Normal 16 5 4 2 2 2" xfId="55243" xr:uid="{00000000-0005-0000-0000-00008DC60000}"/>
    <cellStyle name="Normal 16 5 4 2 3" xfId="40744" xr:uid="{00000000-0005-0000-0000-00008EC60000}"/>
    <cellStyle name="Normal 16 5 4 3" xfId="18989" xr:uid="{00000000-0005-0000-0000-00008FC60000}"/>
    <cellStyle name="Normal 16 5 4 3 2" xfId="47995" xr:uid="{00000000-0005-0000-0000-000090C60000}"/>
    <cellStyle name="Normal 16 5 4 4" xfId="33496" xr:uid="{00000000-0005-0000-0000-000091C60000}"/>
    <cellStyle name="Normal 16 5 5" xfId="7535" xr:uid="{00000000-0005-0000-0000-000092C60000}"/>
    <cellStyle name="Normal 16 5 5 2" xfId="14807" xr:uid="{00000000-0005-0000-0000-000093C60000}"/>
    <cellStyle name="Normal 16 5 5 2 2" xfId="29341" xr:uid="{00000000-0005-0000-0000-000094C60000}"/>
    <cellStyle name="Normal 16 5 5 2 2 2" xfId="58347" xr:uid="{00000000-0005-0000-0000-000095C60000}"/>
    <cellStyle name="Normal 16 5 5 2 3" xfId="43848" xr:uid="{00000000-0005-0000-0000-000096C60000}"/>
    <cellStyle name="Normal 16 5 5 3" xfId="22093" xr:uid="{00000000-0005-0000-0000-000097C60000}"/>
    <cellStyle name="Normal 16 5 5 3 2" xfId="51099" xr:uid="{00000000-0005-0000-0000-000098C60000}"/>
    <cellStyle name="Normal 16 5 5 4" xfId="36600" xr:uid="{00000000-0005-0000-0000-000099C60000}"/>
    <cellStyle name="Normal 16 5 6" xfId="8599" xr:uid="{00000000-0005-0000-0000-00009AC60000}"/>
    <cellStyle name="Normal 16 5 6 2" xfId="23133" xr:uid="{00000000-0005-0000-0000-00009BC60000}"/>
    <cellStyle name="Normal 16 5 6 2 2" xfId="52139" xr:uid="{00000000-0005-0000-0000-00009CC60000}"/>
    <cellStyle name="Normal 16 5 6 3" xfId="37640" xr:uid="{00000000-0005-0000-0000-00009DC60000}"/>
    <cellStyle name="Normal 16 5 7" xfId="15885" xr:uid="{00000000-0005-0000-0000-00009EC60000}"/>
    <cellStyle name="Normal 16 5 7 2" xfId="44891" xr:uid="{00000000-0005-0000-0000-00009FC60000}"/>
    <cellStyle name="Normal 16 5 8" xfId="30392" xr:uid="{00000000-0005-0000-0000-0000A0C60000}"/>
    <cellStyle name="Normal 16 6" xfId="1797" xr:uid="{00000000-0005-0000-0000-0000A1C60000}"/>
    <cellStyle name="Normal 16 7" xfId="1855" xr:uid="{00000000-0005-0000-0000-0000A2C60000}"/>
    <cellStyle name="Normal 16 7 2" xfId="4959" xr:uid="{00000000-0005-0000-0000-0000A3C60000}"/>
    <cellStyle name="Normal 16 7 2 2" xfId="12231" xr:uid="{00000000-0005-0000-0000-0000A4C60000}"/>
    <cellStyle name="Normal 16 7 2 2 2" xfId="26765" xr:uid="{00000000-0005-0000-0000-0000A5C60000}"/>
    <cellStyle name="Normal 16 7 2 2 2 2" xfId="55771" xr:uid="{00000000-0005-0000-0000-0000A6C60000}"/>
    <cellStyle name="Normal 16 7 2 2 3" xfId="41272" xr:uid="{00000000-0005-0000-0000-0000A7C60000}"/>
    <cellStyle name="Normal 16 7 2 3" xfId="19517" xr:uid="{00000000-0005-0000-0000-0000A8C60000}"/>
    <cellStyle name="Normal 16 7 2 3 2" xfId="48523" xr:uid="{00000000-0005-0000-0000-0000A9C60000}"/>
    <cellStyle name="Normal 16 7 2 4" xfId="34024" xr:uid="{00000000-0005-0000-0000-0000AAC60000}"/>
    <cellStyle name="Normal 16 7 3" xfId="9127" xr:uid="{00000000-0005-0000-0000-0000ABC60000}"/>
    <cellStyle name="Normal 16 7 3 2" xfId="23661" xr:uid="{00000000-0005-0000-0000-0000ACC60000}"/>
    <cellStyle name="Normal 16 7 3 2 2" xfId="52667" xr:uid="{00000000-0005-0000-0000-0000ADC60000}"/>
    <cellStyle name="Normal 16 7 3 3" xfId="38168" xr:uid="{00000000-0005-0000-0000-0000AEC60000}"/>
    <cellStyle name="Normal 16 7 4" xfId="16413" xr:uid="{00000000-0005-0000-0000-0000AFC60000}"/>
    <cellStyle name="Normal 16 7 4 2" xfId="45419" xr:uid="{00000000-0005-0000-0000-0000B0C60000}"/>
    <cellStyle name="Normal 16 7 5" xfId="30920" xr:uid="{00000000-0005-0000-0000-0000B1C60000}"/>
    <cellStyle name="Normal 16 8" xfId="2887" xr:uid="{00000000-0005-0000-0000-0000B2C60000}"/>
    <cellStyle name="Normal 16 8 2" xfId="5991" xr:uid="{00000000-0005-0000-0000-0000B3C60000}"/>
    <cellStyle name="Normal 16 8 2 2" xfId="13263" xr:uid="{00000000-0005-0000-0000-0000B4C60000}"/>
    <cellStyle name="Normal 16 8 2 2 2" xfId="27797" xr:uid="{00000000-0005-0000-0000-0000B5C60000}"/>
    <cellStyle name="Normal 16 8 2 2 2 2" xfId="56803" xr:uid="{00000000-0005-0000-0000-0000B6C60000}"/>
    <cellStyle name="Normal 16 8 2 2 3" xfId="42304" xr:uid="{00000000-0005-0000-0000-0000B7C60000}"/>
    <cellStyle name="Normal 16 8 2 3" xfId="20549" xr:uid="{00000000-0005-0000-0000-0000B8C60000}"/>
    <cellStyle name="Normal 16 8 2 3 2" xfId="49555" xr:uid="{00000000-0005-0000-0000-0000B9C60000}"/>
    <cellStyle name="Normal 16 8 2 4" xfId="35056" xr:uid="{00000000-0005-0000-0000-0000BAC60000}"/>
    <cellStyle name="Normal 16 8 3" xfId="10159" xr:uid="{00000000-0005-0000-0000-0000BBC60000}"/>
    <cellStyle name="Normal 16 8 3 2" xfId="24693" xr:uid="{00000000-0005-0000-0000-0000BCC60000}"/>
    <cellStyle name="Normal 16 8 3 2 2" xfId="53699" xr:uid="{00000000-0005-0000-0000-0000BDC60000}"/>
    <cellStyle name="Normal 16 8 3 3" xfId="39200" xr:uid="{00000000-0005-0000-0000-0000BEC60000}"/>
    <cellStyle name="Normal 16 8 4" xfId="17445" xr:uid="{00000000-0005-0000-0000-0000BFC60000}"/>
    <cellStyle name="Normal 16 8 4 2" xfId="46451" xr:uid="{00000000-0005-0000-0000-0000C0C60000}"/>
    <cellStyle name="Normal 16 8 5" xfId="31952" xr:uid="{00000000-0005-0000-0000-0000C1C60000}"/>
    <cellStyle name="Normal 16 9" xfId="3919" xr:uid="{00000000-0005-0000-0000-0000C2C60000}"/>
    <cellStyle name="Normal 16 9 2" xfId="11191" xr:uid="{00000000-0005-0000-0000-0000C3C60000}"/>
    <cellStyle name="Normal 16 9 2 2" xfId="25725" xr:uid="{00000000-0005-0000-0000-0000C4C60000}"/>
    <cellStyle name="Normal 16 9 2 2 2" xfId="54731" xr:uid="{00000000-0005-0000-0000-0000C5C60000}"/>
    <cellStyle name="Normal 16 9 2 3" xfId="40232" xr:uid="{00000000-0005-0000-0000-0000C6C60000}"/>
    <cellStyle name="Normal 16 9 3" xfId="18477" xr:uid="{00000000-0005-0000-0000-0000C7C60000}"/>
    <cellStyle name="Normal 16 9 3 2" xfId="47483" xr:uid="{00000000-0005-0000-0000-0000C8C60000}"/>
    <cellStyle name="Normal 16 9 4" xfId="32984" xr:uid="{00000000-0005-0000-0000-0000C9C60000}"/>
    <cellStyle name="Normal 17" xfId="900" xr:uid="{00000000-0005-0000-0000-0000CAC60000}"/>
    <cellStyle name="Normal 17 10" xfId="15425" xr:uid="{00000000-0005-0000-0000-0000CBC60000}"/>
    <cellStyle name="Normal 17 10 2" xfId="44431" xr:uid="{00000000-0005-0000-0000-0000CCC60000}"/>
    <cellStyle name="Normal 17 11" xfId="29932" xr:uid="{00000000-0005-0000-0000-0000CDC60000}"/>
    <cellStyle name="Normal 17 2" xfId="981" xr:uid="{00000000-0005-0000-0000-0000CEC60000}"/>
    <cellStyle name="Normal 17 2 10" xfId="30035" xr:uid="{00000000-0005-0000-0000-0000CFC60000}"/>
    <cellStyle name="Normal 17 2 2" xfId="1262" xr:uid="{00000000-0005-0000-0000-0000D0C60000}"/>
    <cellStyle name="Normal 17 2 2 2" xfId="1769" xr:uid="{00000000-0005-0000-0000-0000D1C60000}"/>
    <cellStyle name="Normal 17 2 2 2 2" xfId="2828" xr:uid="{00000000-0005-0000-0000-0000D2C60000}"/>
    <cellStyle name="Normal 17 2 2 2 2 2" xfId="5932" xr:uid="{00000000-0005-0000-0000-0000D3C60000}"/>
    <cellStyle name="Normal 17 2 2 2 2 2 2" xfId="13204" xr:uid="{00000000-0005-0000-0000-0000D4C60000}"/>
    <cellStyle name="Normal 17 2 2 2 2 2 2 2" xfId="27738" xr:uid="{00000000-0005-0000-0000-0000D5C60000}"/>
    <cellStyle name="Normal 17 2 2 2 2 2 2 2 2" xfId="56744" xr:uid="{00000000-0005-0000-0000-0000D6C60000}"/>
    <cellStyle name="Normal 17 2 2 2 2 2 2 3" xfId="42245" xr:uid="{00000000-0005-0000-0000-0000D7C60000}"/>
    <cellStyle name="Normal 17 2 2 2 2 2 3" xfId="20490" xr:uid="{00000000-0005-0000-0000-0000D8C60000}"/>
    <cellStyle name="Normal 17 2 2 2 2 2 3 2" xfId="49496" xr:uid="{00000000-0005-0000-0000-0000D9C60000}"/>
    <cellStyle name="Normal 17 2 2 2 2 2 4" xfId="34997" xr:uid="{00000000-0005-0000-0000-0000DAC60000}"/>
    <cellStyle name="Normal 17 2 2 2 2 3" xfId="10100" xr:uid="{00000000-0005-0000-0000-0000DBC60000}"/>
    <cellStyle name="Normal 17 2 2 2 2 3 2" xfId="24634" xr:uid="{00000000-0005-0000-0000-0000DCC60000}"/>
    <cellStyle name="Normal 17 2 2 2 2 3 2 2" xfId="53640" xr:uid="{00000000-0005-0000-0000-0000DDC60000}"/>
    <cellStyle name="Normal 17 2 2 2 2 3 3" xfId="39141" xr:uid="{00000000-0005-0000-0000-0000DEC60000}"/>
    <cellStyle name="Normal 17 2 2 2 2 4" xfId="17386" xr:uid="{00000000-0005-0000-0000-0000DFC60000}"/>
    <cellStyle name="Normal 17 2 2 2 2 4 2" xfId="46392" xr:uid="{00000000-0005-0000-0000-0000E0C60000}"/>
    <cellStyle name="Normal 17 2 2 2 2 5" xfId="31893" xr:uid="{00000000-0005-0000-0000-0000E1C60000}"/>
    <cellStyle name="Normal 17 2 2 2 3" xfId="3860" xr:uid="{00000000-0005-0000-0000-0000E2C60000}"/>
    <cellStyle name="Normal 17 2 2 2 3 2" xfId="6964" xr:uid="{00000000-0005-0000-0000-0000E3C60000}"/>
    <cellStyle name="Normal 17 2 2 2 3 2 2" xfId="14236" xr:uid="{00000000-0005-0000-0000-0000E4C60000}"/>
    <cellStyle name="Normal 17 2 2 2 3 2 2 2" xfId="28770" xr:uid="{00000000-0005-0000-0000-0000E5C60000}"/>
    <cellStyle name="Normal 17 2 2 2 3 2 2 2 2" xfId="57776" xr:uid="{00000000-0005-0000-0000-0000E6C60000}"/>
    <cellStyle name="Normal 17 2 2 2 3 2 2 3" xfId="43277" xr:uid="{00000000-0005-0000-0000-0000E7C60000}"/>
    <cellStyle name="Normal 17 2 2 2 3 2 3" xfId="21522" xr:uid="{00000000-0005-0000-0000-0000E8C60000}"/>
    <cellStyle name="Normal 17 2 2 2 3 2 3 2" xfId="50528" xr:uid="{00000000-0005-0000-0000-0000E9C60000}"/>
    <cellStyle name="Normal 17 2 2 2 3 2 4" xfId="36029" xr:uid="{00000000-0005-0000-0000-0000EAC60000}"/>
    <cellStyle name="Normal 17 2 2 2 3 3" xfId="11132" xr:uid="{00000000-0005-0000-0000-0000EBC60000}"/>
    <cellStyle name="Normal 17 2 2 2 3 3 2" xfId="25666" xr:uid="{00000000-0005-0000-0000-0000ECC60000}"/>
    <cellStyle name="Normal 17 2 2 2 3 3 2 2" xfId="54672" xr:uid="{00000000-0005-0000-0000-0000EDC60000}"/>
    <cellStyle name="Normal 17 2 2 2 3 3 3" xfId="40173" xr:uid="{00000000-0005-0000-0000-0000EEC60000}"/>
    <cellStyle name="Normal 17 2 2 2 3 4" xfId="18418" xr:uid="{00000000-0005-0000-0000-0000EFC60000}"/>
    <cellStyle name="Normal 17 2 2 2 3 4 2" xfId="47424" xr:uid="{00000000-0005-0000-0000-0000F0C60000}"/>
    <cellStyle name="Normal 17 2 2 2 3 5" xfId="32925" xr:uid="{00000000-0005-0000-0000-0000F1C60000}"/>
    <cellStyle name="Normal 17 2 2 2 4" xfId="4892" xr:uid="{00000000-0005-0000-0000-0000F2C60000}"/>
    <cellStyle name="Normal 17 2 2 2 4 2" xfId="12164" xr:uid="{00000000-0005-0000-0000-0000F3C60000}"/>
    <cellStyle name="Normal 17 2 2 2 4 2 2" xfId="26698" xr:uid="{00000000-0005-0000-0000-0000F4C60000}"/>
    <cellStyle name="Normal 17 2 2 2 4 2 2 2" xfId="55704" xr:uid="{00000000-0005-0000-0000-0000F5C60000}"/>
    <cellStyle name="Normal 17 2 2 2 4 2 3" xfId="41205" xr:uid="{00000000-0005-0000-0000-0000F6C60000}"/>
    <cellStyle name="Normal 17 2 2 2 4 3" xfId="19450" xr:uid="{00000000-0005-0000-0000-0000F7C60000}"/>
    <cellStyle name="Normal 17 2 2 2 4 3 2" xfId="48456" xr:uid="{00000000-0005-0000-0000-0000F8C60000}"/>
    <cellStyle name="Normal 17 2 2 2 4 4" xfId="33957" xr:uid="{00000000-0005-0000-0000-0000F9C60000}"/>
    <cellStyle name="Normal 17 2 2 2 5" xfId="7996" xr:uid="{00000000-0005-0000-0000-0000FAC60000}"/>
    <cellStyle name="Normal 17 2 2 2 5 2" xfId="15268" xr:uid="{00000000-0005-0000-0000-0000FBC60000}"/>
    <cellStyle name="Normal 17 2 2 2 5 2 2" xfId="29802" xr:uid="{00000000-0005-0000-0000-0000FCC60000}"/>
    <cellStyle name="Normal 17 2 2 2 5 2 2 2" xfId="58808" xr:uid="{00000000-0005-0000-0000-0000FDC60000}"/>
    <cellStyle name="Normal 17 2 2 2 5 2 3" xfId="44309" xr:uid="{00000000-0005-0000-0000-0000FEC60000}"/>
    <cellStyle name="Normal 17 2 2 2 5 3" xfId="22554" xr:uid="{00000000-0005-0000-0000-0000FFC60000}"/>
    <cellStyle name="Normal 17 2 2 2 5 3 2" xfId="51560" xr:uid="{00000000-0005-0000-0000-000000C70000}"/>
    <cellStyle name="Normal 17 2 2 2 5 4" xfId="37061" xr:uid="{00000000-0005-0000-0000-000001C70000}"/>
    <cellStyle name="Normal 17 2 2 2 6" xfId="9060" xr:uid="{00000000-0005-0000-0000-000002C70000}"/>
    <cellStyle name="Normal 17 2 2 2 6 2" xfId="23594" xr:uid="{00000000-0005-0000-0000-000003C70000}"/>
    <cellStyle name="Normal 17 2 2 2 6 2 2" xfId="52600" xr:uid="{00000000-0005-0000-0000-000004C70000}"/>
    <cellStyle name="Normal 17 2 2 2 6 3" xfId="38101" xr:uid="{00000000-0005-0000-0000-000005C70000}"/>
    <cellStyle name="Normal 17 2 2 2 7" xfId="16346" xr:uid="{00000000-0005-0000-0000-000006C70000}"/>
    <cellStyle name="Normal 17 2 2 2 7 2" xfId="45352" xr:uid="{00000000-0005-0000-0000-000007C70000}"/>
    <cellStyle name="Normal 17 2 2 2 8" xfId="30853" xr:uid="{00000000-0005-0000-0000-000008C70000}"/>
    <cellStyle name="Normal 17 2 2 3" xfId="2316" xr:uid="{00000000-0005-0000-0000-000009C70000}"/>
    <cellStyle name="Normal 17 2 2 3 2" xfId="5420" xr:uid="{00000000-0005-0000-0000-00000AC70000}"/>
    <cellStyle name="Normal 17 2 2 3 2 2" xfId="12692" xr:uid="{00000000-0005-0000-0000-00000BC70000}"/>
    <cellStyle name="Normal 17 2 2 3 2 2 2" xfId="27226" xr:uid="{00000000-0005-0000-0000-00000CC70000}"/>
    <cellStyle name="Normal 17 2 2 3 2 2 2 2" xfId="56232" xr:uid="{00000000-0005-0000-0000-00000DC70000}"/>
    <cellStyle name="Normal 17 2 2 3 2 2 3" xfId="41733" xr:uid="{00000000-0005-0000-0000-00000EC70000}"/>
    <cellStyle name="Normal 17 2 2 3 2 3" xfId="19978" xr:uid="{00000000-0005-0000-0000-00000FC70000}"/>
    <cellStyle name="Normal 17 2 2 3 2 3 2" xfId="48984" xr:uid="{00000000-0005-0000-0000-000010C70000}"/>
    <cellStyle name="Normal 17 2 2 3 2 4" xfId="34485" xr:uid="{00000000-0005-0000-0000-000011C70000}"/>
    <cellStyle name="Normal 17 2 2 3 3" xfId="9588" xr:uid="{00000000-0005-0000-0000-000012C70000}"/>
    <cellStyle name="Normal 17 2 2 3 3 2" xfId="24122" xr:uid="{00000000-0005-0000-0000-000013C70000}"/>
    <cellStyle name="Normal 17 2 2 3 3 2 2" xfId="53128" xr:uid="{00000000-0005-0000-0000-000014C70000}"/>
    <cellStyle name="Normal 17 2 2 3 3 3" xfId="38629" xr:uid="{00000000-0005-0000-0000-000015C70000}"/>
    <cellStyle name="Normal 17 2 2 3 4" xfId="16874" xr:uid="{00000000-0005-0000-0000-000016C70000}"/>
    <cellStyle name="Normal 17 2 2 3 4 2" xfId="45880" xr:uid="{00000000-0005-0000-0000-000017C70000}"/>
    <cellStyle name="Normal 17 2 2 3 5" xfId="31381" xr:uid="{00000000-0005-0000-0000-000018C70000}"/>
    <cellStyle name="Normal 17 2 2 4" xfId="3348" xr:uid="{00000000-0005-0000-0000-000019C70000}"/>
    <cellStyle name="Normal 17 2 2 4 2" xfId="6452" xr:uid="{00000000-0005-0000-0000-00001AC70000}"/>
    <cellStyle name="Normal 17 2 2 4 2 2" xfId="13724" xr:uid="{00000000-0005-0000-0000-00001BC70000}"/>
    <cellStyle name="Normal 17 2 2 4 2 2 2" xfId="28258" xr:uid="{00000000-0005-0000-0000-00001CC70000}"/>
    <cellStyle name="Normal 17 2 2 4 2 2 2 2" xfId="57264" xr:uid="{00000000-0005-0000-0000-00001DC70000}"/>
    <cellStyle name="Normal 17 2 2 4 2 2 3" xfId="42765" xr:uid="{00000000-0005-0000-0000-00001EC70000}"/>
    <cellStyle name="Normal 17 2 2 4 2 3" xfId="21010" xr:uid="{00000000-0005-0000-0000-00001FC70000}"/>
    <cellStyle name="Normal 17 2 2 4 2 3 2" xfId="50016" xr:uid="{00000000-0005-0000-0000-000020C70000}"/>
    <cellStyle name="Normal 17 2 2 4 2 4" xfId="35517" xr:uid="{00000000-0005-0000-0000-000021C70000}"/>
    <cellStyle name="Normal 17 2 2 4 3" xfId="10620" xr:uid="{00000000-0005-0000-0000-000022C70000}"/>
    <cellStyle name="Normal 17 2 2 4 3 2" xfId="25154" xr:uid="{00000000-0005-0000-0000-000023C70000}"/>
    <cellStyle name="Normal 17 2 2 4 3 2 2" xfId="54160" xr:uid="{00000000-0005-0000-0000-000024C70000}"/>
    <cellStyle name="Normal 17 2 2 4 3 3" xfId="39661" xr:uid="{00000000-0005-0000-0000-000025C70000}"/>
    <cellStyle name="Normal 17 2 2 4 4" xfId="17906" xr:uid="{00000000-0005-0000-0000-000026C70000}"/>
    <cellStyle name="Normal 17 2 2 4 4 2" xfId="46912" xr:uid="{00000000-0005-0000-0000-000027C70000}"/>
    <cellStyle name="Normal 17 2 2 4 5" xfId="32413" xr:uid="{00000000-0005-0000-0000-000028C70000}"/>
    <cellStyle name="Normal 17 2 2 5" xfId="4380" xr:uid="{00000000-0005-0000-0000-000029C70000}"/>
    <cellStyle name="Normal 17 2 2 5 2" xfId="11652" xr:uid="{00000000-0005-0000-0000-00002AC70000}"/>
    <cellStyle name="Normal 17 2 2 5 2 2" xfId="26186" xr:uid="{00000000-0005-0000-0000-00002BC70000}"/>
    <cellStyle name="Normal 17 2 2 5 2 2 2" xfId="55192" xr:uid="{00000000-0005-0000-0000-00002CC70000}"/>
    <cellStyle name="Normal 17 2 2 5 2 3" xfId="40693" xr:uid="{00000000-0005-0000-0000-00002DC70000}"/>
    <cellStyle name="Normal 17 2 2 5 3" xfId="18938" xr:uid="{00000000-0005-0000-0000-00002EC70000}"/>
    <cellStyle name="Normal 17 2 2 5 3 2" xfId="47944" xr:uid="{00000000-0005-0000-0000-00002FC70000}"/>
    <cellStyle name="Normal 17 2 2 5 4" xfId="33445" xr:uid="{00000000-0005-0000-0000-000030C70000}"/>
    <cellStyle name="Normal 17 2 2 6" xfId="7484" xr:uid="{00000000-0005-0000-0000-000031C70000}"/>
    <cellStyle name="Normal 17 2 2 6 2" xfId="14756" xr:uid="{00000000-0005-0000-0000-000032C70000}"/>
    <cellStyle name="Normal 17 2 2 6 2 2" xfId="29290" xr:uid="{00000000-0005-0000-0000-000033C70000}"/>
    <cellStyle name="Normal 17 2 2 6 2 2 2" xfId="58296" xr:uid="{00000000-0005-0000-0000-000034C70000}"/>
    <cellStyle name="Normal 17 2 2 6 2 3" xfId="43797" xr:uid="{00000000-0005-0000-0000-000035C70000}"/>
    <cellStyle name="Normal 17 2 2 6 3" xfId="22042" xr:uid="{00000000-0005-0000-0000-000036C70000}"/>
    <cellStyle name="Normal 17 2 2 6 3 2" xfId="51048" xr:uid="{00000000-0005-0000-0000-000037C70000}"/>
    <cellStyle name="Normal 17 2 2 6 4" xfId="36549" xr:uid="{00000000-0005-0000-0000-000038C70000}"/>
    <cellStyle name="Normal 17 2 2 7" xfId="8548" xr:uid="{00000000-0005-0000-0000-000039C70000}"/>
    <cellStyle name="Normal 17 2 2 7 2" xfId="23082" xr:uid="{00000000-0005-0000-0000-00003AC70000}"/>
    <cellStyle name="Normal 17 2 2 7 2 2" xfId="52088" xr:uid="{00000000-0005-0000-0000-00003BC70000}"/>
    <cellStyle name="Normal 17 2 2 7 3" xfId="37589" xr:uid="{00000000-0005-0000-0000-00003CC70000}"/>
    <cellStyle name="Normal 17 2 2 8" xfId="15834" xr:uid="{00000000-0005-0000-0000-00003DC70000}"/>
    <cellStyle name="Normal 17 2 2 8 2" xfId="44840" xr:uid="{00000000-0005-0000-0000-00003EC70000}"/>
    <cellStyle name="Normal 17 2 2 9" xfId="30341" xr:uid="{00000000-0005-0000-0000-00003FC70000}"/>
    <cellStyle name="Normal 17 2 3" xfId="1464" xr:uid="{00000000-0005-0000-0000-000040C70000}"/>
    <cellStyle name="Normal 17 2 3 2" xfId="2522" xr:uid="{00000000-0005-0000-0000-000041C70000}"/>
    <cellStyle name="Normal 17 2 3 2 2" xfId="5626" xr:uid="{00000000-0005-0000-0000-000042C70000}"/>
    <cellStyle name="Normal 17 2 3 2 2 2" xfId="12898" xr:uid="{00000000-0005-0000-0000-000043C70000}"/>
    <cellStyle name="Normal 17 2 3 2 2 2 2" xfId="27432" xr:uid="{00000000-0005-0000-0000-000044C70000}"/>
    <cellStyle name="Normal 17 2 3 2 2 2 2 2" xfId="56438" xr:uid="{00000000-0005-0000-0000-000045C70000}"/>
    <cellStyle name="Normal 17 2 3 2 2 2 3" xfId="41939" xr:uid="{00000000-0005-0000-0000-000046C70000}"/>
    <cellStyle name="Normal 17 2 3 2 2 3" xfId="20184" xr:uid="{00000000-0005-0000-0000-000047C70000}"/>
    <cellStyle name="Normal 17 2 3 2 2 3 2" xfId="49190" xr:uid="{00000000-0005-0000-0000-000048C70000}"/>
    <cellStyle name="Normal 17 2 3 2 2 4" xfId="34691" xr:uid="{00000000-0005-0000-0000-000049C70000}"/>
    <cellStyle name="Normal 17 2 3 2 3" xfId="9794" xr:uid="{00000000-0005-0000-0000-00004AC70000}"/>
    <cellStyle name="Normal 17 2 3 2 3 2" xfId="24328" xr:uid="{00000000-0005-0000-0000-00004BC70000}"/>
    <cellStyle name="Normal 17 2 3 2 3 2 2" xfId="53334" xr:uid="{00000000-0005-0000-0000-00004CC70000}"/>
    <cellStyle name="Normal 17 2 3 2 3 3" xfId="38835" xr:uid="{00000000-0005-0000-0000-00004DC70000}"/>
    <cellStyle name="Normal 17 2 3 2 4" xfId="17080" xr:uid="{00000000-0005-0000-0000-00004EC70000}"/>
    <cellStyle name="Normal 17 2 3 2 4 2" xfId="46086" xr:uid="{00000000-0005-0000-0000-00004FC70000}"/>
    <cellStyle name="Normal 17 2 3 2 5" xfId="31587" xr:uid="{00000000-0005-0000-0000-000050C70000}"/>
    <cellStyle name="Normal 17 2 3 3" xfId="3554" xr:uid="{00000000-0005-0000-0000-000051C70000}"/>
    <cellStyle name="Normal 17 2 3 3 2" xfId="6658" xr:uid="{00000000-0005-0000-0000-000052C70000}"/>
    <cellStyle name="Normal 17 2 3 3 2 2" xfId="13930" xr:uid="{00000000-0005-0000-0000-000053C70000}"/>
    <cellStyle name="Normal 17 2 3 3 2 2 2" xfId="28464" xr:uid="{00000000-0005-0000-0000-000054C70000}"/>
    <cellStyle name="Normal 17 2 3 3 2 2 2 2" xfId="57470" xr:uid="{00000000-0005-0000-0000-000055C70000}"/>
    <cellStyle name="Normal 17 2 3 3 2 2 3" xfId="42971" xr:uid="{00000000-0005-0000-0000-000056C70000}"/>
    <cellStyle name="Normal 17 2 3 3 2 3" xfId="21216" xr:uid="{00000000-0005-0000-0000-000057C70000}"/>
    <cellStyle name="Normal 17 2 3 3 2 3 2" xfId="50222" xr:uid="{00000000-0005-0000-0000-000058C70000}"/>
    <cellStyle name="Normal 17 2 3 3 2 4" xfId="35723" xr:uid="{00000000-0005-0000-0000-000059C70000}"/>
    <cellStyle name="Normal 17 2 3 3 3" xfId="10826" xr:uid="{00000000-0005-0000-0000-00005AC70000}"/>
    <cellStyle name="Normal 17 2 3 3 3 2" xfId="25360" xr:uid="{00000000-0005-0000-0000-00005BC70000}"/>
    <cellStyle name="Normal 17 2 3 3 3 2 2" xfId="54366" xr:uid="{00000000-0005-0000-0000-00005CC70000}"/>
    <cellStyle name="Normal 17 2 3 3 3 3" xfId="39867" xr:uid="{00000000-0005-0000-0000-00005DC70000}"/>
    <cellStyle name="Normal 17 2 3 3 4" xfId="18112" xr:uid="{00000000-0005-0000-0000-00005EC70000}"/>
    <cellStyle name="Normal 17 2 3 3 4 2" xfId="47118" xr:uid="{00000000-0005-0000-0000-00005FC70000}"/>
    <cellStyle name="Normal 17 2 3 3 5" xfId="32619" xr:uid="{00000000-0005-0000-0000-000060C70000}"/>
    <cellStyle name="Normal 17 2 3 4" xfId="4586" xr:uid="{00000000-0005-0000-0000-000061C70000}"/>
    <cellStyle name="Normal 17 2 3 4 2" xfId="11858" xr:uid="{00000000-0005-0000-0000-000062C70000}"/>
    <cellStyle name="Normal 17 2 3 4 2 2" xfId="26392" xr:uid="{00000000-0005-0000-0000-000063C70000}"/>
    <cellStyle name="Normal 17 2 3 4 2 2 2" xfId="55398" xr:uid="{00000000-0005-0000-0000-000064C70000}"/>
    <cellStyle name="Normal 17 2 3 4 2 3" xfId="40899" xr:uid="{00000000-0005-0000-0000-000065C70000}"/>
    <cellStyle name="Normal 17 2 3 4 3" xfId="19144" xr:uid="{00000000-0005-0000-0000-000066C70000}"/>
    <cellStyle name="Normal 17 2 3 4 3 2" xfId="48150" xr:uid="{00000000-0005-0000-0000-000067C70000}"/>
    <cellStyle name="Normal 17 2 3 4 4" xfId="33651" xr:uid="{00000000-0005-0000-0000-000068C70000}"/>
    <cellStyle name="Normal 17 2 3 5" xfId="7690" xr:uid="{00000000-0005-0000-0000-000069C70000}"/>
    <cellStyle name="Normal 17 2 3 5 2" xfId="14962" xr:uid="{00000000-0005-0000-0000-00006AC70000}"/>
    <cellStyle name="Normal 17 2 3 5 2 2" xfId="29496" xr:uid="{00000000-0005-0000-0000-00006BC70000}"/>
    <cellStyle name="Normal 17 2 3 5 2 2 2" xfId="58502" xr:uid="{00000000-0005-0000-0000-00006CC70000}"/>
    <cellStyle name="Normal 17 2 3 5 2 3" xfId="44003" xr:uid="{00000000-0005-0000-0000-00006DC70000}"/>
    <cellStyle name="Normal 17 2 3 5 3" xfId="22248" xr:uid="{00000000-0005-0000-0000-00006EC70000}"/>
    <cellStyle name="Normal 17 2 3 5 3 2" xfId="51254" xr:uid="{00000000-0005-0000-0000-00006FC70000}"/>
    <cellStyle name="Normal 17 2 3 5 4" xfId="36755" xr:uid="{00000000-0005-0000-0000-000070C70000}"/>
    <cellStyle name="Normal 17 2 3 6" xfId="8754" xr:uid="{00000000-0005-0000-0000-000071C70000}"/>
    <cellStyle name="Normal 17 2 3 6 2" xfId="23288" xr:uid="{00000000-0005-0000-0000-000072C70000}"/>
    <cellStyle name="Normal 17 2 3 6 2 2" xfId="52294" xr:uid="{00000000-0005-0000-0000-000073C70000}"/>
    <cellStyle name="Normal 17 2 3 6 3" xfId="37795" xr:uid="{00000000-0005-0000-0000-000074C70000}"/>
    <cellStyle name="Normal 17 2 3 7" xfId="16040" xr:uid="{00000000-0005-0000-0000-000075C70000}"/>
    <cellStyle name="Normal 17 2 3 7 2" xfId="45046" xr:uid="{00000000-0005-0000-0000-000076C70000}"/>
    <cellStyle name="Normal 17 2 3 8" xfId="30547" xr:uid="{00000000-0005-0000-0000-000077C70000}"/>
    <cellStyle name="Normal 17 2 4" xfId="2010" xr:uid="{00000000-0005-0000-0000-000078C70000}"/>
    <cellStyle name="Normal 17 2 4 2" xfId="5114" xr:uid="{00000000-0005-0000-0000-000079C70000}"/>
    <cellStyle name="Normal 17 2 4 2 2" xfId="12386" xr:uid="{00000000-0005-0000-0000-00007AC70000}"/>
    <cellStyle name="Normal 17 2 4 2 2 2" xfId="26920" xr:uid="{00000000-0005-0000-0000-00007BC70000}"/>
    <cellStyle name="Normal 17 2 4 2 2 2 2" xfId="55926" xr:uid="{00000000-0005-0000-0000-00007CC70000}"/>
    <cellStyle name="Normal 17 2 4 2 2 3" xfId="41427" xr:uid="{00000000-0005-0000-0000-00007DC70000}"/>
    <cellStyle name="Normal 17 2 4 2 3" xfId="19672" xr:uid="{00000000-0005-0000-0000-00007EC70000}"/>
    <cellStyle name="Normal 17 2 4 2 3 2" xfId="48678" xr:uid="{00000000-0005-0000-0000-00007FC70000}"/>
    <cellStyle name="Normal 17 2 4 2 4" xfId="34179" xr:uid="{00000000-0005-0000-0000-000080C70000}"/>
    <cellStyle name="Normal 17 2 4 3" xfId="9282" xr:uid="{00000000-0005-0000-0000-000081C70000}"/>
    <cellStyle name="Normal 17 2 4 3 2" xfId="23816" xr:uid="{00000000-0005-0000-0000-000082C70000}"/>
    <cellStyle name="Normal 17 2 4 3 2 2" xfId="52822" xr:uid="{00000000-0005-0000-0000-000083C70000}"/>
    <cellStyle name="Normal 17 2 4 3 3" xfId="38323" xr:uid="{00000000-0005-0000-0000-000084C70000}"/>
    <cellStyle name="Normal 17 2 4 4" xfId="16568" xr:uid="{00000000-0005-0000-0000-000085C70000}"/>
    <cellStyle name="Normal 17 2 4 4 2" xfId="45574" xr:uid="{00000000-0005-0000-0000-000086C70000}"/>
    <cellStyle name="Normal 17 2 4 5" xfId="31075" xr:uid="{00000000-0005-0000-0000-000087C70000}"/>
    <cellStyle name="Normal 17 2 5" xfId="3042" xr:uid="{00000000-0005-0000-0000-000088C70000}"/>
    <cellStyle name="Normal 17 2 5 2" xfId="6146" xr:uid="{00000000-0005-0000-0000-000089C70000}"/>
    <cellStyle name="Normal 17 2 5 2 2" xfId="13418" xr:uid="{00000000-0005-0000-0000-00008AC70000}"/>
    <cellStyle name="Normal 17 2 5 2 2 2" xfId="27952" xr:uid="{00000000-0005-0000-0000-00008BC70000}"/>
    <cellStyle name="Normal 17 2 5 2 2 2 2" xfId="56958" xr:uid="{00000000-0005-0000-0000-00008CC70000}"/>
    <cellStyle name="Normal 17 2 5 2 2 3" xfId="42459" xr:uid="{00000000-0005-0000-0000-00008DC70000}"/>
    <cellStyle name="Normal 17 2 5 2 3" xfId="20704" xr:uid="{00000000-0005-0000-0000-00008EC70000}"/>
    <cellStyle name="Normal 17 2 5 2 3 2" xfId="49710" xr:uid="{00000000-0005-0000-0000-00008FC70000}"/>
    <cellStyle name="Normal 17 2 5 2 4" xfId="35211" xr:uid="{00000000-0005-0000-0000-000090C70000}"/>
    <cellStyle name="Normal 17 2 5 3" xfId="10314" xr:uid="{00000000-0005-0000-0000-000091C70000}"/>
    <cellStyle name="Normal 17 2 5 3 2" xfId="24848" xr:uid="{00000000-0005-0000-0000-000092C70000}"/>
    <cellStyle name="Normal 17 2 5 3 2 2" xfId="53854" xr:uid="{00000000-0005-0000-0000-000093C70000}"/>
    <cellStyle name="Normal 17 2 5 3 3" xfId="39355" xr:uid="{00000000-0005-0000-0000-000094C70000}"/>
    <cellStyle name="Normal 17 2 5 4" xfId="17600" xr:uid="{00000000-0005-0000-0000-000095C70000}"/>
    <cellStyle name="Normal 17 2 5 4 2" xfId="46606" xr:uid="{00000000-0005-0000-0000-000096C70000}"/>
    <cellStyle name="Normal 17 2 5 5" xfId="32107" xr:uid="{00000000-0005-0000-0000-000097C70000}"/>
    <cellStyle name="Normal 17 2 6" xfId="4074" xr:uid="{00000000-0005-0000-0000-000098C70000}"/>
    <cellStyle name="Normal 17 2 6 2" xfId="11346" xr:uid="{00000000-0005-0000-0000-000099C70000}"/>
    <cellStyle name="Normal 17 2 6 2 2" xfId="25880" xr:uid="{00000000-0005-0000-0000-00009AC70000}"/>
    <cellStyle name="Normal 17 2 6 2 2 2" xfId="54886" xr:uid="{00000000-0005-0000-0000-00009BC70000}"/>
    <cellStyle name="Normal 17 2 6 2 3" xfId="40387" xr:uid="{00000000-0005-0000-0000-00009CC70000}"/>
    <cellStyle name="Normal 17 2 6 3" xfId="18632" xr:uid="{00000000-0005-0000-0000-00009DC70000}"/>
    <cellStyle name="Normal 17 2 6 3 2" xfId="47638" xr:uid="{00000000-0005-0000-0000-00009EC70000}"/>
    <cellStyle name="Normal 17 2 6 4" xfId="33139" xr:uid="{00000000-0005-0000-0000-00009FC70000}"/>
    <cellStyle name="Normal 17 2 7" xfId="7178" xr:uid="{00000000-0005-0000-0000-0000A0C70000}"/>
    <cellStyle name="Normal 17 2 7 2" xfId="14450" xr:uid="{00000000-0005-0000-0000-0000A1C70000}"/>
    <cellStyle name="Normal 17 2 7 2 2" xfId="28984" xr:uid="{00000000-0005-0000-0000-0000A2C70000}"/>
    <cellStyle name="Normal 17 2 7 2 2 2" xfId="57990" xr:uid="{00000000-0005-0000-0000-0000A3C70000}"/>
    <cellStyle name="Normal 17 2 7 2 3" xfId="43491" xr:uid="{00000000-0005-0000-0000-0000A4C70000}"/>
    <cellStyle name="Normal 17 2 7 3" xfId="21736" xr:uid="{00000000-0005-0000-0000-0000A5C70000}"/>
    <cellStyle name="Normal 17 2 7 3 2" xfId="50742" xr:uid="{00000000-0005-0000-0000-0000A6C70000}"/>
    <cellStyle name="Normal 17 2 7 4" xfId="36243" xr:uid="{00000000-0005-0000-0000-0000A7C70000}"/>
    <cellStyle name="Normal 17 2 8" xfId="8242" xr:uid="{00000000-0005-0000-0000-0000A8C70000}"/>
    <cellStyle name="Normal 17 2 8 2" xfId="22776" xr:uid="{00000000-0005-0000-0000-0000A9C70000}"/>
    <cellStyle name="Normal 17 2 8 2 2" xfId="51782" xr:uid="{00000000-0005-0000-0000-0000AAC70000}"/>
    <cellStyle name="Normal 17 2 8 3" xfId="37283" xr:uid="{00000000-0005-0000-0000-0000ABC70000}"/>
    <cellStyle name="Normal 17 2 9" xfId="15528" xr:uid="{00000000-0005-0000-0000-0000ACC70000}"/>
    <cellStyle name="Normal 17 2 9 2" xfId="44534" xr:uid="{00000000-0005-0000-0000-0000ADC70000}"/>
    <cellStyle name="Normal 17 3" xfId="1166" xr:uid="{00000000-0005-0000-0000-0000AEC70000}"/>
    <cellStyle name="Normal 17 3 2" xfId="1666" xr:uid="{00000000-0005-0000-0000-0000AFC70000}"/>
    <cellStyle name="Normal 17 3 2 2" xfId="2725" xr:uid="{00000000-0005-0000-0000-0000B0C70000}"/>
    <cellStyle name="Normal 17 3 2 2 2" xfId="5829" xr:uid="{00000000-0005-0000-0000-0000B1C70000}"/>
    <cellStyle name="Normal 17 3 2 2 2 2" xfId="13101" xr:uid="{00000000-0005-0000-0000-0000B2C70000}"/>
    <cellStyle name="Normal 17 3 2 2 2 2 2" xfId="27635" xr:uid="{00000000-0005-0000-0000-0000B3C70000}"/>
    <cellStyle name="Normal 17 3 2 2 2 2 2 2" xfId="56641" xr:uid="{00000000-0005-0000-0000-0000B4C70000}"/>
    <cellStyle name="Normal 17 3 2 2 2 2 3" xfId="42142" xr:uid="{00000000-0005-0000-0000-0000B5C70000}"/>
    <cellStyle name="Normal 17 3 2 2 2 3" xfId="20387" xr:uid="{00000000-0005-0000-0000-0000B6C70000}"/>
    <cellStyle name="Normal 17 3 2 2 2 3 2" xfId="49393" xr:uid="{00000000-0005-0000-0000-0000B7C70000}"/>
    <cellStyle name="Normal 17 3 2 2 2 4" xfId="34894" xr:uid="{00000000-0005-0000-0000-0000B8C70000}"/>
    <cellStyle name="Normal 17 3 2 2 3" xfId="9997" xr:uid="{00000000-0005-0000-0000-0000B9C70000}"/>
    <cellStyle name="Normal 17 3 2 2 3 2" xfId="24531" xr:uid="{00000000-0005-0000-0000-0000BAC70000}"/>
    <cellStyle name="Normal 17 3 2 2 3 2 2" xfId="53537" xr:uid="{00000000-0005-0000-0000-0000BBC70000}"/>
    <cellStyle name="Normal 17 3 2 2 3 3" xfId="39038" xr:uid="{00000000-0005-0000-0000-0000BCC70000}"/>
    <cellStyle name="Normal 17 3 2 2 4" xfId="17283" xr:uid="{00000000-0005-0000-0000-0000BDC70000}"/>
    <cellStyle name="Normal 17 3 2 2 4 2" xfId="46289" xr:uid="{00000000-0005-0000-0000-0000BEC70000}"/>
    <cellStyle name="Normal 17 3 2 2 5" xfId="31790" xr:uid="{00000000-0005-0000-0000-0000BFC70000}"/>
    <cellStyle name="Normal 17 3 2 3" xfId="3757" xr:uid="{00000000-0005-0000-0000-0000C0C70000}"/>
    <cellStyle name="Normal 17 3 2 3 2" xfId="6861" xr:uid="{00000000-0005-0000-0000-0000C1C70000}"/>
    <cellStyle name="Normal 17 3 2 3 2 2" xfId="14133" xr:uid="{00000000-0005-0000-0000-0000C2C70000}"/>
    <cellStyle name="Normal 17 3 2 3 2 2 2" xfId="28667" xr:uid="{00000000-0005-0000-0000-0000C3C70000}"/>
    <cellStyle name="Normal 17 3 2 3 2 2 2 2" xfId="57673" xr:uid="{00000000-0005-0000-0000-0000C4C70000}"/>
    <cellStyle name="Normal 17 3 2 3 2 2 3" xfId="43174" xr:uid="{00000000-0005-0000-0000-0000C5C70000}"/>
    <cellStyle name="Normal 17 3 2 3 2 3" xfId="21419" xr:uid="{00000000-0005-0000-0000-0000C6C70000}"/>
    <cellStyle name="Normal 17 3 2 3 2 3 2" xfId="50425" xr:uid="{00000000-0005-0000-0000-0000C7C70000}"/>
    <cellStyle name="Normal 17 3 2 3 2 4" xfId="35926" xr:uid="{00000000-0005-0000-0000-0000C8C70000}"/>
    <cellStyle name="Normal 17 3 2 3 3" xfId="11029" xr:uid="{00000000-0005-0000-0000-0000C9C70000}"/>
    <cellStyle name="Normal 17 3 2 3 3 2" xfId="25563" xr:uid="{00000000-0005-0000-0000-0000CAC70000}"/>
    <cellStyle name="Normal 17 3 2 3 3 2 2" xfId="54569" xr:uid="{00000000-0005-0000-0000-0000CBC70000}"/>
    <cellStyle name="Normal 17 3 2 3 3 3" xfId="40070" xr:uid="{00000000-0005-0000-0000-0000CCC70000}"/>
    <cellStyle name="Normal 17 3 2 3 4" xfId="18315" xr:uid="{00000000-0005-0000-0000-0000CDC70000}"/>
    <cellStyle name="Normal 17 3 2 3 4 2" xfId="47321" xr:uid="{00000000-0005-0000-0000-0000CEC70000}"/>
    <cellStyle name="Normal 17 3 2 3 5" xfId="32822" xr:uid="{00000000-0005-0000-0000-0000CFC70000}"/>
    <cellStyle name="Normal 17 3 2 4" xfId="4789" xr:uid="{00000000-0005-0000-0000-0000D0C70000}"/>
    <cellStyle name="Normal 17 3 2 4 2" xfId="12061" xr:uid="{00000000-0005-0000-0000-0000D1C70000}"/>
    <cellStyle name="Normal 17 3 2 4 2 2" xfId="26595" xr:uid="{00000000-0005-0000-0000-0000D2C70000}"/>
    <cellStyle name="Normal 17 3 2 4 2 2 2" xfId="55601" xr:uid="{00000000-0005-0000-0000-0000D3C70000}"/>
    <cellStyle name="Normal 17 3 2 4 2 3" xfId="41102" xr:uid="{00000000-0005-0000-0000-0000D4C70000}"/>
    <cellStyle name="Normal 17 3 2 4 3" xfId="19347" xr:uid="{00000000-0005-0000-0000-0000D5C70000}"/>
    <cellStyle name="Normal 17 3 2 4 3 2" xfId="48353" xr:uid="{00000000-0005-0000-0000-0000D6C70000}"/>
    <cellStyle name="Normal 17 3 2 4 4" xfId="33854" xr:uid="{00000000-0005-0000-0000-0000D7C70000}"/>
    <cellStyle name="Normal 17 3 2 5" xfId="7893" xr:uid="{00000000-0005-0000-0000-0000D8C70000}"/>
    <cellStyle name="Normal 17 3 2 5 2" xfId="15165" xr:uid="{00000000-0005-0000-0000-0000D9C70000}"/>
    <cellStyle name="Normal 17 3 2 5 2 2" xfId="29699" xr:uid="{00000000-0005-0000-0000-0000DAC70000}"/>
    <cellStyle name="Normal 17 3 2 5 2 2 2" xfId="58705" xr:uid="{00000000-0005-0000-0000-0000DBC70000}"/>
    <cellStyle name="Normal 17 3 2 5 2 3" xfId="44206" xr:uid="{00000000-0005-0000-0000-0000DCC70000}"/>
    <cellStyle name="Normal 17 3 2 5 3" xfId="22451" xr:uid="{00000000-0005-0000-0000-0000DDC70000}"/>
    <cellStyle name="Normal 17 3 2 5 3 2" xfId="51457" xr:uid="{00000000-0005-0000-0000-0000DEC70000}"/>
    <cellStyle name="Normal 17 3 2 5 4" xfId="36958" xr:uid="{00000000-0005-0000-0000-0000DFC70000}"/>
    <cellStyle name="Normal 17 3 2 6" xfId="8957" xr:uid="{00000000-0005-0000-0000-0000E0C70000}"/>
    <cellStyle name="Normal 17 3 2 6 2" xfId="23491" xr:uid="{00000000-0005-0000-0000-0000E1C70000}"/>
    <cellStyle name="Normal 17 3 2 6 2 2" xfId="52497" xr:uid="{00000000-0005-0000-0000-0000E2C70000}"/>
    <cellStyle name="Normal 17 3 2 6 3" xfId="37998" xr:uid="{00000000-0005-0000-0000-0000E3C70000}"/>
    <cellStyle name="Normal 17 3 2 7" xfId="16243" xr:uid="{00000000-0005-0000-0000-0000E4C70000}"/>
    <cellStyle name="Normal 17 3 2 7 2" xfId="45249" xr:uid="{00000000-0005-0000-0000-0000E5C70000}"/>
    <cellStyle name="Normal 17 3 2 8" xfId="30750" xr:uid="{00000000-0005-0000-0000-0000E6C70000}"/>
    <cellStyle name="Normal 17 3 3" xfId="2213" xr:uid="{00000000-0005-0000-0000-0000E7C70000}"/>
    <cellStyle name="Normal 17 3 3 2" xfId="5317" xr:uid="{00000000-0005-0000-0000-0000E8C70000}"/>
    <cellStyle name="Normal 17 3 3 2 2" xfId="12589" xr:uid="{00000000-0005-0000-0000-0000E9C70000}"/>
    <cellStyle name="Normal 17 3 3 2 2 2" xfId="27123" xr:uid="{00000000-0005-0000-0000-0000EAC70000}"/>
    <cellStyle name="Normal 17 3 3 2 2 2 2" xfId="56129" xr:uid="{00000000-0005-0000-0000-0000EBC70000}"/>
    <cellStyle name="Normal 17 3 3 2 2 3" xfId="41630" xr:uid="{00000000-0005-0000-0000-0000ECC70000}"/>
    <cellStyle name="Normal 17 3 3 2 3" xfId="19875" xr:uid="{00000000-0005-0000-0000-0000EDC70000}"/>
    <cellStyle name="Normal 17 3 3 2 3 2" xfId="48881" xr:uid="{00000000-0005-0000-0000-0000EEC70000}"/>
    <cellStyle name="Normal 17 3 3 2 4" xfId="34382" xr:uid="{00000000-0005-0000-0000-0000EFC70000}"/>
    <cellStyle name="Normal 17 3 3 3" xfId="9485" xr:uid="{00000000-0005-0000-0000-0000F0C70000}"/>
    <cellStyle name="Normal 17 3 3 3 2" xfId="24019" xr:uid="{00000000-0005-0000-0000-0000F1C70000}"/>
    <cellStyle name="Normal 17 3 3 3 2 2" xfId="53025" xr:uid="{00000000-0005-0000-0000-0000F2C70000}"/>
    <cellStyle name="Normal 17 3 3 3 3" xfId="38526" xr:uid="{00000000-0005-0000-0000-0000F3C70000}"/>
    <cellStyle name="Normal 17 3 3 4" xfId="16771" xr:uid="{00000000-0005-0000-0000-0000F4C70000}"/>
    <cellStyle name="Normal 17 3 3 4 2" xfId="45777" xr:uid="{00000000-0005-0000-0000-0000F5C70000}"/>
    <cellStyle name="Normal 17 3 3 5" xfId="31278" xr:uid="{00000000-0005-0000-0000-0000F6C70000}"/>
    <cellStyle name="Normal 17 3 4" xfId="3245" xr:uid="{00000000-0005-0000-0000-0000F7C70000}"/>
    <cellStyle name="Normal 17 3 4 2" xfId="6349" xr:uid="{00000000-0005-0000-0000-0000F8C70000}"/>
    <cellStyle name="Normal 17 3 4 2 2" xfId="13621" xr:uid="{00000000-0005-0000-0000-0000F9C70000}"/>
    <cellStyle name="Normal 17 3 4 2 2 2" xfId="28155" xr:uid="{00000000-0005-0000-0000-0000FAC70000}"/>
    <cellStyle name="Normal 17 3 4 2 2 2 2" xfId="57161" xr:uid="{00000000-0005-0000-0000-0000FBC70000}"/>
    <cellStyle name="Normal 17 3 4 2 2 3" xfId="42662" xr:uid="{00000000-0005-0000-0000-0000FCC70000}"/>
    <cellStyle name="Normal 17 3 4 2 3" xfId="20907" xr:uid="{00000000-0005-0000-0000-0000FDC70000}"/>
    <cellStyle name="Normal 17 3 4 2 3 2" xfId="49913" xr:uid="{00000000-0005-0000-0000-0000FEC70000}"/>
    <cellStyle name="Normal 17 3 4 2 4" xfId="35414" xr:uid="{00000000-0005-0000-0000-0000FFC70000}"/>
    <cellStyle name="Normal 17 3 4 3" xfId="10517" xr:uid="{00000000-0005-0000-0000-000000C80000}"/>
    <cellStyle name="Normal 17 3 4 3 2" xfId="25051" xr:uid="{00000000-0005-0000-0000-000001C80000}"/>
    <cellStyle name="Normal 17 3 4 3 2 2" xfId="54057" xr:uid="{00000000-0005-0000-0000-000002C80000}"/>
    <cellStyle name="Normal 17 3 4 3 3" xfId="39558" xr:uid="{00000000-0005-0000-0000-000003C80000}"/>
    <cellStyle name="Normal 17 3 4 4" xfId="17803" xr:uid="{00000000-0005-0000-0000-000004C80000}"/>
    <cellStyle name="Normal 17 3 4 4 2" xfId="46809" xr:uid="{00000000-0005-0000-0000-000005C80000}"/>
    <cellStyle name="Normal 17 3 4 5" xfId="32310" xr:uid="{00000000-0005-0000-0000-000006C80000}"/>
    <cellStyle name="Normal 17 3 5" xfId="4277" xr:uid="{00000000-0005-0000-0000-000007C80000}"/>
    <cellStyle name="Normal 17 3 5 2" xfId="11549" xr:uid="{00000000-0005-0000-0000-000008C80000}"/>
    <cellStyle name="Normal 17 3 5 2 2" xfId="26083" xr:uid="{00000000-0005-0000-0000-000009C80000}"/>
    <cellStyle name="Normal 17 3 5 2 2 2" xfId="55089" xr:uid="{00000000-0005-0000-0000-00000AC80000}"/>
    <cellStyle name="Normal 17 3 5 2 3" xfId="40590" xr:uid="{00000000-0005-0000-0000-00000BC80000}"/>
    <cellStyle name="Normal 17 3 5 3" xfId="18835" xr:uid="{00000000-0005-0000-0000-00000CC80000}"/>
    <cellStyle name="Normal 17 3 5 3 2" xfId="47841" xr:uid="{00000000-0005-0000-0000-00000DC80000}"/>
    <cellStyle name="Normal 17 3 5 4" xfId="33342" xr:uid="{00000000-0005-0000-0000-00000EC80000}"/>
    <cellStyle name="Normal 17 3 6" xfId="7381" xr:uid="{00000000-0005-0000-0000-00000FC80000}"/>
    <cellStyle name="Normal 17 3 6 2" xfId="14653" xr:uid="{00000000-0005-0000-0000-000010C80000}"/>
    <cellStyle name="Normal 17 3 6 2 2" xfId="29187" xr:uid="{00000000-0005-0000-0000-000011C80000}"/>
    <cellStyle name="Normal 17 3 6 2 2 2" xfId="58193" xr:uid="{00000000-0005-0000-0000-000012C80000}"/>
    <cellStyle name="Normal 17 3 6 2 3" xfId="43694" xr:uid="{00000000-0005-0000-0000-000013C80000}"/>
    <cellStyle name="Normal 17 3 6 3" xfId="21939" xr:uid="{00000000-0005-0000-0000-000014C80000}"/>
    <cellStyle name="Normal 17 3 6 3 2" xfId="50945" xr:uid="{00000000-0005-0000-0000-000015C80000}"/>
    <cellStyle name="Normal 17 3 6 4" xfId="36446" xr:uid="{00000000-0005-0000-0000-000016C80000}"/>
    <cellStyle name="Normal 17 3 7" xfId="8445" xr:uid="{00000000-0005-0000-0000-000017C80000}"/>
    <cellStyle name="Normal 17 3 7 2" xfId="22979" xr:uid="{00000000-0005-0000-0000-000018C80000}"/>
    <cellStyle name="Normal 17 3 7 2 2" xfId="51985" xr:uid="{00000000-0005-0000-0000-000019C80000}"/>
    <cellStyle name="Normal 17 3 7 3" xfId="37486" xr:uid="{00000000-0005-0000-0000-00001AC80000}"/>
    <cellStyle name="Normal 17 3 8" xfId="15731" xr:uid="{00000000-0005-0000-0000-00001BC80000}"/>
    <cellStyle name="Normal 17 3 8 2" xfId="44737" xr:uid="{00000000-0005-0000-0000-00001CC80000}"/>
    <cellStyle name="Normal 17 3 9" xfId="30238" xr:uid="{00000000-0005-0000-0000-00001DC80000}"/>
    <cellStyle name="Normal 17 4" xfId="1362" xr:uid="{00000000-0005-0000-0000-00001EC80000}"/>
    <cellStyle name="Normal 17 4 2" xfId="2419" xr:uid="{00000000-0005-0000-0000-00001FC80000}"/>
    <cellStyle name="Normal 17 4 2 2" xfId="5523" xr:uid="{00000000-0005-0000-0000-000020C80000}"/>
    <cellStyle name="Normal 17 4 2 2 2" xfId="12795" xr:uid="{00000000-0005-0000-0000-000021C80000}"/>
    <cellStyle name="Normal 17 4 2 2 2 2" xfId="27329" xr:uid="{00000000-0005-0000-0000-000022C80000}"/>
    <cellStyle name="Normal 17 4 2 2 2 2 2" xfId="56335" xr:uid="{00000000-0005-0000-0000-000023C80000}"/>
    <cellStyle name="Normal 17 4 2 2 2 3" xfId="41836" xr:uid="{00000000-0005-0000-0000-000024C80000}"/>
    <cellStyle name="Normal 17 4 2 2 3" xfId="20081" xr:uid="{00000000-0005-0000-0000-000025C80000}"/>
    <cellStyle name="Normal 17 4 2 2 3 2" xfId="49087" xr:uid="{00000000-0005-0000-0000-000026C80000}"/>
    <cellStyle name="Normal 17 4 2 2 4" xfId="34588" xr:uid="{00000000-0005-0000-0000-000027C80000}"/>
    <cellStyle name="Normal 17 4 2 3" xfId="9691" xr:uid="{00000000-0005-0000-0000-000028C80000}"/>
    <cellStyle name="Normal 17 4 2 3 2" xfId="24225" xr:uid="{00000000-0005-0000-0000-000029C80000}"/>
    <cellStyle name="Normal 17 4 2 3 2 2" xfId="53231" xr:uid="{00000000-0005-0000-0000-00002AC80000}"/>
    <cellStyle name="Normal 17 4 2 3 3" xfId="38732" xr:uid="{00000000-0005-0000-0000-00002BC80000}"/>
    <cellStyle name="Normal 17 4 2 4" xfId="16977" xr:uid="{00000000-0005-0000-0000-00002CC80000}"/>
    <cellStyle name="Normal 17 4 2 4 2" xfId="45983" xr:uid="{00000000-0005-0000-0000-00002DC80000}"/>
    <cellStyle name="Normal 17 4 2 5" xfId="31484" xr:uid="{00000000-0005-0000-0000-00002EC80000}"/>
    <cellStyle name="Normal 17 4 3" xfId="3451" xr:uid="{00000000-0005-0000-0000-00002FC80000}"/>
    <cellStyle name="Normal 17 4 3 2" xfId="6555" xr:uid="{00000000-0005-0000-0000-000030C80000}"/>
    <cellStyle name="Normal 17 4 3 2 2" xfId="13827" xr:uid="{00000000-0005-0000-0000-000031C80000}"/>
    <cellStyle name="Normal 17 4 3 2 2 2" xfId="28361" xr:uid="{00000000-0005-0000-0000-000032C80000}"/>
    <cellStyle name="Normal 17 4 3 2 2 2 2" xfId="57367" xr:uid="{00000000-0005-0000-0000-000033C80000}"/>
    <cellStyle name="Normal 17 4 3 2 2 3" xfId="42868" xr:uid="{00000000-0005-0000-0000-000034C80000}"/>
    <cellStyle name="Normal 17 4 3 2 3" xfId="21113" xr:uid="{00000000-0005-0000-0000-000035C80000}"/>
    <cellStyle name="Normal 17 4 3 2 3 2" xfId="50119" xr:uid="{00000000-0005-0000-0000-000036C80000}"/>
    <cellStyle name="Normal 17 4 3 2 4" xfId="35620" xr:uid="{00000000-0005-0000-0000-000037C80000}"/>
    <cellStyle name="Normal 17 4 3 3" xfId="10723" xr:uid="{00000000-0005-0000-0000-000038C80000}"/>
    <cellStyle name="Normal 17 4 3 3 2" xfId="25257" xr:uid="{00000000-0005-0000-0000-000039C80000}"/>
    <cellStyle name="Normal 17 4 3 3 2 2" xfId="54263" xr:uid="{00000000-0005-0000-0000-00003AC80000}"/>
    <cellStyle name="Normal 17 4 3 3 3" xfId="39764" xr:uid="{00000000-0005-0000-0000-00003BC80000}"/>
    <cellStyle name="Normal 17 4 3 4" xfId="18009" xr:uid="{00000000-0005-0000-0000-00003CC80000}"/>
    <cellStyle name="Normal 17 4 3 4 2" xfId="47015" xr:uid="{00000000-0005-0000-0000-00003DC80000}"/>
    <cellStyle name="Normal 17 4 3 5" xfId="32516" xr:uid="{00000000-0005-0000-0000-00003EC80000}"/>
    <cellStyle name="Normal 17 4 4" xfId="4483" xr:uid="{00000000-0005-0000-0000-00003FC80000}"/>
    <cellStyle name="Normal 17 4 4 2" xfId="11755" xr:uid="{00000000-0005-0000-0000-000040C80000}"/>
    <cellStyle name="Normal 17 4 4 2 2" xfId="26289" xr:uid="{00000000-0005-0000-0000-000041C80000}"/>
    <cellStyle name="Normal 17 4 4 2 2 2" xfId="55295" xr:uid="{00000000-0005-0000-0000-000042C80000}"/>
    <cellStyle name="Normal 17 4 4 2 3" xfId="40796" xr:uid="{00000000-0005-0000-0000-000043C80000}"/>
    <cellStyle name="Normal 17 4 4 3" xfId="19041" xr:uid="{00000000-0005-0000-0000-000044C80000}"/>
    <cellStyle name="Normal 17 4 4 3 2" xfId="48047" xr:uid="{00000000-0005-0000-0000-000045C80000}"/>
    <cellStyle name="Normal 17 4 4 4" xfId="33548" xr:uid="{00000000-0005-0000-0000-000046C80000}"/>
    <cellStyle name="Normal 17 4 5" xfId="7587" xr:uid="{00000000-0005-0000-0000-000047C80000}"/>
    <cellStyle name="Normal 17 4 5 2" xfId="14859" xr:uid="{00000000-0005-0000-0000-000048C80000}"/>
    <cellStyle name="Normal 17 4 5 2 2" xfId="29393" xr:uid="{00000000-0005-0000-0000-000049C80000}"/>
    <cellStyle name="Normal 17 4 5 2 2 2" xfId="58399" xr:uid="{00000000-0005-0000-0000-00004AC80000}"/>
    <cellStyle name="Normal 17 4 5 2 3" xfId="43900" xr:uid="{00000000-0005-0000-0000-00004BC80000}"/>
    <cellStyle name="Normal 17 4 5 3" xfId="22145" xr:uid="{00000000-0005-0000-0000-00004CC80000}"/>
    <cellStyle name="Normal 17 4 5 3 2" xfId="51151" xr:uid="{00000000-0005-0000-0000-00004DC80000}"/>
    <cellStyle name="Normal 17 4 5 4" xfId="36652" xr:uid="{00000000-0005-0000-0000-00004EC80000}"/>
    <cellStyle name="Normal 17 4 6" xfId="8651" xr:uid="{00000000-0005-0000-0000-00004FC80000}"/>
    <cellStyle name="Normal 17 4 6 2" xfId="23185" xr:uid="{00000000-0005-0000-0000-000050C80000}"/>
    <cellStyle name="Normal 17 4 6 2 2" xfId="52191" xr:uid="{00000000-0005-0000-0000-000051C80000}"/>
    <cellStyle name="Normal 17 4 6 3" xfId="37692" xr:uid="{00000000-0005-0000-0000-000052C80000}"/>
    <cellStyle name="Normal 17 4 7" xfId="15937" xr:uid="{00000000-0005-0000-0000-000053C80000}"/>
    <cellStyle name="Normal 17 4 7 2" xfId="44943" xr:uid="{00000000-0005-0000-0000-000054C80000}"/>
    <cellStyle name="Normal 17 4 8" xfId="30444" xr:uid="{00000000-0005-0000-0000-000055C80000}"/>
    <cellStyle name="Normal 17 5" xfId="1907" xr:uid="{00000000-0005-0000-0000-000056C80000}"/>
    <cellStyle name="Normal 17 5 2" xfId="5011" xr:uid="{00000000-0005-0000-0000-000057C80000}"/>
    <cellStyle name="Normal 17 5 2 2" xfId="12283" xr:uid="{00000000-0005-0000-0000-000058C80000}"/>
    <cellStyle name="Normal 17 5 2 2 2" xfId="26817" xr:uid="{00000000-0005-0000-0000-000059C80000}"/>
    <cellStyle name="Normal 17 5 2 2 2 2" xfId="55823" xr:uid="{00000000-0005-0000-0000-00005AC80000}"/>
    <cellStyle name="Normal 17 5 2 2 3" xfId="41324" xr:uid="{00000000-0005-0000-0000-00005BC80000}"/>
    <cellStyle name="Normal 17 5 2 3" xfId="19569" xr:uid="{00000000-0005-0000-0000-00005CC80000}"/>
    <cellStyle name="Normal 17 5 2 3 2" xfId="48575" xr:uid="{00000000-0005-0000-0000-00005DC80000}"/>
    <cellStyle name="Normal 17 5 2 4" xfId="34076" xr:uid="{00000000-0005-0000-0000-00005EC80000}"/>
    <cellStyle name="Normal 17 5 3" xfId="9179" xr:uid="{00000000-0005-0000-0000-00005FC80000}"/>
    <cellStyle name="Normal 17 5 3 2" xfId="23713" xr:uid="{00000000-0005-0000-0000-000060C80000}"/>
    <cellStyle name="Normal 17 5 3 2 2" xfId="52719" xr:uid="{00000000-0005-0000-0000-000061C80000}"/>
    <cellStyle name="Normal 17 5 3 3" xfId="38220" xr:uid="{00000000-0005-0000-0000-000062C80000}"/>
    <cellStyle name="Normal 17 5 4" xfId="16465" xr:uid="{00000000-0005-0000-0000-000063C80000}"/>
    <cellStyle name="Normal 17 5 4 2" xfId="45471" xr:uid="{00000000-0005-0000-0000-000064C80000}"/>
    <cellStyle name="Normal 17 5 5" xfId="30972" xr:uid="{00000000-0005-0000-0000-000065C80000}"/>
    <cellStyle name="Normal 17 6" xfId="2939" xr:uid="{00000000-0005-0000-0000-000066C80000}"/>
    <cellStyle name="Normal 17 6 2" xfId="6043" xr:uid="{00000000-0005-0000-0000-000067C80000}"/>
    <cellStyle name="Normal 17 6 2 2" xfId="13315" xr:uid="{00000000-0005-0000-0000-000068C80000}"/>
    <cellStyle name="Normal 17 6 2 2 2" xfId="27849" xr:uid="{00000000-0005-0000-0000-000069C80000}"/>
    <cellStyle name="Normal 17 6 2 2 2 2" xfId="56855" xr:uid="{00000000-0005-0000-0000-00006AC80000}"/>
    <cellStyle name="Normal 17 6 2 2 3" xfId="42356" xr:uid="{00000000-0005-0000-0000-00006BC80000}"/>
    <cellStyle name="Normal 17 6 2 3" xfId="20601" xr:uid="{00000000-0005-0000-0000-00006CC80000}"/>
    <cellStyle name="Normal 17 6 2 3 2" xfId="49607" xr:uid="{00000000-0005-0000-0000-00006DC80000}"/>
    <cellStyle name="Normal 17 6 2 4" xfId="35108" xr:uid="{00000000-0005-0000-0000-00006EC80000}"/>
    <cellStyle name="Normal 17 6 3" xfId="10211" xr:uid="{00000000-0005-0000-0000-00006FC80000}"/>
    <cellStyle name="Normal 17 6 3 2" xfId="24745" xr:uid="{00000000-0005-0000-0000-000070C80000}"/>
    <cellStyle name="Normal 17 6 3 2 2" xfId="53751" xr:uid="{00000000-0005-0000-0000-000071C80000}"/>
    <cellStyle name="Normal 17 6 3 3" xfId="39252" xr:uid="{00000000-0005-0000-0000-000072C80000}"/>
    <cellStyle name="Normal 17 6 4" xfId="17497" xr:uid="{00000000-0005-0000-0000-000073C80000}"/>
    <cellStyle name="Normal 17 6 4 2" xfId="46503" xr:uid="{00000000-0005-0000-0000-000074C80000}"/>
    <cellStyle name="Normal 17 6 5" xfId="32004" xr:uid="{00000000-0005-0000-0000-000075C80000}"/>
    <cellStyle name="Normal 17 7" xfId="3971" xr:uid="{00000000-0005-0000-0000-000076C80000}"/>
    <cellStyle name="Normal 17 7 2" xfId="11243" xr:uid="{00000000-0005-0000-0000-000077C80000}"/>
    <cellStyle name="Normal 17 7 2 2" xfId="25777" xr:uid="{00000000-0005-0000-0000-000078C80000}"/>
    <cellStyle name="Normal 17 7 2 2 2" xfId="54783" xr:uid="{00000000-0005-0000-0000-000079C80000}"/>
    <cellStyle name="Normal 17 7 2 3" xfId="40284" xr:uid="{00000000-0005-0000-0000-00007AC80000}"/>
    <cellStyle name="Normal 17 7 3" xfId="18529" xr:uid="{00000000-0005-0000-0000-00007BC80000}"/>
    <cellStyle name="Normal 17 7 3 2" xfId="47535" xr:uid="{00000000-0005-0000-0000-00007CC80000}"/>
    <cellStyle name="Normal 17 7 4" xfId="33036" xr:uid="{00000000-0005-0000-0000-00007DC80000}"/>
    <cellStyle name="Normal 17 8" xfId="7075" xr:uid="{00000000-0005-0000-0000-00007EC80000}"/>
    <cellStyle name="Normal 17 8 2" xfId="14347" xr:uid="{00000000-0005-0000-0000-00007FC80000}"/>
    <cellStyle name="Normal 17 8 2 2" xfId="28881" xr:uid="{00000000-0005-0000-0000-000080C80000}"/>
    <cellStyle name="Normal 17 8 2 2 2" xfId="57887" xr:uid="{00000000-0005-0000-0000-000081C80000}"/>
    <cellStyle name="Normal 17 8 2 3" xfId="43388" xr:uid="{00000000-0005-0000-0000-000082C80000}"/>
    <cellStyle name="Normal 17 8 3" xfId="21633" xr:uid="{00000000-0005-0000-0000-000083C80000}"/>
    <cellStyle name="Normal 17 8 3 2" xfId="50639" xr:uid="{00000000-0005-0000-0000-000084C80000}"/>
    <cellStyle name="Normal 17 8 4" xfId="36140" xr:uid="{00000000-0005-0000-0000-000085C80000}"/>
    <cellStyle name="Normal 17 9" xfId="8139" xr:uid="{00000000-0005-0000-0000-000086C80000}"/>
    <cellStyle name="Normal 17 9 2" xfId="22673" xr:uid="{00000000-0005-0000-0000-000087C80000}"/>
    <cellStyle name="Normal 17 9 2 2" xfId="51679" xr:uid="{00000000-0005-0000-0000-000088C80000}"/>
    <cellStyle name="Normal 17 9 3" xfId="37180" xr:uid="{00000000-0005-0000-0000-000089C80000}"/>
    <cellStyle name="Normal 18" xfId="99" xr:uid="{00000000-0005-0000-0000-00008AC80000}"/>
    <cellStyle name="Normal 18 10" xfId="1772" xr:uid="{00000000-0005-0000-0000-00008BC80000}"/>
    <cellStyle name="Normal 18 2" xfId="2831" xr:uid="{00000000-0005-0000-0000-00008CC80000}"/>
    <cellStyle name="Normal 18 2 2" xfId="5935" xr:uid="{00000000-0005-0000-0000-00008DC80000}"/>
    <cellStyle name="Normal 18 2 2 2" xfId="13207" xr:uid="{00000000-0005-0000-0000-00008EC80000}"/>
    <cellStyle name="Normal 18 2 2 2 2" xfId="27741" xr:uid="{00000000-0005-0000-0000-00008FC80000}"/>
    <cellStyle name="Normal 18 2 2 2 2 2" xfId="56747" xr:uid="{00000000-0005-0000-0000-000090C80000}"/>
    <cellStyle name="Normal 18 2 2 2 3" xfId="42248" xr:uid="{00000000-0005-0000-0000-000091C80000}"/>
    <cellStyle name="Normal 18 2 2 3" xfId="20493" xr:uid="{00000000-0005-0000-0000-000092C80000}"/>
    <cellStyle name="Normal 18 2 2 3 2" xfId="49499" xr:uid="{00000000-0005-0000-0000-000093C80000}"/>
    <cellStyle name="Normal 18 2 2 4" xfId="35000" xr:uid="{00000000-0005-0000-0000-000094C80000}"/>
    <cellStyle name="Normal 18 2 3" xfId="10103" xr:uid="{00000000-0005-0000-0000-000095C80000}"/>
    <cellStyle name="Normal 18 2 3 2" xfId="24637" xr:uid="{00000000-0005-0000-0000-000096C80000}"/>
    <cellStyle name="Normal 18 2 3 2 2" xfId="53643" xr:uid="{00000000-0005-0000-0000-000097C80000}"/>
    <cellStyle name="Normal 18 2 3 3" xfId="39144" xr:uid="{00000000-0005-0000-0000-000098C80000}"/>
    <cellStyle name="Normal 18 2 4" xfId="17389" xr:uid="{00000000-0005-0000-0000-000099C80000}"/>
    <cellStyle name="Normal 18 2 4 2" xfId="46395" xr:uid="{00000000-0005-0000-0000-00009AC80000}"/>
    <cellStyle name="Normal 18 2 5" xfId="31896" xr:uid="{00000000-0005-0000-0000-00009BC80000}"/>
    <cellStyle name="Normal 18 3" xfId="3863" xr:uid="{00000000-0005-0000-0000-00009CC80000}"/>
    <cellStyle name="Normal 18 3 2" xfId="6967" xr:uid="{00000000-0005-0000-0000-00009DC80000}"/>
    <cellStyle name="Normal 18 3 2 2" xfId="14239" xr:uid="{00000000-0005-0000-0000-00009EC80000}"/>
    <cellStyle name="Normal 18 3 2 2 2" xfId="28773" xr:uid="{00000000-0005-0000-0000-00009FC80000}"/>
    <cellStyle name="Normal 18 3 2 2 2 2" xfId="57779" xr:uid="{00000000-0005-0000-0000-0000A0C80000}"/>
    <cellStyle name="Normal 18 3 2 2 3" xfId="43280" xr:uid="{00000000-0005-0000-0000-0000A1C80000}"/>
    <cellStyle name="Normal 18 3 2 3" xfId="21525" xr:uid="{00000000-0005-0000-0000-0000A2C80000}"/>
    <cellStyle name="Normal 18 3 2 3 2" xfId="50531" xr:uid="{00000000-0005-0000-0000-0000A3C80000}"/>
    <cellStyle name="Normal 18 3 2 4" xfId="36032" xr:uid="{00000000-0005-0000-0000-0000A4C80000}"/>
    <cellStyle name="Normal 18 3 3" xfId="11135" xr:uid="{00000000-0005-0000-0000-0000A5C80000}"/>
    <cellStyle name="Normal 18 3 3 2" xfId="25669" xr:uid="{00000000-0005-0000-0000-0000A6C80000}"/>
    <cellStyle name="Normal 18 3 3 2 2" xfId="54675" xr:uid="{00000000-0005-0000-0000-0000A7C80000}"/>
    <cellStyle name="Normal 18 3 3 3" xfId="40176" xr:uid="{00000000-0005-0000-0000-0000A8C80000}"/>
    <cellStyle name="Normal 18 3 4" xfId="18421" xr:uid="{00000000-0005-0000-0000-0000A9C80000}"/>
    <cellStyle name="Normal 18 3 4 2" xfId="47427" xr:uid="{00000000-0005-0000-0000-0000AAC80000}"/>
    <cellStyle name="Normal 18 3 5" xfId="32928" xr:uid="{00000000-0005-0000-0000-0000ABC80000}"/>
    <cellStyle name="Normal 18 4" xfId="4895" xr:uid="{00000000-0005-0000-0000-0000ACC80000}"/>
    <cellStyle name="Normal 18 4 2" xfId="12167" xr:uid="{00000000-0005-0000-0000-0000ADC80000}"/>
    <cellStyle name="Normal 18 4 2 2" xfId="26701" xr:uid="{00000000-0005-0000-0000-0000AEC80000}"/>
    <cellStyle name="Normal 18 4 2 2 2" xfId="55707" xr:uid="{00000000-0005-0000-0000-0000AFC80000}"/>
    <cellStyle name="Normal 18 4 2 3" xfId="41208" xr:uid="{00000000-0005-0000-0000-0000B0C80000}"/>
    <cellStyle name="Normal 18 4 3" xfId="19453" xr:uid="{00000000-0005-0000-0000-0000B1C80000}"/>
    <cellStyle name="Normal 18 4 3 2" xfId="48459" xr:uid="{00000000-0005-0000-0000-0000B2C80000}"/>
    <cellStyle name="Normal 18 4 4" xfId="33960" xr:uid="{00000000-0005-0000-0000-0000B3C80000}"/>
    <cellStyle name="Normal 18 5" xfId="7999" xr:uid="{00000000-0005-0000-0000-0000B4C80000}"/>
    <cellStyle name="Normal 18 5 2" xfId="15271" xr:uid="{00000000-0005-0000-0000-0000B5C80000}"/>
    <cellStyle name="Normal 18 5 2 2" xfId="29805" xr:uid="{00000000-0005-0000-0000-0000B6C80000}"/>
    <cellStyle name="Normal 18 5 2 2 2" xfId="58811" xr:uid="{00000000-0005-0000-0000-0000B7C80000}"/>
    <cellStyle name="Normal 18 5 2 3" xfId="44312" xr:uid="{00000000-0005-0000-0000-0000B8C80000}"/>
    <cellStyle name="Normal 18 5 3" xfId="22557" xr:uid="{00000000-0005-0000-0000-0000B9C80000}"/>
    <cellStyle name="Normal 18 5 3 2" xfId="51563" xr:uid="{00000000-0005-0000-0000-0000BAC80000}"/>
    <cellStyle name="Normal 18 5 4" xfId="37064" xr:uid="{00000000-0005-0000-0000-0000BBC80000}"/>
    <cellStyle name="Normal 18 6" xfId="9063" xr:uid="{00000000-0005-0000-0000-0000BCC80000}"/>
    <cellStyle name="Normal 18 6 2" xfId="23597" xr:uid="{00000000-0005-0000-0000-0000BDC80000}"/>
    <cellStyle name="Normal 18 6 2 2" xfId="52603" xr:uid="{00000000-0005-0000-0000-0000BEC80000}"/>
    <cellStyle name="Normal 18 6 3" xfId="38104" xr:uid="{00000000-0005-0000-0000-0000BFC80000}"/>
    <cellStyle name="Normal 18 7" xfId="16349" xr:uid="{00000000-0005-0000-0000-0000C0C80000}"/>
    <cellStyle name="Normal 18 7 2" xfId="45355" xr:uid="{00000000-0005-0000-0000-0000C1C80000}"/>
    <cellStyle name="Normal 18 8" xfId="30856" xr:uid="{00000000-0005-0000-0000-0000C2C80000}"/>
    <cellStyle name="Normal 18 9" xfId="58842" xr:uid="{00000000-0005-0000-0000-0000C3C80000}"/>
    <cellStyle name="Normal 19" xfId="1798" xr:uid="{00000000-0005-0000-0000-0000C4C80000}"/>
    <cellStyle name="Normal 19 2" xfId="4903" xr:uid="{00000000-0005-0000-0000-0000C5C80000}"/>
    <cellStyle name="Normal 19 2 2" xfId="12175" xr:uid="{00000000-0005-0000-0000-0000C6C80000}"/>
    <cellStyle name="Normal 19 2 2 2" xfId="26709" xr:uid="{00000000-0005-0000-0000-0000C7C80000}"/>
    <cellStyle name="Normal 19 2 2 2 2" xfId="55715" xr:uid="{00000000-0005-0000-0000-0000C8C80000}"/>
    <cellStyle name="Normal 19 2 2 3" xfId="41216" xr:uid="{00000000-0005-0000-0000-0000C9C80000}"/>
    <cellStyle name="Normal 19 2 3" xfId="19461" xr:uid="{00000000-0005-0000-0000-0000CAC80000}"/>
    <cellStyle name="Normal 19 2 3 2" xfId="48467" xr:uid="{00000000-0005-0000-0000-0000CBC80000}"/>
    <cellStyle name="Normal 19 2 4" xfId="33968" xr:uid="{00000000-0005-0000-0000-0000CCC80000}"/>
    <cellStyle name="Normal 19 3" xfId="9071" xr:uid="{00000000-0005-0000-0000-0000CDC80000}"/>
    <cellStyle name="Normal 19 3 2" xfId="23605" xr:uid="{00000000-0005-0000-0000-0000CEC80000}"/>
    <cellStyle name="Normal 19 3 2 2" xfId="52611" xr:uid="{00000000-0005-0000-0000-0000CFC80000}"/>
    <cellStyle name="Normal 19 3 3" xfId="38112" xr:uid="{00000000-0005-0000-0000-0000D0C80000}"/>
    <cellStyle name="Normal 19 4" xfId="16357" xr:uid="{00000000-0005-0000-0000-0000D1C80000}"/>
    <cellStyle name="Normal 19 4 2" xfId="45363" xr:uid="{00000000-0005-0000-0000-0000D2C80000}"/>
    <cellStyle name="Normal 19 5" xfId="30864" xr:uid="{00000000-0005-0000-0000-0000D3C80000}"/>
    <cellStyle name="Normal 2" xfId="5" xr:uid="{00000000-0005-0000-0000-0000D4C80000}"/>
    <cellStyle name="Normal 2 10" xfId="8017" xr:uid="{00000000-0005-0000-0000-0000D5C80000}"/>
    <cellStyle name="Normal 2 11" xfId="707" xr:uid="{00000000-0005-0000-0000-0000D6C80000}"/>
    <cellStyle name="Normal 2 2" xfId="13" xr:uid="{00000000-0005-0000-0000-0000D7C80000}"/>
    <cellStyle name="Normal 2 2 2" xfId="121" xr:uid="{00000000-0005-0000-0000-0000D8C80000}"/>
    <cellStyle name="Normal 2 2 2 2" xfId="753" xr:uid="{00000000-0005-0000-0000-0000D9C80000}"/>
    <cellStyle name="Normal 2 2 2 3" xfId="58843" xr:uid="{00000000-0005-0000-0000-0000DAC80000}"/>
    <cellStyle name="Normal 2 2 2 4" xfId="752" xr:uid="{00000000-0005-0000-0000-0000DBC80000}"/>
    <cellStyle name="Normal 2 2 3" xfId="275" xr:uid="{00000000-0005-0000-0000-0000DCC80000}"/>
    <cellStyle name="Normal 2 2 3 2" xfId="754" xr:uid="{00000000-0005-0000-0000-0000DDC80000}"/>
    <cellStyle name="Normal 2 2 4" xfId="257" xr:uid="{00000000-0005-0000-0000-0000DEC80000}"/>
    <cellStyle name="Normal 2 2 4 2" xfId="751" xr:uid="{00000000-0005-0000-0000-0000DFC80000}"/>
    <cellStyle name="Normal 2 2 5" xfId="643" xr:uid="{00000000-0005-0000-0000-0000E0C80000}"/>
    <cellStyle name="Normal 2 2 6" xfId="296" xr:uid="{00000000-0005-0000-0000-0000E1C80000}"/>
    <cellStyle name="Normal 2 2 7" xfId="110" xr:uid="{00000000-0005-0000-0000-0000E2C80000}"/>
    <cellStyle name="Normal 2 2_Final FY 08 Unit Cost Summary" xfId="826" xr:uid="{00000000-0005-0000-0000-0000E3C80000}"/>
    <cellStyle name="Normal 2 3" xfId="109" xr:uid="{00000000-0005-0000-0000-0000E4C80000}"/>
    <cellStyle name="Normal 2 3 2" xfId="274" xr:uid="{00000000-0005-0000-0000-0000E5C80000}"/>
    <cellStyle name="Normal 2 3 2 2" xfId="646" xr:uid="{00000000-0005-0000-0000-0000E6C80000}"/>
    <cellStyle name="Normal 2 3 2 3" xfId="756" xr:uid="{00000000-0005-0000-0000-0000E7C80000}"/>
    <cellStyle name="Normal 2 3 2 4" xfId="645" xr:uid="{00000000-0005-0000-0000-0000E8C80000}"/>
    <cellStyle name="Normal 2 3 3" xfId="258" xr:uid="{00000000-0005-0000-0000-0000E9C80000}"/>
    <cellStyle name="Normal 2 3 3 2" xfId="755" xr:uid="{00000000-0005-0000-0000-0000EAC80000}"/>
    <cellStyle name="Normal 2 3 4" xfId="644" xr:uid="{00000000-0005-0000-0000-0000EBC80000}"/>
    <cellStyle name="Normal 2 4" xfId="642" xr:uid="{00000000-0005-0000-0000-0000ECC80000}"/>
    <cellStyle name="Normal 2 4 2" xfId="757" xr:uid="{00000000-0005-0000-0000-0000EDC80000}"/>
    <cellStyle name="Normal 2 5" xfId="795" xr:uid="{00000000-0005-0000-0000-0000EEC80000}"/>
    <cellStyle name="Normal 2 6" xfId="1780" xr:uid="{00000000-0005-0000-0000-0000EFC80000}"/>
    <cellStyle name="Normal 2 7" xfId="1799" xr:uid="{00000000-0005-0000-0000-0000F0C80000}"/>
    <cellStyle name="Normal 2 8" xfId="724" xr:uid="{00000000-0005-0000-0000-0000F1C80000}"/>
    <cellStyle name="Normal 2 8 2" xfId="8031" xr:uid="{00000000-0005-0000-0000-0000F2C80000}"/>
    <cellStyle name="Normal 2 9" xfId="8008" xr:uid="{00000000-0005-0000-0000-0000F3C80000}"/>
    <cellStyle name="Normal 2_09 AuMHC NG Unit Cost Worksheet TJ" xfId="827" xr:uid="{00000000-0005-0000-0000-0000F4C80000}"/>
    <cellStyle name="Normal 20" xfId="712" xr:uid="{00000000-0005-0000-0000-0000F5C80000}"/>
    <cellStyle name="Normal 20 2" xfId="15279" xr:uid="{00000000-0005-0000-0000-0000F6C80000}"/>
    <cellStyle name="Normal 20 2 2" xfId="29813" xr:uid="{00000000-0005-0000-0000-0000F7C80000}"/>
    <cellStyle name="Normal 20 2 2 2" xfId="58819" xr:uid="{00000000-0005-0000-0000-0000F8C80000}"/>
    <cellStyle name="Normal 20 2 3" xfId="44320" xr:uid="{00000000-0005-0000-0000-0000F9C80000}"/>
    <cellStyle name="Normal 20 3" xfId="8030" xr:uid="{00000000-0005-0000-0000-0000FAC80000}"/>
    <cellStyle name="Normal 20 3 2" xfId="22565" xr:uid="{00000000-0005-0000-0000-0000FBC80000}"/>
    <cellStyle name="Normal 20 3 2 2" xfId="51571" xr:uid="{00000000-0005-0000-0000-0000FCC80000}"/>
    <cellStyle name="Normal 20 3 3" xfId="37072" xr:uid="{00000000-0005-0000-0000-0000FDC80000}"/>
    <cellStyle name="Normal 21" xfId="708" xr:uid="{00000000-0005-0000-0000-0000FEC80000}"/>
    <cellStyle name="Normal 22" xfId="711" xr:uid="{00000000-0005-0000-0000-0000FFC80000}"/>
    <cellStyle name="Normal 23" xfId="8007" xr:uid="{00000000-0005-0000-0000-000000C90000}"/>
    <cellStyle name="Normal 24" xfId="8023" xr:uid="{00000000-0005-0000-0000-000001C90000}"/>
    <cellStyle name="Normal 25" xfId="8020" xr:uid="{00000000-0005-0000-0000-000002C90000}"/>
    <cellStyle name="Normal 26" xfId="8028" xr:uid="{00000000-0005-0000-0000-000003C90000}"/>
    <cellStyle name="Normal 27" xfId="15296" xr:uid="{00000000-0005-0000-0000-000004C90000}"/>
    <cellStyle name="Normal 28" xfId="15300" xr:uid="{00000000-0005-0000-0000-000005C90000}"/>
    <cellStyle name="Normal 29" xfId="8019" xr:uid="{00000000-0005-0000-0000-000006C90000}"/>
    <cellStyle name="Normal 3" xfId="4" xr:uid="{00000000-0005-0000-0000-000007C90000}"/>
    <cellStyle name="Normal 3 2" xfId="9" xr:uid="{00000000-0005-0000-0000-000008C90000}"/>
    <cellStyle name="Normal 3 2 2" xfId="34" xr:uid="{00000000-0005-0000-0000-000009C90000}"/>
    <cellStyle name="Normal 3 2 2 2" xfId="759" xr:uid="{00000000-0005-0000-0000-00000AC90000}"/>
    <cellStyle name="Normal 3 2 2 3" xfId="268" xr:uid="{00000000-0005-0000-0000-00000BC90000}"/>
    <cellStyle name="Normal 3 2 3" xfId="276" xr:uid="{00000000-0005-0000-0000-00000CC90000}"/>
    <cellStyle name="Normal 3 2 3 2" xfId="758" xr:uid="{00000000-0005-0000-0000-00000DC90000}"/>
    <cellStyle name="Normal 3 2 4" xfId="251" xr:uid="{00000000-0005-0000-0000-00000EC90000}"/>
    <cellStyle name="Normal 3 2 5" xfId="111" xr:uid="{00000000-0005-0000-0000-00000FC90000}"/>
    <cellStyle name="Normal 3 3" xfId="16" xr:uid="{00000000-0005-0000-0000-000010C90000}"/>
    <cellStyle name="Normal 3 3 2" xfId="189" xr:uid="{00000000-0005-0000-0000-000011C90000}"/>
    <cellStyle name="Normal 3 3 2 2" xfId="300" xr:uid="{00000000-0005-0000-0000-000012C90000}"/>
    <cellStyle name="Normal 3 3 2 2 2" xfId="59065" xr:uid="{00000000-0005-0000-0000-000013C90000}"/>
    <cellStyle name="Normal 3 3 2 2 3" xfId="59117" xr:uid="{00000000-0005-0000-0000-000014C90000}"/>
    <cellStyle name="Normal 3 3 2 3" xfId="59013" xr:uid="{00000000-0005-0000-0000-000015C90000}"/>
    <cellStyle name="Normal 3 3 2 3 2" xfId="59567" xr:uid="{00000000-0005-0000-0000-000016C90000}"/>
    <cellStyle name="Normal 3 3 2 4" xfId="59088" xr:uid="{00000000-0005-0000-0000-000017C90000}"/>
    <cellStyle name="Normal 3 3 3" xfId="248" xr:uid="{00000000-0005-0000-0000-000018C90000}"/>
    <cellStyle name="Normal 3 3 3 2" xfId="466" xr:uid="{00000000-0005-0000-0000-000019C90000}"/>
    <cellStyle name="Normal 3 3 3 3" xfId="59325" xr:uid="{00000000-0005-0000-0000-00001AC90000}"/>
    <cellStyle name="Normal 3 3 4" xfId="585" xr:uid="{00000000-0005-0000-0000-00001BC90000}"/>
    <cellStyle name="Normal 3 3 4 2" xfId="59446" xr:uid="{00000000-0005-0000-0000-00001CC90000}"/>
    <cellStyle name="Normal 3 3 5" xfId="354" xr:uid="{00000000-0005-0000-0000-00001DC90000}"/>
    <cellStyle name="Normal 3 3 5 2" xfId="59201" xr:uid="{00000000-0005-0000-0000-00001EC90000}"/>
    <cellStyle name="Normal 3 3 6" xfId="760" xr:uid="{00000000-0005-0000-0000-00001FC90000}"/>
    <cellStyle name="Normal 3 3 6 2" xfId="59495" xr:uid="{00000000-0005-0000-0000-000020C90000}"/>
    <cellStyle name="Normal 3 3 7" xfId="58938" xr:uid="{00000000-0005-0000-0000-000021C90000}"/>
    <cellStyle name="Normal 3 3 8" xfId="107" xr:uid="{00000000-0005-0000-0000-000022C90000}"/>
    <cellStyle name="Normal 3 4" xfId="7" xr:uid="{00000000-0005-0000-0000-000023C90000}"/>
    <cellStyle name="Normal 3 4 2" xfId="250" xr:uid="{00000000-0005-0000-0000-000024C90000}"/>
    <cellStyle name="Normal 3 4 2 2" xfId="58879" xr:uid="{00000000-0005-0000-0000-000025C90000}"/>
    <cellStyle name="Normal 3 4 3" xfId="796" xr:uid="{00000000-0005-0000-0000-000026C90000}"/>
    <cellStyle name="Normal 3 4 4" xfId="137" xr:uid="{00000000-0005-0000-0000-000027C90000}"/>
    <cellStyle name="Normal 3 5" xfId="41" xr:uid="{00000000-0005-0000-0000-000028C90000}"/>
    <cellStyle name="Normal 3 5 2" xfId="213" xr:uid="{00000000-0005-0000-0000-000029C90000}"/>
    <cellStyle name="Normal 3 5 2 2" xfId="59037" xr:uid="{00000000-0005-0000-0000-00002AC90000}"/>
    <cellStyle name="Normal 3 5 2 2 2" xfId="59591" xr:uid="{00000000-0005-0000-0000-00002BC90000}"/>
    <cellStyle name="Normal 3 5 2 3" xfId="59107" xr:uid="{00000000-0005-0000-0000-00002CC90000}"/>
    <cellStyle name="Normal 3 5 3" xfId="58881" xr:uid="{00000000-0005-0000-0000-00002DC90000}"/>
    <cellStyle name="Normal 3 5 3 2" xfId="59519" xr:uid="{00000000-0005-0000-0000-00002EC90000}"/>
    <cellStyle name="Normal 3 5 4" xfId="722" xr:uid="{00000000-0005-0000-0000-00002FC90000}"/>
    <cellStyle name="Normal 3 5 5" xfId="58963" xr:uid="{00000000-0005-0000-0000-000030C90000}"/>
    <cellStyle name="Normal 3 5 6" xfId="59077" xr:uid="{00000000-0005-0000-0000-000031C90000}"/>
    <cellStyle name="Normal 3 5 7" xfId="139" xr:uid="{00000000-0005-0000-0000-000032C90000}"/>
    <cellStyle name="Normal 3 6" xfId="85" xr:uid="{00000000-0005-0000-0000-000033C90000}"/>
    <cellStyle name="Normal 3 6 2" xfId="421" xr:uid="{00000000-0005-0000-0000-000034C90000}"/>
    <cellStyle name="Normal 3 6 3" xfId="59277" xr:uid="{00000000-0005-0000-0000-000035C90000}"/>
    <cellStyle name="Normal 3 7" xfId="283" xr:uid="{00000000-0005-0000-0000-000036C90000}"/>
    <cellStyle name="Normal 3 7 2" xfId="59153" xr:uid="{00000000-0005-0000-0000-000037C90000}"/>
    <cellStyle name="Normal 3 8" xfId="59068" xr:uid="{00000000-0005-0000-0000-000038C90000}"/>
    <cellStyle name="Normal 3 9" xfId="86" xr:uid="{00000000-0005-0000-0000-000039C90000}"/>
    <cellStyle name="Normal 30" xfId="8009" xr:uid="{00000000-0005-0000-0000-00003AC90000}"/>
    <cellStyle name="Normal 31" xfId="15297" xr:uid="{00000000-0005-0000-0000-00003BC90000}"/>
    <cellStyle name="Normal 32" xfId="8027" xr:uid="{00000000-0005-0000-0000-00003CC90000}"/>
    <cellStyle name="Normal 33" xfId="15311" xr:uid="{00000000-0005-0000-0000-00003DC90000}"/>
    <cellStyle name="Normal 34" xfId="15305" xr:uid="{00000000-0005-0000-0000-00003EC90000}"/>
    <cellStyle name="Normal 35" xfId="8011" xr:uid="{00000000-0005-0000-0000-00003FC90000}"/>
    <cellStyle name="Normal 36" xfId="15289" xr:uid="{00000000-0005-0000-0000-000040C90000}"/>
    <cellStyle name="Normal 37" xfId="8025" xr:uid="{00000000-0005-0000-0000-000041C90000}"/>
    <cellStyle name="Normal 38" xfId="15308" xr:uid="{00000000-0005-0000-0000-000042C90000}"/>
    <cellStyle name="Normal 39" xfId="8012" xr:uid="{00000000-0005-0000-0000-000043C90000}"/>
    <cellStyle name="Normal 4" xfId="26" xr:uid="{00000000-0005-0000-0000-000044C90000}"/>
    <cellStyle name="Normal 4 2" xfId="120" xr:uid="{00000000-0005-0000-0000-000045C90000}"/>
    <cellStyle name="Normal 4 2 2" xfId="762" xr:uid="{00000000-0005-0000-0000-000046C90000}"/>
    <cellStyle name="Normal 4 2 3" xfId="58874" xr:uid="{00000000-0005-0000-0000-000047C90000}"/>
    <cellStyle name="Normal 4 2 4" xfId="761" xr:uid="{00000000-0005-0000-0000-000048C90000}"/>
    <cellStyle name="Normal 4 3" xfId="114" xr:uid="{00000000-0005-0000-0000-000049C90000}"/>
    <cellStyle name="Normal 4 3 2" xfId="193" xr:uid="{00000000-0005-0000-0000-00004AC90000}"/>
    <cellStyle name="Normal 4 3 2 2" xfId="556" xr:uid="{00000000-0005-0000-0000-00004BC90000}"/>
    <cellStyle name="Normal 4 3 2 2 2" xfId="59417" xr:uid="{00000000-0005-0000-0000-00004CC90000}"/>
    <cellStyle name="Normal 4 3 2 3" xfId="59017" xr:uid="{00000000-0005-0000-0000-00004DC90000}"/>
    <cellStyle name="Normal 4 3 2 3 2" xfId="59571" xr:uid="{00000000-0005-0000-0000-00004EC90000}"/>
    <cellStyle name="Normal 4 3 2 4" xfId="59121" xr:uid="{00000000-0005-0000-0000-00004FC90000}"/>
    <cellStyle name="Normal 4 3 3" xfId="486" xr:uid="{00000000-0005-0000-0000-000050C90000}"/>
    <cellStyle name="Normal 4 3 3 2" xfId="59345" xr:uid="{00000000-0005-0000-0000-000051C90000}"/>
    <cellStyle name="Normal 4 3 4" xfId="589" xr:uid="{00000000-0005-0000-0000-000052C90000}"/>
    <cellStyle name="Normal 4 3 4 2" xfId="59450" xr:uid="{00000000-0005-0000-0000-000053C90000}"/>
    <cellStyle name="Normal 4 3 5" xfId="763" xr:uid="{00000000-0005-0000-0000-000054C90000}"/>
    <cellStyle name="Normal 4 3 5 2" xfId="59499" xr:uid="{00000000-0005-0000-0000-000055C90000}"/>
    <cellStyle name="Normal 4 3 6" xfId="58943" xr:uid="{00000000-0005-0000-0000-000056C90000}"/>
    <cellStyle name="Normal 4 3 7" xfId="59092" xr:uid="{00000000-0005-0000-0000-000057C90000}"/>
    <cellStyle name="Normal 4 4" xfId="143" xr:uid="{00000000-0005-0000-0000-000058C90000}"/>
    <cellStyle name="Normal 4 4 2" xfId="217" xr:uid="{00000000-0005-0000-0000-000059C90000}"/>
    <cellStyle name="Normal 4 4 2 2" xfId="59041" xr:uid="{00000000-0005-0000-0000-00005AC90000}"/>
    <cellStyle name="Normal 4 4 2 3" xfId="59593" xr:uid="{00000000-0005-0000-0000-00005BC90000}"/>
    <cellStyle name="Normal 4 4 3" xfId="58884" xr:uid="{00000000-0005-0000-0000-00005CC90000}"/>
    <cellStyle name="Normal 4 4 4" xfId="797" xr:uid="{00000000-0005-0000-0000-00005DC90000}"/>
    <cellStyle name="Normal 4 4 5" xfId="58967" xr:uid="{00000000-0005-0000-0000-00005EC90000}"/>
    <cellStyle name="Normal 4 4 6" xfId="59522" xr:uid="{00000000-0005-0000-0000-00005FC90000}"/>
    <cellStyle name="Normal 4 5" xfId="727" xr:uid="{00000000-0005-0000-0000-000060C90000}"/>
    <cellStyle name="Normal 4 6" xfId="702" xr:uid="{00000000-0005-0000-0000-000061C90000}"/>
    <cellStyle name="Normal 4 7" xfId="647" xr:uid="{00000000-0005-0000-0000-000062C90000}"/>
    <cellStyle name="Normal 40" xfId="8016" xr:uid="{00000000-0005-0000-0000-000063C90000}"/>
    <cellStyle name="Normal 41" xfId="15304" xr:uid="{00000000-0005-0000-0000-000064C90000}"/>
    <cellStyle name="Normal 42" xfId="15298" xr:uid="{00000000-0005-0000-0000-000065C90000}"/>
    <cellStyle name="Normal 43" xfId="15312" xr:uid="{00000000-0005-0000-0000-000066C90000}"/>
    <cellStyle name="Normal 44" xfId="8022" xr:uid="{00000000-0005-0000-0000-000067C90000}"/>
    <cellStyle name="Normal 45" xfId="15291" xr:uid="{00000000-0005-0000-0000-000068C90000}"/>
    <cellStyle name="Normal 46" xfId="15294" xr:uid="{00000000-0005-0000-0000-000069C90000}"/>
    <cellStyle name="Normal 47" xfId="15302" xr:uid="{00000000-0005-0000-0000-00006AC90000}"/>
    <cellStyle name="Normal 48" xfId="8018" xr:uid="{00000000-0005-0000-0000-00006BC90000}"/>
    <cellStyle name="Normal 49" xfId="8021" xr:uid="{00000000-0005-0000-0000-00006CC90000}"/>
    <cellStyle name="Normal 5" xfId="30" xr:uid="{00000000-0005-0000-0000-00006DC90000}"/>
    <cellStyle name="Normal 5 10" xfId="58916" xr:uid="{00000000-0005-0000-0000-00006EC90000}"/>
    <cellStyle name="Normal 5 11" xfId="59071" xr:uid="{00000000-0005-0000-0000-00006FC90000}"/>
    <cellStyle name="Normal 5 2" xfId="92" xr:uid="{00000000-0005-0000-0000-000070C90000}"/>
    <cellStyle name="Normal 5 2 10" xfId="58921" xr:uid="{00000000-0005-0000-0000-000071C90000}"/>
    <cellStyle name="Normal 5 2 11" xfId="59095" xr:uid="{00000000-0005-0000-0000-000072C90000}"/>
    <cellStyle name="Normal 5 2 2" xfId="101" xr:uid="{00000000-0005-0000-0000-000073C90000}"/>
    <cellStyle name="Normal 5 2 2 2" xfId="179" xr:uid="{00000000-0005-0000-0000-000074C90000}"/>
    <cellStyle name="Normal 5 2 2 2 2" xfId="400" xr:uid="{00000000-0005-0000-0000-000075C90000}"/>
    <cellStyle name="Normal 5 2 2 2 2 2" xfId="536" xr:uid="{00000000-0005-0000-0000-000076C90000}"/>
    <cellStyle name="Normal 5 2 2 2 2 2 2" xfId="59398" xr:uid="{00000000-0005-0000-0000-000077C90000}"/>
    <cellStyle name="Normal 5 2 2 2 2 3" xfId="59255" xr:uid="{00000000-0005-0000-0000-000078C90000}"/>
    <cellStyle name="Normal 5 2 2 2 3" xfId="464" xr:uid="{00000000-0005-0000-0000-000079C90000}"/>
    <cellStyle name="Normal 5 2 2 2 3 2" xfId="59323" xr:uid="{00000000-0005-0000-0000-00007AC90000}"/>
    <cellStyle name="Normal 5 2 2 2 4" xfId="59003" xr:uid="{00000000-0005-0000-0000-00007BC90000}"/>
    <cellStyle name="Normal 5 2 2 2 4 2" xfId="59557" xr:uid="{00000000-0005-0000-0000-00007CC90000}"/>
    <cellStyle name="Normal 5 2 2 2 5" xfId="59199" xr:uid="{00000000-0005-0000-0000-00007DC90000}"/>
    <cellStyle name="Normal 5 2 2 3" xfId="380" xr:uid="{00000000-0005-0000-0000-00007EC90000}"/>
    <cellStyle name="Normal 5 2 2 3 2" xfId="506" xr:uid="{00000000-0005-0000-0000-00007FC90000}"/>
    <cellStyle name="Normal 5 2 2 3 2 2" xfId="59365" xr:uid="{00000000-0005-0000-0000-000080C90000}"/>
    <cellStyle name="Normal 5 2 2 3 3" xfId="59227" xr:uid="{00000000-0005-0000-0000-000081C90000}"/>
    <cellStyle name="Normal 5 2 2 4" xfId="434" xr:uid="{00000000-0005-0000-0000-000082C90000}"/>
    <cellStyle name="Normal 5 2 2 4 2" xfId="59290" xr:uid="{00000000-0005-0000-0000-000083C90000}"/>
    <cellStyle name="Normal 5 2 2 5" xfId="575" xr:uid="{00000000-0005-0000-0000-000084C90000}"/>
    <cellStyle name="Normal 5 2 2 5 2" xfId="59436" xr:uid="{00000000-0005-0000-0000-000085C90000}"/>
    <cellStyle name="Normal 5 2 2 6" xfId="306" xr:uid="{00000000-0005-0000-0000-000086C90000}"/>
    <cellStyle name="Normal 5 2 2 6 2" xfId="59166" xr:uid="{00000000-0005-0000-0000-000087C90000}"/>
    <cellStyle name="Normal 5 2 2 7" xfId="798" xr:uid="{00000000-0005-0000-0000-000088C90000}"/>
    <cellStyle name="Normal 5 2 2 7 2" xfId="59485" xr:uid="{00000000-0005-0000-0000-000089C90000}"/>
    <cellStyle name="Normal 5 2 2 8" xfId="58928" xr:uid="{00000000-0005-0000-0000-00008AC90000}"/>
    <cellStyle name="Normal 5 2 2 9" xfId="59124" xr:uid="{00000000-0005-0000-0000-00008BC90000}"/>
    <cellStyle name="Normal 5 2 3" xfId="172" xr:uid="{00000000-0005-0000-0000-00008CC90000}"/>
    <cellStyle name="Normal 5 2 3 2" xfId="411" xr:uid="{00000000-0005-0000-0000-00008DC90000}"/>
    <cellStyle name="Normal 5 2 3 2 2" xfId="551" xr:uid="{00000000-0005-0000-0000-00008EC90000}"/>
    <cellStyle name="Normal 5 2 3 2 2 2" xfId="59412" xr:uid="{00000000-0005-0000-0000-00008FC90000}"/>
    <cellStyle name="Normal 5 2 3 2 3" xfId="59268" xr:uid="{00000000-0005-0000-0000-000090C90000}"/>
    <cellStyle name="Normal 5 2 3 3" xfId="480" xr:uid="{00000000-0005-0000-0000-000091C90000}"/>
    <cellStyle name="Normal 5 2 3 3 2" xfId="59339" xr:uid="{00000000-0005-0000-0000-000092C90000}"/>
    <cellStyle name="Normal 5 2 3 4" xfId="58996" xr:uid="{00000000-0005-0000-0000-000093C90000}"/>
    <cellStyle name="Normal 5 2 3 4 2" xfId="59550" xr:uid="{00000000-0005-0000-0000-000094C90000}"/>
    <cellStyle name="Normal 5 2 3 5" xfId="59212" xr:uid="{00000000-0005-0000-0000-000095C90000}"/>
    <cellStyle name="Normal 5 2 4" xfId="347" xr:uid="{00000000-0005-0000-0000-000096C90000}"/>
    <cellStyle name="Normal 5 2 4 2" xfId="396" xr:uid="{00000000-0005-0000-0000-000097C90000}"/>
    <cellStyle name="Normal 5 2 4 2 2" xfId="529" xr:uid="{00000000-0005-0000-0000-000098C90000}"/>
    <cellStyle name="Normal 5 2 4 2 2 2" xfId="59391" xr:uid="{00000000-0005-0000-0000-000099C90000}"/>
    <cellStyle name="Normal 5 2 4 2 3" xfId="59250" xr:uid="{00000000-0005-0000-0000-00009AC90000}"/>
    <cellStyle name="Normal 5 2 4 3" xfId="457" xr:uid="{00000000-0005-0000-0000-00009BC90000}"/>
    <cellStyle name="Normal 5 2 4 3 2" xfId="59316" xr:uid="{00000000-0005-0000-0000-00009CC90000}"/>
    <cellStyle name="Normal 5 2 4 4" xfId="59192" xr:uid="{00000000-0005-0000-0000-00009DC90000}"/>
    <cellStyle name="Normal 5 2 5" xfId="374" xr:uid="{00000000-0005-0000-0000-00009EC90000}"/>
    <cellStyle name="Normal 5 2 5 2" xfId="499" xr:uid="{00000000-0005-0000-0000-00009FC90000}"/>
    <cellStyle name="Normal 5 2 5 2 2" xfId="59358" xr:uid="{00000000-0005-0000-0000-0000A0C90000}"/>
    <cellStyle name="Normal 5 2 5 3" xfId="59220" xr:uid="{00000000-0005-0000-0000-0000A1C90000}"/>
    <cellStyle name="Normal 5 2 6" xfId="427" xr:uid="{00000000-0005-0000-0000-0000A2C90000}"/>
    <cellStyle name="Normal 5 2 6 2" xfId="59283" xr:uid="{00000000-0005-0000-0000-0000A3C90000}"/>
    <cellStyle name="Normal 5 2 7" xfId="568" xr:uid="{00000000-0005-0000-0000-0000A4C90000}"/>
    <cellStyle name="Normal 5 2 7 2" xfId="59429" xr:uid="{00000000-0005-0000-0000-0000A5C90000}"/>
    <cellStyle name="Normal 5 2 8" xfId="325" xr:uid="{00000000-0005-0000-0000-0000A6C90000}"/>
    <cellStyle name="Normal 5 2 8 2" xfId="59159" xr:uid="{00000000-0005-0000-0000-0000A7C90000}"/>
    <cellStyle name="Normal 5 2 9" xfId="649" xr:uid="{00000000-0005-0000-0000-0000A8C90000}"/>
    <cellStyle name="Normal 5 2 9 2" xfId="59478" xr:uid="{00000000-0005-0000-0000-0000A9C90000}"/>
    <cellStyle name="Normal 5 3" xfId="122" xr:uid="{00000000-0005-0000-0000-0000AAC90000}"/>
    <cellStyle name="Normal 5 3 2" xfId="197" xr:uid="{00000000-0005-0000-0000-0000ABC90000}"/>
    <cellStyle name="Normal 5 3 2 2" xfId="408" xr:uid="{00000000-0005-0000-0000-0000ACC90000}"/>
    <cellStyle name="Normal 5 3 2 2 2" xfId="548" xr:uid="{00000000-0005-0000-0000-0000ADC90000}"/>
    <cellStyle name="Normal 5 3 2 2 2 2" xfId="59409" xr:uid="{00000000-0005-0000-0000-0000AEC90000}"/>
    <cellStyle name="Normal 5 3 2 2 3" xfId="59265" xr:uid="{00000000-0005-0000-0000-0000AFC90000}"/>
    <cellStyle name="Normal 5 3 2 3" xfId="477" xr:uid="{00000000-0005-0000-0000-0000B0C90000}"/>
    <cellStyle name="Normal 5 3 2 3 2" xfId="59336" xr:uid="{00000000-0005-0000-0000-0000B1C90000}"/>
    <cellStyle name="Normal 5 3 2 4" xfId="59021" xr:uid="{00000000-0005-0000-0000-0000B2C90000}"/>
    <cellStyle name="Normal 5 3 2 4 2" xfId="59575" xr:uid="{00000000-0005-0000-0000-0000B3C90000}"/>
    <cellStyle name="Normal 5 3 2 5" xfId="59211" xr:uid="{00000000-0005-0000-0000-0000B4C90000}"/>
    <cellStyle name="Normal 5 3 3" xfId="385" xr:uid="{00000000-0005-0000-0000-0000B5C90000}"/>
    <cellStyle name="Normal 5 3 3 2" xfId="516" xr:uid="{00000000-0005-0000-0000-0000B6C90000}"/>
    <cellStyle name="Normal 5 3 3 2 2" xfId="59375" xr:uid="{00000000-0005-0000-0000-0000B7C90000}"/>
    <cellStyle name="Normal 5 3 3 3" xfId="59237" xr:uid="{00000000-0005-0000-0000-0000B8C90000}"/>
    <cellStyle name="Normal 5 3 4" xfId="444" xr:uid="{00000000-0005-0000-0000-0000B9C90000}"/>
    <cellStyle name="Normal 5 3 4 2" xfId="59300" xr:uid="{00000000-0005-0000-0000-0000BAC90000}"/>
    <cellStyle name="Normal 5 3 5" xfId="593" xr:uid="{00000000-0005-0000-0000-0000BBC90000}"/>
    <cellStyle name="Normal 5 3 5 2" xfId="59454" xr:uid="{00000000-0005-0000-0000-0000BCC90000}"/>
    <cellStyle name="Normal 5 3 6" xfId="291" xr:uid="{00000000-0005-0000-0000-0000BDC90000}"/>
    <cellStyle name="Normal 5 3 6 2" xfId="59176" xr:uid="{00000000-0005-0000-0000-0000BEC90000}"/>
    <cellStyle name="Normal 5 3 7" xfId="1781" xr:uid="{00000000-0005-0000-0000-0000BFC90000}"/>
    <cellStyle name="Normal 5 3 7 2" xfId="59503" xr:uid="{00000000-0005-0000-0000-0000C0C90000}"/>
    <cellStyle name="Normal 5 3 8" xfId="58947" xr:uid="{00000000-0005-0000-0000-0000C1C90000}"/>
    <cellStyle name="Normal 5 3 9" xfId="59103" xr:uid="{00000000-0005-0000-0000-0000C2C90000}"/>
    <cellStyle name="Normal 5 4" xfId="147" xr:uid="{00000000-0005-0000-0000-0000C3C90000}"/>
    <cellStyle name="Normal 5 4 2" xfId="221" xr:uid="{00000000-0005-0000-0000-0000C4C90000}"/>
    <cellStyle name="Normal 5 4 2 2" xfId="525" xr:uid="{00000000-0005-0000-0000-0000C5C90000}"/>
    <cellStyle name="Normal 5 4 2 2 2" xfId="59387" xr:uid="{00000000-0005-0000-0000-0000C6C90000}"/>
    <cellStyle name="Normal 5 4 2 3" xfId="59045" xr:uid="{00000000-0005-0000-0000-0000C7C90000}"/>
    <cellStyle name="Normal 5 4 2 3 2" xfId="59597" xr:uid="{00000000-0005-0000-0000-0000C8C90000}"/>
    <cellStyle name="Normal 5 4 2 4" xfId="59247" xr:uid="{00000000-0005-0000-0000-0000C9C90000}"/>
    <cellStyle name="Normal 5 4 3" xfId="453" xr:uid="{00000000-0005-0000-0000-0000CAC90000}"/>
    <cellStyle name="Normal 5 4 3 2" xfId="59312" xr:uid="{00000000-0005-0000-0000-0000CBC90000}"/>
    <cellStyle name="Normal 5 4 4" xfId="343" xr:uid="{00000000-0005-0000-0000-0000CCC90000}"/>
    <cellStyle name="Normal 5 4 4 2" xfId="59188" xr:uid="{00000000-0005-0000-0000-0000CDC90000}"/>
    <cellStyle name="Normal 5 4 5" xfId="733" xr:uid="{00000000-0005-0000-0000-0000CEC90000}"/>
    <cellStyle name="Normal 5 4 5 2" xfId="59526" xr:uid="{00000000-0005-0000-0000-0000CFC90000}"/>
    <cellStyle name="Normal 5 4 6" xfId="58971" xr:uid="{00000000-0005-0000-0000-0000D0C90000}"/>
    <cellStyle name="Normal 5 4 7" xfId="59075" xr:uid="{00000000-0005-0000-0000-0000D1C90000}"/>
    <cellStyle name="Normal 5 5" xfId="168" xr:uid="{00000000-0005-0000-0000-0000D2C90000}"/>
    <cellStyle name="Normal 5 5 2" xfId="496" xr:uid="{00000000-0005-0000-0000-0000D3C90000}"/>
    <cellStyle name="Normal 5 5 2 2" xfId="58992" xr:uid="{00000000-0005-0000-0000-0000D4C90000}"/>
    <cellStyle name="Normal 5 5 2 3" xfId="59355" xr:uid="{00000000-0005-0000-0000-0000D5C90000}"/>
    <cellStyle name="Normal 5 5 3" xfId="371" xr:uid="{00000000-0005-0000-0000-0000D6C90000}"/>
    <cellStyle name="Normal 5 5 3 2" xfId="59217" xr:uid="{00000000-0005-0000-0000-0000D7C90000}"/>
    <cellStyle name="Normal 5 5 4" xfId="648" xr:uid="{00000000-0005-0000-0000-0000D8C90000}"/>
    <cellStyle name="Normal 5 5 4 2" xfId="59546" xr:uid="{00000000-0005-0000-0000-0000D9C90000}"/>
    <cellStyle name="Normal 5 5 5" xfId="58917" xr:uid="{00000000-0005-0000-0000-0000DAC90000}"/>
    <cellStyle name="Normal 5 5 6" xfId="59139" xr:uid="{00000000-0005-0000-0000-0000DBC90000}"/>
    <cellStyle name="Normal 5 6" xfId="273" xr:uid="{00000000-0005-0000-0000-0000DCC90000}"/>
    <cellStyle name="Normal 5 6 2" xfId="424" xr:uid="{00000000-0005-0000-0000-0000DDC90000}"/>
    <cellStyle name="Normal 5 6 2 2" xfId="59280" xr:uid="{00000000-0005-0000-0000-0000DEC90000}"/>
    <cellStyle name="Normal 5 6 3" xfId="58839" xr:uid="{00000000-0005-0000-0000-0000DFC90000}"/>
    <cellStyle name="Normal 5 6 4" xfId="58991" xr:uid="{00000000-0005-0000-0000-0000E0C90000}"/>
    <cellStyle name="Normal 5 6 5" xfId="59145" xr:uid="{00000000-0005-0000-0000-0000E1C90000}"/>
    <cellStyle name="Normal 5 7" xfId="564" xr:uid="{00000000-0005-0000-0000-0000E2C90000}"/>
    <cellStyle name="Normal 5 7 2" xfId="384" xr:uid="{00000000-0005-0000-0000-0000E3C90000}"/>
    <cellStyle name="Normal 5 7 3" xfId="59425" xr:uid="{00000000-0005-0000-0000-0000E4C90000}"/>
    <cellStyle name="Normal 5 8" xfId="284" xr:uid="{00000000-0005-0000-0000-0000E5C90000}"/>
    <cellStyle name="Normal 5 8 2" xfId="59156" xr:uid="{00000000-0005-0000-0000-0000E6C90000}"/>
    <cellStyle name="Normal 5 9" xfId="58864" xr:uid="{00000000-0005-0000-0000-0000E7C90000}"/>
    <cellStyle name="Normal 5 9 2" xfId="59474" xr:uid="{00000000-0005-0000-0000-0000E8C90000}"/>
    <cellStyle name="Normal 50" xfId="8013" xr:uid="{00000000-0005-0000-0000-0000E9C90000}"/>
    <cellStyle name="Normal 51" xfId="15309" xr:uid="{00000000-0005-0000-0000-0000EAC90000}"/>
    <cellStyle name="Normal 52" xfId="15299" xr:uid="{00000000-0005-0000-0000-0000EBC90000}"/>
    <cellStyle name="Normal 53" xfId="8024" xr:uid="{00000000-0005-0000-0000-0000ECC90000}"/>
    <cellStyle name="Normal 54" xfId="15303" xr:uid="{00000000-0005-0000-0000-0000EDC90000}"/>
    <cellStyle name="Normal 55" xfId="8026" xr:uid="{00000000-0005-0000-0000-0000EEC90000}"/>
    <cellStyle name="Normal 56" xfId="15292" xr:uid="{00000000-0005-0000-0000-0000EFC90000}"/>
    <cellStyle name="Normal 57" xfId="15290" xr:uid="{00000000-0005-0000-0000-0000F0C90000}"/>
    <cellStyle name="Normal 58" xfId="15310" xr:uid="{00000000-0005-0000-0000-0000F1C90000}"/>
    <cellStyle name="Normal 59" xfId="8014" xr:uid="{00000000-0005-0000-0000-0000F2C90000}"/>
    <cellStyle name="Normal 6" xfId="37" xr:uid="{00000000-0005-0000-0000-0000F3C90000}"/>
    <cellStyle name="Normal 6 10" xfId="59085" xr:uid="{00000000-0005-0000-0000-0000F4C90000}"/>
    <cellStyle name="Normal 6 2" xfId="126" xr:uid="{00000000-0005-0000-0000-0000F5C90000}"/>
    <cellStyle name="Normal 6 2 2" xfId="201" xr:uid="{00000000-0005-0000-0000-0000F6C90000}"/>
    <cellStyle name="Normal 6 2 2 2" xfId="417" xr:uid="{00000000-0005-0000-0000-0000F7C90000}"/>
    <cellStyle name="Normal 6 2 2 2 2" xfId="559" xr:uid="{00000000-0005-0000-0000-0000F8C90000}"/>
    <cellStyle name="Normal 6 2 2 2 2 2" xfId="59420" xr:uid="{00000000-0005-0000-0000-0000F9C90000}"/>
    <cellStyle name="Normal 6 2 2 2 3" xfId="766" xr:uid="{00000000-0005-0000-0000-0000FAC90000}"/>
    <cellStyle name="Normal 6 2 2 2 4" xfId="59272" xr:uid="{00000000-0005-0000-0000-0000FBC90000}"/>
    <cellStyle name="Normal 6 2 2 3" xfId="489" xr:uid="{00000000-0005-0000-0000-0000FCC90000}"/>
    <cellStyle name="Normal 6 2 2 3 2" xfId="59348" xr:uid="{00000000-0005-0000-0000-0000FDC90000}"/>
    <cellStyle name="Normal 6 2 2 4" xfId="652" xr:uid="{00000000-0005-0000-0000-0000FEC90000}"/>
    <cellStyle name="Normal 6 2 2 4 2" xfId="59579" xr:uid="{00000000-0005-0000-0000-0000FFC90000}"/>
    <cellStyle name="Normal 6 2 2 5" xfId="59025" xr:uid="{00000000-0005-0000-0000-000000CA0000}"/>
    <cellStyle name="Normal 6 2 2 6" xfId="59128" xr:uid="{00000000-0005-0000-0000-000001CA0000}"/>
    <cellStyle name="Normal 6 2 3" xfId="389" xr:uid="{00000000-0005-0000-0000-000002CA0000}"/>
    <cellStyle name="Normal 6 2 3 2" xfId="520" xr:uid="{00000000-0005-0000-0000-000003CA0000}"/>
    <cellStyle name="Normal 6 2 3 2 2" xfId="59379" xr:uid="{00000000-0005-0000-0000-000004CA0000}"/>
    <cellStyle name="Normal 6 2 3 3" xfId="765" xr:uid="{00000000-0005-0000-0000-000005CA0000}"/>
    <cellStyle name="Normal 6 2 3 4" xfId="59240" xr:uid="{00000000-0005-0000-0000-000006CA0000}"/>
    <cellStyle name="Normal 6 2 4" xfId="448" xr:uid="{00000000-0005-0000-0000-000007CA0000}"/>
    <cellStyle name="Normal 6 2 4 2" xfId="59304" xr:uid="{00000000-0005-0000-0000-000008CA0000}"/>
    <cellStyle name="Normal 6 2 5" xfId="597" xr:uid="{00000000-0005-0000-0000-000009CA0000}"/>
    <cellStyle name="Normal 6 2 5 2" xfId="59458" xr:uid="{00000000-0005-0000-0000-00000ACA0000}"/>
    <cellStyle name="Normal 6 2 6" xfId="332" xr:uid="{00000000-0005-0000-0000-00000BCA0000}"/>
    <cellStyle name="Normal 6 2 6 2" xfId="59180" xr:uid="{00000000-0005-0000-0000-00000CCA0000}"/>
    <cellStyle name="Normal 6 2 7" xfId="651" xr:uid="{00000000-0005-0000-0000-00000DCA0000}"/>
    <cellStyle name="Normal 6 2 7 2" xfId="59507" xr:uid="{00000000-0005-0000-0000-00000ECA0000}"/>
    <cellStyle name="Normal 6 2 8" xfId="58951" xr:uid="{00000000-0005-0000-0000-00000FCA0000}"/>
    <cellStyle name="Normal 6 2 9" xfId="59099" xr:uid="{00000000-0005-0000-0000-000010CA0000}"/>
    <cellStyle name="Normal 6 3" xfId="151" xr:uid="{00000000-0005-0000-0000-000011CA0000}"/>
    <cellStyle name="Normal 6 3 2" xfId="225" xr:uid="{00000000-0005-0000-0000-000012CA0000}"/>
    <cellStyle name="Normal 6 3 2 2" xfId="533" xr:uid="{00000000-0005-0000-0000-000013CA0000}"/>
    <cellStyle name="Normal 6 3 2 2 2" xfId="59395" xr:uid="{00000000-0005-0000-0000-000014CA0000}"/>
    <cellStyle name="Normal 6 3 2 3" xfId="59049" xr:uid="{00000000-0005-0000-0000-000015CA0000}"/>
    <cellStyle name="Normal 6 3 2 3 2" xfId="59601" xr:uid="{00000000-0005-0000-0000-000016CA0000}"/>
    <cellStyle name="Normal 6 3 2 4" xfId="59253" xr:uid="{00000000-0005-0000-0000-000017CA0000}"/>
    <cellStyle name="Normal 6 3 3" xfId="461" xr:uid="{00000000-0005-0000-0000-000018CA0000}"/>
    <cellStyle name="Normal 6 3 3 2" xfId="59320" xr:uid="{00000000-0005-0000-0000-000019CA0000}"/>
    <cellStyle name="Normal 6 3 4" xfId="350" xr:uid="{00000000-0005-0000-0000-00001ACA0000}"/>
    <cellStyle name="Normal 6 3 4 2" xfId="59196" xr:uid="{00000000-0005-0000-0000-00001BCA0000}"/>
    <cellStyle name="Normal 6 3 5" xfId="767" xr:uid="{00000000-0005-0000-0000-00001CCA0000}"/>
    <cellStyle name="Normal 6 3 5 2" xfId="59530" xr:uid="{00000000-0005-0000-0000-00001DCA0000}"/>
    <cellStyle name="Normal 6 3 6" xfId="58975" xr:uid="{00000000-0005-0000-0000-00001ECA0000}"/>
    <cellStyle name="Normal 6 3 7" xfId="59114" xr:uid="{00000000-0005-0000-0000-00001FCA0000}"/>
    <cellStyle name="Normal 6 4" xfId="176" xr:uid="{00000000-0005-0000-0000-000020CA0000}"/>
    <cellStyle name="Normal 6 4 2" xfId="503" xr:uid="{00000000-0005-0000-0000-000021CA0000}"/>
    <cellStyle name="Normal 6 4 2 2" xfId="59362" xr:uid="{00000000-0005-0000-0000-000022CA0000}"/>
    <cellStyle name="Normal 6 4 3" xfId="377" xr:uid="{00000000-0005-0000-0000-000023CA0000}"/>
    <cellStyle name="Normal 6 4 3 2" xfId="59224" xr:uid="{00000000-0005-0000-0000-000024CA0000}"/>
    <cellStyle name="Normal 6 4 4" xfId="799" xr:uid="{00000000-0005-0000-0000-000025CA0000}"/>
    <cellStyle name="Normal 6 4 4 2" xfId="59554" xr:uid="{00000000-0005-0000-0000-000026CA0000}"/>
    <cellStyle name="Normal 6 4 5" xfId="59000" xr:uid="{00000000-0005-0000-0000-000027CA0000}"/>
    <cellStyle name="Normal 6 4 6" xfId="59149" xr:uid="{00000000-0005-0000-0000-000028CA0000}"/>
    <cellStyle name="Normal 6 5" xfId="431" xr:uid="{00000000-0005-0000-0000-000029CA0000}"/>
    <cellStyle name="Normal 6 5 2" xfId="764" xr:uid="{00000000-0005-0000-0000-00002ACA0000}"/>
    <cellStyle name="Normal 6 5 3" xfId="59287" xr:uid="{00000000-0005-0000-0000-00002BCA0000}"/>
    <cellStyle name="Normal 6 6" xfId="572" xr:uid="{00000000-0005-0000-0000-00002CCA0000}"/>
    <cellStyle name="Normal 6 6 2" xfId="59433" xr:uid="{00000000-0005-0000-0000-00002DCA0000}"/>
    <cellStyle name="Normal 6 7" xfId="280" xr:uid="{00000000-0005-0000-0000-00002ECA0000}"/>
    <cellStyle name="Normal 6 7 2" xfId="59163" xr:uid="{00000000-0005-0000-0000-00002FCA0000}"/>
    <cellStyle name="Normal 6 8" xfId="650" xr:uid="{00000000-0005-0000-0000-000030CA0000}"/>
    <cellStyle name="Normal 6 8 2" xfId="59482" xr:uid="{00000000-0005-0000-0000-000031CA0000}"/>
    <cellStyle name="Normal 6 9" xfId="58925" xr:uid="{00000000-0005-0000-0000-000032CA0000}"/>
    <cellStyle name="Normal 60" xfId="15306" xr:uid="{00000000-0005-0000-0000-000033CA0000}"/>
    <cellStyle name="Normal 61" xfId="8010" xr:uid="{00000000-0005-0000-0000-000034CA0000}"/>
    <cellStyle name="Normal 62" xfId="15295" xr:uid="{00000000-0005-0000-0000-000035CA0000}"/>
    <cellStyle name="Normal 63" xfId="15301" xr:uid="{00000000-0005-0000-0000-000036CA0000}"/>
    <cellStyle name="Normal 64" xfId="15288" xr:uid="{00000000-0005-0000-0000-000037CA0000}"/>
    <cellStyle name="Normal 65" xfId="15293" xr:uid="{00000000-0005-0000-0000-000038CA0000}"/>
    <cellStyle name="Normal 66" xfId="8015" xr:uid="{00000000-0005-0000-0000-000039CA0000}"/>
    <cellStyle name="Normal 67" xfId="8029" xr:uid="{00000000-0005-0000-0000-00003ACA0000}"/>
    <cellStyle name="Normal 68" xfId="15313" xr:uid="{00000000-0005-0000-0000-00003BCA0000}"/>
    <cellStyle name="Normal 68 2" xfId="29821" xr:uid="{00000000-0005-0000-0000-00003CCA0000}"/>
    <cellStyle name="Normal 69" xfId="15316" xr:uid="{00000000-0005-0000-0000-00003DCA0000}"/>
    <cellStyle name="Normal 69 2" xfId="29824" xr:uid="{00000000-0005-0000-0000-00003ECA0000}"/>
    <cellStyle name="Normal 7" xfId="102" xr:uid="{00000000-0005-0000-0000-00003FCA0000}"/>
    <cellStyle name="Normal 7 10" xfId="59132" xr:uid="{00000000-0005-0000-0000-000040CA0000}"/>
    <cellStyle name="Normal 7 2" xfId="130" xr:uid="{00000000-0005-0000-0000-000041CA0000}"/>
    <cellStyle name="Normal 7 2 2" xfId="205" xr:uid="{00000000-0005-0000-0000-000042CA0000}"/>
    <cellStyle name="Normal 7 2 2 2" xfId="562" xr:uid="{00000000-0005-0000-0000-000043CA0000}"/>
    <cellStyle name="Normal 7 2 2 2 2" xfId="59423" xr:uid="{00000000-0005-0000-0000-000044CA0000}"/>
    <cellStyle name="Normal 7 2 2 3" xfId="59029" xr:uid="{00000000-0005-0000-0000-000045CA0000}"/>
    <cellStyle name="Normal 7 2 2 3 2" xfId="59583" xr:uid="{00000000-0005-0000-0000-000046CA0000}"/>
    <cellStyle name="Normal 7 2 2 4" xfId="59275" xr:uid="{00000000-0005-0000-0000-000047CA0000}"/>
    <cellStyle name="Normal 7 2 3" xfId="492" xr:uid="{00000000-0005-0000-0000-000048CA0000}"/>
    <cellStyle name="Normal 7 2 3 2" xfId="59351" xr:uid="{00000000-0005-0000-0000-000049CA0000}"/>
    <cellStyle name="Normal 7 2 4" xfId="601" xr:uid="{00000000-0005-0000-0000-00004ACA0000}"/>
    <cellStyle name="Normal 7 2 4 2" xfId="59462" xr:uid="{00000000-0005-0000-0000-00004BCA0000}"/>
    <cellStyle name="Normal 7 2 5" xfId="800" xr:uid="{00000000-0005-0000-0000-00004CCA0000}"/>
    <cellStyle name="Normal 7 2 5 2" xfId="59511" xr:uid="{00000000-0005-0000-0000-00004DCA0000}"/>
    <cellStyle name="Normal 7 2 6" xfId="58955" xr:uid="{00000000-0005-0000-0000-00004ECA0000}"/>
    <cellStyle name="Normal 7 2 7" xfId="59214" xr:uid="{00000000-0005-0000-0000-00004FCA0000}"/>
    <cellStyle name="Normal 7 3" xfId="155" xr:uid="{00000000-0005-0000-0000-000050CA0000}"/>
    <cellStyle name="Normal 7 3 2" xfId="229" xr:uid="{00000000-0005-0000-0000-000051CA0000}"/>
    <cellStyle name="Normal 7 3 2 2" xfId="539" xr:uid="{00000000-0005-0000-0000-000052CA0000}"/>
    <cellStyle name="Normal 7 3 2 2 2" xfId="59400" xr:uid="{00000000-0005-0000-0000-000053CA0000}"/>
    <cellStyle name="Normal 7 3 2 3" xfId="59053" xr:uid="{00000000-0005-0000-0000-000054CA0000}"/>
    <cellStyle name="Normal 7 3 2 3 2" xfId="59605" xr:uid="{00000000-0005-0000-0000-000055CA0000}"/>
    <cellStyle name="Normal 7 3 2 4" xfId="59257" xr:uid="{00000000-0005-0000-0000-000056CA0000}"/>
    <cellStyle name="Normal 7 3 3" xfId="468" xr:uid="{00000000-0005-0000-0000-000057CA0000}"/>
    <cellStyle name="Normal 7 3 3 2" xfId="59327" xr:uid="{00000000-0005-0000-0000-000058CA0000}"/>
    <cellStyle name="Normal 7 3 4" xfId="768" xr:uid="{00000000-0005-0000-0000-000059CA0000}"/>
    <cellStyle name="Normal 7 3 4 2" xfId="59534" xr:uid="{00000000-0005-0000-0000-00005ACA0000}"/>
    <cellStyle name="Normal 7 3 5" xfId="58979" xr:uid="{00000000-0005-0000-0000-00005BCA0000}"/>
    <cellStyle name="Normal 7 3 6" xfId="59203" xr:uid="{00000000-0005-0000-0000-00005CCA0000}"/>
    <cellStyle name="Normal 7 4" xfId="181" xr:uid="{00000000-0005-0000-0000-00005DCA0000}"/>
    <cellStyle name="Normal 7 4 2" xfId="508" xr:uid="{00000000-0005-0000-0000-00005ECA0000}"/>
    <cellStyle name="Normal 7 4 2 2" xfId="59367" xr:uid="{00000000-0005-0000-0000-00005FCA0000}"/>
    <cellStyle name="Normal 7 4 3" xfId="59005" xr:uid="{00000000-0005-0000-0000-000060CA0000}"/>
    <cellStyle name="Normal 7 4 3 2" xfId="59559" xr:uid="{00000000-0005-0000-0000-000061CA0000}"/>
    <cellStyle name="Normal 7 4 4" xfId="59229" xr:uid="{00000000-0005-0000-0000-000062CA0000}"/>
    <cellStyle name="Normal 7 5" xfId="436" xr:uid="{00000000-0005-0000-0000-000063CA0000}"/>
    <cellStyle name="Normal 7 5 2" xfId="59292" xr:uid="{00000000-0005-0000-0000-000064CA0000}"/>
    <cellStyle name="Normal 7 6" xfId="577" xr:uid="{00000000-0005-0000-0000-000065CA0000}"/>
    <cellStyle name="Normal 7 6 2" xfId="59438" xr:uid="{00000000-0005-0000-0000-000066CA0000}"/>
    <cellStyle name="Normal 7 7" xfId="261" xr:uid="{00000000-0005-0000-0000-000067CA0000}"/>
    <cellStyle name="Normal 7 7 2" xfId="59168" xr:uid="{00000000-0005-0000-0000-000068CA0000}"/>
    <cellStyle name="Normal 7 8" xfId="653" xr:uid="{00000000-0005-0000-0000-000069CA0000}"/>
    <cellStyle name="Normal 7 8 2" xfId="59487" xr:uid="{00000000-0005-0000-0000-00006ACA0000}"/>
    <cellStyle name="Normal 7 9" xfId="58930" xr:uid="{00000000-0005-0000-0000-00006BCA0000}"/>
    <cellStyle name="Normal 70" xfId="15317" xr:uid="{00000000-0005-0000-0000-00006CCA0000}"/>
    <cellStyle name="Normal 70 2" xfId="29825" xr:uid="{00000000-0005-0000-0000-00006DCA0000}"/>
    <cellStyle name="Normal 71" xfId="15318" xr:uid="{00000000-0005-0000-0000-00006ECA0000}"/>
    <cellStyle name="Normal 72" xfId="15319" xr:uid="{00000000-0005-0000-0000-00006FCA0000}"/>
    <cellStyle name="Normal 73" xfId="15320" xr:uid="{00000000-0005-0000-0000-000070CA0000}"/>
    <cellStyle name="Normal 73 2" xfId="29826" xr:uid="{00000000-0005-0000-0000-000071CA0000}"/>
    <cellStyle name="Normal 74" xfId="15321" xr:uid="{00000000-0005-0000-0000-000072CA0000}"/>
    <cellStyle name="Normal 74 2" xfId="29827" xr:uid="{00000000-0005-0000-0000-000073CA0000}"/>
    <cellStyle name="Normal 75" xfId="703" xr:uid="{00000000-0005-0000-0000-000074CA0000}"/>
    <cellStyle name="Normal 75 2" xfId="15334" xr:uid="{00000000-0005-0000-0000-000075CA0000}"/>
    <cellStyle name="Normal 75 2 2" xfId="44340" xr:uid="{00000000-0005-0000-0000-000076CA0000}"/>
    <cellStyle name="Normal 75 3" xfId="29841" xr:uid="{00000000-0005-0000-0000-000077CA0000}"/>
    <cellStyle name="Normal 76" xfId="58852" xr:uid="{00000000-0005-0000-0000-000078CA0000}"/>
    <cellStyle name="Normal 77" xfId="58856" xr:uid="{00000000-0005-0000-0000-000079CA0000}"/>
    <cellStyle name="Normal 78" xfId="58860" xr:uid="{00000000-0005-0000-0000-00007ACA0000}"/>
    <cellStyle name="Normal 79" xfId="58861" xr:uid="{00000000-0005-0000-0000-00007BCA0000}"/>
    <cellStyle name="Normal 8" xfId="103" xr:uid="{00000000-0005-0000-0000-00007CCA0000}"/>
    <cellStyle name="Normal 8 10" xfId="59135" xr:uid="{00000000-0005-0000-0000-00007DCA0000}"/>
    <cellStyle name="Normal 8 2" xfId="159" xr:uid="{00000000-0005-0000-0000-00007ECA0000}"/>
    <cellStyle name="Normal 8 2 2" xfId="233" xr:uid="{00000000-0005-0000-0000-00007FCA0000}"/>
    <cellStyle name="Normal 8 2 2 2" xfId="543" xr:uid="{00000000-0005-0000-0000-000080CA0000}"/>
    <cellStyle name="Normal 8 2 2 2 2" xfId="59404" xr:uid="{00000000-0005-0000-0000-000081CA0000}"/>
    <cellStyle name="Normal 8 2 2 3" xfId="771" xr:uid="{00000000-0005-0000-0000-000082CA0000}"/>
    <cellStyle name="Normal 8 2 2 3 2" xfId="59609" xr:uid="{00000000-0005-0000-0000-000083CA0000}"/>
    <cellStyle name="Normal 8 2 2 4" xfId="59057" xr:uid="{00000000-0005-0000-0000-000084CA0000}"/>
    <cellStyle name="Normal 8 2 2 5" xfId="59261" xr:uid="{00000000-0005-0000-0000-000085CA0000}"/>
    <cellStyle name="Normal 8 2 3" xfId="472" xr:uid="{00000000-0005-0000-0000-000086CA0000}"/>
    <cellStyle name="Normal 8 2 3 2" xfId="770" xr:uid="{00000000-0005-0000-0000-000087CA0000}"/>
    <cellStyle name="Normal 8 2 3 3" xfId="59331" xr:uid="{00000000-0005-0000-0000-000088CA0000}"/>
    <cellStyle name="Normal 8 2 4" xfId="58890" xr:uid="{00000000-0005-0000-0000-000089CA0000}"/>
    <cellStyle name="Normal 8 2 4 2" xfId="59538" xr:uid="{00000000-0005-0000-0000-00008ACA0000}"/>
    <cellStyle name="Normal 8 2 5" xfId="698" xr:uid="{00000000-0005-0000-0000-00008BCA0000}"/>
    <cellStyle name="Normal 8 2 6" xfId="58983" xr:uid="{00000000-0005-0000-0000-00008CCA0000}"/>
    <cellStyle name="Normal 8 2 7" xfId="59207" xr:uid="{00000000-0005-0000-0000-00008DCA0000}"/>
    <cellStyle name="Normal 8 3" xfId="185" xr:uid="{00000000-0005-0000-0000-00008ECA0000}"/>
    <cellStyle name="Normal 8 3 2" xfId="512" xr:uid="{00000000-0005-0000-0000-00008FCA0000}"/>
    <cellStyle name="Normal 8 3 2 2" xfId="772" xr:uid="{00000000-0005-0000-0000-000090CA0000}"/>
    <cellStyle name="Normal 8 3 2 3" xfId="59371" xr:uid="{00000000-0005-0000-0000-000091CA0000}"/>
    <cellStyle name="Normal 8 3 3" xfId="58899" xr:uid="{00000000-0005-0000-0000-000092CA0000}"/>
    <cellStyle name="Normal 8 3 3 2" xfId="59563" xr:uid="{00000000-0005-0000-0000-000093CA0000}"/>
    <cellStyle name="Normal 8 3 4" xfId="689" xr:uid="{00000000-0005-0000-0000-000094CA0000}"/>
    <cellStyle name="Normal 8 3 5" xfId="59009" xr:uid="{00000000-0005-0000-0000-000095CA0000}"/>
    <cellStyle name="Normal 8 3 6" xfId="59233" xr:uid="{00000000-0005-0000-0000-000096CA0000}"/>
    <cellStyle name="Normal 8 4" xfId="440" xr:uid="{00000000-0005-0000-0000-000097CA0000}"/>
    <cellStyle name="Normal 8 4 2" xfId="801" xr:uid="{00000000-0005-0000-0000-000098CA0000}"/>
    <cellStyle name="Normal 8 4 3" xfId="59296" xr:uid="{00000000-0005-0000-0000-000099CA0000}"/>
    <cellStyle name="Normal 8 5" xfId="581" xr:uid="{00000000-0005-0000-0000-00009ACA0000}"/>
    <cellStyle name="Normal 8 5 2" xfId="769" xr:uid="{00000000-0005-0000-0000-00009BCA0000}"/>
    <cellStyle name="Normal 8 5 3" xfId="59442" xr:uid="{00000000-0005-0000-0000-00009CCA0000}"/>
    <cellStyle name="Normal 8 6" xfId="292" xr:uid="{00000000-0005-0000-0000-00009DCA0000}"/>
    <cellStyle name="Normal 8 6 2" xfId="59172" xr:uid="{00000000-0005-0000-0000-00009ECA0000}"/>
    <cellStyle name="Normal 8 7" xfId="58869" xr:uid="{00000000-0005-0000-0000-00009FCA0000}"/>
    <cellStyle name="Normal 8 7 2" xfId="59491" xr:uid="{00000000-0005-0000-0000-0000A0CA0000}"/>
    <cellStyle name="Normal 8 8" xfId="654" xr:uid="{00000000-0005-0000-0000-0000A1CA0000}"/>
    <cellStyle name="Normal 8 9" xfId="58934" xr:uid="{00000000-0005-0000-0000-0000A2CA0000}"/>
    <cellStyle name="Normal 80" xfId="58862" xr:uid="{00000000-0005-0000-0000-0000A3CA0000}"/>
    <cellStyle name="Normal 81" xfId="58863" xr:uid="{00000000-0005-0000-0000-0000A4CA0000}"/>
    <cellStyle name="Normal 82" xfId="58915" xr:uid="{00000000-0005-0000-0000-0000A5CA0000}"/>
    <cellStyle name="Normal 9" xfId="134" xr:uid="{00000000-0005-0000-0000-0000A6CA0000}"/>
    <cellStyle name="Normal 9 2" xfId="163" xr:uid="{00000000-0005-0000-0000-0000A7CA0000}"/>
    <cellStyle name="Normal 9 2 2" xfId="237" xr:uid="{00000000-0005-0000-0000-0000A8CA0000}"/>
    <cellStyle name="Normal 9 2 2 2" xfId="59061" xr:uid="{00000000-0005-0000-0000-0000A9CA0000}"/>
    <cellStyle name="Normal 9 2 2 2 2" xfId="59613" xr:uid="{00000000-0005-0000-0000-0000AACA0000}"/>
    <cellStyle name="Normal 9 2 2 3" xfId="59383" xr:uid="{00000000-0005-0000-0000-0000ABCA0000}"/>
    <cellStyle name="Normal 9 2 3" xfId="58893" xr:uid="{00000000-0005-0000-0000-0000ACCA0000}"/>
    <cellStyle name="Normal 9 2 3 2" xfId="59542" xr:uid="{00000000-0005-0000-0000-0000ADCA0000}"/>
    <cellStyle name="Normal 9 2 4" xfId="802" xr:uid="{00000000-0005-0000-0000-0000AECA0000}"/>
    <cellStyle name="Normal 9 2 5" xfId="58987" xr:uid="{00000000-0005-0000-0000-0000AFCA0000}"/>
    <cellStyle name="Normal 9 2 6" xfId="59243" xr:uid="{00000000-0005-0000-0000-0000B0CA0000}"/>
    <cellStyle name="Normal 9 3" xfId="209" xr:uid="{00000000-0005-0000-0000-0000B1CA0000}"/>
    <cellStyle name="Normal 9 3 2" xfId="58905" xr:uid="{00000000-0005-0000-0000-0000B2CA0000}"/>
    <cellStyle name="Normal 9 3 2 2" xfId="59587" xr:uid="{00000000-0005-0000-0000-0000B3CA0000}"/>
    <cellStyle name="Normal 9 3 3" xfId="773" xr:uid="{00000000-0005-0000-0000-0000B4CA0000}"/>
    <cellStyle name="Normal 9 3 4" xfId="59033" xr:uid="{00000000-0005-0000-0000-0000B5CA0000}"/>
    <cellStyle name="Normal 9 3 5" xfId="59308" xr:uid="{00000000-0005-0000-0000-0000B6CA0000}"/>
    <cellStyle name="Normal 9 4" xfId="605" xr:uid="{00000000-0005-0000-0000-0000B7CA0000}"/>
    <cellStyle name="Normal 9 4 2" xfId="59466" xr:uid="{00000000-0005-0000-0000-0000B8CA0000}"/>
    <cellStyle name="Normal 9 5" xfId="336" xr:uid="{00000000-0005-0000-0000-0000B9CA0000}"/>
    <cellStyle name="Normal 9 5 2" xfId="59184" xr:uid="{00000000-0005-0000-0000-0000BACA0000}"/>
    <cellStyle name="Normal 9 6" xfId="58959" xr:uid="{00000000-0005-0000-0000-0000BBCA0000}"/>
    <cellStyle name="Normal 9 6 2" xfId="59515" xr:uid="{00000000-0005-0000-0000-0000BCCA0000}"/>
    <cellStyle name="Normal 9 7" xfId="59143" xr:uid="{00000000-0005-0000-0000-0000BDCA0000}"/>
    <cellStyle name="Note 2" xfId="381" xr:uid="{00000000-0005-0000-0000-0000BECA0000}"/>
    <cellStyle name="Note 2 2" xfId="655" xr:uid="{00000000-0005-0000-0000-0000BFCA0000}"/>
    <cellStyle name="Note 2 3" xfId="58840" xr:uid="{00000000-0005-0000-0000-0000C0CA0000}"/>
    <cellStyle name="Note 3" xfId="357" xr:uid="{00000000-0005-0000-0000-0000C1CA0000}"/>
    <cellStyle name="Note 3 10" xfId="2856" xr:uid="{00000000-0005-0000-0000-0000C2CA0000}"/>
    <cellStyle name="Note 3 10 2" xfId="5960" xr:uid="{00000000-0005-0000-0000-0000C3CA0000}"/>
    <cellStyle name="Note 3 10 2 2" xfId="13232" xr:uid="{00000000-0005-0000-0000-0000C4CA0000}"/>
    <cellStyle name="Note 3 10 2 2 2" xfId="27766" xr:uid="{00000000-0005-0000-0000-0000C5CA0000}"/>
    <cellStyle name="Note 3 10 2 2 2 2" xfId="56772" xr:uid="{00000000-0005-0000-0000-0000C6CA0000}"/>
    <cellStyle name="Note 3 10 2 2 3" xfId="42273" xr:uid="{00000000-0005-0000-0000-0000C7CA0000}"/>
    <cellStyle name="Note 3 10 2 3" xfId="20518" xr:uid="{00000000-0005-0000-0000-0000C8CA0000}"/>
    <cellStyle name="Note 3 10 2 3 2" xfId="49524" xr:uid="{00000000-0005-0000-0000-0000C9CA0000}"/>
    <cellStyle name="Note 3 10 2 4" xfId="35025" xr:uid="{00000000-0005-0000-0000-0000CACA0000}"/>
    <cellStyle name="Note 3 10 3" xfId="10128" xr:uid="{00000000-0005-0000-0000-0000CBCA0000}"/>
    <cellStyle name="Note 3 10 3 2" xfId="24662" xr:uid="{00000000-0005-0000-0000-0000CCCA0000}"/>
    <cellStyle name="Note 3 10 3 2 2" xfId="53668" xr:uid="{00000000-0005-0000-0000-0000CDCA0000}"/>
    <cellStyle name="Note 3 10 3 3" xfId="39169" xr:uid="{00000000-0005-0000-0000-0000CECA0000}"/>
    <cellStyle name="Note 3 10 4" xfId="17414" xr:uid="{00000000-0005-0000-0000-0000CFCA0000}"/>
    <cellStyle name="Note 3 10 4 2" xfId="46420" xr:uid="{00000000-0005-0000-0000-0000D0CA0000}"/>
    <cellStyle name="Note 3 10 5" xfId="31921" xr:uid="{00000000-0005-0000-0000-0000D1CA0000}"/>
    <cellStyle name="Note 3 11" xfId="3888" xr:uid="{00000000-0005-0000-0000-0000D2CA0000}"/>
    <cellStyle name="Note 3 11 2" xfId="11160" xr:uid="{00000000-0005-0000-0000-0000D3CA0000}"/>
    <cellStyle name="Note 3 11 2 2" xfId="25694" xr:uid="{00000000-0005-0000-0000-0000D4CA0000}"/>
    <cellStyle name="Note 3 11 2 2 2" xfId="54700" xr:uid="{00000000-0005-0000-0000-0000D5CA0000}"/>
    <cellStyle name="Note 3 11 2 3" xfId="40201" xr:uid="{00000000-0005-0000-0000-0000D6CA0000}"/>
    <cellStyle name="Note 3 11 3" xfId="18446" xr:uid="{00000000-0005-0000-0000-0000D7CA0000}"/>
    <cellStyle name="Note 3 11 3 2" xfId="47452" xr:uid="{00000000-0005-0000-0000-0000D8CA0000}"/>
    <cellStyle name="Note 3 11 4" xfId="32953" xr:uid="{00000000-0005-0000-0000-0000D9CA0000}"/>
    <cellStyle name="Note 3 12" xfId="6992" xr:uid="{00000000-0005-0000-0000-0000DACA0000}"/>
    <cellStyle name="Note 3 12 2" xfId="14264" xr:uid="{00000000-0005-0000-0000-0000DBCA0000}"/>
    <cellStyle name="Note 3 12 2 2" xfId="28798" xr:uid="{00000000-0005-0000-0000-0000DCCA0000}"/>
    <cellStyle name="Note 3 12 2 2 2" xfId="57804" xr:uid="{00000000-0005-0000-0000-0000DDCA0000}"/>
    <cellStyle name="Note 3 12 2 3" xfId="43305" xr:uid="{00000000-0005-0000-0000-0000DECA0000}"/>
    <cellStyle name="Note 3 12 3" xfId="21550" xr:uid="{00000000-0005-0000-0000-0000DFCA0000}"/>
    <cellStyle name="Note 3 12 3 2" xfId="50556" xr:uid="{00000000-0005-0000-0000-0000E0CA0000}"/>
    <cellStyle name="Note 3 12 4" xfId="36057" xr:uid="{00000000-0005-0000-0000-0000E1CA0000}"/>
    <cellStyle name="Note 3 13" xfId="8056" xr:uid="{00000000-0005-0000-0000-0000E2CA0000}"/>
    <cellStyle name="Note 3 13 2" xfId="22590" xr:uid="{00000000-0005-0000-0000-0000E3CA0000}"/>
    <cellStyle name="Note 3 13 2 2" xfId="51596" xr:uid="{00000000-0005-0000-0000-0000E4CA0000}"/>
    <cellStyle name="Note 3 13 3" xfId="37097" xr:uid="{00000000-0005-0000-0000-0000E5CA0000}"/>
    <cellStyle name="Note 3 14" xfId="15342" xr:uid="{00000000-0005-0000-0000-0000E6CA0000}"/>
    <cellStyle name="Note 3 14 2" xfId="44348" xr:uid="{00000000-0005-0000-0000-0000E7CA0000}"/>
    <cellStyle name="Note 3 15" xfId="29849" xr:uid="{00000000-0005-0000-0000-0000E8CA0000}"/>
    <cellStyle name="Note 3 16" xfId="791" xr:uid="{00000000-0005-0000-0000-0000E9CA0000}"/>
    <cellStyle name="Note 3 2" xfId="853" xr:uid="{00000000-0005-0000-0000-0000EACA0000}"/>
    <cellStyle name="Note 3 2 10" xfId="7016" xr:uid="{00000000-0005-0000-0000-0000EBCA0000}"/>
    <cellStyle name="Note 3 2 10 2" xfId="14288" xr:uid="{00000000-0005-0000-0000-0000ECCA0000}"/>
    <cellStyle name="Note 3 2 10 2 2" xfId="28822" xr:uid="{00000000-0005-0000-0000-0000EDCA0000}"/>
    <cellStyle name="Note 3 2 10 2 2 2" xfId="57828" xr:uid="{00000000-0005-0000-0000-0000EECA0000}"/>
    <cellStyle name="Note 3 2 10 2 3" xfId="43329" xr:uid="{00000000-0005-0000-0000-0000EFCA0000}"/>
    <cellStyle name="Note 3 2 10 3" xfId="21574" xr:uid="{00000000-0005-0000-0000-0000F0CA0000}"/>
    <cellStyle name="Note 3 2 10 3 2" xfId="50580" xr:uid="{00000000-0005-0000-0000-0000F1CA0000}"/>
    <cellStyle name="Note 3 2 10 4" xfId="36081" xr:uid="{00000000-0005-0000-0000-0000F2CA0000}"/>
    <cellStyle name="Note 3 2 11" xfId="8080" xr:uid="{00000000-0005-0000-0000-0000F3CA0000}"/>
    <cellStyle name="Note 3 2 11 2" xfId="22614" xr:uid="{00000000-0005-0000-0000-0000F4CA0000}"/>
    <cellStyle name="Note 3 2 11 2 2" xfId="51620" xr:uid="{00000000-0005-0000-0000-0000F5CA0000}"/>
    <cellStyle name="Note 3 2 11 3" xfId="37121" xr:uid="{00000000-0005-0000-0000-0000F6CA0000}"/>
    <cellStyle name="Note 3 2 12" xfId="15366" xr:uid="{00000000-0005-0000-0000-0000F7CA0000}"/>
    <cellStyle name="Note 3 2 12 2" xfId="44372" xr:uid="{00000000-0005-0000-0000-0000F8CA0000}"/>
    <cellStyle name="Note 3 2 13" xfId="29873" xr:uid="{00000000-0005-0000-0000-0000F9CA0000}"/>
    <cellStyle name="Note 3 2 2" xfId="896" xr:uid="{00000000-0005-0000-0000-0000FACA0000}"/>
    <cellStyle name="Note 3 2 2 10" xfId="8132" xr:uid="{00000000-0005-0000-0000-0000FBCA0000}"/>
    <cellStyle name="Note 3 2 2 10 2" xfId="22666" xr:uid="{00000000-0005-0000-0000-0000FCCA0000}"/>
    <cellStyle name="Note 3 2 2 10 2 2" xfId="51672" xr:uid="{00000000-0005-0000-0000-0000FDCA0000}"/>
    <cellStyle name="Note 3 2 2 10 3" xfId="37173" xr:uid="{00000000-0005-0000-0000-0000FECA0000}"/>
    <cellStyle name="Note 3 2 2 11" xfId="15418" xr:uid="{00000000-0005-0000-0000-0000FFCA0000}"/>
    <cellStyle name="Note 3 2 2 11 2" xfId="44424" xr:uid="{00000000-0005-0000-0000-000000CB0000}"/>
    <cellStyle name="Note 3 2 2 12" xfId="29925" xr:uid="{00000000-0005-0000-0000-000001CB0000}"/>
    <cellStyle name="Note 3 2 2 2" xfId="976" xr:uid="{00000000-0005-0000-0000-000002CB0000}"/>
    <cellStyle name="Note 3 2 2 2 10" xfId="30028" xr:uid="{00000000-0005-0000-0000-000003CB0000}"/>
    <cellStyle name="Note 3 2 2 2 2" xfId="1256" xr:uid="{00000000-0005-0000-0000-000004CB0000}"/>
    <cellStyle name="Note 3 2 2 2 2 2" xfId="1762" xr:uid="{00000000-0005-0000-0000-000005CB0000}"/>
    <cellStyle name="Note 3 2 2 2 2 2 2" xfId="2821" xr:uid="{00000000-0005-0000-0000-000006CB0000}"/>
    <cellStyle name="Note 3 2 2 2 2 2 2 2" xfId="5925" xr:uid="{00000000-0005-0000-0000-000007CB0000}"/>
    <cellStyle name="Note 3 2 2 2 2 2 2 2 2" xfId="13197" xr:uid="{00000000-0005-0000-0000-000008CB0000}"/>
    <cellStyle name="Note 3 2 2 2 2 2 2 2 2 2" xfId="27731" xr:uid="{00000000-0005-0000-0000-000009CB0000}"/>
    <cellStyle name="Note 3 2 2 2 2 2 2 2 2 2 2" xfId="56737" xr:uid="{00000000-0005-0000-0000-00000ACB0000}"/>
    <cellStyle name="Note 3 2 2 2 2 2 2 2 2 3" xfId="42238" xr:uid="{00000000-0005-0000-0000-00000BCB0000}"/>
    <cellStyle name="Note 3 2 2 2 2 2 2 2 3" xfId="20483" xr:uid="{00000000-0005-0000-0000-00000CCB0000}"/>
    <cellStyle name="Note 3 2 2 2 2 2 2 2 3 2" xfId="49489" xr:uid="{00000000-0005-0000-0000-00000DCB0000}"/>
    <cellStyle name="Note 3 2 2 2 2 2 2 2 4" xfId="34990" xr:uid="{00000000-0005-0000-0000-00000ECB0000}"/>
    <cellStyle name="Note 3 2 2 2 2 2 2 3" xfId="10093" xr:uid="{00000000-0005-0000-0000-00000FCB0000}"/>
    <cellStyle name="Note 3 2 2 2 2 2 2 3 2" xfId="24627" xr:uid="{00000000-0005-0000-0000-000010CB0000}"/>
    <cellStyle name="Note 3 2 2 2 2 2 2 3 2 2" xfId="53633" xr:uid="{00000000-0005-0000-0000-000011CB0000}"/>
    <cellStyle name="Note 3 2 2 2 2 2 2 3 3" xfId="39134" xr:uid="{00000000-0005-0000-0000-000012CB0000}"/>
    <cellStyle name="Note 3 2 2 2 2 2 2 4" xfId="17379" xr:uid="{00000000-0005-0000-0000-000013CB0000}"/>
    <cellStyle name="Note 3 2 2 2 2 2 2 4 2" xfId="46385" xr:uid="{00000000-0005-0000-0000-000014CB0000}"/>
    <cellStyle name="Note 3 2 2 2 2 2 2 5" xfId="31886" xr:uid="{00000000-0005-0000-0000-000015CB0000}"/>
    <cellStyle name="Note 3 2 2 2 2 2 3" xfId="3853" xr:uid="{00000000-0005-0000-0000-000016CB0000}"/>
    <cellStyle name="Note 3 2 2 2 2 2 3 2" xfId="6957" xr:uid="{00000000-0005-0000-0000-000017CB0000}"/>
    <cellStyle name="Note 3 2 2 2 2 2 3 2 2" xfId="14229" xr:uid="{00000000-0005-0000-0000-000018CB0000}"/>
    <cellStyle name="Note 3 2 2 2 2 2 3 2 2 2" xfId="28763" xr:uid="{00000000-0005-0000-0000-000019CB0000}"/>
    <cellStyle name="Note 3 2 2 2 2 2 3 2 2 2 2" xfId="57769" xr:uid="{00000000-0005-0000-0000-00001ACB0000}"/>
    <cellStyle name="Note 3 2 2 2 2 2 3 2 2 3" xfId="43270" xr:uid="{00000000-0005-0000-0000-00001BCB0000}"/>
    <cellStyle name="Note 3 2 2 2 2 2 3 2 3" xfId="21515" xr:uid="{00000000-0005-0000-0000-00001CCB0000}"/>
    <cellStyle name="Note 3 2 2 2 2 2 3 2 3 2" xfId="50521" xr:uid="{00000000-0005-0000-0000-00001DCB0000}"/>
    <cellStyle name="Note 3 2 2 2 2 2 3 2 4" xfId="36022" xr:uid="{00000000-0005-0000-0000-00001ECB0000}"/>
    <cellStyle name="Note 3 2 2 2 2 2 3 3" xfId="11125" xr:uid="{00000000-0005-0000-0000-00001FCB0000}"/>
    <cellStyle name="Note 3 2 2 2 2 2 3 3 2" xfId="25659" xr:uid="{00000000-0005-0000-0000-000020CB0000}"/>
    <cellStyle name="Note 3 2 2 2 2 2 3 3 2 2" xfId="54665" xr:uid="{00000000-0005-0000-0000-000021CB0000}"/>
    <cellStyle name="Note 3 2 2 2 2 2 3 3 3" xfId="40166" xr:uid="{00000000-0005-0000-0000-000022CB0000}"/>
    <cellStyle name="Note 3 2 2 2 2 2 3 4" xfId="18411" xr:uid="{00000000-0005-0000-0000-000023CB0000}"/>
    <cellStyle name="Note 3 2 2 2 2 2 3 4 2" xfId="47417" xr:uid="{00000000-0005-0000-0000-000024CB0000}"/>
    <cellStyle name="Note 3 2 2 2 2 2 3 5" xfId="32918" xr:uid="{00000000-0005-0000-0000-000025CB0000}"/>
    <cellStyle name="Note 3 2 2 2 2 2 4" xfId="4885" xr:uid="{00000000-0005-0000-0000-000026CB0000}"/>
    <cellStyle name="Note 3 2 2 2 2 2 4 2" xfId="12157" xr:uid="{00000000-0005-0000-0000-000027CB0000}"/>
    <cellStyle name="Note 3 2 2 2 2 2 4 2 2" xfId="26691" xr:uid="{00000000-0005-0000-0000-000028CB0000}"/>
    <cellStyle name="Note 3 2 2 2 2 2 4 2 2 2" xfId="55697" xr:uid="{00000000-0005-0000-0000-000029CB0000}"/>
    <cellStyle name="Note 3 2 2 2 2 2 4 2 3" xfId="41198" xr:uid="{00000000-0005-0000-0000-00002ACB0000}"/>
    <cellStyle name="Note 3 2 2 2 2 2 4 3" xfId="19443" xr:uid="{00000000-0005-0000-0000-00002BCB0000}"/>
    <cellStyle name="Note 3 2 2 2 2 2 4 3 2" xfId="48449" xr:uid="{00000000-0005-0000-0000-00002CCB0000}"/>
    <cellStyle name="Note 3 2 2 2 2 2 4 4" xfId="33950" xr:uid="{00000000-0005-0000-0000-00002DCB0000}"/>
    <cellStyle name="Note 3 2 2 2 2 2 5" xfId="7989" xr:uid="{00000000-0005-0000-0000-00002ECB0000}"/>
    <cellStyle name="Note 3 2 2 2 2 2 5 2" xfId="15261" xr:uid="{00000000-0005-0000-0000-00002FCB0000}"/>
    <cellStyle name="Note 3 2 2 2 2 2 5 2 2" xfId="29795" xr:uid="{00000000-0005-0000-0000-000030CB0000}"/>
    <cellStyle name="Note 3 2 2 2 2 2 5 2 2 2" xfId="58801" xr:uid="{00000000-0005-0000-0000-000031CB0000}"/>
    <cellStyle name="Note 3 2 2 2 2 2 5 2 3" xfId="44302" xr:uid="{00000000-0005-0000-0000-000032CB0000}"/>
    <cellStyle name="Note 3 2 2 2 2 2 5 3" xfId="22547" xr:uid="{00000000-0005-0000-0000-000033CB0000}"/>
    <cellStyle name="Note 3 2 2 2 2 2 5 3 2" xfId="51553" xr:uid="{00000000-0005-0000-0000-000034CB0000}"/>
    <cellStyle name="Note 3 2 2 2 2 2 5 4" xfId="37054" xr:uid="{00000000-0005-0000-0000-000035CB0000}"/>
    <cellStyle name="Note 3 2 2 2 2 2 6" xfId="9053" xr:uid="{00000000-0005-0000-0000-000036CB0000}"/>
    <cellStyle name="Note 3 2 2 2 2 2 6 2" xfId="23587" xr:uid="{00000000-0005-0000-0000-000037CB0000}"/>
    <cellStyle name="Note 3 2 2 2 2 2 6 2 2" xfId="52593" xr:uid="{00000000-0005-0000-0000-000038CB0000}"/>
    <cellStyle name="Note 3 2 2 2 2 2 6 3" xfId="38094" xr:uid="{00000000-0005-0000-0000-000039CB0000}"/>
    <cellStyle name="Note 3 2 2 2 2 2 7" xfId="16339" xr:uid="{00000000-0005-0000-0000-00003ACB0000}"/>
    <cellStyle name="Note 3 2 2 2 2 2 7 2" xfId="45345" xr:uid="{00000000-0005-0000-0000-00003BCB0000}"/>
    <cellStyle name="Note 3 2 2 2 2 2 8" xfId="30846" xr:uid="{00000000-0005-0000-0000-00003CCB0000}"/>
    <cellStyle name="Note 3 2 2 2 2 3" xfId="2309" xr:uid="{00000000-0005-0000-0000-00003DCB0000}"/>
    <cellStyle name="Note 3 2 2 2 2 3 2" xfId="5413" xr:uid="{00000000-0005-0000-0000-00003ECB0000}"/>
    <cellStyle name="Note 3 2 2 2 2 3 2 2" xfId="12685" xr:uid="{00000000-0005-0000-0000-00003FCB0000}"/>
    <cellStyle name="Note 3 2 2 2 2 3 2 2 2" xfId="27219" xr:uid="{00000000-0005-0000-0000-000040CB0000}"/>
    <cellStyle name="Note 3 2 2 2 2 3 2 2 2 2" xfId="56225" xr:uid="{00000000-0005-0000-0000-000041CB0000}"/>
    <cellStyle name="Note 3 2 2 2 2 3 2 2 3" xfId="41726" xr:uid="{00000000-0005-0000-0000-000042CB0000}"/>
    <cellStyle name="Note 3 2 2 2 2 3 2 3" xfId="19971" xr:uid="{00000000-0005-0000-0000-000043CB0000}"/>
    <cellStyle name="Note 3 2 2 2 2 3 2 3 2" xfId="48977" xr:uid="{00000000-0005-0000-0000-000044CB0000}"/>
    <cellStyle name="Note 3 2 2 2 2 3 2 4" xfId="34478" xr:uid="{00000000-0005-0000-0000-000045CB0000}"/>
    <cellStyle name="Note 3 2 2 2 2 3 3" xfId="9581" xr:uid="{00000000-0005-0000-0000-000046CB0000}"/>
    <cellStyle name="Note 3 2 2 2 2 3 3 2" xfId="24115" xr:uid="{00000000-0005-0000-0000-000047CB0000}"/>
    <cellStyle name="Note 3 2 2 2 2 3 3 2 2" xfId="53121" xr:uid="{00000000-0005-0000-0000-000048CB0000}"/>
    <cellStyle name="Note 3 2 2 2 2 3 3 3" xfId="38622" xr:uid="{00000000-0005-0000-0000-000049CB0000}"/>
    <cellStyle name="Note 3 2 2 2 2 3 4" xfId="16867" xr:uid="{00000000-0005-0000-0000-00004ACB0000}"/>
    <cellStyle name="Note 3 2 2 2 2 3 4 2" xfId="45873" xr:uid="{00000000-0005-0000-0000-00004BCB0000}"/>
    <cellStyle name="Note 3 2 2 2 2 3 5" xfId="31374" xr:uid="{00000000-0005-0000-0000-00004CCB0000}"/>
    <cellStyle name="Note 3 2 2 2 2 4" xfId="3341" xr:uid="{00000000-0005-0000-0000-00004DCB0000}"/>
    <cellStyle name="Note 3 2 2 2 2 4 2" xfId="6445" xr:uid="{00000000-0005-0000-0000-00004ECB0000}"/>
    <cellStyle name="Note 3 2 2 2 2 4 2 2" xfId="13717" xr:uid="{00000000-0005-0000-0000-00004FCB0000}"/>
    <cellStyle name="Note 3 2 2 2 2 4 2 2 2" xfId="28251" xr:uid="{00000000-0005-0000-0000-000050CB0000}"/>
    <cellStyle name="Note 3 2 2 2 2 4 2 2 2 2" xfId="57257" xr:uid="{00000000-0005-0000-0000-000051CB0000}"/>
    <cellStyle name="Note 3 2 2 2 2 4 2 2 3" xfId="42758" xr:uid="{00000000-0005-0000-0000-000052CB0000}"/>
    <cellStyle name="Note 3 2 2 2 2 4 2 3" xfId="21003" xr:uid="{00000000-0005-0000-0000-000053CB0000}"/>
    <cellStyle name="Note 3 2 2 2 2 4 2 3 2" xfId="50009" xr:uid="{00000000-0005-0000-0000-000054CB0000}"/>
    <cellStyle name="Note 3 2 2 2 2 4 2 4" xfId="35510" xr:uid="{00000000-0005-0000-0000-000055CB0000}"/>
    <cellStyle name="Note 3 2 2 2 2 4 3" xfId="10613" xr:uid="{00000000-0005-0000-0000-000056CB0000}"/>
    <cellStyle name="Note 3 2 2 2 2 4 3 2" xfId="25147" xr:uid="{00000000-0005-0000-0000-000057CB0000}"/>
    <cellStyle name="Note 3 2 2 2 2 4 3 2 2" xfId="54153" xr:uid="{00000000-0005-0000-0000-000058CB0000}"/>
    <cellStyle name="Note 3 2 2 2 2 4 3 3" xfId="39654" xr:uid="{00000000-0005-0000-0000-000059CB0000}"/>
    <cellStyle name="Note 3 2 2 2 2 4 4" xfId="17899" xr:uid="{00000000-0005-0000-0000-00005ACB0000}"/>
    <cellStyle name="Note 3 2 2 2 2 4 4 2" xfId="46905" xr:uid="{00000000-0005-0000-0000-00005BCB0000}"/>
    <cellStyle name="Note 3 2 2 2 2 4 5" xfId="32406" xr:uid="{00000000-0005-0000-0000-00005CCB0000}"/>
    <cellStyle name="Note 3 2 2 2 2 5" xfId="4373" xr:uid="{00000000-0005-0000-0000-00005DCB0000}"/>
    <cellStyle name="Note 3 2 2 2 2 5 2" xfId="11645" xr:uid="{00000000-0005-0000-0000-00005ECB0000}"/>
    <cellStyle name="Note 3 2 2 2 2 5 2 2" xfId="26179" xr:uid="{00000000-0005-0000-0000-00005FCB0000}"/>
    <cellStyle name="Note 3 2 2 2 2 5 2 2 2" xfId="55185" xr:uid="{00000000-0005-0000-0000-000060CB0000}"/>
    <cellStyle name="Note 3 2 2 2 2 5 2 3" xfId="40686" xr:uid="{00000000-0005-0000-0000-000061CB0000}"/>
    <cellStyle name="Note 3 2 2 2 2 5 3" xfId="18931" xr:uid="{00000000-0005-0000-0000-000062CB0000}"/>
    <cellStyle name="Note 3 2 2 2 2 5 3 2" xfId="47937" xr:uid="{00000000-0005-0000-0000-000063CB0000}"/>
    <cellStyle name="Note 3 2 2 2 2 5 4" xfId="33438" xr:uid="{00000000-0005-0000-0000-000064CB0000}"/>
    <cellStyle name="Note 3 2 2 2 2 6" xfId="7477" xr:uid="{00000000-0005-0000-0000-000065CB0000}"/>
    <cellStyle name="Note 3 2 2 2 2 6 2" xfId="14749" xr:uid="{00000000-0005-0000-0000-000066CB0000}"/>
    <cellStyle name="Note 3 2 2 2 2 6 2 2" xfId="29283" xr:uid="{00000000-0005-0000-0000-000067CB0000}"/>
    <cellStyle name="Note 3 2 2 2 2 6 2 2 2" xfId="58289" xr:uid="{00000000-0005-0000-0000-000068CB0000}"/>
    <cellStyle name="Note 3 2 2 2 2 6 2 3" xfId="43790" xr:uid="{00000000-0005-0000-0000-000069CB0000}"/>
    <cellStyle name="Note 3 2 2 2 2 6 3" xfId="22035" xr:uid="{00000000-0005-0000-0000-00006ACB0000}"/>
    <cellStyle name="Note 3 2 2 2 2 6 3 2" xfId="51041" xr:uid="{00000000-0005-0000-0000-00006BCB0000}"/>
    <cellStyle name="Note 3 2 2 2 2 6 4" xfId="36542" xr:uid="{00000000-0005-0000-0000-00006CCB0000}"/>
    <cellStyle name="Note 3 2 2 2 2 7" xfId="8541" xr:uid="{00000000-0005-0000-0000-00006DCB0000}"/>
    <cellStyle name="Note 3 2 2 2 2 7 2" xfId="23075" xr:uid="{00000000-0005-0000-0000-00006ECB0000}"/>
    <cellStyle name="Note 3 2 2 2 2 7 2 2" xfId="52081" xr:uid="{00000000-0005-0000-0000-00006FCB0000}"/>
    <cellStyle name="Note 3 2 2 2 2 7 3" xfId="37582" xr:uid="{00000000-0005-0000-0000-000070CB0000}"/>
    <cellStyle name="Note 3 2 2 2 2 8" xfId="15827" xr:uid="{00000000-0005-0000-0000-000071CB0000}"/>
    <cellStyle name="Note 3 2 2 2 2 8 2" xfId="44833" xr:uid="{00000000-0005-0000-0000-000072CB0000}"/>
    <cellStyle name="Note 3 2 2 2 2 9" xfId="30334" xr:uid="{00000000-0005-0000-0000-000073CB0000}"/>
    <cellStyle name="Note 3 2 2 2 3" xfId="1457" xr:uid="{00000000-0005-0000-0000-000074CB0000}"/>
    <cellStyle name="Note 3 2 2 2 3 2" xfId="2515" xr:uid="{00000000-0005-0000-0000-000075CB0000}"/>
    <cellStyle name="Note 3 2 2 2 3 2 2" xfId="5619" xr:uid="{00000000-0005-0000-0000-000076CB0000}"/>
    <cellStyle name="Note 3 2 2 2 3 2 2 2" xfId="12891" xr:uid="{00000000-0005-0000-0000-000077CB0000}"/>
    <cellStyle name="Note 3 2 2 2 3 2 2 2 2" xfId="27425" xr:uid="{00000000-0005-0000-0000-000078CB0000}"/>
    <cellStyle name="Note 3 2 2 2 3 2 2 2 2 2" xfId="56431" xr:uid="{00000000-0005-0000-0000-000079CB0000}"/>
    <cellStyle name="Note 3 2 2 2 3 2 2 2 3" xfId="41932" xr:uid="{00000000-0005-0000-0000-00007ACB0000}"/>
    <cellStyle name="Note 3 2 2 2 3 2 2 3" xfId="20177" xr:uid="{00000000-0005-0000-0000-00007BCB0000}"/>
    <cellStyle name="Note 3 2 2 2 3 2 2 3 2" xfId="49183" xr:uid="{00000000-0005-0000-0000-00007CCB0000}"/>
    <cellStyle name="Note 3 2 2 2 3 2 2 4" xfId="34684" xr:uid="{00000000-0005-0000-0000-00007DCB0000}"/>
    <cellStyle name="Note 3 2 2 2 3 2 3" xfId="9787" xr:uid="{00000000-0005-0000-0000-00007ECB0000}"/>
    <cellStyle name="Note 3 2 2 2 3 2 3 2" xfId="24321" xr:uid="{00000000-0005-0000-0000-00007FCB0000}"/>
    <cellStyle name="Note 3 2 2 2 3 2 3 2 2" xfId="53327" xr:uid="{00000000-0005-0000-0000-000080CB0000}"/>
    <cellStyle name="Note 3 2 2 2 3 2 3 3" xfId="38828" xr:uid="{00000000-0005-0000-0000-000081CB0000}"/>
    <cellStyle name="Note 3 2 2 2 3 2 4" xfId="17073" xr:uid="{00000000-0005-0000-0000-000082CB0000}"/>
    <cellStyle name="Note 3 2 2 2 3 2 4 2" xfId="46079" xr:uid="{00000000-0005-0000-0000-000083CB0000}"/>
    <cellStyle name="Note 3 2 2 2 3 2 5" xfId="31580" xr:uid="{00000000-0005-0000-0000-000084CB0000}"/>
    <cellStyle name="Note 3 2 2 2 3 3" xfId="3547" xr:uid="{00000000-0005-0000-0000-000085CB0000}"/>
    <cellStyle name="Note 3 2 2 2 3 3 2" xfId="6651" xr:uid="{00000000-0005-0000-0000-000086CB0000}"/>
    <cellStyle name="Note 3 2 2 2 3 3 2 2" xfId="13923" xr:uid="{00000000-0005-0000-0000-000087CB0000}"/>
    <cellStyle name="Note 3 2 2 2 3 3 2 2 2" xfId="28457" xr:uid="{00000000-0005-0000-0000-000088CB0000}"/>
    <cellStyle name="Note 3 2 2 2 3 3 2 2 2 2" xfId="57463" xr:uid="{00000000-0005-0000-0000-000089CB0000}"/>
    <cellStyle name="Note 3 2 2 2 3 3 2 2 3" xfId="42964" xr:uid="{00000000-0005-0000-0000-00008ACB0000}"/>
    <cellStyle name="Note 3 2 2 2 3 3 2 3" xfId="21209" xr:uid="{00000000-0005-0000-0000-00008BCB0000}"/>
    <cellStyle name="Note 3 2 2 2 3 3 2 3 2" xfId="50215" xr:uid="{00000000-0005-0000-0000-00008CCB0000}"/>
    <cellStyle name="Note 3 2 2 2 3 3 2 4" xfId="35716" xr:uid="{00000000-0005-0000-0000-00008DCB0000}"/>
    <cellStyle name="Note 3 2 2 2 3 3 3" xfId="10819" xr:uid="{00000000-0005-0000-0000-00008ECB0000}"/>
    <cellStyle name="Note 3 2 2 2 3 3 3 2" xfId="25353" xr:uid="{00000000-0005-0000-0000-00008FCB0000}"/>
    <cellStyle name="Note 3 2 2 2 3 3 3 2 2" xfId="54359" xr:uid="{00000000-0005-0000-0000-000090CB0000}"/>
    <cellStyle name="Note 3 2 2 2 3 3 3 3" xfId="39860" xr:uid="{00000000-0005-0000-0000-000091CB0000}"/>
    <cellStyle name="Note 3 2 2 2 3 3 4" xfId="18105" xr:uid="{00000000-0005-0000-0000-000092CB0000}"/>
    <cellStyle name="Note 3 2 2 2 3 3 4 2" xfId="47111" xr:uid="{00000000-0005-0000-0000-000093CB0000}"/>
    <cellStyle name="Note 3 2 2 2 3 3 5" xfId="32612" xr:uid="{00000000-0005-0000-0000-000094CB0000}"/>
    <cellStyle name="Note 3 2 2 2 3 4" xfId="4579" xr:uid="{00000000-0005-0000-0000-000095CB0000}"/>
    <cellStyle name="Note 3 2 2 2 3 4 2" xfId="11851" xr:uid="{00000000-0005-0000-0000-000096CB0000}"/>
    <cellStyle name="Note 3 2 2 2 3 4 2 2" xfId="26385" xr:uid="{00000000-0005-0000-0000-000097CB0000}"/>
    <cellStyle name="Note 3 2 2 2 3 4 2 2 2" xfId="55391" xr:uid="{00000000-0005-0000-0000-000098CB0000}"/>
    <cellStyle name="Note 3 2 2 2 3 4 2 3" xfId="40892" xr:uid="{00000000-0005-0000-0000-000099CB0000}"/>
    <cellStyle name="Note 3 2 2 2 3 4 3" xfId="19137" xr:uid="{00000000-0005-0000-0000-00009ACB0000}"/>
    <cellStyle name="Note 3 2 2 2 3 4 3 2" xfId="48143" xr:uid="{00000000-0005-0000-0000-00009BCB0000}"/>
    <cellStyle name="Note 3 2 2 2 3 4 4" xfId="33644" xr:uid="{00000000-0005-0000-0000-00009CCB0000}"/>
    <cellStyle name="Note 3 2 2 2 3 5" xfId="7683" xr:uid="{00000000-0005-0000-0000-00009DCB0000}"/>
    <cellStyle name="Note 3 2 2 2 3 5 2" xfId="14955" xr:uid="{00000000-0005-0000-0000-00009ECB0000}"/>
    <cellStyle name="Note 3 2 2 2 3 5 2 2" xfId="29489" xr:uid="{00000000-0005-0000-0000-00009FCB0000}"/>
    <cellStyle name="Note 3 2 2 2 3 5 2 2 2" xfId="58495" xr:uid="{00000000-0005-0000-0000-0000A0CB0000}"/>
    <cellStyle name="Note 3 2 2 2 3 5 2 3" xfId="43996" xr:uid="{00000000-0005-0000-0000-0000A1CB0000}"/>
    <cellStyle name="Note 3 2 2 2 3 5 3" xfId="22241" xr:uid="{00000000-0005-0000-0000-0000A2CB0000}"/>
    <cellStyle name="Note 3 2 2 2 3 5 3 2" xfId="51247" xr:uid="{00000000-0005-0000-0000-0000A3CB0000}"/>
    <cellStyle name="Note 3 2 2 2 3 5 4" xfId="36748" xr:uid="{00000000-0005-0000-0000-0000A4CB0000}"/>
    <cellStyle name="Note 3 2 2 2 3 6" xfId="8747" xr:uid="{00000000-0005-0000-0000-0000A5CB0000}"/>
    <cellStyle name="Note 3 2 2 2 3 6 2" xfId="23281" xr:uid="{00000000-0005-0000-0000-0000A6CB0000}"/>
    <cellStyle name="Note 3 2 2 2 3 6 2 2" xfId="52287" xr:uid="{00000000-0005-0000-0000-0000A7CB0000}"/>
    <cellStyle name="Note 3 2 2 2 3 6 3" xfId="37788" xr:uid="{00000000-0005-0000-0000-0000A8CB0000}"/>
    <cellStyle name="Note 3 2 2 2 3 7" xfId="16033" xr:uid="{00000000-0005-0000-0000-0000A9CB0000}"/>
    <cellStyle name="Note 3 2 2 2 3 7 2" xfId="45039" xr:uid="{00000000-0005-0000-0000-0000AACB0000}"/>
    <cellStyle name="Note 3 2 2 2 3 8" xfId="30540" xr:uid="{00000000-0005-0000-0000-0000ABCB0000}"/>
    <cellStyle name="Note 3 2 2 2 4" xfId="2003" xr:uid="{00000000-0005-0000-0000-0000ACCB0000}"/>
    <cellStyle name="Note 3 2 2 2 4 2" xfId="5107" xr:uid="{00000000-0005-0000-0000-0000ADCB0000}"/>
    <cellStyle name="Note 3 2 2 2 4 2 2" xfId="12379" xr:uid="{00000000-0005-0000-0000-0000AECB0000}"/>
    <cellStyle name="Note 3 2 2 2 4 2 2 2" xfId="26913" xr:uid="{00000000-0005-0000-0000-0000AFCB0000}"/>
    <cellStyle name="Note 3 2 2 2 4 2 2 2 2" xfId="55919" xr:uid="{00000000-0005-0000-0000-0000B0CB0000}"/>
    <cellStyle name="Note 3 2 2 2 4 2 2 3" xfId="41420" xr:uid="{00000000-0005-0000-0000-0000B1CB0000}"/>
    <cellStyle name="Note 3 2 2 2 4 2 3" xfId="19665" xr:uid="{00000000-0005-0000-0000-0000B2CB0000}"/>
    <cellStyle name="Note 3 2 2 2 4 2 3 2" xfId="48671" xr:uid="{00000000-0005-0000-0000-0000B3CB0000}"/>
    <cellStyle name="Note 3 2 2 2 4 2 4" xfId="34172" xr:uid="{00000000-0005-0000-0000-0000B4CB0000}"/>
    <cellStyle name="Note 3 2 2 2 4 3" xfId="9275" xr:uid="{00000000-0005-0000-0000-0000B5CB0000}"/>
    <cellStyle name="Note 3 2 2 2 4 3 2" xfId="23809" xr:uid="{00000000-0005-0000-0000-0000B6CB0000}"/>
    <cellStyle name="Note 3 2 2 2 4 3 2 2" xfId="52815" xr:uid="{00000000-0005-0000-0000-0000B7CB0000}"/>
    <cellStyle name="Note 3 2 2 2 4 3 3" xfId="38316" xr:uid="{00000000-0005-0000-0000-0000B8CB0000}"/>
    <cellStyle name="Note 3 2 2 2 4 4" xfId="16561" xr:uid="{00000000-0005-0000-0000-0000B9CB0000}"/>
    <cellStyle name="Note 3 2 2 2 4 4 2" xfId="45567" xr:uid="{00000000-0005-0000-0000-0000BACB0000}"/>
    <cellStyle name="Note 3 2 2 2 4 5" xfId="31068" xr:uid="{00000000-0005-0000-0000-0000BBCB0000}"/>
    <cellStyle name="Note 3 2 2 2 5" xfId="3035" xr:uid="{00000000-0005-0000-0000-0000BCCB0000}"/>
    <cellStyle name="Note 3 2 2 2 5 2" xfId="6139" xr:uid="{00000000-0005-0000-0000-0000BDCB0000}"/>
    <cellStyle name="Note 3 2 2 2 5 2 2" xfId="13411" xr:uid="{00000000-0005-0000-0000-0000BECB0000}"/>
    <cellStyle name="Note 3 2 2 2 5 2 2 2" xfId="27945" xr:uid="{00000000-0005-0000-0000-0000BFCB0000}"/>
    <cellStyle name="Note 3 2 2 2 5 2 2 2 2" xfId="56951" xr:uid="{00000000-0005-0000-0000-0000C0CB0000}"/>
    <cellStyle name="Note 3 2 2 2 5 2 2 3" xfId="42452" xr:uid="{00000000-0005-0000-0000-0000C1CB0000}"/>
    <cellStyle name="Note 3 2 2 2 5 2 3" xfId="20697" xr:uid="{00000000-0005-0000-0000-0000C2CB0000}"/>
    <cellStyle name="Note 3 2 2 2 5 2 3 2" xfId="49703" xr:uid="{00000000-0005-0000-0000-0000C3CB0000}"/>
    <cellStyle name="Note 3 2 2 2 5 2 4" xfId="35204" xr:uid="{00000000-0005-0000-0000-0000C4CB0000}"/>
    <cellStyle name="Note 3 2 2 2 5 3" xfId="10307" xr:uid="{00000000-0005-0000-0000-0000C5CB0000}"/>
    <cellStyle name="Note 3 2 2 2 5 3 2" xfId="24841" xr:uid="{00000000-0005-0000-0000-0000C6CB0000}"/>
    <cellStyle name="Note 3 2 2 2 5 3 2 2" xfId="53847" xr:uid="{00000000-0005-0000-0000-0000C7CB0000}"/>
    <cellStyle name="Note 3 2 2 2 5 3 3" xfId="39348" xr:uid="{00000000-0005-0000-0000-0000C8CB0000}"/>
    <cellStyle name="Note 3 2 2 2 5 4" xfId="17593" xr:uid="{00000000-0005-0000-0000-0000C9CB0000}"/>
    <cellStyle name="Note 3 2 2 2 5 4 2" xfId="46599" xr:uid="{00000000-0005-0000-0000-0000CACB0000}"/>
    <cellStyle name="Note 3 2 2 2 5 5" xfId="32100" xr:uid="{00000000-0005-0000-0000-0000CBCB0000}"/>
    <cellStyle name="Note 3 2 2 2 6" xfId="4067" xr:uid="{00000000-0005-0000-0000-0000CCCB0000}"/>
    <cellStyle name="Note 3 2 2 2 6 2" xfId="11339" xr:uid="{00000000-0005-0000-0000-0000CDCB0000}"/>
    <cellStyle name="Note 3 2 2 2 6 2 2" xfId="25873" xr:uid="{00000000-0005-0000-0000-0000CECB0000}"/>
    <cellStyle name="Note 3 2 2 2 6 2 2 2" xfId="54879" xr:uid="{00000000-0005-0000-0000-0000CFCB0000}"/>
    <cellStyle name="Note 3 2 2 2 6 2 3" xfId="40380" xr:uid="{00000000-0005-0000-0000-0000D0CB0000}"/>
    <cellStyle name="Note 3 2 2 2 6 3" xfId="18625" xr:uid="{00000000-0005-0000-0000-0000D1CB0000}"/>
    <cellStyle name="Note 3 2 2 2 6 3 2" xfId="47631" xr:uid="{00000000-0005-0000-0000-0000D2CB0000}"/>
    <cellStyle name="Note 3 2 2 2 6 4" xfId="33132" xr:uid="{00000000-0005-0000-0000-0000D3CB0000}"/>
    <cellStyle name="Note 3 2 2 2 7" xfId="7171" xr:uid="{00000000-0005-0000-0000-0000D4CB0000}"/>
    <cellStyle name="Note 3 2 2 2 7 2" xfId="14443" xr:uid="{00000000-0005-0000-0000-0000D5CB0000}"/>
    <cellStyle name="Note 3 2 2 2 7 2 2" xfId="28977" xr:uid="{00000000-0005-0000-0000-0000D6CB0000}"/>
    <cellStyle name="Note 3 2 2 2 7 2 2 2" xfId="57983" xr:uid="{00000000-0005-0000-0000-0000D7CB0000}"/>
    <cellStyle name="Note 3 2 2 2 7 2 3" xfId="43484" xr:uid="{00000000-0005-0000-0000-0000D8CB0000}"/>
    <cellStyle name="Note 3 2 2 2 7 3" xfId="21729" xr:uid="{00000000-0005-0000-0000-0000D9CB0000}"/>
    <cellStyle name="Note 3 2 2 2 7 3 2" xfId="50735" xr:uid="{00000000-0005-0000-0000-0000DACB0000}"/>
    <cellStyle name="Note 3 2 2 2 7 4" xfId="36236" xr:uid="{00000000-0005-0000-0000-0000DBCB0000}"/>
    <cellStyle name="Note 3 2 2 2 8" xfId="8235" xr:uid="{00000000-0005-0000-0000-0000DCCB0000}"/>
    <cellStyle name="Note 3 2 2 2 8 2" xfId="22769" xr:uid="{00000000-0005-0000-0000-0000DDCB0000}"/>
    <cellStyle name="Note 3 2 2 2 8 2 2" xfId="51775" xr:uid="{00000000-0005-0000-0000-0000DECB0000}"/>
    <cellStyle name="Note 3 2 2 2 8 3" xfId="37276" xr:uid="{00000000-0005-0000-0000-0000DFCB0000}"/>
    <cellStyle name="Note 3 2 2 2 9" xfId="15521" xr:uid="{00000000-0005-0000-0000-0000E0CB0000}"/>
    <cellStyle name="Note 3 2 2 2 9 2" xfId="44527" xr:uid="{00000000-0005-0000-0000-0000E1CB0000}"/>
    <cellStyle name="Note 3 2 2 3" xfId="1160" xr:uid="{00000000-0005-0000-0000-0000E2CB0000}"/>
    <cellStyle name="Note 3 2 2 3 2" xfId="1659" xr:uid="{00000000-0005-0000-0000-0000E3CB0000}"/>
    <cellStyle name="Note 3 2 2 3 2 2" xfId="2718" xr:uid="{00000000-0005-0000-0000-0000E4CB0000}"/>
    <cellStyle name="Note 3 2 2 3 2 2 2" xfId="5822" xr:uid="{00000000-0005-0000-0000-0000E5CB0000}"/>
    <cellStyle name="Note 3 2 2 3 2 2 2 2" xfId="13094" xr:uid="{00000000-0005-0000-0000-0000E6CB0000}"/>
    <cellStyle name="Note 3 2 2 3 2 2 2 2 2" xfId="27628" xr:uid="{00000000-0005-0000-0000-0000E7CB0000}"/>
    <cellStyle name="Note 3 2 2 3 2 2 2 2 2 2" xfId="56634" xr:uid="{00000000-0005-0000-0000-0000E8CB0000}"/>
    <cellStyle name="Note 3 2 2 3 2 2 2 2 3" xfId="42135" xr:uid="{00000000-0005-0000-0000-0000E9CB0000}"/>
    <cellStyle name="Note 3 2 2 3 2 2 2 3" xfId="20380" xr:uid="{00000000-0005-0000-0000-0000EACB0000}"/>
    <cellStyle name="Note 3 2 2 3 2 2 2 3 2" xfId="49386" xr:uid="{00000000-0005-0000-0000-0000EBCB0000}"/>
    <cellStyle name="Note 3 2 2 3 2 2 2 4" xfId="34887" xr:uid="{00000000-0005-0000-0000-0000ECCB0000}"/>
    <cellStyle name="Note 3 2 2 3 2 2 3" xfId="9990" xr:uid="{00000000-0005-0000-0000-0000EDCB0000}"/>
    <cellStyle name="Note 3 2 2 3 2 2 3 2" xfId="24524" xr:uid="{00000000-0005-0000-0000-0000EECB0000}"/>
    <cellStyle name="Note 3 2 2 3 2 2 3 2 2" xfId="53530" xr:uid="{00000000-0005-0000-0000-0000EFCB0000}"/>
    <cellStyle name="Note 3 2 2 3 2 2 3 3" xfId="39031" xr:uid="{00000000-0005-0000-0000-0000F0CB0000}"/>
    <cellStyle name="Note 3 2 2 3 2 2 4" xfId="17276" xr:uid="{00000000-0005-0000-0000-0000F1CB0000}"/>
    <cellStyle name="Note 3 2 2 3 2 2 4 2" xfId="46282" xr:uid="{00000000-0005-0000-0000-0000F2CB0000}"/>
    <cellStyle name="Note 3 2 2 3 2 2 5" xfId="31783" xr:uid="{00000000-0005-0000-0000-0000F3CB0000}"/>
    <cellStyle name="Note 3 2 2 3 2 3" xfId="3750" xr:uid="{00000000-0005-0000-0000-0000F4CB0000}"/>
    <cellStyle name="Note 3 2 2 3 2 3 2" xfId="6854" xr:uid="{00000000-0005-0000-0000-0000F5CB0000}"/>
    <cellStyle name="Note 3 2 2 3 2 3 2 2" xfId="14126" xr:uid="{00000000-0005-0000-0000-0000F6CB0000}"/>
    <cellStyle name="Note 3 2 2 3 2 3 2 2 2" xfId="28660" xr:uid="{00000000-0005-0000-0000-0000F7CB0000}"/>
    <cellStyle name="Note 3 2 2 3 2 3 2 2 2 2" xfId="57666" xr:uid="{00000000-0005-0000-0000-0000F8CB0000}"/>
    <cellStyle name="Note 3 2 2 3 2 3 2 2 3" xfId="43167" xr:uid="{00000000-0005-0000-0000-0000F9CB0000}"/>
    <cellStyle name="Note 3 2 2 3 2 3 2 3" xfId="21412" xr:uid="{00000000-0005-0000-0000-0000FACB0000}"/>
    <cellStyle name="Note 3 2 2 3 2 3 2 3 2" xfId="50418" xr:uid="{00000000-0005-0000-0000-0000FBCB0000}"/>
    <cellStyle name="Note 3 2 2 3 2 3 2 4" xfId="35919" xr:uid="{00000000-0005-0000-0000-0000FCCB0000}"/>
    <cellStyle name="Note 3 2 2 3 2 3 3" xfId="11022" xr:uid="{00000000-0005-0000-0000-0000FDCB0000}"/>
    <cellStyle name="Note 3 2 2 3 2 3 3 2" xfId="25556" xr:uid="{00000000-0005-0000-0000-0000FECB0000}"/>
    <cellStyle name="Note 3 2 2 3 2 3 3 2 2" xfId="54562" xr:uid="{00000000-0005-0000-0000-0000FFCB0000}"/>
    <cellStyle name="Note 3 2 2 3 2 3 3 3" xfId="40063" xr:uid="{00000000-0005-0000-0000-000000CC0000}"/>
    <cellStyle name="Note 3 2 2 3 2 3 4" xfId="18308" xr:uid="{00000000-0005-0000-0000-000001CC0000}"/>
    <cellStyle name="Note 3 2 2 3 2 3 4 2" xfId="47314" xr:uid="{00000000-0005-0000-0000-000002CC0000}"/>
    <cellStyle name="Note 3 2 2 3 2 3 5" xfId="32815" xr:uid="{00000000-0005-0000-0000-000003CC0000}"/>
    <cellStyle name="Note 3 2 2 3 2 4" xfId="4782" xr:uid="{00000000-0005-0000-0000-000004CC0000}"/>
    <cellStyle name="Note 3 2 2 3 2 4 2" xfId="12054" xr:uid="{00000000-0005-0000-0000-000005CC0000}"/>
    <cellStyle name="Note 3 2 2 3 2 4 2 2" xfId="26588" xr:uid="{00000000-0005-0000-0000-000006CC0000}"/>
    <cellStyle name="Note 3 2 2 3 2 4 2 2 2" xfId="55594" xr:uid="{00000000-0005-0000-0000-000007CC0000}"/>
    <cellStyle name="Note 3 2 2 3 2 4 2 3" xfId="41095" xr:uid="{00000000-0005-0000-0000-000008CC0000}"/>
    <cellStyle name="Note 3 2 2 3 2 4 3" xfId="19340" xr:uid="{00000000-0005-0000-0000-000009CC0000}"/>
    <cellStyle name="Note 3 2 2 3 2 4 3 2" xfId="48346" xr:uid="{00000000-0005-0000-0000-00000ACC0000}"/>
    <cellStyle name="Note 3 2 2 3 2 4 4" xfId="33847" xr:uid="{00000000-0005-0000-0000-00000BCC0000}"/>
    <cellStyle name="Note 3 2 2 3 2 5" xfId="7886" xr:uid="{00000000-0005-0000-0000-00000CCC0000}"/>
    <cellStyle name="Note 3 2 2 3 2 5 2" xfId="15158" xr:uid="{00000000-0005-0000-0000-00000DCC0000}"/>
    <cellStyle name="Note 3 2 2 3 2 5 2 2" xfId="29692" xr:uid="{00000000-0005-0000-0000-00000ECC0000}"/>
    <cellStyle name="Note 3 2 2 3 2 5 2 2 2" xfId="58698" xr:uid="{00000000-0005-0000-0000-00000FCC0000}"/>
    <cellStyle name="Note 3 2 2 3 2 5 2 3" xfId="44199" xr:uid="{00000000-0005-0000-0000-000010CC0000}"/>
    <cellStyle name="Note 3 2 2 3 2 5 3" xfId="22444" xr:uid="{00000000-0005-0000-0000-000011CC0000}"/>
    <cellStyle name="Note 3 2 2 3 2 5 3 2" xfId="51450" xr:uid="{00000000-0005-0000-0000-000012CC0000}"/>
    <cellStyle name="Note 3 2 2 3 2 5 4" xfId="36951" xr:uid="{00000000-0005-0000-0000-000013CC0000}"/>
    <cellStyle name="Note 3 2 2 3 2 6" xfId="8950" xr:uid="{00000000-0005-0000-0000-000014CC0000}"/>
    <cellStyle name="Note 3 2 2 3 2 6 2" xfId="23484" xr:uid="{00000000-0005-0000-0000-000015CC0000}"/>
    <cellStyle name="Note 3 2 2 3 2 6 2 2" xfId="52490" xr:uid="{00000000-0005-0000-0000-000016CC0000}"/>
    <cellStyle name="Note 3 2 2 3 2 6 3" xfId="37991" xr:uid="{00000000-0005-0000-0000-000017CC0000}"/>
    <cellStyle name="Note 3 2 2 3 2 7" xfId="16236" xr:uid="{00000000-0005-0000-0000-000018CC0000}"/>
    <cellStyle name="Note 3 2 2 3 2 7 2" xfId="45242" xr:uid="{00000000-0005-0000-0000-000019CC0000}"/>
    <cellStyle name="Note 3 2 2 3 2 8" xfId="30743" xr:uid="{00000000-0005-0000-0000-00001ACC0000}"/>
    <cellStyle name="Note 3 2 2 3 3" xfId="2206" xr:uid="{00000000-0005-0000-0000-00001BCC0000}"/>
    <cellStyle name="Note 3 2 2 3 3 2" xfId="5310" xr:uid="{00000000-0005-0000-0000-00001CCC0000}"/>
    <cellStyle name="Note 3 2 2 3 3 2 2" xfId="12582" xr:uid="{00000000-0005-0000-0000-00001DCC0000}"/>
    <cellStyle name="Note 3 2 2 3 3 2 2 2" xfId="27116" xr:uid="{00000000-0005-0000-0000-00001ECC0000}"/>
    <cellStyle name="Note 3 2 2 3 3 2 2 2 2" xfId="56122" xr:uid="{00000000-0005-0000-0000-00001FCC0000}"/>
    <cellStyle name="Note 3 2 2 3 3 2 2 3" xfId="41623" xr:uid="{00000000-0005-0000-0000-000020CC0000}"/>
    <cellStyle name="Note 3 2 2 3 3 2 3" xfId="19868" xr:uid="{00000000-0005-0000-0000-000021CC0000}"/>
    <cellStyle name="Note 3 2 2 3 3 2 3 2" xfId="48874" xr:uid="{00000000-0005-0000-0000-000022CC0000}"/>
    <cellStyle name="Note 3 2 2 3 3 2 4" xfId="34375" xr:uid="{00000000-0005-0000-0000-000023CC0000}"/>
    <cellStyle name="Note 3 2 2 3 3 3" xfId="9478" xr:uid="{00000000-0005-0000-0000-000024CC0000}"/>
    <cellStyle name="Note 3 2 2 3 3 3 2" xfId="24012" xr:uid="{00000000-0005-0000-0000-000025CC0000}"/>
    <cellStyle name="Note 3 2 2 3 3 3 2 2" xfId="53018" xr:uid="{00000000-0005-0000-0000-000026CC0000}"/>
    <cellStyle name="Note 3 2 2 3 3 3 3" xfId="38519" xr:uid="{00000000-0005-0000-0000-000027CC0000}"/>
    <cellStyle name="Note 3 2 2 3 3 4" xfId="16764" xr:uid="{00000000-0005-0000-0000-000028CC0000}"/>
    <cellStyle name="Note 3 2 2 3 3 4 2" xfId="45770" xr:uid="{00000000-0005-0000-0000-000029CC0000}"/>
    <cellStyle name="Note 3 2 2 3 3 5" xfId="31271" xr:uid="{00000000-0005-0000-0000-00002ACC0000}"/>
    <cellStyle name="Note 3 2 2 3 4" xfId="3238" xr:uid="{00000000-0005-0000-0000-00002BCC0000}"/>
    <cellStyle name="Note 3 2 2 3 4 2" xfId="6342" xr:uid="{00000000-0005-0000-0000-00002CCC0000}"/>
    <cellStyle name="Note 3 2 2 3 4 2 2" xfId="13614" xr:uid="{00000000-0005-0000-0000-00002DCC0000}"/>
    <cellStyle name="Note 3 2 2 3 4 2 2 2" xfId="28148" xr:uid="{00000000-0005-0000-0000-00002ECC0000}"/>
    <cellStyle name="Note 3 2 2 3 4 2 2 2 2" xfId="57154" xr:uid="{00000000-0005-0000-0000-00002FCC0000}"/>
    <cellStyle name="Note 3 2 2 3 4 2 2 3" xfId="42655" xr:uid="{00000000-0005-0000-0000-000030CC0000}"/>
    <cellStyle name="Note 3 2 2 3 4 2 3" xfId="20900" xr:uid="{00000000-0005-0000-0000-000031CC0000}"/>
    <cellStyle name="Note 3 2 2 3 4 2 3 2" xfId="49906" xr:uid="{00000000-0005-0000-0000-000032CC0000}"/>
    <cellStyle name="Note 3 2 2 3 4 2 4" xfId="35407" xr:uid="{00000000-0005-0000-0000-000033CC0000}"/>
    <cellStyle name="Note 3 2 2 3 4 3" xfId="10510" xr:uid="{00000000-0005-0000-0000-000034CC0000}"/>
    <cellStyle name="Note 3 2 2 3 4 3 2" xfId="25044" xr:uid="{00000000-0005-0000-0000-000035CC0000}"/>
    <cellStyle name="Note 3 2 2 3 4 3 2 2" xfId="54050" xr:uid="{00000000-0005-0000-0000-000036CC0000}"/>
    <cellStyle name="Note 3 2 2 3 4 3 3" xfId="39551" xr:uid="{00000000-0005-0000-0000-000037CC0000}"/>
    <cellStyle name="Note 3 2 2 3 4 4" xfId="17796" xr:uid="{00000000-0005-0000-0000-000038CC0000}"/>
    <cellStyle name="Note 3 2 2 3 4 4 2" xfId="46802" xr:uid="{00000000-0005-0000-0000-000039CC0000}"/>
    <cellStyle name="Note 3 2 2 3 4 5" xfId="32303" xr:uid="{00000000-0005-0000-0000-00003ACC0000}"/>
    <cellStyle name="Note 3 2 2 3 5" xfId="4270" xr:uid="{00000000-0005-0000-0000-00003BCC0000}"/>
    <cellStyle name="Note 3 2 2 3 5 2" xfId="11542" xr:uid="{00000000-0005-0000-0000-00003CCC0000}"/>
    <cellStyle name="Note 3 2 2 3 5 2 2" xfId="26076" xr:uid="{00000000-0005-0000-0000-00003DCC0000}"/>
    <cellStyle name="Note 3 2 2 3 5 2 2 2" xfId="55082" xr:uid="{00000000-0005-0000-0000-00003ECC0000}"/>
    <cellStyle name="Note 3 2 2 3 5 2 3" xfId="40583" xr:uid="{00000000-0005-0000-0000-00003FCC0000}"/>
    <cellStyle name="Note 3 2 2 3 5 3" xfId="18828" xr:uid="{00000000-0005-0000-0000-000040CC0000}"/>
    <cellStyle name="Note 3 2 2 3 5 3 2" xfId="47834" xr:uid="{00000000-0005-0000-0000-000041CC0000}"/>
    <cellStyle name="Note 3 2 2 3 5 4" xfId="33335" xr:uid="{00000000-0005-0000-0000-000042CC0000}"/>
    <cellStyle name="Note 3 2 2 3 6" xfId="7374" xr:uid="{00000000-0005-0000-0000-000043CC0000}"/>
    <cellStyle name="Note 3 2 2 3 6 2" xfId="14646" xr:uid="{00000000-0005-0000-0000-000044CC0000}"/>
    <cellStyle name="Note 3 2 2 3 6 2 2" xfId="29180" xr:uid="{00000000-0005-0000-0000-000045CC0000}"/>
    <cellStyle name="Note 3 2 2 3 6 2 2 2" xfId="58186" xr:uid="{00000000-0005-0000-0000-000046CC0000}"/>
    <cellStyle name="Note 3 2 2 3 6 2 3" xfId="43687" xr:uid="{00000000-0005-0000-0000-000047CC0000}"/>
    <cellStyle name="Note 3 2 2 3 6 3" xfId="21932" xr:uid="{00000000-0005-0000-0000-000048CC0000}"/>
    <cellStyle name="Note 3 2 2 3 6 3 2" xfId="50938" xr:uid="{00000000-0005-0000-0000-000049CC0000}"/>
    <cellStyle name="Note 3 2 2 3 6 4" xfId="36439" xr:uid="{00000000-0005-0000-0000-00004ACC0000}"/>
    <cellStyle name="Note 3 2 2 3 7" xfId="8438" xr:uid="{00000000-0005-0000-0000-00004BCC0000}"/>
    <cellStyle name="Note 3 2 2 3 7 2" xfId="22972" xr:uid="{00000000-0005-0000-0000-00004CCC0000}"/>
    <cellStyle name="Note 3 2 2 3 7 2 2" xfId="51978" xr:uid="{00000000-0005-0000-0000-00004DCC0000}"/>
    <cellStyle name="Note 3 2 2 3 7 3" xfId="37479" xr:uid="{00000000-0005-0000-0000-00004ECC0000}"/>
    <cellStyle name="Note 3 2 2 3 8" xfId="15724" xr:uid="{00000000-0005-0000-0000-00004FCC0000}"/>
    <cellStyle name="Note 3 2 2 3 8 2" xfId="44730" xr:uid="{00000000-0005-0000-0000-000050CC0000}"/>
    <cellStyle name="Note 3 2 2 3 9" xfId="30231" xr:uid="{00000000-0005-0000-0000-000051CC0000}"/>
    <cellStyle name="Note 3 2 2 4" xfId="1069" xr:uid="{00000000-0005-0000-0000-000052CC0000}"/>
    <cellStyle name="Note 3 2 2 4 2" xfId="1560" xr:uid="{00000000-0005-0000-0000-000053CC0000}"/>
    <cellStyle name="Note 3 2 2 4 2 2" xfId="2618" xr:uid="{00000000-0005-0000-0000-000054CC0000}"/>
    <cellStyle name="Note 3 2 2 4 2 2 2" xfId="5722" xr:uid="{00000000-0005-0000-0000-000055CC0000}"/>
    <cellStyle name="Note 3 2 2 4 2 2 2 2" xfId="12994" xr:uid="{00000000-0005-0000-0000-000056CC0000}"/>
    <cellStyle name="Note 3 2 2 4 2 2 2 2 2" xfId="27528" xr:uid="{00000000-0005-0000-0000-000057CC0000}"/>
    <cellStyle name="Note 3 2 2 4 2 2 2 2 2 2" xfId="56534" xr:uid="{00000000-0005-0000-0000-000058CC0000}"/>
    <cellStyle name="Note 3 2 2 4 2 2 2 2 3" xfId="42035" xr:uid="{00000000-0005-0000-0000-000059CC0000}"/>
    <cellStyle name="Note 3 2 2 4 2 2 2 3" xfId="20280" xr:uid="{00000000-0005-0000-0000-00005ACC0000}"/>
    <cellStyle name="Note 3 2 2 4 2 2 2 3 2" xfId="49286" xr:uid="{00000000-0005-0000-0000-00005BCC0000}"/>
    <cellStyle name="Note 3 2 2 4 2 2 2 4" xfId="34787" xr:uid="{00000000-0005-0000-0000-00005CCC0000}"/>
    <cellStyle name="Note 3 2 2 4 2 2 3" xfId="9890" xr:uid="{00000000-0005-0000-0000-00005DCC0000}"/>
    <cellStyle name="Note 3 2 2 4 2 2 3 2" xfId="24424" xr:uid="{00000000-0005-0000-0000-00005ECC0000}"/>
    <cellStyle name="Note 3 2 2 4 2 2 3 2 2" xfId="53430" xr:uid="{00000000-0005-0000-0000-00005FCC0000}"/>
    <cellStyle name="Note 3 2 2 4 2 2 3 3" xfId="38931" xr:uid="{00000000-0005-0000-0000-000060CC0000}"/>
    <cellStyle name="Note 3 2 2 4 2 2 4" xfId="17176" xr:uid="{00000000-0005-0000-0000-000061CC0000}"/>
    <cellStyle name="Note 3 2 2 4 2 2 4 2" xfId="46182" xr:uid="{00000000-0005-0000-0000-000062CC0000}"/>
    <cellStyle name="Note 3 2 2 4 2 2 5" xfId="31683" xr:uid="{00000000-0005-0000-0000-000063CC0000}"/>
    <cellStyle name="Note 3 2 2 4 2 3" xfId="3650" xr:uid="{00000000-0005-0000-0000-000064CC0000}"/>
    <cellStyle name="Note 3 2 2 4 2 3 2" xfId="6754" xr:uid="{00000000-0005-0000-0000-000065CC0000}"/>
    <cellStyle name="Note 3 2 2 4 2 3 2 2" xfId="14026" xr:uid="{00000000-0005-0000-0000-000066CC0000}"/>
    <cellStyle name="Note 3 2 2 4 2 3 2 2 2" xfId="28560" xr:uid="{00000000-0005-0000-0000-000067CC0000}"/>
    <cellStyle name="Note 3 2 2 4 2 3 2 2 2 2" xfId="57566" xr:uid="{00000000-0005-0000-0000-000068CC0000}"/>
    <cellStyle name="Note 3 2 2 4 2 3 2 2 3" xfId="43067" xr:uid="{00000000-0005-0000-0000-000069CC0000}"/>
    <cellStyle name="Note 3 2 2 4 2 3 2 3" xfId="21312" xr:uid="{00000000-0005-0000-0000-00006ACC0000}"/>
    <cellStyle name="Note 3 2 2 4 2 3 2 3 2" xfId="50318" xr:uid="{00000000-0005-0000-0000-00006BCC0000}"/>
    <cellStyle name="Note 3 2 2 4 2 3 2 4" xfId="35819" xr:uid="{00000000-0005-0000-0000-00006CCC0000}"/>
    <cellStyle name="Note 3 2 2 4 2 3 3" xfId="10922" xr:uid="{00000000-0005-0000-0000-00006DCC0000}"/>
    <cellStyle name="Note 3 2 2 4 2 3 3 2" xfId="25456" xr:uid="{00000000-0005-0000-0000-00006ECC0000}"/>
    <cellStyle name="Note 3 2 2 4 2 3 3 2 2" xfId="54462" xr:uid="{00000000-0005-0000-0000-00006FCC0000}"/>
    <cellStyle name="Note 3 2 2 4 2 3 3 3" xfId="39963" xr:uid="{00000000-0005-0000-0000-000070CC0000}"/>
    <cellStyle name="Note 3 2 2 4 2 3 4" xfId="18208" xr:uid="{00000000-0005-0000-0000-000071CC0000}"/>
    <cellStyle name="Note 3 2 2 4 2 3 4 2" xfId="47214" xr:uid="{00000000-0005-0000-0000-000072CC0000}"/>
    <cellStyle name="Note 3 2 2 4 2 3 5" xfId="32715" xr:uid="{00000000-0005-0000-0000-000073CC0000}"/>
    <cellStyle name="Note 3 2 2 4 2 4" xfId="4682" xr:uid="{00000000-0005-0000-0000-000074CC0000}"/>
    <cellStyle name="Note 3 2 2 4 2 4 2" xfId="11954" xr:uid="{00000000-0005-0000-0000-000075CC0000}"/>
    <cellStyle name="Note 3 2 2 4 2 4 2 2" xfId="26488" xr:uid="{00000000-0005-0000-0000-000076CC0000}"/>
    <cellStyle name="Note 3 2 2 4 2 4 2 2 2" xfId="55494" xr:uid="{00000000-0005-0000-0000-000077CC0000}"/>
    <cellStyle name="Note 3 2 2 4 2 4 2 3" xfId="40995" xr:uid="{00000000-0005-0000-0000-000078CC0000}"/>
    <cellStyle name="Note 3 2 2 4 2 4 3" xfId="19240" xr:uid="{00000000-0005-0000-0000-000079CC0000}"/>
    <cellStyle name="Note 3 2 2 4 2 4 3 2" xfId="48246" xr:uid="{00000000-0005-0000-0000-00007ACC0000}"/>
    <cellStyle name="Note 3 2 2 4 2 4 4" xfId="33747" xr:uid="{00000000-0005-0000-0000-00007BCC0000}"/>
    <cellStyle name="Note 3 2 2 4 2 5" xfId="7786" xr:uid="{00000000-0005-0000-0000-00007CCC0000}"/>
    <cellStyle name="Note 3 2 2 4 2 5 2" xfId="15058" xr:uid="{00000000-0005-0000-0000-00007DCC0000}"/>
    <cellStyle name="Note 3 2 2 4 2 5 2 2" xfId="29592" xr:uid="{00000000-0005-0000-0000-00007ECC0000}"/>
    <cellStyle name="Note 3 2 2 4 2 5 2 2 2" xfId="58598" xr:uid="{00000000-0005-0000-0000-00007FCC0000}"/>
    <cellStyle name="Note 3 2 2 4 2 5 2 3" xfId="44099" xr:uid="{00000000-0005-0000-0000-000080CC0000}"/>
    <cellStyle name="Note 3 2 2 4 2 5 3" xfId="22344" xr:uid="{00000000-0005-0000-0000-000081CC0000}"/>
    <cellStyle name="Note 3 2 2 4 2 5 3 2" xfId="51350" xr:uid="{00000000-0005-0000-0000-000082CC0000}"/>
    <cellStyle name="Note 3 2 2 4 2 5 4" xfId="36851" xr:uid="{00000000-0005-0000-0000-000083CC0000}"/>
    <cellStyle name="Note 3 2 2 4 2 6" xfId="8850" xr:uid="{00000000-0005-0000-0000-000084CC0000}"/>
    <cellStyle name="Note 3 2 2 4 2 6 2" xfId="23384" xr:uid="{00000000-0005-0000-0000-000085CC0000}"/>
    <cellStyle name="Note 3 2 2 4 2 6 2 2" xfId="52390" xr:uid="{00000000-0005-0000-0000-000086CC0000}"/>
    <cellStyle name="Note 3 2 2 4 2 6 3" xfId="37891" xr:uid="{00000000-0005-0000-0000-000087CC0000}"/>
    <cellStyle name="Note 3 2 2 4 2 7" xfId="16136" xr:uid="{00000000-0005-0000-0000-000088CC0000}"/>
    <cellStyle name="Note 3 2 2 4 2 7 2" xfId="45142" xr:uid="{00000000-0005-0000-0000-000089CC0000}"/>
    <cellStyle name="Note 3 2 2 4 2 8" xfId="30643" xr:uid="{00000000-0005-0000-0000-00008ACC0000}"/>
    <cellStyle name="Note 3 2 2 4 3" xfId="2106" xr:uid="{00000000-0005-0000-0000-00008BCC0000}"/>
    <cellStyle name="Note 3 2 2 4 3 2" xfId="5210" xr:uid="{00000000-0005-0000-0000-00008CCC0000}"/>
    <cellStyle name="Note 3 2 2 4 3 2 2" xfId="12482" xr:uid="{00000000-0005-0000-0000-00008DCC0000}"/>
    <cellStyle name="Note 3 2 2 4 3 2 2 2" xfId="27016" xr:uid="{00000000-0005-0000-0000-00008ECC0000}"/>
    <cellStyle name="Note 3 2 2 4 3 2 2 2 2" xfId="56022" xr:uid="{00000000-0005-0000-0000-00008FCC0000}"/>
    <cellStyle name="Note 3 2 2 4 3 2 2 3" xfId="41523" xr:uid="{00000000-0005-0000-0000-000090CC0000}"/>
    <cellStyle name="Note 3 2 2 4 3 2 3" xfId="19768" xr:uid="{00000000-0005-0000-0000-000091CC0000}"/>
    <cellStyle name="Note 3 2 2 4 3 2 3 2" xfId="48774" xr:uid="{00000000-0005-0000-0000-000092CC0000}"/>
    <cellStyle name="Note 3 2 2 4 3 2 4" xfId="34275" xr:uid="{00000000-0005-0000-0000-000093CC0000}"/>
    <cellStyle name="Note 3 2 2 4 3 3" xfId="9378" xr:uid="{00000000-0005-0000-0000-000094CC0000}"/>
    <cellStyle name="Note 3 2 2 4 3 3 2" xfId="23912" xr:uid="{00000000-0005-0000-0000-000095CC0000}"/>
    <cellStyle name="Note 3 2 2 4 3 3 2 2" xfId="52918" xr:uid="{00000000-0005-0000-0000-000096CC0000}"/>
    <cellStyle name="Note 3 2 2 4 3 3 3" xfId="38419" xr:uid="{00000000-0005-0000-0000-000097CC0000}"/>
    <cellStyle name="Note 3 2 2 4 3 4" xfId="16664" xr:uid="{00000000-0005-0000-0000-000098CC0000}"/>
    <cellStyle name="Note 3 2 2 4 3 4 2" xfId="45670" xr:uid="{00000000-0005-0000-0000-000099CC0000}"/>
    <cellStyle name="Note 3 2 2 4 3 5" xfId="31171" xr:uid="{00000000-0005-0000-0000-00009ACC0000}"/>
    <cellStyle name="Note 3 2 2 4 4" xfId="3138" xr:uid="{00000000-0005-0000-0000-00009BCC0000}"/>
    <cellStyle name="Note 3 2 2 4 4 2" xfId="6242" xr:uid="{00000000-0005-0000-0000-00009CCC0000}"/>
    <cellStyle name="Note 3 2 2 4 4 2 2" xfId="13514" xr:uid="{00000000-0005-0000-0000-00009DCC0000}"/>
    <cellStyle name="Note 3 2 2 4 4 2 2 2" xfId="28048" xr:uid="{00000000-0005-0000-0000-00009ECC0000}"/>
    <cellStyle name="Note 3 2 2 4 4 2 2 2 2" xfId="57054" xr:uid="{00000000-0005-0000-0000-00009FCC0000}"/>
    <cellStyle name="Note 3 2 2 4 4 2 2 3" xfId="42555" xr:uid="{00000000-0005-0000-0000-0000A0CC0000}"/>
    <cellStyle name="Note 3 2 2 4 4 2 3" xfId="20800" xr:uid="{00000000-0005-0000-0000-0000A1CC0000}"/>
    <cellStyle name="Note 3 2 2 4 4 2 3 2" xfId="49806" xr:uid="{00000000-0005-0000-0000-0000A2CC0000}"/>
    <cellStyle name="Note 3 2 2 4 4 2 4" xfId="35307" xr:uid="{00000000-0005-0000-0000-0000A3CC0000}"/>
    <cellStyle name="Note 3 2 2 4 4 3" xfId="10410" xr:uid="{00000000-0005-0000-0000-0000A4CC0000}"/>
    <cellStyle name="Note 3 2 2 4 4 3 2" xfId="24944" xr:uid="{00000000-0005-0000-0000-0000A5CC0000}"/>
    <cellStyle name="Note 3 2 2 4 4 3 2 2" xfId="53950" xr:uid="{00000000-0005-0000-0000-0000A6CC0000}"/>
    <cellStyle name="Note 3 2 2 4 4 3 3" xfId="39451" xr:uid="{00000000-0005-0000-0000-0000A7CC0000}"/>
    <cellStyle name="Note 3 2 2 4 4 4" xfId="17696" xr:uid="{00000000-0005-0000-0000-0000A8CC0000}"/>
    <cellStyle name="Note 3 2 2 4 4 4 2" xfId="46702" xr:uid="{00000000-0005-0000-0000-0000A9CC0000}"/>
    <cellStyle name="Note 3 2 2 4 4 5" xfId="32203" xr:uid="{00000000-0005-0000-0000-0000AACC0000}"/>
    <cellStyle name="Note 3 2 2 4 5" xfId="4170" xr:uid="{00000000-0005-0000-0000-0000ABCC0000}"/>
    <cellStyle name="Note 3 2 2 4 5 2" xfId="11442" xr:uid="{00000000-0005-0000-0000-0000ACCC0000}"/>
    <cellStyle name="Note 3 2 2 4 5 2 2" xfId="25976" xr:uid="{00000000-0005-0000-0000-0000ADCC0000}"/>
    <cellStyle name="Note 3 2 2 4 5 2 2 2" xfId="54982" xr:uid="{00000000-0005-0000-0000-0000AECC0000}"/>
    <cellStyle name="Note 3 2 2 4 5 2 3" xfId="40483" xr:uid="{00000000-0005-0000-0000-0000AFCC0000}"/>
    <cellStyle name="Note 3 2 2 4 5 3" xfId="18728" xr:uid="{00000000-0005-0000-0000-0000B0CC0000}"/>
    <cellStyle name="Note 3 2 2 4 5 3 2" xfId="47734" xr:uid="{00000000-0005-0000-0000-0000B1CC0000}"/>
    <cellStyle name="Note 3 2 2 4 5 4" xfId="33235" xr:uid="{00000000-0005-0000-0000-0000B2CC0000}"/>
    <cellStyle name="Note 3 2 2 4 6" xfId="7274" xr:uid="{00000000-0005-0000-0000-0000B3CC0000}"/>
    <cellStyle name="Note 3 2 2 4 6 2" xfId="14546" xr:uid="{00000000-0005-0000-0000-0000B4CC0000}"/>
    <cellStyle name="Note 3 2 2 4 6 2 2" xfId="29080" xr:uid="{00000000-0005-0000-0000-0000B5CC0000}"/>
    <cellStyle name="Note 3 2 2 4 6 2 2 2" xfId="58086" xr:uid="{00000000-0005-0000-0000-0000B6CC0000}"/>
    <cellStyle name="Note 3 2 2 4 6 2 3" xfId="43587" xr:uid="{00000000-0005-0000-0000-0000B7CC0000}"/>
    <cellStyle name="Note 3 2 2 4 6 3" xfId="21832" xr:uid="{00000000-0005-0000-0000-0000B8CC0000}"/>
    <cellStyle name="Note 3 2 2 4 6 3 2" xfId="50838" xr:uid="{00000000-0005-0000-0000-0000B9CC0000}"/>
    <cellStyle name="Note 3 2 2 4 6 4" xfId="36339" xr:uid="{00000000-0005-0000-0000-0000BACC0000}"/>
    <cellStyle name="Note 3 2 2 4 7" xfId="8338" xr:uid="{00000000-0005-0000-0000-0000BBCC0000}"/>
    <cellStyle name="Note 3 2 2 4 7 2" xfId="22872" xr:uid="{00000000-0005-0000-0000-0000BCCC0000}"/>
    <cellStyle name="Note 3 2 2 4 7 2 2" xfId="51878" xr:uid="{00000000-0005-0000-0000-0000BDCC0000}"/>
    <cellStyle name="Note 3 2 2 4 7 3" xfId="37379" xr:uid="{00000000-0005-0000-0000-0000BECC0000}"/>
    <cellStyle name="Note 3 2 2 4 8" xfId="15624" xr:uid="{00000000-0005-0000-0000-0000BFCC0000}"/>
    <cellStyle name="Note 3 2 2 4 8 2" xfId="44630" xr:uid="{00000000-0005-0000-0000-0000C0CC0000}"/>
    <cellStyle name="Note 3 2 2 4 9" xfId="30131" xr:uid="{00000000-0005-0000-0000-0000C1CC0000}"/>
    <cellStyle name="Note 3 2 2 5" xfId="1355" xr:uid="{00000000-0005-0000-0000-0000C2CC0000}"/>
    <cellStyle name="Note 3 2 2 5 2" xfId="2412" xr:uid="{00000000-0005-0000-0000-0000C3CC0000}"/>
    <cellStyle name="Note 3 2 2 5 2 2" xfId="5516" xr:uid="{00000000-0005-0000-0000-0000C4CC0000}"/>
    <cellStyle name="Note 3 2 2 5 2 2 2" xfId="12788" xr:uid="{00000000-0005-0000-0000-0000C5CC0000}"/>
    <cellStyle name="Note 3 2 2 5 2 2 2 2" xfId="27322" xr:uid="{00000000-0005-0000-0000-0000C6CC0000}"/>
    <cellStyle name="Note 3 2 2 5 2 2 2 2 2" xfId="56328" xr:uid="{00000000-0005-0000-0000-0000C7CC0000}"/>
    <cellStyle name="Note 3 2 2 5 2 2 2 3" xfId="41829" xr:uid="{00000000-0005-0000-0000-0000C8CC0000}"/>
    <cellStyle name="Note 3 2 2 5 2 2 3" xfId="20074" xr:uid="{00000000-0005-0000-0000-0000C9CC0000}"/>
    <cellStyle name="Note 3 2 2 5 2 2 3 2" xfId="49080" xr:uid="{00000000-0005-0000-0000-0000CACC0000}"/>
    <cellStyle name="Note 3 2 2 5 2 2 4" xfId="34581" xr:uid="{00000000-0005-0000-0000-0000CBCC0000}"/>
    <cellStyle name="Note 3 2 2 5 2 3" xfId="9684" xr:uid="{00000000-0005-0000-0000-0000CCCC0000}"/>
    <cellStyle name="Note 3 2 2 5 2 3 2" xfId="24218" xr:uid="{00000000-0005-0000-0000-0000CDCC0000}"/>
    <cellStyle name="Note 3 2 2 5 2 3 2 2" xfId="53224" xr:uid="{00000000-0005-0000-0000-0000CECC0000}"/>
    <cellStyle name="Note 3 2 2 5 2 3 3" xfId="38725" xr:uid="{00000000-0005-0000-0000-0000CFCC0000}"/>
    <cellStyle name="Note 3 2 2 5 2 4" xfId="16970" xr:uid="{00000000-0005-0000-0000-0000D0CC0000}"/>
    <cellStyle name="Note 3 2 2 5 2 4 2" xfId="45976" xr:uid="{00000000-0005-0000-0000-0000D1CC0000}"/>
    <cellStyle name="Note 3 2 2 5 2 5" xfId="31477" xr:uid="{00000000-0005-0000-0000-0000D2CC0000}"/>
    <cellStyle name="Note 3 2 2 5 3" xfId="3444" xr:uid="{00000000-0005-0000-0000-0000D3CC0000}"/>
    <cellStyle name="Note 3 2 2 5 3 2" xfId="6548" xr:uid="{00000000-0005-0000-0000-0000D4CC0000}"/>
    <cellStyle name="Note 3 2 2 5 3 2 2" xfId="13820" xr:uid="{00000000-0005-0000-0000-0000D5CC0000}"/>
    <cellStyle name="Note 3 2 2 5 3 2 2 2" xfId="28354" xr:uid="{00000000-0005-0000-0000-0000D6CC0000}"/>
    <cellStyle name="Note 3 2 2 5 3 2 2 2 2" xfId="57360" xr:uid="{00000000-0005-0000-0000-0000D7CC0000}"/>
    <cellStyle name="Note 3 2 2 5 3 2 2 3" xfId="42861" xr:uid="{00000000-0005-0000-0000-0000D8CC0000}"/>
    <cellStyle name="Note 3 2 2 5 3 2 3" xfId="21106" xr:uid="{00000000-0005-0000-0000-0000D9CC0000}"/>
    <cellStyle name="Note 3 2 2 5 3 2 3 2" xfId="50112" xr:uid="{00000000-0005-0000-0000-0000DACC0000}"/>
    <cellStyle name="Note 3 2 2 5 3 2 4" xfId="35613" xr:uid="{00000000-0005-0000-0000-0000DBCC0000}"/>
    <cellStyle name="Note 3 2 2 5 3 3" xfId="10716" xr:uid="{00000000-0005-0000-0000-0000DCCC0000}"/>
    <cellStyle name="Note 3 2 2 5 3 3 2" xfId="25250" xr:uid="{00000000-0005-0000-0000-0000DDCC0000}"/>
    <cellStyle name="Note 3 2 2 5 3 3 2 2" xfId="54256" xr:uid="{00000000-0005-0000-0000-0000DECC0000}"/>
    <cellStyle name="Note 3 2 2 5 3 3 3" xfId="39757" xr:uid="{00000000-0005-0000-0000-0000DFCC0000}"/>
    <cellStyle name="Note 3 2 2 5 3 4" xfId="18002" xr:uid="{00000000-0005-0000-0000-0000E0CC0000}"/>
    <cellStyle name="Note 3 2 2 5 3 4 2" xfId="47008" xr:uid="{00000000-0005-0000-0000-0000E1CC0000}"/>
    <cellStyle name="Note 3 2 2 5 3 5" xfId="32509" xr:uid="{00000000-0005-0000-0000-0000E2CC0000}"/>
    <cellStyle name="Note 3 2 2 5 4" xfId="4476" xr:uid="{00000000-0005-0000-0000-0000E3CC0000}"/>
    <cellStyle name="Note 3 2 2 5 4 2" xfId="11748" xr:uid="{00000000-0005-0000-0000-0000E4CC0000}"/>
    <cellStyle name="Note 3 2 2 5 4 2 2" xfId="26282" xr:uid="{00000000-0005-0000-0000-0000E5CC0000}"/>
    <cellStyle name="Note 3 2 2 5 4 2 2 2" xfId="55288" xr:uid="{00000000-0005-0000-0000-0000E6CC0000}"/>
    <cellStyle name="Note 3 2 2 5 4 2 3" xfId="40789" xr:uid="{00000000-0005-0000-0000-0000E7CC0000}"/>
    <cellStyle name="Note 3 2 2 5 4 3" xfId="19034" xr:uid="{00000000-0005-0000-0000-0000E8CC0000}"/>
    <cellStyle name="Note 3 2 2 5 4 3 2" xfId="48040" xr:uid="{00000000-0005-0000-0000-0000E9CC0000}"/>
    <cellStyle name="Note 3 2 2 5 4 4" xfId="33541" xr:uid="{00000000-0005-0000-0000-0000EACC0000}"/>
    <cellStyle name="Note 3 2 2 5 5" xfId="7580" xr:uid="{00000000-0005-0000-0000-0000EBCC0000}"/>
    <cellStyle name="Note 3 2 2 5 5 2" xfId="14852" xr:uid="{00000000-0005-0000-0000-0000ECCC0000}"/>
    <cellStyle name="Note 3 2 2 5 5 2 2" xfId="29386" xr:uid="{00000000-0005-0000-0000-0000EDCC0000}"/>
    <cellStyle name="Note 3 2 2 5 5 2 2 2" xfId="58392" xr:uid="{00000000-0005-0000-0000-0000EECC0000}"/>
    <cellStyle name="Note 3 2 2 5 5 2 3" xfId="43893" xr:uid="{00000000-0005-0000-0000-0000EFCC0000}"/>
    <cellStyle name="Note 3 2 2 5 5 3" xfId="22138" xr:uid="{00000000-0005-0000-0000-0000F0CC0000}"/>
    <cellStyle name="Note 3 2 2 5 5 3 2" xfId="51144" xr:uid="{00000000-0005-0000-0000-0000F1CC0000}"/>
    <cellStyle name="Note 3 2 2 5 5 4" xfId="36645" xr:uid="{00000000-0005-0000-0000-0000F2CC0000}"/>
    <cellStyle name="Note 3 2 2 5 6" xfId="8644" xr:uid="{00000000-0005-0000-0000-0000F3CC0000}"/>
    <cellStyle name="Note 3 2 2 5 6 2" xfId="23178" xr:uid="{00000000-0005-0000-0000-0000F4CC0000}"/>
    <cellStyle name="Note 3 2 2 5 6 2 2" xfId="52184" xr:uid="{00000000-0005-0000-0000-0000F5CC0000}"/>
    <cellStyle name="Note 3 2 2 5 6 3" xfId="37685" xr:uid="{00000000-0005-0000-0000-0000F6CC0000}"/>
    <cellStyle name="Note 3 2 2 5 7" xfId="15930" xr:uid="{00000000-0005-0000-0000-0000F7CC0000}"/>
    <cellStyle name="Note 3 2 2 5 7 2" xfId="44936" xr:uid="{00000000-0005-0000-0000-0000F8CC0000}"/>
    <cellStyle name="Note 3 2 2 5 8" xfId="30437" xr:uid="{00000000-0005-0000-0000-0000F9CC0000}"/>
    <cellStyle name="Note 3 2 2 6" xfId="1900" xr:uid="{00000000-0005-0000-0000-0000FACC0000}"/>
    <cellStyle name="Note 3 2 2 6 2" xfId="5004" xr:uid="{00000000-0005-0000-0000-0000FBCC0000}"/>
    <cellStyle name="Note 3 2 2 6 2 2" xfId="12276" xr:uid="{00000000-0005-0000-0000-0000FCCC0000}"/>
    <cellStyle name="Note 3 2 2 6 2 2 2" xfId="26810" xr:uid="{00000000-0005-0000-0000-0000FDCC0000}"/>
    <cellStyle name="Note 3 2 2 6 2 2 2 2" xfId="55816" xr:uid="{00000000-0005-0000-0000-0000FECC0000}"/>
    <cellStyle name="Note 3 2 2 6 2 2 3" xfId="41317" xr:uid="{00000000-0005-0000-0000-0000FFCC0000}"/>
    <cellStyle name="Note 3 2 2 6 2 3" xfId="19562" xr:uid="{00000000-0005-0000-0000-000000CD0000}"/>
    <cellStyle name="Note 3 2 2 6 2 3 2" xfId="48568" xr:uid="{00000000-0005-0000-0000-000001CD0000}"/>
    <cellStyle name="Note 3 2 2 6 2 4" xfId="34069" xr:uid="{00000000-0005-0000-0000-000002CD0000}"/>
    <cellStyle name="Note 3 2 2 6 3" xfId="9172" xr:uid="{00000000-0005-0000-0000-000003CD0000}"/>
    <cellStyle name="Note 3 2 2 6 3 2" xfId="23706" xr:uid="{00000000-0005-0000-0000-000004CD0000}"/>
    <cellStyle name="Note 3 2 2 6 3 2 2" xfId="52712" xr:uid="{00000000-0005-0000-0000-000005CD0000}"/>
    <cellStyle name="Note 3 2 2 6 3 3" xfId="38213" xr:uid="{00000000-0005-0000-0000-000006CD0000}"/>
    <cellStyle name="Note 3 2 2 6 4" xfId="16458" xr:uid="{00000000-0005-0000-0000-000007CD0000}"/>
    <cellStyle name="Note 3 2 2 6 4 2" xfId="45464" xr:uid="{00000000-0005-0000-0000-000008CD0000}"/>
    <cellStyle name="Note 3 2 2 6 5" xfId="30965" xr:uid="{00000000-0005-0000-0000-000009CD0000}"/>
    <cellStyle name="Note 3 2 2 7" xfId="2932" xr:uid="{00000000-0005-0000-0000-00000ACD0000}"/>
    <cellStyle name="Note 3 2 2 7 2" xfId="6036" xr:uid="{00000000-0005-0000-0000-00000BCD0000}"/>
    <cellStyle name="Note 3 2 2 7 2 2" xfId="13308" xr:uid="{00000000-0005-0000-0000-00000CCD0000}"/>
    <cellStyle name="Note 3 2 2 7 2 2 2" xfId="27842" xr:uid="{00000000-0005-0000-0000-00000DCD0000}"/>
    <cellStyle name="Note 3 2 2 7 2 2 2 2" xfId="56848" xr:uid="{00000000-0005-0000-0000-00000ECD0000}"/>
    <cellStyle name="Note 3 2 2 7 2 2 3" xfId="42349" xr:uid="{00000000-0005-0000-0000-00000FCD0000}"/>
    <cellStyle name="Note 3 2 2 7 2 3" xfId="20594" xr:uid="{00000000-0005-0000-0000-000010CD0000}"/>
    <cellStyle name="Note 3 2 2 7 2 3 2" xfId="49600" xr:uid="{00000000-0005-0000-0000-000011CD0000}"/>
    <cellStyle name="Note 3 2 2 7 2 4" xfId="35101" xr:uid="{00000000-0005-0000-0000-000012CD0000}"/>
    <cellStyle name="Note 3 2 2 7 3" xfId="10204" xr:uid="{00000000-0005-0000-0000-000013CD0000}"/>
    <cellStyle name="Note 3 2 2 7 3 2" xfId="24738" xr:uid="{00000000-0005-0000-0000-000014CD0000}"/>
    <cellStyle name="Note 3 2 2 7 3 2 2" xfId="53744" xr:uid="{00000000-0005-0000-0000-000015CD0000}"/>
    <cellStyle name="Note 3 2 2 7 3 3" xfId="39245" xr:uid="{00000000-0005-0000-0000-000016CD0000}"/>
    <cellStyle name="Note 3 2 2 7 4" xfId="17490" xr:uid="{00000000-0005-0000-0000-000017CD0000}"/>
    <cellStyle name="Note 3 2 2 7 4 2" xfId="46496" xr:uid="{00000000-0005-0000-0000-000018CD0000}"/>
    <cellStyle name="Note 3 2 2 7 5" xfId="31997" xr:uid="{00000000-0005-0000-0000-000019CD0000}"/>
    <cellStyle name="Note 3 2 2 8" xfId="3964" xr:uid="{00000000-0005-0000-0000-00001ACD0000}"/>
    <cellStyle name="Note 3 2 2 8 2" xfId="11236" xr:uid="{00000000-0005-0000-0000-00001BCD0000}"/>
    <cellStyle name="Note 3 2 2 8 2 2" xfId="25770" xr:uid="{00000000-0005-0000-0000-00001CCD0000}"/>
    <cellStyle name="Note 3 2 2 8 2 2 2" xfId="54776" xr:uid="{00000000-0005-0000-0000-00001DCD0000}"/>
    <cellStyle name="Note 3 2 2 8 2 3" xfId="40277" xr:uid="{00000000-0005-0000-0000-00001ECD0000}"/>
    <cellStyle name="Note 3 2 2 8 3" xfId="18522" xr:uid="{00000000-0005-0000-0000-00001FCD0000}"/>
    <cellStyle name="Note 3 2 2 8 3 2" xfId="47528" xr:uid="{00000000-0005-0000-0000-000020CD0000}"/>
    <cellStyle name="Note 3 2 2 8 4" xfId="33029" xr:uid="{00000000-0005-0000-0000-000021CD0000}"/>
    <cellStyle name="Note 3 2 2 9" xfId="7068" xr:uid="{00000000-0005-0000-0000-000022CD0000}"/>
    <cellStyle name="Note 3 2 2 9 2" xfId="14340" xr:uid="{00000000-0005-0000-0000-000023CD0000}"/>
    <cellStyle name="Note 3 2 2 9 2 2" xfId="28874" xr:uid="{00000000-0005-0000-0000-000024CD0000}"/>
    <cellStyle name="Note 3 2 2 9 2 2 2" xfId="57880" xr:uid="{00000000-0005-0000-0000-000025CD0000}"/>
    <cellStyle name="Note 3 2 2 9 2 3" xfId="43381" xr:uid="{00000000-0005-0000-0000-000026CD0000}"/>
    <cellStyle name="Note 3 2 2 9 3" xfId="21626" xr:uid="{00000000-0005-0000-0000-000027CD0000}"/>
    <cellStyle name="Note 3 2 2 9 3 2" xfId="50632" xr:uid="{00000000-0005-0000-0000-000028CD0000}"/>
    <cellStyle name="Note 3 2 2 9 4" xfId="36133" xr:uid="{00000000-0005-0000-0000-000029CD0000}"/>
    <cellStyle name="Note 3 2 3" xfId="934" xr:uid="{00000000-0005-0000-0000-00002ACD0000}"/>
    <cellStyle name="Note 3 2 3 10" xfId="29976" xr:uid="{00000000-0005-0000-0000-00002BCD0000}"/>
    <cellStyle name="Note 3 2 3 2" xfId="1207" xr:uid="{00000000-0005-0000-0000-00002CCD0000}"/>
    <cellStyle name="Note 3 2 3 2 2" xfId="1710" xr:uid="{00000000-0005-0000-0000-00002DCD0000}"/>
    <cellStyle name="Note 3 2 3 2 2 2" xfId="2769" xr:uid="{00000000-0005-0000-0000-00002ECD0000}"/>
    <cellStyle name="Note 3 2 3 2 2 2 2" xfId="5873" xr:uid="{00000000-0005-0000-0000-00002FCD0000}"/>
    <cellStyle name="Note 3 2 3 2 2 2 2 2" xfId="13145" xr:uid="{00000000-0005-0000-0000-000030CD0000}"/>
    <cellStyle name="Note 3 2 3 2 2 2 2 2 2" xfId="27679" xr:uid="{00000000-0005-0000-0000-000031CD0000}"/>
    <cellStyle name="Note 3 2 3 2 2 2 2 2 2 2" xfId="56685" xr:uid="{00000000-0005-0000-0000-000032CD0000}"/>
    <cellStyle name="Note 3 2 3 2 2 2 2 2 3" xfId="42186" xr:uid="{00000000-0005-0000-0000-000033CD0000}"/>
    <cellStyle name="Note 3 2 3 2 2 2 2 3" xfId="20431" xr:uid="{00000000-0005-0000-0000-000034CD0000}"/>
    <cellStyle name="Note 3 2 3 2 2 2 2 3 2" xfId="49437" xr:uid="{00000000-0005-0000-0000-000035CD0000}"/>
    <cellStyle name="Note 3 2 3 2 2 2 2 4" xfId="34938" xr:uid="{00000000-0005-0000-0000-000036CD0000}"/>
    <cellStyle name="Note 3 2 3 2 2 2 3" xfId="10041" xr:uid="{00000000-0005-0000-0000-000037CD0000}"/>
    <cellStyle name="Note 3 2 3 2 2 2 3 2" xfId="24575" xr:uid="{00000000-0005-0000-0000-000038CD0000}"/>
    <cellStyle name="Note 3 2 3 2 2 2 3 2 2" xfId="53581" xr:uid="{00000000-0005-0000-0000-000039CD0000}"/>
    <cellStyle name="Note 3 2 3 2 2 2 3 3" xfId="39082" xr:uid="{00000000-0005-0000-0000-00003ACD0000}"/>
    <cellStyle name="Note 3 2 3 2 2 2 4" xfId="17327" xr:uid="{00000000-0005-0000-0000-00003BCD0000}"/>
    <cellStyle name="Note 3 2 3 2 2 2 4 2" xfId="46333" xr:uid="{00000000-0005-0000-0000-00003CCD0000}"/>
    <cellStyle name="Note 3 2 3 2 2 2 5" xfId="31834" xr:uid="{00000000-0005-0000-0000-00003DCD0000}"/>
    <cellStyle name="Note 3 2 3 2 2 3" xfId="3801" xr:uid="{00000000-0005-0000-0000-00003ECD0000}"/>
    <cellStyle name="Note 3 2 3 2 2 3 2" xfId="6905" xr:uid="{00000000-0005-0000-0000-00003FCD0000}"/>
    <cellStyle name="Note 3 2 3 2 2 3 2 2" xfId="14177" xr:uid="{00000000-0005-0000-0000-000040CD0000}"/>
    <cellStyle name="Note 3 2 3 2 2 3 2 2 2" xfId="28711" xr:uid="{00000000-0005-0000-0000-000041CD0000}"/>
    <cellStyle name="Note 3 2 3 2 2 3 2 2 2 2" xfId="57717" xr:uid="{00000000-0005-0000-0000-000042CD0000}"/>
    <cellStyle name="Note 3 2 3 2 2 3 2 2 3" xfId="43218" xr:uid="{00000000-0005-0000-0000-000043CD0000}"/>
    <cellStyle name="Note 3 2 3 2 2 3 2 3" xfId="21463" xr:uid="{00000000-0005-0000-0000-000044CD0000}"/>
    <cellStyle name="Note 3 2 3 2 2 3 2 3 2" xfId="50469" xr:uid="{00000000-0005-0000-0000-000045CD0000}"/>
    <cellStyle name="Note 3 2 3 2 2 3 2 4" xfId="35970" xr:uid="{00000000-0005-0000-0000-000046CD0000}"/>
    <cellStyle name="Note 3 2 3 2 2 3 3" xfId="11073" xr:uid="{00000000-0005-0000-0000-000047CD0000}"/>
    <cellStyle name="Note 3 2 3 2 2 3 3 2" xfId="25607" xr:uid="{00000000-0005-0000-0000-000048CD0000}"/>
    <cellStyle name="Note 3 2 3 2 2 3 3 2 2" xfId="54613" xr:uid="{00000000-0005-0000-0000-000049CD0000}"/>
    <cellStyle name="Note 3 2 3 2 2 3 3 3" xfId="40114" xr:uid="{00000000-0005-0000-0000-00004ACD0000}"/>
    <cellStyle name="Note 3 2 3 2 2 3 4" xfId="18359" xr:uid="{00000000-0005-0000-0000-00004BCD0000}"/>
    <cellStyle name="Note 3 2 3 2 2 3 4 2" xfId="47365" xr:uid="{00000000-0005-0000-0000-00004CCD0000}"/>
    <cellStyle name="Note 3 2 3 2 2 3 5" xfId="32866" xr:uid="{00000000-0005-0000-0000-00004DCD0000}"/>
    <cellStyle name="Note 3 2 3 2 2 4" xfId="4833" xr:uid="{00000000-0005-0000-0000-00004ECD0000}"/>
    <cellStyle name="Note 3 2 3 2 2 4 2" xfId="12105" xr:uid="{00000000-0005-0000-0000-00004FCD0000}"/>
    <cellStyle name="Note 3 2 3 2 2 4 2 2" xfId="26639" xr:uid="{00000000-0005-0000-0000-000050CD0000}"/>
    <cellStyle name="Note 3 2 3 2 2 4 2 2 2" xfId="55645" xr:uid="{00000000-0005-0000-0000-000051CD0000}"/>
    <cellStyle name="Note 3 2 3 2 2 4 2 3" xfId="41146" xr:uid="{00000000-0005-0000-0000-000052CD0000}"/>
    <cellStyle name="Note 3 2 3 2 2 4 3" xfId="19391" xr:uid="{00000000-0005-0000-0000-000053CD0000}"/>
    <cellStyle name="Note 3 2 3 2 2 4 3 2" xfId="48397" xr:uid="{00000000-0005-0000-0000-000054CD0000}"/>
    <cellStyle name="Note 3 2 3 2 2 4 4" xfId="33898" xr:uid="{00000000-0005-0000-0000-000055CD0000}"/>
    <cellStyle name="Note 3 2 3 2 2 5" xfId="7937" xr:uid="{00000000-0005-0000-0000-000056CD0000}"/>
    <cellStyle name="Note 3 2 3 2 2 5 2" xfId="15209" xr:uid="{00000000-0005-0000-0000-000057CD0000}"/>
    <cellStyle name="Note 3 2 3 2 2 5 2 2" xfId="29743" xr:uid="{00000000-0005-0000-0000-000058CD0000}"/>
    <cellStyle name="Note 3 2 3 2 2 5 2 2 2" xfId="58749" xr:uid="{00000000-0005-0000-0000-000059CD0000}"/>
    <cellStyle name="Note 3 2 3 2 2 5 2 3" xfId="44250" xr:uid="{00000000-0005-0000-0000-00005ACD0000}"/>
    <cellStyle name="Note 3 2 3 2 2 5 3" xfId="22495" xr:uid="{00000000-0005-0000-0000-00005BCD0000}"/>
    <cellStyle name="Note 3 2 3 2 2 5 3 2" xfId="51501" xr:uid="{00000000-0005-0000-0000-00005CCD0000}"/>
    <cellStyle name="Note 3 2 3 2 2 5 4" xfId="37002" xr:uid="{00000000-0005-0000-0000-00005DCD0000}"/>
    <cellStyle name="Note 3 2 3 2 2 6" xfId="9001" xr:uid="{00000000-0005-0000-0000-00005ECD0000}"/>
    <cellStyle name="Note 3 2 3 2 2 6 2" xfId="23535" xr:uid="{00000000-0005-0000-0000-00005FCD0000}"/>
    <cellStyle name="Note 3 2 3 2 2 6 2 2" xfId="52541" xr:uid="{00000000-0005-0000-0000-000060CD0000}"/>
    <cellStyle name="Note 3 2 3 2 2 6 3" xfId="38042" xr:uid="{00000000-0005-0000-0000-000061CD0000}"/>
    <cellStyle name="Note 3 2 3 2 2 7" xfId="16287" xr:uid="{00000000-0005-0000-0000-000062CD0000}"/>
    <cellStyle name="Note 3 2 3 2 2 7 2" xfId="45293" xr:uid="{00000000-0005-0000-0000-000063CD0000}"/>
    <cellStyle name="Note 3 2 3 2 2 8" xfId="30794" xr:uid="{00000000-0005-0000-0000-000064CD0000}"/>
    <cellStyle name="Note 3 2 3 2 3" xfId="2257" xr:uid="{00000000-0005-0000-0000-000065CD0000}"/>
    <cellStyle name="Note 3 2 3 2 3 2" xfId="5361" xr:uid="{00000000-0005-0000-0000-000066CD0000}"/>
    <cellStyle name="Note 3 2 3 2 3 2 2" xfId="12633" xr:uid="{00000000-0005-0000-0000-000067CD0000}"/>
    <cellStyle name="Note 3 2 3 2 3 2 2 2" xfId="27167" xr:uid="{00000000-0005-0000-0000-000068CD0000}"/>
    <cellStyle name="Note 3 2 3 2 3 2 2 2 2" xfId="56173" xr:uid="{00000000-0005-0000-0000-000069CD0000}"/>
    <cellStyle name="Note 3 2 3 2 3 2 2 3" xfId="41674" xr:uid="{00000000-0005-0000-0000-00006ACD0000}"/>
    <cellStyle name="Note 3 2 3 2 3 2 3" xfId="19919" xr:uid="{00000000-0005-0000-0000-00006BCD0000}"/>
    <cellStyle name="Note 3 2 3 2 3 2 3 2" xfId="48925" xr:uid="{00000000-0005-0000-0000-00006CCD0000}"/>
    <cellStyle name="Note 3 2 3 2 3 2 4" xfId="34426" xr:uid="{00000000-0005-0000-0000-00006DCD0000}"/>
    <cellStyle name="Note 3 2 3 2 3 3" xfId="9529" xr:uid="{00000000-0005-0000-0000-00006ECD0000}"/>
    <cellStyle name="Note 3 2 3 2 3 3 2" xfId="24063" xr:uid="{00000000-0005-0000-0000-00006FCD0000}"/>
    <cellStyle name="Note 3 2 3 2 3 3 2 2" xfId="53069" xr:uid="{00000000-0005-0000-0000-000070CD0000}"/>
    <cellStyle name="Note 3 2 3 2 3 3 3" xfId="38570" xr:uid="{00000000-0005-0000-0000-000071CD0000}"/>
    <cellStyle name="Note 3 2 3 2 3 4" xfId="16815" xr:uid="{00000000-0005-0000-0000-000072CD0000}"/>
    <cellStyle name="Note 3 2 3 2 3 4 2" xfId="45821" xr:uid="{00000000-0005-0000-0000-000073CD0000}"/>
    <cellStyle name="Note 3 2 3 2 3 5" xfId="31322" xr:uid="{00000000-0005-0000-0000-000074CD0000}"/>
    <cellStyle name="Note 3 2 3 2 4" xfId="3289" xr:uid="{00000000-0005-0000-0000-000075CD0000}"/>
    <cellStyle name="Note 3 2 3 2 4 2" xfId="6393" xr:uid="{00000000-0005-0000-0000-000076CD0000}"/>
    <cellStyle name="Note 3 2 3 2 4 2 2" xfId="13665" xr:uid="{00000000-0005-0000-0000-000077CD0000}"/>
    <cellStyle name="Note 3 2 3 2 4 2 2 2" xfId="28199" xr:uid="{00000000-0005-0000-0000-000078CD0000}"/>
    <cellStyle name="Note 3 2 3 2 4 2 2 2 2" xfId="57205" xr:uid="{00000000-0005-0000-0000-000079CD0000}"/>
    <cellStyle name="Note 3 2 3 2 4 2 2 3" xfId="42706" xr:uid="{00000000-0005-0000-0000-00007ACD0000}"/>
    <cellStyle name="Note 3 2 3 2 4 2 3" xfId="20951" xr:uid="{00000000-0005-0000-0000-00007BCD0000}"/>
    <cellStyle name="Note 3 2 3 2 4 2 3 2" xfId="49957" xr:uid="{00000000-0005-0000-0000-00007CCD0000}"/>
    <cellStyle name="Note 3 2 3 2 4 2 4" xfId="35458" xr:uid="{00000000-0005-0000-0000-00007DCD0000}"/>
    <cellStyle name="Note 3 2 3 2 4 3" xfId="10561" xr:uid="{00000000-0005-0000-0000-00007ECD0000}"/>
    <cellStyle name="Note 3 2 3 2 4 3 2" xfId="25095" xr:uid="{00000000-0005-0000-0000-00007FCD0000}"/>
    <cellStyle name="Note 3 2 3 2 4 3 2 2" xfId="54101" xr:uid="{00000000-0005-0000-0000-000080CD0000}"/>
    <cellStyle name="Note 3 2 3 2 4 3 3" xfId="39602" xr:uid="{00000000-0005-0000-0000-000081CD0000}"/>
    <cellStyle name="Note 3 2 3 2 4 4" xfId="17847" xr:uid="{00000000-0005-0000-0000-000082CD0000}"/>
    <cellStyle name="Note 3 2 3 2 4 4 2" xfId="46853" xr:uid="{00000000-0005-0000-0000-000083CD0000}"/>
    <cellStyle name="Note 3 2 3 2 4 5" xfId="32354" xr:uid="{00000000-0005-0000-0000-000084CD0000}"/>
    <cellStyle name="Note 3 2 3 2 5" xfId="4321" xr:uid="{00000000-0005-0000-0000-000085CD0000}"/>
    <cellStyle name="Note 3 2 3 2 5 2" xfId="11593" xr:uid="{00000000-0005-0000-0000-000086CD0000}"/>
    <cellStyle name="Note 3 2 3 2 5 2 2" xfId="26127" xr:uid="{00000000-0005-0000-0000-000087CD0000}"/>
    <cellStyle name="Note 3 2 3 2 5 2 2 2" xfId="55133" xr:uid="{00000000-0005-0000-0000-000088CD0000}"/>
    <cellStyle name="Note 3 2 3 2 5 2 3" xfId="40634" xr:uid="{00000000-0005-0000-0000-000089CD0000}"/>
    <cellStyle name="Note 3 2 3 2 5 3" xfId="18879" xr:uid="{00000000-0005-0000-0000-00008ACD0000}"/>
    <cellStyle name="Note 3 2 3 2 5 3 2" xfId="47885" xr:uid="{00000000-0005-0000-0000-00008BCD0000}"/>
    <cellStyle name="Note 3 2 3 2 5 4" xfId="33386" xr:uid="{00000000-0005-0000-0000-00008CCD0000}"/>
    <cellStyle name="Note 3 2 3 2 6" xfId="7425" xr:uid="{00000000-0005-0000-0000-00008DCD0000}"/>
    <cellStyle name="Note 3 2 3 2 6 2" xfId="14697" xr:uid="{00000000-0005-0000-0000-00008ECD0000}"/>
    <cellStyle name="Note 3 2 3 2 6 2 2" xfId="29231" xr:uid="{00000000-0005-0000-0000-00008FCD0000}"/>
    <cellStyle name="Note 3 2 3 2 6 2 2 2" xfId="58237" xr:uid="{00000000-0005-0000-0000-000090CD0000}"/>
    <cellStyle name="Note 3 2 3 2 6 2 3" xfId="43738" xr:uid="{00000000-0005-0000-0000-000091CD0000}"/>
    <cellStyle name="Note 3 2 3 2 6 3" xfId="21983" xr:uid="{00000000-0005-0000-0000-000092CD0000}"/>
    <cellStyle name="Note 3 2 3 2 6 3 2" xfId="50989" xr:uid="{00000000-0005-0000-0000-000093CD0000}"/>
    <cellStyle name="Note 3 2 3 2 6 4" xfId="36490" xr:uid="{00000000-0005-0000-0000-000094CD0000}"/>
    <cellStyle name="Note 3 2 3 2 7" xfId="8489" xr:uid="{00000000-0005-0000-0000-000095CD0000}"/>
    <cellStyle name="Note 3 2 3 2 7 2" xfId="23023" xr:uid="{00000000-0005-0000-0000-000096CD0000}"/>
    <cellStyle name="Note 3 2 3 2 7 2 2" xfId="52029" xr:uid="{00000000-0005-0000-0000-000097CD0000}"/>
    <cellStyle name="Note 3 2 3 2 7 3" xfId="37530" xr:uid="{00000000-0005-0000-0000-000098CD0000}"/>
    <cellStyle name="Note 3 2 3 2 8" xfId="15775" xr:uid="{00000000-0005-0000-0000-000099CD0000}"/>
    <cellStyle name="Note 3 2 3 2 8 2" xfId="44781" xr:uid="{00000000-0005-0000-0000-00009ACD0000}"/>
    <cellStyle name="Note 3 2 3 2 9" xfId="30282" xr:uid="{00000000-0005-0000-0000-00009BCD0000}"/>
    <cellStyle name="Note 3 2 3 3" xfId="1405" xr:uid="{00000000-0005-0000-0000-00009CCD0000}"/>
    <cellStyle name="Note 3 2 3 3 2" xfId="2463" xr:uid="{00000000-0005-0000-0000-00009DCD0000}"/>
    <cellStyle name="Note 3 2 3 3 2 2" xfId="5567" xr:uid="{00000000-0005-0000-0000-00009ECD0000}"/>
    <cellStyle name="Note 3 2 3 3 2 2 2" xfId="12839" xr:uid="{00000000-0005-0000-0000-00009FCD0000}"/>
    <cellStyle name="Note 3 2 3 3 2 2 2 2" xfId="27373" xr:uid="{00000000-0005-0000-0000-0000A0CD0000}"/>
    <cellStyle name="Note 3 2 3 3 2 2 2 2 2" xfId="56379" xr:uid="{00000000-0005-0000-0000-0000A1CD0000}"/>
    <cellStyle name="Note 3 2 3 3 2 2 2 3" xfId="41880" xr:uid="{00000000-0005-0000-0000-0000A2CD0000}"/>
    <cellStyle name="Note 3 2 3 3 2 2 3" xfId="20125" xr:uid="{00000000-0005-0000-0000-0000A3CD0000}"/>
    <cellStyle name="Note 3 2 3 3 2 2 3 2" xfId="49131" xr:uid="{00000000-0005-0000-0000-0000A4CD0000}"/>
    <cellStyle name="Note 3 2 3 3 2 2 4" xfId="34632" xr:uid="{00000000-0005-0000-0000-0000A5CD0000}"/>
    <cellStyle name="Note 3 2 3 3 2 3" xfId="9735" xr:uid="{00000000-0005-0000-0000-0000A6CD0000}"/>
    <cellStyle name="Note 3 2 3 3 2 3 2" xfId="24269" xr:uid="{00000000-0005-0000-0000-0000A7CD0000}"/>
    <cellStyle name="Note 3 2 3 3 2 3 2 2" xfId="53275" xr:uid="{00000000-0005-0000-0000-0000A8CD0000}"/>
    <cellStyle name="Note 3 2 3 3 2 3 3" xfId="38776" xr:uid="{00000000-0005-0000-0000-0000A9CD0000}"/>
    <cellStyle name="Note 3 2 3 3 2 4" xfId="17021" xr:uid="{00000000-0005-0000-0000-0000AACD0000}"/>
    <cellStyle name="Note 3 2 3 3 2 4 2" xfId="46027" xr:uid="{00000000-0005-0000-0000-0000ABCD0000}"/>
    <cellStyle name="Note 3 2 3 3 2 5" xfId="31528" xr:uid="{00000000-0005-0000-0000-0000ACCD0000}"/>
    <cellStyle name="Note 3 2 3 3 3" xfId="3495" xr:uid="{00000000-0005-0000-0000-0000ADCD0000}"/>
    <cellStyle name="Note 3 2 3 3 3 2" xfId="6599" xr:uid="{00000000-0005-0000-0000-0000AECD0000}"/>
    <cellStyle name="Note 3 2 3 3 3 2 2" xfId="13871" xr:uid="{00000000-0005-0000-0000-0000AFCD0000}"/>
    <cellStyle name="Note 3 2 3 3 3 2 2 2" xfId="28405" xr:uid="{00000000-0005-0000-0000-0000B0CD0000}"/>
    <cellStyle name="Note 3 2 3 3 3 2 2 2 2" xfId="57411" xr:uid="{00000000-0005-0000-0000-0000B1CD0000}"/>
    <cellStyle name="Note 3 2 3 3 3 2 2 3" xfId="42912" xr:uid="{00000000-0005-0000-0000-0000B2CD0000}"/>
    <cellStyle name="Note 3 2 3 3 3 2 3" xfId="21157" xr:uid="{00000000-0005-0000-0000-0000B3CD0000}"/>
    <cellStyle name="Note 3 2 3 3 3 2 3 2" xfId="50163" xr:uid="{00000000-0005-0000-0000-0000B4CD0000}"/>
    <cellStyle name="Note 3 2 3 3 3 2 4" xfId="35664" xr:uid="{00000000-0005-0000-0000-0000B5CD0000}"/>
    <cellStyle name="Note 3 2 3 3 3 3" xfId="10767" xr:uid="{00000000-0005-0000-0000-0000B6CD0000}"/>
    <cellStyle name="Note 3 2 3 3 3 3 2" xfId="25301" xr:uid="{00000000-0005-0000-0000-0000B7CD0000}"/>
    <cellStyle name="Note 3 2 3 3 3 3 2 2" xfId="54307" xr:uid="{00000000-0005-0000-0000-0000B8CD0000}"/>
    <cellStyle name="Note 3 2 3 3 3 3 3" xfId="39808" xr:uid="{00000000-0005-0000-0000-0000B9CD0000}"/>
    <cellStyle name="Note 3 2 3 3 3 4" xfId="18053" xr:uid="{00000000-0005-0000-0000-0000BACD0000}"/>
    <cellStyle name="Note 3 2 3 3 3 4 2" xfId="47059" xr:uid="{00000000-0005-0000-0000-0000BBCD0000}"/>
    <cellStyle name="Note 3 2 3 3 3 5" xfId="32560" xr:uid="{00000000-0005-0000-0000-0000BCCD0000}"/>
    <cellStyle name="Note 3 2 3 3 4" xfId="4527" xr:uid="{00000000-0005-0000-0000-0000BDCD0000}"/>
    <cellStyle name="Note 3 2 3 3 4 2" xfId="11799" xr:uid="{00000000-0005-0000-0000-0000BECD0000}"/>
    <cellStyle name="Note 3 2 3 3 4 2 2" xfId="26333" xr:uid="{00000000-0005-0000-0000-0000BFCD0000}"/>
    <cellStyle name="Note 3 2 3 3 4 2 2 2" xfId="55339" xr:uid="{00000000-0005-0000-0000-0000C0CD0000}"/>
    <cellStyle name="Note 3 2 3 3 4 2 3" xfId="40840" xr:uid="{00000000-0005-0000-0000-0000C1CD0000}"/>
    <cellStyle name="Note 3 2 3 3 4 3" xfId="19085" xr:uid="{00000000-0005-0000-0000-0000C2CD0000}"/>
    <cellStyle name="Note 3 2 3 3 4 3 2" xfId="48091" xr:uid="{00000000-0005-0000-0000-0000C3CD0000}"/>
    <cellStyle name="Note 3 2 3 3 4 4" xfId="33592" xr:uid="{00000000-0005-0000-0000-0000C4CD0000}"/>
    <cellStyle name="Note 3 2 3 3 5" xfId="7631" xr:uid="{00000000-0005-0000-0000-0000C5CD0000}"/>
    <cellStyle name="Note 3 2 3 3 5 2" xfId="14903" xr:uid="{00000000-0005-0000-0000-0000C6CD0000}"/>
    <cellStyle name="Note 3 2 3 3 5 2 2" xfId="29437" xr:uid="{00000000-0005-0000-0000-0000C7CD0000}"/>
    <cellStyle name="Note 3 2 3 3 5 2 2 2" xfId="58443" xr:uid="{00000000-0005-0000-0000-0000C8CD0000}"/>
    <cellStyle name="Note 3 2 3 3 5 2 3" xfId="43944" xr:uid="{00000000-0005-0000-0000-0000C9CD0000}"/>
    <cellStyle name="Note 3 2 3 3 5 3" xfId="22189" xr:uid="{00000000-0005-0000-0000-0000CACD0000}"/>
    <cellStyle name="Note 3 2 3 3 5 3 2" xfId="51195" xr:uid="{00000000-0005-0000-0000-0000CBCD0000}"/>
    <cellStyle name="Note 3 2 3 3 5 4" xfId="36696" xr:uid="{00000000-0005-0000-0000-0000CCCD0000}"/>
    <cellStyle name="Note 3 2 3 3 6" xfId="8695" xr:uid="{00000000-0005-0000-0000-0000CDCD0000}"/>
    <cellStyle name="Note 3 2 3 3 6 2" xfId="23229" xr:uid="{00000000-0005-0000-0000-0000CECD0000}"/>
    <cellStyle name="Note 3 2 3 3 6 2 2" xfId="52235" xr:uid="{00000000-0005-0000-0000-0000CFCD0000}"/>
    <cellStyle name="Note 3 2 3 3 6 3" xfId="37736" xr:uid="{00000000-0005-0000-0000-0000D0CD0000}"/>
    <cellStyle name="Note 3 2 3 3 7" xfId="15981" xr:uid="{00000000-0005-0000-0000-0000D1CD0000}"/>
    <cellStyle name="Note 3 2 3 3 7 2" xfId="44987" xr:uid="{00000000-0005-0000-0000-0000D2CD0000}"/>
    <cellStyle name="Note 3 2 3 3 8" xfId="30488" xr:uid="{00000000-0005-0000-0000-0000D3CD0000}"/>
    <cellStyle name="Note 3 2 3 4" xfId="1951" xr:uid="{00000000-0005-0000-0000-0000D4CD0000}"/>
    <cellStyle name="Note 3 2 3 4 2" xfId="5055" xr:uid="{00000000-0005-0000-0000-0000D5CD0000}"/>
    <cellStyle name="Note 3 2 3 4 2 2" xfId="12327" xr:uid="{00000000-0005-0000-0000-0000D6CD0000}"/>
    <cellStyle name="Note 3 2 3 4 2 2 2" xfId="26861" xr:uid="{00000000-0005-0000-0000-0000D7CD0000}"/>
    <cellStyle name="Note 3 2 3 4 2 2 2 2" xfId="55867" xr:uid="{00000000-0005-0000-0000-0000D8CD0000}"/>
    <cellStyle name="Note 3 2 3 4 2 2 3" xfId="41368" xr:uid="{00000000-0005-0000-0000-0000D9CD0000}"/>
    <cellStyle name="Note 3 2 3 4 2 3" xfId="19613" xr:uid="{00000000-0005-0000-0000-0000DACD0000}"/>
    <cellStyle name="Note 3 2 3 4 2 3 2" xfId="48619" xr:uid="{00000000-0005-0000-0000-0000DBCD0000}"/>
    <cellStyle name="Note 3 2 3 4 2 4" xfId="34120" xr:uid="{00000000-0005-0000-0000-0000DCCD0000}"/>
    <cellStyle name="Note 3 2 3 4 3" xfId="9223" xr:uid="{00000000-0005-0000-0000-0000DDCD0000}"/>
    <cellStyle name="Note 3 2 3 4 3 2" xfId="23757" xr:uid="{00000000-0005-0000-0000-0000DECD0000}"/>
    <cellStyle name="Note 3 2 3 4 3 2 2" xfId="52763" xr:uid="{00000000-0005-0000-0000-0000DFCD0000}"/>
    <cellStyle name="Note 3 2 3 4 3 3" xfId="38264" xr:uid="{00000000-0005-0000-0000-0000E0CD0000}"/>
    <cellStyle name="Note 3 2 3 4 4" xfId="16509" xr:uid="{00000000-0005-0000-0000-0000E1CD0000}"/>
    <cellStyle name="Note 3 2 3 4 4 2" xfId="45515" xr:uid="{00000000-0005-0000-0000-0000E2CD0000}"/>
    <cellStyle name="Note 3 2 3 4 5" xfId="31016" xr:uid="{00000000-0005-0000-0000-0000E3CD0000}"/>
    <cellStyle name="Note 3 2 3 5" xfId="2983" xr:uid="{00000000-0005-0000-0000-0000E4CD0000}"/>
    <cellStyle name="Note 3 2 3 5 2" xfId="6087" xr:uid="{00000000-0005-0000-0000-0000E5CD0000}"/>
    <cellStyle name="Note 3 2 3 5 2 2" xfId="13359" xr:uid="{00000000-0005-0000-0000-0000E6CD0000}"/>
    <cellStyle name="Note 3 2 3 5 2 2 2" xfId="27893" xr:uid="{00000000-0005-0000-0000-0000E7CD0000}"/>
    <cellStyle name="Note 3 2 3 5 2 2 2 2" xfId="56899" xr:uid="{00000000-0005-0000-0000-0000E8CD0000}"/>
    <cellStyle name="Note 3 2 3 5 2 2 3" xfId="42400" xr:uid="{00000000-0005-0000-0000-0000E9CD0000}"/>
    <cellStyle name="Note 3 2 3 5 2 3" xfId="20645" xr:uid="{00000000-0005-0000-0000-0000EACD0000}"/>
    <cellStyle name="Note 3 2 3 5 2 3 2" xfId="49651" xr:uid="{00000000-0005-0000-0000-0000EBCD0000}"/>
    <cellStyle name="Note 3 2 3 5 2 4" xfId="35152" xr:uid="{00000000-0005-0000-0000-0000ECCD0000}"/>
    <cellStyle name="Note 3 2 3 5 3" xfId="10255" xr:uid="{00000000-0005-0000-0000-0000EDCD0000}"/>
    <cellStyle name="Note 3 2 3 5 3 2" xfId="24789" xr:uid="{00000000-0005-0000-0000-0000EECD0000}"/>
    <cellStyle name="Note 3 2 3 5 3 2 2" xfId="53795" xr:uid="{00000000-0005-0000-0000-0000EFCD0000}"/>
    <cellStyle name="Note 3 2 3 5 3 3" xfId="39296" xr:uid="{00000000-0005-0000-0000-0000F0CD0000}"/>
    <cellStyle name="Note 3 2 3 5 4" xfId="17541" xr:uid="{00000000-0005-0000-0000-0000F1CD0000}"/>
    <cellStyle name="Note 3 2 3 5 4 2" xfId="46547" xr:uid="{00000000-0005-0000-0000-0000F2CD0000}"/>
    <cellStyle name="Note 3 2 3 5 5" xfId="32048" xr:uid="{00000000-0005-0000-0000-0000F3CD0000}"/>
    <cellStyle name="Note 3 2 3 6" xfId="4015" xr:uid="{00000000-0005-0000-0000-0000F4CD0000}"/>
    <cellStyle name="Note 3 2 3 6 2" xfId="11287" xr:uid="{00000000-0005-0000-0000-0000F5CD0000}"/>
    <cellStyle name="Note 3 2 3 6 2 2" xfId="25821" xr:uid="{00000000-0005-0000-0000-0000F6CD0000}"/>
    <cellStyle name="Note 3 2 3 6 2 2 2" xfId="54827" xr:uid="{00000000-0005-0000-0000-0000F7CD0000}"/>
    <cellStyle name="Note 3 2 3 6 2 3" xfId="40328" xr:uid="{00000000-0005-0000-0000-0000F8CD0000}"/>
    <cellStyle name="Note 3 2 3 6 3" xfId="18573" xr:uid="{00000000-0005-0000-0000-0000F9CD0000}"/>
    <cellStyle name="Note 3 2 3 6 3 2" xfId="47579" xr:uid="{00000000-0005-0000-0000-0000FACD0000}"/>
    <cellStyle name="Note 3 2 3 6 4" xfId="33080" xr:uid="{00000000-0005-0000-0000-0000FBCD0000}"/>
    <cellStyle name="Note 3 2 3 7" xfId="7119" xr:uid="{00000000-0005-0000-0000-0000FCCD0000}"/>
    <cellStyle name="Note 3 2 3 7 2" xfId="14391" xr:uid="{00000000-0005-0000-0000-0000FDCD0000}"/>
    <cellStyle name="Note 3 2 3 7 2 2" xfId="28925" xr:uid="{00000000-0005-0000-0000-0000FECD0000}"/>
    <cellStyle name="Note 3 2 3 7 2 2 2" xfId="57931" xr:uid="{00000000-0005-0000-0000-0000FFCD0000}"/>
    <cellStyle name="Note 3 2 3 7 2 3" xfId="43432" xr:uid="{00000000-0005-0000-0000-000000CE0000}"/>
    <cellStyle name="Note 3 2 3 7 3" xfId="21677" xr:uid="{00000000-0005-0000-0000-000001CE0000}"/>
    <cellStyle name="Note 3 2 3 7 3 2" xfId="50683" xr:uid="{00000000-0005-0000-0000-000002CE0000}"/>
    <cellStyle name="Note 3 2 3 7 4" xfId="36184" xr:uid="{00000000-0005-0000-0000-000003CE0000}"/>
    <cellStyle name="Note 3 2 3 8" xfId="8183" xr:uid="{00000000-0005-0000-0000-000004CE0000}"/>
    <cellStyle name="Note 3 2 3 8 2" xfId="22717" xr:uid="{00000000-0005-0000-0000-000005CE0000}"/>
    <cellStyle name="Note 3 2 3 8 2 2" xfId="51723" xr:uid="{00000000-0005-0000-0000-000006CE0000}"/>
    <cellStyle name="Note 3 2 3 8 3" xfId="37224" xr:uid="{00000000-0005-0000-0000-000007CE0000}"/>
    <cellStyle name="Note 3 2 3 9" xfId="15469" xr:uid="{00000000-0005-0000-0000-000008CE0000}"/>
    <cellStyle name="Note 3 2 3 9 2" xfId="44475" xr:uid="{00000000-0005-0000-0000-000009CE0000}"/>
    <cellStyle name="Note 3 2 4" xfId="1110" xr:uid="{00000000-0005-0000-0000-00000ACE0000}"/>
    <cellStyle name="Note 3 2 4 2" xfId="1607" xr:uid="{00000000-0005-0000-0000-00000BCE0000}"/>
    <cellStyle name="Note 3 2 4 2 2" xfId="2666" xr:uid="{00000000-0005-0000-0000-00000CCE0000}"/>
    <cellStyle name="Note 3 2 4 2 2 2" xfId="5770" xr:uid="{00000000-0005-0000-0000-00000DCE0000}"/>
    <cellStyle name="Note 3 2 4 2 2 2 2" xfId="13042" xr:uid="{00000000-0005-0000-0000-00000ECE0000}"/>
    <cellStyle name="Note 3 2 4 2 2 2 2 2" xfId="27576" xr:uid="{00000000-0005-0000-0000-00000FCE0000}"/>
    <cellStyle name="Note 3 2 4 2 2 2 2 2 2" xfId="56582" xr:uid="{00000000-0005-0000-0000-000010CE0000}"/>
    <cellStyle name="Note 3 2 4 2 2 2 2 3" xfId="42083" xr:uid="{00000000-0005-0000-0000-000011CE0000}"/>
    <cellStyle name="Note 3 2 4 2 2 2 3" xfId="20328" xr:uid="{00000000-0005-0000-0000-000012CE0000}"/>
    <cellStyle name="Note 3 2 4 2 2 2 3 2" xfId="49334" xr:uid="{00000000-0005-0000-0000-000013CE0000}"/>
    <cellStyle name="Note 3 2 4 2 2 2 4" xfId="34835" xr:uid="{00000000-0005-0000-0000-000014CE0000}"/>
    <cellStyle name="Note 3 2 4 2 2 3" xfId="9938" xr:uid="{00000000-0005-0000-0000-000015CE0000}"/>
    <cellStyle name="Note 3 2 4 2 2 3 2" xfId="24472" xr:uid="{00000000-0005-0000-0000-000016CE0000}"/>
    <cellStyle name="Note 3 2 4 2 2 3 2 2" xfId="53478" xr:uid="{00000000-0005-0000-0000-000017CE0000}"/>
    <cellStyle name="Note 3 2 4 2 2 3 3" xfId="38979" xr:uid="{00000000-0005-0000-0000-000018CE0000}"/>
    <cellStyle name="Note 3 2 4 2 2 4" xfId="17224" xr:uid="{00000000-0005-0000-0000-000019CE0000}"/>
    <cellStyle name="Note 3 2 4 2 2 4 2" xfId="46230" xr:uid="{00000000-0005-0000-0000-00001ACE0000}"/>
    <cellStyle name="Note 3 2 4 2 2 5" xfId="31731" xr:uid="{00000000-0005-0000-0000-00001BCE0000}"/>
    <cellStyle name="Note 3 2 4 2 3" xfId="3698" xr:uid="{00000000-0005-0000-0000-00001CCE0000}"/>
    <cellStyle name="Note 3 2 4 2 3 2" xfId="6802" xr:uid="{00000000-0005-0000-0000-00001DCE0000}"/>
    <cellStyle name="Note 3 2 4 2 3 2 2" xfId="14074" xr:uid="{00000000-0005-0000-0000-00001ECE0000}"/>
    <cellStyle name="Note 3 2 4 2 3 2 2 2" xfId="28608" xr:uid="{00000000-0005-0000-0000-00001FCE0000}"/>
    <cellStyle name="Note 3 2 4 2 3 2 2 2 2" xfId="57614" xr:uid="{00000000-0005-0000-0000-000020CE0000}"/>
    <cellStyle name="Note 3 2 4 2 3 2 2 3" xfId="43115" xr:uid="{00000000-0005-0000-0000-000021CE0000}"/>
    <cellStyle name="Note 3 2 4 2 3 2 3" xfId="21360" xr:uid="{00000000-0005-0000-0000-000022CE0000}"/>
    <cellStyle name="Note 3 2 4 2 3 2 3 2" xfId="50366" xr:uid="{00000000-0005-0000-0000-000023CE0000}"/>
    <cellStyle name="Note 3 2 4 2 3 2 4" xfId="35867" xr:uid="{00000000-0005-0000-0000-000024CE0000}"/>
    <cellStyle name="Note 3 2 4 2 3 3" xfId="10970" xr:uid="{00000000-0005-0000-0000-000025CE0000}"/>
    <cellStyle name="Note 3 2 4 2 3 3 2" xfId="25504" xr:uid="{00000000-0005-0000-0000-000026CE0000}"/>
    <cellStyle name="Note 3 2 4 2 3 3 2 2" xfId="54510" xr:uid="{00000000-0005-0000-0000-000027CE0000}"/>
    <cellStyle name="Note 3 2 4 2 3 3 3" xfId="40011" xr:uid="{00000000-0005-0000-0000-000028CE0000}"/>
    <cellStyle name="Note 3 2 4 2 3 4" xfId="18256" xr:uid="{00000000-0005-0000-0000-000029CE0000}"/>
    <cellStyle name="Note 3 2 4 2 3 4 2" xfId="47262" xr:uid="{00000000-0005-0000-0000-00002ACE0000}"/>
    <cellStyle name="Note 3 2 4 2 3 5" xfId="32763" xr:uid="{00000000-0005-0000-0000-00002BCE0000}"/>
    <cellStyle name="Note 3 2 4 2 4" xfId="4730" xr:uid="{00000000-0005-0000-0000-00002CCE0000}"/>
    <cellStyle name="Note 3 2 4 2 4 2" xfId="12002" xr:uid="{00000000-0005-0000-0000-00002DCE0000}"/>
    <cellStyle name="Note 3 2 4 2 4 2 2" xfId="26536" xr:uid="{00000000-0005-0000-0000-00002ECE0000}"/>
    <cellStyle name="Note 3 2 4 2 4 2 2 2" xfId="55542" xr:uid="{00000000-0005-0000-0000-00002FCE0000}"/>
    <cellStyle name="Note 3 2 4 2 4 2 3" xfId="41043" xr:uid="{00000000-0005-0000-0000-000030CE0000}"/>
    <cellStyle name="Note 3 2 4 2 4 3" xfId="19288" xr:uid="{00000000-0005-0000-0000-000031CE0000}"/>
    <cellStyle name="Note 3 2 4 2 4 3 2" xfId="48294" xr:uid="{00000000-0005-0000-0000-000032CE0000}"/>
    <cellStyle name="Note 3 2 4 2 4 4" xfId="33795" xr:uid="{00000000-0005-0000-0000-000033CE0000}"/>
    <cellStyle name="Note 3 2 4 2 5" xfId="7834" xr:uid="{00000000-0005-0000-0000-000034CE0000}"/>
    <cellStyle name="Note 3 2 4 2 5 2" xfId="15106" xr:uid="{00000000-0005-0000-0000-000035CE0000}"/>
    <cellStyle name="Note 3 2 4 2 5 2 2" xfId="29640" xr:uid="{00000000-0005-0000-0000-000036CE0000}"/>
    <cellStyle name="Note 3 2 4 2 5 2 2 2" xfId="58646" xr:uid="{00000000-0005-0000-0000-000037CE0000}"/>
    <cellStyle name="Note 3 2 4 2 5 2 3" xfId="44147" xr:uid="{00000000-0005-0000-0000-000038CE0000}"/>
    <cellStyle name="Note 3 2 4 2 5 3" xfId="22392" xr:uid="{00000000-0005-0000-0000-000039CE0000}"/>
    <cellStyle name="Note 3 2 4 2 5 3 2" xfId="51398" xr:uid="{00000000-0005-0000-0000-00003ACE0000}"/>
    <cellStyle name="Note 3 2 4 2 5 4" xfId="36899" xr:uid="{00000000-0005-0000-0000-00003BCE0000}"/>
    <cellStyle name="Note 3 2 4 2 6" xfId="8898" xr:uid="{00000000-0005-0000-0000-00003CCE0000}"/>
    <cellStyle name="Note 3 2 4 2 6 2" xfId="23432" xr:uid="{00000000-0005-0000-0000-00003DCE0000}"/>
    <cellStyle name="Note 3 2 4 2 6 2 2" xfId="52438" xr:uid="{00000000-0005-0000-0000-00003ECE0000}"/>
    <cellStyle name="Note 3 2 4 2 6 3" xfId="37939" xr:uid="{00000000-0005-0000-0000-00003FCE0000}"/>
    <cellStyle name="Note 3 2 4 2 7" xfId="16184" xr:uid="{00000000-0005-0000-0000-000040CE0000}"/>
    <cellStyle name="Note 3 2 4 2 7 2" xfId="45190" xr:uid="{00000000-0005-0000-0000-000041CE0000}"/>
    <cellStyle name="Note 3 2 4 2 8" xfId="30691" xr:uid="{00000000-0005-0000-0000-000042CE0000}"/>
    <cellStyle name="Note 3 2 4 3" xfId="2154" xr:uid="{00000000-0005-0000-0000-000043CE0000}"/>
    <cellStyle name="Note 3 2 4 3 2" xfId="5258" xr:uid="{00000000-0005-0000-0000-000044CE0000}"/>
    <cellStyle name="Note 3 2 4 3 2 2" xfId="12530" xr:uid="{00000000-0005-0000-0000-000045CE0000}"/>
    <cellStyle name="Note 3 2 4 3 2 2 2" xfId="27064" xr:uid="{00000000-0005-0000-0000-000046CE0000}"/>
    <cellStyle name="Note 3 2 4 3 2 2 2 2" xfId="56070" xr:uid="{00000000-0005-0000-0000-000047CE0000}"/>
    <cellStyle name="Note 3 2 4 3 2 2 3" xfId="41571" xr:uid="{00000000-0005-0000-0000-000048CE0000}"/>
    <cellStyle name="Note 3 2 4 3 2 3" xfId="19816" xr:uid="{00000000-0005-0000-0000-000049CE0000}"/>
    <cellStyle name="Note 3 2 4 3 2 3 2" xfId="48822" xr:uid="{00000000-0005-0000-0000-00004ACE0000}"/>
    <cellStyle name="Note 3 2 4 3 2 4" xfId="34323" xr:uid="{00000000-0005-0000-0000-00004BCE0000}"/>
    <cellStyle name="Note 3 2 4 3 3" xfId="9426" xr:uid="{00000000-0005-0000-0000-00004CCE0000}"/>
    <cellStyle name="Note 3 2 4 3 3 2" xfId="23960" xr:uid="{00000000-0005-0000-0000-00004DCE0000}"/>
    <cellStyle name="Note 3 2 4 3 3 2 2" xfId="52966" xr:uid="{00000000-0005-0000-0000-00004ECE0000}"/>
    <cellStyle name="Note 3 2 4 3 3 3" xfId="38467" xr:uid="{00000000-0005-0000-0000-00004FCE0000}"/>
    <cellStyle name="Note 3 2 4 3 4" xfId="16712" xr:uid="{00000000-0005-0000-0000-000050CE0000}"/>
    <cellStyle name="Note 3 2 4 3 4 2" xfId="45718" xr:uid="{00000000-0005-0000-0000-000051CE0000}"/>
    <cellStyle name="Note 3 2 4 3 5" xfId="31219" xr:uid="{00000000-0005-0000-0000-000052CE0000}"/>
    <cellStyle name="Note 3 2 4 4" xfId="3186" xr:uid="{00000000-0005-0000-0000-000053CE0000}"/>
    <cellStyle name="Note 3 2 4 4 2" xfId="6290" xr:uid="{00000000-0005-0000-0000-000054CE0000}"/>
    <cellStyle name="Note 3 2 4 4 2 2" xfId="13562" xr:uid="{00000000-0005-0000-0000-000055CE0000}"/>
    <cellStyle name="Note 3 2 4 4 2 2 2" xfId="28096" xr:uid="{00000000-0005-0000-0000-000056CE0000}"/>
    <cellStyle name="Note 3 2 4 4 2 2 2 2" xfId="57102" xr:uid="{00000000-0005-0000-0000-000057CE0000}"/>
    <cellStyle name="Note 3 2 4 4 2 2 3" xfId="42603" xr:uid="{00000000-0005-0000-0000-000058CE0000}"/>
    <cellStyle name="Note 3 2 4 4 2 3" xfId="20848" xr:uid="{00000000-0005-0000-0000-000059CE0000}"/>
    <cellStyle name="Note 3 2 4 4 2 3 2" xfId="49854" xr:uid="{00000000-0005-0000-0000-00005ACE0000}"/>
    <cellStyle name="Note 3 2 4 4 2 4" xfId="35355" xr:uid="{00000000-0005-0000-0000-00005BCE0000}"/>
    <cellStyle name="Note 3 2 4 4 3" xfId="10458" xr:uid="{00000000-0005-0000-0000-00005CCE0000}"/>
    <cellStyle name="Note 3 2 4 4 3 2" xfId="24992" xr:uid="{00000000-0005-0000-0000-00005DCE0000}"/>
    <cellStyle name="Note 3 2 4 4 3 2 2" xfId="53998" xr:uid="{00000000-0005-0000-0000-00005ECE0000}"/>
    <cellStyle name="Note 3 2 4 4 3 3" xfId="39499" xr:uid="{00000000-0005-0000-0000-00005FCE0000}"/>
    <cellStyle name="Note 3 2 4 4 4" xfId="17744" xr:uid="{00000000-0005-0000-0000-000060CE0000}"/>
    <cellStyle name="Note 3 2 4 4 4 2" xfId="46750" xr:uid="{00000000-0005-0000-0000-000061CE0000}"/>
    <cellStyle name="Note 3 2 4 4 5" xfId="32251" xr:uid="{00000000-0005-0000-0000-000062CE0000}"/>
    <cellStyle name="Note 3 2 4 5" xfId="4218" xr:uid="{00000000-0005-0000-0000-000063CE0000}"/>
    <cellStyle name="Note 3 2 4 5 2" xfId="11490" xr:uid="{00000000-0005-0000-0000-000064CE0000}"/>
    <cellStyle name="Note 3 2 4 5 2 2" xfId="26024" xr:uid="{00000000-0005-0000-0000-000065CE0000}"/>
    <cellStyle name="Note 3 2 4 5 2 2 2" xfId="55030" xr:uid="{00000000-0005-0000-0000-000066CE0000}"/>
    <cellStyle name="Note 3 2 4 5 2 3" xfId="40531" xr:uid="{00000000-0005-0000-0000-000067CE0000}"/>
    <cellStyle name="Note 3 2 4 5 3" xfId="18776" xr:uid="{00000000-0005-0000-0000-000068CE0000}"/>
    <cellStyle name="Note 3 2 4 5 3 2" xfId="47782" xr:uid="{00000000-0005-0000-0000-000069CE0000}"/>
    <cellStyle name="Note 3 2 4 5 4" xfId="33283" xr:uid="{00000000-0005-0000-0000-00006ACE0000}"/>
    <cellStyle name="Note 3 2 4 6" xfId="7322" xr:uid="{00000000-0005-0000-0000-00006BCE0000}"/>
    <cellStyle name="Note 3 2 4 6 2" xfId="14594" xr:uid="{00000000-0005-0000-0000-00006CCE0000}"/>
    <cellStyle name="Note 3 2 4 6 2 2" xfId="29128" xr:uid="{00000000-0005-0000-0000-00006DCE0000}"/>
    <cellStyle name="Note 3 2 4 6 2 2 2" xfId="58134" xr:uid="{00000000-0005-0000-0000-00006ECE0000}"/>
    <cellStyle name="Note 3 2 4 6 2 3" xfId="43635" xr:uid="{00000000-0005-0000-0000-00006FCE0000}"/>
    <cellStyle name="Note 3 2 4 6 3" xfId="21880" xr:uid="{00000000-0005-0000-0000-000070CE0000}"/>
    <cellStyle name="Note 3 2 4 6 3 2" xfId="50886" xr:uid="{00000000-0005-0000-0000-000071CE0000}"/>
    <cellStyle name="Note 3 2 4 6 4" xfId="36387" xr:uid="{00000000-0005-0000-0000-000072CE0000}"/>
    <cellStyle name="Note 3 2 4 7" xfId="8386" xr:uid="{00000000-0005-0000-0000-000073CE0000}"/>
    <cellStyle name="Note 3 2 4 7 2" xfId="22920" xr:uid="{00000000-0005-0000-0000-000074CE0000}"/>
    <cellStyle name="Note 3 2 4 7 2 2" xfId="51926" xr:uid="{00000000-0005-0000-0000-000075CE0000}"/>
    <cellStyle name="Note 3 2 4 7 3" xfId="37427" xr:uid="{00000000-0005-0000-0000-000076CE0000}"/>
    <cellStyle name="Note 3 2 4 8" xfId="15672" xr:uid="{00000000-0005-0000-0000-000077CE0000}"/>
    <cellStyle name="Note 3 2 4 8 2" xfId="44678" xr:uid="{00000000-0005-0000-0000-000078CE0000}"/>
    <cellStyle name="Note 3 2 4 9" xfId="30179" xr:uid="{00000000-0005-0000-0000-000079CE0000}"/>
    <cellStyle name="Note 3 2 5" xfId="1020" xr:uid="{00000000-0005-0000-0000-00007ACE0000}"/>
    <cellStyle name="Note 3 2 5 2" xfId="1508" xr:uid="{00000000-0005-0000-0000-00007BCE0000}"/>
    <cellStyle name="Note 3 2 5 2 2" xfId="2566" xr:uid="{00000000-0005-0000-0000-00007CCE0000}"/>
    <cellStyle name="Note 3 2 5 2 2 2" xfId="5670" xr:uid="{00000000-0005-0000-0000-00007DCE0000}"/>
    <cellStyle name="Note 3 2 5 2 2 2 2" xfId="12942" xr:uid="{00000000-0005-0000-0000-00007ECE0000}"/>
    <cellStyle name="Note 3 2 5 2 2 2 2 2" xfId="27476" xr:uid="{00000000-0005-0000-0000-00007FCE0000}"/>
    <cellStyle name="Note 3 2 5 2 2 2 2 2 2" xfId="56482" xr:uid="{00000000-0005-0000-0000-000080CE0000}"/>
    <cellStyle name="Note 3 2 5 2 2 2 2 3" xfId="41983" xr:uid="{00000000-0005-0000-0000-000081CE0000}"/>
    <cellStyle name="Note 3 2 5 2 2 2 3" xfId="20228" xr:uid="{00000000-0005-0000-0000-000082CE0000}"/>
    <cellStyle name="Note 3 2 5 2 2 2 3 2" xfId="49234" xr:uid="{00000000-0005-0000-0000-000083CE0000}"/>
    <cellStyle name="Note 3 2 5 2 2 2 4" xfId="34735" xr:uid="{00000000-0005-0000-0000-000084CE0000}"/>
    <cellStyle name="Note 3 2 5 2 2 3" xfId="9838" xr:uid="{00000000-0005-0000-0000-000085CE0000}"/>
    <cellStyle name="Note 3 2 5 2 2 3 2" xfId="24372" xr:uid="{00000000-0005-0000-0000-000086CE0000}"/>
    <cellStyle name="Note 3 2 5 2 2 3 2 2" xfId="53378" xr:uid="{00000000-0005-0000-0000-000087CE0000}"/>
    <cellStyle name="Note 3 2 5 2 2 3 3" xfId="38879" xr:uid="{00000000-0005-0000-0000-000088CE0000}"/>
    <cellStyle name="Note 3 2 5 2 2 4" xfId="17124" xr:uid="{00000000-0005-0000-0000-000089CE0000}"/>
    <cellStyle name="Note 3 2 5 2 2 4 2" xfId="46130" xr:uid="{00000000-0005-0000-0000-00008ACE0000}"/>
    <cellStyle name="Note 3 2 5 2 2 5" xfId="31631" xr:uid="{00000000-0005-0000-0000-00008BCE0000}"/>
    <cellStyle name="Note 3 2 5 2 3" xfId="3598" xr:uid="{00000000-0005-0000-0000-00008CCE0000}"/>
    <cellStyle name="Note 3 2 5 2 3 2" xfId="6702" xr:uid="{00000000-0005-0000-0000-00008DCE0000}"/>
    <cellStyle name="Note 3 2 5 2 3 2 2" xfId="13974" xr:uid="{00000000-0005-0000-0000-00008ECE0000}"/>
    <cellStyle name="Note 3 2 5 2 3 2 2 2" xfId="28508" xr:uid="{00000000-0005-0000-0000-00008FCE0000}"/>
    <cellStyle name="Note 3 2 5 2 3 2 2 2 2" xfId="57514" xr:uid="{00000000-0005-0000-0000-000090CE0000}"/>
    <cellStyle name="Note 3 2 5 2 3 2 2 3" xfId="43015" xr:uid="{00000000-0005-0000-0000-000091CE0000}"/>
    <cellStyle name="Note 3 2 5 2 3 2 3" xfId="21260" xr:uid="{00000000-0005-0000-0000-000092CE0000}"/>
    <cellStyle name="Note 3 2 5 2 3 2 3 2" xfId="50266" xr:uid="{00000000-0005-0000-0000-000093CE0000}"/>
    <cellStyle name="Note 3 2 5 2 3 2 4" xfId="35767" xr:uid="{00000000-0005-0000-0000-000094CE0000}"/>
    <cellStyle name="Note 3 2 5 2 3 3" xfId="10870" xr:uid="{00000000-0005-0000-0000-000095CE0000}"/>
    <cellStyle name="Note 3 2 5 2 3 3 2" xfId="25404" xr:uid="{00000000-0005-0000-0000-000096CE0000}"/>
    <cellStyle name="Note 3 2 5 2 3 3 2 2" xfId="54410" xr:uid="{00000000-0005-0000-0000-000097CE0000}"/>
    <cellStyle name="Note 3 2 5 2 3 3 3" xfId="39911" xr:uid="{00000000-0005-0000-0000-000098CE0000}"/>
    <cellStyle name="Note 3 2 5 2 3 4" xfId="18156" xr:uid="{00000000-0005-0000-0000-000099CE0000}"/>
    <cellStyle name="Note 3 2 5 2 3 4 2" xfId="47162" xr:uid="{00000000-0005-0000-0000-00009ACE0000}"/>
    <cellStyle name="Note 3 2 5 2 3 5" xfId="32663" xr:uid="{00000000-0005-0000-0000-00009BCE0000}"/>
    <cellStyle name="Note 3 2 5 2 4" xfId="4630" xr:uid="{00000000-0005-0000-0000-00009CCE0000}"/>
    <cellStyle name="Note 3 2 5 2 4 2" xfId="11902" xr:uid="{00000000-0005-0000-0000-00009DCE0000}"/>
    <cellStyle name="Note 3 2 5 2 4 2 2" xfId="26436" xr:uid="{00000000-0005-0000-0000-00009ECE0000}"/>
    <cellStyle name="Note 3 2 5 2 4 2 2 2" xfId="55442" xr:uid="{00000000-0005-0000-0000-00009FCE0000}"/>
    <cellStyle name="Note 3 2 5 2 4 2 3" xfId="40943" xr:uid="{00000000-0005-0000-0000-0000A0CE0000}"/>
    <cellStyle name="Note 3 2 5 2 4 3" xfId="19188" xr:uid="{00000000-0005-0000-0000-0000A1CE0000}"/>
    <cellStyle name="Note 3 2 5 2 4 3 2" xfId="48194" xr:uid="{00000000-0005-0000-0000-0000A2CE0000}"/>
    <cellStyle name="Note 3 2 5 2 4 4" xfId="33695" xr:uid="{00000000-0005-0000-0000-0000A3CE0000}"/>
    <cellStyle name="Note 3 2 5 2 5" xfId="7734" xr:uid="{00000000-0005-0000-0000-0000A4CE0000}"/>
    <cellStyle name="Note 3 2 5 2 5 2" xfId="15006" xr:uid="{00000000-0005-0000-0000-0000A5CE0000}"/>
    <cellStyle name="Note 3 2 5 2 5 2 2" xfId="29540" xr:uid="{00000000-0005-0000-0000-0000A6CE0000}"/>
    <cellStyle name="Note 3 2 5 2 5 2 2 2" xfId="58546" xr:uid="{00000000-0005-0000-0000-0000A7CE0000}"/>
    <cellStyle name="Note 3 2 5 2 5 2 3" xfId="44047" xr:uid="{00000000-0005-0000-0000-0000A8CE0000}"/>
    <cellStyle name="Note 3 2 5 2 5 3" xfId="22292" xr:uid="{00000000-0005-0000-0000-0000A9CE0000}"/>
    <cellStyle name="Note 3 2 5 2 5 3 2" xfId="51298" xr:uid="{00000000-0005-0000-0000-0000AACE0000}"/>
    <cellStyle name="Note 3 2 5 2 5 4" xfId="36799" xr:uid="{00000000-0005-0000-0000-0000ABCE0000}"/>
    <cellStyle name="Note 3 2 5 2 6" xfId="8798" xr:uid="{00000000-0005-0000-0000-0000ACCE0000}"/>
    <cellStyle name="Note 3 2 5 2 6 2" xfId="23332" xr:uid="{00000000-0005-0000-0000-0000ADCE0000}"/>
    <cellStyle name="Note 3 2 5 2 6 2 2" xfId="52338" xr:uid="{00000000-0005-0000-0000-0000AECE0000}"/>
    <cellStyle name="Note 3 2 5 2 6 3" xfId="37839" xr:uid="{00000000-0005-0000-0000-0000AFCE0000}"/>
    <cellStyle name="Note 3 2 5 2 7" xfId="16084" xr:uid="{00000000-0005-0000-0000-0000B0CE0000}"/>
    <cellStyle name="Note 3 2 5 2 7 2" xfId="45090" xr:uid="{00000000-0005-0000-0000-0000B1CE0000}"/>
    <cellStyle name="Note 3 2 5 2 8" xfId="30591" xr:uid="{00000000-0005-0000-0000-0000B2CE0000}"/>
    <cellStyle name="Note 3 2 5 3" xfId="2054" xr:uid="{00000000-0005-0000-0000-0000B3CE0000}"/>
    <cellStyle name="Note 3 2 5 3 2" xfId="5158" xr:uid="{00000000-0005-0000-0000-0000B4CE0000}"/>
    <cellStyle name="Note 3 2 5 3 2 2" xfId="12430" xr:uid="{00000000-0005-0000-0000-0000B5CE0000}"/>
    <cellStyle name="Note 3 2 5 3 2 2 2" xfId="26964" xr:uid="{00000000-0005-0000-0000-0000B6CE0000}"/>
    <cellStyle name="Note 3 2 5 3 2 2 2 2" xfId="55970" xr:uid="{00000000-0005-0000-0000-0000B7CE0000}"/>
    <cellStyle name="Note 3 2 5 3 2 2 3" xfId="41471" xr:uid="{00000000-0005-0000-0000-0000B8CE0000}"/>
    <cellStyle name="Note 3 2 5 3 2 3" xfId="19716" xr:uid="{00000000-0005-0000-0000-0000B9CE0000}"/>
    <cellStyle name="Note 3 2 5 3 2 3 2" xfId="48722" xr:uid="{00000000-0005-0000-0000-0000BACE0000}"/>
    <cellStyle name="Note 3 2 5 3 2 4" xfId="34223" xr:uid="{00000000-0005-0000-0000-0000BBCE0000}"/>
    <cellStyle name="Note 3 2 5 3 3" xfId="9326" xr:uid="{00000000-0005-0000-0000-0000BCCE0000}"/>
    <cellStyle name="Note 3 2 5 3 3 2" xfId="23860" xr:uid="{00000000-0005-0000-0000-0000BDCE0000}"/>
    <cellStyle name="Note 3 2 5 3 3 2 2" xfId="52866" xr:uid="{00000000-0005-0000-0000-0000BECE0000}"/>
    <cellStyle name="Note 3 2 5 3 3 3" xfId="38367" xr:uid="{00000000-0005-0000-0000-0000BFCE0000}"/>
    <cellStyle name="Note 3 2 5 3 4" xfId="16612" xr:uid="{00000000-0005-0000-0000-0000C0CE0000}"/>
    <cellStyle name="Note 3 2 5 3 4 2" xfId="45618" xr:uid="{00000000-0005-0000-0000-0000C1CE0000}"/>
    <cellStyle name="Note 3 2 5 3 5" xfId="31119" xr:uid="{00000000-0005-0000-0000-0000C2CE0000}"/>
    <cellStyle name="Note 3 2 5 4" xfId="3086" xr:uid="{00000000-0005-0000-0000-0000C3CE0000}"/>
    <cellStyle name="Note 3 2 5 4 2" xfId="6190" xr:uid="{00000000-0005-0000-0000-0000C4CE0000}"/>
    <cellStyle name="Note 3 2 5 4 2 2" xfId="13462" xr:uid="{00000000-0005-0000-0000-0000C5CE0000}"/>
    <cellStyle name="Note 3 2 5 4 2 2 2" xfId="27996" xr:uid="{00000000-0005-0000-0000-0000C6CE0000}"/>
    <cellStyle name="Note 3 2 5 4 2 2 2 2" xfId="57002" xr:uid="{00000000-0005-0000-0000-0000C7CE0000}"/>
    <cellStyle name="Note 3 2 5 4 2 2 3" xfId="42503" xr:uid="{00000000-0005-0000-0000-0000C8CE0000}"/>
    <cellStyle name="Note 3 2 5 4 2 3" xfId="20748" xr:uid="{00000000-0005-0000-0000-0000C9CE0000}"/>
    <cellStyle name="Note 3 2 5 4 2 3 2" xfId="49754" xr:uid="{00000000-0005-0000-0000-0000CACE0000}"/>
    <cellStyle name="Note 3 2 5 4 2 4" xfId="35255" xr:uid="{00000000-0005-0000-0000-0000CBCE0000}"/>
    <cellStyle name="Note 3 2 5 4 3" xfId="10358" xr:uid="{00000000-0005-0000-0000-0000CCCE0000}"/>
    <cellStyle name="Note 3 2 5 4 3 2" xfId="24892" xr:uid="{00000000-0005-0000-0000-0000CDCE0000}"/>
    <cellStyle name="Note 3 2 5 4 3 2 2" xfId="53898" xr:uid="{00000000-0005-0000-0000-0000CECE0000}"/>
    <cellStyle name="Note 3 2 5 4 3 3" xfId="39399" xr:uid="{00000000-0005-0000-0000-0000CFCE0000}"/>
    <cellStyle name="Note 3 2 5 4 4" xfId="17644" xr:uid="{00000000-0005-0000-0000-0000D0CE0000}"/>
    <cellStyle name="Note 3 2 5 4 4 2" xfId="46650" xr:uid="{00000000-0005-0000-0000-0000D1CE0000}"/>
    <cellStyle name="Note 3 2 5 4 5" xfId="32151" xr:uid="{00000000-0005-0000-0000-0000D2CE0000}"/>
    <cellStyle name="Note 3 2 5 5" xfId="4118" xr:uid="{00000000-0005-0000-0000-0000D3CE0000}"/>
    <cellStyle name="Note 3 2 5 5 2" xfId="11390" xr:uid="{00000000-0005-0000-0000-0000D4CE0000}"/>
    <cellStyle name="Note 3 2 5 5 2 2" xfId="25924" xr:uid="{00000000-0005-0000-0000-0000D5CE0000}"/>
    <cellStyle name="Note 3 2 5 5 2 2 2" xfId="54930" xr:uid="{00000000-0005-0000-0000-0000D6CE0000}"/>
    <cellStyle name="Note 3 2 5 5 2 3" xfId="40431" xr:uid="{00000000-0005-0000-0000-0000D7CE0000}"/>
    <cellStyle name="Note 3 2 5 5 3" xfId="18676" xr:uid="{00000000-0005-0000-0000-0000D8CE0000}"/>
    <cellStyle name="Note 3 2 5 5 3 2" xfId="47682" xr:uid="{00000000-0005-0000-0000-0000D9CE0000}"/>
    <cellStyle name="Note 3 2 5 5 4" xfId="33183" xr:uid="{00000000-0005-0000-0000-0000DACE0000}"/>
    <cellStyle name="Note 3 2 5 6" xfId="7222" xr:uid="{00000000-0005-0000-0000-0000DBCE0000}"/>
    <cellStyle name="Note 3 2 5 6 2" xfId="14494" xr:uid="{00000000-0005-0000-0000-0000DCCE0000}"/>
    <cellStyle name="Note 3 2 5 6 2 2" xfId="29028" xr:uid="{00000000-0005-0000-0000-0000DDCE0000}"/>
    <cellStyle name="Note 3 2 5 6 2 2 2" xfId="58034" xr:uid="{00000000-0005-0000-0000-0000DECE0000}"/>
    <cellStyle name="Note 3 2 5 6 2 3" xfId="43535" xr:uid="{00000000-0005-0000-0000-0000DFCE0000}"/>
    <cellStyle name="Note 3 2 5 6 3" xfId="21780" xr:uid="{00000000-0005-0000-0000-0000E0CE0000}"/>
    <cellStyle name="Note 3 2 5 6 3 2" xfId="50786" xr:uid="{00000000-0005-0000-0000-0000E1CE0000}"/>
    <cellStyle name="Note 3 2 5 6 4" xfId="36287" xr:uid="{00000000-0005-0000-0000-0000E2CE0000}"/>
    <cellStyle name="Note 3 2 5 7" xfId="8286" xr:uid="{00000000-0005-0000-0000-0000E3CE0000}"/>
    <cellStyle name="Note 3 2 5 7 2" xfId="22820" xr:uid="{00000000-0005-0000-0000-0000E4CE0000}"/>
    <cellStyle name="Note 3 2 5 7 2 2" xfId="51826" xr:uid="{00000000-0005-0000-0000-0000E5CE0000}"/>
    <cellStyle name="Note 3 2 5 7 3" xfId="37327" xr:uid="{00000000-0005-0000-0000-0000E6CE0000}"/>
    <cellStyle name="Note 3 2 5 8" xfId="15572" xr:uid="{00000000-0005-0000-0000-0000E7CE0000}"/>
    <cellStyle name="Note 3 2 5 8 2" xfId="44578" xr:uid="{00000000-0005-0000-0000-0000E8CE0000}"/>
    <cellStyle name="Note 3 2 5 9" xfId="30079" xr:uid="{00000000-0005-0000-0000-0000E9CE0000}"/>
    <cellStyle name="Note 3 2 6" xfId="1304" xr:uid="{00000000-0005-0000-0000-0000EACE0000}"/>
    <cellStyle name="Note 3 2 6 2" xfId="2360" xr:uid="{00000000-0005-0000-0000-0000EBCE0000}"/>
    <cellStyle name="Note 3 2 6 2 2" xfId="5464" xr:uid="{00000000-0005-0000-0000-0000ECCE0000}"/>
    <cellStyle name="Note 3 2 6 2 2 2" xfId="12736" xr:uid="{00000000-0005-0000-0000-0000EDCE0000}"/>
    <cellStyle name="Note 3 2 6 2 2 2 2" xfId="27270" xr:uid="{00000000-0005-0000-0000-0000EECE0000}"/>
    <cellStyle name="Note 3 2 6 2 2 2 2 2" xfId="56276" xr:uid="{00000000-0005-0000-0000-0000EFCE0000}"/>
    <cellStyle name="Note 3 2 6 2 2 2 3" xfId="41777" xr:uid="{00000000-0005-0000-0000-0000F0CE0000}"/>
    <cellStyle name="Note 3 2 6 2 2 3" xfId="20022" xr:uid="{00000000-0005-0000-0000-0000F1CE0000}"/>
    <cellStyle name="Note 3 2 6 2 2 3 2" xfId="49028" xr:uid="{00000000-0005-0000-0000-0000F2CE0000}"/>
    <cellStyle name="Note 3 2 6 2 2 4" xfId="34529" xr:uid="{00000000-0005-0000-0000-0000F3CE0000}"/>
    <cellStyle name="Note 3 2 6 2 3" xfId="9632" xr:uid="{00000000-0005-0000-0000-0000F4CE0000}"/>
    <cellStyle name="Note 3 2 6 2 3 2" xfId="24166" xr:uid="{00000000-0005-0000-0000-0000F5CE0000}"/>
    <cellStyle name="Note 3 2 6 2 3 2 2" xfId="53172" xr:uid="{00000000-0005-0000-0000-0000F6CE0000}"/>
    <cellStyle name="Note 3 2 6 2 3 3" xfId="38673" xr:uid="{00000000-0005-0000-0000-0000F7CE0000}"/>
    <cellStyle name="Note 3 2 6 2 4" xfId="16918" xr:uid="{00000000-0005-0000-0000-0000F8CE0000}"/>
    <cellStyle name="Note 3 2 6 2 4 2" xfId="45924" xr:uid="{00000000-0005-0000-0000-0000F9CE0000}"/>
    <cellStyle name="Note 3 2 6 2 5" xfId="31425" xr:uid="{00000000-0005-0000-0000-0000FACE0000}"/>
    <cellStyle name="Note 3 2 6 3" xfId="3392" xr:uid="{00000000-0005-0000-0000-0000FBCE0000}"/>
    <cellStyle name="Note 3 2 6 3 2" xfId="6496" xr:uid="{00000000-0005-0000-0000-0000FCCE0000}"/>
    <cellStyle name="Note 3 2 6 3 2 2" xfId="13768" xr:uid="{00000000-0005-0000-0000-0000FDCE0000}"/>
    <cellStyle name="Note 3 2 6 3 2 2 2" xfId="28302" xr:uid="{00000000-0005-0000-0000-0000FECE0000}"/>
    <cellStyle name="Note 3 2 6 3 2 2 2 2" xfId="57308" xr:uid="{00000000-0005-0000-0000-0000FFCE0000}"/>
    <cellStyle name="Note 3 2 6 3 2 2 3" xfId="42809" xr:uid="{00000000-0005-0000-0000-000000CF0000}"/>
    <cellStyle name="Note 3 2 6 3 2 3" xfId="21054" xr:uid="{00000000-0005-0000-0000-000001CF0000}"/>
    <cellStyle name="Note 3 2 6 3 2 3 2" xfId="50060" xr:uid="{00000000-0005-0000-0000-000002CF0000}"/>
    <cellStyle name="Note 3 2 6 3 2 4" xfId="35561" xr:uid="{00000000-0005-0000-0000-000003CF0000}"/>
    <cellStyle name="Note 3 2 6 3 3" xfId="10664" xr:uid="{00000000-0005-0000-0000-000004CF0000}"/>
    <cellStyle name="Note 3 2 6 3 3 2" xfId="25198" xr:uid="{00000000-0005-0000-0000-000005CF0000}"/>
    <cellStyle name="Note 3 2 6 3 3 2 2" xfId="54204" xr:uid="{00000000-0005-0000-0000-000006CF0000}"/>
    <cellStyle name="Note 3 2 6 3 3 3" xfId="39705" xr:uid="{00000000-0005-0000-0000-000007CF0000}"/>
    <cellStyle name="Note 3 2 6 3 4" xfId="17950" xr:uid="{00000000-0005-0000-0000-000008CF0000}"/>
    <cellStyle name="Note 3 2 6 3 4 2" xfId="46956" xr:uid="{00000000-0005-0000-0000-000009CF0000}"/>
    <cellStyle name="Note 3 2 6 3 5" xfId="32457" xr:uid="{00000000-0005-0000-0000-00000ACF0000}"/>
    <cellStyle name="Note 3 2 6 4" xfId="4424" xr:uid="{00000000-0005-0000-0000-00000BCF0000}"/>
    <cellStyle name="Note 3 2 6 4 2" xfId="11696" xr:uid="{00000000-0005-0000-0000-00000CCF0000}"/>
    <cellStyle name="Note 3 2 6 4 2 2" xfId="26230" xr:uid="{00000000-0005-0000-0000-00000DCF0000}"/>
    <cellStyle name="Note 3 2 6 4 2 2 2" xfId="55236" xr:uid="{00000000-0005-0000-0000-00000ECF0000}"/>
    <cellStyle name="Note 3 2 6 4 2 3" xfId="40737" xr:uid="{00000000-0005-0000-0000-00000FCF0000}"/>
    <cellStyle name="Note 3 2 6 4 3" xfId="18982" xr:uid="{00000000-0005-0000-0000-000010CF0000}"/>
    <cellStyle name="Note 3 2 6 4 3 2" xfId="47988" xr:uid="{00000000-0005-0000-0000-000011CF0000}"/>
    <cellStyle name="Note 3 2 6 4 4" xfId="33489" xr:uid="{00000000-0005-0000-0000-000012CF0000}"/>
    <cellStyle name="Note 3 2 6 5" xfId="7528" xr:uid="{00000000-0005-0000-0000-000013CF0000}"/>
    <cellStyle name="Note 3 2 6 5 2" xfId="14800" xr:uid="{00000000-0005-0000-0000-000014CF0000}"/>
    <cellStyle name="Note 3 2 6 5 2 2" xfId="29334" xr:uid="{00000000-0005-0000-0000-000015CF0000}"/>
    <cellStyle name="Note 3 2 6 5 2 2 2" xfId="58340" xr:uid="{00000000-0005-0000-0000-000016CF0000}"/>
    <cellStyle name="Note 3 2 6 5 2 3" xfId="43841" xr:uid="{00000000-0005-0000-0000-000017CF0000}"/>
    <cellStyle name="Note 3 2 6 5 3" xfId="22086" xr:uid="{00000000-0005-0000-0000-000018CF0000}"/>
    <cellStyle name="Note 3 2 6 5 3 2" xfId="51092" xr:uid="{00000000-0005-0000-0000-000019CF0000}"/>
    <cellStyle name="Note 3 2 6 5 4" xfId="36593" xr:uid="{00000000-0005-0000-0000-00001ACF0000}"/>
    <cellStyle name="Note 3 2 6 6" xfId="8592" xr:uid="{00000000-0005-0000-0000-00001BCF0000}"/>
    <cellStyle name="Note 3 2 6 6 2" xfId="23126" xr:uid="{00000000-0005-0000-0000-00001CCF0000}"/>
    <cellStyle name="Note 3 2 6 6 2 2" xfId="52132" xr:uid="{00000000-0005-0000-0000-00001DCF0000}"/>
    <cellStyle name="Note 3 2 6 6 3" xfId="37633" xr:uid="{00000000-0005-0000-0000-00001ECF0000}"/>
    <cellStyle name="Note 3 2 6 7" xfId="15878" xr:uid="{00000000-0005-0000-0000-00001FCF0000}"/>
    <cellStyle name="Note 3 2 6 7 2" xfId="44884" xr:uid="{00000000-0005-0000-0000-000020CF0000}"/>
    <cellStyle name="Note 3 2 6 8" xfId="30385" xr:uid="{00000000-0005-0000-0000-000021CF0000}"/>
    <cellStyle name="Note 3 2 7" xfId="1848" xr:uid="{00000000-0005-0000-0000-000022CF0000}"/>
    <cellStyle name="Note 3 2 7 2" xfId="4952" xr:uid="{00000000-0005-0000-0000-000023CF0000}"/>
    <cellStyle name="Note 3 2 7 2 2" xfId="12224" xr:uid="{00000000-0005-0000-0000-000024CF0000}"/>
    <cellStyle name="Note 3 2 7 2 2 2" xfId="26758" xr:uid="{00000000-0005-0000-0000-000025CF0000}"/>
    <cellStyle name="Note 3 2 7 2 2 2 2" xfId="55764" xr:uid="{00000000-0005-0000-0000-000026CF0000}"/>
    <cellStyle name="Note 3 2 7 2 2 3" xfId="41265" xr:uid="{00000000-0005-0000-0000-000027CF0000}"/>
    <cellStyle name="Note 3 2 7 2 3" xfId="19510" xr:uid="{00000000-0005-0000-0000-000028CF0000}"/>
    <cellStyle name="Note 3 2 7 2 3 2" xfId="48516" xr:uid="{00000000-0005-0000-0000-000029CF0000}"/>
    <cellStyle name="Note 3 2 7 2 4" xfId="34017" xr:uid="{00000000-0005-0000-0000-00002ACF0000}"/>
    <cellStyle name="Note 3 2 7 3" xfId="9120" xr:uid="{00000000-0005-0000-0000-00002BCF0000}"/>
    <cellStyle name="Note 3 2 7 3 2" xfId="23654" xr:uid="{00000000-0005-0000-0000-00002CCF0000}"/>
    <cellStyle name="Note 3 2 7 3 2 2" xfId="52660" xr:uid="{00000000-0005-0000-0000-00002DCF0000}"/>
    <cellStyle name="Note 3 2 7 3 3" xfId="38161" xr:uid="{00000000-0005-0000-0000-00002ECF0000}"/>
    <cellStyle name="Note 3 2 7 4" xfId="16406" xr:uid="{00000000-0005-0000-0000-00002FCF0000}"/>
    <cellStyle name="Note 3 2 7 4 2" xfId="45412" xr:uid="{00000000-0005-0000-0000-000030CF0000}"/>
    <cellStyle name="Note 3 2 7 5" xfId="30913" xr:uid="{00000000-0005-0000-0000-000031CF0000}"/>
    <cellStyle name="Note 3 2 8" xfId="2880" xr:uid="{00000000-0005-0000-0000-000032CF0000}"/>
    <cellStyle name="Note 3 2 8 2" xfId="5984" xr:uid="{00000000-0005-0000-0000-000033CF0000}"/>
    <cellStyle name="Note 3 2 8 2 2" xfId="13256" xr:uid="{00000000-0005-0000-0000-000034CF0000}"/>
    <cellStyle name="Note 3 2 8 2 2 2" xfId="27790" xr:uid="{00000000-0005-0000-0000-000035CF0000}"/>
    <cellStyle name="Note 3 2 8 2 2 2 2" xfId="56796" xr:uid="{00000000-0005-0000-0000-000036CF0000}"/>
    <cellStyle name="Note 3 2 8 2 2 3" xfId="42297" xr:uid="{00000000-0005-0000-0000-000037CF0000}"/>
    <cellStyle name="Note 3 2 8 2 3" xfId="20542" xr:uid="{00000000-0005-0000-0000-000038CF0000}"/>
    <cellStyle name="Note 3 2 8 2 3 2" xfId="49548" xr:uid="{00000000-0005-0000-0000-000039CF0000}"/>
    <cellStyle name="Note 3 2 8 2 4" xfId="35049" xr:uid="{00000000-0005-0000-0000-00003ACF0000}"/>
    <cellStyle name="Note 3 2 8 3" xfId="10152" xr:uid="{00000000-0005-0000-0000-00003BCF0000}"/>
    <cellStyle name="Note 3 2 8 3 2" xfId="24686" xr:uid="{00000000-0005-0000-0000-00003CCF0000}"/>
    <cellStyle name="Note 3 2 8 3 2 2" xfId="53692" xr:uid="{00000000-0005-0000-0000-00003DCF0000}"/>
    <cellStyle name="Note 3 2 8 3 3" xfId="39193" xr:uid="{00000000-0005-0000-0000-00003ECF0000}"/>
    <cellStyle name="Note 3 2 8 4" xfId="17438" xr:uid="{00000000-0005-0000-0000-00003FCF0000}"/>
    <cellStyle name="Note 3 2 8 4 2" xfId="46444" xr:uid="{00000000-0005-0000-0000-000040CF0000}"/>
    <cellStyle name="Note 3 2 8 5" xfId="31945" xr:uid="{00000000-0005-0000-0000-000041CF0000}"/>
    <cellStyle name="Note 3 2 9" xfId="3912" xr:uid="{00000000-0005-0000-0000-000042CF0000}"/>
    <cellStyle name="Note 3 2 9 2" xfId="11184" xr:uid="{00000000-0005-0000-0000-000043CF0000}"/>
    <cellStyle name="Note 3 2 9 2 2" xfId="25718" xr:uid="{00000000-0005-0000-0000-000044CF0000}"/>
    <cellStyle name="Note 3 2 9 2 2 2" xfId="54724" xr:uid="{00000000-0005-0000-0000-000045CF0000}"/>
    <cellStyle name="Note 3 2 9 2 3" xfId="40225" xr:uid="{00000000-0005-0000-0000-000046CF0000}"/>
    <cellStyle name="Note 3 2 9 3" xfId="18470" xr:uid="{00000000-0005-0000-0000-000047CF0000}"/>
    <cellStyle name="Note 3 2 9 3 2" xfId="47476" xr:uid="{00000000-0005-0000-0000-000048CF0000}"/>
    <cellStyle name="Note 3 2 9 4" xfId="32977" xr:uid="{00000000-0005-0000-0000-000049CF0000}"/>
    <cellStyle name="Note 3 3" xfId="877" xr:uid="{00000000-0005-0000-0000-00004ACF0000}"/>
    <cellStyle name="Note 3 3 10" xfId="8108" xr:uid="{00000000-0005-0000-0000-00004BCF0000}"/>
    <cellStyle name="Note 3 3 10 2" xfId="22642" xr:uid="{00000000-0005-0000-0000-00004CCF0000}"/>
    <cellStyle name="Note 3 3 10 2 2" xfId="51648" xr:uid="{00000000-0005-0000-0000-00004DCF0000}"/>
    <cellStyle name="Note 3 3 10 3" xfId="37149" xr:uid="{00000000-0005-0000-0000-00004ECF0000}"/>
    <cellStyle name="Note 3 3 11" xfId="15394" xr:uid="{00000000-0005-0000-0000-00004FCF0000}"/>
    <cellStyle name="Note 3 3 11 2" xfId="44400" xr:uid="{00000000-0005-0000-0000-000050CF0000}"/>
    <cellStyle name="Note 3 3 12" xfId="29901" xr:uid="{00000000-0005-0000-0000-000051CF0000}"/>
    <cellStyle name="Note 3 3 2" xfId="957" xr:uid="{00000000-0005-0000-0000-000052CF0000}"/>
    <cellStyle name="Note 3 3 2 10" xfId="30004" xr:uid="{00000000-0005-0000-0000-000053CF0000}"/>
    <cellStyle name="Note 3 3 2 2" xfId="1233" xr:uid="{00000000-0005-0000-0000-000054CF0000}"/>
    <cellStyle name="Note 3 3 2 2 2" xfId="1738" xr:uid="{00000000-0005-0000-0000-000055CF0000}"/>
    <cellStyle name="Note 3 3 2 2 2 2" xfId="2797" xr:uid="{00000000-0005-0000-0000-000056CF0000}"/>
    <cellStyle name="Note 3 3 2 2 2 2 2" xfId="5901" xr:uid="{00000000-0005-0000-0000-000057CF0000}"/>
    <cellStyle name="Note 3 3 2 2 2 2 2 2" xfId="13173" xr:uid="{00000000-0005-0000-0000-000058CF0000}"/>
    <cellStyle name="Note 3 3 2 2 2 2 2 2 2" xfId="27707" xr:uid="{00000000-0005-0000-0000-000059CF0000}"/>
    <cellStyle name="Note 3 3 2 2 2 2 2 2 2 2" xfId="56713" xr:uid="{00000000-0005-0000-0000-00005ACF0000}"/>
    <cellStyle name="Note 3 3 2 2 2 2 2 2 3" xfId="42214" xr:uid="{00000000-0005-0000-0000-00005BCF0000}"/>
    <cellStyle name="Note 3 3 2 2 2 2 2 3" xfId="20459" xr:uid="{00000000-0005-0000-0000-00005CCF0000}"/>
    <cellStyle name="Note 3 3 2 2 2 2 2 3 2" xfId="49465" xr:uid="{00000000-0005-0000-0000-00005DCF0000}"/>
    <cellStyle name="Note 3 3 2 2 2 2 2 4" xfId="34966" xr:uid="{00000000-0005-0000-0000-00005ECF0000}"/>
    <cellStyle name="Note 3 3 2 2 2 2 3" xfId="10069" xr:uid="{00000000-0005-0000-0000-00005FCF0000}"/>
    <cellStyle name="Note 3 3 2 2 2 2 3 2" xfId="24603" xr:uid="{00000000-0005-0000-0000-000060CF0000}"/>
    <cellStyle name="Note 3 3 2 2 2 2 3 2 2" xfId="53609" xr:uid="{00000000-0005-0000-0000-000061CF0000}"/>
    <cellStyle name="Note 3 3 2 2 2 2 3 3" xfId="39110" xr:uid="{00000000-0005-0000-0000-000062CF0000}"/>
    <cellStyle name="Note 3 3 2 2 2 2 4" xfId="17355" xr:uid="{00000000-0005-0000-0000-000063CF0000}"/>
    <cellStyle name="Note 3 3 2 2 2 2 4 2" xfId="46361" xr:uid="{00000000-0005-0000-0000-000064CF0000}"/>
    <cellStyle name="Note 3 3 2 2 2 2 5" xfId="31862" xr:uid="{00000000-0005-0000-0000-000065CF0000}"/>
    <cellStyle name="Note 3 3 2 2 2 3" xfId="3829" xr:uid="{00000000-0005-0000-0000-000066CF0000}"/>
    <cellStyle name="Note 3 3 2 2 2 3 2" xfId="6933" xr:uid="{00000000-0005-0000-0000-000067CF0000}"/>
    <cellStyle name="Note 3 3 2 2 2 3 2 2" xfId="14205" xr:uid="{00000000-0005-0000-0000-000068CF0000}"/>
    <cellStyle name="Note 3 3 2 2 2 3 2 2 2" xfId="28739" xr:uid="{00000000-0005-0000-0000-000069CF0000}"/>
    <cellStyle name="Note 3 3 2 2 2 3 2 2 2 2" xfId="57745" xr:uid="{00000000-0005-0000-0000-00006ACF0000}"/>
    <cellStyle name="Note 3 3 2 2 2 3 2 2 3" xfId="43246" xr:uid="{00000000-0005-0000-0000-00006BCF0000}"/>
    <cellStyle name="Note 3 3 2 2 2 3 2 3" xfId="21491" xr:uid="{00000000-0005-0000-0000-00006CCF0000}"/>
    <cellStyle name="Note 3 3 2 2 2 3 2 3 2" xfId="50497" xr:uid="{00000000-0005-0000-0000-00006DCF0000}"/>
    <cellStyle name="Note 3 3 2 2 2 3 2 4" xfId="35998" xr:uid="{00000000-0005-0000-0000-00006ECF0000}"/>
    <cellStyle name="Note 3 3 2 2 2 3 3" xfId="11101" xr:uid="{00000000-0005-0000-0000-00006FCF0000}"/>
    <cellStyle name="Note 3 3 2 2 2 3 3 2" xfId="25635" xr:uid="{00000000-0005-0000-0000-000070CF0000}"/>
    <cellStyle name="Note 3 3 2 2 2 3 3 2 2" xfId="54641" xr:uid="{00000000-0005-0000-0000-000071CF0000}"/>
    <cellStyle name="Note 3 3 2 2 2 3 3 3" xfId="40142" xr:uid="{00000000-0005-0000-0000-000072CF0000}"/>
    <cellStyle name="Note 3 3 2 2 2 3 4" xfId="18387" xr:uid="{00000000-0005-0000-0000-000073CF0000}"/>
    <cellStyle name="Note 3 3 2 2 2 3 4 2" xfId="47393" xr:uid="{00000000-0005-0000-0000-000074CF0000}"/>
    <cellStyle name="Note 3 3 2 2 2 3 5" xfId="32894" xr:uid="{00000000-0005-0000-0000-000075CF0000}"/>
    <cellStyle name="Note 3 3 2 2 2 4" xfId="4861" xr:uid="{00000000-0005-0000-0000-000076CF0000}"/>
    <cellStyle name="Note 3 3 2 2 2 4 2" xfId="12133" xr:uid="{00000000-0005-0000-0000-000077CF0000}"/>
    <cellStyle name="Note 3 3 2 2 2 4 2 2" xfId="26667" xr:uid="{00000000-0005-0000-0000-000078CF0000}"/>
    <cellStyle name="Note 3 3 2 2 2 4 2 2 2" xfId="55673" xr:uid="{00000000-0005-0000-0000-000079CF0000}"/>
    <cellStyle name="Note 3 3 2 2 2 4 2 3" xfId="41174" xr:uid="{00000000-0005-0000-0000-00007ACF0000}"/>
    <cellStyle name="Note 3 3 2 2 2 4 3" xfId="19419" xr:uid="{00000000-0005-0000-0000-00007BCF0000}"/>
    <cellStyle name="Note 3 3 2 2 2 4 3 2" xfId="48425" xr:uid="{00000000-0005-0000-0000-00007CCF0000}"/>
    <cellStyle name="Note 3 3 2 2 2 4 4" xfId="33926" xr:uid="{00000000-0005-0000-0000-00007DCF0000}"/>
    <cellStyle name="Note 3 3 2 2 2 5" xfId="7965" xr:uid="{00000000-0005-0000-0000-00007ECF0000}"/>
    <cellStyle name="Note 3 3 2 2 2 5 2" xfId="15237" xr:uid="{00000000-0005-0000-0000-00007FCF0000}"/>
    <cellStyle name="Note 3 3 2 2 2 5 2 2" xfId="29771" xr:uid="{00000000-0005-0000-0000-000080CF0000}"/>
    <cellStyle name="Note 3 3 2 2 2 5 2 2 2" xfId="58777" xr:uid="{00000000-0005-0000-0000-000081CF0000}"/>
    <cellStyle name="Note 3 3 2 2 2 5 2 3" xfId="44278" xr:uid="{00000000-0005-0000-0000-000082CF0000}"/>
    <cellStyle name="Note 3 3 2 2 2 5 3" xfId="22523" xr:uid="{00000000-0005-0000-0000-000083CF0000}"/>
    <cellStyle name="Note 3 3 2 2 2 5 3 2" xfId="51529" xr:uid="{00000000-0005-0000-0000-000084CF0000}"/>
    <cellStyle name="Note 3 3 2 2 2 5 4" xfId="37030" xr:uid="{00000000-0005-0000-0000-000085CF0000}"/>
    <cellStyle name="Note 3 3 2 2 2 6" xfId="9029" xr:uid="{00000000-0005-0000-0000-000086CF0000}"/>
    <cellStyle name="Note 3 3 2 2 2 6 2" xfId="23563" xr:uid="{00000000-0005-0000-0000-000087CF0000}"/>
    <cellStyle name="Note 3 3 2 2 2 6 2 2" xfId="52569" xr:uid="{00000000-0005-0000-0000-000088CF0000}"/>
    <cellStyle name="Note 3 3 2 2 2 6 3" xfId="38070" xr:uid="{00000000-0005-0000-0000-000089CF0000}"/>
    <cellStyle name="Note 3 3 2 2 2 7" xfId="16315" xr:uid="{00000000-0005-0000-0000-00008ACF0000}"/>
    <cellStyle name="Note 3 3 2 2 2 7 2" xfId="45321" xr:uid="{00000000-0005-0000-0000-00008BCF0000}"/>
    <cellStyle name="Note 3 3 2 2 2 8" xfId="30822" xr:uid="{00000000-0005-0000-0000-00008CCF0000}"/>
    <cellStyle name="Note 3 3 2 2 3" xfId="2285" xr:uid="{00000000-0005-0000-0000-00008DCF0000}"/>
    <cellStyle name="Note 3 3 2 2 3 2" xfId="5389" xr:uid="{00000000-0005-0000-0000-00008ECF0000}"/>
    <cellStyle name="Note 3 3 2 2 3 2 2" xfId="12661" xr:uid="{00000000-0005-0000-0000-00008FCF0000}"/>
    <cellStyle name="Note 3 3 2 2 3 2 2 2" xfId="27195" xr:uid="{00000000-0005-0000-0000-000090CF0000}"/>
    <cellStyle name="Note 3 3 2 2 3 2 2 2 2" xfId="56201" xr:uid="{00000000-0005-0000-0000-000091CF0000}"/>
    <cellStyle name="Note 3 3 2 2 3 2 2 3" xfId="41702" xr:uid="{00000000-0005-0000-0000-000092CF0000}"/>
    <cellStyle name="Note 3 3 2 2 3 2 3" xfId="19947" xr:uid="{00000000-0005-0000-0000-000093CF0000}"/>
    <cellStyle name="Note 3 3 2 2 3 2 3 2" xfId="48953" xr:uid="{00000000-0005-0000-0000-000094CF0000}"/>
    <cellStyle name="Note 3 3 2 2 3 2 4" xfId="34454" xr:uid="{00000000-0005-0000-0000-000095CF0000}"/>
    <cellStyle name="Note 3 3 2 2 3 3" xfId="9557" xr:uid="{00000000-0005-0000-0000-000096CF0000}"/>
    <cellStyle name="Note 3 3 2 2 3 3 2" xfId="24091" xr:uid="{00000000-0005-0000-0000-000097CF0000}"/>
    <cellStyle name="Note 3 3 2 2 3 3 2 2" xfId="53097" xr:uid="{00000000-0005-0000-0000-000098CF0000}"/>
    <cellStyle name="Note 3 3 2 2 3 3 3" xfId="38598" xr:uid="{00000000-0005-0000-0000-000099CF0000}"/>
    <cellStyle name="Note 3 3 2 2 3 4" xfId="16843" xr:uid="{00000000-0005-0000-0000-00009ACF0000}"/>
    <cellStyle name="Note 3 3 2 2 3 4 2" xfId="45849" xr:uid="{00000000-0005-0000-0000-00009BCF0000}"/>
    <cellStyle name="Note 3 3 2 2 3 5" xfId="31350" xr:uid="{00000000-0005-0000-0000-00009CCF0000}"/>
    <cellStyle name="Note 3 3 2 2 4" xfId="3317" xr:uid="{00000000-0005-0000-0000-00009DCF0000}"/>
    <cellStyle name="Note 3 3 2 2 4 2" xfId="6421" xr:uid="{00000000-0005-0000-0000-00009ECF0000}"/>
    <cellStyle name="Note 3 3 2 2 4 2 2" xfId="13693" xr:uid="{00000000-0005-0000-0000-00009FCF0000}"/>
    <cellStyle name="Note 3 3 2 2 4 2 2 2" xfId="28227" xr:uid="{00000000-0005-0000-0000-0000A0CF0000}"/>
    <cellStyle name="Note 3 3 2 2 4 2 2 2 2" xfId="57233" xr:uid="{00000000-0005-0000-0000-0000A1CF0000}"/>
    <cellStyle name="Note 3 3 2 2 4 2 2 3" xfId="42734" xr:uid="{00000000-0005-0000-0000-0000A2CF0000}"/>
    <cellStyle name="Note 3 3 2 2 4 2 3" xfId="20979" xr:uid="{00000000-0005-0000-0000-0000A3CF0000}"/>
    <cellStyle name="Note 3 3 2 2 4 2 3 2" xfId="49985" xr:uid="{00000000-0005-0000-0000-0000A4CF0000}"/>
    <cellStyle name="Note 3 3 2 2 4 2 4" xfId="35486" xr:uid="{00000000-0005-0000-0000-0000A5CF0000}"/>
    <cellStyle name="Note 3 3 2 2 4 3" xfId="10589" xr:uid="{00000000-0005-0000-0000-0000A6CF0000}"/>
    <cellStyle name="Note 3 3 2 2 4 3 2" xfId="25123" xr:uid="{00000000-0005-0000-0000-0000A7CF0000}"/>
    <cellStyle name="Note 3 3 2 2 4 3 2 2" xfId="54129" xr:uid="{00000000-0005-0000-0000-0000A8CF0000}"/>
    <cellStyle name="Note 3 3 2 2 4 3 3" xfId="39630" xr:uid="{00000000-0005-0000-0000-0000A9CF0000}"/>
    <cellStyle name="Note 3 3 2 2 4 4" xfId="17875" xr:uid="{00000000-0005-0000-0000-0000AACF0000}"/>
    <cellStyle name="Note 3 3 2 2 4 4 2" xfId="46881" xr:uid="{00000000-0005-0000-0000-0000ABCF0000}"/>
    <cellStyle name="Note 3 3 2 2 4 5" xfId="32382" xr:uid="{00000000-0005-0000-0000-0000ACCF0000}"/>
    <cellStyle name="Note 3 3 2 2 5" xfId="4349" xr:uid="{00000000-0005-0000-0000-0000ADCF0000}"/>
    <cellStyle name="Note 3 3 2 2 5 2" xfId="11621" xr:uid="{00000000-0005-0000-0000-0000AECF0000}"/>
    <cellStyle name="Note 3 3 2 2 5 2 2" xfId="26155" xr:uid="{00000000-0005-0000-0000-0000AFCF0000}"/>
    <cellStyle name="Note 3 3 2 2 5 2 2 2" xfId="55161" xr:uid="{00000000-0005-0000-0000-0000B0CF0000}"/>
    <cellStyle name="Note 3 3 2 2 5 2 3" xfId="40662" xr:uid="{00000000-0005-0000-0000-0000B1CF0000}"/>
    <cellStyle name="Note 3 3 2 2 5 3" xfId="18907" xr:uid="{00000000-0005-0000-0000-0000B2CF0000}"/>
    <cellStyle name="Note 3 3 2 2 5 3 2" xfId="47913" xr:uid="{00000000-0005-0000-0000-0000B3CF0000}"/>
    <cellStyle name="Note 3 3 2 2 5 4" xfId="33414" xr:uid="{00000000-0005-0000-0000-0000B4CF0000}"/>
    <cellStyle name="Note 3 3 2 2 6" xfId="7453" xr:uid="{00000000-0005-0000-0000-0000B5CF0000}"/>
    <cellStyle name="Note 3 3 2 2 6 2" xfId="14725" xr:uid="{00000000-0005-0000-0000-0000B6CF0000}"/>
    <cellStyle name="Note 3 3 2 2 6 2 2" xfId="29259" xr:uid="{00000000-0005-0000-0000-0000B7CF0000}"/>
    <cellStyle name="Note 3 3 2 2 6 2 2 2" xfId="58265" xr:uid="{00000000-0005-0000-0000-0000B8CF0000}"/>
    <cellStyle name="Note 3 3 2 2 6 2 3" xfId="43766" xr:uid="{00000000-0005-0000-0000-0000B9CF0000}"/>
    <cellStyle name="Note 3 3 2 2 6 3" xfId="22011" xr:uid="{00000000-0005-0000-0000-0000BACF0000}"/>
    <cellStyle name="Note 3 3 2 2 6 3 2" xfId="51017" xr:uid="{00000000-0005-0000-0000-0000BBCF0000}"/>
    <cellStyle name="Note 3 3 2 2 6 4" xfId="36518" xr:uid="{00000000-0005-0000-0000-0000BCCF0000}"/>
    <cellStyle name="Note 3 3 2 2 7" xfId="8517" xr:uid="{00000000-0005-0000-0000-0000BDCF0000}"/>
    <cellStyle name="Note 3 3 2 2 7 2" xfId="23051" xr:uid="{00000000-0005-0000-0000-0000BECF0000}"/>
    <cellStyle name="Note 3 3 2 2 7 2 2" xfId="52057" xr:uid="{00000000-0005-0000-0000-0000BFCF0000}"/>
    <cellStyle name="Note 3 3 2 2 7 3" xfId="37558" xr:uid="{00000000-0005-0000-0000-0000C0CF0000}"/>
    <cellStyle name="Note 3 3 2 2 8" xfId="15803" xr:uid="{00000000-0005-0000-0000-0000C1CF0000}"/>
    <cellStyle name="Note 3 3 2 2 8 2" xfId="44809" xr:uid="{00000000-0005-0000-0000-0000C2CF0000}"/>
    <cellStyle name="Note 3 3 2 2 9" xfId="30310" xr:uid="{00000000-0005-0000-0000-0000C3CF0000}"/>
    <cellStyle name="Note 3 3 2 3" xfId="1433" xr:uid="{00000000-0005-0000-0000-0000C4CF0000}"/>
    <cellStyle name="Note 3 3 2 3 2" xfId="2491" xr:uid="{00000000-0005-0000-0000-0000C5CF0000}"/>
    <cellStyle name="Note 3 3 2 3 2 2" xfId="5595" xr:uid="{00000000-0005-0000-0000-0000C6CF0000}"/>
    <cellStyle name="Note 3 3 2 3 2 2 2" xfId="12867" xr:uid="{00000000-0005-0000-0000-0000C7CF0000}"/>
    <cellStyle name="Note 3 3 2 3 2 2 2 2" xfId="27401" xr:uid="{00000000-0005-0000-0000-0000C8CF0000}"/>
    <cellStyle name="Note 3 3 2 3 2 2 2 2 2" xfId="56407" xr:uid="{00000000-0005-0000-0000-0000C9CF0000}"/>
    <cellStyle name="Note 3 3 2 3 2 2 2 3" xfId="41908" xr:uid="{00000000-0005-0000-0000-0000CACF0000}"/>
    <cellStyle name="Note 3 3 2 3 2 2 3" xfId="20153" xr:uid="{00000000-0005-0000-0000-0000CBCF0000}"/>
    <cellStyle name="Note 3 3 2 3 2 2 3 2" xfId="49159" xr:uid="{00000000-0005-0000-0000-0000CCCF0000}"/>
    <cellStyle name="Note 3 3 2 3 2 2 4" xfId="34660" xr:uid="{00000000-0005-0000-0000-0000CDCF0000}"/>
    <cellStyle name="Note 3 3 2 3 2 3" xfId="9763" xr:uid="{00000000-0005-0000-0000-0000CECF0000}"/>
    <cellStyle name="Note 3 3 2 3 2 3 2" xfId="24297" xr:uid="{00000000-0005-0000-0000-0000CFCF0000}"/>
    <cellStyle name="Note 3 3 2 3 2 3 2 2" xfId="53303" xr:uid="{00000000-0005-0000-0000-0000D0CF0000}"/>
    <cellStyle name="Note 3 3 2 3 2 3 3" xfId="38804" xr:uid="{00000000-0005-0000-0000-0000D1CF0000}"/>
    <cellStyle name="Note 3 3 2 3 2 4" xfId="17049" xr:uid="{00000000-0005-0000-0000-0000D2CF0000}"/>
    <cellStyle name="Note 3 3 2 3 2 4 2" xfId="46055" xr:uid="{00000000-0005-0000-0000-0000D3CF0000}"/>
    <cellStyle name="Note 3 3 2 3 2 5" xfId="31556" xr:uid="{00000000-0005-0000-0000-0000D4CF0000}"/>
    <cellStyle name="Note 3 3 2 3 3" xfId="3523" xr:uid="{00000000-0005-0000-0000-0000D5CF0000}"/>
    <cellStyle name="Note 3 3 2 3 3 2" xfId="6627" xr:uid="{00000000-0005-0000-0000-0000D6CF0000}"/>
    <cellStyle name="Note 3 3 2 3 3 2 2" xfId="13899" xr:uid="{00000000-0005-0000-0000-0000D7CF0000}"/>
    <cellStyle name="Note 3 3 2 3 3 2 2 2" xfId="28433" xr:uid="{00000000-0005-0000-0000-0000D8CF0000}"/>
    <cellStyle name="Note 3 3 2 3 3 2 2 2 2" xfId="57439" xr:uid="{00000000-0005-0000-0000-0000D9CF0000}"/>
    <cellStyle name="Note 3 3 2 3 3 2 2 3" xfId="42940" xr:uid="{00000000-0005-0000-0000-0000DACF0000}"/>
    <cellStyle name="Note 3 3 2 3 3 2 3" xfId="21185" xr:uid="{00000000-0005-0000-0000-0000DBCF0000}"/>
    <cellStyle name="Note 3 3 2 3 3 2 3 2" xfId="50191" xr:uid="{00000000-0005-0000-0000-0000DCCF0000}"/>
    <cellStyle name="Note 3 3 2 3 3 2 4" xfId="35692" xr:uid="{00000000-0005-0000-0000-0000DDCF0000}"/>
    <cellStyle name="Note 3 3 2 3 3 3" xfId="10795" xr:uid="{00000000-0005-0000-0000-0000DECF0000}"/>
    <cellStyle name="Note 3 3 2 3 3 3 2" xfId="25329" xr:uid="{00000000-0005-0000-0000-0000DFCF0000}"/>
    <cellStyle name="Note 3 3 2 3 3 3 2 2" xfId="54335" xr:uid="{00000000-0005-0000-0000-0000E0CF0000}"/>
    <cellStyle name="Note 3 3 2 3 3 3 3" xfId="39836" xr:uid="{00000000-0005-0000-0000-0000E1CF0000}"/>
    <cellStyle name="Note 3 3 2 3 3 4" xfId="18081" xr:uid="{00000000-0005-0000-0000-0000E2CF0000}"/>
    <cellStyle name="Note 3 3 2 3 3 4 2" xfId="47087" xr:uid="{00000000-0005-0000-0000-0000E3CF0000}"/>
    <cellStyle name="Note 3 3 2 3 3 5" xfId="32588" xr:uid="{00000000-0005-0000-0000-0000E4CF0000}"/>
    <cellStyle name="Note 3 3 2 3 4" xfId="4555" xr:uid="{00000000-0005-0000-0000-0000E5CF0000}"/>
    <cellStyle name="Note 3 3 2 3 4 2" xfId="11827" xr:uid="{00000000-0005-0000-0000-0000E6CF0000}"/>
    <cellStyle name="Note 3 3 2 3 4 2 2" xfId="26361" xr:uid="{00000000-0005-0000-0000-0000E7CF0000}"/>
    <cellStyle name="Note 3 3 2 3 4 2 2 2" xfId="55367" xr:uid="{00000000-0005-0000-0000-0000E8CF0000}"/>
    <cellStyle name="Note 3 3 2 3 4 2 3" xfId="40868" xr:uid="{00000000-0005-0000-0000-0000E9CF0000}"/>
    <cellStyle name="Note 3 3 2 3 4 3" xfId="19113" xr:uid="{00000000-0005-0000-0000-0000EACF0000}"/>
    <cellStyle name="Note 3 3 2 3 4 3 2" xfId="48119" xr:uid="{00000000-0005-0000-0000-0000EBCF0000}"/>
    <cellStyle name="Note 3 3 2 3 4 4" xfId="33620" xr:uid="{00000000-0005-0000-0000-0000ECCF0000}"/>
    <cellStyle name="Note 3 3 2 3 5" xfId="7659" xr:uid="{00000000-0005-0000-0000-0000EDCF0000}"/>
    <cellStyle name="Note 3 3 2 3 5 2" xfId="14931" xr:uid="{00000000-0005-0000-0000-0000EECF0000}"/>
    <cellStyle name="Note 3 3 2 3 5 2 2" xfId="29465" xr:uid="{00000000-0005-0000-0000-0000EFCF0000}"/>
    <cellStyle name="Note 3 3 2 3 5 2 2 2" xfId="58471" xr:uid="{00000000-0005-0000-0000-0000F0CF0000}"/>
    <cellStyle name="Note 3 3 2 3 5 2 3" xfId="43972" xr:uid="{00000000-0005-0000-0000-0000F1CF0000}"/>
    <cellStyle name="Note 3 3 2 3 5 3" xfId="22217" xr:uid="{00000000-0005-0000-0000-0000F2CF0000}"/>
    <cellStyle name="Note 3 3 2 3 5 3 2" xfId="51223" xr:uid="{00000000-0005-0000-0000-0000F3CF0000}"/>
    <cellStyle name="Note 3 3 2 3 5 4" xfId="36724" xr:uid="{00000000-0005-0000-0000-0000F4CF0000}"/>
    <cellStyle name="Note 3 3 2 3 6" xfId="8723" xr:uid="{00000000-0005-0000-0000-0000F5CF0000}"/>
    <cellStyle name="Note 3 3 2 3 6 2" xfId="23257" xr:uid="{00000000-0005-0000-0000-0000F6CF0000}"/>
    <cellStyle name="Note 3 3 2 3 6 2 2" xfId="52263" xr:uid="{00000000-0005-0000-0000-0000F7CF0000}"/>
    <cellStyle name="Note 3 3 2 3 6 3" xfId="37764" xr:uid="{00000000-0005-0000-0000-0000F8CF0000}"/>
    <cellStyle name="Note 3 3 2 3 7" xfId="16009" xr:uid="{00000000-0005-0000-0000-0000F9CF0000}"/>
    <cellStyle name="Note 3 3 2 3 7 2" xfId="45015" xr:uid="{00000000-0005-0000-0000-0000FACF0000}"/>
    <cellStyle name="Note 3 3 2 3 8" xfId="30516" xr:uid="{00000000-0005-0000-0000-0000FBCF0000}"/>
    <cellStyle name="Note 3 3 2 4" xfId="1979" xr:uid="{00000000-0005-0000-0000-0000FCCF0000}"/>
    <cellStyle name="Note 3 3 2 4 2" xfId="5083" xr:uid="{00000000-0005-0000-0000-0000FDCF0000}"/>
    <cellStyle name="Note 3 3 2 4 2 2" xfId="12355" xr:uid="{00000000-0005-0000-0000-0000FECF0000}"/>
    <cellStyle name="Note 3 3 2 4 2 2 2" xfId="26889" xr:uid="{00000000-0005-0000-0000-0000FFCF0000}"/>
    <cellStyle name="Note 3 3 2 4 2 2 2 2" xfId="55895" xr:uid="{00000000-0005-0000-0000-000000D00000}"/>
    <cellStyle name="Note 3 3 2 4 2 2 3" xfId="41396" xr:uid="{00000000-0005-0000-0000-000001D00000}"/>
    <cellStyle name="Note 3 3 2 4 2 3" xfId="19641" xr:uid="{00000000-0005-0000-0000-000002D00000}"/>
    <cellStyle name="Note 3 3 2 4 2 3 2" xfId="48647" xr:uid="{00000000-0005-0000-0000-000003D00000}"/>
    <cellStyle name="Note 3 3 2 4 2 4" xfId="34148" xr:uid="{00000000-0005-0000-0000-000004D00000}"/>
    <cellStyle name="Note 3 3 2 4 3" xfId="9251" xr:uid="{00000000-0005-0000-0000-000005D00000}"/>
    <cellStyle name="Note 3 3 2 4 3 2" xfId="23785" xr:uid="{00000000-0005-0000-0000-000006D00000}"/>
    <cellStyle name="Note 3 3 2 4 3 2 2" xfId="52791" xr:uid="{00000000-0005-0000-0000-000007D00000}"/>
    <cellStyle name="Note 3 3 2 4 3 3" xfId="38292" xr:uid="{00000000-0005-0000-0000-000008D00000}"/>
    <cellStyle name="Note 3 3 2 4 4" xfId="16537" xr:uid="{00000000-0005-0000-0000-000009D00000}"/>
    <cellStyle name="Note 3 3 2 4 4 2" xfId="45543" xr:uid="{00000000-0005-0000-0000-00000AD00000}"/>
    <cellStyle name="Note 3 3 2 4 5" xfId="31044" xr:uid="{00000000-0005-0000-0000-00000BD00000}"/>
    <cellStyle name="Note 3 3 2 5" xfId="3011" xr:uid="{00000000-0005-0000-0000-00000CD00000}"/>
    <cellStyle name="Note 3 3 2 5 2" xfId="6115" xr:uid="{00000000-0005-0000-0000-00000DD00000}"/>
    <cellStyle name="Note 3 3 2 5 2 2" xfId="13387" xr:uid="{00000000-0005-0000-0000-00000ED00000}"/>
    <cellStyle name="Note 3 3 2 5 2 2 2" xfId="27921" xr:uid="{00000000-0005-0000-0000-00000FD00000}"/>
    <cellStyle name="Note 3 3 2 5 2 2 2 2" xfId="56927" xr:uid="{00000000-0005-0000-0000-000010D00000}"/>
    <cellStyle name="Note 3 3 2 5 2 2 3" xfId="42428" xr:uid="{00000000-0005-0000-0000-000011D00000}"/>
    <cellStyle name="Note 3 3 2 5 2 3" xfId="20673" xr:uid="{00000000-0005-0000-0000-000012D00000}"/>
    <cellStyle name="Note 3 3 2 5 2 3 2" xfId="49679" xr:uid="{00000000-0005-0000-0000-000013D00000}"/>
    <cellStyle name="Note 3 3 2 5 2 4" xfId="35180" xr:uid="{00000000-0005-0000-0000-000014D00000}"/>
    <cellStyle name="Note 3 3 2 5 3" xfId="10283" xr:uid="{00000000-0005-0000-0000-000015D00000}"/>
    <cellStyle name="Note 3 3 2 5 3 2" xfId="24817" xr:uid="{00000000-0005-0000-0000-000016D00000}"/>
    <cellStyle name="Note 3 3 2 5 3 2 2" xfId="53823" xr:uid="{00000000-0005-0000-0000-000017D00000}"/>
    <cellStyle name="Note 3 3 2 5 3 3" xfId="39324" xr:uid="{00000000-0005-0000-0000-000018D00000}"/>
    <cellStyle name="Note 3 3 2 5 4" xfId="17569" xr:uid="{00000000-0005-0000-0000-000019D00000}"/>
    <cellStyle name="Note 3 3 2 5 4 2" xfId="46575" xr:uid="{00000000-0005-0000-0000-00001AD00000}"/>
    <cellStyle name="Note 3 3 2 5 5" xfId="32076" xr:uid="{00000000-0005-0000-0000-00001BD00000}"/>
    <cellStyle name="Note 3 3 2 6" xfId="4043" xr:uid="{00000000-0005-0000-0000-00001CD00000}"/>
    <cellStyle name="Note 3 3 2 6 2" xfId="11315" xr:uid="{00000000-0005-0000-0000-00001DD00000}"/>
    <cellStyle name="Note 3 3 2 6 2 2" xfId="25849" xr:uid="{00000000-0005-0000-0000-00001ED00000}"/>
    <cellStyle name="Note 3 3 2 6 2 2 2" xfId="54855" xr:uid="{00000000-0005-0000-0000-00001FD00000}"/>
    <cellStyle name="Note 3 3 2 6 2 3" xfId="40356" xr:uid="{00000000-0005-0000-0000-000020D00000}"/>
    <cellStyle name="Note 3 3 2 6 3" xfId="18601" xr:uid="{00000000-0005-0000-0000-000021D00000}"/>
    <cellStyle name="Note 3 3 2 6 3 2" xfId="47607" xr:uid="{00000000-0005-0000-0000-000022D00000}"/>
    <cellStyle name="Note 3 3 2 6 4" xfId="33108" xr:uid="{00000000-0005-0000-0000-000023D00000}"/>
    <cellStyle name="Note 3 3 2 7" xfId="7147" xr:uid="{00000000-0005-0000-0000-000024D00000}"/>
    <cellStyle name="Note 3 3 2 7 2" xfId="14419" xr:uid="{00000000-0005-0000-0000-000025D00000}"/>
    <cellStyle name="Note 3 3 2 7 2 2" xfId="28953" xr:uid="{00000000-0005-0000-0000-000026D00000}"/>
    <cellStyle name="Note 3 3 2 7 2 2 2" xfId="57959" xr:uid="{00000000-0005-0000-0000-000027D00000}"/>
    <cellStyle name="Note 3 3 2 7 2 3" xfId="43460" xr:uid="{00000000-0005-0000-0000-000028D00000}"/>
    <cellStyle name="Note 3 3 2 7 3" xfId="21705" xr:uid="{00000000-0005-0000-0000-000029D00000}"/>
    <cellStyle name="Note 3 3 2 7 3 2" xfId="50711" xr:uid="{00000000-0005-0000-0000-00002AD00000}"/>
    <cellStyle name="Note 3 3 2 7 4" xfId="36212" xr:uid="{00000000-0005-0000-0000-00002BD00000}"/>
    <cellStyle name="Note 3 3 2 8" xfId="8211" xr:uid="{00000000-0005-0000-0000-00002CD00000}"/>
    <cellStyle name="Note 3 3 2 8 2" xfId="22745" xr:uid="{00000000-0005-0000-0000-00002DD00000}"/>
    <cellStyle name="Note 3 3 2 8 2 2" xfId="51751" xr:uid="{00000000-0005-0000-0000-00002ED00000}"/>
    <cellStyle name="Note 3 3 2 8 3" xfId="37252" xr:uid="{00000000-0005-0000-0000-00002FD00000}"/>
    <cellStyle name="Note 3 3 2 9" xfId="15497" xr:uid="{00000000-0005-0000-0000-000030D00000}"/>
    <cellStyle name="Note 3 3 2 9 2" xfId="44503" xr:uid="{00000000-0005-0000-0000-000031D00000}"/>
    <cellStyle name="Note 3 3 3" xfId="1137" xr:uid="{00000000-0005-0000-0000-000032D00000}"/>
    <cellStyle name="Note 3 3 3 2" xfId="1635" xr:uid="{00000000-0005-0000-0000-000033D00000}"/>
    <cellStyle name="Note 3 3 3 2 2" xfId="2694" xr:uid="{00000000-0005-0000-0000-000034D00000}"/>
    <cellStyle name="Note 3 3 3 2 2 2" xfId="5798" xr:uid="{00000000-0005-0000-0000-000035D00000}"/>
    <cellStyle name="Note 3 3 3 2 2 2 2" xfId="13070" xr:uid="{00000000-0005-0000-0000-000036D00000}"/>
    <cellStyle name="Note 3 3 3 2 2 2 2 2" xfId="27604" xr:uid="{00000000-0005-0000-0000-000037D00000}"/>
    <cellStyle name="Note 3 3 3 2 2 2 2 2 2" xfId="56610" xr:uid="{00000000-0005-0000-0000-000038D00000}"/>
    <cellStyle name="Note 3 3 3 2 2 2 2 3" xfId="42111" xr:uid="{00000000-0005-0000-0000-000039D00000}"/>
    <cellStyle name="Note 3 3 3 2 2 2 3" xfId="20356" xr:uid="{00000000-0005-0000-0000-00003AD00000}"/>
    <cellStyle name="Note 3 3 3 2 2 2 3 2" xfId="49362" xr:uid="{00000000-0005-0000-0000-00003BD00000}"/>
    <cellStyle name="Note 3 3 3 2 2 2 4" xfId="34863" xr:uid="{00000000-0005-0000-0000-00003CD00000}"/>
    <cellStyle name="Note 3 3 3 2 2 3" xfId="9966" xr:uid="{00000000-0005-0000-0000-00003DD00000}"/>
    <cellStyle name="Note 3 3 3 2 2 3 2" xfId="24500" xr:uid="{00000000-0005-0000-0000-00003ED00000}"/>
    <cellStyle name="Note 3 3 3 2 2 3 2 2" xfId="53506" xr:uid="{00000000-0005-0000-0000-00003FD00000}"/>
    <cellStyle name="Note 3 3 3 2 2 3 3" xfId="39007" xr:uid="{00000000-0005-0000-0000-000040D00000}"/>
    <cellStyle name="Note 3 3 3 2 2 4" xfId="17252" xr:uid="{00000000-0005-0000-0000-000041D00000}"/>
    <cellStyle name="Note 3 3 3 2 2 4 2" xfId="46258" xr:uid="{00000000-0005-0000-0000-000042D00000}"/>
    <cellStyle name="Note 3 3 3 2 2 5" xfId="31759" xr:uid="{00000000-0005-0000-0000-000043D00000}"/>
    <cellStyle name="Note 3 3 3 2 3" xfId="3726" xr:uid="{00000000-0005-0000-0000-000044D00000}"/>
    <cellStyle name="Note 3 3 3 2 3 2" xfId="6830" xr:uid="{00000000-0005-0000-0000-000045D00000}"/>
    <cellStyle name="Note 3 3 3 2 3 2 2" xfId="14102" xr:uid="{00000000-0005-0000-0000-000046D00000}"/>
    <cellStyle name="Note 3 3 3 2 3 2 2 2" xfId="28636" xr:uid="{00000000-0005-0000-0000-000047D00000}"/>
    <cellStyle name="Note 3 3 3 2 3 2 2 2 2" xfId="57642" xr:uid="{00000000-0005-0000-0000-000048D00000}"/>
    <cellStyle name="Note 3 3 3 2 3 2 2 3" xfId="43143" xr:uid="{00000000-0005-0000-0000-000049D00000}"/>
    <cellStyle name="Note 3 3 3 2 3 2 3" xfId="21388" xr:uid="{00000000-0005-0000-0000-00004AD00000}"/>
    <cellStyle name="Note 3 3 3 2 3 2 3 2" xfId="50394" xr:uid="{00000000-0005-0000-0000-00004BD00000}"/>
    <cellStyle name="Note 3 3 3 2 3 2 4" xfId="35895" xr:uid="{00000000-0005-0000-0000-00004CD00000}"/>
    <cellStyle name="Note 3 3 3 2 3 3" xfId="10998" xr:uid="{00000000-0005-0000-0000-00004DD00000}"/>
    <cellStyle name="Note 3 3 3 2 3 3 2" xfId="25532" xr:uid="{00000000-0005-0000-0000-00004ED00000}"/>
    <cellStyle name="Note 3 3 3 2 3 3 2 2" xfId="54538" xr:uid="{00000000-0005-0000-0000-00004FD00000}"/>
    <cellStyle name="Note 3 3 3 2 3 3 3" xfId="40039" xr:uid="{00000000-0005-0000-0000-000050D00000}"/>
    <cellStyle name="Note 3 3 3 2 3 4" xfId="18284" xr:uid="{00000000-0005-0000-0000-000051D00000}"/>
    <cellStyle name="Note 3 3 3 2 3 4 2" xfId="47290" xr:uid="{00000000-0005-0000-0000-000052D00000}"/>
    <cellStyle name="Note 3 3 3 2 3 5" xfId="32791" xr:uid="{00000000-0005-0000-0000-000053D00000}"/>
    <cellStyle name="Note 3 3 3 2 4" xfId="4758" xr:uid="{00000000-0005-0000-0000-000054D00000}"/>
    <cellStyle name="Note 3 3 3 2 4 2" xfId="12030" xr:uid="{00000000-0005-0000-0000-000055D00000}"/>
    <cellStyle name="Note 3 3 3 2 4 2 2" xfId="26564" xr:uid="{00000000-0005-0000-0000-000056D00000}"/>
    <cellStyle name="Note 3 3 3 2 4 2 2 2" xfId="55570" xr:uid="{00000000-0005-0000-0000-000057D00000}"/>
    <cellStyle name="Note 3 3 3 2 4 2 3" xfId="41071" xr:uid="{00000000-0005-0000-0000-000058D00000}"/>
    <cellStyle name="Note 3 3 3 2 4 3" xfId="19316" xr:uid="{00000000-0005-0000-0000-000059D00000}"/>
    <cellStyle name="Note 3 3 3 2 4 3 2" xfId="48322" xr:uid="{00000000-0005-0000-0000-00005AD00000}"/>
    <cellStyle name="Note 3 3 3 2 4 4" xfId="33823" xr:uid="{00000000-0005-0000-0000-00005BD00000}"/>
    <cellStyle name="Note 3 3 3 2 5" xfId="7862" xr:uid="{00000000-0005-0000-0000-00005CD00000}"/>
    <cellStyle name="Note 3 3 3 2 5 2" xfId="15134" xr:uid="{00000000-0005-0000-0000-00005DD00000}"/>
    <cellStyle name="Note 3 3 3 2 5 2 2" xfId="29668" xr:uid="{00000000-0005-0000-0000-00005ED00000}"/>
    <cellStyle name="Note 3 3 3 2 5 2 2 2" xfId="58674" xr:uid="{00000000-0005-0000-0000-00005FD00000}"/>
    <cellStyle name="Note 3 3 3 2 5 2 3" xfId="44175" xr:uid="{00000000-0005-0000-0000-000060D00000}"/>
    <cellStyle name="Note 3 3 3 2 5 3" xfId="22420" xr:uid="{00000000-0005-0000-0000-000061D00000}"/>
    <cellStyle name="Note 3 3 3 2 5 3 2" xfId="51426" xr:uid="{00000000-0005-0000-0000-000062D00000}"/>
    <cellStyle name="Note 3 3 3 2 5 4" xfId="36927" xr:uid="{00000000-0005-0000-0000-000063D00000}"/>
    <cellStyle name="Note 3 3 3 2 6" xfId="8926" xr:uid="{00000000-0005-0000-0000-000064D00000}"/>
    <cellStyle name="Note 3 3 3 2 6 2" xfId="23460" xr:uid="{00000000-0005-0000-0000-000065D00000}"/>
    <cellStyle name="Note 3 3 3 2 6 2 2" xfId="52466" xr:uid="{00000000-0005-0000-0000-000066D00000}"/>
    <cellStyle name="Note 3 3 3 2 6 3" xfId="37967" xr:uid="{00000000-0005-0000-0000-000067D00000}"/>
    <cellStyle name="Note 3 3 3 2 7" xfId="16212" xr:uid="{00000000-0005-0000-0000-000068D00000}"/>
    <cellStyle name="Note 3 3 3 2 7 2" xfId="45218" xr:uid="{00000000-0005-0000-0000-000069D00000}"/>
    <cellStyle name="Note 3 3 3 2 8" xfId="30719" xr:uid="{00000000-0005-0000-0000-00006AD00000}"/>
    <cellStyle name="Note 3 3 3 3" xfId="2182" xr:uid="{00000000-0005-0000-0000-00006BD00000}"/>
    <cellStyle name="Note 3 3 3 3 2" xfId="5286" xr:uid="{00000000-0005-0000-0000-00006CD00000}"/>
    <cellStyle name="Note 3 3 3 3 2 2" xfId="12558" xr:uid="{00000000-0005-0000-0000-00006DD00000}"/>
    <cellStyle name="Note 3 3 3 3 2 2 2" xfId="27092" xr:uid="{00000000-0005-0000-0000-00006ED00000}"/>
    <cellStyle name="Note 3 3 3 3 2 2 2 2" xfId="56098" xr:uid="{00000000-0005-0000-0000-00006FD00000}"/>
    <cellStyle name="Note 3 3 3 3 2 2 3" xfId="41599" xr:uid="{00000000-0005-0000-0000-000070D00000}"/>
    <cellStyle name="Note 3 3 3 3 2 3" xfId="19844" xr:uid="{00000000-0005-0000-0000-000071D00000}"/>
    <cellStyle name="Note 3 3 3 3 2 3 2" xfId="48850" xr:uid="{00000000-0005-0000-0000-000072D00000}"/>
    <cellStyle name="Note 3 3 3 3 2 4" xfId="34351" xr:uid="{00000000-0005-0000-0000-000073D00000}"/>
    <cellStyle name="Note 3 3 3 3 3" xfId="9454" xr:uid="{00000000-0005-0000-0000-000074D00000}"/>
    <cellStyle name="Note 3 3 3 3 3 2" xfId="23988" xr:uid="{00000000-0005-0000-0000-000075D00000}"/>
    <cellStyle name="Note 3 3 3 3 3 2 2" xfId="52994" xr:uid="{00000000-0005-0000-0000-000076D00000}"/>
    <cellStyle name="Note 3 3 3 3 3 3" xfId="38495" xr:uid="{00000000-0005-0000-0000-000077D00000}"/>
    <cellStyle name="Note 3 3 3 3 4" xfId="16740" xr:uid="{00000000-0005-0000-0000-000078D00000}"/>
    <cellStyle name="Note 3 3 3 3 4 2" xfId="45746" xr:uid="{00000000-0005-0000-0000-000079D00000}"/>
    <cellStyle name="Note 3 3 3 3 5" xfId="31247" xr:uid="{00000000-0005-0000-0000-00007AD00000}"/>
    <cellStyle name="Note 3 3 3 4" xfId="3214" xr:uid="{00000000-0005-0000-0000-00007BD00000}"/>
    <cellStyle name="Note 3 3 3 4 2" xfId="6318" xr:uid="{00000000-0005-0000-0000-00007CD00000}"/>
    <cellStyle name="Note 3 3 3 4 2 2" xfId="13590" xr:uid="{00000000-0005-0000-0000-00007DD00000}"/>
    <cellStyle name="Note 3 3 3 4 2 2 2" xfId="28124" xr:uid="{00000000-0005-0000-0000-00007ED00000}"/>
    <cellStyle name="Note 3 3 3 4 2 2 2 2" xfId="57130" xr:uid="{00000000-0005-0000-0000-00007FD00000}"/>
    <cellStyle name="Note 3 3 3 4 2 2 3" xfId="42631" xr:uid="{00000000-0005-0000-0000-000080D00000}"/>
    <cellStyle name="Note 3 3 3 4 2 3" xfId="20876" xr:uid="{00000000-0005-0000-0000-000081D00000}"/>
    <cellStyle name="Note 3 3 3 4 2 3 2" xfId="49882" xr:uid="{00000000-0005-0000-0000-000082D00000}"/>
    <cellStyle name="Note 3 3 3 4 2 4" xfId="35383" xr:uid="{00000000-0005-0000-0000-000083D00000}"/>
    <cellStyle name="Note 3 3 3 4 3" xfId="10486" xr:uid="{00000000-0005-0000-0000-000084D00000}"/>
    <cellStyle name="Note 3 3 3 4 3 2" xfId="25020" xr:uid="{00000000-0005-0000-0000-000085D00000}"/>
    <cellStyle name="Note 3 3 3 4 3 2 2" xfId="54026" xr:uid="{00000000-0005-0000-0000-000086D00000}"/>
    <cellStyle name="Note 3 3 3 4 3 3" xfId="39527" xr:uid="{00000000-0005-0000-0000-000087D00000}"/>
    <cellStyle name="Note 3 3 3 4 4" xfId="17772" xr:uid="{00000000-0005-0000-0000-000088D00000}"/>
    <cellStyle name="Note 3 3 3 4 4 2" xfId="46778" xr:uid="{00000000-0005-0000-0000-000089D00000}"/>
    <cellStyle name="Note 3 3 3 4 5" xfId="32279" xr:uid="{00000000-0005-0000-0000-00008AD00000}"/>
    <cellStyle name="Note 3 3 3 5" xfId="4246" xr:uid="{00000000-0005-0000-0000-00008BD00000}"/>
    <cellStyle name="Note 3 3 3 5 2" xfId="11518" xr:uid="{00000000-0005-0000-0000-00008CD00000}"/>
    <cellStyle name="Note 3 3 3 5 2 2" xfId="26052" xr:uid="{00000000-0005-0000-0000-00008DD00000}"/>
    <cellStyle name="Note 3 3 3 5 2 2 2" xfId="55058" xr:uid="{00000000-0005-0000-0000-00008ED00000}"/>
    <cellStyle name="Note 3 3 3 5 2 3" xfId="40559" xr:uid="{00000000-0005-0000-0000-00008FD00000}"/>
    <cellStyle name="Note 3 3 3 5 3" xfId="18804" xr:uid="{00000000-0005-0000-0000-000090D00000}"/>
    <cellStyle name="Note 3 3 3 5 3 2" xfId="47810" xr:uid="{00000000-0005-0000-0000-000091D00000}"/>
    <cellStyle name="Note 3 3 3 5 4" xfId="33311" xr:uid="{00000000-0005-0000-0000-000092D00000}"/>
    <cellStyle name="Note 3 3 3 6" xfId="7350" xr:uid="{00000000-0005-0000-0000-000093D00000}"/>
    <cellStyle name="Note 3 3 3 6 2" xfId="14622" xr:uid="{00000000-0005-0000-0000-000094D00000}"/>
    <cellStyle name="Note 3 3 3 6 2 2" xfId="29156" xr:uid="{00000000-0005-0000-0000-000095D00000}"/>
    <cellStyle name="Note 3 3 3 6 2 2 2" xfId="58162" xr:uid="{00000000-0005-0000-0000-000096D00000}"/>
    <cellStyle name="Note 3 3 3 6 2 3" xfId="43663" xr:uid="{00000000-0005-0000-0000-000097D00000}"/>
    <cellStyle name="Note 3 3 3 6 3" xfId="21908" xr:uid="{00000000-0005-0000-0000-000098D00000}"/>
    <cellStyle name="Note 3 3 3 6 3 2" xfId="50914" xr:uid="{00000000-0005-0000-0000-000099D00000}"/>
    <cellStyle name="Note 3 3 3 6 4" xfId="36415" xr:uid="{00000000-0005-0000-0000-00009AD00000}"/>
    <cellStyle name="Note 3 3 3 7" xfId="8414" xr:uid="{00000000-0005-0000-0000-00009BD00000}"/>
    <cellStyle name="Note 3 3 3 7 2" xfId="22948" xr:uid="{00000000-0005-0000-0000-00009CD00000}"/>
    <cellStyle name="Note 3 3 3 7 2 2" xfId="51954" xr:uid="{00000000-0005-0000-0000-00009DD00000}"/>
    <cellStyle name="Note 3 3 3 7 3" xfId="37455" xr:uid="{00000000-0005-0000-0000-00009ED00000}"/>
    <cellStyle name="Note 3 3 3 8" xfId="15700" xr:uid="{00000000-0005-0000-0000-00009FD00000}"/>
    <cellStyle name="Note 3 3 3 8 2" xfId="44706" xr:uid="{00000000-0005-0000-0000-0000A0D00000}"/>
    <cellStyle name="Note 3 3 3 9" xfId="30207" xr:uid="{00000000-0005-0000-0000-0000A1D00000}"/>
    <cellStyle name="Note 3 3 4" xfId="1046" xr:uid="{00000000-0005-0000-0000-0000A2D00000}"/>
    <cellStyle name="Note 3 3 4 2" xfId="1536" xr:uid="{00000000-0005-0000-0000-0000A3D00000}"/>
    <cellStyle name="Note 3 3 4 2 2" xfId="2594" xr:uid="{00000000-0005-0000-0000-0000A4D00000}"/>
    <cellStyle name="Note 3 3 4 2 2 2" xfId="5698" xr:uid="{00000000-0005-0000-0000-0000A5D00000}"/>
    <cellStyle name="Note 3 3 4 2 2 2 2" xfId="12970" xr:uid="{00000000-0005-0000-0000-0000A6D00000}"/>
    <cellStyle name="Note 3 3 4 2 2 2 2 2" xfId="27504" xr:uid="{00000000-0005-0000-0000-0000A7D00000}"/>
    <cellStyle name="Note 3 3 4 2 2 2 2 2 2" xfId="56510" xr:uid="{00000000-0005-0000-0000-0000A8D00000}"/>
    <cellStyle name="Note 3 3 4 2 2 2 2 3" xfId="42011" xr:uid="{00000000-0005-0000-0000-0000A9D00000}"/>
    <cellStyle name="Note 3 3 4 2 2 2 3" xfId="20256" xr:uid="{00000000-0005-0000-0000-0000AAD00000}"/>
    <cellStyle name="Note 3 3 4 2 2 2 3 2" xfId="49262" xr:uid="{00000000-0005-0000-0000-0000ABD00000}"/>
    <cellStyle name="Note 3 3 4 2 2 2 4" xfId="34763" xr:uid="{00000000-0005-0000-0000-0000ACD00000}"/>
    <cellStyle name="Note 3 3 4 2 2 3" xfId="9866" xr:uid="{00000000-0005-0000-0000-0000ADD00000}"/>
    <cellStyle name="Note 3 3 4 2 2 3 2" xfId="24400" xr:uid="{00000000-0005-0000-0000-0000AED00000}"/>
    <cellStyle name="Note 3 3 4 2 2 3 2 2" xfId="53406" xr:uid="{00000000-0005-0000-0000-0000AFD00000}"/>
    <cellStyle name="Note 3 3 4 2 2 3 3" xfId="38907" xr:uid="{00000000-0005-0000-0000-0000B0D00000}"/>
    <cellStyle name="Note 3 3 4 2 2 4" xfId="17152" xr:uid="{00000000-0005-0000-0000-0000B1D00000}"/>
    <cellStyle name="Note 3 3 4 2 2 4 2" xfId="46158" xr:uid="{00000000-0005-0000-0000-0000B2D00000}"/>
    <cellStyle name="Note 3 3 4 2 2 5" xfId="31659" xr:uid="{00000000-0005-0000-0000-0000B3D00000}"/>
    <cellStyle name="Note 3 3 4 2 3" xfId="3626" xr:uid="{00000000-0005-0000-0000-0000B4D00000}"/>
    <cellStyle name="Note 3 3 4 2 3 2" xfId="6730" xr:uid="{00000000-0005-0000-0000-0000B5D00000}"/>
    <cellStyle name="Note 3 3 4 2 3 2 2" xfId="14002" xr:uid="{00000000-0005-0000-0000-0000B6D00000}"/>
    <cellStyle name="Note 3 3 4 2 3 2 2 2" xfId="28536" xr:uid="{00000000-0005-0000-0000-0000B7D00000}"/>
    <cellStyle name="Note 3 3 4 2 3 2 2 2 2" xfId="57542" xr:uid="{00000000-0005-0000-0000-0000B8D00000}"/>
    <cellStyle name="Note 3 3 4 2 3 2 2 3" xfId="43043" xr:uid="{00000000-0005-0000-0000-0000B9D00000}"/>
    <cellStyle name="Note 3 3 4 2 3 2 3" xfId="21288" xr:uid="{00000000-0005-0000-0000-0000BAD00000}"/>
    <cellStyle name="Note 3 3 4 2 3 2 3 2" xfId="50294" xr:uid="{00000000-0005-0000-0000-0000BBD00000}"/>
    <cellStyle name="Note 3 3 4 2 3 2 4" xfId="35795" xr:uid="{00000000-0005-0000-0000-0000BCD00000}"/>
    <cellStyle name="Note 3 3 4 2 3 3" xfId="10898" xr:uid="{00000000-0005-0000-0000-0000BDD00000}"/>
    <cellStyle name="Note 3 3 4 2 3 3 2" xfId="25432" xr:uid="{00000000-0005-0000-0000-0000BED00000}"/>
    <cellStyle name="Note 3 3 4 2 3 3 2 2" xfId="54438" xr:uid="{00000000-0005-0000-0000-0000BFD00000}"/>
    <cellStyle name="Note 3 3 4 2 3 3 3" xfId="39939" xr:uid="{00000000-0005-0000-0000-0000C0D00000}"/>
    <cellStyle name="Note 3 3 4 2 3 4" xfId="18184" xr:uid="{00000000-0005-0000-0000-0000C1D00000}"/>
    <cellStyle name="Note 3 3 4 2 3 4 2" xfId="47190" xr:uid="{00000000-0005-0000-0000-0000C2D00000}"/>
    <cellStyle name="Note 3 3 4 2 3 5" xfId="32691" xr:uid="{00000000-0005-0000-0000-0000C3D00000}"/>
    <cellStyle name="Note 3 3 4 2 4" xfId="4658" xr:uid="{00000000-0005-0000-0000-0000C4D00000}"/>
    <cellStyle name="Note 3 3 4 2 4 2" xfId="11930" xr:uid="{00000000-0005-0000-0000-0000C5D00000}"/>
    <cellStyle name="Note 3 3 4 2 4 2 2" xfId="26464" xr:uid="{00000000-0005-0000-0000-0000C6D00000}"/>
    <cellStyle name="Note 3 3 4 2 4 2 2 2" xfId="55470" xr:uid="{00000000-0005-0000-0000-0000C7D00000}"/>
    <cellStyle name="Note 3 3 4 2 4 2 3" xfId="40971" xr:uid="{00000000-0005-0000-0000-0000C8D00000}"/>
    <cellStyle name="Note 3 3 4 2 4 3" xfId="19216" xr:uid="{00000000-0005-0000-0000-0000C9D00000}"/>
    <cellStyle name="Note 3 3 4 2 4 3 2" xfId="48222" xr:uid="{00000000-0005-0000-0000-0000CAD00000}"/>
    <cellStyle name="Note 3 3 4 2 4 4" xfId="33723" xr:uid="{00000000-0005-0000-0000-0000CBD00000}"/>
    <cellStyle name="Note 3 3 4 2 5" xfId="7762" xr:uid="{00000000-0005-0000-0000-0000CCD00000}"/>
    <cellStyle name="Note 3 3 4 2 5 2" xfId="15034" xr:uid="{00000000-0005-0000-0000-0000CDD00000}"/>
    <cellStyle name="Note 3 3 4 2 5 2 2" xfId="29568" xr:uid="{00000000-0005-0000-0000-0000CED00000}"/>
    <cellStyle name="Note 3 3 4 2 5 2 2 2" xfId="58574" xr:uid="{00000000-0005-0000-0000-0000CFD00000}"/>
    <cellStyle name="Note 3 3 4 2 5 2 3" xfId="44075" xr:uid="{00000000-0005-0000-0000-0000D0D00000}"/>
    <cellStyle name="Note 3 3 4 2 5 3" xfId="22320" xr:uid="{00000000-0005-0000-0000-0000D1D00000}"/>
    <cellStyle name="Note 3 3 4 2 5 3 2" xfId="51326" xr:uid="{00000000-0005-0000-0000-0000D2D00000}"/>
    <cellStyle name="Note 3 3 4 2 5 4" xfId="36827" xr:uid="{00000000-0005-0000-0000-0000D3D00000}"/>
    <cellStyle name="Note 3 3 4 2 6" xfId="8826" xr:uid="{00000000-0005-0000-0000-0000D4D00000}"/>
    <cellStyle name="Note 3 3 4 2 6 2" xfId="23360" xr:uid="{00000000-0005-0000-0000-0000D5D00000}"/>
    <cellStyle name="Note 3 3 4 2 6 2 2" xfId="52366" xr:uid="{00000000-0005-0000-0000-0000D6D00000}"/>
    <cellStyle name="Note 3 3 4 2 6 3" xfId="37867" xr:uid="{00000000-0005-0000-0000-0000D7D00000}"/>
    <cellStyle name="Note 3 3 4 2 7" xfId="16112" xr:uid="{00000000-0005-0000-0000-0000D8D00000}"/>
    <cellStyle name="Note 3 3 4 2 7 2" xfId="45118" xr:uid="{00000000-0005-0000-0000-0000D9D00000}"/>
    <cellStyle name="Note 3 3 4 2 8" xfId="30619" xr:uid="{00000000-0005-0000-0000-0000DAD00000}"/>
    <cellStyle name="Note 3 3 4 3" xfId="2082" xr:uid="{00000000-0005-0000-0000-0000DBD00000}"/>
    <cellStyle name="Note 3 3 4 3 2" xfId="5186" xr:uid="{00000000-0005-0000-0000-0000DCD00000}"/>
    <cellStyle name="Note 3 3 4 3 2 2" xfId="12458" xr:uid="{00000000-0005-0000-0000-0000DDD00000}"/>
    <cellStyle name="Note 3 3 4 3 2 2 2" xfId="26992" xr:uid="{00000000-0005-0000-0000-0000DED00000}"/>
    <cellStyle name="Note 3 3 4 3 2 2 2 2" xfId="55998" xr:uid="{00000000-0005-0000-0000-0000DFD00000}"/>
    <cellStyle name="Note 3 3 4 3 2 2 3" xfId="41499" xr:uid="{00000000-0005-0000-0000-0000E0D00000}"/>
    <cellStyle name="Note 3 3 4 3 2 3" xfId="19744" xr:uid="{00000000-0005-0000-0000-0000E1D00000}"/>
    <cellStyle name="Note 3 3 4 3 2 3 2" xfId="48750" xr:uid="{00000000-0005-0000-0000-0000E2D00000}"/>
    <cellStyle name="Note 3 3 4 3 2 4" xfId="34251" xr:uid="{00000000-0005-0000-0000-0000E3D00000}"/>
    <cellStyle name="Note 3 3 4 3 3" xfId="9354" xr:uid="{00000000-0005-0000-0000-0000E4D00000}"/>
    <cellStyle name="Note 3 3 4 3 3 2" xfId="23888" xr:uid="{00000000-0005-0000-0000-0000E5D00000}"/>
    <cellStyle name="Note 3 3 4 3 3 2 2" xfId="52894" xr:uid="{00000000-0005-0000-0000-0000E6D00000}"/>
    <cellStyle name="Note 3 3 4 3 3 3" xfId="38395" xr:uid="{00000000-0005-0000-0000-0000E7D00000}"/>
    <cellStyle name="Note 3 3 4 3 4" xfId="16640" xr:uid="{00000000-0005-0000-0000-0000E8D00000}"/>
    <cellStyle name="Note 3 3 4 3 4 2" xfId="45646" xr:uid="{00000000-0005-0000-0000-0000E9D00000}"/>
    <cellStyle name="Note 3 3 4 3 5" xfId="31147" xr:uid="{00000000-0005-0000-0000-0000EAD00000}"/>
    <cellStyle name="Note 3 3 4 4" xfId="3114" xr:uid="{00000000-0005-0000-0000-0000EBD00000}"/>
    <cellStyle name="Note 3 3 4 4 2" xfId="6218" xr:uid="{00000000-0005-0000-0000-0000ECD00000}"/>
    <cellStyle name="Note 3 3 4 4 2 2" xfId="13490" xr:uid="{00000000-0005-0000-0000-0000EDD00000}"/>
    <cellStyle name="Note 3 3 4 4 2 2 2" xfId="28024" xr:uid="{00000000-0005-0000-0000-0000EED00000}"/>
    <cellStyle name="Note 3 3 4 4 2 2 2 2" xfId="57030" xr:uid="{00000000-0005-0000-0000-0000EFD00000}"/>
    <cellStyle name="Note 3 3 4 4 2 2 3" xfId="42531" xr:uid="{00000000-0005-0000-0000-0000F0D00000}"/>
    <cellStyle name="Note 3 3 4 4 2 3" xfId="20776" xr:uid="{00000000-0005-0000-0000-0000F1D00000}"/>
    <cellStyle name="Note 3 3 4 4 2 3 2" xfId="49782" xr:uid="{00000000-0005-0000-0000-0000F2D00000}"/>
    <cellStyle name="Note 3 3 4 4 2 4" xfId="35283" xr:uid="{00000000-0005-0000-0000-0000F3D00000}"/>
    <cellStyle name="Note 3 3 4 4 3" xfId="10386" xr:uid="{00000000-0005-0000-0000-0000F4D00000}"/>
    <cellStyle name="Note 3 3 4 4 3 2" xfId="24920" xr:uid="{00000000-0005-0000-0000-0000F5D00000}"/>
    <cellStyle name="Note 3 3 4 4 3 2 2" xfId="53926" xr:uid="{00000000-0005-0000-0000-0000F6D00000}"/>
    <cellStyle name="Note 3 3 4 4 3 3" xfId="39427" xr:uid="{00000000-0005-0000-0000-0000F7D00000}"/>
    <cellStyle name="Note 3 3 4 4 4" xfId="17672" xr:uid="{00000000-0005-0000-0000-0000F8D00000}"/>
    <cellStyle name="Note 3 3 4 4 4 2" xfId="46678" xr:uid="{00000000-0005-0000-0000-0000F9D00000}"/>
    <cellStyle name="Note 3 3 4 4 5" xfId="32179" xr:uid="{00000000-0005-0000-0000-0000FAD00000}"/>
    <cellStyle name="Note 3 3 4 5" xfId="4146" xr:uid="{00000000-0005-0000-0000-0000FBD00000}"/>
    <cellStyle name="Note 3 3 4 5 2" xfId="11418" xr:uid="{00000000-0005-0000-0000-0000FCD00000}"/>
    <cellStyle name="Note 3 3 4 5 2 2" xfId="25952" xr:uid="{00000000-0005-0000-0000-0000FDD00000}"/>
    <cellStyle name="Note 3 3 4 5 2 2 2" xfId="54958" xr:uid="{00000000-0005-0000-0000-0000FED00000}"/>
    <cellStyle name="Note 3 3 4 5 2 3" xfId="40459" xr:uid="{00000000-0005-0000-0000-0000FFD00000}"/>
    <cellStyle name="Note 3 3 4 5 3" xfId="18704" xr:uid="{00000000-0005-0000-0000-000000D10000}"/>
    <cellStyle name="Note 3 3 4 5 3 2" xfId="47710" xr:uid="{00000000-0005-0000-0000-000001D10000}"/>
    <cellStyle name="Note 3 3 4 5 4" xfId="33211" xr:uid="{00000000-0005-0000-0000-000002D10000}"/>
    <cellStyle name="Note 3 3 4 6" xfId="7250" xr:uid="{00000000-0005-0000-0000-000003D10000}"/>
    <cellStyle name="Note 3 3 4 6 2" xfId="14522" xr:uid="{00000000-0005-0000-0000-000004D10000}"/>
    <cellStyle name="Note 3 3 4 6 2 2" xfId="29056" xr:uid="{00000000-0005-0000-0000-000005D10000}"/>
    <cellStyle name="Note 3 3 4 6 2 2 2" xfId="58062" xr:uid="{00000000-0005-0000-0000-000006D10000}"/>
    <cellStyle name="Note 3 3 4 6 2 3" xfId="43563" xr:uid="{00000000-0005-0000-0000-000007D10000}"/>
    <cellStyle name="Note 3 3 4 6 3" xfId="21808" xr:uid="{00000000-0005-0000-0000-000008D10000}"/>
    <cellStyle name="Note 3 3 4 6 3 2" xfId="50814" xr:uid="{00000000-0005-0000-0000-000009D10000}"/>
    <cellStyle name="Note 3 3 4 6 4" xfId="36315" xr:uid="{00000000-0005-0000-0000-00000AD10000}"/>
    <cellStyle name="Note 3 3 4 7" xfId="8314" xr:uid="{00000000-0005-0000-0000-00000BD10000}"/>
    <cellStyle name="Note 3 3 4 7 2" xfId="22848" xr:uid="{00000000-0005-0000-0000-00000CD10000}"/>
    <cellStyle name="Note 3 3 4 7 2 2" xfId="51854" xr:uid="{00000000-0005-0000-0000-00000DD10000}"/>
    <cellStyle name="Note 3 3 4 7 3" xfId="37355" xr:uid="{00000000-0005-0000-0000-00000ED10000}"/>
    <cellStyle name="Note 3 3 4 8" xfId="15600" xr:uid="{00000000-0005-0000-0000-00000FD10000}"/>
    <cellStyle name="Note 3 3 4 8 2" xfId="44606" xr:uid="{00000000-0005-0000-0000-000010D10000}"/>
    <cellStyle name="Note 3 3 4 9" xfId="30107" xr:uid="{00000000-0005-0000-0000-000011D10000}"/>
    <cellStyle name="Note 3 3 5" xfId="1331" xr:uid="{00000000-0005-0000-0000-000012D10000}"/>
    <cellStyle name="Note 3 3 5 2" xfId="2388" xr:uid="{00000000-0005-0000-0000-000013D10000}"/>
    <cellStyle name="Note 3 3 5 2 2" xfId="5492" xr:uid="{00000000-0005-0000-0000-000014D10000}"/>
    <cellStyle name="Note 3 3 5 2 2 2" xfId="12764" xr:uid="{00000000-0005-0000-0000-000015D10000}"/>
    <cellStyle name="Note 3 3 5 2 2 2 2" xfId="27298" xr:uid="{00000000-0005-0000-0000-000016D10000}"/>
    <cellStyle name="Note 3 3 5 2 2 2 2 2" xfId="56304" xr:uid="{00000000-0005-0000-0000-000017D10000}"/>
    <cellStyle name="Note 3 3 5 2 2 2 3" xfId="41805" xr:uid="{00000000-0005-0000-0000-000018D10000}"/>
    <cellStyle name="Note 3 3 5 2 2 3" xfId="20050" xr:uid="{00000000-0005-0000-0000-000019D10000}"/>
    <cellStyle name="Note 3 3 5 2 2 3 2" xfId="49056" xr:uid="{00000000-0005-0000-0000-00001AD10000}"/>
    <cellStyle name="Note 3 3 5 2 2 4" xfId="34557" xr:uid="{00000000-0005-0000-0000-00001BD10000}"/>
    <cellStyle name="Note 3 3 5 2 3" xfId="9660" xr:uid="{00000000-0005-0000-0000-00001CD10000}"/>
    <cellStyle name="Note 3 3 5 2 3 2" xfId="24194" xr:uid="{00000000-0005-0000-0000-00001DD10000}"/>
    <cellStyle name="Note 3 3 5 2 3 2 2" xfId="53200" xr:uid="{00000000-0005-0000-0000-00001ED10000}"/>
    <cellStyle name="Note 3 3 5 2 3 3" xfId="38701" xr:uid="{00000000-0005-0000-0000-00001FD10000}"/>
    <cellStyle name="Note 3 3 5 2 4" xfId="16946" xr:uid="{00000000-0005-0000-0000-000020D10000}"/>
    <cellStyle name="Note 3 3 5 2 4 2" xfId="45952" xr:uid="{00000000-0005-0000-0000-000021D10000}"/>
    <cellStyle name="Note 3 3 5 2 5" xfId="31453" xr:uid="{00000000-0005-0000-0000-000022D10000}"/>
    <cellStyle name="Note 3 3 5 3" xfId="3420" xr:uid="{00000000-0005-0000-0000-000023D10000}"/>
    <cellStyle name="Note 3 3 5 3 2" xfId="6524" xr:uid="{00000000-0005-0000-0000-000024D10000}"/>
    <cellStyle name="Note 3 3 5 3 2 2" xfId="13796" xr:uid="{00000000-0005-0000-0000-000025D10000}"/>
    <cellStyle name="Note 3 3 5 3 2 2 2" xfId="28330" xr:uid="{00000000-0005-0000-0000-000026D10000}"/>
    <cellStyle name="Note 3 3 5 3 2 2 2 2" xfId="57336" xr:uid="{00000000-0005-0000-0000-000027D10000}"/>
    <cellStyle name="Note 3 3 5 3 2 2 3" xfId="42837" xr:uid="{00000000-0005-0000-0000-000028D10000}"/>
    <cellStyle name="Note 3 3 5 3 2 3" xfId="21082" xr:uid="{00000000-0005-0000-0000-000029D10000}"/>
    <cellStyle name="Note 3 3 5 3 2 3 2" xfId="50088" xr:uid="{00000000-0005-0000-0000-00002AD10000}"/>
    <cellStyle name="Note 3 3 5 3 2 4" xfId="35589" xr:uid="{00000000-0005-0000-0000-00002BD10000}"/>
    <cellStyle name="Note 3 3 5 3 3" xfId="10692" xr:uid="{00000000-0005-0000-0000-00002CD10000}"/>
    <cellStyle name="Note 3 3 5 3 3 2" xfId="25226" xr:uid="{00000000-0005-0000-0000-00002DD10000}"/>
    <cellStyle name="Note 3 3 5 3 3 2 2" xfId="54232" xr:uid="{00000000-0005-0000-0000-00002ED10000}"/>
    <cellStyle name="Note 3 3 5 3 3 3" xfId="39733" xr:uid="{00000000-0005-0000-0000-00002FD10000}"/>
    <cellStyle name="Note 3 3 5 3 4" xfId="17978" xr:uid="{00000000-0005-0000-0000-000030D10000}"/>
    <cellStyle name="Note 3 3 5 3 4 2" xfId="46984" xr:uid="{00000000-0005-0000-0000-000031D10000}"/>
    <cellStyle name="Note 3 3 5 3 5" xfId="32485" xr:uid="{00000000-0005-0000-0000-000032D10000}"/>
    <cellStyle name="Note 3 3 5 4" xfId="4452" xr:uid="{00000000-0005-0000-0000-000033D10000}"/>
    <cellStyle name="Note 3 3 5 4 2" xfId="11724" xr:uid="{00000000-0005-0000-0000-000034D10000}"/>
    <cellStyle name="Note 3 3 5 4 2 2" xfId="26258" xr:uid="{00000000-0005-0000-0000-000035D10000}"/>
    <cellStyle name="Note 3 3 5 4 2 2 2" xfId="55264" xr:uid="{00000000-0005-0000-0000-000036D10000}"/>
    <cellStyle name="Note 3 3 5 4 2 3" xfId="40765" xr:uid="{00000000-0005-0000-0000-000037D10000}"/>
    <cellStyle name="Note 3 3 5 4 3" xfId="19010" xr:uid="{00000000-0005-0000-0000-000038D10000}"/>
    <cellStyle name="Note 3 3 5 4 3 2" xfId="48016" xr:uid="{00000000-0005-0000-0000-000039D10000}"/>
    <cellStyle name="Note 3 3 5 4 4" xfId="33517" xr:uid="{00000000-0005-0000-0000-00003AD10000}"/>
    <cellStyle name="Note 3 3 5 5" xfId="7556" xr:uid="{00000000-0005-0000-0000-00003BD10000}"/>
    <cellStyle name="Note 3 3 5 5 2" xfId="14828" xr:uid="{00000000-0005-0000-0000-00003CD10000}"/>
    <cellStyle name="Note 3 3 5 5 2 2" xfId="29362" xr:uid="{00000000-0005-0000-0000-00003DD10000}"/>
    <cellStyle name="Note 3 3 5 5 2 2 2" xfId="58368" xr:uid="{00000000-0005-0000-0000-00003ED10000}"/>
    <cellStyle name="Note 3 3 5 5 2 3" xfId="43869" xr:uid="{00000000-0005-0000-0000-00003FD10000}"/>
    <cellStyle name="Note 3 3 5 5 3" xfId="22114" xr:uid="{00000000-0005-0000-0000-000040D10000}"/>
    <cellStyle name="Note 3 3 5 5 3 2" xfId="51120" xr:uid="{00000000-0005-0000-0000-000041D10000}"/>
    <cellStyle name="Note 3 3 5 5 4" xfId="36621" xr:uid="{00000000-0005-0000-0000-000042D10000}"/>
    <cellStyle name="Note 3 3 5 6" xfId="8620" xr:uid="{00000000-0005-0000-0000-000043D10000}"/>
    <cellStyle name="Note 3 3 5 6 2" xfId="23154" xr:uid="{00000000-0005-0000-0000-000044D10000}"/>
    <cellStyle name="Note 3 3 5 6 2 2" xfId="52160" xr:uid="{00000000-0005-0000-0000-000045D10000}"/>
    <cellStyle name="Note 3 3 5 6 3" xfId="37661" xr:uid="{00000000-0005-0000-0000-000046D10000}"/>
    <cellStyle name="Note 3 3 5 7" xfId="15906" xr:uid="{00000000-0005-0000-0000-000047D10000}"/>
    <cellStyle name="Note 3 3 5 7 2" xfId="44912" xr:uid="{00000000-0005-0000-0000-000048D10000}"/>
    <cellStyle name="Note 3 3 5 8" xfId="30413" xr:uid="{00000000-0005-0000-0000-000049D10000}"/>
    <cellStyle name="Note 3 3 6" xfId="1876" xr:uid="{00000000-0005-0000-0000-00004AD10000}"/>
    <cellStyle name="Note 3 3 6 2" xfId="4980" xr:uid="{00000000-0005-0000-0000-00004BD10000}"/>
    <cellStyle name="Note 3 3 6 2 2" xfId="12252" xr:uid="{00000000-0005-0000-0000-00004CD10000}"/>
    <cellStyle name="Note 3 3 6 2 2 2" xfId="26786" xr:uid="{00000000-0005-0000-0000-00004DD10000}"/>
    <cellStyle name="Note 3 3 6 2 2 2 2" xfId="55792" xr:uid="{00000000-0005-0000-0000-00004ED10000}"/>
    <cellStyle name="Note 3 3 6 2 2 3" xfId="41293" xr:uid="{00000000-0005-0000-0000-00004FD10000}"/>
    <cellStyle name="Note 3 3 6 2 3" xfId="19538" xr:uid="{00000000-0005-0000-0000-000050D10000}"/>
    <cellStyle name="Note 3 3 6 2 3 2" xfId="48544" xr:uid="{00000000-0005-0000-0000-000051D10000}"/>
    <cellStyle name="Note 3 3 6 2 4" xfId="34045" xr:uid="{00000000-0005-0000-0000-000052D10000}"/>
    <cellStyle name="Note 3 3 6 3" xfId="9148" xr:uid="{00000000-0005-0000-0000-000053D10000}"/>
    <cellStyle name="Note 3 3 6 3 2" xfId="23682" xr:uid="{00000000-0005-0000-0000-000054D10000}"/>
    <cellStyle name="Note 3 3 6 3 2 2" xfId="52688" xr:uid="{00000000-0005-0000-0000-000055D10000}"/>
    <cellStyle name="Note 3 3 6 3 3" xfId="38189" xr:uid="{00000000-0005-0000-0000-000056D10000}"/>
    <cellStyle name="Note 3 3 6 4" xfId="16434" xr:uid="{00000000-0005-0000-0000-000057D10000}"/>
    <cellStyle name="Note 3 3 6 4 2" xfId="45440" xr:uid="{00000000-0005-0000-0000-000058D10000}"/>
    <cellStyle name="Note 3 3 6 5" xfId="30941" xr:uid="{00000000-0005-0000-0000-000059D10000}"/>
    <cellStyle name="Note 3 3 7" xfId="2908" xr:uid="{00000000-0005-0000-0000-00005AD10000}"/>
    <cellStyle name="Note 3 3 7 2" xfId="6012" xr:uid="{00000000-0005-0000-0000-00005BD10000}"/>
    <cellStyle name="Note 3 3 7 2 2" xfId="13284" xr:uid="{00000000-0005-0000-0000-00005CD10000}"/>
    <cellStyle name="Note 3 3 7 2 2 2" xfId="27818" xr:uid="{00000000-0005-0000-0000-00005DD10000}"/>
    <cellStyle name="Note 3 3 7 2 2 2 2" xfId="56824" xr:uid="{00000000-0005-0000-0000-00005ED10000}"/>
    <cellStyle name="Note 3 3 7 2 2 3" xfId="42325" xr:uid="{00000000-0005-0000-0000-00005FD10000}"/>
    <cellStyle name="Note 3 3 7 2 3" xfId="20570" xr:uid="{00000000-0005-0000-0000-000060D10000}"/>
    <cellStyle name="Note 3 3 7 2 3 2" xfId="49576" xr:uid="{00000000-0005-0000-0000-000061D10000}"/>
    <cellStyle name="Note 3 3 7 2 4" xfId="35077" xr:uid="{00000000-0005-0000-0000-000062D10000}"/>
    <cellStyle name="Note 3 3 7 3" xfId="10180" xr:uid="{00000000-0005-0000-0000-000063D10000}"/>
    <cellStyle name="Note 3 3 7 3 2" xfId="24714" xr:uid="{00000000-0005-0000-0000-000064D10000}"/>
    <cellStyle name="Note 3 3 7 3 2 2" xfId="53720" xr:uid="{00000000-0005-0000-0000-000065D10000}"/>
    <cellStyle name="Note 3 3 7 3 3" xfId="39221" xr:uid="{00000000-0005-0000-0000-000066D10000}"/>
    <cellStyle name="Note 3 3 7 4" xfId="17466" xr:uid="{00000000-0005-0000-0000-000067D10000}"/>
    <cellStyle name="Note 3 3 7 4 2" xfId="46472" xr:uid="{00000000-0005-0000-0000-000068D10000}"/>
    <cellStyle name="Note 3 3 7 5" xfId="31973" xr:uid="{00000000-0005-0000-0000-000069D10000}"/>
    <cellStyle name="Note 3 3 8" xfId="3940" xr:uid="{00000000-0005-0000-0000-00006AD10000}"/>
    <cellStyle name="Note 3 3 8 2" xfId="11212" xr:uid="{00000000-0005-0000-0000-00006BD10000}"/>
    <cellStyle name="Note 3 3 8 2 2" xfId="25746" xr:uid="{00000000-0005-0000-0000-00006CD10000}"/>
    <cellStyle name="Note 3 3 8 2 2 2" xfId="54752" xr:uid="{00000000-0005-0000-0000-00006DD10000}"/>
    <cellStyle name="Note 3 3 8 2 3" xfId="40253" xr:uid="{00000000-0005-0000-0000-00006ED10000}"/>
    <cellStyle name="Note 3 3 8 3" xfId="18498" xr:uid="{00000000-0005-0000-0000-00006FD10000}"/>
    <cellStyle name="Note 3 3 8 3 2" xfId="47504" xr:uid="{00000000-0005-0000-0000-000070D10000}"/>
    <cellStyle name="Note 3 3 8 4" xfId="33005" xr:uid="{00000000-0005-0000-0000-000071D10000}"/>
    <cellStyle name="Note 3 3 9" xfId="7044" xr:uid="{00000000-0005-0000-0000-000072D10000}"/>
    <cellStyle name="Note 3 3 9 2" xfId="14316" xr:uid="{00000000-0005-0000-0000-000073D10000}"/>
    <cellStyle name="Note 3 3 9 2 2" xfId="28850" xr:uid="{00000000-0005-0000-0000-000074D10000}"/>
    <cellStyle name="Note 3 3 9 2 2 2" xfId="57856" xr:uid="{00000000-0005-0000-0000-000075D10000}"/>
    <cellStyle name="Note 3 3 9 2 3" xfId="43357" xr:uid="{00000000-0005-0000-0000-000076D10000}"/>
    <cellStyle name="Note 3 3 9 3" xfId="21602" xr:uid="{00000000-0005-0000-0000-000077D10000}"/>
    <cellStyle name="Note 3 3 9 3 2" xfId="50608" xr:uid="{00000000-0005-0000-0000-000078D10000}"/>
    <cellStyle name="Note 3 3 9 4" xfId="36109" xr:uid="{00000000-0005-0000-0000-000079D10000}"/>
    <cellStyle name="Note 3 4" xfId="916" xr:uid="{00000000-0005-0000-0000-00007AD10000}"/>
    <cellStyle name="Note 3 4 10" xfId="29952" xr:uid="{00000000-0005-0000-0000-00007BD10000}"/>
    <cellStyle name="Note 3 4 2" xfId="1184" xr:uid="{00000000-0005-0000-0000-00007CD10000}"/>
    <cellStyle name="Note 3 4 2 2" xfId="1686" xr:uid="{00000000-0005-0000-0000-00007DD10000}"/>
    <cellStyle name="Note 3 4 2 2 2" xfId="2745" xr:uid="{00000000-0005-0000-0000-00007ED10000}"/>
    <cellStyle name="Note 3 4 2 2 2 2" xfId="5849" xr:uid="{00000000-0005-0000-0000-00007FD10000}"/>
    <cellStyle name="Note 3 4 2 2 2 2 2" xfId="13121" xr:uid="{00000000-0005-0000-0000-000080D10000}"/>
    <cellStyle name="Note 3 4 2 2 2 2 2 2" xfId="27655" xr:uid="{00000000-0005-0000-0000-000081D10000}"/>
    <cellStyle name="Note 3 4 2 2 2 2 2 2 2" xfId="56661" xr:uid="{00000000-0005-0000-0000-000082D10000}"/>
    <cellStyle name="Note 3 4 2 2 2 2 2 3" xfId="42162" xr:uid="{00000000-0005-0000-0000-000083D10000}"/>
    <cellStyle name="Note 3 4 2 2 2 2 3" xfId="20407" xr:uid="{00000000-0005-0000-0000-000084D10000}"/>
    <cellStyle name="Note 3 4 2 2 2 2 3 2" xfId="49413" xr:uid="{00000000-0005-0000-0000-000085D10000}"/>
    <cellStyle name="Note 3 4 2 2 2 2 4" xfId="34914" xr:uid="{00000000-0005-0000-0000-000086D10000}"/>
    <cellStyle name="Note 3 4 2 2 2 3" xfId="10017" xr:uid="{00000000-0005-0000-0000-000087D10000}"/>
    <cellStyle name="Note 3 4 2 2 2 3 2" xfId="24551" xr:uid="{00000000-0005-0000-0000-000088D10000}"/>
    <cellStyle name="Note 3 4 2 2 2 3 2 2" xfId="53557" xr:uid="{00000000-0005-0000-0000-000089D10000}"/>
    <cellStyle name="Note 3 4 2 2 2 3 3" xfId="39058" xr:uid="{00000000-0005-0000-0000-00008AD10000}"/>
    <cellStyle name="Note 3 4 2 2 2 4" xfId="17303" xr:uid="{00000000-0005-0000-0000-00008BD10000}"/>
    <cellStyle name="Note 3 4 2 2 2 4 2" xfId="46309" xr:uid="{00000000-0005-0000-0000-00008CD10000}"/>
    <cellStyle name="Note 3 4 2 2 2 5" xfId="31810" xr:uid="{00000000-0005-0000-0000-00008DD10000}"/>
    <cellStyle name="Note 3 4 2 2 3" xfId="3777" xr:uid="{00000000-0005-0000-0000-00008ED10000}"/>
    <cellStyle name="Note 3 4 2 2 3 2" xfId="6881" xr:uid="{00000000-0005-0000-0000-00008FD10000}"/>
    <cellStyle name="Note 3 4 2 2 3 2 2" xfId="14153" xr:uid="{00000000-0005-0000-0000-000090D10000}"/>
    <cellStyle name="Note 3 4 2 2 3 2 2 2" xfId="28687" xr:uid="{00000000-0005-0000-0000-000091D10000}"/>
    <cellStyle name="Note 3 4 2 2 3 2 2 2 2" xfId="57693" xr:uid="{00000000-0005-0000-0000-000092D10000}"/>
    <cellStyle name="Note 3 4 2 2 3 2 2 3" xfId="43194" xr:uid="{00000000-0005-0000-0000-000093D10000}"/>
    <cellStyle name="Note 3 4 2 2 3 2 3" xfId="21439" xr:uid="{00000000-0005-0000-0000-000094D10000}"/>
    <cellStyle name="Note 3 4 2 2 3 2 3 2" xfId="50445" xr:uid="{00000000-0005-0000-0000-000095D10000}"/>
    <cellStyle name="Note 3 4 2 2 3 2 4" xfId="35946" xr:uid="{00000000-0005-0000-0000-000096D10000}"/>
    <cellStyle name="Note 3 4 2 2 3 3" xfId="11049" xr:uid="{00000000-0005-0000-0000-000097D10000}"/>
    <cellStyle name="Note 3 4 2 2 3 3 2" xfId="25583" xr:uid="{00000000-0005-0000-0000-000098D10000}"/>
    <cellStyle name="Note 3 4 2 2 3 3 2 2" xfId="54589" xr:uid="{00000000-0005-0000-0000-000099D10000}"/>
    <cellStyle name="Note 3 4 2 2 3 3 3" xfId="40090" xr:uid="{00000000-0005-0000-0000-00009AD10000}"/>
    <cellStyle name="Note 3 4 2 2 3 4" xfId="18335" xr:uid="{00000000-0005-0000-0000-00009BD10000}"/>
    <cellStyle name="Note 3 4 2 2 3 4 2" xfId="47341" xr:uid="{00000000-0005-0000-0000-00009CD10000}"/>
    <cellStyle name="Note 3 4 2 2 3 5" xfId="32842" xr:uid="{00000000-0005-0000-0000-00009DD10000}"/>
    <cellStyle name="Note 3 4 2 2 4" xfId="4809" xr:uid="{00000000-0005-0000-0000-00009ED10000}"/>
    <cellStyle name="Note 3 4 2 2 4 2" xfId="12081" xr:uid="{00000000-0005-0000-0000-00009FD10000}"/>
    <cellStyle name="Note 3 4 2 2 4 2 2" xfId="26615" xr:uid="{00000000-0005-0000-0000-0000A0D10000}"/>
    <cellStyle name="Note 3 4 2 2 4 2 2 2" xfId="55621" xr:uid="{00000000-0005-0000-0000-0000A1D10000}"/>
    <cellStyle name="Note 3 4 2 2 4 2 3" xfId="41122" xr:uid="{00000000-0005-0000-0000-0000A2D10000}"/>
    <cellStyle name="Note 3 4 2 2 4 3" xfId="19367" xr:uid="{00000000-0005-0000-0000-0000A3D10000}"/>
    <cellStyle name="Note 3 4 2 2 4 3 2" xfId="48373" xr:uid="{00000000-0005-0000-0000-0000A4D10000}"/>
    <cellStyle name="Note 3 4 2 2 4 4" xfId="33874" xr:uid="{00000000-0005-0000-0000-0000A5D10000}"/>
    <cellStyle name="Note 3 4 2 2 5" xfId="7913" xr:uid="{00000000-0005-0000-0000-0000A6D10000}"/>
    <cellStyle name="Note 3 4 2 2 5 2" xfId="15185" xr:uid="{00000000-0005-0000-0000-0000A7D10000}"/>
    <cellStyle name="Note 3 4 2 2 5 2 2" xfId="29719" xr:uid="{00000000-0005-0000-0000-0000A8D10000}"/>
    <cellStyle name="Note 3 4 2 2 5 2 2 2" xfId="58725" xr:uid="{00000000-0005-0000-0000-0000A9D10000}"/>
    <cellStyle name="Note 3 4 2 2 5 2 3" xfId="44226" xr:uid="{00000000-0005-0000-0000-0000AAD10000}"/>
    <cellStyle name="Note 3 4 2 2 5 3" xfId="22471" xr:uid="{00000000-0005-0000-0000-0000ABD10000}"/>
    <cellStyle name="Note 3 4 2 2 5 3 2" xfId="51477" xr:uid="{00000000-0005-0000-0000-0000ACD10000}"/>
    <cellStyle name="Note 3 4 2 2 5 4" xfId="36978" xr:uid="{00000000-0005-0000-0000-0000ADD10000}"/>
    <cellStyle name="Note 3 4 2 2 6" xfId="8977" xr:uid="{00000000-0005-0000-0000-0000AED10000}"/>
    <cellStyle name="Note 3 4 2 2 6 2" xfId="23511" xr:uid="{00000000-0005-0000-0000-0000AFD10000}"/>
    <cellStyle name="Note 3 4 2 2 6 2 2" xfId="52517" xr:uid="{00000000-0005-0000-0000-0000B0D10000}"/>
    <cellStyle name="Note 3 4 2 2 6 3" xfId="38018" xr:uid="{00000000-0005-0000-0000-0000B1D10000}"/>
    <cellStyle name="Note 3 4 2 2 7" xfId="16263" xr:uid="{00000000-0005-0000-0000-0000B2D10000}"/>
    <cellStyle name="Note 3 4 2 2 7 2" xfId="45269" xr:uid="{00000000-0005-0000-0000-0000B3D10000}"/>
    <cellStyle name="Note 3 4 2 2 8" xfId="30770" xr:uid="{00000000-0005-0000-0000-0000B4D10000}"/>
    <cellStyle name="Note 3 4 2 3" xfId="2233" xr:uid="{00000000-0005-0000-0000-0000B5D10000}"/>
    <cellStyle name="Note 3 4 2 3 2" xfId="5337" xr:uid="{00000000-0005-0000-0000-0000B6D10000}"/>
    <cellStyle name="Note 3 4 2 3 2 2" xfId="12609" xr:uid="{00000000-0005-0000-0000-0000B7D10000}"/>
    <cellStyle name="Note 3 4 2 3 2 2 2" xfId="27143" xr:uid="{00000000-0005-0000-0000-0000B8D10000}"/>
    <cellStyle name="Note 3 4 2 3 2 2 2 2" xfId="56149" xr:uid="{00000000-0005-0000-0000-0000B9D10000}"/>
    <cellStyle name="Note 3 4 2 3 2 2 3" xfId="41650" xr:uid="{00000000-0005-0000-0000-0000BAD10000}"/>
    <cellStyle name="Note 3 4 2 3 2 3" xfId="19895" xr:uid="{00000000-0005-0000-0000-0000BBD10000}"/>
    <cellStyle name="Note 3 4 2 3 2 3 2" xfId="48901" xr:uid="{00000000-0005-0000-0000-0000BCD10000}"/>
    <cellStyle name="Note 3 4 2 3 2 4" xfId="34402" xr:uid="{00000000-0005-0000-0000-0000BDD10000}"/>
    <cellStyle name="Note 3 4 2 3 3" xfId="9505" xr:uid="{00000000-0005-0000-0000-0000BED10000}"/>
    <cellStyle name="Note 3 4 2 3 3 2" xfId="24039" xr:uid="{00000000-0005-0000-0000-0000BFD10000}"/>
    <cellStyle name="Note 3 4 2 3 3 2 2" xfId="53045" xr:uid="{00000000-0005-0000-0000-0000C0D10000}"/>
    <cellStyle name="Note 3 4 2 3 3 3" xfId="38546" xr:uid="{00000000-0005-0000-0000-0000C1D10000}"/>
    <cellStyle name="Note 3 4 2 3 4" xfId="16791" xr:uid="{00000000-0005-0000-0000-0000C2D10000}"/>
    <cellStyle name="Note 3 4 2 3 4 2" xfId="45797" xr:uid="{00000000-0005-0000-0000-0000C3D10000}"/>
    <cellStyle name="Note 3 4 2 3 5" xfId="31298" xr:uid="{00000000-0005-0000-0000-0000C4D10000}"/>
    <cellStyle name="Note 3 4 2 4" xfId="3265" xr:uid="{00000000-0005-0000-0000-0000C5D10000}"/>
    <cellStyle name="Note 3 4 2 4 2" xfId="6369" xr:uid="{00000000-0005-0000-0000-0000C6D10000}"/>
    <cellStyle name="Note 3 4 2 4 2 2" xfId="13641" xr:uid="{00000000-0005-0000-0000-0000C7D10000}"/>
    <cellStyle name="Note 3 4 2 4 2 2 2" xfId="28175" xr:uid="{00000000-0005-0000-0000-0000C8D10000}"/>
    <cellStyle name="Note 3 4 2 4 2 2 2 2" xfId="57181" xr:uid="{00000000-0005-0000-0000-0000C9D10000}"/>
    <cellStyle name="Note 3 4 2 4 2 2 3" xfId="42682" xr:uid="{00000000-0005-0000-0000-0000CAD10000}"/>
    <cellStyle name="Note 3 4 2 4 2 3" xfId="20927" xr:uid="{00000000-0005-0000-0000-0000CBD10000}"/>
    <cellStyle name="Note 3 4 2 4 2 3 2" xfId="49933" xr:uid="{00000000-0005-0000-0000-0000CCD10000}"/>
    <cellStyle name="Note 3 4 2 4 2 4" xfId="35434" xr:uid="{00000000-0005-0000-0000-0000CDD10000}"/>
    <cellStyle name="Note 3 4 2 4 3" xfId="10537" xr:uid="{00000000-0005-0000-0000-0000CED10000}"/>
    <cellStyle name="Note 3 4 2 4 3 2" xfId="25071" xr:uid="{00000000-0005-0000-0000-0000CFD10000}"/>
    <cellStyle name="Note 3 4 2 4 3 2 2" xfId="54077" xr:uid="{00000000-0005-0000-0000-0000D0D10000}"/>
    <cellStyle name="Note 3 4 2 4 3 3" xfId="39578" xr:uid="{00000000-0005-0000-0000-0000D1D10000}"/>
    <cellStyle name="Note 3 4 2 4 4" xfId="17823" xr:uid="{00000000-0005-0000-0000-0000D2D10000}"/>
    <cellStyle name="Note 3 4 2 4 4 2" xfId="46829" xr:uid="{00000000-0005-0000-0000-0000D3D10000}"/>
    <cellStyle name="Note 3 4 2 4 5" xfId="32330" xr:uid="{00000000-0005-0000-0000-0000D4D10000}"/>
    <cellStyle name="Note 3 4 2 5" xfId="4297" xr:uid="{00000000-0005-0000-0000-0000D5D10000}"/>
    <cellStyle name="Note 3 4 2 5 2" xfId="11569" xr:uid="{00000000-0005-0000-0000-0000D6D10000}"/>
    <cellStyle name="Note 3 4 2 5 2 2" xfId="26103" xr:uid="{00000000-0005-0000-0000-0000D7D10000}"/>
    <cellStyle name="Note 3 4 2 5 2 2 2" xfId="55109" xr:uid="{00000000-0005-0000-0000-0000D8D10000}"/>
    <cellStyle name="Note 3 4 2 5 2 3" xfId="40610" xr:uid="{00000000-0005-0000-0000-0000D9D10000}"/>
    <cellStyle name="Note 3 4 2 5 3" xfId="18855" xr:uid="{00000000-0005-0000-0000-0000DAD10000}"/>
    <cellStyle name="Note 3 4 2 5 3 2" xfId="47861" xr:uid="{00000000-0005-0000-0000-0000DBD10000}"/>
    <cellStyle name="Note 3 4 2 5 4" xfId="33362" xr:uid="{00000000-0005-0000-0000-0000DCD10000}"/>
    <cellStyle name="Note 3 4 2 6" xfId="7401" xr:uid="{00000000-0005-0000-0000-0000DDD10000}"/>
    <cellStyle name="Note 3 4 2 6 2" xfId="14673" xr:uid="{00000000-0005-0000-0000-0000DED10000}"/>
    <cellStyle name="Note 3 4 2 6 2 2" xfId="29207" xr:uid="{00000000-0005-0000-0000-0000DFD10000}"/>
    <cellStyle name="Note 3 4 2 6 2 2 2" xfId="58213" xr:uid="{00000000-0005-0000-0000-0000E0D10000}"/>
    <cellStyle name="Note 3 4 2 6 2 3" xfId="43714" xr:uid="{00000000-0005-0000-0000-0000E1D10000}"/>
    <cellStyle name="Note 3 4 2 6 3" xfId="21959" xr:uid="{00000000-0005-0000-0000-0000E2D10000}"/>
    <cellStyle name="Note 3 4 2 6 3 2" xfId="50965" xr:uid="{00000000-0005-0000-0000-0000E3D10000}"/>
    <cellStyle name="Note 3 4 2 6 4" xfId="36466" xr:uid="{00000000-0005-0000-0000-0000E4D10000}"/>
    <cellStyle name="Note 3 4 2 7" xfId="8465" xr:uid="{00000000-0005-0000-0000-0000E5D10000}"/>
    <cellStyle name="Note 3 4 2 7 2" xfId="22999" xr:uid="{00000000-0005-0000-0000-0000E6D10000}"/>
    <cellStyle name="Note 3 4 2 7 2 2" xfId="52005" xr:uid="{00000000-0005-0000-0000-0000E7D10000}"/>
    <cellStyle name="Note 3 4 2 7 3" xfId="37506" xr:uid="{00000000-0005-0000-0000-0000E8D10000}"/>
    <cellStyle name="Note 3 4 2 8" xfId="15751" xr:uid="{00000000-0005-0000-0000-0000E9D10000}"/>
    <cellStyle name="Note 3 4 2 8 2" xfId="44757" xr:uid="{00000000-0005-0000-0000-0000EAD10000}"/>
    <cellStyle name="Note 3 4 2 9" xfId="30258" xr:uid="{00000000-0005-0000-0000-0000EBD10000}"/>
    <cellStyle name="Note 3 4 3" xfId="1382" xr:uid="{00000000-0005-0000-0000-0000ECD10000}"/>
    <cellStyle name="Note 3 4 3 2" xfId="2439" xr:uid="{00000000-0005-0000-0000-0000EDD10000}"/>
    <cellStyle name="Note 3 4 3 2 2" xfId="5543" xr:uid="{00000000-0005-0000-0000-0000EED10000}"/>
    <cellStyle name="Note 3 4 3 2 2 2" xfId="12815" xr:uid="{00000000-0005-0000-0000-0000EFD10000}"/>
    <cellStyle name="Note 3 4 3 2 2 2 2" xfId="27349" xr:uid="{00000000-0005-0000-0000-0000F0D10000}"/>
    <cellStyle name="Note 3 4 3 2 2 2 2 2" xfId="56355" xr:uid="{00000000-0005-0000-0000-0000F1D10000}"/>
    <cellStyle name="Note 3 4 3 2 2 2 3" xfId="41856" xr:uid="{00000000-0005-0000-0000-0000F2D10000}"/>
    <cellStyle name="Note 3 4 3 2 2 3" xfId="20101" xr:uid="{00000000-0005-0000-0000-0000F3D10000}"/>
    <cellStyle name="Note 3 4 3 2 2 3 2" xfId="49107" xr:uid="{00000000-0005-0000-0000-0000F4D10000}"/>
    <cellStyle name="Note 3 4 3 2 2 4" xfId="34608" xr:uid="{00000000-0005-0000-0000-0000F5D10000}"/>
    <cellStyle name="Note 3 4 3 2 3" xfId="9711" xr:uid="{00000000-0005-0000-0000-0000F6D10000}"/>
    <cellStyle name="Note 3 4 3 2 3 2" xfId="24245" xr:uid="{00000000-0005-0000-0000-0000F7D10000}"/>
    <cellStyle name="Note 3 4 3 2 3 2 2" xfId="53251" xr:uid="{00000000-0005-0000-0000-0000F8D10000}"/>
    <cellStyle name="Note 3 4 3 2 3 3" xfId="38752" xr:uid="{00000000-0005-0000-0000-0000F9D10000}"/>
    <cellStyle name="Note 3 4 3 2 4" xfId="16997" xr:uid="{00000000-0005-0000-0000-0000FAD10000}"/>
    <cellStyle name="Note 3 4 3 2 4 2" xfId="46003" xr:uid="{00000000-0005-0000-0000-0000FBD10000}"/>
    <cellStyle name="Note 3 4 3 2 5" xfId="31504" xr:uid="{00000000-0005-0000-0000-0000FCD10000}"/>
    <cellStyle name="Note 3 4 3 3" xfId="3471" xr:uid="{00000000-0005-0000-0000-0000FDD10000}"/>
    <cellStyle name="Note 3 4 3 3 2" xfId="6575" xr:uid="{00000000-0005-0000-0000-0000FED10000}"/>
    <cellStyle name="Note 3 4 3 3 2 2" xfId="13847" xr:uid="{00000000-0005-0000-0000-0000FFD10000}"/>
    <cellStyle name="Note 3 4 3 3 2 2 2" xfId="28381" xr:uid="{00000000-0005-0000-0000-000000D20000}"/>
    <cellStyle name="Note 3 4 3 3 2 2 2 2" xfId="57387" xr:uid="{00000000-0005-0000-0000-000001D20000}"/>
    <cellStyle name="Note 3 4 3 3 2 2 3" xfId="42888" xr:uid="{00000000-0005-0000-0000-000002D20000}"/>
    <cellStyle name="Note 3 4 3 3 2 3" xfId="21133" xr:uid="{00000000-0005-0000-0000-000003D20000}"/>
    <cellStyle name="Note 3 4 3 3 2 3 2" xfId="50139" xr:uid="{00000000-0005-0000-0000-000004D20000}"/>
    <cellStyle name="Note 3 4 3 3 2 4" xfId="35640" xr:uid="{00000000-0005-0000-0000-000005D20000}"/>
    <cellStyle name="Note 3 4 3 3 3" xfId="10743" xr:uid="{00000000-0005-0000-0000-000006D20000}"/>
    <cellStyle name="Note 3 4 3 3 3 2" xfId="25277" xr:uid="{00000000-0005-0000-0000-000007D20000}"/>
    <cellStyle name="Note 3 4 3 3 3 2 2" xfId="54283" xr:uid="{00000000-0005-0000-0000-000008D20000}"/>
    <cellStyle name="Note 3 4 3 3 3 3" xfId="39784" xr:uid="{00000000-0005-0000-0000-000009D20000}"/>
    <cellStyle name="Note 3 4 3 3 4" xfId="18029" xr:uid="{00000000-0005-0000-0000-00000AD20000}"/>
    <cellStyle name="Note 3 4 3 3 4 2" xfId="47035" xr:uid="{00000000-0005-0000-0000-00000BD20000}"/>
    <cellStyle name="Note 3 4 3 3 5" xfId="32536" xr:uid="{00000000-0005-0000-0000-00000CD20000}"/>
    <cellStyle name="Note 3 4 3 4" xfId="4503" xr:uid="{00000000-0005-0000-0000-00000DD20000}"/>
    <cellStyle name="Note 3 4 3 4 2" xfId="11775" xr:uid="{00000000-0005-0000-0000-00000ED20000}"/>
    <cellStyle name="Note 3 4 3 4 2 2" xfId="26309" xr:uid="{00000000-0005-0000-0000-00000FD20000}"/>
    <cellStyle name="Note 3 4 3 4 2 2 2" xfId="55315" xr:uid="{00000000-0005-0000-0000-000010D20000}"/>
    <cellStyle name="Note 3 4 3 4 2 3" xfId="40816" xr:uid="{00000000-0005-0000-0000-000011D20000}"/>
    <cellStyle name="Note 3 4 3 4 3" xfId="19061" xr:uid="{00000000-0005-0000-0000-000012D20000}"/>
    <cellStyle name="Note 3 4 3 4 3 2" xfId="48067" xr:uid="{00000000-0005-0000-0000-000013D20000}"/>
    <cellStyle name="Note 3 4 3 4 4" xfId="33568" xr:uid="{00000000-0005-0000-0000-000014D20000}"/>
    <cellStyle name="Note 3 4 3 5" xfId="7607" xr:uid="{00000000-0005-0000-0000-000015D20000}"/>
    <cellStyle name="Note 3 4 3 5 2" xfId="14879" xr:uid="{00000000-0005-0000-0000-000016D20000}"/>
    <cellStyle name="Note 3 4 3 5 2 2" xfId="29413" xr:uid="{00000000-0005-0000-0000-000017D20000}"/>
    <cellStyle name="Note 3 4 3 5 2 2 2" xfId="58419" xr:uid="{00000000-0005-0000-0000-000018D20000}"/>
    <cellStyle name="Note 3 4 3 5 2 3" xfId="43920" xr:uid="{00000000-0005-0000-0000-000019D20000}"/>
    <cellStyle name="Note 3 4 3 5 3" xfId="22165" xr:uid="{00000000-0005-0000-0000-00001AD20000}"/>
    <cellStyle name="Note 3 4 3 5 3 2" xfId="51171" xr:uid="{00000000-0005-0000-0000-00001BD20000}"/>
    <cellStyle name="Note 3 4 3 5 4" xfId="36672" xr:uid="{00000000-0005-0000-0000-00001CD20000}"/>
    <cellStyle name="Note 3 4 3 6" xfId="8671" xr:uid="{00000000-0005-0000-0000-00001DD20000}"/>
    <cellStyle name="Note 3 4 3 6 2" xfId="23205" xr:uid="{00000000-0005-0000-0000-00001ED20000}"/>
    <cellStyle name="Note 3 4 3 6 2 2" xfId="52211" xr:uid="{00000000-0005-0000-0000-00001FD20000}"/>
    <cellStyle name="Note 3 4 3 6 3" xfId="37712" xr:uid="{00000000-0005-0000-0000-000020D20000}"/>
    <cellStyle name="Note 3 4 3 7" xfId="15957" xr:uid="{00000000-0005-0000-0000-000021D20000}"/>
    <cellStyle name="Note 3 4 3 7 2" xfId="44963" xr:uid="{00000000-0005-0000-0000-000022D20000}"/>
    <cellStyle name="Note 3 4 3 8" xfId="30464" xr:uid="{00000000-0005-0000-0000-000023D20000}"/>
    <cellStyle name="Note 3 4 4" xfId="1927" xr:uid="{00000000-0005-0000-0000-000024D20000}"/>
    <cellStyle name="Note 3 4 4 2" xfId="5031" xr:uid="{00000000-0005-0000-0000-000025D20000}"/>
    <cellStyle name="Note 3 4 4 2 2" xfId="12303" xr:uid="{00000000-0005-0000-0000-000026D20000}"/>
    <cellStyle name="Note 3 4 4 2 2 2" xfId="26837" xr:uid="{00000000-0005-0000-0000-000027D20000}"/>
    <cellStyle name="Note 3 4 4 2 2 2 2" xfId="55843" xr:uid="{00000000-0005-0000-0000-000028D20000}"/>
    <cellStyle name="Note 3 4 4 2 2 3" xfId="41344" xr:uid="{00000000-0005-0000-0000-000029D20000}"/>
    <cellStyle name="Note 3 4 4 2 3" xfId="19589" xr:uid="{00000000-0005-0000-0000-00002AD20000}"/>
    <cellStyle name="Note 3 4 4 2 3 2" xfId="48595" xr:uid="{00000000-0005-0000-0000-00002BD20000}"/>
    <cellStyle name="Note 3 4 4 2 4" xfId="34096" xr:uid="{00000000-0005-0000-0000-00002CD20000}"/>
    <cellStyle name="Note 3 4 4 3" xfId="9199" xr:uid="{00000000-0005-0000-0000-00002DD20000}"/>
    <cellStyle name="Note 3 4 4 3 2" xfId="23733" xr:uid="{00000000-0005-0000-0000-00002ED20000}"/>
    <cellStyle name="Note 3 4 4 3 2 2" xfId="52739" xr:uid="{00000000-0005-0000-0000-00002FD20000}"/>
    <cellStyle name="Note 3 4 4 3 3" xfId="38240" xr:uid="{00000000-0005-0000-0000-000030D20000}"/>
    <cellStyle name="Note 3 4 4 4" xfId="16485" xr:uid="{00000000-0005-0000-0000-000031D20000}"/>
    <cellStyle name="Note 3 4 4 4 2" xfId="45491" xr:uid="{00000000-0005-0000-0000-000032D20000}"/>
    <cellStyle name="Note 3 4 4 5" xfId="30992" xr:uid="{00000000-0005-0000-0000-000033D20000}"/>
    <cellStyle name="Note 3 4 5" xfId="2959" xr:uid="{00000000-0005-0000-0000-000034D20000}"/>
    <cellStyle name="Note 3 4 5 2" xfId="6063" xr:uid="{00000000-0005-0000-0000-000035D20000}"/>
    <cellStyle name="Note 3 4 5 2 2" xfId="13335" xr:uid="{00000000-0005-0000-0000-000036D20000}"/>
    <cellStyle name="Note 3 4 5 2 2 2" xfId="27869" xr:uid="{00000000-0005-0000-0000-000037D20000}"/>
    <cellStyle name="Note 3 4 5 2 2 2 2" xfId="56875" xr:uid="{00000000-0005-0000-0000-000038D20000}"/>
    <cellStyle name="Note 3 4 5 2 2 3" xfId="42376" xr:uid="{00000000-0005-0000-0000-000039D20000}"/>
    <cellStyle name="Note 3 4 5 2 3" xfId="20621" xr:uid="{00000000-0005-0000-0000-00003AD20000}"/>
    <cellStyle name="Note 3 4 5 2 3 2" xfId="49627" xr:uid="{00000000-0005-0000-0000-00003BD20000}"/>
    <cellStyle name="Note 3 4 5 2 4" xfId="35128" xr:uid="{00000000-0005-0000-0000-00003CD20000}"/>
    <cellStyle name="Note 3 4 5 3" xfId="10231" xr:uid="{00000000-0005-0000-0000-00003DD20000}"/>
    <cellStyle name="Note 3 4 5 3 2" xfId="24765" xr:uid="{00000000-0005-0000-0000-00003ED20000}"/>
    <cellStyle name="Note 3 4 5 3 2 2" xfId="53771" xr:uid="{00000000-0005-0000-0000-00003FD20000}"/>
    <cellStyle name="Note 3 4 5 3 3" xfId="39272" xr:uid="{00000000-0005-0000-0000-000040D20000}"/>
    <cellStyle name="Note 3 4 5 4" xfId="17517" xr:uid="{00000000-0005-0000-0000-000041D20000}"/>
    <cellStyle name="Note 3 4 5 4 2" xfId="46523" xr:uid="{00000000-0005-0000-0000-000042D20000}"/>
    <cellStyle name="Note 3 4 5 5" xfId="32024" xr:uid="{00000000-0005-0000-0000-000043D20000}"/>
    <cellStyle name="Note 3 4 6" xfId="3991" xr:uid="{00000000-0005-0000-0000-000044D20000}"/>
    <cellStyle name="Note 3 4 6 2" xfId="11263" xr:uid="{00000000-0005-0000-0000-000045D20000}"/>
    <cellStyle name="Note 3 4 6 2 2" xfId="25797" xr:uid="{00000000-0005-0000-0000-000046D20000}"/>
    <cellStyle name="Note 3 4 6 2 2 2" xfId="54803" xr:uid="{00000000-0005-0000-0000-000047D20000}"/>
    <cellStyle name="Note 3 4 6 2 3" xfId="40304" xr:uid="{00000000-0005-0000-0000-000048D20000}"/>
    <cellStyle name="Note 3 4 6 3" xfId="18549" xr:uid="{00000000-0005-0000-0000-000049D20000}"/>
    <cellStyle name="Note 3 4 6 3 2" xfId="47555" xr:uid="{00000000-0005-0000-0000-00004AD20000}"/>
    <cellStyle name="Note 3 4 6 4" xfId="33056" xr:uid="{00000000-0005-0000-0000-00004BD20000}"/>
    <cellStyle name="Note 3 4 7" xfId="7095" xr:uid="{00000000-0005-0000-0000-00004CD20000}"/>
    <cellStyle name="Note 3 4 7 2" xfId="14367" xr:uid="{00000000-0005-0000-0000-00004DD20000}"/>
    <cellStyle name="Note 3 4 7 2 2" xfId="28901" xr:uid="{00000000-0005-0000-0000-00004ED20000}"/>
    <cellStyle name="Note 3 4 7 2 2 2" xfId="57907" xr:uid="{00000000-0005-0000-0000-00004FD20000}"/>
    <cellStyle name="Note 3 4 7 2 3" xfId="43408" xr:uid="{00000000-0005-0000-0000-000050D20000}"/>
    <cellStyle name="Note 3 4 7 3" xfId="21653" xr:uid="{00000000-0005-0000-0000-000051D20000}"/>
    <cellStyle name="Note 3 4 7 3 2" xfId="50659" xr:uid="{00000000-0005-0000-0000-000052D20000}"/>
    <cellStyle name="Note 3 4 7 4" xfId="36160" xr:uid="{00000000-0005-0000-0000-000053D20000}"/>
    <cellStyle name="Note 3 4 8" xfId="8159" xr:uid="{00000000-0005-0000-0000-000054D20000}"/>
    <cellStyle name="Note 3 4 8 2" xfId="22693" xr:uid="{00000000-0005-0000-0000-000055D20000}"/>
    <cellStyle name="Note 3 4 8 2 2" xfId="51699" xr:uid="{00000000-0005-0000-0000-000056D20000}"/>
    <cellStyle name="Note 3 4 8 3" xfId="37200" xr:uid="{00000000-0005-0000-0000-000057D20000}"/>
    <cellStyle name="Note 3 4 9" xfId="15445" xr:uid="{00000000-0005-0000-0000-000058D20000}"/>
    <cellStyle name="Note 3 4 9 2" xfId="44451" xr:uid="{00000000-0005-0000-0000-000059D20000}"/>
    <cellStyle name="Note 3 5" xfId="1090" xr:uid="{00000000-0005-0000-0000-00005AD20000}"/>
    <cellStyle name="Note 3 5 2" xfId="1583" xr:uid="{00000000-0005-0000-0000-00005BD20000}"/>
    <cellStyle name="Note 3 5 2 2" xfId="2642" xr:uid="{00000000-0005-0000-0000-00005CD20000}"/>
    <cellStyle name="Note 3 5 2 2 2" xfId="5746" xr:uid="{00000000-0005-0000-0000-00005DD20000}"/>
    <cellStyle name="Note 3 5 2 2 2 2" xfId="13018" xr:uid="{00000000-0005-0000-0000-00005ED20000}"/>
    <cellStyle name="Note 3 5 2 2 2 2 2" xfId="27552" xr:uid="{00000000-0005-0000-0000-00005FD20000}"/>
    <cellStyle name="Note 3 5 2 2 2 2 2 2" xfId="56558" xr:uid="{00000000-0005-0000-0000-000060D20000}"/>
    <cellStyle name="Note 3 5 2 2 2 2 3" xfId="42059" xr:uid="{00000000-0005-0000-0000-000061D20000}"/>
    <cellStyle name="Note 3 5 2 2 2 3" xfId="20304" xr:uid="{00000000-0005-0000-0000-000062D20000}"/>
    <cellStyle name="Note 3 5 2 2 2 3 2" xfId="49310" xr:uid="{00000000-0005-0000-0000-000063D20000}"/>
    <cellStyle name="Note 3 5 2 2 2 4" xfId="34811" xr:uid="{00000000-0005-0000-0000-000064D20000}"/>
    <cellStyle name="Note 3 5 2 2 3" xfId="9914" xr:uid="{00000000-0005-0000-0000-000065D20000}"/>
    <cellStyle name="Note 3 5 2 2 3 2" xfId="24448" xr:uid="{00000000-0005-0000-0000-000066D20000}"/>
    <cellStyle name="Note 3 5 2 2 3 2 2" xfId="53454" xr:uid="{00000000-0005-0000-0000-000067D20000}"/>
    <cellStyle name="Note 3 5 2 2 3 3" xfId="38955" xr:uid="{00000000-0005-0000-0000-000068D20000}"/>
    <cellStyle name="Note 3 5 2 2 4" xfId="17200" xr:uid="{00000000-0005-0000-0000-000069D20000}"/>
    <cellStyle name="Note 3 5 2 2 4 2" xfId="46206" xr:uid="{00000000-0005-0000-0000-00006AD20000}"/>
    <cellStyle name="Note 3 5 2 2 5" xfId="31707" xr:uid="{00000000-0005-0000-0000-00006BD20000}"/>
    <cellStyle name="Note 3 5 2 3" xfId="3674" xr:uid="{00000000-0005-0000-0000-00006CD20000}"/>
    <cellStyle name="Note 3 5 2 3 2" xfId="6778" xr:uid="{00000000-0005-0000-0000-00006DD20000}"/>
    <cellStyle name="Note 3 5 2 3 2 2" xfId="14050" xr:uid="{00000000-0005-0000-0000-00006ED20000}"/>
    <cellStyle name="Note 3 5 2 3 2 2 2" xfId="28584" xr:uid="{00000000-0005-0000-0000-00006FD20000}"/>
    <cellStyle name="Note 3 5 2 3 2 2 2 2" xfId="57590" xr:uid="{00000000-0005-0000-0000-000070D20000}"/>
    <cellStyle name="Note 3 5 2 3 2 2 3" xfId="43091" xr:uid="{00000000-0005-0000-0000-000071D20000}"/>
    <cellStyle name="Note 3 5 2 3 2 3" xfId="21336" xr:uid="{00000000-0005-0000-0000-000072D20000}"/>
    <cellStyle name="Note 3 5 2 3 2 3 2" xfId="50342" xr:uid="{00000000-0005-0000-0000-000073D20000}"/>
    <cellStyle name="Note 3 5 2 3 2 4" xfId="35843" xr:uid="{00000000-0005-0000-0000-000074D20000}"/>
    <cellStyle name="Note 3 5 2 3 3" xfId="10946" xr:uid="{00000000-0005-0000-0000-000075D20000}"/>
    <cellStyle name="Note 3 5 2 3 3 2" xfId="25480" xr:uid="{00000000-0005-0000-0000-000076D20000}"/>
    <cellStyle name="Note 3 5 2 3 3 2 2" xfId="54486" xr:uid="{00000000-0005-0000-0000-000077D20000}"/>
    <cellStyle name="Note 3 5 2 3 3 3" xfId="39987" xr:uid="{00000000-0005-0000-0000-000078D20000}"/>
    <cellStyle name="Note 3 5 2 3 4" xfId="18232" xr:uid="{00000000-0005-0000-0000-000079D20000}"/>
    <cellStyle name="Note 3 5 2 3 4 2" xfId="47238" xr:uid="{00000000-0005-0000-0000-00007AD20000}"/>
    <cellStyle name="Note 3 5 2 3 5" xfId="32739" xr:uid="{00000000-0005-0000-0000-00007BD20000}"/>
    <cellStyle name="Note 3 5 2 4" xfId="4706" xr:uid="{00000000-0005-0000-0000-00007CD20000}"/>
    <cellStyle name="Note 3 5 2 4 2" xfId="11978" xr:uid="{00000000-0005-0000-0000-00007DD20000}"/>
    <cellStyle name="Note 3 5 2 4 2 2" xfId="26512" xr:uid="{00000000-0005-0000-0000-00007ED20000}"/>
    <cellStyle name="Note 3 5 2 4 2 2 2" xfId="55518" xr:uid="{00000000-0005-0000-0000-00007FD20000}"/>
    <cellStyle name="Note 3 5 2 4 2 3" xfId="41019" xr:uid="{00000000-0005-0000-0000-000080D20000}"/>
    <cellStyle name="Note 3 5 2 4 3" xfId="19264" xr:uid="{00000000-0005-0000-0000-000081D20000}"/>
    <cellStyle name="Note 3 5 2 4 3 2" xfId="48270" xr:uid="{00000000-0005-0000-0000-000082D20000}"/>
    <cellStyle name="Note 3 5 2 4 4" xfId="33771" xr:uid="{00000000-0005-0000-0000-000083D20000}"/>
    <cellStyle name="Note 3 5 2 5" xfId="7810" xr:uid="{00000000-0005-0000-0000-000084D20000}"/>
    <cellStyle name="Note 3 5 2 5 2" xfId="15082" xr:uid="{00000000-0005-0000-0000-000085D20000}"/>
    <cellStyle name="Note 3 5 2 5 2 2" xfId="29616" xr:uid="{00000000-0005-0000-0000-000086D20000}"/>
    <cellStyle name="Note 3 5 2 5 2 2 2" xfId="58622" xr:uid="{00000000-0005-0000-0000-000087D20000}"/>
    <cellStyle name="Note 3 5 2 5 2 3" xfId="44123" xr:uid="{00000000-0005-0000-0000-000088D20000}"/>
    <cellStyle name="Note 3 5 2 5 3" xfId="22368" xr:uid="{00000000-0005-0000-0000-000089D20000}"/>
    <cellStyle name="Note 3 5 2 5 3 2" xfId="51374" xr:uid="{00000000-0005-0000-0000-00008AD20000}"/>
    <cellStyle name="Note 3 5 2 5 4" xfId="36875" xr:uid="{00000000-0005-0000-0000-00008BD20000}"/>
    <cellStyle name="Note 3 5 2 6" xfId="8874" xr:uid="{00000000-0005-0000-0000-00008CD20000}"/>
    <cellStyle name="Note 3 5 2 6 2" xfId="23408" xr:uid="{00000000-0005-0000-0000-00008DD20000}"/>
    <cellStyle name="Note 3 5 2 6 2 2" xfId="52414" xr:uid="{00000000-0005-0000-0000-00008ED20000}"/>
    <cellStyle name="Note 3 5 2 6 3" xfId="37915" xr:uid="{00000000-0005-0000-0000-00008FD20000}"/>
    <cellStyle name="Note 3 5 2 7" xfId="16160" xr:uid="{00000000-0005-0000-0000-000090D20000}"/>
    <cellStyle name="Note 3 5 2 7 2" xfId="45166" xr:uid="{00000000-0005-0000-0000-000091D20000}"/>
    <cellStyle name="Note 3 5 2 8" xfId="30667" xr:uid="{00000000-0005-0000-0000-000092D20000}"/>
    <cellStyle name="Note 3 5 3" xfId="2130" xr:uid="{00000000-0005-0000-0000-000093D20000}"/>
    <cellStyle name="Note 3 5 3 2" xfId="5234" xr:uid="{00000000-0005-0000-0000-000094D20000}"/>
    <cellStyle name="Note 3 5 3 2 2" xfId="12506" xr:uid="{00000000-0005-0000-0000-000095D20000}"/>
    <cellStyle name="Note 3 5 3 2 2 2" xfId="27040" xr:uid="{00000000-0005-0000-0000-000096D20000}"/>
    <cellStyle name="Note 3 5 3 2 2 2 2" xfId="56046" xr:uid="{00000000-0005-0000-0000-000097D20000}"/>
    <cellStyle name="Note 3 5 3 2 2 3" xfId="41547" xr:uid="{00000000-0005-0000-0000-000098D20000}"/>
    <cellStyle name="Note 3 5 3 2 3" xfId="19792" xr:uid="{00000000-0005-0000-0000-000099D20000}"/>
    <cellStyle name="Note 3 5 3 2 3 2" xfId="48798" xr:uid="{00000000-0005-0000-0000-00009AD20000}"/>
    <cellStyle name="Note 3 5 3 2 4" xfId="34299" xr:uid="{00000000-0005-0000-0000-00009BD20000}"/>
    <cellStyle name="Note 3 5 3 3" xfId="9402" xr:uid="{00000000-0005-0000-0000-00009CD20000}"/>
    <cellStyle name="Note 3 5 3 3 2" xfId="23936" xr:uid="{00000000-0005-0000-0000-00009DD20000}"/>
    <cellStyle name="Note 3 5 3 3 2 2" xfId="52942" xr:uid="{00000000-0005-0000-0000-00009ED20000}"/>
    <cellStyle name="Note 3 5 3 3 3" xfId="38443" xr:uid="{00000000-0005-0000-0000-00009FD20000}"/>
    <cellStyle name="Note 3 5 3 4" xfId="16688" xr:uid="{00000000-0005-0000-0000-0000A0D20000}"/>
    <cellStyle name="Note 3 5 3 4 2" xfId="45694" xr:uid="{00000000-0005-0000-0000-0000A1D20000}"/>
    <cellStyle name="Note 3 5 3 5" xfId="31195" xr:uid="{00000000-0005-0000-0000-0000A2D20000}"/>
    <cellStyle name="Note 3 5 4" xfId="3162" xr:uid="{00000000-0005-0000-0000-0000A3D20000}"/>
    <cellStyle name="Note 3 5 4 2" xfId="6266" xr:uid="{00000000-0005-0000-0000-0000A4D20000}"/>
    <cellStyle name="Note 3 5 4 2 2" xfId="13538" xr:uid="{00000000-0005-0000-0000-0000A5D20000}"/>
    <cellStyle name="Note 3 5 4 2 2 2" xfId="28072" xr:uid="{00000000-0005-0000-0000-0000A6D20000}"/>
    <cellStyle name="Note 3 5 4 2 2 2 2" xfId="57078" xr:uid="{00000000-0005-0000-0000-0000A7D20000}"/>
    <cellStyle name="Note 3 5 4 2 2 3" xfId="42579" xr:uid="{00000000-0005-0000-0000-0000A8D20000}"/>
    <cellStyle name="Note 3 5 4 2 3" xfId="20824" xr:uid="{00000000-0005-0000-0000-0000A9D20000}"/>
    <cellStyle name="Note 3 5 4 2 3 2" xfId="49830" xr:uid="{00000000-0005-0000-0000-0000AAD20000}"/>
    <cellStyle name="Note 3 5 4 2 4" xfId="35331" xr:uid="{00000000-0005-0000-0000-0000ABD20000}"/>
    <cellStyle name="Note 3 5 4 3" xfId="10434" xr:uid="{00000000-0005-0000-0000-0000ACD20000}"/>
    <cellStyle name="Note 3 5 4 3 2" xfId="24968" xr:uid="{00000000-0005-0000-0000-0000ADD20000}"/>
    <cellStyle name="Note 3 5 4 3 2 2" xfId="53974" xr:uid="{00000000-0005-0000-0000-0000AED20000}"/>
    <cellStyle name="Note 3 5 4 3 3" xfId="39475" xr:uid="{00000000-0005-0000-0000-0000AFD20000}"/>
    <cellStyle name="Note 3 5 4 4" xfId="17720" xr:uid="{00000000-0005-0000-0000-0000B0D20000}"/>
    <cellStyle name="Note 3 5 4 4 2" xfId="46726" xr:uid="{00000000-0005-0000-0000-0000B1D20000}"/>
    <cellStyle name="Note 3 5 4 5" xfId="32227" xr:uid="{00000000-0005-0000-0000-0000B2D20000}"/>
    <cellStyle name="Note 3 5 5" xfId="4194" xr:uid="{00000000-0005-0000-0000-0000B3D20000}"/>
    <cellStyle name="Note 3 5 5 2" xfId="11466" xr:uid="{00000000-0005-0000-0000-0000B4D20000}"/>
    <cellStyle name="Note 3 5 5 2 2" xfId="26000" xr:uid="{00000000-0005-0000-0000-0000B5D20000}"/>
    <cellStyle name="Note 3 5 5 2 2 2" xfId="55006" xr:uid="{00000000-0005-0000-0000-0000B6D20000}"/>
    <cellStyle name="Note 3 5 5 2 3" xfId="40507" xr:uid="{00000000-0005-0000-0000-0000B7D20000}"/>
    <cellStyle name="Note 3 5 5 3" xfId="18752" xr:uid="{00000000-0005-0000-0000-0000B8D20000}"/>
    <cellStyle name="Note 3 5 5 3 2" xfId="47758" xr:uid="{00000000-0005-0000-0000-0000B9D20000}"/>
    <cellStyle name="Note 3 5 5 4" xfId="33259" xr:uid="{00000000-0005-0000-0000-0000BAD20000}"/>
    <cellStyle name="Note 3 5 6" xfId="7298" xr:uid="{00000000-0005-0000-0000-0000BBD20000}"/>
    <cellStyle name="Note 3 5 6 2" xfId="14570" xr:uid="{00000000-0005-0000-0000-0000BCD20000}"/>
    <cellStyle name="Note 3 5 6 2 2" xfId="29104" xr:uid="{00000000-0005-0000-0000-0000BDD20000}"/>
    <cellStyle name="Note 3 5 6 2 2 2" xfId="58110" xr:uid="{00000000-0005-0000-0000-0000BED20000}"/>
    <cellStyle name="Note 3 5 6 2 3" xfId="43611" xr:uid="{00000000-0005-0000-0000-0000BFD20000}"/>
    <cellStyle name="Note 3 5 6 3" xfId="21856" xr:uid="{00000000-0005-0000-0000-0000C0D20000}"/>
    <cellStyle name="Note 3 5 6 3 2" xfId="50862" xr:uid="{00000000-0005-0000-0000-0000C1D20000}"/>
    <cellStyle name="Note 3 5 6 4" xfId="36363" xr:uid="{00000000-0005-0000-0000-0000C2D20000}"/>
    <cellStyle name="Note 3 5 7" xfId="8362" xr:uid="{00000000-0005-0000-0000-0000C3D20000}"/>
    <cellStyle name="Note 3 5 7 2" xfId="22896" xr:uid="{00000000-0005-0000-0000-0000C4D20000}"/>
    <cellStyle name="Note 3 5 7 2 2" xfId="51902" xr:uid="{00000000-0005-0000-0000-0000C5D20000}"/>
    <cellStyle name="Note 3 5 7 3" xfId="37403" xr:uid="{00000000-0005-0000-0000-0000C6D20000}"/>
    <cellStyle name="Note 3 5 8" xfId="15648" xr:uid="{00000000-0005-0000-0000-0000C7D20000}"/>
    <cellStyle name="Note 3 5 8 2" xfId="44654" xr:uid="{00000000-0005-0000-0000-0000C8D20000}"/>
    <cellStyle name="Note 3 5 9" xfId="30155" xr:uid="{00000000-0005-0000-0000-0000C9D20000}"/>
    <cellStyle name="Note 3 6" xfId="998" xr:uid="{00000000-0005-0000-0000-0000CAD20000}"/>
    <cellStyle name="Note 3 6 2" xfId="1484" xr:uid="{00000000-0005-0000-0000-0000CBD20000}"/>
    <cellStyle name="Note 3 6 2 2" xfId="2542" xr:uid="{00000000-0005-0000-0000-0000CCD20000}"/>
    <cellStyle name="Note 3 6 2 2 2" xfId="5646" xr:uid="{00000000-0005-0000-0000-0000CDD20000}"/>
    <cellStyle name="Note 3 6 2 2 2 2" xfId="12918" xr:uid="{00000000-0005-0000-0000-0000CED20000}"/>
    <cellStyle name="Note 3 6 2 2 2 2 2" xfId="27452" xr:uid="{00000000-0005-0000-0000-0000CFD20000}"/>
    <cellStyle name="Note 3 6 2 2 2 2 2 2" xfId="56458" xr:uid="{00000000-0005-0000-0000-0000D0D20000}"/>
    <cellStyle name="Note 3 6 2 2 2 2 3" xfId="41959" xr:uid="{00000000-0005-0000-0000-0000D1D20000}"/>
    <cellStyle name="Note 3 6 2 2 2 3" xfId="20204" xr:uid="{00000000-0005-0000-0000-0000D2D20000}"/>
    <cellStyle name="Note 3 6 2 2 2 3 2" xfId="49210" xr:uid="{00000000-0005-0000-0000-0000D3D20000}"/>
    <cellStyle name="Note 3 6 2 2 2 4" xfId="34711" xr:uid="{00000000-0005-0000-0000-0000D4D20000}"/>
    <cellStyle name="Note 3 6 2 2 3" xfId="9814" xr:uid="{00000000-0005-0000-0000-0000D5D20000}"/>
    <cellStyle name="Note 3 6 2 2 3 2" xfId="24348" xr:uid="{00000000-0005-0000-0000-0000D6D20000}"/>
    <cellStyle name="Note 3 6 2 2 3 2 2" xfId="53354" xr:uid="{00000000-0005-0000-0000-0000D7D20000}"/>
    <cellStyle name="Note 3 6 2 2 3 3" xfId="38855" xr:uid="{00000000-0005-0000-0000-0000D8D20000}"/>
    <cellStyle name="Note 3 6 2 2 4" xfId="17100" xr:uid="{00000000-0005-0000-0000-0000D9D20000}"/>
    <cellStyle name="Note 3 6 2 2 4 2" xfId="46106" xr:uid="{00000000-0005-0000-0000-0000DAD20000}"/>
    <cellStyle name="Note 3 6 2 2 5" xfId="31607" xr:uid="{00000000-0005-0000-0000-0000DBD20000}"/>
    <cellStyle name="Note 3 6 2 3" xfId="3574" xr:uid="{00000000-0005-0000-0000-0000DCD20000}"/>
    <cellStyle name="Note 3 6 2 3 2" xfId="6678" xr:uid="{00000000-0005-0000-0000-0000DDD20000}"/>
    <cellStyle name="Note 3 6 2 3 2 2" xfId="13950" xr:uid="{00000000-0005-0000-0000-0000DED20000}"/>
    <cellStyle name="Note 3 6 2 3 2 2 2" xfId="28484" xr:uid="{00000000-0005-0000-0000-0000DFD20000}"/>
    <cellStyle name="Note 3 6 2 3 2 2 2 2" xfId="57490" xr:uid="{00000000-0005-0000-0000-0000E0D20000}"/>
    <cellStyle name="Note 3 6 2 3 2 2 3" xfId="42991" xr:uid="{00000000-0005-0000-0000-0000E1D20000}"/>
    <cellStyle name="Note 3 6 2 3 2 3" xfId="21236" xr:uid="{00000000-0005-0000-0000-0000E2D20000}"/>
    <cellStyle name="Note 3 6 2 3 2 3 2" xfId="50242" xr:uid="{00000000-0005-0000-0000-0000E3D20000}"/>
    <cellStyle name="Note 3 6 2 3 2 4" xfId="35743" xr:uid="{00000000-0005-0000-0000-0000E4D20000}"/>
    <cellStyle name="Note 3 6 2 3 3" xfId="10846" xr:uid="{00000000-0005-0000-0000-0000E5D20000}"/>
    <cellStyle name="Note 3 6 2 3 3 2" xfId="25380" xr:uid="{00000000-0005-0000-0000-0000E6D20000}"/>
    <cellStyle name="Note 3 6 2 3 3 2 2" xfId="54386" xr:uid="{00000000-0005-0000-0000-0000E7D20000}"/>
    <cellStyle name="Note 3 6 2 3 3 3" xfId="39887" xr:uid="{00000000-0005-0000-0000-0000E8D20000}"/>
    <cellStyle name="Note 3 6 2 3 4" xfId="18132" xr:uid="{00000000-0005-0000-0000-0000E9D20000}"/>
    <cellStyle name="Note 3 6 2 3 4 2" xfId="47138" xr:uid="{00000000-0005-0000-0000-0000EAD20000}"/>
    <cellStyle name="Note 3 6 2 3 5" xfId="32639" xr:uid="{00000000-0005-0000-0000-0000EBD20000}"/>
    <cellStyle name="Note 3 6 2 4" xfId="4606" xr:uid="{00000000-0005-0000-0000-0000ECD20000}"/>
    <cellStyle name="Note 3 6 2 4 2" xfId="11878" xr:uid="{00000000-0005-0000-0000-0000EDD20000}"/>
    <cellStyle name="Note 3 6 2 4 2 2" xfId="26412" xr:uid="{00000000-0005-0000-0000-0000EED20000}"/>
    <cellStyle name="Note 3 6 2 4 2 2 2" xfId="55418" xr:uid="{00000000-0005-0000-0000-0000EFD20000}"/>
    <cellStyle name="Note 3 6 2 4 2 3" xfId="40919" xr:uid="{00000000-0005-0000-0000-0000F0D20000}"/>
    <cellStyle name="Note 3 6 2 4 3" xfId="19164" xr:uid="{00000000-0005-0000-0000-0000F1D20000}"/>
    <cellStyle name="Note 3 6 2 4 3 2" xfId="48170" xr:uid="{00000000-0005-0000-0000-0000F2D20000}"/>
    <cellStyle name="Note 3 6 2 4 4" xfId="33671" xr:uid="{00000000-0005-0000-0000-0000F3D20000}"/>
    <cellStyle name="Note 3 6 2 5" xfId="7710" xr:uid="{00000000-0005-0000-0000-0000F4D20000}"/>
    <cellStyle name="Note 3 6 2 5 2" xfId="14982" xr:uid="{00000000-0005-0000-0000-0000F5D20000}"/>
    <cellStyle name="Note 3 6 2 5 2 2" xfId="29516" xr:uid="{00000000-0005-0000-0000-0000F6D20000}"/>
    <cellStyle name="Note 3 6 2 5 2 2 2" xfId="58522" xr:uid="{00000000-0005-0000-0000-0000F7D20000}"/>
    <cellStyle name="Note 3 6 2 5 2 3" xfId="44023" xr:uid="{00000000-0005-0000-0000-0000F8D20000}"/>
    <cellStyle name="Note 3 6 2 5 3" xfId="22268" xr:uid="{00000000-0005-0000-0000-0000F9D20000}"/>
    <cellStyle name="Note 3 6 2 5 3 2" xfId="51274" xr:uid="{00000000-0005-0000-0000-0000FAD20000}"/>
    <cellStyle name="Note 3 6 2 5 4" xfId="36775" xr:uid="{00000000-0005-0000-0000-0000FBD20000}"/>
    <cellStyle name="Note 3 6 2 6" xfId="8774" xr:uid="{00000000-0005-0000-0000-0000FCD20000}"/>
    <cellStyle name="Note 3 6 2 6 2" xfId="23308" xr:uid="{00000000-0005-0000-0000-0000FDD20000}"/>
    <cellStyle name="Note 3 6 2 6 2 2" xfId="52314" xr:uid="{00000000-0005-0000-0000-0000FED20000}"/>
    <cellStyle name="Note 3 6 2 6 3" xfId="37815" xr:uid="{00000000-0005-0000-0000-0000FFD20000}"/>
    <cellStyle name="Note 3 6 2 7" xfId="16060" xr:uid="{00000000-0005-0000-0000-000000D30000}"/>
    <cellStyle name="Note 3 6 2 7 2" xfId="45066" xr:uid="{00000000-0005-0000-0000-000001D30000}"/>
    <cellStyle name="Note 3 6 2 8" xfId="30567" xr:uid="{00000000-0005-0000-0000-000002D30000}"/>
    <cellStyle name="Note 3 6 3" xfId="2030" xr:uid="{00000000-0005-0000-0000-000003D30000}"/>
    <cellStyle name="Note 3 6 3 2" xfId="5134" xr:uid="{00000000-0005-0000-0000-000004D30000}"/>
    <cellStyle name="Note 3 6 3 2 2" xfId="12406" xr:uid="{00000000-0005-0000-0000-000005D30000}"/>
    <cellStyle name="Note 3 6 3 2 2 2" xfId="26940" xr:uid="{00000000-0005-0000-0000-000006D30000}"/>
    <cellStyle name="Note 3 6 3 2 2 2 2" xfId="55946" xr:uid="{00000000-0005-0000-0000-000007D30000}"/>
    <cellStyle name="Note 3 6 3 2 2 3" xfId="41447" xr:uid="{00000000-0005-0000-0000-000008D30000}"/>
    <cellStyle name="Note 3 6 3 2 3" xfId="19692" xr:uid="{00000000-0005-0000-0000-000009D30000}"/>
    <cellStyle name="Note 3 6 3 2 3 2" xfId="48698" xr:uid="{00000000-0005-0000-0000-00000AD30000}"/>
    <cellStyle name="Note 3 6 3 2 4" xfId="34199" xr:uid="{00000000-0005-0000-0000-00000BD30000}"/>
    <cellStyle name="Note 3 6 3 3" xfId="9302" xr:uid="{00000000-0005-0000-0000-00000CD30000}"/>
    <cellStyle name="Note 3 6 3 3 2" xfId="23836" xr:uid="{00000000-0005-0000-0000-00000DD30000}"/>
    <cellStyle name="Note 3 6 3 3 2 2" xfId="52842" xr:uid="{00000000-0005-0000-0000-00000ED30000}"/>
    <cellStyle name="Note 3 6 3 3 3" xfId="38343" xr:uid="{00000000-0005-0000-0000-00000FD30000}"/>
    <cellStyle name="Note 3 6 3 4" xfId="16588" xr:uid="{00000000-0005-0000-0000-000010D30000}"/>
    <cellStyle name="Note 3 6 3 4 2" xfId="45594" xr:uid="{00000000-0005-0000-0000-000011D30000}"/>
    <cellStyle name="Note 3 6 3 5" xfId="31095" xr:uid="{00000000-0005-0000-0000-000012D30000}"/>
    <cellStyle name="Note 3 6 4" xfId="3062" xr:uid="{00000000-0005-0000-0000-000013D30000}"/>
    <cellStyle name="Note 3 6 4 2" xfId="6166" xr:uid="{00000000-0005-0000-0000-000014D30000}"/>
    <cellStyle name="Note 3 6 4 2 2" xfId="13438" xr:uid="{00000000-0005-0000-0000-000015D30000}"/>
    <cellStyle name="Note 3 6 4 2 2 2" xfId="27972" xr:uid="{00000000-0005-0000-0000-000016D30000}"/>
    <cellStyle name="Note 3 6 4 2 2 2 2" xfId="56978" xr:uid="{00000000-0005-0000-0000-000017D30000}"/>
    <cellStyle name="Note 3 6 4 2 2 3" xfId="42479" xr:uid="{00000000-0005-0000-0000-000018D30000}"/>
    <cellStyle name="Note 3 6 4 2 3" xfId="20724" xr:uid="{00000000-0005-0000-0000-000019D30000}"/>
    <cellStyle name="Note 3 6 4 2 3 2" xfId="49730" xr:uid="{00000000-0005-0000-0000-00001AD30000}"/>
    <cellStyle name="Note 3 6 4 2 4" xfId="35231" xr:uid="{00000000-0005-0000-0000-00001BD30000}"/>
    <cellStyle name="Note 3 6 4 3" xfId="10334" xr:uid="{00000000-0005-0000-0000-00001CD30000}"/>
    <cellStyle name="Note 3 6 4 3 2" xfId="24868" xr:uid="{00000000-0005-0000-0000-00001DD30000}"/>
    <cellStyle name="Note 3 6 4 3 2 2" xfId="53874" xr:uid="{00000000-0005-0000-0000-00001ED30000}"/>
    <cellStyle name="Note 3 6 4 3 3" xfId="39375" xr:uid="{00000000-0005-0000-0000-00001FD30000}"/>
    <cellStyle name="Note 3 6 4 4" xfId="17620" xr:uid="{00000000-0005-0000-0000-000020D30000}"/>
    <cellStyle name="Note 3 6 4 4 2" xfId="46626" xr:uid="{00000000-0005-0000-0000-000021D30000}"/>
    <cellStyle name="Note 3 6 4 5" xfId="32127" xr:uid="{00000000-0005-0000-0000-000022D30000}"/>
    <cellStyle name="Note 3 6 5" xfId="4094" xr:uid="{00000000-0005-0000-0000-000023D30000}"/>
    <cellStyle name="Note 3 6 5 2" xfId="11366" xr:uid="{00000000-0005-0000-0000-000024D30000}"/>
    <cellStyle name="Note 3 6 5 2 2" xfId="25900" xr:uid="{00000000-0005-0000-0000-000025D30000}"/>
    <cellStyle name="Note 3 6 5 2 2 2" xfId="54906" xr:uid="{00000000-0005-0000-0000-000026D30000}"/>
    <cellStyle name="Note 3 6 5 2 3" xfId="40407" xr:uid="{00000000-0005-0000-0000-000027D30000}"/>
    <cellStyle name="Note 3 6 5 3" xfId="18652" xr:uid="{00000000-0005-0000-0000-000028D30000}"/>
    <cellStyle name="Note 3 6 5 3 2" xfId="47658" xr:uid="{00000000-0005-0000-0000-000029D30000}"/>
    <cellStyle name="Note 3 6 5 4" xfId="33159" xr:uid="{00000000-0005-0000-0000-00002AD30000}"/>
    <cellStyle name="Note 3 6 6" xfId="7198" xr:uid="{00000000-0005-0000-0000-00002BD30000}"/>
    <cellStyle name="Note 3 6 6 2" xfId="14470" xr:uid="{00000000-0005-0000-0000-00002CD30000}"/>
    <cellStyle name="Note 3 6 6 2 2" xfId="29004" xr:uid="{00000000-0005-0000-0000-00002DD30000}"/>
    <cellStyle name="Note 3 6 6 2 2 2" xfId="58010" xr:uid="{00000000-0005-0000-0000-00002ED30000}"/>
    <cellStyle name="Note 3 6 6 2 3" xfId="43511" xr:uid="{00000000-0005-0000-0000-00002FD30000}"/>
    <cellStyle name="Note 3 6 6 3" xfId="21756" xr:uid="{00000000-0005-0000-0000-000030D30000}"/>
    <cellStyle name="Note 3 6 6 3 2" xfId="50762" xr:uid="{00000000-0005-0000-0000-000031D30000}"/>
    <cellStyle name="Note 3 6 6 4" xfId="36263" xr:uid="{00000000-0005-0000-0000-000032D30000}"/>
    <cellStyle name="Note 3 6 7" xfId="8262" xr:uid="{00000000-0005-0000-0000-000033D30000}"/>
    <cellStyle name="Note 3 6 7 2" xfId="22796" xr:uid="{00000000-0005-0000-0000-000034D30000}"/>
    <cellStyle name="Note 3 6 7 2 2" xfId="51802" xr:uid="{00000000-0005-0000-0000-000035D30000}"/>
    <cellStyle name="Note 3 6 7 3" xfId="37303" xr:uid="{00000000-0005-0000-0000-000036D30000}"/>
    <cellStyle name="Note 3 6 8" xfId="15548" xr:uid="{00000000-0005-0000-0000-000037D30000}"/>
    <cellStyle name="Note 3 6 8 2" xfId="44554" xr:uid="{00000000-0005-0000-0000-000038D30000}"/>
    <cellStyle name="Note 3 6 9" xfId="30055" xr:uid="{00000000-0005-0000-0000-000039D30000}"/>
    <cellStyle name="Note 3 7" xfId="1281" xr:uid="{00000000-0005-0000-0000-00003AD30000}"/>
    <cellStyle name="Note 3 7 2" xfId="2336" xr:uid="{00000000-0005-0000-0000-00003BD30000}"/>
    <cellStyle name="Note 3 7 2 2" xfId="5440" xr:uid="{00000000-0005-0000-0000-00003CD30000}"/>
    <cellStyle name="Note 3 7 2 2 2" xfId="12712" xr:uid="{00000000-0005-0000-0000-00003DD30000}"/>
    <cellStyle name="Note 3 7 2 2 2 2" xfId="27246" xr:uid="{00000000-0005-0000-0000-00003ED30000}"/>
    <cellStyle name="Note 3 7 2 2 2 2 2" xfId="56252" xr:uid="{00000000-0005-0000-0000-00003FD30000}"/>
    <cellStyle name="Note 3 7 2 2 2 3" xfId="41753" xr:uid="{00000000-0005-0000-0000-000040D30000}"/>
    <cellStyle name="Note 3 7 2 2 3" xfId="19998" xr:uid="{00000000-0005-0000-0000-000041D30000}"/>
    <cellStyle name="Note 3 7 2 2 3 2" xfId="49004" xr:uid="{00000000-0005-0000-0000-000042D30000}"/>
    <cellStyle name="Note 3 7 2 2 4" xfId="34505" xr:uid="{00000000-0005-0000-0000-000043D30000}"/>
    <cellStyle name="Note 3 7 2 3" xfId="9608" xr:uid="{00000000-0005-0000-0000-000044D30000}"/>
    <cellStyle name="Note 3 7 2 3 2" xfId="24142" xr:uid="{00000000-0005-0000-0000-000045D30000}"/>
    <cellStyle name="Note 3 7 2 3 2 2" xfId="53148" xr:uid="{00000000-0005-0000-0000-000046D30000}"/>
    <cellStyle name="Note 3 7 2 3 3" xfId="38649" xr:uid="{00000000-0005-0000-0000-000047D30000}"/>
    <cellStyle name="Note 3 7 2 4" xfId="16894" xr:uid="{00000000-0005-0000-0000-000048D30000}"/>
    <cellStyle name="Note 3 7 2 4 2" xfId="45900" xr:uid="{00000000-0005-0000-0000-000049D30000}"/>
    <cellStyle name="Note 3 7 2 5" xfId="31401" xr:uid="{00000000-0005-0000-0000-00004AD30000}"/>
    <cellStyle name="Note 3 7 3" xfId="3368" xr:uid="{00000000-0005-0000-0000-00004BD30000}"/>
    <cellStyle name="Note 3 7 3 2" xfId="6472" xr:uid="{00000000-0005-0000-0000-00004CD30000}"/>
    <cellStyle name="Note 3 7 3 2 2" xfId="13744" xr:uid="{00000000-0005-0000-0000-00004DD30000}"/>
    <cellStyle name="Note 3 7 3 2 2 2" xfId="28278" xr:uid="{00000000-0005-0000-0000-00004ED30000}"/>
    <cellStyle name="Note 3 7 3 2 2 2 2" xfId="57284" xr:uid="{00000000-0005-0000-0000-00004FD30000}"/>
    <cellStyle name="Note 3 7 3 2 2 3" xfId="42785" xr:uid="{00000000-0005-0000-0000-000050D30000}"/>
    <cellStyle name="Note 3 7 3 2 3" xfId="21030" xr:uid="{00000000-0005-0000-0000-000051D30000}"/>
    <cellStyle name="Note 3 7 3 2 3 2" xfId="50036" xr:uid="{00000000-0005-0000-0000-000052D30000}"/>
    <cellStyle name="Note 3 7 3 2 4" xfId="35537" xr:uid="{00000000-0005-0000-0000-000053D30000}"/>
    <cellStyle name="Note 3 7 3 3" xfId="10640" xr:uid="{00000000-0005-0000-0000-000054D30000}"/>
    <cellStyle name="Note 3 7 3 3 2" xfId="25174" xr:uid="{00000000-0005-0000-0000-000055D30000}"/>
    <cellStyle name="Note 3 7 3 3 2 2" xfId="54180" xr:uid="{00000000-0005-0000-0000-000056D30000}"/>
    <cellStyle name="Note 3 7 3 3 3" xfId="39681" xr:uid="{00000000-0005-0000-0000-000057D30000}"/>
    <cellStyle name="Note 3 7 3 4" xfId="17926" xr:uid="{00000000-0005-0000-0000-000058D30000}"/>
    <cellStyle name="Note 3 7 3 4 2" xfId="46932" xr:uid="{00000000-0005-0000-0000-000059D30000}"/>
    <cellStyle name="Note 3 7 3 5" xfId="32433" xr:uid="{00000000-0005-0000-0000-00005AD30000}"/>
    <cellStyle name="Note 3 7 4" xfId="4400" xr:uid="{00000000-0005-0000-0000-00005BD30000}"/>
    <cellStyle name="Note 3 7 4 2" xfId="11672" xr:uid="{00000000-0005-0000-0000-00005CD30000}"/>
    <cellStyle name="Note 3 7 4 2 2" xfId="26206" xr:uid="{00000000-0005-0000-0000-00005DD30000}"/>
    <cellStyle name="Note 3 7 4 2 2 2" xfId="55212" xr:uid="{00000000-0005-0000-0000-00005ED30000}"/>
    <cellStyle name="Note 3 7 4 2 3" xfId="40713" xr:uid="{00000000-0005-0000-0000-00005FD30000}"/>
    <cellStyle name="Note 3 7 4 3" xfId="18958" xr:uid="{00000000-0005-0000-0000-000060D30000}"/>
    <cellStyle name="Note 3 7 4 3 2" xfId="47964" xr:uid="{00000000-0005-0000-0000-000061D30000}"/>
    <cellStyle name="Note 3 7 4 4" xfId="33465" xr:uid="{00000000-0005-0000-0000-000062D30000}"/>
    <cellStyle name="Note 3 7 5" xfId="7504" xr:uid="{00000000-0005-0000-0000-000063D30000}"/>
    <cellStyle name="Note 3 7 5 2" xfId="14776" xr:uid="{00000000-0005-0000-0000-000064D30000}"/>
    <cellStyle name="Note 3 7 5 2 2" xfId="29310" xr:uid="{00000000-0005-0000-0000-000065D30000}"/>
    <cellStyle name="Note 3 7 5 2 2 2" xfId="58316" xr:uid="{00000000-0005-0000-0000-000066D30000}"/>
    <cellStyle name="Note 3 7 5 2 3" xfId="43817" xr:uid="{00000000-0005-0000-0000-000067D30000}"/>
    <cellStyle name="Note 3 7 5 3" xfId="22062" xr:uid="{00000000-0005-0000-0000-000068D30000}"/>
    <cellStyle name="Note 3 7 5 3 2" xfId="51068" xr:uid="{00000000-0005-0000-0000-000069D30000}"/>
    <cellStyle name="Note 3 7 5 4" xfId="36569" xr:uid="{00000000-0005-0000-0000-00006AD30000}"/>
    <cellStyle name="Note 3 7 6" xfId="8568" xr:uid="{00000000-0005-0000-0000-00006BD30000}"/>
    <cellStyle name="Note 3 7 6 2" xfId="23102" xr:uid="{00000000-0005-0000-0000-00006CD30000}"/>
    <cellStyle name="Note 3 7 6 2 2" xfId="52108" xr:uid="{00000000-0005-0000-0000-00006DD30000}"/>
    <cellStyle name="Note 3 7 6 3" xfId="37609" xr:uid="{00000000-0005-0000-0000-00006ED30000}"/>
    <cellStyle name="Note 3 7 7" xfId="15854" xr:uid="{00000000-0005-0000-0000-00006FD30000}"/>
    <cellStyle name="Note 3 7 7 2" xfId="44860" xr:uid="{00000000-0005-0000-0000-000070D30000}"/>
    <cellStyle name="Note 3 7 8" xfId="30361" xr:uid="{00000000-0005-0000-0000-000071D30000}"/>
    <cellStyle name="Note 3 8" xfId="1782" xr:uid="{00000000-0005-0000-0000-000072D30000}"/>
    <cellStyle name="Note 3 9" xfId="1824" xr:uid="{00000000-0005-0000-0000-000073D30000}"/>
    <cellStyle name="Note 3 9 2" xfId="4928" xr:uid="{00000000-0005-0000-0000-000074D30000}"/>
    <cellStyle name="Note 3 9 2 2" xfId="12200" xr:uid="{00000000-0005-0000-0000-000075D30000}"/>
    <cellStyle name="Note 3 9 2 2 2" xfId="26734" xr:uid="{00000000-0005-0000-0000-000076D30000}"/>
    <cellStyle name="Note 3 9 2 2 2 2" xfId="55740" xr:uid="{00000000-0005-0000-0000-000077D30000}"/>
    <cellStyle name="Note 3 9 2 2 3" xfId="41241" xr:uid="{00000000-0005-0000-0000-000078D30000}"/>
    <cellStyle name="Note 3 9 2 3" xfId="19486" xr:uid="{00000000-0005-0000-0000-000079D30000}"/>
    <cellStyle name="Note 3 9 2 3 2" xfId="48492" xr:uid="{00000000-0005-0000-0000-00007AD30000}"/>
    <cellStyle name="Note 3 9 2 4" xfId="33993" xr:uid="{00000000-0005-0000-0000-00007BD30000}"/>
    <cellStyle name="Note 3 9 3" xfId="9096" xr:uid="{00000000-0005-0000-0000-00007CD30000}"/>
    <cellStyle name="Note 3 9 3 2" xfId="23630" xr:uid="{00000000-0005-0000-0000-00007DD30000}"/>
    <cellStyle name="Note 3 9 3 2 2" xfId="52636" xr:uid="{00000000-0005-0000-0000-00007ED30000}"/>
    <cellStyle name="Note 3 9 3 3" xfId="38137" xr:uid="{00000000-0005-0000-0000-00007FD30000}"/>
    <cellStyle name="Note 3 9 4" xfId="16382" xr:uid="{00000000-0005-0000-0000-000080D30000}"/>
    <cellStyle name="Note 3 9 4 2" xfId="45388" xr:uid="{00000000-0005-0000-0000-000081D30000}"/>
    <cellStyle name="Note 3 9 5" xfId="30889" xr:uid="{00000000-0005-0000-0000-000082D30000}"/>
    <cellStyle name="Note 4" xfId="718" xr:uid="{00000000-0005-0000-0000-000083D30000}"/>
    <cellStyle name="Notes" xfId="696" xr:uid="{00000000-0005-0000-0000-000084D30000}"/>
    <cellStyle name="Notes - Amount" xfId="656" xr:uid="{00000000-0005-0000-0000-000085D30000}"/>
    <cellStyle name="Notes - Amount - $ Double Underline" xfId="657" xr:uid="{00000000-0005-0000-0000-000086D30000}"/>
    <cellStyle name="Notes - Amount - $ Single Underline" xfId="658" xr:uid="{00000000-0005-0000-0000-000087D30000}"/>
    <cellStyle name="Notes - Amount - %" xfId="659" xr:uid="{00000000-0005-0000-0000-000088D30000}"/>
    <cellStyle name="Notes - Amount - % Double Underline" xfId="660" xr:uid="{00000000-0005-0000-0000-000089D30000}"/>
    <cellStyle name="Notes - Amount - % Single Underline" xfId="661" xr:uid="{00000000-0005-0000-0000-00008AD30000}"/>
    <cellStyle name="Notes - Amount - Single Underline" xfId="662" xr:uid="{00000000-0005-0000-0000-00008BD30000}"/>
    <cellStyle name="Notes - Amount $" xfId="663" xr:uid="{00000000-0005-0000-0000-00008CD30000}"/>
    <cellStyle name="Notes - Column Header" xfId="664" xr:uid="{00000000-0005-0000-0000-00008DD30000}"/>
    <cellStyle name="Notes - Column Header (10)" xfId="665" xr:uid="{00000000-0005-0000-0000-00008ED30000}"/>
    <cellStyle name="Notes - Line Item 1" xfId="666" xr:uid="{00000000-0005-0000-0000-00008FD30000}"/>
    <cellStyle name="Notes - Line Item 1 (10)" xfId="667" xr:uid="{00000000-0005-0000-0000-000090D30000}"/>
    <cellStyle name="Notes - Line Item 2" xfId="668" xr:uid="{00000000-0005-0000-0000-000091D30000}"/>
    <cellStyle name="Notes - Line Item 2 (10)" xfId="669" xr:uid="{00000000-0005-0000-0000-000092D30000}"/>
    <cellStyle name="Notes - Line Item 3" xfId="670" xr:uid="{00000000-0005-0000-0000-000093D30000}"/>
    <cellStyle name="Notes - Line Item 3 (10)" xfId="671" xr:uid="{00000000-0005-0000-0000-000094D30000}"/>
    <cellStyle name="Notes - Line Item 3_Sheet1" xfId="828" xr:uid="{00000000-0005-0000-0000-000095D30000}"/>
    <cellStyle name="Notes - Line Item 4" xfId="672" xr:uid="{00000000-0005-0000-0000-000096D30000}"/>
    <cellStyle name="Notes - Line Item 4 (10)" xfId="673" xr:uid="{00000000-0005-0000-0000-000097D30000}"/>
    <cellStyle name="Notes - Line Item 4_Sheet1" xfId="829" xr:uid="{00000000-0005-0000-0000-000098D30000}"/>
    <cellStyle name="Output" xfId="54" builtinId="21" customBuiltin="1"/>
    <cellStyle name="Output 2" xfId="674" xr:uid="{00000000-0005-0000-0000-00009AD30000}"/>
    <cellStyle name="Percent" xfId="3" builtinId="5"/>
    <cellStyle name="Percent 10" xfId="830" xr:uid="{00000000-0005-0000-0000-00009CD30000}"/>
    <cellStyle name="Percent 11" xfId="831" xr:uid="{00000000-0005-0000-0000-00009DD30000}"/>
    <cellStyle name="Percent 12" xfId="832" xr:uid="{00000000-0005-0000-0000-00009ED30000}"/>
    <cellStyle name="Percent 13" xfId="833" xr:uid="{00000000-0005-0000-0000-00009FD30000}"/>
    <cellStyle name="Percent 13 10" xfId="1830" xr:uid="{00000000-0005-0000-0000-0000A0D30000}"/>
    <cellStyle name="Percent 13 10 2" xfId="4934" xr:uid="{00000000-0005-0000-0000-0000A1D30000}"/>
    <cellStyle name="Percent 13 10 2 2" xfId="12206" xr:uid="{00000000-0005-0000-0000-0000A2D30000}"/>
    <cellStyle name="Percent 13 10 2 2 2" xfId="26740" xr:uid="{00000000-0005-0000-0000-0000A3D30000}"/>
    <cellStyle name="Percent 13 10 2 2 2 2" xfId="55746" xr:uid="{00000000-0005-0000-0000-0000A4D30000}"/>
    <cellStyle name="Percent 13 10 2 2 3" xfId="41247" xr:uid="{00000000-0005-0000-0000-0000A5D30000}"/>
    <cellStyle name="Percent 13 10 2 3" xfId="19492" xr:uid="{00000000-0005-0000-0000-0000A6D30000}"/>
    <cellStyle name="Percent 13 10 2 3 2" xfId="48498" xr:uid="{00000000-0005-0000-0000-0000A7D30000}"/>
    <cellStyle name="Percent 13 10 2 4" xfId="33999" xr:uid="{00000000-0005-0000-0000-0000A8D30000}"/>
    <cellStyle name="Percent 13 10 3" xfId="9102" xr:uid="{00000000-0005-0000-0000-0000A9D30000}"/>
    <cellStyle name="Percent 13 10 3 2" xfId="23636" xr:uid="{00000000-0005-0000-0000-0000AAD30000}"/>
    <cellStyle name="Percent 13 10 3 2 2" xfId="52642" xr:uid="{00000000-0005-0000-0000-0000ABD30000}"/>
    <cellStyle name="Percent 13 10 3 3" xfId="38143" xr:uid="{00000000-0005-0000-0000-0000ACD30000}"/>
    <cellStyle name="Percent 13 10 4" xfId="16388" xr:uid="{00000000-0005-0000-0000-0000ADD30000}"/>
    <cellStyle name="Percent 13 10 4 2" xfId="45394" xr:uid="{00000000-0005-0000-0000-0000AED30000}"/>
    <cellStyle name="Percent 13 10 5" xfId="30895" xr:uid="{00000000-0005-0000-0000-0000AFD30000}"/>
    <cellStyle name="Percent 13 11" xfId="2862" xr:uid="{00000000-0005-0000-0000-0000B0D30000}"/>
    <cellStyle name="Percent 13 11 2" xfId="5966" xr:uid="{00000000-0005-0000-0000-0000B1D30000}"/>
    <cellStyle name="Percent 13 11 2 2" xfId="13238" xr:uid="{00000000-0005-0000-0000-0000B2D30000}"/>
    <cellStyle name="Percent 13 11 2 2 2" xfId="27772" xr:uid="{00000000-0005-0000-0000-0000B3D30000}"/>
    <cellStyle name="Percent 13 11 2 2 2 2" xfId="56778" xr:uid="{00000000-0005-0000-0000-0000B4D30000}"/>
    <cellStyle name="Percent 13 11 2 2 3" xfId="42279" xr:uid="{00000000-0005-0000-0000-0000B5D30000}"/>
    <cellStyle name="Percent 13 11 2 3" xfId="20524" xr:uid="{00000000-0005-0000-0000-0000B6D30000}"/>
    <cellStyle name="Percent 13 11 2 3 2" xfId="49530" xr:uid="{00000000-0005-0000-0000-0000B7D30000}"/>
    <cellStyle name="Percent 13 11 2 4" xfId="35031" xr:uid="{00000000-0005-0000-0000-0000B8D30000}"/>
    <cellStyle name="Percent 13 11 3" xfId="10134" xr:uid="{00000000-0005-0000-0000-0000B9D30000}"/>
    <cellStyle name="Percent 13 11 3 2" xfId="24668" xr:uid="{00000000-0005-0000-0000-0000BAD30000}"/>
    <cellStyle name="Percent 13 11 3 2 2" xfId="53674" xr:uid="{00000000-0005-0000-0000-0000BBD30000}"/>
    <cellStyle name="Percent 13 11 3 3" xfId="39175" xr:uid="{00000000-0005-0000-0000-0000BCD30000}"/>
    <cellStyle name="Percent 13 11 4" xfId="17420" xr:uid="{00000000-0005-0000-0000-0000BDD30000}"/>
    <cellStyle name="Percent 13 11 4 2" xfId="46426" xr:uid="{00000000-0005-0000-0000-0000BED30000}"/>
    <cellStyle name="Percent 13 11 5" xfId="31927" xr:uid="{00000000-0005-0000-0000-0000BFD30000}"/>
    <cellStyle name="Percent 13 12" xfId="3894" xr:uid="{00000000-0005-0000-0000-0000C0D30000}"/>
    <cellStyle name="Percent 13 12 2" xfId="11166" xr:uid="{00000000-0005-0000-0000-0000C1D30000}"/>
    <cellStyle name="Percent 13 12 2 2" xfId="25700" xr:uid="{00000000-0005-0000-0000-0000C2D30000}"/>
    <cellStyle name="Percent 13 12 2 2 2" xfId="54706" xr:uid="{00000000-0005-0000-0000-0000C3D30000}"/>
    <cellStyle name="Percent 13 12 2 3" xfId="40207" xr:uid="{00000000-0005-0000-0000-0000C4D30000}"/>
    <cellStyle name="Percent 13 12 3" xfId="18452" xr:uid="{00000000-0005-0000-0000-0000C5D30000}"/>
    <cellStyle name="Percent 13 12 3 2" xfId="47458" xr:uid="{00000000-0005-0000-0000-0000C6D30000}"/>
    <cellStyle name="Percent 13 12 4" xfId="32959" xr:uid="{00000000-0005-0000-0000-0000C7D30000}"/>
    <cellStyle name="Percent 13 13" xfId="6998" xr:uid="{00000000-0005-0000-0000-0000C8D30000}"/>
    <cellStyle name="Percent 13 13 2" xfId="14270" xr:uid="{00000000-0005-0000-0000-0000C9D30000}"/>
    <cellStyle name="Percent 13 13 2 2" xfId="28804" xr:uid="{00000000-0005-0000-0000-0000CAD30000}"/>
    <cellStyle name="Percent 13 13 2 2 2" xfId="57810" xr:uid="{00000000-0005-0000-0000-0000CBD30000}"/>
    <cellStyle name="Percent 13 13 2 3" xfId="43311" xr:uid="{00000000-0005-0000-0000-0000CCD30000}"/>
    <cellStyle name="Percent 13 13 3" xfId="21556" xr:uid="{00000000-0005-0000-0000-0000CDD30000}"/>
    <cellStyle name="Percent 13 13 3 2" xfId="50562" xr:uid="{00000000-0005-0000-0000-0000CED30000}"/>
    <cellStyle name="Percent 13 13 4" xfId="36063" xr:uid="{00000000-0005-0000-0000-0000CFD30000}"/>
    <cellStyle name="Percent 13 14" xfId="8038" xr:uid="{00000000-0005-0000-0000-0000D0D30000}"/>
    <cellStyle name="Percent 13 14 2" xfId="15286" xr:uid="{00000000-0005-0000-0000-0000D1D30000}"/>
    <cellStyle name="Percent 13 14 2 2" xfId="29820" xr:uid="{00000000-0005-0000-0000-0000D2D30000}"/>
    <cellStyle name="Percent 13 14 2 2 2" xfId="58826" xr:uid="{00000000-0005-0000-0000-0000D3D30000}"/>
    <cellStyle name="Percent 13 14 2 3" xfId="44327" xr:uid="{00000000-0005-0000-0000-0000D4D30000}"/>
    <cellStyle name="Percent 13 14 3" xfId="22572" xr:uid="{00000000-0005-0000-0000-0000D5D30000}"/>
    <cellStyle name="Percent 13 14 3 2" xfId="51578" xr:uid="{00000000-0005-0000-0000-0000D6D30000}"/>
    <cellStyle name="Percent 13 14 4" xfId="37079" xr:uid="{00000000-0005-0000-0000-0000D7D30000}"/>
    <cellStyle name="Percent 13 15" xfId="8062" xr:uid="{00000000-0005-0000-0000-0000D8D30000}"/>
    <cellStyle name="Percent 13 15 2" xfId="22596" xr:uid="{00000000-0005-0000-0000-0000D9D30000}"/>
    <cellStyle name="Percent 13 15 2 2" xfId="51602" xr:uid="{00000000-0005-0000-0000-0000DAD30000}"/>
    <cellStyle name="Percent 13 15 3" xfId="37103" xr:uid="{00000000-0005-0000-0000-0000DBD30000}"/>
    <cellStyle name="Percent 13 16" xfId="15348" xr:uid="{00000000-0005-0000-0000-0000DCD30000}"/>
    <cellStyle name="Percent 13 16 2" xfId="44354" xr:uid="{00000000-0005-0000-0000-0000DDD30000}"/>
    <cellStyle name="Percent 13 17" xfId="29855" xr:uid="{00000000-0005-0000-0000-0000DED30000}"/>
    <cellStyle name="Percent 13 2" xfId="857" xr:uid="{00000000-0005-0000-0000-0000DFD30000}"/>
    <cellStyle name="Percent 13 2 10" xfId="7022" xr:uid="{00000000-0005-0000-0000-0000E0D30000}"/>
    <cellStyle name="Percent 13 2 10 2" xfId="14294" xr:uid="{00000000-0005-0000-0000-0000E1D30000}"/>
    <cellStyle name="Percent 13 2 10 2 2" xfId="28828" xr:uid="{00000000-0005-0000-0000-0000E2D30000}"/>
    <cellStyle name="Percent 13 2 10 2 2 2" xfId="57834" xr:uid="{00000000-0005-0000-0000-0000E3D30000}"/>
    <cellStyle name="Percent 13 2 10 2 3" xfId="43335" xr:uid="{00000000-0005-0000-0000-0000E4D30000}"/>
    <cellStyle name="Percent 13 2 10 3" xfId="21580" xr:uid="{00000000-0005-0000-0000-0000E5D30000}"/>
    <cellStyle name="Percent 13 2 10 3 2" xfId="50586" xr:uid="{00000000-0005-0000-0000-0000E6D30000}"/>
    <cellStyle name="Percent 13 2 10 4" xfId="36087" xr:uid="{00000000-0005-0000-0000-0000E7D30000}"/>
    <cellStyle name="Percent 13 2 11" xfId="8086" xr:uid="{00000000-0005-0000-0000-0000E8D30000}"/>
    <cellStyle name="Percent 13 2 11 2" xfId="22620" xr:uid="{00000000-0005-0000-0000-0000E9D30000}"/>
    <cellStyle name="Percent 13 2 11 2 2" xfId="51626" xr:uid="{00000000-0005-0000-0000-0000EAD30000}"/>
    <cellStyle name="Percent 13 2 11 3" xfId="37127" xr:uid="{00000000-0005-0000-0000-0000EBD30000}"/>
    <cellStyle name="Percent 13 2 12" xfId="15372" xr:uid="{00000000-0005-0000-0000-0000ECD30000}"/>
    <cellStyle name="Percent 13 2 12 2" xfId="44378" xr:uid="{00000000-0005-0000-0000-0000EDD30000}"/>
    <cellStyle name="Percent 13 2 13" xfId="29879" xr:uid="{00000000-0005-0000-0000-0000EED30000}"/>
    <cellStyle name="Percent 13 2 2" xfId="899" xr:uid="{00000000-0005-0000-0000-0000EFD30000}"/>
    <cellStyle name="Percent 13 2 2 10" xfId="8138" xr:uid="{00000000-0005-0000-0000-0000F0D30000}"/>
    <cellStyle name="Percent 13 2 2 10 2" xfId="22672" xr:uid="{00000000-0005-0000-0000-0000F1D30000}"/>
    <cellStyle name="Percent 13 2 2 10 2 2" xfId="51678" xr:uid="{00000000-0005-0000-0000-0000F2D30000}"/>
    <cellStyle name="Percent 13 2 2 10 3" xfId="37179" xr:uid="{00000000-0005-0000-0000-0000F3D30000}"/>
    <cellStyle name="Percent 13 2 2 11" xfId="15424" xr:uid="{00000000-0005-0000-0000-0000F4D30000}"/>
    <cellStyle name="Percent 13 2 2 11 2" xfId="44430" xr:uid="{00000000-0005-0000-0000-0000F5D30000}"/>
    <cellStyle name="Percent 13 2 2 12" xfId="29931" xr:uid="{00000000-0005-0000-0000-0000F6D30000}"/>
    <cellStyle name="Percent 13 2 2 2" xfId="980" xr:uid="{00000000-0005-0000-0000-0000F7D30000}"/>
    <cellStyle name="Percent 13 2 2 2 10" xfId="30034" xr:uid="{00000000-0005-0000-0000-0000F8D30000}"/>
    <cellStyle name="Percent 13 2 2 2 2" xfId="1261" xr:uid="{00000000-0005-0000-0000-0000F9D30000}"/>
    <cellStyle name="Percent 13 2 2 2 2 2" xfId="1768" xr:uid="{00000000-0005-0000-0000-0000FAD30000}"/>
    <cellStyle name="Percent 13 2 2 2 2 2 2" xfId="2827" xr:uid="{00000000-0005-0000-0000-0000FBD30000}"/>
    <cellStyle name="Percent 13 2 2 2 2 2 2 2" xfId="5931" xr:uid="{00000000-0005-0000-0000-0000FCD30000}"/>
    <cellStyle name="Percent 13 2 2 2 2 2 2 2 2" xfId="13203" xr:uid="{00000000-0005-0000-0000-0000FDD30000}"/>
    <cellStyle name="Percent 13 2 2 2 2 2 2 2 2 2" xfId="27737" xr:uid="{00000000-0005-0000-0000-0000FED30000}"/>
    <cellStyle name="Percent 13 2 2 2 2 2 2 2 2 2 2" xfId="56743" xr:uid="{00000000-0005-0000-0000-0000FFD30000}"/>
    <cellStyle name="Percent 13 2 2 2 2 2 2 2 2 3" xfId="42244" xr:uid="{00000000-0005-0000-0000-000000D40000}"/>
    <cellStyle name="Percent 13 2 2 2 2 2 2 2 3" xfId="20489" xr:uid="{00000000-0005-0000-0000-000001D40000}"/>
    <cellStyle name="Percent 13 2 2 2 2 2 2 2 3 2" xfId="49495" xr:uid="{00000000-0005-0000-0000-000002D40000}"/>
    <cellStyle name="Percent 13 2 2 2 2 2 2 2 4" xfId="34996" xr:uid="{00000000-0005-0000-0000-000003D40000}"/>
    <cellStyle name="Percent 13 2 2 2 2 2 2 3" xfId="10099" xr:uid="{00000000-0005-0000-0000-000004D40000}"/>
    <cellStyle name="Percent 13 2 2 2 2 2 2 3 2" xfId="24633" xr:uid="{00000000-0005-0000-0000-000005D40000}"/>
    <cellStyle name="Percent 13 2 2 2 2 2 2 3 2 2" xfId="53639" xr:uid="{00000000-0005-0000-0000-000006D40000}"/>
    <cellStyle name="Percent 13 2 2 2 2 2 2 3 3" xfId="39140" xr:uid="{00000000-0005-0000-0000-000007D40000}"/>
    <cellStyle name="Percent 13 2 2 2 2 2 2 4" xfId="17385" xr:uid="{00000000-0005-0000-0000-000008D40000}"/>
    <cellStyle name="Percent 13 2 2 2 2 2 2 4 2" xfId="46391" xr:uid="{00000000-0005-0000-0000-000009D40000}"/>
    <cellStyle name="Percent 13 2 2 2 2 2 2 5" xfId="31892" xr:uid="{00000000-0005-0000-0000-00000AD40000}"/>
    <cellStyle name="Percent 13 2 2 2 2 2 3" xfId="3859" xr:uid="{00000000-0005-0000-0000-00000BD40000}"/>
    <cellStyle name="Percent 13 2 2 2 2 2 3 2" xfId="6963" xr:uid="{00000000-0005-0000-0000-00000CD40000}"/>
    <cellStyle name="Percent 13 2 2 2 2 2 3 2 2" xfId="14235" xr:uid="{00000000-0005-0000-0000-00000DD40000}"/>
    <cellStyle name="Percent 13 2 2 2 2 2 3 2 2 2" xfId="28769" xr:uid="{00000000-0005-0000-0000-00000ED40000}"/>
    <cellStyle name="Percent 13 2 2 2 2 2 3 2 2 2 2" xfId="57775" xr:uid="{00000000-0005-0000-0000-00000FD40000}"/>
    <cellStyle name="Percent 13 2 2 2 2 2 3 2 2 3" xfId="43276" xr:uid="{00000000-0005-0000-0000-000010D40000}"/>
    <cellStyle name="Percent 13 2 2 2 2 2 3 2 3" xfId="21521" xr:uid="{00000000-0005-0000-0000-000011D40000}"/>
    <cellStyle name="Percent 13 2 2 2 2 2 3 2 3 2" xfId="50527" xr:uid="{00000000-0005-0000-0000-000012D40000}"/>
    <cellStyle name="Percent 13 2 2 2 2 2 3 2 4" xfId="36028" xr:uid="{00000000-0005-0000-0000-000013D40000}"/>
    <cellStyle name="Percent 13 2 2 2 2 2 3 3" xfId="11131" xr:uid="{00000000-0005-0000-0000-000014D40000}"/>
    <cellStyle name="Percent 13 2 2 2 2 2 3 3 2" xfId="25665" xr:uid="{00000000-0005-0000-0000-000015D40000}"/>
    <cellStyle name="Percent 13 2 2 2 2 2 3 3 2 2" xfId="54671" xr:uid="{00000000-0005-0000-0000-000016D40000}"/>
    <cellStyle name="Percent 13 2 2 2 2 2 3 3 3" xfId="40172" xr:uid="{00000000-0005-0000-0000-000017D40000}"/>
    <cellStyle name="Percent 13 2 2 2 2 2 3 4" xfId="18417" xr:uid="{00000000-0005-0000-0000-000018D40000}"/>
    <cellStyle name="Percent 13 2 2 2 2 2 3 4 2" xfId="47423" xr:uid="{00000000-0005-0000-0000-000019D40000}"/>
    <cellStyle name="Percent 13 2 2 2 2 2 3 5" xfId="32924" xr:uid="{00000000-0005-0000-0000-00001AD40000}"/>
    <cellStyle name="Percent 13 2 2 2 2 2 4" xfId="4891" xr:uid="{00000000-0005-0000-0000-00001BD40000}"/>
    <cellStyle name="Percent 13 2 2 2 2 2 4 2" xfId="12163" xr:uid="{00000000-0005-0000-0000-00001CD40000}"/>
    <cellStyle name="Percent 13 2 2 2 2 2 4 2 2" xfId="26697" xr:uid="{00000000-0005-0000-0000-00001DD40000}"/>
    <cellStyle name="Percent 13 2 2 2 2 2 4 2 2 2" xfId="55703" xr:uid="{00000000-0005-0000-0000-00001ED40000}"/>
    <cellStyle name="Percent 13 2 2 2 2 2 4 2 3" xfId="41204" xr:uid="{00000000-0005-0000-0000-00001FD40000}"/>
    <cellStyle name="Percent 13 2 2 2 2 2 4 3" xfId="19449" xr:uid="{00000000-0005-0000-0000-000020D40000}"/>
    <cellStyle name="Percent 13 2 2 2 2 2 4 3 2" xfId="48455" xr:uid="{00000000-0005-0000-0000-000021D40000}"/>
    <cellStyle name="Percent 13 2 2 2 2 2 4 4" xfId="33956" xr:uid="{00000000-0005-0000-0000-000022D40000}"/>
    <cellStyle name="Percent 13 2 2 2 2 2 5" xfId="7995" xr:uid="{00000000-0005-0000-0000-000023D40000}"/>
    <cellStyle name="Percent 13 2 2 2 2 2 5 2" xfId="15267" xr:uid="{00000000-0005-0000-0000-000024D40000}"/>
    <cellStyle name="Percent 13 2 2 2 2 2 5 2 2" xfId="29801" xr:uid="{00000000-0005-0000-0000-000025D40000}"/>
    <cellStyle name="Percent 13 2 2 2 2 2 5 2 2 2" xfId="58807" xr:uid="{00000000-0005-0000-0000-000026D40000}"/>
    <cellStyle name="Percent 13 2 2 2 2 2 5 2 3" xfId="44308" xr:uid="{00000000-0005-0000-0000-000027D40000}"/>
    <cellStyle name="Percent 13 2 2 2 2 2 5 3" xfId="22553" xr:uid="{00000000-0005-0000-0000-000028D40000}"/>
    <cellStyle name="Percent 13 2 2 2 2 2 5 3 2" xfId="51559" xr:uid="{00000000-0005-0000-0000-000029D40000}"/>
    <cellStyle name="Percent 13 2 2 2 2 2 5 4" xfId="37060" xr:uid="{00000000-0005-0000-0000-00002AD40000}"/>
    <cellStyle name="Percent 13 2 2 2 2 2 6" xfId="9059" xr:uid="{00000000-0005-0000-0000-00002BD40000}"/>
    <cellStyle name="Percent 13 2 2 2 2 2 6 2" xfId="23593" xr:uid="{00000000-0005-0000-0000-00002CD40000}"/>
    <cellStyle name="Percent 13 2 2 2 2 2 6 2 2" xfId="52599" xr:uid="{00000000-0005-0000-0000-00002DD40000}"/>
    <cellStyle name="Percent 13 2 2 2 2 2 6 3" xfId="38100" xr:uid="{00000000-0005-0000-0000-00002ED40000}"/>
    <cellStyle name="Percent 13 2 2 2 2 2 7" xfId="16345" xr:uid="{00000000-0005-0000-0000-00002FD40000}"/>
    <cellStyle name="Percent 13 2 2 2 2 2 7 2" xfId="45351" xr:uid="{00000000-0005-0000-0000-000030D40000}"/>
    <cellStyle name="Percent 13 2 2 2 2 2 8" xfId="30852" xr:uid="{00000000-0005-0000-0000-000031D40000}"/>
    <cellStyle name="Percent 13 2 2 2 2 3" xfId="2315" xr:uid="{00000000-0005-0000-0000-000032D40000}"/>
    <cellStyle name="Percent 13 2 2 2 2 3 2" xfId="5419" xr:uid="{00000000-0005-0000-0000-000033D40000}"/>
    <cellStyle name="Percent 13 2 2 2 2 3 2 2" xfId="12691" xr:uid="{00000000-0005-0000-0000-000034D40000}"/>
    <cellStyle name="Percent 13 2 2 2 2 3 2 2 2" xfId="27225" xr:uid="{00000000-0005-0000-0000-000035D40000}"/>
    <cellStyle name="Percent 13 2 2 2 2 3 2 2 2 2" xfId="56231" xr:uid="{00000000-0005-0000-0000-000036D40000}"/>
    <cellStyle name="Percent 13 2 2 2 2 3 2 2 3" xfId="41732" xr:uid="{00000000-0005-0000-0000-000037D40000}"/>
    <cellStyle name="Percent 13 2 2 2 2 3 2 3" xfId="19977" xr:uid="{00000000-0005-0000-0000-000038D40000}"/>
    <cellStyle name="Percent 13 2 2 2 2 3 2 3 2" xfId="48983" xr:uid="{00000000-0005-0000-0000-000039D40000}"/>
    <cellStyle name="Percent 13 2 2 2 2 3 2 4" xfId="34484" xr:uid="{00000000-0005-0000-0000-00003AD40000}"/>
    <cellStyle name="Percent 13 2 2 2 2 3 3" xfId="9587" xr:uid="{00000000-0005-0000-0000-00003BD40000}"/>
    <cellStyle name="Percent 13 2 2 2 2 3 3 2" xfId="24121" xr:uid="{00000000-0005-0000-0000-00003CD40000}"/>
    <cellStyle name="Percent 13 2 2 2 2 3 3 2 2" xfId="53127" xr:uid="{00000000-0005-0000-0000-00003DD40000}"/>
    <cellStyle name="Percent 13 2 2 2 2 3 3 3" xfId="38628" xr:uid="{00000000-0005-0000-0000-00003ED40000}"/>
    <cellStyle name="Percent 13 2 2 2 2 3 4" xfId="16873" xr:uid="{00000000-0005-0000-0000-00003FD40000}"/>
    <cellStyle name="Percent 13 2 2 2 2 3 4 2" xfId="45879" xr:uid="{00000000-0005-0000-0000-000040D40000}"/>
    <cellStyle name="Percent 13 2 2 2 2 3 5" xfId="31380" xr:uid="{00000000-0005-0000-0000-000041D40000}"/>
    <cellStyle name="Percent 13 2 2 2 2 4" xfId="3347" xr:uid="{00000000-0005-0000-0000-000042D40000}"/>
    <cellStyle name="Percent 13 2 2 2 2 4 2" xfId="6451" xr:uid="{00000000-0005-0000-0000-000043D40000}"/>
    <cellStyle name="Percent 13 2 2 2 2 4 2 2" xfId="13723" xr:uid="{00000000-0005-0000-0000-000044D40000}"/>
    <cellStyle name="Percent 13 2 2 2 2 4 2 2 2" xfId="28257" xr:uid="{00000000-0005-0000-0000-000045D40000}"/>
    <cellStyle name="Percent 13 2 2 2 2 4 2 2 2 2" xfId="57263" xr:uid="{00000000-0005-0000-0000-000046D40000}"/>
    <cellStyle name="Percent 13 2 2 2 2 4 2 2 3" xfId="42764" xr:uid="{00000000-0005-0000-0000-000047D40000}"/>
    <cellStyle name="Percent 13 2 2 2 2 4 2 3" xfId="21009" xr:uid="{00000000-0005-0000-0000-000048D40000}"/>
    <cellStyle name="Percent 13 2 2 2 2 4 2 3 2" xfId="50015" xr:uid="{00000000-0005-0000-0000-000049D40000}"/>
    <cellStyle name="Percent 13 2 2 2 2 4 2 4" xfId="35516" xr:uid="{00000000-0005-0000-0000-00004AD40000}"/>
    <cellStyle name="Percent 13 2 2 2 2 4 3" xfId="10619" xr:uid="{00000000-0005-0000-0000-00004BD40000}"/>
    <cellStyle name="Percent 13 2 2 2 2 4 3 2" xfId="25153" xr:uid="{00000000-0005-0000-0000-00004CD40000}"/>
    <cellStyle name="Percent 13 2 2 2 2 4 3 2 2" xfId="54159" xr:uid="{00000000-0005-0000-0000-00004DD40000}"/>
    <cellStyle name="Percent 13 2 2 2 2 4 3 3" xfId="39660" xr:uid="{00000000-0005-0000-0000-00004ED40000}"/>
    <cellStyle name="Percent 13 2 2 2 2 4 4" xfId="17905" xr:uid="{00000000-0005-0000-0000-00004FD40000}"/>
    <cellStyle name="Percent 13 2 2 2 2 4 4 2" xfId="46911" xr:uid="{00000000-0005-0000-0000-000050D40000}"/>
    <cellStyle name="Percent 13 2 2 2 2 4 5" xfId="32412" xr:uid="{00000000-0005-0000-0000-000051D40000}"/>
    <cellStyle name="Percent 13 2 2 2 2 5" xfId="4379" xr:uid="{00000000-0005-0000-0000-000052D40000}"/>
    <cellStyle name="Percent 13 2 2 2 2 5 2" xfId="11651" xr:uid="{00000000-0005-0000-0000-000053D40000}"/>
    <cellStyle name="Percent 13 2 2 2 2 5 2 2" xfId="26185" xr:uid="{00000000-0005-0000-0000-000054D40000}"/>
    <cellStyle name="Percent 13 2 2 2 2 5 2 2 2" xfId="55191" xr:uid="{00000000-0005-0000-0000-000055D40000}"/>
    <cellStyle name="Percent 13 2 2 2 2 5 2 3" xfId="40692" xr:uid="{00000000-0005-0000-0000-000056D40000}"/>
    <cellStyle name="Percent 13 2 2 2 2 5 3" xfId="18937" xr:uid="{00000000-0005-0000-0000-000057D40000}"/>
    <cellStyle name="Percent 13 2 2 2 2 5 3 2" xfId="47943" xr:uid="{00000000-0005-0000-0000-000058D40000}"/>
    <cellStyle name="Percent 13 2 2 2 2 5 4" xfId="33444" xr:uid="{00000000-0005-0000-0000-000059D40000}"/>
    <cellStyle name="Percent 13 2 2 2 2 6" xfId="7483" xr:uid="{00000000-0005-0000-0000-00005AD40000}"/>
    <cellStyle name="Percent 13 2 2 2 2 6 2" xfId="14755" xr:uid="{00000000-0005-0000-0000-00005BD40000}"/>
    <cellStyle name="Percent 13 2 2 2 2 6 2 2" xfId="29289" xr:uid="{00000000-0005-0000-0000-00005CD40000}"/>
    <cellStyle name="Percent 13 2 2 2 2 6 2 2 2" xfId="58295" xr:uid="{00000000-0005-0000-0000-00005DD40000}"/>
    <cellStyle name="Percent 13 2 2 2 2 6 2 3" xfId="43796" xr:uid="{00000000-0005-0000-0000-00005ED40000}"/>
    <cellStyle name="Percent 13 2 2 2 2 6 3" xfId="22041" xr:uid="{00000000-0005-0000-0000-00005FD40000}"/>
    <cellStyle name="Percent 13 2 2 2 2 6 3 2" xfId="51047" xr:uid="{00000000-0005-0000-0000-000060D40000}"/>
    <cellStyle name="Percent 13 2 2 2 2 6 4" xfId="36548" xr:uid="{00000000-0005-0000-0000-000061D40000}"/>
    <cellStyle name="Percent 13 2 2 2 2 7" xfId="8547" xr:uid="{00000000-0005-0000-0000-000062D40000}"/>
    <cellStyle name="Percent 13 2 2 2 2 7 2" xfId="23081" xr:uid="{00000000-0005-0000-0000-000063D40000}"/>
    <cellStyle name="Percent 13 2 2 2 2 7 2 2" xfId="52087" xr:uid="{00000000-0005-0000-0000-000064D40000}"/>
    <cellStyle name="Percent 13 2 2 2 2 7 3" xfId="37588" xr:uid="{00000000-0005-0000-0000-000065D40000}"/>
    <cellStyle name="Percent 13 2 2 2 2 8" xfId="15833" xr:uid="{00000000-0005-0000-0000-000066D40000}"/>
    <cellStyle name="Percent 13 2 2 2 2 8 2" xfId="44839" xr:uid="{00000000-0005-0000-0000-000067D40000}"/>
    <cellStyle name="Percent 13 2 2 2 2 9" xfId="30340" xr:uid="{00000000-0005-0000-0000-000068D40000}"/>
    <cellStyle name="Percent 13 2 2 2 3" xfId="1463" xr:uid="{00000000-0005-0000-0000-000069D40000}"/>
    <cellStyle name="Percent 13 2 2 2 3 2" xfId="2521" xr:uid="{00000000-0005-0000-0000-00006AD40000}"/>
    <cellStyle name="Percent 13 2 2 2 3 2 2" xfId="5625" xr:uid="{00000000-0005-0000-0000-00006BD40000}"/>
    <cellStyle name="Percent 13 2 2 2 3 2 2 2" xfId="12897" xr:uid="{00000000-0005-0000-0000-00006CD40000}"/>
    <cellStyle name="Percent 13 2 2 2 3 2 2 2 2" xfId="27431" xr:uid="{00000000-0005-0000-0000-00006DD40000}"/>
    <cellStyle name="Percent 13 2 2 2 3 2 2 2 2 2" xfId="56437" xr:uid="{00000000-0005-0000-0000-00006ED40000}"/>
    <cellStyle name="Percent 13 2 2 2 3 2 2 2 3" xfId="41938" xr:uid="{00000000-0005-0000-0000-00006FD40000}"/>
    <cellStyle name="Percent 13 2 2 2 3 2 2 3" xfId="20183" xr:uid="{00000000-0005-0000-0000-000070D40000}"/>
    <cellStyle name="Percent 13 2 2 2 3 2 2 3 2" xfId="49189" xr:uid="{00000000-0005-0000-0000-000071D40000}"/>
    <cellStyle name="Percent 13 2 2 2 3 2 2 4" xfId="34690" xr:uid="{00000000-0005-0000-0000-000072D40000}"/>
    <cellStyle name="Percent 13 2 2 2 3 2 3" xfId="9793" xr:uid="{00000000-0005-0000-0000-000073D40000}"/>
    <cellStyle name="Percent 13 2 2 2 3 2 3 2" xfId="24327" xr:uid="{00000000-0005-0000-0000-000074D40000}"/>
    <cellStyle name="Percent 13 2 2 2 3 2 3 2 2" xfId="53333" xr:uid="{00000000-0005-0000-0000-000075D40000}"/>
    <cellStyle name="Percent 13 2 2 2 3 2 3 3" xfId="38834" xr:uid="{00000000-0005-0000-0000-000076D40000}"/>
    <cellStyle name="Percent 13 2 2 2 3 2 4" xfId="17079" xr:uid="{00000000-0005-0000-0000-000077D40000}"/>
    <cellStyle name="Percent 13 2 2 2 3 2 4 2" xfId="46085" xr:uid="{00000000-0005-0000-0000-000078D40000}"/>
    <cellStyle name="Percent 13 2 2 2 3 2 5" xfId="31586" xr:uid="{00000000-0005-0000-0000-000079D40000}"/>
    <cellStyle name="Percent 13 2 2 2 3 3" xfId="3553" xr:uid="{00000000-0005-0000-0000-00007AD40000}"/>
    <cellStyle name="Percent 13 2 2 2 3 3 2" xfId="6657" xr:uid="{00000000-0005-0000-0000-00007BD40000}"/>
    <cellStyle name="Percent 13 2 2 2 3 3 2 2" xfId="13929" xr:uid="{00000000-0005-0000-0000-00007CD40000}"/>
    <cellStyle name="Percent 13 2 2 2 3 3 2 2 2" xfId="28463" xr:uid="{00000000-0005-0000-0000-00007DD40000}"/>
    <cellStyle name="Percent 13 2 2 2 3 3 2 2 2 2" xfId="57469" xr:uid="{00000000-0005-0000-0000-00007ED40000}"/>
    <cellStyle name="Percent 13 2 2 2 3 3 2 2 3" xfId="42970" xr:uid="{00000000-0005-0000-0000-00007FD40000}"/>
    <cellStyle name="Percent 13 2 2 2 3 3 2 3" xfId="21215" xr:uid="{00000000-0005-0000-0000-000080D40000}"/>
    <cellStyle name="Percent 13 2 2 2 3 3 2 3 2" xfId="50221" xr:uid="{00000000-0005-0000-0000-000081D40000}"/>
    <cellStyle name="Percent 13 2 2 2 3 3 2 4" xfId="35722" xr:uid="{00000000-0005-0000-0000-000082D40000}"/>
    <cellStyle name="Percent 13 2 2 2 3 3 3" xfId="10825" xr:uid="{00000000-0005-0000-0000-000083D40000}"/>
    <cellStyle name="Percent 13 2 2 2 3 3 3 2" xfId="25359" xr:uid="{00000000-0005-0000-0000-000084D40000}"/>
    <cellStyle name="Percent 13 2 2 2 3 3 3 2 2" xfId="54365" xr:uid="{00000000-0005-0000-0000-000085D40000}"/>
    <cellStyle name="Percent 13 2 2 2 3 3 3 3" xfId="39866" xr:uid="{00000000-0005-0000-0000-000086D40000}"/>
    <cellStyle name="Percent 13 2 2 2 3 3 4" xfId="18111" xr:uid="{00000000-0005-0000-0000-000087D40000}"/>
    <cellStyle name="Percent 13 2 2 2 3 3 4 2" xfId="47117" xr:uid="{00000000-0005-0000-0000-000088D40000}"/>
    <cellStyle name="Percent 13 2 2 2 3 3 5" xfId="32618" xr:uid="{00000000-0005-0000-0000-000089D40000}"/>
    <cellStyle name="Percent 13 2 2 2 3 4" xfId="4585" xr:uid="{00000000-0005-0000-0000-00008AD40000}"/>
    <cellStyle name="Percent 13 2 2 2 3 4 2" xfId="11857" xr:uid="{00000000-0005-0000-0000-00008BD40000}"/>
    <cellStyle name="Percent 13 2 2 2 3 4 2 2" xfId="26391" xr:uid="{00000000-0005-0000-0000-00008CD40000}"/>
    <cellStyle name="Percent 13 2 2 2 3 4 2 2 2" xfId="55397" xr:uid="{00000000-0005-0000-0000-00008DD40000}"/>
    <cellStyle name="Percent 13 2 2 2 3 4 2 3" xfId="40898" xr:uid="{00000000-0005-0000-0000-00008ED40000}"/>
    <cellStyle name="Percent 13 2 2 2 3 4 3" xfId="19143" xr:uid="{00000000-0005-0000-0000-00008FD40000}"/>
    <cellStyle name="Percent 13 2 2 2 3 4 3 2" xfId="48149" xr:uid="{00000000-0005-0000-0000-000090D40000}"/>
    <cellStyle name="Percent 13 2 2 2 3 4 4" xfId="33650" xr:uid="{00000000-0005-0000-0000-000091D40000}"/>
    <cellStyle name="Percent 13 2 2 2 3 5" xfId="7689" xr:uid="{00000000-0005-0000-0000-000092D40000}"/>
    <cellStyle name="Percent 13 2 2 2 3 5 2" xfId="14961" xr:uid="{00000000-0005-0000-0000-000093D40000}"/>
    <cellStyle name="Percent 13 2 2 2 3 5 2 2" xfId="29495" xr:uid="{00000000-0005-0000-0000-000094D40000}"/>
    <cellStyle name="Percent 13 2 2 2 3 5 2 2 2" xfId="58501" xr:uid="{00000000-0005-0000-0000-000095D40000}"/>
    <cellStyle name="Percent 13 2 2 2 3 5 2 3" xfId="44002" xr:uid="{00000000-0005-0000-0000-000096D40000}"/>
    <cellStyle name="Percent 13 2 2 2 3 5 3" xfId="22247" xr:uid="{00000000-0005-0000-0000-000097D40000}"/>
    <cellStyle name="Percent 13 2 2 2 3 5 3 2" xfId="51253" xr:uid="{00000000-0005-0000-0000-000098D40000}"/>
    <cellStyle name="Percent 13 2 2 2 3 5 4" xfId="36754" xr:uid="{00000000-0005-0000-0000-000099D40000}"/>
    <cellStyle name="Percent 13 2 2 2 3 6" xfId="8753" xr:uid="{00000000-0005-0000-0000-00009AD40000}"/>
    <cellStyle name="Percent 13 2 2 2 3 6 2" xfId="23287" xr:uid="{00000000-0005-0000-0000-00009BD40000}"/>
    <cellStyle name="Percent 13 2 2 2 3 6 2 2" xfId="52293" xr:uid="{00000000-0005-0000-0000-00009CD40000}"/>
    <cellStyle name="Percent 13 2 2 2 3 6 3" xfId="37794" xr:uid="{00000000-0005-0000-0000-00009DD40000}"/>
    <cellStyle name="Percent 13 2 2 2 3 7" xfId="16039" xr:uid="{00000000-0005-0000-0000-00009ED40000}"/>
    <cellStyle name="Percent 13 2 2 2 3 7 2" xfId="45045" xr:uid="{00000000-0005-0000-0000-00009FD40000}"/>
    <cellStyle name="Percent 13 2 2 2 3 8" xfId="30546" xr:uid="{00000000-0005-0000-0000-0000A0D40000}"/>
    <cellStyle name="Percent 13 2 2 2 4" xfId="2009" xr:uid="{00000000-0005-0000-0000-0000A1D40000}"/>
    <cellStyle name="Percent 13 2 2 2 4 2" xfId="5113" xr:uid="{00000000-0005-0000-0000-0000A2D40000}"/>
    <cellStyle name="Percent 13 2 2 2 4 2 2" xfId="12385" xr:uid="{00000000-0005-0000-0000-0000A3D40000}"/>
    <cellStyle name="Percent 13 2 2 2 4 2 2 2" xfId="26919" xr:uid="{00000000-0005-0000-0000-0000A4D40000}"/>
    <cellStyle name="Percent 13 2 2 2 4 2 2 2 2" xfId="55925" xr:uid="{00000000-0005-0000-0000-0000A5D40000}"/>
    <cellStyle name="Percent 13 2 2 2 4 2 2 3" xfId="41426" xr:uid="{00000000-0005-0000-0000-0000A6D40000}"/>
    <cellStyle name="Percent 13 2 2 2 4 2 3" xfId="19671" xr:uid="{00000000-0005-0000-0000-0000A7D40000}"/>
    <cellStyle name="Percent 13 2 2 2 4 2 3 2" xfId="48677" xr:uid="{00000000-0005-0000-0000-0000A8D40000}"/>
    <cellStyle name="Percent 13 2 2 2 4 2 4" xfId="34178" xr:uid="{00000000-0005-0000-0000-0000A9D40000}"/>
    <cellStyle name="Percent 13 2 2 2 4 3" xfId="9281" xr:uid="{00000000-0005-0000-0000-0000AAD40000}"/>
    <cellStyle name="Percent 13 2 2 2 4 3 2" xfId="23815" xr:uid="{00000000-0005-0000-0000-0000ABD40000}"/>
    <cellStyle name="Percent 13 2 2 2 4 3 2 2" xfId="52821" xr:uid="{00000000-0005-0000-0000-0000ACD40000}"/>
    <cellStyle name="Percent 13 2 2 2 4 3 3" xfId="38322" xr:uid="{00000000-0005-0000-0000-0000ADD40000}"/>
    <cellStyle name="Percent 13 2 2 2 4 4" xfId="16567" xr:uid="{00000000-0005-0000-0000-0000AED40000}"/>
    <cellStyle name="Percent 13 2 2 2 4 4 2" xfId="45573" xr:uid="{00000000-0005-0000-0000-0000AFD40000}"/>
    <cellStyle name="Percent 13 2 2 2 4 5" xfId="31074" xr:uid="{00000000-0005-0000-0000-0000B0D40000}"/>
    <cellStyle name="Percent 13 2 2 2 5" xfId="3041" xr:uid="{00000000-0005-0000-0000-0000B1D40000}"/>
    <cellStyle name="Percent 13 2 2 2 5 2" xfId="6145" xr:uid="{00000000-0005-0000-0000-0000B2D40000}"/>
    <cellStyle name="Percent 13 2 2 2 5 2 2" xfId="13417" xr:uid="{00000000-0005-0000-0000-0000B3D40000}"/>
    <cellStyle name="Percent 13 2 2 2 5 2 2 2" xfId="27951" xr:uid="{00000000-0005-0000-0000-0000B4D40000}"/>
    <cellStyle name="Percent 13 2 2 2 5 2 2 2 2" xfId="56957" xr:uid="{00000000-0005-0000-0000-0000B5D40000}"/>
    <cellStyle name="Percent 13 2 2 2 5 2 2 3" xfId="42458" xr:uid="{00000000-0005-0000-0000-0000B6D40000}"/>
    <cellStyle name="Percent 13 2 2 2 5 2 3" xfId="20703" xr:uid="{00000000-0005-0000-0000-0000B7D40000}"/>
    <cellStyle name="Percent 13 2 2 2 5 2 3 2" xfId="49709" xr:uid="{00000000-0005-0000-0000-0000B8D40000}"/>
    <cellStyle name="Percent 13 2 2 2 5 2 4" xfId="35210" xr:uid="{00000000-0005-0000-0000-0000B9D40000}"/>
    <cellStyle name="Percent 13 2 2 2 5 3" xfId="10313" xr:uid="{00000000-0005-0000-0000-0000BAD40000}"/>
    <cellStyle name="Percent 13 2 2 2 5 3 2" xfId="24847" xr:uid="{00000000-0005-0000-0000-0000BBD40000}"/>
    <cellStyle name="Percent 13 2 2 2 5 3 2 2" xfId="53853" xr:uid="{00000000-0005-0000-0000-0000BCD40000}"/>
    <cellStyle name="Percent 13 2 2 2 5 3 3" xfId="39354" xr:uid="{00000000-0005-0000-0000-0000BDD40000}"/>
    <cellStyle name="Percent 13 2 2 2 5 4" xfId="17599" xr:uid="{00000000-0005-0000-0000-0000BED40000}"/>
    <cellStyle name="Percent 13 2 2 2 5 4 2" xfId="46605" xr:uid="{00000000-0005-0000-0000-0000BFD40000}"/>
    <cellStyle name="Percent 13 2 2 2 5 5" xfId="32106" xr:uid="{00000000-0005-0000-0000-0000C0D40000}"/>
    <cellStyle name="Percent 13 2 2 2 6" xfId="4073" xr:uid="{00000000-0005-0000-0000-0000C1D40000}"/>
    <cellStyle name="Percent 13 2 2 2 6 2" xfId="11345" xr:uid="{00000000-0005-0000-0000-0000C2D40000}"/>
    <cellStyle name="Percent 13 2 2 2 6 2 2" xfId="25879" xr:uid="{00000000-0005-0000-0000-0000C3D40000}"/>
    <cellStyle name="Percent 13 2 2 2 6 2 2 2" xfId="54885" xr:uid="{00000000-0005-0000-0000-0000C4D40000}"/>
    <cellStyle name="Percent 13 2 2 2 6 2 3" xfId="40386" xr:uid="{00000000-0005-0000-0000-0000C5D40000}"/>
    <cellStyle name="Percent 13 2 2 2 6 3" xfId="18631" xr:uid="{00000000-0005-0000-0000-0000C6D40000}"/>
    <cellStyle name="Percent 13 2 2 2 6 3 2" xfId="47637" xr:uid="{00000000-0005-0000-0000-0000C7D40000}"/>
    <cellStyle name="Percent 13 2 2 2 6 4" xfId="33138" xr:uid="{00000000-0005-0000-0000-0000C8D40000}"/>
    <cellStyle name="Percent 13 2 2 2 7" xfId="7177" xr:uid="{00000000-0005-0000-0000-0000C9D40000}"/>
    <cellStyle name="Percent 13 2 2 2 7 2" xfId="14449" xr:uid="{00000000-0005-0000-0000-0000CAD40000}"/>
    <cellStyle name="Percent 13 2 2 2 7 2 2" xfId="28983" xr:uid="{00000000-0005-0000-0000-0000CBD40000}"/>
    <cellStyle name="Percent 13 2 2 2 7 2 2 2" xfId="57989" xr:uid="{00000000-0005-0000-0000-0000CCD40000}"/>
    <cellStyle name="Percent 13 2 2 2 7 2 3" xfId="43490" xr:uid="{00000000-0005-0000-0000-0000CDD40000}"/>
    <cellStyle name="Percent 13 2 2 2 7 3" xfId="21735" xr:uid="{00000000-0005-0000-0000-0000CED40000}"/>
    <cellStyle name="Percent 13 2 2 2 7 3 2" xfId="50741" xr:uid="{00000000-0005-0000-0000-0000CFD40000}"/>
    <cellStyle name="Percent 13 2 2 2 7 4" xfId="36242" xr:uid="{00000000-0005-0000-0000-0000D0D40000}"/>
    <cellStyle name="Percent 13 2 2 2 8" xfId="8241" xr:uid="{00000000-0005-0000-0000-0000D1D40000}"/>
    <cellStyle name="Percent 13 2 2 2 8 2" xfId="22775" xr:uid="{00000000-0005-0000-0000-0000D2D40000}"/>
    <cellStyle name="Percent 13 2 2 2 8 2 2" xfId="51781" xr:uid="{00000000-0005-0000-0000-0000D3D40000}"/>
    <cellStyle name="Percent 13 2 2 2 8 3" xfId="37282" xr:uid="{00000000-0005-0000-0000-0000D4D40000}"/>
    <cellStyle name="Percent 13 2 2 2 9" xfId="15527" xr:uid="{00000000-0005-0000-0000-0000D5D40000}"/>
    <cellStyle name="Percent 13 2 2 2 9 2" xfId="44533" xr:uid="{00000000-0005-0000-0000-0000D6D40000}"/>
    <cellStyle name="Percent 13 2 2 3" xfId="1165" xr:uid="{00000000-0005-0000-0000-0000D7D40000}"/>
    <cellStyle name="Percent 13 2 2 3 2" xfId="1665" xr:uid="{00000000-0005-0000-0000-0000D8D40000}"/>
    <cellStyle name="Percent 13 2 2 3 2 2" xfId="2724" xr:uid="{00000000-0005-0000-0000-0000D9D40000}"/>
    <cellStyle name="Percent 13 2 2 3 2 2 2" xfId="5828" xr:uid="{00000000-0005-0000-0000-0000DAD40000}"/>
    <cellStyle name="Percent 13 2 2 3 2 2 2 2" xfId="13100" xr:uid="{00000000-0005-0000-0000-0000DBD40000}"/>
    <cellStyle name="Percent 13 2 2 3 2 2 2 2 2" xfId="27634" xr:uid="{00000000-0005-0000-0000-0000DCD40000}"/>
    <cellStyle name="Percent 13 2 2 3 2 2 2 2 2 2" xfId="56640" xr:uid="{00000000-0005-0000-0000-0000DDD40000}"/>
    <cellStyle name="Percent 13 2 2 3 2 2 2 2 3" xfId="42141" xr:uid="{00000000-0005-0000-0000-0000DED40000}"/>
    <cellStyle name="Percent 13 2 2 3 2 2 2 3" xfId="20386" xr:uid="{00000000-0005-0000-0000-0000DFD40000}"/>
    <cellStyle name="Percent 13 2 2 3 2 2 2 3 2" xfId="49392" xr:uid="{00000000-0005-0000-0000-0000E0D40000}"/>
    <cellStyle name="Percent 13 2 2 3 2 2 2 4" xfId="34893" xr:uid="{00000000-0005-0000-0000-0000E1D40000}"/>
    <cellStyle name="Percent 13 2 2 3 2 2 3" xfId="9996" xr:uid="{00000000-0005-0000-0000-0000E2D40000}"/>
    <cellStyle name="Percent 13 2 2 3 2 2 3 2" xfId="24530" xr:uid="{00000000-0005-0000-0000-0000E3D40000}"/>
    <cellStyle name="Percent 13 2 2 3 2 2 3 2 2" xfId="53536" xr:uid="{00000000-0005-0000-0000-0000E4D40000}"/>
    <cellStyle name="Percent 13 2 2 3 2 2 3 3" xfId="39037" xr:uid="{00000000-0005-0000-0000-0000E5D40000}"/>
    <cellStyle name="Percent 13 2 2 3 2 2 4" xfId="17282" xr:uid="{00000000-0005-0000-0000-0000E6D40000}"/>
    <cellStyle name="Percent 13 2 2 3 2 2 4 2" xfId="46288" xr:uid="{00000000-0005-0000-0000-0000E7D40000}"/>
    <cellStyle name="Percent 13 2 2 3 2 2 5" xfId="31789" xr:uid="{00000000-0005-0000-0000-0000E8D40000}"/>
    <cellStyle name="Percent 13 2 2 3 2 3" xfId="3756" xr:uid="{00000000-0005-0000-0000-0000E9D40000}"/>
    <cellStyle name="Percent 13 2 2 3 2 3 2" xfId="6860" xr:uid="{00000000-0005-0000-0000-0000EAD40000}"/>
    <cellStyle name="Percent 13 2 2 3 2 3 2 2" xfId="14132" xr:uid="{00000000-0005-0000-0000-0000EBD40000}"/>
    <cellStyle name="Percent 13 2 2 3 2 3 2 2 2" xfId="28666" xr:uid="{00000000-0005-0000-0000-0000ECD40000}"/>
    <cellStyle name="Percent 13 2 2 3 2 3 2 2 2 2" xfId="57672" xr:uid="{00000000-0005-0000-0000-0000EDD40000}"/>
    <cellStyle name="Percent 13 2 2 3 2 3 2 2 3" xfId="43173" xr:uid="{00000000-0005-0000-0000-0000EED40000}"/>
    <cellStyle name="Percent 13 2 2 3 2 3 2 3" xfId="21418" xr:uid="{00000000-0005-0000-0000-0000EFD40000}"/>
    <cellStyle name="Percent 13 2 2 3 2 3 2 3 2" xfId="50424" xr:uid="{00000000-0005-0000-0000-0000F0D40000}"/>
    <cellStyle name="Percent 13 2 2 3 2 3 2 4" xfId="35925" xr:uid="{00000000-0005-0000-0000-0000F1D40000}"/>
    <cellStyle name="Percent 13 2 2 3 2 3 3" xfId="11028" xr:uid="{00000000-0005-0000-0000-0000F2D40000}"/>
    <cellStyle name="Percent 13 2 2 3 2 3 3 2" xfId="25562" xr:uid="{00000000-0005-0000-0000-0000F3D40000}"/>
    <cellStyle name="Percent 13 2 2 3 2 3 3 2 2" xfId="54568" xr:uid="{00000000-0005-0000-0000-0000F4D40000}"/>
    <cellStyle name="Percent 13 2 2 3 2 3 3 3" xfId="40069" xr:uid="{00000000-0005-0000-0000-0000F5D40000}"/>
    <cellStyle name="Percent 13 2 2 3 2 3 4" xfId="18314" xr:uid="{00000000-0005-0000-0000-0000F6D40000}"/>
    <cellStyle name="Percent 13 2 2 3 2 3 4 2" xfId="47320" xr:uid="{00000000-0005-0000-0000-0000F7D40000}"/>
    <cellStyle name="Percent 13 2 2 3 2 3 5" xfId="32821" xr:uid="{00000000-0005-0000-0000-0000F8D40000}"/>
    <cellStyle name="Percent 13 2 2 3 2 4" xfId="4788" xr:uid="{00000000-0005-0000-0000-0000F9D40000}"/>
    <cellStyle name="Percent 13 2 2 3 2 4 2" xfId="12060" xr:uid="{00000000-0005-0000-0000-0000FAD40000}"/>
    <cellStyle name="Percent 13 2 2 3 2 4 2 2" xfId="26594" xr:uid="{00000000-0005-0000-0000-0000FBD40000}"/>
    <cellStyle name="Percent 13 2 2 3 2 4 2 2 2" xfId="55600" xr:uid="{00000000-0005-0000-0000-0000FCD40000}"/>
    <cellStyle name="Percent 13 2 2 3 2 4 2 3" xfId="41101" xr:uid="{00000000-0005-0000-0000-0000FDD40000}"/>
    <cellStyle name="Percent 13 2 2 3 2 4 3" xfId="19346" xr:uid="{00000000-0005-0000-0000-0000FED40000}"/>
    <cellStyle name="Percent 13 2 2 3 2 4 3 2" xfId="48352" xr:uid="{00000000-0005-0000-0000-0000FFD40000}"/>
    <cellStyle name="Percent 13 2 2 3 2 4 4" xfId="33853" xr:uid="{00000000-0005-0000-0000-000000D50000}"/>
    <cellStyle name="Percent 13 2 2 3 2 5" xfId="7892" xr:uid="{00000000-0005-0000-0000-000001D50000}"/>
    <cellStyle name="Percent 13 2 2 3 2 5 2" xfId="15164" xr:uid="{00000000-0005-0000-0000-000002D50000}"/>
    <cellStyle name="Percent 13 2 2 3 2 5 2 2" xfId="29698" xr:uid="{00000000-0005-0000-0000-000003D50000}"/>
    <cellStyle name="Percent 13 2 2 3 2 5 2 2 2" xfId="58704" xr:uid="{00000000-0005-0000-0000-000004D50000}"/>
    <cellStyle name="Percent 13 2 2 3 2 5 2 3" xfId="44205" xr:uid="{00000000-0005-0000-0000-000005D50000}"/>
    <cellStyle name="Percent 13 2 2 3 2 5 3" xfId="22450" xr:uid="{00000000-0005-0000-0000-000006D50000}"/>
    <cellStyle name="Percent 13 2 2 3 2 5 3 2" xfId="51456" xr:uid="{00000000-0005-0000-0000-000007D50000}"/>
    <cellStyle name="Percent 13 2 2 3 2 5 4" xfId="36957" xr:uid="{00000000-0005-0000-0000-000008D50000}"/>
    <cellStyle name="Percent 13 2 2 3 2 6" xfId="8956" xr:uid="{00000000-0005-0000-0000-000009D50000}"/>
    <cellStyle name="Percent 13 2 2 3 2 6 2" xfId="23490" xr:uid="{00000000-0005-0000-0000-00000AD50000}"/>
    <cellStyle name="Percent 13 2 2 3 2 6 2 2" xfId="52496" xr:uid="{00000000-0005-0000-0000-00000BD50000}"/>
    <cellStyle name="Percent 13 2 2 3 2 6 3" xfId="37997" xr:uid="{00000000-0005-0000-0000-00000CD50000}"/>
    <cellStyle name="Percent 13 2 2 3 2 7" xfId="16242" xr:uid="{00000000-0005-0000-0000-00000DD50000}"/>
    <cellStyle name="Percent 13 2 2 3 2 7 2" xfId="45248" xr:uid="{00000000-0005-0000-0000-00000ED50000}"/>
    <cellStyle name="Percent 13 2 2 3 2 8" xfId="30749" xr:uid="{00000000-0005-0000-0000-00000FD50000}"/>
    <cellStyle name="Percent 13 2 2 3 3" xfId="2212" xr:uid="{00000000-0005-0000-0000-000010D50000}"/>
    <cellStyle name="Percent 13 2 2 3 3 2" xfId="5316" xr:uid="{00000000-0005-0000-0000-000011D50000}"/>
    <cellStyle name="Percent 13 2 2 3 3 2 2" xfId="12588" xr:uid="{00000000-0005-0000-0000-000012D50000}"/>
    <cellStyle name="Percent 13 2 2 3 3 2 2 2" xfId="27122" xr:uid="{00000000-0005-0000-0000-000013D50000}"/>
    <cellStyle name="Percent 13 2 2 3 3 2 2 2 2" xfId="56128" xr:uid="{00000000-0005-0000-0000-000014D50000}"/>
    <cellStyle name="Percent 13 2 2 3 3 2 2 3" xfId="41629" xr:uid="{00000000-0005-0000-0000-000015D50000}"/>
    <cellStyle name="Percent 13 2 2 3 3 2 3" xfId="19874" xr:uid="{00000000-0005-0000-0000-000016D50000}"/>
    <cellStyle name="Percent 13 2 2 3 3 2 3 2" xfId="48880" xr:uid="{00000000-0005-0000-0000-000017D50000}"/>
    <cellStyle name="Percent 13 2 2 3 3 2 4" xfId="34381" xr:uid="{00000000-0005-0000-0000-000018D50000}"/>
    <cellStyle name="Percent 13 2 2 3 3 3" xfId="9484" xr:uid="{00000000-0005-0000-0000-000019D50000}"/>
    <cellStyle name="Percent 13 2 2 3 3 3 2" xfId="24018" xr:uid="{00000000-0005-0000-0000-00001AD50000}"/>
    <cellStyle name="Percent 13 2 2 3 3 3 2 2" xfId="53024" xr:uid="{00000000-0005-0000-0000-00001BD50000}"/>
    <cellStyle name="Percent 13 2 2 3 3 3 3" xfId="38525" xr:uid="{00000000-0005-0000-0000-00001CD50000}"/>
    <cellStyle name="Percent 13 2 2 3 3 4" xfId="16770" xr:uid="{00000000-0005-0000-0000-00001DD50000}"/>
    <cellStyle name="Percent 13 2 2 3 3 4 2" xfId="45776" xr:uid="{00000000-0005-0000-0000-00001ED50000}"/>
    <cellStyle name="Percent 13 2 2 3 3 5" xfId="31277" xr:uid="{00000000-0005-0000-0000-00001FD50000}"/>
    <cellStyle name="Percent 13 2 2 3 4" xfId="3244" xr:uid="{00000000-0005-0000-0000-000020D50000}"/>
    <cellStyle name="Percent 13 2 2 3 4 2" xfId="6348" xr:uid="{00000000-0005-0000-0000-000021D50000}"/>
    <cellStyle name="Percent 13 2 2 3 4 2 2" xfId="13620" xr:uid="{00000000-0005-0000-0000-000022D50000}"/>
    <cellStyle name="Percent 13 2 2 3 4 2 2 2" xfId="28154" xr:uid="{00000000-0005-0000-0000-000023D50000}"/>
    <cellStyle name="Percent 13 2 2 3 4 2 2 2 2" xfId="57160" xr:uid="{00000000-0005-0000-0000-000024D50000}"/>
    <cellStyle name="Percent 13 2 2 3 4 2 2 3" xfId="42661" xr:uid="{00000000-0005-0000-0000-000025D50000}"/>
    <cellStyle name="Percent 13 2 2 3 4 2 3" xfId="20906" xr:uid="{00000000-0005-0000-0000-000026D50000}"/>
    <cellStyle name="Percent 13 2 2 3 4 2 3 2" xfId="49912" xr:uid="{00000000-0005-0000-0000-000027D50000}"/>
    <cellStyle name="Percent 13 2 2 3 4 2 4" xfId="35413" xr:uid="{00000000-0005-0000-0000-000028D50000}"/>
    <cellStyle name="Percent 13 2 2 3 4 3" xfId="10516" xr:uid="{00000000-0005-0000-0000-000029D50000}"/>
    <cellStyle name="Percent 13 2 2 3 4 3 2" xfId="25050" xr:uid="{00000000-0005-0000-0000-00002AD50000}"/>
    <cellStyle name="Percent 13 2 2 3 4 3 2 2" xfId="54056" xr:uid="{00000000-0005-0000-0000-00002BD50000}"/>
    <cellStyle name="Percent 13 2 2 3 4 3 3" xfId="39557" xr:uid="{00000000-0005-0000-0000-00002CD50000}"/>
    <cellStyle name="Percent 13 2 2 3 4 4" xfId="17802" xr:uid="{00000000-0005-0000-0000-00002DD50000}"/>
    <cellStyle name="Percent 13 2 2 3 4 4 2" xfId="46808" xr:uid="{00000000-0005-0000-0000-00002ED50000}"/>
    <cellStyle name="Percent 13 2 2 3 4 5" xfId="32309" xr:uid="{00000000-0005-0000-0000-00002FD50000}"/>
    <cellStyle name="Percent 13 2 2 3 5" xfId="4276" xr:uid="{00000000-0005-0000-0000-000030D50000}"/>
    <cellStyle name="Percent 13 2 2 3 5 2" xfId="11548" xr:uid="{00000000-0005-0000-0000-000031D50000}"/>
    <cellStyle name="Percent 13 2 2 3 5 2 2" xfId="26082" xr:uid="{00000000-0005-0000-0000-000032D50000}"/>
    <cellStyle name="Percent 13 2 2 3 5 2 2 2" xfId="55088" xr:uid="{00000000-0005-0000-0000-000033D50000}"/>
    <cellStyle name="Percent 13 2 2 3 5 2 3" xfId="40589" xr:uid="{00000000-0005-0000-0000-000034D50000}"/>
    <cellStyle name="Percent 13 2 2 3 5 3" xfId="18834" xr:uid="{00000000-0005-0000-0000-000035D50000}"/>
    <cellStyle name="Percent 13 2 2 3 5 3 2" xfId="47840" xr:uid="{00000000-0005-0000-0000-000036D50000}"/>
    <cellStyle name="Percent 13 2 2 3 5 4" xfId="33341" xr:uid="{00000000-0005-0000-0000-000037D50000}"/>
    <cellStyle name="Percent 13 2 2 3 6" xfId="7380" xr:uid="{00000000-0005-0000-0000-000038D50000}"/>
    <cellStyle name="Percent 13 2 2 3 6 2" xfId="14652" xr:uid="{00000000-0005-0000-0000-000039D50000}"/>
    <cellStyle name="Percent 13 2 2 3 6 2 2" xfId="29186" xr:uid="{00000000-0005-0000-0000-00003AD50000}"/>
    <cellStyle name="Percent 13 2 2 3 6 2 2 2" xfId="58192" xr:uid="{00000000-0005-0000-0000-00003BD50000}"/>
    <cellStyle name="Percent 13 2 2 3 6 2 3" xfId="43693" xr:uid="{00000000-0005-0000-0000-00003CD50000}"/>
    <cellStyle name="Percent 13 2 2 3 6 3" xfId="21938" xr:uid="{00000000-0005-0000-0000-00003DD50000}"/>
    <cellStyle name="Percent 13 2 2 3 6 3 2" xfId="50944" xr:uid="{00000000-0005-0000-0000-00003ED50000}"/>
    <cellStyle name="Percent 13 2 2 3 6 4" xfId="36445" xr:uid="{00000000-0005-0000-0000-00003FD50000}"/>
    <cellStyle name="Percent 13 2 2 3 7" xfId="8444" xr:uid="{00000000-0005-0000-0000-000040D50000}"/>
    <cellStyle name="Percent 13 2 2 3 7 2" xfId="22978" xr:uid="{00000000-0005-0000-0000-000041D50000}"/>
    <cellStyle name="Percent 13 2 2 3 7 2 2" xfId="51984" xr:uid="{00000000-0005-0000-0000-000042D50000}"/>
    <cellStyle name="Percent 13 2 2 3 7 3" xfId="37485" xr:uid="{00000000-0005-0000-0000-000043D50000}"/>
    <cellStyle name="Percent 13 2 2 3 8" xfId="15730" xr:uid="{00000000-0005-0000-0000-000044D50000}"/>
    <cellStyle name="Percent 13 2 2 3 8 2" xfId="44736" xr:uid="{00000000-0005-0000-0000-000045D50000}"/>
    <cellStyle name="Percent 13 2 2 3 9" xfId="30237" xr:uid="{00000000-0005-0000-0000-000046D50000}"/>
    <cellStyle name="Percent 13 2 2 4" xfId="1075" xr:uid="{00000000-0005-0000-0000-000047D50000}"/>
    <cellStyle name="Percent 13 2 2 4 2" xfId="1566" xr:uid="{00000000-0005-0000-0000-000048D50000}"/>
    <cellStyle name="Percent 13 2 2 4 2 2" xfId="2624" xr:uid="{00000000-0005-0000-0000-000049D50000}"/>
    <cellStyle name="Percent 13 2 2 4 2 2 2" xfId="5728" xr:uid="{00000000-0005-0000-0000-00004AD50000}"/>
    <cellStyle name="Percent 13 2 2 4 2 2 2 2" xfId="13000" xr:uid="{00000000-0005-0000-0000-00004BD50000}"/>
    <cellStyle name="Percent 13 2 2 4 2 2 2 2 2" xfId="27534" xr:uid="{00000000-0005-0000-0000-00004CD50000}"/>
    <cellStyle name="Percent 13 2 2 4 2 2 2 2 2 2" xfId="56540" xr:uid="{00000000-0005-0000-0000-00004DD50000}"/>
    <cellStyle name="Percent 13 2 2 4 2 2 2 2 3" xfId="42041" xr:uid="{00000000-0005-0000-0000-00004ED50000}"/>
    <cellStyle name="Percent 13 2 2 4 2 2 2 3" xfId="20286" xr:uid="{00000000-0005-0000-0000-00004FD50000}"/>
    <cellStyle name="Percent 13 2 2 4 2 2 2 3 2" xfId="49292" xr:uid="{00000000-0005-0000-0000-000050D50000}"/>
    <cellStyle name="Percent 13 2 2 4 2 2 2 4" xfId="34793" xr:uid="{00000000-0005-0000-0000-000051D50000}"/>
    <cellStyle name="Percent 13 2 2 4 2 2 3" xfId="9896" xr:uid="{00000000-0005-0000-0000-000052D50000}"/>
    <cellStyle name="Percent 13 2 2 4 2 2 3 2" xfId="24430" xr:uid="{00000000-0005-0000-0000-000053D50000}"/>
    <cellStyle name="Percent 13 2 2 4 2 2 3 2 2" xfId="53436" xr:uid="{00000000-0005-0000-0000-000054D50000}"/>
    <cellStyle name="Percent 13 2 2 4 2 2 3 3" xfId="38937" xr:uid="{00000000-0005-0000-0000-000055D50000}"/>
    <cellStyle name="Percent 13 2 2 4 2 2 4" xfId="17182" xr:uid="{00000000-0005-0000-0000-000056D50000}"/>
    <cellStyle name="Percent 13 2 2 4 2 2 4 2" xfId="46188" xr:uid="{00000000-0005-0000-0000-000057D50000}"/>
    <cellStyle name="Percent 13 2 2 4 2 2 5" xfId="31689" xr:uid="{00000000-0005-0000-0000-000058D50000}"/>
    <cellStyle name="Percent 13 2 2 4 2 3" xfId="3656" xr:uid="{00000000-0005-0000-0000-000059D50000}"/>
    <cellStyle name="Percent 13 2 2 4 2 3 2" xfId="6760" xr:uid="{00000000-0005-0000-0000-00005AD50000}"/>
    <cellStyle name="Percent 13 2 2 4 2 3 2 2" xfId="14032" xr:uid="{00000000-0005-0000-0000-00005BD50000}"/>
    <cellStyle name="Percent 13 2 2 4 2 3 2 2 2" xfId="28566" xr:uid="{00000000-0005-0000-0000-00005CD50000}"/>
    <cellStyle name="Percent 13 2 2 4 2 3 2 2 2 2" xfId="57572" xr:uid="{00000000-0005-0000-0000-00005DD50000}"/>
    <cellStyle name="Percent 13 2 2 4 2 3 2 2 3" xfId="43073" xr:uid="{00000000-0005-0000-0000-00005ED50000}"/>
    <cellStyle name="Percent 13 2 2 4 2 3 2 3" xfId="21318" xr:uid="{00000000-0005-0000-0000-00005FD50000}"/>
    <cellStyle name="Percent 13 2 2 4 2 3 2 3 2" xfId="50324" xr:uid="{00000000-0005-0000-0000-000060D50000}"/>
    <cellStyle name="Percent 13 2 2 4 2 3 2 4" xfId="35825" xr:uid="{00000000-0005-0000-0000-000061D50000}"/>
    <cellStyle name="Percent 13 2 2 4 2 3 3" xfId="10928" xr:uid="{00000000-0005-0000-0000-000062D50000}"/>
    <cellStyle name="Percent 13 2 2 4 2 3 3 2" xfId="25462" xr:uid="{00000000-0005-0000-0000-000063D50000}"/>
    <cellStyle name="Percent 13 2 2 4 2 3 3 2 2" xfId="54468" xr:uid="{00000000-0005-0000-0000-000064D50000}"/>
    <cellStyle name="Percent 13 2 2 4 2 3 3 3" xfId="39969" xr:uid="{00000000-0005-0000-0000-000065D50000}"/>
    <cellStyle name="Percent 13 2 2 4 2 3 4" xfId="18214" xr:uid="{00000000-0005-0000-0000-000066D50000}"/>
    <cellStyle name="Percent 13 2 2 4 2 3 4 2" xfId="47220" xr:uid="{00000000-0005-0000-0000-000067D50000}"/>
    <cellStyle name="Percent 13 2 2 4 2 3 5" xfId="32721" xr:uid="{00000000-0005-0000-0000-000068D50000}"/>
    <cellStyle name="Percent 13 2 2 4 2 4" xfId="4688" xr:uid="{00000000-0005-0000-0000-000069D50000}"/>
    <cellStyle name="Percent 13 2 2 4 2 4 2" xfId="11960" xr:uid="{00000000-0005-0000-0000-00006AD50000}"/>
    <cellStyle name="Percent 13 2 2 4 2 4 2 2" xfId="26494" xr:uid="{00000000-0005-0000-0000-00006BD50000}"/>
    <cellStyle name="Percent 13 2 2 4 2 4 2 2 2" xfId="55500" xr:uid="{00000000-0005-0000-0000-00006CD50000}"/>
    <cellStyle name="Percent 13 2 2 4 2 4 2 3" xfId="41001" xr:uid="{00000000-0005-0000-0000-00006DD50000}"/>
    <cellStyle name="Percent 13 2 2 4 2 4 3" xfId="19246" xr:uid="{00000000-0005-0000-0000-00006ED50000}"/>
    <cellStyle name="Percent 13 2 2 4 2 4 3 2" xfId="48252" xr:uid="{00000000-0005-0000-0000-00006FD50000}"/>
    <cellStyle name="Percent 13 2 2 4 2 4 4" xfId="33753" xr:uid="{00000000-0005-0000-0000-000070D50000}"/>
    <cellStyle name="Percent 13 2 2 4 2 5" xfId="7792" xr:uid="{00000000-0005-0000-0000-000071D50000}"/>
    <cellStyle name="Percent 13 2 2 4 2 5 2" xfId="15064" xr:uid="{00000000-0005-0000-0000-000072D50000}"/>
    <cellStyle name="Percent 13 2 2 4 2 5 2 2" xfId="29598" xr:uid="{00000000-0005-0000-0000-000073D50000}"/>
    <cellStyle name="Percent 13 2 2 4 2 5 2 2 2" xfId="58604" xr:uid="{00000000-0005-0000-0000-000074D50000}"/>
    <cellStyle name="Percent 13 2 2 4 2 5 2 3" xfId="44105" xr:uid="{00000000-0005-0000-0000-000075D50000}"/>
    <cellStyle name="Percent 13 2 2 4 2 5 3" xfId="22350" xr:uid="{00000000-0005-0000-0000-000076D50000}"/>
    <cellStyle name="Percent 13 2 2 4 2 5 3 2" xfId="51356" xr:uid="{00000000-0005-0000-0000-000077D50000}"/>
    <cellStyle name="Percent 13 2 2 4 2 5 4" xfId="36857" xr:uid="{00000000-0005-0000-0000-000078D50000}"/>
    <cellStyle name="Percent 13 2 2 4 2 6" xfId="8856" xr:uid="{00000000-0005-0000-0000-000079D50000}"/>
    <cellStyle name="Percent 13 2 2 4 2 6 2" xfId="23390" xr:uid="{00000000-0005-0000-0000-00007AD50000}"/>
    <cellStyle name="Percent 13 2 2 4 2 6 2 2" xfId="52396" xr:uid="{00000000-0005-0000-0000-00007BD50000}"/>
    <cellStyle name="Percent 13 2 2 4 2 6 3" xfId="37897" xr:uid="{00000000-0005-0000-0000-00007CD50000}"/>
    <cellStyle name="Percent 13 2 2 4 2 7" xfId="16142" xr:uid="{00000000-0005-0000-0000-00007DD50000}"/>
    <cellStyle name="Percent 13 2 2 4 2 7 2" xfId="45148" xr:uid="{00000000-0005-0000-0000-00007ED50000}"/>
    <cellStyle name="Percent 13 2 2 4 2 8" xfId="30649" xr:uid="{00000000-0005-0000-0000-00007FD50000}"/>
    <cellStyle name="Percent 13 2 2 4 3" xfId="2112" xr:uid="{00000000-0005-0000-0000-000080D50000}"/>
    <cellStyle name="Percent 13 2 2 4 3 2" xfId="5216" xr:uid="{00000000-0005-0000-0000-000081D50000}"/>
    <cellStyle name="Percent 13 2 2 4 3 2 2" xfId="12488" xr:uid="{00000000-0005-0000-0000-000082D50000}"/>
    <cellStyle name="Percent 13 2 2 4 3 2 2 2" xfId="27022" xr:uid="{00000000-0005-0000-0000-000083D50000}"/>
    <cellStyle name="Percent 13 2 2 4 3 2 2 2 2" xfId="56028" xr:uid="{00000000-0005-0000-0000-000084D50000}"/>
    <cellStyle name="Percent 13 2 2 4 3 2 2 3" xfId="41529" xr:uid="{00000000-0005-0000-0000-000085D50000}"/>
    <cellStyle name="Percent 13 2 2 4 3 2 3" xfId="19774" xr:uid="{00000000-0005-0000-0000-000086D50000}"/>
    <cellStyle name="Percent 13 2 2 4 3 2 3 2" xfId="48780" xr:uid="{00000000-0005-0000-0000-000087D50000}"/>
    <cellStyle name="Percent 13 2 2 4 3 2 4" xfId="34281" xr:uid="{00000000-0005-0000-0000-000088D50000}"/>
    <cellStyle name="Percent 13 2 2 4 3 3" xfId="9384" xr:uid="{00000000-0005-0000-0000-000089D50000}"/>
    <cellStyle name="Percent 13 2 2 4 3 3 2" xfId="23918" xr:uid="{00000000-0005-0000-0000-00008AD50000}"/>
    <cellStyle name="Percent 13 2 2 4 3 3 2 2" xfId="52924" xr:uid="{00000000-0005-0000-0000-00008BD50000}"/>
    <cellStyle name="Percent 13 2 2 4 3 3 3" xfId="38425" xr:uid="{00000000-0005-0000-0000-00008CD50000}"/>
    <cellStyle name="Percent 13 2 2 4 3 4" xfId="16670" xr:uid="{00000000-0005-0000-0000-00008DD50000}"/>
    <cellStyle name="Percent 13 2 2 4 3 4 2" xfId="45676" xr:uid="{00000000-0005-0000-0000-00008ED50000}"/>
    <cellStyle name="Percent 13 2 2 4 3 5" xfId="31177" xr:uid="{00000000-0005-0000-0000-00008FD50000}"/>
    <cellStyle name="Percent 13 2 2 4 4" xfId="3144" xr:uid="{00000000-0005-0000-0000-000090D50000}"/>
    <cellStyle name="Percent 13 2 2 4 4 2" xfId="6248" xr:uid="{00000000-0005-0000-0000-000091D50000}"/>
    <cellStyle name="Percent 13 2 2 4 4 2 2" xfId="13520" xr:uid="{00000000-0005-0000-0000-000092D50000}"/>
    <cellStyle name="Percent 13 2 2 4 4 2 2 2" xfId="28054" xr:uid="{00000000-0005-0000-0000-000093D50000}"/>
    <cellStyle name="Percent 13 2 2 4 4 2 2 2 2" xfId="57060" xr:uid="{00000000-0005-0000-0000-000094D50000}"/>
    <cellStyle name="Percent 13 2 2 4 4 2 2 3" xfId="42561" xr:uid="{00000000-0005-0000-0000-000095D50000}"/>
    <cellStyle name="Percent 13 2 2 4 4 2 3" xfId="20806" xr:uid="{00000000-0005-0000-0000-000096D50000}"/>
    <cellStyle name="Percent 13 2 2 4 4 2 3 2" xfId="49812" xr:uid="{00000000-0005-0000-0000-000097D50000}"/>
    <cellStyle name="Percent 13 2 2 4 4 2 4" xfId="35313" xr:uid="{00000000-0005-0000-0000-000098D50000}"/>
    <cellStyle name="Percent 13 2 2 4 4 3" xfId="10416" xr:uid="{00000000-0005-0000-0000-000099D50000}"/>
    <cellStyle name="Percent 13 2 2 4 4 3 2" xfId="24950" xr:uid="{00000000-0005-0000-0000-00009AD50000}"/>
    <cellStyle name="Percent 13 2 2 4 4 3 2 2" xfId="53956" xr:uid="{00000000-0005-0000-0000-00009BD50000}"/>
    <cellStyle name="Percent 13 2 2 4 4 3 3" xfId="39457" xr:uid="{00000000-0005-0000-0000-00009CD50000}"/>
    <cellStyle name="Percent 13 2 2 4 4 4" xfId="17702" xr:uid="{00000000-0005-0000-0000-00009DD50000}"/>
    <cellStyle name="Percent 13 2 2 4 4 4 2" xfId="46708" xr:uid="{00000000-0005-0000-0000-00009ED50000}"/>
    <cellStyle name="Percent 13 2 2 4 4 5" xfId="32209" xr:uid="{00000000-0005-0000-0000-00009FD50000}"/>
    <cellStyle name="Percent 13 2 2 4 5" xfId="4176" xr:uid="{00000000-0005-0000-0000-0000A0D50000}"/>
    <cellStyle name="Percent 13 2 2 4 5 2" xfId="11448" xr:uid="{00000000-0005-0000-0000-0000A1D50000}"/>
    <cellStyle name="Percent 13 2 2 4 5 2 2" xfId="25982" xr:uid="{00000000-0005-0000-0000-0000A2D50000}"/>
    <cellStyle name="Percent 13 2 2 4 5 2 2 2" xfId="54988" xr:uid="{00000000-0005-0000-0000-0000A3D50000}"/>
    <cellStyle name="Percent 13 2 2 4 5 2 3" xfId="40489" xr:uid="{00000000-0005-0000-0000-0000A4D50000}"/>
    <cellStyle name="Percent 13 2 2 4 5 3" xfId="18734" xr:uid="{00000000-0005-0000-0000-0000A5D50000}"/>
    <cellStyle name="Percent 13 2 2 4 5 3 2" xfId="47740" xr:uid="{00000000-0005-0000-0000-0000A6D50000}"/>
    <cellStyle name="Percent 13 2 2 4 5 4" xfId="33241" xr:uid="{00000000-0005-0000-0000-0000A7D50000}"/>
    <cellStyle name="Percent 13 2 2 4 6" xfId="7280" xr:uid="{00000000-0005-0000-0000-0000A8D50000}"/>
    <cellStyle name="Percent 13 2 2 4 6 2" xfId="14552" xr:uid="{00000000-0005-0000-0000-0000A9D50000}"/>
    <cellStyle name="Percent 13 2 2 4 6 2 2" xfId="29086" xr:uid="{00000000-0005-0000-0000-0000AAD50000}"/>
    <cellStyle name="Percent 13 2 2 4 6 2 2 2" xfId="58092" xr:uid="{00000000-0005-0000-0000-0000ABD50000}"/>
    <cellStyle name="Percent 13 2 2 4 6 2 3" xfId="43593" xr:uid="{00000000-0005-0000-0000-0000ACD50000}"/>
    <cellStyle name="Percent 13 2 2 4 6 3" xfId="21838" xr:uid="{00000000-0005-0000-0000-0000ADD50000}"/>
    <cellStyle name="Percent 13 2 2 4 6 3 2" xfId="50844" xr:uid="{00000000-0005-0000-0000-0000AED50000}"/>
    <cellStyle name="Percent 13 2 2 4 6 4" xfId="36345" xr:uid="{00000000-0005-0000-0000-0000AFD50000}"/>
    <cellStyle name="Percent 13 2 2 4 7" xfId="8344" xr:uid="{00000000-0005-0000-0000-0000B0D50000}"/>
    <cellStyle name="Percent 13 2 2 4 7 2" xfId="22878" xr:uid="{00000000-0005-0000-0000-0000B1D50000}"/>
    <cellStyle name="Percent 13 2 2 4 7 2 2" xfId="51884" xr:uid="{00000000-0005-0000-0000-0000B2D50000}"/>
    <cellStyle name="Percent 13 2 2 4 7 3" xfId="37385" xr:uid="{00000000-0005-0000-0000-0000B3D50000}"/>
    <cellStyle name="Percent 13 2 2 4 8" xfId="15630" xr:uid="{00000000-0005-0000-0000-0000B4D50000}"/>
    <cellStyle name="Percent 13 2 2 4 8 2" xfId="44636" xr:uid="{00000000-0005-0000-0000-0000B5D50000}"/>
    <cellStyle name="Percent 13 2 2 4 9" xfId="30137" xr:uid="{00000000-0005-0000-0000-0000B6D50000}"/>
    <cellStyle name="Percent 13 2 2 5" xfId="1361" xr:uid="{00000000-0005-0000-0000-0000B7D50000}"/>
    <cellStyle name="Percent 13 2 2 5 2" xfId="2418" xr:uid="{00000000-0005-0000-0000-0000B8D50000}"/>
    <cellStyle name="Percent 13 2 2 5 2 2" xfId="5522" xr:uid="{00000000-0005-0000-0000-0000B9D50000}"/>
    <cellStyle name="Percent 13 2 2 5 2 2 2" xfId="12794" xr:uid="{00000000-0005-0000-0000-0000BAD50000}"/>
    <cellStyle name="Percent 13 2 2 5 2 2 2 2" xfId="27328" xr:uid="{00000000-0005-0000-0000-0000BBD50000}"/>
    <cellStyle name="Percent 13 2 2 5 2 2 2 2 2" xfId="56334" xr:uid="{00000000-0005-0000-0000-0000BCD50000}"/>
    <cellStyle name="Percent 13 2 2 5 2 2 2 3" xfId="41835" xr:uid="{00000000-0005-0000-0000-0000BDD50000}"/>
    <cellStyle name="Percent 13 2 2 5 2 2 3" xfId="20080" xr:uid="{00000000-0005-0000-0000-0000BED50000}"/>
    <cellStyle name="Percent 13 2 2 5 2 2 3 2" xfId="49086" xr:uid="{00000000-0005-0000-0000-0000BFD50000}"/>
    <cellStyle name="Percent 13 2 2 5 2 2 4" xfId="34587" xr:uid="{00000000-0005-0000-0000-0000C0D50000}"/>
    <cellStyle name="Percent 13 2 2 5 2 3" xfId="9690" xr:uid="{00000000-0005-0000-0000-0000C1D50000}"/>
    <cellStyle name="Percent 13 2 2 5 2 3 2" xfId="24224" xr:uid="{00000000-0005-0000-0000-0000C2D50000}"/>
    <cellStyle name="Percent 13 2 2 5 2 3 2 2" xfId="53230" xr:uid="{00000000-0005-0000-0000-0000C3D50000}"/>
    <cellStyle name="Percent 13 2 2 5 2 3 3" xfId="38731" xr:uid="{00000000-0005-0000-0000-0000C4D50000}"/>
    <cellStyle name="Percent 13 2 2 5 2 4" xfId="16976" xr:uid="{00000000-0005-0000-0000-0000C5D50000}"/>
    <cellStyle name="Percent 13 2 2 5 2 4 2" xfId="45982" xr:uid="{00000000-0005-0000-0000-0000C6D50000}"/>
    <cellStyle name="Percent 13 2 2 5 2 5" xfId="31483" xr:uid="{00000000-0005-0000-0000-0000C7D50000}"/>
    <cellStyle name="Percent 13 2 2 5 3" xfId="3450" xr:uid="{00000000-0005-0000-0000-0000C8D50000}"/>
    <cellStyle name="Percent 13 2 2 5 3 2" xfId="6554" xr:uid="{00000000-0005-0000-0000-0000C9D50000}"/>
    <cellStyle name="Percent 13 2 2 5 3 2 2" xfId="13826" xr:uid="{00000000-0005-0000-0000-0000CAD50000}"/>
    <cellStyle name="Percent 13 2 2 5 3 2 2 2" xfId="28360" xr:uid="{00000000-0005-0000-0000-0000CBD50000}"/>
    <cellStyle name="Percent 13 2 2 5 3 2 2 2 2" xfId="57366" xr:uid="{00000000-0005-0000-0000-0000CCD50000}"/>
    <cellStyle name="Percent 13 2 2 5 3 2 2 3" xfId="42867" xr:uid="{00000000-0005-0000-0000-0000CDD50000}"/>
    <cellStyle name="Percent 13 2 2 5 3 2 3" xfId="21112" xr:uid="{00000000-0005-0000-0000-0000CED50000}"/>
    <cellStyle name="Percent 13 2 2 5 3 2 3 2" xfId="50118" xr:uid="{00000000-0005-0000-0000-0000CFD50000}"/>
    <cellStyle name="Percent 13 2 2 5 3 2 4" xfId="35619" xr:uid="{00000000-0005-0000-0000-0000D0D50000}"/>
    <cellStyle name="Percent 13 2 2 5 3 3" xfId="10722" xr:uid="{00000000-0005-0000-0000-0000D1D50000}"/>
    <cellStyle name="Percent 13 2 2 5 3 3 2" xfId="25256" xr:uid="{00000000-0005-0000-0000-0000D2D50000}"/>
    <cellStyle name="Percent 13 2 2 5 3 3 2 2" xfId="54262" xr:uid="{00000000-0005-0000-0000-0000D3D50000}"/>
    <cellStyle name="Percent 13 2 2 5 3 3 3" xfId="39763" xr:uid="{00000000-0005-0000-0000-0000D4D50000}"/>
    <cellStyle name="Percent 13 2 2 5 3 4" xfId="18008" xr:uid="{00000000-0005-0000-0000-0000D5D50000}"/>
    <cellStyle name="Percent 13 2 2 5 3 4 2" xfId="47014" xr:uid="{00000000-0005-0000-0000-0000D6D50000}"/>
    <cellStyle name="Percent 13 2 2 5 3 5" xfId="32515" xr:uid="{00000000-0005-0000-0000-0000D7D50000}"/>
    <cellStyle name="Percent 13 2 2 5 4" xfId="4482" xr:uid="{00000000-0005-0000-0000-0000D8D50000}"/>
    <cellStyle name="Percent 13 2 2 5 4 2" xfId="11754" xr:uid="{00000000-0005-0000-0000-0000D9D50000}"/>
    <cellStyle name="Percent 13 2 2 5 4 2 2" xfId="26288" xr:uid="{00000000-0005-0000-0000-0000DAD50000}"/>
    <cellStyle name="Percent 13 2 2 5 4 2 2 2" xfId="55294" xr:uid="{00000000-0005-0000-0000-0000DBD50000}"/>
    <cellStyle name="Percent 13 2 2 5 4 2 3" xfId="40795" xr:uid="{00000000-0005-0000-0000-0000DCD50000}"/>
    <cellStyle name="Percent 13 2 2 5 4 3" xfId="19040" xr:uid="{00000000-0005-0000-0000-0000DDD50000}"/>
    <cellStyle name="Percent 13 2 2 5 4 3 2" xfId="48046" xr:uid="{00000000-0005-0000-0000-0000DED50000}"/>
    <cellStyle name="Percent 13 2 2 5 4 4" xfId="33547" xr:uid="{00000000-0005-0000-0000-0000DFD50000}"/>
    <cellStyle name="Percent 13 2 2 5 5" xfId="7586" xr:uid="{00000000-0005-0000-0000-0000E0D50000}"/>
    <cellStyle name="Percent 13 2 2 5 5 2" xfId="14858" xr:uid="{00000000-0005-0000-0000-0000E1D50000}"/>
    <cellStyle name="Percent 13 2 2 5 5 2 2" xfId="29392" xr:uid="{00000000-0005-0000-0000-0000E2D50000}"/>
    <cellStyle name="Percent 13 2 2 5 5 2 2 2" xfId="58398" xr:uid="{00000000-0005-0000-0000-0000E3D50000}"/>
    <cellStyle name="Percent 13 2 2 5 5 2 3" xfId="43899" xr:uid="{00000000-0005-0000-0000-0000E4D50000}"/>
    <cellStyle name="Percent 13 2 2 5 5 3" xfId="22144" xr:uid="{00000000-0005-0000-0000-0000E5D50000}"/>
    <cellStyle name="Percent 13 2 2 5 5 3 2" xfId="51150" xr:uid="{00000000-0005-0000-0000-0000E6D50000}"/>
    <cellStyle name="Percent 13 2 2 5 5 4" xfId="36651" xr:uid="{00000000-0005-0000-0000-0000E7D50000}"/>
    <cellStyle name="Percent 13 2 2 5 6" xfId="8650" xr:uid="{00000000-0005-0000-0000-0000E8D50000}"/>
    <cellStyle name="Percent 13 2 2 5 6 2" xfId="23184" xr:uid="{00000000-0005-0000-0000-0000E9D50000}"/>
    <cellStyle name="Percent 13 2 2 5 6 2 2" xfId="52190" xr:uid="{00000000-0005-0000-0000-0000EAD50000}"/>
    <cellStyle name="Percent 13 2 2 5 6 3" xfId="37691" xr:uid="{00000000-0005-0000-0000-0000EBD50000}"/>
    <cellStyle name="Percent 13 2 2 5 7" xfId="15936" xr:uid="{00000000-0005-0000-0000-0000ECD50000}"/>
    <cellStyle name="Percent 13 2 2 5 7 2" xfId="44942" xr:uid="{00000000-0005-0000-0000-0000EDD50000}"/>
    <cellStyle name="Percent 13 2 2 5 8" xfId="30443" xr:uid="{00000000-0005-0000-0000-0000EED50000}"/>
    <cellStyle name="Percent 13 2 2 6" xfId="1906" xr:uid="{00000000-0005-0000-0000-0000EFD50000}"/>
    <cellStyle name="Percent 13 2 2 6 2" xfId="5010" xr:uid="{00000000-0005-0000-0000-0000F0D50000}"/>
    <cellStyle name="Percent 13 2 2 6 2 2" xfId="12282" xr:uid="{00000000-0005-0000-0000-0000F1D50000}"/>
    <cellStyle name="Percent 13 2 2 6 2 2 2" xfId="26816" xr:uid="{00000000-0005-0000-0000-0000F2D50000}"/>
    <cellStyle name="Percent 13 2 2 6 2 2 2 2" xfId="55822" xr:uid="{00000000-0005-0000-0000-0000F3D50000}"/>
    <cellStyle name="Percent 13 2 2 6 2 2 3" xfId="41323" xr:uid="{00000000-0005-0000-0000-0000F4D50000}"/>
    <cellStyle name="Percent 13 2 2 6 2 3" xfId="19568" xr:uid="{00000000-0005-0000-0000-0000F5D50000}"/>
    <cellStyle name="Percent 13 2 2 6 2 3 2" xfId="48574" xr:uid="{00000000-0005-0000-0000-0000F6D50000}"/>
    <cellStyle name="Percent 13 2 2 6 2 4" xfId="34075" xr:uid="{00000000-0005-0000-0000-0000F7D50000}"/>
    <cellStyle name="Percent 13 2 2 6 3" xfId="9178" xr:uid="{00000000-0005-0000-0000-0000F8D50000}"/>
    <cellStyle name="Percent 13 2 2 6 3 2" xfId="23712" xr:uid="{00000000-0005-0000-0000-0000F9D50000}"/>
    <cellStyle name="Percent 13 2 2 6 3 2 2" xfId="52718" xr:uid="{00000000-0005-0000-0000-0000FAD50000}"/>
    <cellStyle name="Percent 13 2 2 6 3 3" xfId="38219" xr:uid="{00000000-0005-0000-0000-0000FBD50000}"/>
    <cellStyle name="Percent 13 2 2 6 4" xfId="16464" xr:uid="{00000000-0005-0000-0000-0000FCD50000}"/>
    <cellStyle name="Percent 13 2 2 6 4 2" xfId="45470" xr:uid="{00000000-0005-0000-0000-0000FDD50000}"/>
    <cellStyle name="Percent 13 2 2 6 5" xfId="30971" xr:uid="{00000000-0005-0000-0000-0000FED50000}"/>
    <cellStyle name="Percent 13 2 2 7" xfId="2938" xr:uid="{00000000-0005-0000-0000-0000FFD50000}"/>
    <cellStyle name="Percent 13 2 2 7 2" xfId="6042" xr:uid="{00000000-0005-0000-0000-000000D60000}"/>
    <cellStyle name="Percent 13 2 2 7 2 2" xfId="13314" xr:uid="{00000000-0005-0000-0000-000001D60000}"/>
    <cellStyle name="Percent 13 2 2 7 2 2 2" xfId="27848" xr:uid="{00000000-0005-0000-0000-000002D60000}"/>
    <cellStyle name="Percent 13 2 2 7 2 2 2 2" xfId="56854" xr:uid="{00000000-0005-0000-0000-000003D60000}"/>
    <cellStyle name="Percent 13 2 2 7 2 2 3" xfId="42355" xr:uid="{00000000-0005-0000-0000-000004D60000}"/>
    <cellStyle name="Percent 13 2 2 7 2 3" xfId="20600" xr:uid="{00000000-0005-0000-0000-000005D60000}"/>
    <cellStyle name="Percent 13 2 2 7 2 3 2" xfId="49606" xr:uid="{00000000-0005-0000-0000-000006D60000}"/>
    <cellStyle name="Percent 13 2 2 7 2 4" xfId="35107" xr:uid="{00000000-0005-0000-0000-000007D60000}"/>
    <cellStyle name="Percent 13 2 2 7 3" xfId="10210" xr:uid="{00000000-0005-0000-0000-000008D60000}"/>
    <cellStyle name="Percent 13 2 2 7 3 2" xfId="24744" xr:uid="{00000000-0005-0000-0000-000009D60000}"/>
    <cellStyle name="Percent 13 2 2 7 3 2 2" xfId="53750" xr:uid="{00000000-0005-0000-0000-00000AD60000}"/>
    <cellStyle name="Percent 13 2 2 7 3 3" xfId="39251" xr:uid="{00000000-0005-0000-0000-00000BD60000}"/>
    <cellStyle name="Percent 13 2 2 7 4" xfId="17496" xr:uid="{00000000-0005-0000-0000-00000CD60000}"/>
    <cellStyle name="Percent 13 2 2 7 4 2" xfId="46502" xr:uid="{00000000-0005-0000-0000-00000DD60000}"/>
    <cellStyle name="Percent 13 2 2 7 5" xfId="32003" xr:uid="{00000000-0005-0000-0000-00000ED60000}"/>
    <cellStyle name="Percent 13 2 2 8" xfId="3970" xr:uid="{00000000-0005-0000-0000-00000FD60000}"/>
    <cellStyle name="Percent 13 2 2 8 2" xfId="11242" xr:uid="{00000000-0005-0000-0000-000010D60000}"/>
    <cellStyle name="Percent 13 2 2 8 2 2" xfId="25776" xr:uid="{00000000-0005-0000-0000-000011D60000}"/>
    <cellStyle name="Percent 13 2 2 8 2 2 2" xfId="54782" xr:uid="{00000000-0005-0000-0000-000012D60000}"/>
    <cellStyle name="Percent 13 2 2 8 2 3" xfId="40283" xr:uid="{00000000-0005-0000-0000-000013D60000}"/>
    <cellStyle name="Percent 13 2 2 8 3" xfId="18528" xr:uid="{00000000-0005-0000-0000-000014D60000}"/>
    <cellStyle name="Percent 13 2 2 8 3 2" xfId="47534" xr:uid="{00000000-0005-0000-0000-000015D60000}"/>
    <cellStyle name="Percent 13 2 2 8 4" xfId="33035" xr:uid="{00000000-0005-0000-0000-000016D60000}"/>
    <cellStyle name="Percent 13 2 2 9" xfId="7074" xr:uid="{00000000-0005-0000-0000-000017D60000}"/>
    <cellStyle name="Percent 13 2 2 9 2" xfId="14346" xr:uid="{00000000-0005-0000-0000-000018D60000}"/>
    <cellStyle name="Percent 13 2 2 9 2 2" xfId="28880" xr:uid="{00000000-0005-0000-0000-000019D60000}"/>
    <cellStyle name="Percent 13 2 2 9 2 2 2" xfId="57886" xr:uid="{00000000-0005-0000-0000-00001AD60000}"/>
    <cellStyle name="Percent 13 2 2 9 2 3" xfId="43387" xr:uid="{00000000-0005-0000-0000-00001BD60000}"/>
    <cellStyle name="Percent 13 2 2 9 3" xfId="21632" xr:uid="{00000000-0005-0000-0000-00001CD60000}"/>
    <cellStyle name="Percent 13 2 2 9 3 2" xfId="50638" xr:uid="{00000000-0005-0000-0000-00001DD60000}"/>
    <cellStyle name="Percent 13 2 2 9 4" xfId="36139" xr:uid="{00000000-0005-0000-0000-00001ED60000}"/>
    <cellStyle name="Percent 13 2 3" xfId="938" xr:uid="{00000000-0005-0000-0000-00001FD60000}"/>
    <cellStyle name="Percent 13 2 3 10" xfId="29982" xr:uid="{00000000-0005-0000-0000-000020D60000}"/>
    <cellStyle name="Percent 13 2 3 2" xfId="1212" xr:uid="{00000000-0005-0000-0000-000021D60000}"/>
    <cellStyle name="Percent 13 2 3 2 2" xfId="1716" xr:uid="{00000000-0005-0000-0000-000022D60000}"/>
    <cellStyle name="Percent 13 2 3 2 2 2" xfId="2775" xr:uid="{00000000-0005-0000-0000-000023D60000}"/>
    <cellStyle name="Percent 13 2 3 2 2 2 2" xfId="5879" xr:uid="{00000000-0005-0000-0000-000024D60000}"/>
    <cellStyle name="Percent 13 2 3 2 2 2 2 2" xfId="13151" xr:uid="{00000000-0005-0000-0000-000025D60000}"/>
    <cellStyle name="Percent 13 2 3 2 2 2 2 2 2" xfId="27685" xr:uid="{00000000-0005-0000-0000-000026D60000}"/>
    <cellStyle name="Percent 13 2 3 2 2 2 2 2 2 2" xfId="56691" xr:uid="{00000000-0005-0000-0000-000027D60000}"/>
    <cellStyle name="Percent 13 2 3 2 2 2 2 2 3" xfId="42192" xr:uid="{00000000-0005-0000-0000-000028D60000}"/>
    <cellStyle name="Percent 13 2 3 2 2 2 2 3" xfId="20437" xr:uid="{00000000-0005-0000-0000-000029D60000}"/>
    <cellStyle name="Percent 13 2 3 2 2 2 2 3 2" xfId="49443" xr:uid="{00000000-0005-0000-0000-00002AD60000}"/>
    <cellStyle name="Percent 13 2 3 2 2 2 2 4" xfId="34944" xr:uid="{00000000-0005-0000-0000-00002BD60000}"/>
    <cellStyle name="Percent 13 2 3 2 2 2 3" xfId="10047" xr:uid="{00000000-0005-0000-0000-00002CD60000}"/>
    <cellStyle name="Percent 13 2 3 2 2 2 3 2" xfId="24581" xr:uid="{00000000-0005-0000-0000-00002DD60000}"/>
    <cellStyle name="Percent 13 2 3 2 2 2 3 2 2" xfId="53587" xr:uid="{00000000-0005-0000-0000-00002ED60000}"/>
    <cellStyle name="Percent 13 2 3 2 2 2 3 3" xfId="39088" xr:uid="{00000000-0005-0000-0000-00002FD60000}"/>
    <cellStyle name="Percent 13 2 3 2 2 2 4" xfId="17333" xr:uid="{00000000-0005-0000-0000-000030D60000}"/>
    <cellStyle name="Percent 13 2 3 2 2 2 4 2" xfId="46339" xr:uid="{00000000-0005-0000-0000-000031D60000}"/>
    <cellStyle name="Percent 13 2 3 2 2 2 5" xfId="31840" xr:uid="{00000000-0005-0000-0000-000032D60000}"/>
    <cellStyle name="Percent 13 2 3 2 2 3" xfId="3807" xr:uid="{00000000-0005-0000-0000-000033D60000}"/>
    <cellStyle name="Percent 13 2 3 2 2 3 2" xfId="6911" xr:uid="{00000000-0005-0000-0000-000034D60000}"/>
    <cellStyle name="Percent 13 2 3 2 2 3 2 2" xfId="14183" xr:uid="{00000000-0005-0000-0000-000035D60000}"/>
    <cellStyle name="Percent 13 2 3 2 2 3 2 2 2" xfId="28717" xr:uid="{00000000-0005-0000-0000-000036D60000}"/>
    <cellStyle name="Percent 13 2 3 2 2 3 2 2 2 2" xfId="57723" xr:uid="{00000000-0005-0000-0000-000037D60000}"/>
    <cellStyle name="Percent 13 2 3 2 2 3 2 2 3" xfId="43224" xr:uid="{00000000-0005-0000-0000-000038D60000}"/>
    <cellStyle name="Percent 13 2 3 2 2 3 2 3" xfId="21469" xr:uid="{00000000-0005-0000-0000-000039D60000}"/>
    <cellStyle name="Percent 13 2 3 2 2 3 2 3 2" xfId="50475" xr:uid="{00000000-0005-0000-0000-00003AD60000}"/>
    <cellStyle name="Percent 13 2 3 2 2 3 2 4" xfId="35976" xr:uid="{00000000-0005-0000-0000-00003BD60000}"/>
    <cellStyle name="Percent 13 2 3 2 2 3 3" xfId="11079" xr:uid="{00000000-0005-0000-0000-00003CD60000}"/>
    <cellStyle name="Percent 13 2 3 2 2 3 3 2" xfId="25613" xr:uid="{00000000-0005-0000-0000-00003DD60000}"/>
    <cellStyle name="Percent 13 2 3 2 2 3 3 2 2" xfId="54619" xr:uid="{00000000-0005-0000-0000-00003ED60000}"/>
    <cellStyle name="Percent 13 2 3 2 2 3 3 3" xfId="40120" xr:uid="{00000000-0005-0000-0000-00003FD60000}"/>
    <cellStyle name="Percent 13 2 3 2 2 3 4" xfId="18365" xr:uid="{00000000-0005-0000-0000-000040D60000}"/>
    <cellStyle name="Percent 13 2 3 2 2 3 4 2" xfId="47371" xr:uid="{00000000-0005-0000-0000-000041D60000}"/>
    <cellStyle name="Percent 13 2 3 2 2 3 5" xfId="32872" xr:uid="{00000000-0005-0000-0000-000042D60000}"/>
    <cellStyle name="Percent 13 2 3 2 2 4" xfId="4839" xr:uid="{00000000-0005-0000-0000-000043D60000}"/>
    <cellStyle name="Percent 13 2 3 2 2 4 2" xfId="12111" xr:uid="{00000000-0005-0000-0000-000044D60000}"/>
    <cellStyle name="Percent 13 2 3 2 2 4 2 2" xfId="26645" xr:uid="{00000000-0005-0000-0000-000045D60000}"/>
    <cellStyle name="Percent 13 2 3 2 2 4 2 2 2" xfId="55651" xr:uid="{00000000-0005-0000-0000-000046D60000}"/>
    <cellStyle name="Percent 13 2 3 2 2 4 2 3" xfId="41152" xr:uid="{00000000-0005-0000-0000-000047D60000}"/>
    <cellStyle name="Percent 13 2 3 2 2 4 3" xfId="19397" xr:uid="{00000000-0005-0000-0000-000048D60000}"/>
    <cellStyle name="Percent 13 2 3 2 2 4 3 2" xfId="48403" xr:uid="{00000000-0005-0000-0000-000049D60000}"/>
    <cellStyle name="Percent 13 2 3 2 2 4 4" xfId="33904" xr:uid="{00000000-0005-0000-0000-00004AD60000}"/>
    <cellStyle name="Percent 13 2 3 2 2 5" xfId="7943" xr:uid="{00000000-0005-0000-0000-00004BD60000}"/>
    <cellStyle name="Percent 13 2 3 2 2 5 2" xfId="15215" xr:uid="{00000000-0005-0000-0000-00004CD60000}"/>
    <cellStyle name="Percent 13 2 3 2 2 5 2 2" xfId="29749" xr:uid="{00000000-0005-0000-0000-00004DD60000}"/>
    <cellStyle name="Percent 13 2 3 2 2 5 2 2 2" xfId="58755" xr:uid="{00000000-0005-0000-0000-00004ED60000}"/>
    <cellStyle name="Percent 13 2 3 2 2 5 2 3" xfId="44256" xr:uid="{00000000-0005-0000-0000-00004FD60000}"/>
    <cellStyle name="Percent 13 2 3 2 2 5 3" xfId="22501" xr:uid="{00000000-0005-0000-0000-000050D60000}"/>
    <cellStyle name="Percent 13 2 3 2 2 5 3 2" xfId="51507" xr:uid="{00000000-0005-0000-0000-000051D60000}"/>
    <cellStyle name="Percent 13 2 3 2 2 5 4" xfId="37008" xr:uid="{00000000-0005-0000-0000-000052D60000}"/>
    <cellStyle name="Percent 13 2 3 2 2 6" xfId="9007" xr:uid="{00000000-0005-0000-0000-000053D60000}"/>
    <cellStyle name="Percent 13 2 3 2 2 6 2" xfId="23541" xr:uid="{00000000-0005-0000-0000-000054D60000}"/>
    <cellStyle name="Percent 13 2 3 2 2 6 2 2" xfId="52547" xr:uid="{00000000-0005-0000-0000-000055D60000}"/>
    <cellStyle name="Percent 13 2 3 2 2 6 3" xfId="38048" xr:uid="{00000000-0005-0000-0000-000056D60000}"/>
    <cellStyle name="Percent 13 2 3 2 2 7" xfId="16293" xr:uid="{00000000-0005-0000-0000-000057D60000}"/>
    <cellStyle name="Percent 13 2 3 2 2 7 2" xfId="45299" xr:uid="{00000000-0005-0000-0000-000058D60000}"/>
    <cellStyle name="Percent 13 2 3 2 2 8" xfId="30800" xr:uid="{00000000-0005-0000-0000-000059D60000}"/>
    <cellStyle name="Percent 13 2 3 2 3" xfId="2263" xr:uid="{00000000-0005-0000-0000-00005AD60000}"/>
    <cellStyle name="Percent 13 2 3 2 3 2" xfId="5367" xr:uid="{00000000-0005-0000-0000-00005BD60000}"/>
    <cellStyle name="Percent 13 2 3 2 3 2 2" xfId="12639" xr:uid="{00000000-0005-0000-0000-00005CD60000}"/>
    <cellStyle name="Percent 13 2 3 2 3 2 2 2" xfId="27173" xr:uid="{00000000-0005-0000-0000-00005DD60000}"/>
    <cellStyle name="Percent 13 2 3 2 3 2 2 2 2" xfId="56179" xr:uid="{00000000-0005-0000-0000-00005ED60000}"/>
    <cellStyle name="Percent 13 2 3 2 3 2 2 3" xfId="41680" xr:uid="{00000000-0005-0000-0000-00005FD60000}"/>
    <cellStyle name="Percent 13 2 3 2 3 2 3" xfId="19925" xr:uid="{00000000-0005-0000-0000-000060D60000}"/>
    <cellStyle name="Percent 13 2 3 2 3 2 3 2" xfId="48931" xr:uid="{00000000-0005-0000-0000-000061D60000}"/>
    <cellStyle name="Percent 13 2 3 2 3 2 4" xfId="34432" xr:uid="{00000000-0005-0000-0000-000062D60000}"/>
    <cellStyle name="Percent 13 2 3 2 3 3" xfId="9535" xr:uid="{00000000-0005-0000-0000-000063D60000}"/>
    <cellStyle name="Percent 13 2 3 2 3 3 2" xfId="24069" xr:uid="{00000000-0005-0000-0000-000064D60000}"/>
    <cellStyle name="Percent 13 2 3 2 3 3 2 2" xfId="53075" xr:uid="{00000000-0005-0000-0000-000065D60000}"/>
    <cellStyle name="Percent 13 2 3 2 3 3 3" xfId="38576" xr:uid="{00000000-0005-0000-0000-000066D60000}"/>
    <cellStyle name="Percent 13 2 3 2 3 4" xfId="16821" xr:uid="{00000000-0005-0000-0000-000067D60000}"/>
    <cellStyle name="Percent 13 2 3 2 3 4 2" xfId="45827" xr:uid="{00000000-0005-0000-0000-000068D60000}"/>
    <cellStyle name="Percent 13 2 3 2 3 5" xfId="31328" xr:uid="{00000000-0005-0000-0000-000069D60000}"/>
    <cellStyle name="Percent 13 2 3 2 4" xfId="3295" xr:uid="{00000000-0005-0000-0000-00006AD60000}"/>
    <cellStyle name="Percent 13 2 3 2 4 2" xfId="6399" xr:uid="{00000000-0005-0000-0000-00006BD60000}"/>
    <cellStyle name="Percent 13 2 3 2 4 2 2" xfId="13671" xr:uid="{00000000-0005-0000-0000-00006CD60000}"/>
    <cellStyle name="Percent 13 2 3 2 4 2 2 2" xfId="28205" xr:uid="{00000000-0005-0000-0000-00006DD60000}"/>
    <cellStyle name="Percent 13 2 3 2 4 2 2 2 2" xfId="57211" xr:uid="{00000000-0005-0000-0000-00006ED60000}"/>
    <cellStyle name="Percent 13 2 3 2 4 2 2 3" xfId="42712" xr:uid="{00000000-0005-0000-0000-00006FD60000}"/>
    <cellStyle name="Percent 13 2 3 2 4 2 3" xfId="20957" xr:uid="{00000000-0005-0000-0000-000070D60000}"/>
    <cellStyle name="Percent 13 2 3 2 4 2 3 2" xfId="49963" xr:uid="{00000000-0005-0000-0000-000071D60000}"/>
    <cellStyle name="Percent 13 2 3 2 4 2 4" xfId="35464" xr:uid="{00000000-0005-0000-0000-000072D60000}"/>
    <cellStyle name="Percent 13 2 3 2 4 3" xfId="10567" xr:uid="{00000000-0005-0000-0000-000073D60000}"/>
    <cellStyle name="Percent 13 2 3 2 4 3 2" xfId="25101" xr:uid="{00000000-0005-0000-0000-000074D60000}"/>
    <cellStyle name="Percent 13 2 3 2 4 3 2 2" xfId="54107" xr:uid="{00000000-0005-0000-0000-000075D60000}"/>
    <cellStyle name="Percent 13 2 3 2 4 3 3" xfId="39608" xr:uid="{00000000-0005-0000-0000-000076D60000}"/>
    <cellStyle name="Percent 13 2 3 2 4 4" xfId="17853" xr:uid="{00000000-0005-0000-0000-000077D60000}"/>
    <cellStyle name="Percent 13 2 3 2 4 4 2" xfId="46859" xr:uid="{00000000-0005-0000-0000-000078D60000}"/>
    <cellStyle name="Percent 13 2 3 2 4 5" xfId="32360" xr:uid="{00000000-0005-0000-0000-000079D60000}"/>
    <cellStyle name="Percent 13 2 3 2 5" xfId="4327" xr:uid="{00000000-0005-0000-0000-00007AD60000}"/>
    <cellStyle name="Percent 13 2 3 2 5 2" xfId="11599" xr:uid="{00000000-0005-0000-0000-00007BD60000}"/>
    <cellStyle name="Percent 13 2 3 2 5 2 2" xfId="26133" xr:uid="{00000000-0005-0000-0000-00007CD60000}"/>
    <cellStyle name="Percent 13 2 3 2 5 2 2 2" xfId="55139" xr:uid="{00000000-0005-0000-0000-00007DD60000}"/>
    <cellStyle name="Percent 13 2 3 2 5 2 3" xfId="40640" xr:uid="{00000000-0005-0000-0000-00007ED60000}"/>
    <cellStyle name="Percent 13 2 3 2 5 3" xfId="18885" xr:uid="{00000000-0005-0000-0000-00007FD60000}"/>
    <cellStyle name="Percent 13 2 3 2 5 3 2" xfId="47891" xr:uid="{00000000-0005-0000-0000-000080D60000}"/>
    <cellStyle name="Percent 13 2 3 2 5 4" xfId="33392" xr:uid="{00000000-0005-0000-0000-000081D60000}"/>
    <cellStyle name="Percent 13 2 3 2 6" xfId="7431" xr:uid="{00000000-0005-0000-0000-000082D60000}"/>
    <cellStyle name="Percent 13 2 3 2 6 2" xfId="14703" xr:uid="{00000000-0005-0000-0000-000083D60000}"/>
    <cellStyle name="Percent 13 2 3 2 6 2 2" xfId="29237" xr:uid="{00000000-0005-0000-0000-000084D60000}"/>
    <cellStyle name="Percent 13 2 3 2 6 2 2 2" xfId="58243" xr:uid="{00000000-0005-0000-0000-000085D60000}"/>
    <cellStyle name="Percent 13 2 3 2 6 2 3" xfId="43744" xr:uid="{00000000-0005-0000-0000-000086D60000}"/>
    <cellStyle name="Percent 13 2 3 2 6 3" xfId="21989" xr:uid="{00000000-0005-0000-0000-000087D60000}"/>
    <cellStyle name="Percent 13 2 3 2 6 3 2" xfId="50995" xr:uid="{00000000-0005-0000-0000-000088D60000}"/>
    <cellStyle name="Percent 13 2 3 2 6 4" xfId="36496" xr:uid="{00000000-0005-0000-0000-000089D60000}"/>
    <cellStyle name="Percent 13 2 3 2 7" xfId="8495" xr:uid="{00000000-0005-0000-0000-00008AD60000}"/>
    <cellStyle name="Percent 13 2 3 2 7 2" xfId="23029" xr:uid="{00000000-0005-0000-0000-00008BD60000}"/>
    <cellStyle name="Percent 13 2 3 2 7 2 2" xfId="52035" xr:uid="{00000000-0005-0000-0000-00008CD60000}"/>
    <cellStyle name="Percent 13 2 3 2 7 3" xfId="37536" xr:uid="{00000000-0005-0000-0000-00008DD60000}"/>
    <cellStyle name="Percent 13 2 3 2 8" xfId="15781" xr:uid="{00000000-0005-0000-0000-00008ED60000}"/>
    <cellStyle name="Percent 13 2 3 2 8 2" xfId="44787" xr:uid="{00000000-0005-0000-0000-00008FD60000}"/>
    <cellStyle name="Percent 13 2 3 2 9" xfId="30288" xr:uid="{00000000-0005-0000-0000-000090D60000}"/>
    <cellStyle name="Percent 13 2 3 3" xfId="1411" xr:uid="{00000000-0005-0000-0000-000091D60000}"/>
    <cellStyle name="Percent 13 2 3 3 2" xfId="2469" xr:uid="{00000000-0005-0000-0000-000092D60000}"/>
    <cellStyle name="Percent 13 2 3 3 2 2" xfId="5573" xr:uid="{00000000-0005-0000-0000-000093D60000}"/>
    <cellStyle name="Percent 13 2 3 3 2 2 2" xfId="12845" xr:uid="{00000000-0005-0000-0000-000094D60000}"/>
    <cellStyle name="Percent 13 2 3 3 2 2 2 2" xfId="27379" xr:uid="{00000000-0005-0000-0000-000095D60000}"/>
    <cellStyle name="Percent 13 2 3 3 2 2 2 2 2" xfId="56385" xr:uid="{00000000-0005-0000-0000-000096D60000}"/>
    <cellStyle name="Percent 13 2 3 3 2 2 2 3" xfId="41886" xr:uid="{00000000-0005-0000-0000-000097D60000}"/>
    <cellStyle name="Percent 13 2 3 3 2 2 3" xfId="20131" xr:uid="{00000000-0005-0000-0000-000098D60000}"/>
    <cellStyle name="Percent 13 2 3 3 2 2 3 2" xfId="49137" xr:uid="{00000000-0005-0000-0000-000099D60000}"/>
    <cellStyle name="Percent 13 2 3 3 2 2 4" xfId="34638" xr:uid="{00000000-0005-0000-0000-00009AD60000}"/>
    <cellStyle name="Percent 13 2 3 3 2 3" xfId="9741" xr:uid="{00000000-0005-0000-0000-00009BD60000}"/>
    <cellStyle name="Percent 13 2 3 3 2 3 2" xfId="24275" xr:uid="{00000000-0005-0000-0000-00009CD60000}"/>
    <cellStyle name="Percent 13 2 3 3 2 3 2 2" xfId="53281" xr:uid="{00000000-0005-0000-0000-00009DD60000}"/>
    <cellStyle name="Percent 13 2 3 3 2 3 3" xfId="38782" xr:uid="{00000000-0005-0000-0000-00009ED60000}"/>
    <cellStyle name="Percent 13 2 3 3 2 4" xfId="17027" xr:uid="{00000000-0005-0000-0000-00009FD60000}"/>
    <cellStyle name="Percent 13 2 3 3 2 4 2" xfId="46033" xr:uid="{00000000-0005-0000-0000-0000A0D60000}"/>
    <cellStyle name="Percent 13 2 3 3 2 5" xfId="31534" xr:uid="{00000000-0005-0000-0000-0000A1D60000}"/>
    <cellStyle name="Percent 13 2 3 3 3" xfId="3501" xr:uid="{00000000-0005-0000-0000-0000A2D60000}"/>
    <cellStyle name="Percent 13 2 3 3 3 2" xfId="6605" xr:uid="{00000000-0005-0000-0000-0000A3D60000}"/>
    <cellStyle name="Percent 13 2 3 3 3 2 2" xfId="13877" xr:uid="{00000000-0005-0000-0000-0000A4D60000}"/>
    <cellStyle name="Percent 13 2 3 3 3 2 2 2" xfId="28411" xr:uid="{00000000-0005-0000-0000-0000A5D60000}"/>
    <cellStyle name="Percent 13 2 3 3 3 2 2 2 2" xfId="57417" xr:uid="{00000000-0005-0000-0000-0000A6D60000}"/>
    <cellStyle name="Percent 13 2 3 3 3 2 2 3" xfId="42918" xr:uid="{00000000-0005-0000-0000-0000A7D60000}"/>
    <cellStyle name="Percent 13 2 3 3 3 2 3" xfId="21163" xr:uid="{00000000-0005-0000-0000-0000A8D60000}"/>
    <cellStyle name="Percent 13 2 3 3 3 2 3 2" xfId="50169" xr:uid="{00000000-0005-0000-0000-0000A9D60000}"/>
    <cellStyle name="Percent 13 2 3 3 3 2 4" xfId="35670" xr:uid="{00000000-0005-0000-0000-0000AAD60000}"/>
    <cellStyle name="Percent 13 2 3 3 3 3" xfId="10773" xr:uid="{00000000-0005-0000-0000-0000ABD60000}"/>
    <cellStyle name="Percent 13 2 3 3 3 3 2" xfId="25307" xr:uid="{00000000-0005-0000-0000-0000ACD60000}"/>
    <cellStyle name="Percent 13 2 3 3 3 3 2 2" xfId="54313" xr:uid="{00000000-0005-0000-0000-0000ADD60000}"/>
    <cellStyle name="Percent 13 2 3 3 3 3 3" xfId="39814" xr:uid="{00000000-0005-0000-0000-0000AED60000}"/>
    <cellStyle name="Percent 13 2 3 3 3 4" xfId="18059" xr:uid="{00000000-0005-0000-0000-0000AFD60000}"/>
    <cellStyle name="Percent 13 2 3 3 3 4 2" xfId="47065" xr:uid="{00000000-0005-0000-0000-0000B0D60000}"/>
    <cellStyle name="Percent 13 2 3 3 3 5" xfId="32566" xr:uid="{00000000-0005-0000-0000-0000B1D60000}"/>
    <cellStyle name="Percent 13 2 3 3 4" xfId="4533" xr:uid="{00000000-0005-0000-0000-0000B2D60000}"/>
    <cellStyle name="Percent 13 2 3 3 4 2" xfId="11805" xr:uid="{00000000-0005-0000-0000-0000B3D60000}"/>
    <cellStyle name="Percent 13 2 3 3 4 2 2" xfId="26339" xr:uid="{00000000-0005-0000-0000-0000B4D60000}"/>
    <cellStyle name="Percent 13 2 3 3 4 2 2 2" xfId="55345" xr:uid="{00000000-0005-0000-0000-0000B5D60000}"/>
    <cellStyle name="Percent 13 2 3 3 4 2 3" xfId="40846" xr:uid="{00000000-0005-0000-0000-0000B6D60000}"/>
    <cellStyle name="Percent 13 2 3 3 4 3" xfId="19091" xr:uid="{00000000-0005-0000-0000-0000B7D60000}"/>
    <cellStyle name="Percent 13 2 3 3 4 3 2" xfId="48097" xr:uid="{00000000-0005-0000-0000-0000B8D60000}"/>
    <cellStyle name="Percent 13 2 3 3 4 4" xfId="33598" xr:uid="{00000000-0005-0000-0000-0000B9D60000}"/>
    <cellStyle name="Percent 13 2 3 3 5" xfId="7637" xr:uid="{00000000-0005-0000-0000-0000BAD60000}"/>
    <cellStyle name="Percent 13 2 3 3 5 2" xfId="14909" xr:uid="{00000000-0005-0000-0000-0000BBD60000}"/>
    <cellStyle name="Percent 13 2 3 3 5 2 2" xfId="29443" xr:uid="{00000000-0005-0000-0000-0000BCD60000}"/>
    <cellStyle name="Percent 13 2 3 3 5 2 2 2" xfId="58449" xr:uid="{00000000-0005-0000-0000-0000BDD60000}"/>
    <cellStyle name="Percent 13 2 3 3 5 2 3" xfId="43950" xr:uid="{00000000-0005-0000-0000-0000BED60000}"/>
    <cellStyle name="Percent 13 2 3 3 5 3" xfId="22195" xr:uid="{00000000-0005-0000-0000-0000BFD60000}"/>
    <cellStyle name="Percent 13 2 3 3 5 3 2" xfId="51201" xr:uid="{00000000-0005-0000-0000-0000C0D60000}"/>
    <cellStyle name="Percent 13 2 3 3 5 4" xfId="36702" xr:uid="{00000000-0005-0000-0000-0000C1D60000}"/>
    <cellStyle name="Percent 13 2 3 3 6" xfId="8701" xr:uid="{00000000-0005-0000-0000-0000C2D60000}"/>
    <cellStyle name="Percent 13 2 3 3 6 2" xfId="23235" xr:uid="{00000000-0005-0000-0000-0000C3D60000}"/>
    <cellStyle name="Percent 13 2 3 3 6 2 2" xfId="52241" xr:uid="{00000000-0005-0000-0000-0000C4D60000}"/>
    <cellStyle name="Percent 13 2 3 3 6 3" xfId="37742" xr:uid="{00000000-0005-0000-0000-0000C5D60000}"/>
    <cellStyle name="Percent 13 2 3 3 7" xfId="15987" xr:uid="{00000000-0005-0000-0000-0000C6D60000}"/>
    <cellStyle name="Percent 13 2 3 3 7 2" xfId="44993" xr:uid="{00000000-0005-0000-0000-0000C7D60000}"/>
    <cellStyle name="Percent 13 2 3 3 8" xfId="30494" xr:uid="{00000000-0005-0000-0000-0000C8D60000}"/>
    <cellStyle name="Percent 13 2 3 4" xfId="1957" xr:uid="{00000000-0005-0000-0000-0000C9D60000}"/>
    <cellStyle name="Percent 13 2 3 4 2" xfId="5061" xr:uid="{00000000-0005-0000-0000-0000CAD60000}"/>
    <cellStyle name="Percent 13 2 3 4 2 2" xfId="12333" xr:uid="{00000000-0005-0000-0000-0000CBD60000}"/>
    <cellStyle name="Percent 13 2 3 4 2 2 2" xfId="26867" xr:uid="{00000000-0005-0000-0000-0000CCD60000}"/>
    <cellStyle name="Percent 13 2 3 4 2 2 2 2" xfId="55873" xr:uid="{00000000-0005-0000-0000-0000CDD60000}"/>
    <cellStyle name="Percent 13 2 3 4 2 2 3" xfId="41374" xr:uid="{00000000-0005-0000-0000-0000CED60000}"/>
    <cellStyle name="Percent 13 2 3 4 2 3" xfId="19619" xr:uid="{00000000-0005-0000-0000-0000CFD60000}"/>
    <cellStyle name="Percent 13 2 3 4 2 3 2" xfId="48625" xr:uid="{00000000-0005-0000-0000-0000D0D60000}"/>
    <cellStyle name="Percent 13 2 3 4 2 4" xfId="34126" xr:uid="{00000000-0005-0000-0000-0000D1D60000}"/>
    <cellStyle name="Percent 13 2 3 4 3" xfId="9229" xr:uid="{00000000-0005-0000-0000-0000D2D60000}"/>
    <cellStyle name="Percent 13 2 3 4 3 2" xfId="23763" xr:uid="{00000000-0005-0000-0000-0000D3D60000}"/>
    <cellStyle name="Percent 13 2 3 4 3 2 2" xfId="52769" xr:uid="{00000000-0005-0000-0000-0000D4D60000}"/>
    <cellStyle name="Percent 13 2 3 4 3 3" xfId="38270" xr:uid="{00000000-0005-0000-0000-0000D5D60000}"/>
    <cellStyle name="Percent 13 2 3 4 4" xfId="16515" xr:uid="{00000000-0005-0000-0000-0000D6D60000}"/>
    <cellStyle name="Percent 13 2 3 4 4 2" xfId="45521" xr:uid="{00000000-0005-0000-0000-0000D7D60000}"/>
    <cellStyle name="Percent 13 2 3 4 5" xfId="31022" xr:uid="{00000000-0005-0000-0000-0000D8D60000}"/>
    <cellStyle name="Percent 13 2 3 5" xfId="2989" xr:uid="{00000000-0005-0000-0000-0000D9D60000}"/>
    <cellStyle name="Percent 13 2 3 5 2" xfId="6093" xr:uid="{00000000-0005-0000-0000-0000DAD60000}"/>
    <cellStyle name="Percent 13 2 3 5 2 2" xfId="13365" xr:uid="{00000000-0005-0000-0000-0000DBD60000}"/>
    <cellStyle name="Percent 13 2 3 5 2 2 2" xfId="27899" xr:uid="{00000000-0005-0000-0000-0000DCD60000}"/>
    <cellStyle name="Percent 13 2 3 5 2 2 2 2" xfId="56905" xr:uid="{00000000-0005-0000-0000-0000DDD60000}"/>
    <cellStyle name="Percent 13 2 3 5 2 2 3" xfId="42406" xr:uid="{00000000-0005-0000-0000-0000DED60000}"/>
    <cellStyle name="Percent 13 2 3 5 2 3" xfId="20651" xr:uid="{00000000-0005-0000-0000-0000DFD60000}"/>
    <cellStyle name="Percent 13 2 3 5 2 3 2" xfId="49657" xr:uid="{00000000-0005-0000-0000-0000E0D60000}"/>
    <cellStyle name="Percent 13 2 3 5 2 4" xfId="35158" xr:uid="{00000000-0005-0000-0000-0000E1D60000}"/>
    <cellStyle name="Percent 13 2 3 5 3" xfId="10261" xr:uid="{00000000-0005-0000-0000-0000E2D60000}"/>
    <cellStyle name="Percent 13 2 3 5 3 2" xfId="24795" xr:uid="{00000000-0005-0000-0000-0000E3D60000}"/>
    <cellStyle name="Percent 13 2 3 5 3 2 2" xfId="53801" xr:uid="{00000000-0005-0000-0000-0000E4D60000}"/>
    <cellStyle name="Percent 13 2 3 5 3 3" xfId="39302" xr:uid="{00000000-0005-0000-0000-0000E5D60000}"/>
    <cellStyle name="Percent 13 2 3 5 4" xfId="17547" xr:uid="{00000000-0005-0000-0000-0000E6D60000}"/>
    <cellStyle name="Percent 13 2 3 5 4 2" xfId="46553" xr:uid="{00000000-0005-0000-0000-0000E7D60000}"/>
    <cellStyle name="Percent 13 2 3 5 5" xfId="32054" xr:uid="{00000000-0005-0000-0000-0000E8D60000}"/>
    <cellStyle name="Percent 13 2 3 6" xfId="4021" xr:uid="{00000000-0005-0000-0000-0000E9D60000}"/>
    <cellStyle name="Percent 13 2 3 6 2" xfId="11293" xr:uid="{00000000-0005-0000-0000-0000EAD60000}"/>
    <cellStyle name="Percent 13 2 3 6 2 2" xfId="25827" xr:uid="{00000000-0005-0000-0000-0000EBD60000}"/>
    <cellStyle name="Percent 13 2 3 6 2 2 2" xfId="54833" xr:uid="{00000000-0005-0000-0000-0000ECD60000}"/>
    <cellStyle name="Percent 13 2 3 6 2 3" xfId="40334" xr:uid="{00000000-0005-0000-0000-0000EDD60000}"/>
    <cellStyle name="Percent 13 2 3 6 3" xfId="18579" xr:uid="{00000000-0005-0000-0000-0000EED60000}"/>
    <cellStyle name="Percent 13 2 3 6 3 2" xfId="47585" xr:uid="{00000000-0005-0000-0000-0000EFD60000}"/>
    <cellStyle name="Percent 13 2 3 6 4" xfId="33086" xr:uid="{00000000-0005-0000-0000-0000F0D60000}"/>
    <cellStyle name="Percent 13 2 3 7" xfId="7125" xr:uid="{00000000-0005-0000-0000-0000F1D60000}"/>
    <cellStyle name="Percent 13 2 3 7 2" xfId="14397" xr:uid="{00000000-0005-0000-0000-0000F2D60000}"/>
    <cellStyle name="Percent 13 2 3 7 2 2" xfId="28931" xr:uid="{00000000-0005-0000-0000-0000F3D60000}"/>
    <cellStyle name="Percent 13 2 3 7 2 2 2" xfId="57937" xr:uid="{00000000-0005-0000-0000-0000F4D60000}"/>
    <cellStyle name="Percent 13 2 3 7 2 3" xfId="43438" xr:uid="{00000000-0005-0000-0000-0000F5D60000}"/>
    <cellStyle name="Percent 13 2 3 7 3" xfId="21683" xr:uid="{00000000-0005-0000-0000-0000F6D60000}"/>
    <cellStyle name="Percent 13 2 3 7 3 2" xfId="50689" xr:uid="{00000000-0005-0000-0000-0000F7D60000}"/>
    <cellStyle name="Percent 13 2 3 7 4" xfId="36190" xr:uid="{00000000-0005-0000-0000-0000F8D60000}"/>
    <cellStyle name="Percent 13 2 3 8" xfId="8189" xr:uid="{00000000-0005-0000-0000-0000F9D60000}"/>
    <cellStyle name="Percent 13 2 3 8 2" xfId="22723" xr:uid="{00000000-0005-0000-0000-0000FAD60000}"/>
    <cellStyle name="Percent 13 2 3 8 2 2" xfId="51729" xr:uid="{00000000-0005-0000-0000-0000FBD60000}"/>
    <cellStyle name="Percent 13 2 3 8 3" xfId="37230" xr:uid="{00000000-0005-0000-0000-0000FCD60000}"/>
    <cellStyle name="Percent 13 2 3 9" xfId="15475" xr:uid="{00000000-0005-0000-0000-0000FDD60000}"/>
    <cellStyle name="Percent 13 2 3 9 2" xfId="44481" xr:uid="{00000000-0005-0000-0000-0000FED60000}"/>
    <cellStyle name="Percent 13 2 4" xfId="1115" xr:uid="{00000000-0005-0000-0000-0000FFD60000}"/>
    <cellStyle name="Percent 13 2 4 2" xfId="1613" xr:uid="{00000000-0005-0000-0000-000000D70000}"/>
    <cellStyle name="Percent 13 2 4 2 2" xfId="2672" xr:uid="{00000000-0005-0000-0000-000001D70000}"/>
    <cellStyle name="Percent 13 2 4 2 2 2" xfId="5776" xr:uid="{00000000-0005-0000-0000-000002D70000}"/>
    <cellStyle name="Percent 13 2 4 2 2 2 2" xfId="13048" xr:uid="{00000000-0005-0000-0000-000003D70000}"/>
    <cellStyle name="Percent 13 2 4 2 2 2 2 2" xfId="27582" xr:uid="{00000000-0005-0000-0000-000004D70000}"/>
    <cellStyle name="Percent 13 2 4 2 2 2 2 2 2" xfId="56588" xr:uid="{00000000-0005-0000-0000-000005D70000}"/>
    <cellStyle name="Percent 13 2 4 2 2 2 2 3" xfId="42089" xr:uid="{00000000-0005-0000-0000-000006D70000}"/>
    <cellStyle name="Percent 13 2 4 2 2 2 3" xfId="20334" xr:uid="{00000000-0005-0000-0000-000007D70000}"/>
    <cellStyle name="Percent 13 2 4 2 2 2 3 2" xfId="49340" xr:uid="{00000000-0005-0000-0000-000008D70000}"/>
    <cellStyle name="Percent 13 2 4 2 2 2 4" xfId="34841" xr:uid="{00000000-0005-0000-0000-000009D70000}"/>
    <cellStyle name="Percent 13 2 4 2 2 3" xfId="9944" xr:uid="{00000000-0005-0000-0000-00000AD70000}"/>
    <cellStyle name="Percent 13 2 4 2 2 3 2" xfId="24478" xr:uid="{00000000-0005-0000-0000-00000BD70000}"/>
    <cellStyle name="Percent 13 2 4 2 2 3 2 2" xfId="53484" xr:uid="{00000000-0005-0000-0000-00000CD70000}"/>
    <cellStyle name="Percent 13 2 4 2 2 3 3" xfId="38985" xr:uid="{00000000-0005-0000-0000-00000DD70000}"/>
    <cellStyle name="Percent 13 2 4 2 2 4" xfId="17230" xr:uid="{00000000-0005-0000-0000-00000ED70000}"/>
    <cellStyle name="Percent 13 2 4 2 2 4 2" xfId="46236" xr:uid="{00000000-0005-0000-0000-00000FD70000}"/>
    <cellStyle name="Percent 13 2 4 2 2 5" xfId="31737" xr:uid="{00000000-0005-0000-0000-000010D70000}"/>
    <cellStyle name="Percent 13 2 4 2 3" xfId="3704" xr:uid="{00000000-0005-0000-0000-000011D70000}"/>
    <cellStyle name="Percent 13 2 4 2 3 2" xfId="6808" xr:uid="{00000000-0005-0000-0000-000012D70000}"/>
    <cellStyle name="Percent 13 2 4 2 3 2 2" xfId="14080" xr:uid="{00000000-0005-0000-0000-000013D70000}"/>
    <cellStyle name="Percent 13 2 4 2 3 2 2 2" xfId="28614" xr:uid="{00000000-0005-0000-0000-000014D70000}"/>
    <cellStyle name="Percent 13 2 4 2 3 2 2 2 2" xfId="57620" xr:uid="{00000000-0005-0000-0000-000015D70000}"/>
    <cellStyle name="Percent 13 2 4 2 3 2 2 3" xfId="43121" xr:uid="{00000000-0005-0000-0000-000016D70000}"/>
    <cellStyle name="Percent 13 2 4 2 3 2 3" xfId="21366" xr:uid="{00000000-0005-0000-0000-000017D70000}"/>
    <cellStyle name="Percent 13 2 4 2 3 2 3 2" xfId="50372" xr:uid="{00000000-0005-0000-0000-000018D70000}"/>
    <cellStyle name="Percent 13 2 4 2 3 2 4" xfId="35873" xr:uid="{00000000-0005-0000-0000-000019D70000}"/>
    <cellStyle name="Percent 13 2 4 2 3 3" xfId="10976" xr:uid="{00000000-0005-0000-0000-00001AD70000}"/>
    <cellStyle name="Percent 13 2 4 2 3 3 2" xfId="25510" xr:uid="{00000000-0005-0000-0000-00001BD70000}"/>
    <cellStyle name="Percent 13 2 4 2 3 3 2 2" xfId="54516" xr:uid="{00000000-0005-0000-0000-00001CD70000}"/>
    <cellStyle name="Percent 13 2 4 2 3 3 3" xfId="40017" xr:uid="{00000000-0005-0000-0000-00001DD70000}"/>
    <cellStyle name="Percent 13 2 4 2 3 4" xfId="18262" xr:uid="{00000000-0005-0000-0000-00001ED70000}"/>
    <cellStyle name="Percent 13 2 4 2 3 4 2" xfId="47268" xr:uid="{00000000-0005-0000-0000-00001FD70000}"/>
    <cellStyle name="Percent 13 2 4 2 3 5" xfId="32769" xr:uid="{00000000-0005-0000-0000-000020D70000}"/>
    <cellStyle name="Percent 13 2 4 2 4" xfId="4736" xr:uid="{00000000-0005-0000-0000-000021D70000}"/>
    <cellStyle name="Percent 13 2 4 2 4 2" xfId="12008" xr:uid="{00000000-0005-0000-0000-000022D70000}"/>
    <cellStyle name="Percent 13 2 4 2 4 2 2" xfId="26542" xr:uid="{00000000-0005-0000-0000-000023D70000}"/>
    <cellStyle name="Percent 13 2 4 2 4 2 2 2" xfId="55548" xr:uid="{00000000-0005-0000-0000-000024D70000}"/>
    <cellStyle name="Percent 13 2 4 2 4 2 3" xfId="41049" xr:uid="{00000000-0005-0000-0000-000025D70000}"/>
    <cellStyle name="Percent 13 2 4 2 4 3" xfId="19294" xr:uid="{00000000-0005-0000-0000-000026D70000}"/>
    <cellStyle name="Percent 13 2 4 2 4 3 2" xfId="48300" xr:uid="{00000000-0005-0000-0000-000027D70000}"/>
    <cellStyle name="Percent 13 2 4 2 4 4" xfId="33801" xr:uid="{00000000-0005-0000-0000-000028D70000}"/>
    <cellStyle name="Percent 13 2 4 2 5" xfId="7840" xr:uid="{00000000-0005-0000-0000-000029D70000}"/>
    <cellStyle name="Percent 13 2 4 2 5 2" xfId="15112" xr:uid="{00000000-0005-0000-0000-00002AD70000}"/>
    <cellStyle name="Percent 13 2 4 2 5 2 2" xfId="29646" xr:uid="{00000000-0005-0000-0000-00002BD70000}"/>
    <cellStyle name="Percent 13 2 4 2 5 2 2 2" xfId="58652" xr:uid="{00000000-0005-0000-0000-00002CD70000}"/>
    <cellStyle name="Percent 13 2 4 2 5 2 3" xfId="44153" xr:uid="{00000000-0005-0000-0000-00002DD70000}"/>
    <cellStyle name="Percent 13 2 4 2 5 3" xfId="22398" xr:uid="{00000000-0005-0000-0000-00002ED70000}"/>
    <cellStyle name="Percent 13 2 4 2 5 3 2" xfId="51404" xr:uid="{00000000-0005-0000-0000-00002FD70000}"/>
    <cellStyle name="Percent 13 2 4 2 5 4" xfId="36905" xr:uid="{00000000-0005-0000-0000-000030D70000}"/>
    <cellStyle name="Percent 13 2 4 2 6" xfId="8904" xr:uid="{00000000-0005-0000-0000-000031D70000}"/>
    <cellStyle name="Percent 13 2 4 2 6 2" xfId="23438" xr:uid="{00000000-0005-0000-0000-000032D70000}"/>
    <cellStyle name="Percent 13 2 4 2 6 2 2" xfId="52444" xr:uid="{00000000-0005-0000-0000-000033D70000}"/>
    <cellStyle name="Percent 13 2 4 2 6 3" xfId="37945" xr:uid="{00000000-0005-0000-0000-000034D70000}"/>
    <cellStyle name="Percent 13 2 4 2 7" xfId="16190" xr:uid="{00000000-0005-0000-0000-000035D70000}"/>
    <cellStyle name="Percent 13 2 4 2 7 2" xfId="45196" xr:uid="{00000000-0005-0000-0000-000036D70000}"/>
    <cellStyle name="Percent 13 2 4 2 8" xfId="30697" xr:uid="{00000000-0005-0000-0000-000037D70000}"/>
    <cellStyle name="Percent 13 2 4 3" xfId="2160" xr:uid="{00000000-0005-0000-0000-000038D70000}"/>
    <cellStyle name="Percent 13 2 4 3 2" xfId="5264" xr:uid="{00000000-0005-0000-0000-000039D70000}"/>
    <cellStyle name="Percent 13 2 4 3 2 2" xfId="12536" xr:uid="{00000000-0005-0000-0000-00003AD70000}"/>
    <cellStyle name="Percent 13 2 4 3 2 2 2" xfId="27070" xr:uid="{00000000-0005-0000-0000-00003BD70000}"/>
    <cellStyle name="Percent 13 2 4 3 2 2 2 2" xfId="56076" xr:uid="{00000000-0005-0000-0000-00003CD70000}"/>
    <cellStyle name="Percent 13 2 4 3 2 2 3" xfId="41577" xr:uid="{00000000-0005-0000-0000-00003DD70000}"/>
    <cellStyle name="Percent 13 2 4 3 2 3" xfId="19822" xr:uid="{00000000-0005-0000-0000-00003ED70000}"/>
    <cellStyle name="Percent 13 2 4 3 2 3 2" xfId="48828" xr:uid="{00000000-0005-0000-0000-00003FD70000}"/>
    <cellStyle name="Percent 13 2 4 3 2 4" xfId="34329" xr:uid="{00000000-0005-0000-0000-000040D70000}"/>
    <cellStyle name="Percent 13 2 4 3 3" xfId="9432" xr:uid="{00000000-0005-0000-0000-000041D70000}"/>
    <cellStyle name="Percent 13 2 4 3 3 2" xfId="23966" xr:uid="{00000000-0005-0000-0000-000042D70000}"/>
    <cellStyle name="Percent 13 2 4 3 3 2 2" xfId="52972" xr:uid="{00000000-0005-0000-0000-000043D70000}"/>
    <cellStyle name="Percent 13 2 4 3 3 3" xfId="38473" xr:uid="{00000000-0005-0000-0000-000044D70000}"/>
    <cellStyle name="Percent 13 2 4 3 4" xfId="16718" xr:uid="{00000000-0005-0000-0000-000045D70000}"/>
    <cellStyle name="Percent 13 2 4 3 4 2" xfId="45724" xr:uid="{00000000-0005-0000-0000-000046D70000}"/>
    <cellStyle name="Percent 13 2 4 3 5" xfId="31225" xr:uid="{00000000-0005-0000-0000-000047D70000}"/>
    <cellStyle name="Percent 13 2 4 4" xfId="3192" xr:uid="{00000000-0005-0000-0000-000048D70000}"/>
    <cellStyle name="Percent 13 2 4 4 2" xfId="6296" xr:uid="{00000000-0005-0000-0000-000049D70000}"/>
    <cellStyle name="Percent 13 2 4 4 2 2" xfId="13568" xr:uid="{00000000-0005-0000-0000-00004AD70000}"/>
    <cellStyle name="Percent 13 2 4 4 2 2 2" xfId="28102" xr:uid="{00000000-0005-0000-0000-00004BD70000}"/>
    <cellStyle name="Percent 13 2 4 4 2 2 2 2" xfId="57108" xr:uid="{00000000-0005-0000-0000-00004CD70000}"/>
    <cellStyle name="Percent 13 2 4 4 2 2 3" xfId="42609" xr:uid="{00000000-0005-0000-0000-00004DD70000}"/>
    <cellStyle name="Percent 13 2 4 4 2 3" xfId="20854" xr:uid="{00000000-0005-0000-0000-00004ED70000}"/>
    <cellStyle name="Percent 13 2 4 4 2 3 2" xfId="49860" xr:uid="{00000000-0005-0000-0000-00004FD70000}"/>
    <cellStyle name="Percent 13 2 4 4 2 4" xfId="35361" xr:uid="{00000000-0005-0000-0000-000050D70000}"/>
    <cellStyle name="Percent 13 2 4 4 3" xfId="10464" xr:uid="{00000000-0005-0000-0000-000051D70000}"/>
    <cellStyle name="Percent 13 2 4 4 3 2" xfId="24998" xr:uid="{00000000-0005-0000-0000-000052D70000}"/>
    <cellStyle name="Percent 13 2 4 4 3 2 2" xfId="54004" xr:uid="{00000000-0005-0000-0000-000053D70000}"/>
    <cellStyle name="Percent 13 2 4 4 3 3" xfId="39505" xr:uid="{00000000-0005-0000-0000-000054D70000}"/>
    <cellStyle name="Percent 13 2 4 4 4" xfId="17750" xr:uid="{00000000-0005-0000-0000-000055D70000}"/>
    <cellStyle name="Percent 13 2 4 4 4 2" xfId="46756" xr:uid="{00000000-0005-0000-0000-000056D70000}"/>
    <cellStyle name="Percent 13 2 4 4 5" xfId="32257" xr:uid="{00000000-0005-0000-0000-000057D70000}"/>
    <cellStyle name="Percent 13 2 4 5" xfId="4224" xr:uid="{00000000-0005-0000-0000-000058D70000}"/>
    <cellStyle name="Percent 13 2 4 5 2" xfId="11496" xr:uid="{00000000-0005-0000-0000-000059D70000}"/>
    <cellStyle name="Percent 13 2 4 5 2 2" xfId="26030" xr:uid="{00000000-0005-0000-0000-00005AD70000}"/>
    <cellStyle name="Percent 13 2 4 5 2 2 2" xfId="55036" xr:uid="{00000000-0005-0000-0000-00005BD70000}"/>
    <cellStyle name="Percent 13 2 4 5 2 3" xfId="40537" xr:uid="{00000000-0005-0000-0000-00005CD70000}"/>
    <cellStyle name="Percent 13 2 4 5 3" xfId="18782" xr:uid="{00000000-0005-0000-0000-00005DD70000}"/>
    <cellStyle name="Percent 13 2 4 5 3 2" xfId="47788" xr:uid="{00000000-0005-0000-0000-00005ED70000}"/>
    <cellStyle name="Percent 13 2 4 5 4" xfId="33289" xr:uid="{00000000-0005-0000-0000-00005FD70000}"/>
    <cellStyle name="Percent 13 2 4 6" xfId="7328" xr:uid="{00000000-0005-0000-0000-000060D70000}"/>
    <cellStyle name="Percent 13 2 4 6 2" xfId="14600" xr:uid="{00000000-0005-0000-0000-000061D70000}"/>
    <cellStyle name="Percent 13 2 4 6 2 2" xfId="29134" xr:uid="{00000000-0005-0000-0000-000062D70000}"/>
    <cellStyle name="Percent 13 2 4 6 2 2 2" xfId="58140" xr:uid="{00000000-0005-0000-0000-000063D70000}"/>
    <cellStyle name="Percent 13 2 4 6 2 3" xfId="43641" xr:uid="{00000000-0005-0000-0000-000064D70000}"/>
    <cellStyle name="Percent 13 2 4 6 3" xfId="21886" xr:uid="{00000000-0005-0000-0000-000065D70000}"/>
    <cellStyle name="Percent 13 2 4 6 3 2" xfId="50892" xr:uid="{00000000-0005-0000-0000-000066D70000}"/>
    <cellStyle name="Percent 13 2 4 6 4" xfId="36393" xr:uid="{00000000-0005-0000-0000-000067D70000}"/>
    <cellStyle name="Percent 13 2 4 7" xfId="8392" xr:uid="{00000000-0005-0000-0000-000068D70000}"/>
    <cellStyle name="Percent 13 2 4 7 2" xfId="22926" xr:uid="{00000000-0005-0000-0000-000069D70000}"/>
    <cellStyle name="Percent 13 2 4 7 2 2" xfId="51932" xr:uid="{00000000-0005-0000-0000-00006AD70000}"/>
    <cellStyle name="Percent 13 2 4 7 3" xfId="37433" xr:uid="{00000000-0005-0000-0000-00006BD70000}"/>
    <cellStyle name="Percent 13 2 4 8" xfId="15678" xr:uid="{00000000-0005-0000-0000-00006CD70000}"/>
    <cellStyle name="Percent 13 2 4 8 2" xfId="44684" xr:uid="{00000000-0005-0000-0000-00006DD70000}"/>
    <cellStyle name="Percent 13 2 4 9" xfId="30185" xr:uid="{00000000-0005-0000-0000-00006ED70000}"/>
    <cellStyle name="Percent 13 2 5" xfId="1025" xr:uid="{00000000-0005-0000-0000-00006FD70000}"/>
    <cellStyle name="Percent 13 2 5 2" xfId="1514" xr:uid="{00000000-0005-0000-0000-000070D70000}"/>
    <cellStyle name="Percent 13 2 5 2 2" xfId="2572" xr:uid="{00000000-0005-0000-0000-000071D70000}"/>
    <cellStyle name="Percent 13 2 5 2 2 2" xfId="5676" xr:uid="{00000000-0005-0000-0000-000072D70000}"/>
    <cellStyle name="Percent 13 2 5 2 2 2 2" xfId="12948" xr:uid="{00000000-0005-0000-0000-000073D70000}"/>
    <cellStyle name="Percent 13 2 5 2 2 2 2 2" xfId="27482" xr:uid="{00000000-0005-0000-0000-000074D70000}"/>
    <cellStyle name="Percent 13 2 5 2 2 2 2 2 2" xfId="56488" xr:uid="{00000000-0005-0000-0000-000075D70000}"/>
    <cellStyle name="Percent 13 2 5 2 2 2 2 3" xfId="41989" xr:uid="{00000000-0005-0000-0000-000076D70000}"/>
    <cellStyle name="Percent 13 2 5 2 2 2 3" xfId="20234" xr:uid="{00000000-0005-0000-0000-000077D70000}"/>
    <cellStyle name="Percent 13 2 5 2 2 2 3 2" xfId="49240" xr:uid="{00000000-0005-0000-0000-000078D70000}"/>
    <cellStyle name="Percent 13 2 5 2 2 2 4" xfId="34741" xr:uid="{00000000-0005-0000-0000-000079D70000}"/>
    <cellStyle name="Percent 13 2 5 2 2 3" xfId="9844" xr:uid="{00000000-0005-0000-0000-00007AD70000}"/>
    <cellStyle name="Percent 13 2 5 2 2 3 2" xfId="24378" xr:uid="{00000000-0005-0000-0000-00007BD70000}"/>
    <cellStyle name="Percent 13 2 5 2 2 3 2 2" xfId="53384" xr:uid="{00000000-0005-0000-0000-00007CD70000}"/>
    <cellStyle name="Percent 13 2 5 2 2 3 3" xfId="38885" xr:uid="{00000000-0005-0000-0000-00007DD70000}"/>
    <cellStyle name="Percent 13 2 5 2 2 4" xfId="17130" xr:uid="{00000000-0005-0000-0000-00007ED70000}"/>
    <cellStyle name="Percent 13 2 5 2 2 4 2" xfId="46136" xr:uid="{00000000-0005-0000-0000-00007FD70000}"/>
    <cellStyle name="Percent 13 2 5 2 2 5" xfId="31637" xr:uid="{00000000-0005-0000-0000-000080D70000}"/>
    <cellStyle name="Percent 13 2 5 2 3" xfId="3604" xr:uid="{00000000-0005-0000-0000-000081D70000}"/>
    <cellStyle name="Percent 13 2 5 2 3 2" xfId="6708" xr:uid="{00000000-0005-0000-0000-000082D70000}"/>
    <cellStyle name="Percent 13 2 5 2 3 2 2" xfId="13980" xr:uid="{00000000-0005-0000-0000-000083D70000}"/>
    <cellStyle name="Percent 13 2 5 2 3 2 2 2" xfId="28514" xr:uid="{00000000-0005-0000-0000-000084D70000}"/>
    <cellStyle name="Percent 13 2 5 2 3 2 2 2 2" xfId="57520" xr:uid="{00000000-0005-0000-0000-000085D70000}"/>
    <cellStyle name="Percent 13 2 5 2 3 2 2 3" xfId="43021" xr:uid="{00000000-0005-0000-0000-000086D70000}"/>
    <cellStyle name="Percent 13 2 5 2 3 2 3" xfId="21266" xr:uid="{00000000-0005-0000-0000-000087D70000}"/>
    <cellStyle name="Percent 13 2 5 2 3 2 3 2" xfId="50272" xr:uid="{00000000-0005-0000-0000-000088D70000}"/>
    <cellStyle name="Percent 13 2 5 2 3 2 4" xfId="35773" xr:uid="{00000000-0005-0000-0000-000089D70000}"/>
    <cellStyle name="Percent 13 2 5 2 3 3" xfId="10876" xr:uid="{00000000-0005-0000-0000-00008AD70000}"/>
    <cellStyle name="Percent 13 2 5 2 3 3 2" xfId="25410" xr:uid="{00000000-0005-0000-0000-00008BD70000}"/>
    <cellStyle name="Percent 13 2 5 2 3 3 2 2" xfId="54416" xr:uid="{00000000-0005-0000-0000-00008CD70000}"/>
    <cellStyle name="Percent 13 2 5 2 3 3 3" xfId="39917" xr:uid="{00000000-0005-0000-0000-00008DD70000}"/>
    <cellStyle name="Percent 13 2 5 2 3 4" xfId="18162" xr:uid="{00000000-0005-0000-0000-00008ED70000}"/>
    <cellStyle name="Percent 13 2 5 2 3 4 2" xfId="47168" xr:uid="{00000000-0005-0000-0000-00008FD70000}"/>
    <cellStyle name="Percent 13 2 5 2 3 5" xfId="32669" xr:uid="{00000000-0005-0000-0000-000090D70000}"/>
    <cellStyle name="Percent 13 2 5 2 4" xfId="4636" xr:uid="{00000000-0005-0000-0000-000091D70000}"/>
    <cellStyle name="Percent 13 2 5 2 4 2" xfId="11908" xr:uid="{00000000-0005-0000-0000-000092D70000}"/>
    <cellStyle name="Percent 13 2 5 2 4 2 2" xfId="26442" xr:uid="{00000000-0005-0000-0000-000093D70000}"/>
    <cellStyle name="Percent 13 2 5 2 4 2 2 2" xfId="55448" xr:uid="{00000000-0005-0000-0000-000094D70000}"/>
    <cellStyle name="Percent 13 2 5 2 4 2 3" xfId="40949" xr:uid="{00000000-0005-0000-0000-000095D70000}"/>
    <cellStyle name="Percent 13 2 5 2 4 3" xfId="19194" xr:uid="{00000000-0005-0000-0000-000096D70000}"/>
    <cellStyle name="Percent 13 2 5 2 4 3 2" xfId="48200" xr:uid="{00000000-0005-0000-0000-000097D70000}"/>
    <cellStyle name="Percent 13 2 5 2 4 4" xfId="33701" xr:uid="{00000000-0005-0000-0000-000098D70000}"/>
    <cellStyle name="Percent 13 2 5 2 5" xfId="7740" xr:uid="{00000000-0005-0000-0000-000099D70000}"/>
    <cellStyle name="Percent 13 2 5 2 5 2" xfId="15012" xr:uid="{00000000-0005-0000-0000-00009AD70000}"/>
    <cellStyle name="Percent 13 2 5 2 5 2 2" xfId="29546" xr:uid="{00000000-0005-0000-0000-00009BD70000}"/>
    <cellStyle name="Percent 13 2 5 2 5 2 2 2" xfId="58552" xr:uid="{00000000-0005-0000-0000-00009CD70000}"/>
    <cellStyle name="Percent 13 2 5 2 5 2 3" xfId="44053" xr:uid="{00000000-0005-0000-0000-00009DD70000}"/>
    <cellStyle name="Percent 13 2 5 2 5 3" xfId="22298" xr:uid="{00000000-0005-0000-0000-00009ED70000}"/>
    <cellStyle name="Percent 13 2 5 2 5 3 2" xfId="51304" xr:uid="{00000000-0005-0000-0000-00009FD70000}"/>
    <cellStyle name="Percent 13 2 5 2 5 4" xfId="36805" xr:uid="{00000000-0005-0000-0000-0000A0D70000}"/>
    <cellStyle name="Percent 13 2 5 2 6" xfId="8804" xr:uid="{00000000-0005-0000-0000-0000A1D70000}"/>
    <cellStyle name="Percent 13 2 5 2 6 2" xfId="23338" xr:uid="{00000000-0005-0000-0000-0000A2D70000}"/>
    <cellStyle name="Percent 13 2 5 2 6 2 2" xfId="52344" xr:uid="{00000000-0005-0000-0000-0000A3D70000}"/>
    <cellStyle name="Percent 13 2 5 2 6 3" xfId="37845" xr:uid="{00000000-0005-0000-0000-0000A4D70000}"/>
    <cellStyle name="Percent 13 2 5 2 7" xfId="16090" xr:uid="{00000000-0005-0000-0000-0000A5D70000}"/>
    <cellStyle name="Percent 13 2 5 2 7 2" xfId="45096" xr:uid="{00000000-0005-0000-0000-0000A6D70000}"/>
    <cellStyle name="Percent 13 2 5 2 8" xfId="30597" xr:uid="{00000000-0005-0000-0000-0000A7D70000}"/>
    <cellStyle name="Percent 13 2 5 3" xfId="2060" xr:uid="{00000000-0005-0000-0000-0000A8D70000}"/>
    <cellStyle name="Percent 13 2 5 3 2" xfId="5164" xr:uid="{00000000-0005-0000-0000-0000A9D70000}"/>
    <cellStyle name="Percent 13 2 5 3 2 2" xfId="12436" xr:uid="{00000000-0005-0000-0000-0000AAD70000}"/>
    <cellStyle name="Percent 13 2 5 3 2 2 2" xfId="26970" xr:uid="{00000000-0005-0000-0000-0000ABD70000}"/>
    <cellStyle name="Percent 13 2 5 3 2 2 2 2" xfId="55976" xr:uid="{00000000-0005-0000-0000-0000ACD70000}"/>
    <cellStyle name="Percent 13 2 5 3 2 2 3" xfId="41477" xr:uid="{00000000-0005-0000-0000-0000ADD70000}"/>
    <cellStyle name="Percent 13 2 5 3 2 3" xfId="19722" xr:uid="{00000000-0005-0000-0000-0000AED70000}"/>
    <cellStyle name="Percent 13 2 5 3 2 3 2" xfId="48728" xr:uid="{00000000-0005-0000-0000-0000AFD70000}"/>
    <cellStyle name="Percent 13 2 5 3 2 4" xfId="34229" xr:uid="{00000000-0005-0000-0000-0000B0D70000}"/>
    <cellStyle name="Percent 13 2 5 3 3" xfId="9332" xr:uid="{00000000-0005-0000-0000-0000B1D70000}"/>
    <cellStyle name="Percent 13 2 5 3 3 2" xfId="23866" xr:uid="{00000000-0005-0000-0000-0000B2D70000}"/>
    <cellStyle name="Percent 13 2 5 3 3 2 2" xfId="52872" xr:uid="{00000000-0005-0000-0000-0000B3D70000}"/>
    <cellStyle name="Percent 13 2 5 3 3 3" xfId="38373" xr:uid="{00000000-0005-0000-0000-0000B4D70000}"/>
    <cellStyle name="Percent 13 2 5 3 4" xfId="16618" xr:uid="{00000000-0005-0000-0000-0000B5D70000}"/>
    <cellStyle name="Percent 13 2 5 3 4 2" xfId="45624" xr:uid="{00000000-0005-0000-0000-0000B6D70000}"/>
    <cellStyle name="Percent 13 2 5 3 5" xfId="31125" xr:uid="{00000000-0005-0000-0000-0000B7D70000}"/>
    <cellStyle name="Percent 13 2 5 4" xfId="3092" xr:uid="{00000000-0005-0000-0000-0000B8D70000}"/>
    <cellStyle name="Percent 13 2 5 4 2" xfId="6196" xr:uid="{00000000-0005-0000-0000-0000B9D70000}"/>
    <cellStyle name="Percent 13 2 5 4 2 2" xfId="13468" xr:uid="{00000000-0005-0000-0000-0000BAD70000}"/>
    <cellStyle name="Percent 13 2 5 4 2 2 2" xfId="28002" xr:uid="{00000000-0005-0000-0000-0000BBD70000}"/>
    <cellStyle name="Percent 13 2 5 4 2 2 2 2" xfId="57008" xr:uid="{00000000-0005-0000-0000-0000BCD70000}"/>
    <cellStyle name="Percent 13 2 5 4 2 2 3" xfId="42509" xr:uid="{00000000-0005-0000-0000-0000BDD70000}"/>
    <cellStyle name="Percent 13 2 5 4 2 3" xfId="20754" xr:uid="{00000000-0005-0000-0000-0000BED70000}"/>
    <cellStyle name="Percent 13 2 5 4 2 3 2" xfId="49760" xr:uid="{00000000-0005-0000-0000-0000BFD70000}"/>
    <cellStyle name="Percent 13 2 5 4 2 4" xfId="35261" xr:uid="{00000000-0005-0000-0000-0000C0D70000}"/>
    <cellStyle name="Percent 13 2 5 4 3" xfId="10364" xr:uid="{00000000-0005-0000-0000-0000C1D70000}"/>
    <cellStyle name="Percent 13 2 5 4 3 2" xfId="24898" xr:uid="{00000000-0005-0000-0000-0000C2D70000}"/>
    <cellStyle name="Percent 13 2 5 4 3 2 2" xfId="53904" xr:uid="{00000000-0005-0000-0000-0000C3D70000}"/>
    <cellStyle name="Percent 13 2 5 4 3 3" xfId="39405" xr:uid="{00000000-0005-0000-0000-0000C4D70000}"/>
    <cellStyle name="Percent 13 2 5 4 4" xfId="17650" xr:uid="{00000000-0005-0000-0000-0000C5D70000}"/>
    <cellStyle name="Percent 13 2 5 4 4 2" xfId="46656" xr:uid="{00000000-0005-0000-0000-0000C6D70000}"/>
    <cellStyle name="Percent 13 2 5 4 5" xfId="32157" xr:uid="{00000000-0005-0000-0000-0000C7D70000}"/>
    <cellStyle name="Percent 13 2 5 5" xfId="4124" xr:uid="{00000000-0005-0000-0000-0000C8D70000}"/>
    <cellStyle name="Percent 13 2 5 5 2" xfId="11396" xr:uid="{00000000-0005-0000-0000-0000C9D70000}"/>
    <cellStyle name="Percent 13 2 5 5 2 2" xfId="25930" xr:uid="{00000000-0005-0000-0000-0000CAD70000}"/>
    <cellStyle name="Percent 13 2 5 5 2 2 2" xfId="54936" xr:uid="{00000000-0005-0000-0000-0000CBD70000}"/>
    <cellStyle name="Percent 13 2 5 5 2 3" xfId="40437" xr:uid="{00000000-0005-0000-0000-0000CCD70000}"/>
    <cellStyle name="Percent 13 2 5 5 3" xfId="18682" xr:uid="{00000000-0005-0000-0000-0000CDD70000}"/>
    <cellStyle name="Percent 13 2 5 5 3 2" xfId="47688" xr:uid="{00000000-0005-0000-0000-0000CED70000}"/>
    <cellStyle name="Percent 13 2 5 5 4" xfId="33189" xr:uid="{00000000-0005-0000-0000-0000CFD70000}"/>
    <cellStyle name="Percent 13 2 5 6" xfId="7228" xr:uid="{00000000-0005-0000-0000-0000D0D70000}"/>
    <cellStyle name="Percent 13 2 5 6 2" xfId="14500" xr:uid="{00000000-0005-0000-0000-0000D1D70000}"/>
    <cellStyle name="Percent 13 2 5 6 2 2" xfId="29034" xr:uid="{00000000-0005-0000-0000-0000D2D70000}"/>
    <cellStyle name="Percent 13 2 5 6 2 2 2" xfId="58040" xr:uid="{00000000-0005-0000-0000-0000D3D70000}"/>
    <cellStyle name="Percent 13 2 5 6 2 3" xfId="43541" xr:uid="{00000000-0005-0000-0000-0000D4D70000}"/>
    <cellStyle name="Percent 13 2 5 6 3" xfId="21786" xr:uid="{00000000-0005-0000-0000-0000D5D70000}"/>
    <cellStyle name="Percent 13 2 5 6 3 2" xfId="50792" xr:uid="{00000000-0005-0000-0000-0000D6D70000}"/>
    <cellStyle name="Percent 13 2 5 6 4" xfId="36293" xr:uid="{00000000-0005-0000-0000-0000D7D70000}"/>
    <cellStyle name="Percent 13 2 5 7" xfId="8292" xr:uid="{00000000-0005-0000-0000-0000D8D70000}"/>
    <cellStyle name="Percent 13 2 5 7 2" xfId="22826" xr:uid="{00000000-0005-0000-0000-0000D9D70000}"/>
    <cellStyle name="Percent 13 2 5 7 2 2" xfId="51832" xr:uid="{00000000-0005-0000-0000-0000DAD70000}"/>
    <cellStyle name="Percent 13 2 5 7 3" xfId="37333" xr:uid="{00000000-0005-0000-0000-0000DBD70000}"/>
    <cellStyle name="Percent 13 2 5 8" xfId="15578" xr:uid="{00000000-0005-0000-0000-0000DCD70000}"/>
    <cellStyle name="Percent 13 2 5 8 2" xfId="44584" xr:uid="{00000000-0005-0000-0000-0000DDD70000}"/>
    <cellStyle name="Percent 13 2 5 9" xfId="30085" xr:uid="{00000000-0005-0000-0000-0000DED70000}"/>
    <cellStyle name="Percent 13 2 6" xfId="1309" xr:uid="{00000000-0005-0000-0000-0000DFD70000}"/>
    <cellStyle name="Percent 13 2 6 2" xfId="2366" xr:uid="{00000000-0005-0000-0000-0000E0D70000}"/>
    <cellStyle name="Percent 13 2 6 2 2" xfId="5470" xr:uid="{00000000-0005-0000-0000-0000E1D70000}"/>
    <cellStyle name="Percent 13 2 6 2 2 2" xfId="12742" xr:uid="{00000000-0005-0000-0000-0000E2D70000}"/>
    <cellStyle name="Percent 13 2 6 2 2 2 2" xfId="27276" xr:uid="{00000000-0005-0000-0000-0000E3D70000}"/>
    <cellStyle name="Percent 13 2 6 2 2 2 2 2" xfId="56282" xr:uid="{00000000-0005-0000-0000-0000E4D70000}"/>
    <cellStyle name="Percent 13 2 6 2 2 2 3" xfId="41783" xr:uid="{00000000-0005-0000-0000-0000E5D70000}"/>
    <cellStyle name="Percent 13 2 6 2 2 3" xfId="20028" xr:uid="{00000000-0005-0000-0000-0000E6D70000}"/>
    <cellStyle name="Percent 13 2 6 2 2 3 2" xfId="49034" xr:uid="{00000000-0005-0000-0000-0000E7D70000}"/>
    <cellStyle name="Percent 13 2 6 2 2 4" xfId="34535" xr:uid="{00000000-0005-0000-0000-0000E8D70000}"/>
    <cellStyle name="Percent 13 2 6 2 3" xfId="9638" xr:uid="{00000000-0005-0000-0000-0000E9D70000}"/>
    <cellStyle name="Percent 13 2 6 2 3 2" xfId="24172" xr:uid="{00000000-0005-0000-0000-0000EAD70000}"/>
    <cellStyle name="Percent 13 2 6 2 3 2 2" xfId="53178" xr:uid="{00000000-0005-0000-0000-0000EBD70000}"/>
    <cellStyle name="Percent 13 2 6 2 3 3" xfId="38679" xr:uid="{00000000-0005-0000-0000-0000ECD70000}"/>
    <cellStyle name="Percent 13 2 6 2 4" xfId="16924" xr:uid="{00000000-0005-0000-0000-0000EDD70000}"/>
    <cellStyle name="Percent 13 2 6 2 4 2" xfId="45930" xr:uid="{00000000-0005-0000-0000-0000EED70000}"/>
    <cellStyle name="Percent 13 2 6 2 5" xfId="31431" xr:uid="{00000000-0005-0000-0000-0000EFD70000}"/>
    <cellStyle name="Percent 13 2 6 3" xfId="3398" xr:uid="{00000000-0005-0000-0000-0000F0D70000}"/>
    <cellStyle name="Percent 13 2 6 3 2" xfId="6502" xr:uid="{00000000-0005-0000-0000-0000F1D70000}"/>
    <cellStyle name="Percent 13 2 6 3 2 2" xfId="13774" xr:uid="{00000000-0005-0000-0000-0000F2D70000}"/>
    <cellStyle name="Percent 13 2 6 3 2 2 2" xfId="28308" xr:uid="{00000000-0005-0000-0000-0000F3D70000}"/>
    <cellStyle name="Percent 13 2 6 3 2 2 2 2" xfId="57314" xr:uid="{00000000-0005-0000-0000-0000F4D70000}"/>
    <cellStyle name="Percent 13 2 6 3 2 2 3" xfId="42815" xr:uid="{00000000-0005-0000-0000-0000F5D70000}"/>
    <cellStyle name="Percent 13 2 6 3 2 3" xfId="21060" xr:uid="{00000000-0005-0000-0000-0000F6D70000}"/>
    <cellStyle name="Percent 13 2 6 3 2 3 2" xfId="50066" xr:uid="{00000000-0005-0000-0000-0000F7D70000}"/>
    <cellStyle name="Percent 13 2 6 3 2 4" xfId="35567" xr:uid="{00000000-0005-0000-0000-0000F8D70000}"/>
    <cellStyle name="Percent 13 2 6 3 3" xfId="10670" xr:uid="{00000000-0005-0000-0000-0000F9D70000}"/>
    <cellStyle name="Percent 13 2 6 3 3 2" xfId="25204" xr:uid="{00000000-0005-0000-0000-0000FAD70000}"/>
    <cellStyle name="Percent 13 2 6 3 3 2 2" xfId="54210" xr:uid="{00000000-0005-0000-0000-0000FBD70000}"/>
    <cellStyle name="Percent 13 2 6 3 3 3" xfId="39711" xr:uid="{00000000-0005-0000-0000-0000FCD70000}"/>
    <cellStyle name="Percent 13 2 6 3 4" xfId="17956" xr:uid="{00000000-0005-0000-0000-0000FDD70000}"/>
    <cellStyle name="Percent 13 2 6 3 4 2" xfId="46962" xr:uid="{00000000-0005-0000-0000-0000FED70000}"/>
    <cellStyle name="Percent 13 2 6 3 5" xfId="32463" xr:uid="{00000000-0005-0000-0000-0000FFD70000}"/>
    <cellStyle name="Percent 13 2 6 4" xfId="4430" xr:uid="{00000000-0005-0000-0000-000000D80000}"/>
    <cellStyle name="Percent 13 2 6 4 2" xfId="11702" xr:uid="{00000000-0005-0000-0000-000001D80000}"/>
    <cellStyle name="Percent 13 2 6 4 2 2" xfId="26236" xr:uid="{00000000-0005-0000-0000-000002D80000}"/>
    <cellStyle name="Percent 13 2 6 4 2 2 2" xfId="55242" xr:uid="{00000000-0005-0000-0000-000003D80000}"/>
    <cellStyle name="Percent 13 2 6 4 2 3" xfId="40743" xr:uid="{00000000-0005-0000-0000-000004D80000}"/>
    <cellStyle name="Percent 13 2 6 4 3" xfId="18988" xr:uid="{00000000-0005-0000-0000-000005D80000}"/>
    <cellStyle name="Percent 13 2 6 4 3 2" xfId="47994" xr:uid="{00000000-0005-0000-0000-000006D80000}"/>
    <cellStyle name="Percent 13 2 6 4 4" xfId="33495" xr:uid="{00000000-0005-0000-0000-000007D80000}"/>
    <cellStyle name="Percent 13 2 6 5" xfId="7534" xr:uid="{00000000-0005-0000-0000-000008D80000}"/>
    <cellStyle name="Percent 13 2 6 5 2" xfId="14806" xr:uid="{00000000-0005-0000-0000-000009D80000}"/>
    <cellStyle name="Percent 13 2 6 5 2 2" xfId="29340" xr:uid="{00000000-0005-0000-0000-00000AD80000}"/>
    <cellStyle name="Percent 13 2 6 5 2 2 2" xfId="58346" xr:uid="{00000000-0005-0000-0000-00000BD80000}"/>
    <cellStyle name="Percent 13 2 6 5 2 3" xfId="43847" xr:uid="{00000000-0005-0000-0000-00000CD80000}"/>
    <cellStyle name="Percent 13 2 6 5 3" xfId="22092" xr:uid="{00000000-0005-0000-0000-00000DD80000}"/>
    <cellStyle name="Percent 13 2 6 5 3 2" xfId="51098" xr:uid="{00000000-0005-0000-0000-00000ED80000}"/>
    <cellStyle name="Percent 13 2 6 5 4" xfId="36599" xr:uid="{00000000-0005-0000-0000-00000FD80000}"/>
    <cellStyle name="Percent 13 2 6 6" xfId="8598" xr:uid="{00000000-0005-0000-0000-000010D80000}"/>
    <cellStyle name="Percent 13 2 6 6 2" xfId="23132" xr:uid="{00000000-0005-0000-0000-000011D80000}"/>
    <cellStyle name="Percent 13 2 6 6 2 2" xfId="52138" xr:uid="{00000000-0005-0000-0000-000012D80000}"/>
    <cellStyle name="Percent 13 2 6 6 3" xfId="37639" xr:uid="{00000000-0005-0000-0000-000013D80000}"/>
    <cellStyle name="Percent 13 2 6 7" xfId="15884" xr:uid="{00000000-0005-0000-0000-000014D80000}"/>
    <cellStyle name="Percent 13 2 6 7 2" xfId="44890" xr:uid="{00000000-0005-0000-0000-000015D80000}"/>
    <cellStyle name="Percent 13 2 6 8" xfId="30391" xr:uid="{00000000-0005-0000-0000-000016D80000}"/>
    <cellStyle name="Percent 13 2 7" xfId="1854" xr:uid="{00000000-0005-0000-0000-000017D80000}"/>
    <cellStyle name="Percent 13 2 7 2" xfId="4958" xr:uid="{00000000-0005-0000-0000-000018D80000}"/>
    <cellStyle name="Percent 13 2 7 2 2" xfId="12230" xr:uid="{00000000-0005-0000-0000-000019D80000}"/>
    <cellStyle name="Percent 13 2 7 2 2 2" xfId="26764" xr:uid="{00000000-0005-0000-0000-00001AD80000}"/>
    <cellStyle name="Percent 13 2 7 2 2 2 2" xfId="55770" xr:uid="{00000000-0005-0000-0000-00001BD80000}"/>
    <cellStyle name="Percent 13 2 7 2 2 3" xfId="41271" xr:uid="{00000000-0005-0000-0000-00001CD80000}"/>
    <cellStyle name="Percent 13 2 7 2 3" xfId="19516" xr:uid="{00000000-0005-0000-0000-00001DD80000}"/>
    <cellStyle name="Percent 13 2 7 2 3 2" xfId="48522" xr:uid="{00000000-0005-0000-0000-00001ED80000}"/>
    <cellStyle name="Percent 13 2 7 2 4" xfId="34023" xr:uid="{00000000-0005-0000-0000-00001FD80000}"/>
    <cellStyle name="Percent 13 2 7 3" xfId="9126" xr:uid="{00000000-0005-0000-0000-000020D80000}"/>
    <cellStyle name="Percent 13 2 7 3 2" xfId="23660" xr:uid="{00000000-0005-0000-0000-000021D80000}"/>
    <cellStyle name="Percent 13 2 7 3 2 2" xfId="52666" xr:uid="{00000000-0005-0000-0000-000022D80000}"/>
    <cellStyle name="Percent 13 2 7 3 3" xfId="38167" xr:uid="{00000000-0005-0000-0000-000023D80000}"/>
    <cellStyle name="Percent 13 2 7 4" xfId="16412" xr:uid="{00000000-0005-0000-0000-000024D80000}"/>
    <cellStyle name="Percent 13 2 7 4 2" xfId="45418" xr:uid="{00000000-0005-0000-0000-000025D80000}"/>
    <cellStyle name="Percent 13 2 7 5" xfId="30919" xr:uid="{00000000-0005-0000-0000-000026D80000}"/>
    <cellStyle name="Percent 13 2 8" xfId="2886" xr:uid="{00000000-0005-0000-0000-000027D80000}"/>
    <cellStyle name="Percent 13 2 8 2" xfId="5990" xr:uid="{00000000-0005-0000-0000-000028D80000}"/>
    <cellStyle name="Percent 13 2 8 2 2" xfId="13262" xr:uid="{00000000-0005-0000-0000-000029D80000}"/>
    <cellStyle name="Percent 13 2 8 2 2 2" xfId="27796" xr:uid="{00000000-0005-0000-0000-00002AD80000}"/>
    <cellStyle name="Percent 13 2 8 2 2 2 2" xfId="56802" xr:uid="{00000000-0005-0000-0000-00002BD80000}"/>
    <cellStyle name="Percent 13 2 8 2 2 3" xfId="42303" xr:uid="{00000000-0005-0000-0000-00002CD80000}"/>
    <cellStyle name="Percent 13 2 8 2 3" xfId="20548" xr:uid="{00000000-0005-0000-0000-00002DD80000}"/>
    <cellStyle name="Percent 13 2 8 2 3 2" xfId="49554" xr:uid="{00000000-0005-0000-0000-00002ED80000}"/>
    <cellStyle name="Percent 13 2 8 2 4" xfId="35055" xr:uid="{00000000-0005-0000-0000-00002FD80000}"/>
    <cellStyle name="Percent 13 2 8 3" xfId="10158" xr:uid="{00000000-0005-0000-0000-000030D80000}"/>
    <cellStyle name="Percent 13 2 8 3 2" xfId="24692" xr:uid="{00000000-0005-0000-0000-000031D80000}"/>
    <cellStyle name="Percent 13 2 8 3 2 2" xfId="53698" xr:uid="{00000000-0005-0000-0000-000032D80000}"/>
    <cellStyle name="Percent 13 2 8 3 3" xfId="39199" xr:uid="{00000000-0005-0000-0000-000033D80000}"/>
    <cellStyle name="Percent 13 2 8 4" xfId="17444" xr:uid="{00000000-0005-0000-0000-000034D80000}"/>
    <cellStyle name="Percent 13 2 8 4 2" xfId="46450" xr:uid="{00000000-0005-0000-0000-000035D80000}"/>
    <cellStyle name="Percent 13 2 8 5" xfId="31951" xr:uid="{00000000-0005-0000-0000-000036D80000}"/>
    <cellStyle name="Percent 13 2 9" xfId="3918" xr:uid="{00000000-0005-0000-0000-000037D80000}"/>
    <cellStyle name="Percent 13 2 9 2" xfId="11190" xr:uid="{00000000-0005-0000-0000-000038D80000}"/>
    <cellStyle name="Percent 13 2 9 2 2" xfId="25724" xr:uid="{00000000-0005-0000-0000-000039D80000}"/>
    <cellStyle name="Percent 13 2 9 2 2 2" xfId="54730" xr:uid="{00000000-0005-0000-0000-00003AD80000}"/>
    <cellStyle name="Percent 13 2 9 2 3" xfId="40231" xr:uid="{00000000-0005-0000-0000-00003BD80000}"/>
    <cellStyle name="Percent 13 2 9 3" xfId="18476" xr:uid="{00000000-0005-0000-0000-00003CD80000}"/>
    <cellStyle name="Percent 13 2 9 3 2" xfId="47482" xr:uid="{00000000-0005-0000-0000-00003DD80000}"/>
    <cellStyle name="Percent 13 2 9 4" xfId="32983" xr:uid="{00000000-0005-0000-0000-00003ED80000}"/>
    <cellStyle name="Percent 13 3" xfId="881" xr:uid="{00000000-0005-0000-0000-00003FD80000}"/>
    <cellStyle name="Percent 13 3 10" xfId="8114" xr:uid="{00000000-0005-0000-0000-000040D80000}"/>
    <cellStyle name="Percent 13 3 10 2" xfId="22648" xr:uid="{00000000-0005-0000-0000-000041D80000}"/>
    <cellStyle name="Percent 13 3 10 2 2" xfId="51654" xr:uid="{00000000-0005-0000-0000-000042D80000}"/>
    <cellStyle name="Percent 13 3 10 3" xfId="37155" xr:uid="{00000000-0005-0000-0000-000043D80000}"/>
    <cellStyle name="Percent 13 3 11" xfId="15400" xr:uid="{00000000-0005-0000-0000-000044D80000}"/>
    <cellStyle name="Percent 13 3 11 2" xfId="44406" xr:uid="{00000000-0005-0000-0000-000045D80000}"/>
    <cellStyle name="Percent 13 3 12" xfId="29907" xr:uid="{00000000-0005-0000-0000-000046D80000}"/>
    <cellStyle name="Percent 13 3 2" xfId="961" xr:uid="{00000000-0005-0000-0000-000047D80000}"/>
    <cellStyle name="Percent 13 3 2 10" xfId="30010" xr:uid="{00000000-0005-0000-0000-000048D80000}"/>
    <cellStyle name="Percent 13 3 2 2" xfId="1238" xr:uid="{00000000-0005-0000-0000-000049D80000}"/>
    <cellStyle name="Percent 13 3 2 2 2" xfId="1744" xr:uid="{00000000-0005-0000-0000-00004AD80000}"/>
    <cellStyle name="Percent 13 3 2 2 2 2" xfId="2803" xr:uid="{00000000-0005-0000-0000-00004BD80000}"/>
    <cellStyle name="Percent 13 3 2 2 2 2 2" xfId="5907" xr:uid="{00000000-0005-0000-0000-00004CD80000}"/>
    <cellStyle name="Percent 13 3 2 2 2 2 2 2" xfId="13179" xr:uid="{00000000-0005-0000-0000-00004DD80000}"/>
    <cellStyle name="Percent 13 3 2 2 2 2 2 2 2" xfId="27713" xr:uid="{00000000-0005-0000-0000-00004ED80000}"/>
    <cellStyle name="Percent 13 3 2 2 2 2 2 2 2 2" xfId="56719" xr:uid="{00000000-0005-0000-0000-00004FD80000}"/>
    <cellStyle name="Percent 13 3 2 2 2 2 2 2 3" xfId="42220" xr:uid="{00000000-0005-0000-0000-000050D80000}"/>
    <cellStyle name="Percent 13 3 2 2 2 2 2 3" xfId="20465" xr:uid="{00000000-0005-0000-0000-000051D80000}"/>
    <cellStyle name="Percent 13 3 2 2 2 2 2 3 2" xfId="49471" xr:uid="{00000000-0005-0000-0000-000052D80000}"/>
    <cellStyle name="Percent 13 3 2 2 2 2 2 4" xfId="34972" xr:uid="{00000000-0005-0000-0000-000053D80000}"/>
    <cellStyle name="Percent 13 3 2 2 2 2 3" xfId="10075" xr:uid="{00000000-0005-0000-0000-000054D80000}"/>
    <cellStyle name="Percent 13 3 2 2 2 2 3 2" xfId="24609" xr:uid="{00000000-0005-0000-0000-000055D80000}"/>
    <cellStyle name="Percent 13 3 2 2 2 2 3 2 2" xfId="53615" xr:uid="{00000000-0005-0000-0000-000056D80000}"/>
    <cellStyle name="Percent 13 3 2 2 2 2 3 3" xfId="39116" xr:uid="{00000000-0005-0000-0000-000057D80000}"/>
    <cellStyle name="Percent 13 3 2 2 2 2 4" xfId="17361" xr:uid="{00000000-0005-0000-0000-000058D80000}"/>
    <cellStyle name="Percent 13 3 2 2 2 2 4 2" xfId="46367" xr:uid="{00000000-0005-0000-0000-000059D80000}"/>
    <cellStyle name="Percent 13 3 2 2 2 2 5" xfId="31868" xr:uid="{00000000-0005-0000-0000-00005AD80000}"/>
    <cellStyle name="Percent 13 3 2 2 2 3" xfId="3835" xr:uid="{00000000-0005-0000-0000-00005BD80000}"/>
    <cellStyle name="Percent 13 3 2 2 2 3 2" xfId="6939" xr:uid="{00000000-0005-0000-0000-00005CD80000}"/>
    <cellStyle name="Percent 13 3 2 2 2 3 2 2" xfId="14211" xr:uid="{00000000-0005-0000-0000-00005DD80000}"/>
    <cellStyle name="Percent 13 3 2 2 2 3 2 2 2" xfId="28745" xr:uid="{00000000-0005-0000-0000-00005ED80000}"/>
    <cellStyle name="Percent 13 3 2 2 2 3 2 2 2 2" xfId="57751" xr:uid="{00000000-0005-0000-0000-00005FD80000}"/>
    <cellStyle name="Percent 13 3 2 2 2 3 2 2 3" xfId="43252" xr:uid="{00000000-0005-0000-0000-000060D80000}"/>
    <cellStyle name="Percent 13 3 2 2 2 3 2 3" xfId="21497" xr:uid="{00000000-0005-0000-0000-000061D80000}"/>
    <cellStyle name="Percent 13 3 2 2 2 3 2 3 2" xfId="50503" xr:uid="{00000000-0005-0000-0000-000062D80000}"/>
    <cellStyle name="Percent 13 3 2 2 2 3 2 4" xfId="36004" xr:uid="{00000000-0005-0000-0000-000063D80000}"/>
    <cellStyle name="Percent 13 3 2 2 2 3 3" xfId="11107" xr:uid="{00000000-0005-0000-0000-000064D80000}"/>
    <cellStyle name="Percent 13 3 2 2 2 3 3 2" xfId="25641" xr:uid="{00000000-0005-0000-0000-000065D80000}"/>
    <cellStyle name="Percent 13 3 2 2 2 3 3 2 2" xfId="54647" xr:uid="{00000000-0005-0000-0000-000066D80000}"/>
    <cellStyle name="Percent 13 3 2 2 2 3 3 3" xfId="40148" xr:uid="{00000000-0005-0000-0000-000067D80000}"/>
    <cellStyle name="Percent 13 3 2 2 2 3 4" xfId="18393" xr:uid="{00000000-0005-0000-0000-000068D80000}"/>
    <cellStyle name="Percent 13 3 2 2 2 3 4 2" xfId="47399" xr:uid="{00000000-0005-0000-0000-000069D80000}"/>
    <cellStyle name="Percent 13 3 2 2 2 3 5" xfId="32900" xr:uid="{00000000-0005-0000-0000-00006AD80000}"/>
    <cellStyle name="Percent 13 3 2 2 2 4" xfId="4867" xr:uid="{00000000-0005-0000-0000-00006BD80000}"/>
    <cellStyle name="Percent 13 3 2 2 2 4 2" xfId="12139" xr:uid="{00000000-0005-0000-0000-00006CD80000}"/>
    <cellStyle name="Percent 13 3 2 2 2 4 2 2" xfId="26673" xr:uid="{00000000-0005-0000-0000-00006DD80000}"/>
    <cellStyle name="Percent 13 3 2 2 2 4 2 2 2" xfId="55679" xr:uid="{00000000-0005-0000-0000-00006ED80000}"/>
    <cellStyle name="Percent 13 3 2 2 2 4 2 3" xfId="41180" xr:uid="{00000000-0005-0000-0000-00006FD80000}"/>
    <cellStyle name="Percent 13 3 2 2 2 4 3" xfId="19425" xr:uid="{00000000-0005-0000-0000-000070D80000}"/>
    <cellStyle name="Percent 13 3 2 2 2 4 3 2" xfId="48431" xr:uid="{00000000-0005-0000-0000-000071D80000}"/>
    <cellStyle name="Percent 13 3 2 2 2 4 4" xfId="33932" xr:uid="{00000000-0005-0000-0000-000072D80000}"/>
    <cellStyle name="Percent 13 3 2 2 2 5" xfId="7971" xr:uid="{00000000-0005-0000-0000-000073D80000}"/>
    <cellStyle name="Percent 13 3 2 2 2 5 2" xfId="15243" xr:uid="{00000000-0005-0000-0000-000074D80000}"/>
    <cellStyle name="Percent 13 3 2 2 2 5 2 2" xfId="29777" xr:uid="{00000000-0005-0000-0000-000075D80000}"/>
    <cellStyle name="Percent 13 3 2 2 2 5 2 2 2" xfId="58783" xr:uid="{00000000-0005-0000-0000-000076D80000}"/>
    <cellStyle name="Percent 13 3 2 2 2 5 2 3" xfId="44284" xr:uid="{00000000-0005-0000-0000-000077D80000}"/>
    <cellStyle name="Percent 13 3 2 2 2 5 3" xfId="22529" xr:uid="{00000000-0005-0000-0000-000078D80000}"/>
    <cellStyle name="Percent 13 3 2 2 2 5 3 2" xfId="51535" xr:uid="{00000000-0005-0000-0000-000079D80000}"/>
    <cellStyle name="Percent 13 3 2 2 2 5 4" xfId="37036" xr:uid="{00000000-0005-0000-0000-00007AD80000}"/>
    <cellStyle name="Percent 13 3 2 2 2 6" xfId="9035" xr:uid="{00000000-0005-0000-0000-00007BD80000}"/>
    <cellStyle name="Percent 13 3 2 2 2 6 2" xfId="23569" xr:uid="{00000000-0005-0000-0000-00007CD80000}"/>
    <cellStyle name="Percent 13 3 2 2 2 6 2 2" xfId="52575" xr:uid="{00000000-0005-0000-0000-00007DD80000}"/>
    <cellStyle name="Percent 13 3 2 2 2 6 3" xfId="38076" xr:uid="{00000000-0005-0000-0000-00007ED80000}"/>
    <cellStyle name="Percent 13 3 2 2 2 7" xfId="16321" xr:uid="{00000000-0005-0000-0000-00007FD80000}"/>
    <cellStyle name="Percent 13 3 2 2 2 7 2" xfId="45327" xr:uid="{00000000-0005-0000-0000-000080D80000}"/>
    <cellStyle name="Percent 13 3 2 2 2 8" xfId="30828" xr:uid="{00000000-0005-0000-0000-000081D80000}"/>
    <cellStyle name="Percent 13 3 2 2 3" xfId="2291" xr:uid="{00000000-0005-0000-0000-000082D80000}"/>
    <cellStyle name="Percent 13 3 2 2 3 2" xfId="5395" xr:uid="{00000000-0005-0000-0000-000083D80000}"/>
    <cellStyle name="Percent 13 3 2 2 3 2 2" xfId="12667" xr:uid="{00000000-0005-0000-0000-000084D80000}"/>
    <cellStyle name="Percent 13 3 2 2 3 2 2 2" xfId="27201" xr:uid="{00000000-0005-0000-0000-000085D80000}"/>
    <cellStyle name="Percent 13 3 2 2 3 2 2 2 2" xfId="56207" xr:uid="{00000000-0005-0000-0000-000086D80000}"/>
    <cellStyle name="Percent 13 3 2 2 3 2 2 3" xfId="41708" xr:uid="{00000000-0005-0000-0000-000087D80000}"/>
    <cellStyle name="Percent 13 3 2 2 3 2 3" xfId="19953" xr:uid="{00000000-0005-0000-0000-000088D80000}"/>
    <cellStyle name="Percent 13 3 2 2 3 2 3 2" xfId="48959" xr:uid="{00000000-0005-0000-0000-000089D80000}"/>
    <cellStyle name="Percent 13 3 2 2 3 2 4" xfId="34460" xr:uid="{00000000-0005-0000-0000-00008AD80000}"/>
    <cellStyle name="Percent 13 3 2 2 3 3" xfId="9563" xr:uid="{00000000-0005-0000-0000-00008BD80000}"/>
    <cellStyle name="Percent 13 3 2 2 3 3 2" xfId="24097" xr:uid="{00000000-0005-0000-0000-00008CD80000}"/>
    <cellStyle name="Percent 13 3 2 2 3 3 2 2" xfId="53103" xr:uid="{00000000-0005-0000-0000-00008DD80000}"/>
    <cellStyle name="Percent 13 3 2 2 3 3 3" xfId="38604" xr:uid="{00000000-0005-0000-0000-00008ED80000}"/>
    <cellStyle name="Percent 13 3 2 2 3 4" xfId="16849" xr:uid="{00000000-0005-0000-0000-00008FD80000}"/>
    <cellStyle name="Percent 13 3 2 2 3 4 2" xfId="45855" xr:uid="{00000000-0005-0000-0000-000090D80000}"/>
    <cellStyle name="Percent 13 3 2 2 3 5" xfId="31356" xr:uid="{00000000-0005-0000-0000-000091D80000}"/>
    <cellStyle name="Percent 13 3 2 2 4" xfId="3323" xr:uid="{00000000-0005-0000-0000-000092D80000}"/>
    <cellStyle name="Percent 13 3 2 2 4 2" xfId="6427" xr:uid="{00000000-0005-0000-0000-000093D80000}"/>
    <cellStyle name="Percent 13 3 2 2 4 2 2" xfId="13699" xr:uid="{00000000-0005-0000-0000-000094D80000}"/>
    <cellStyle name="Percent 13 3 2 2 4 2 2 2" xfId="28233" xr:uid="{00000000-0005-0000-0000-000095D80000}"/>
    <cellStyle name="Percent 13 3 2 2 4 2 2 2 2" xfId="57239" xr:uid="{00000000-0005-0000-0000-000096D80000}"/>
    <cellStyle name="Percent 13 3 2 2 4 2 2 3" xfId="42740" xr:uid="{00000000-0005-0000-0000-000097D80000}"/>
    <cellStyle name="Percent 13 3 2 2 4 2 3" xfId="20985" xr:uid="{00000000-0005-0000-0000-000098D80000}"/>
    <cellStyle name="Percent 13 3 2 2 4 2 3 2" xfId="49991" xr:uid="{00000000-0005-0000-0000-000099D80000}"/>
    <cellStyle name="Percent 13 3 2 2 4 2 4" xfId="35492" xr:uid="{00000000-0005-0000-0000-00009AD80000}"/>
    <cellStyle name="Percent 13 3 2 2 4 3" xfId="10595" xr:uid="{00000000-0005-0000-0000-00009BD80000}"/>
    <cellStyle name="Percent 13 3 2 2 4 3 2" xfId="25129" xr:uid="{00000000-0005-0000-0000-00009CD80000}"/>
    <cellStyle name="Percent 13 3 2 2 4 3 2 2" xfId="54135" xr:uid="{00000000-0005-0000-0000-00009DD80000}"/>
    <cellStyle name="Percent 13 3 2 2 4 3 3" xfId="39636" xr:uid="{00000000-0005-0000-0000-00009ED80000}"/>
    <cellStyle name="Percent 13 3 2 2 4 4" xfId="17881" xr:uid="{00000000-0005-0000-0000-00009FD80000}"/>
    <cellStyle name="Percent 13 3 2 2 4 4 2" xfId="46887" xr:uid="{00000000-0005-0000-0000-0000A0D80000}"/>
    <cellStyle name="Percent 13 3 2 2 4 5" xfId="32388" xr:uid="{00000000-0005-0000-0000-0000A1D80000}"/>
    <cellStyle name="Percent 13 3 2 2 5" xfId="4355" xr:uid="{00000000-0005-0000-0000-0000A2D80000}"/>
    <cellStyle name="Percent 13 3 2 2 5 2" xfId="11627" xr:uid="{00000000-0005-0000-0000-0000A3D80000}"/>
    <cellStyle name="Percent 13 3 2 2 5 2 2" xfId="26161" xr:uid="{00000000-0005-0000-0000-0000A4D80000}"/>
    <cellStyle name="Percent 13 3 2 2 5 2 2 2" xfId="55167" xr:uid="{00000000-0005-0000-0000-0000A5D80000}"/>
    <cellStyle name="Percent 13 3 2 2 5 2 3" xfId="40668" xr:uid="{00000000-0005-0000-0000-0000A6D80000}"/>
    <cellStyle name="Percent 13 3 2 2 5 3" xfId="18913" xr:uid="{00000000-0005-0000-0000-0000A7D80000}"/>
    <cellStyle name="Percent 13 3 2 2 5 3 2" xfId="47919" xr:uid="{00000000-0005-0000-0000-0000A8D80000}"/>
    <cellStyle name="Percent 13 3 2 2 5 4" xfId="33420" xr:uid="{00000000-0005-0000-0000-0000A9D80000}"/>
    <cellStyle name="Percent 13 3 2 2 6" xfId="7459" xr:uid="{00000000-0005-0000-0000-0000AAD80000}"/>
    <cellStyle name="Percent 13 3 2 2 6 2" xfId="14731" xr:uid="{00000000-0005-0000-0000-0000ABD80000}"/>
    <cellStyle name="Percent 13 3 2 2 6 2 2" xfId="29265" xr:uid="{00000000-0005-0000-0000-0000ACD80000}"/>
    <cellStyle name="Percent 13 3 2 2 6 2 2 2" xfId="58271" xr:uid="{00000000-0005-0000-0000-0000ADD80000}"/>
    <cellStyle name="Percent 13 3 2 2 6 2 3" xfId="43772" xr:uid="{00000000-0005-0000-0000-0000AED80000}"/>
    <cellStyle name="Percent 13 3 2 2 6 3" xfId="22017" xr:uid="{00000000-0005-0000-0000-0000AFD80000}"/>
    <cellStyle name="Percent 13 3 2 2 6 3 2" xfId="51023" xr:uid="{00000000-0005-0000-0000-0000B0D80000}"/>
    <cellStyle name="Percent 13 3 2 2 6 4" xfId="36524" xr:uid="{00000000-0005-0000-0000-0000B1D80000}"/>
    <cellStyle name="Percent 13 3 2 2 7" xfId="8523" xr:uid="{00000000-0005-0000-0000-0000B2D80000}"/>
    <cellStyle name="Percent 13 3 2 2 7 2" xfId="23057" xr:uid="{00000000-0005-0000-0000-0000B3D80000}"/>
    <cellStyle name="Percent 13 3 2 2 7 2 2" xfId="52063" xr:uid="{00000000-0005-0000-0000-0000B4D80000}"/>
    <cellStyle name="Percent 13 3 2 2 7 3" xfId="37564" xr:uid="{00000000-0005-0000-0000-0000B5D80000}"/>
    <cellStyle name="Percent 13 3 2 2 8" xfId="15809" xr:uid="{00000000-0005-0000-0000-0000B6D80000}"/>
    <cellStyle name="Percent 13 3 2 2 8 2" xfId="44815" xr:uid="{00000000-0005-0000-0000-0000B7D80000}"/>
    <cellStyle name="Percent 13 3 2 2 9" xfId="30316" xr:uid="{00000000-0005-0000-0000-0000B8D80000}"/>
    <cellStyle name="Percent 13 3 2 3" xfId="1439" xr:uid="{00000000-0005-0000-0000-0000B9D80000}"/>
    <cellStyle name="Percent 13 3 2 3 2" xfId="2497" xr:uid="{00000000-0005-0000-0000-0000BAD80000}"/>
    <cellStyle name="Percent 13 3 2 3 2 2" xfId="5601" xr:uid="{00000000-0005-0000-0000-0000BBD80000}"/>
    <cellStyle name="Percent 13 3 2 3 2 2 2" xfId="12873" xr:uid="{00000000-0005-0000-0000-0000BCD80000}"/>
    <cellStyle name="Percent 13 3 2 3 2 2 2 2" xfId="27407" xr:uid="{00000000-0005-0000-0000-0000BDD80000}"/>
    <cellStyle name="Percent 13 3 2 3 2 2 2 2 2" xfId="56413" xr:uid="{00000000-0005-0000-0000-0000BED80000}"/>
    <cellStyle name="Percent 13 3 2 3 2 2 2 3" xfId="41914" xr:uid="{00000000-0005-0000-0000-0000BFD80000}"/>
    <cellStyle name="Percent 13 3 2 3 2 2 3" xfId="20159" xr:uid="{00000000-0005-0000-0000-0000C0D80000}"/>
    <cellStyle name="Percent 13 3 2 3 2 2 3 2" xfId="49165" xr:uid="{00000000-0005-0000-0000-0000C1D80000}"/>
    <cellStyle name="Percent 13 3 2 3 2 2 4" xfId="34666" xr:uid="{00000000-0005-0000-0000-0000C2D80000}"/>
    <cellStyle name="Percent 13 3 2 3 2 3" xfId="9769" xr:uid="{00000000-0005-0000-0000-0000C3D80000}"/>
    <cellStyle name="Percent 13 3 2 3 2 3 2" xfId="24303" xr:uid="{00000000-0005-0000-0000-0000C4D80000}"/>
    <cellStyle name="Percent 13 3 2 3 2 3 2 2" xfId="53309" xr:uid="{00000000-0005-0000-0000-0000C5D80000}"/>
    <cellStyle name="Percent 13 3 2 3 2 3 3" xfId="38810" xr:uid="{00000000-0005-0000-0000-0000C6D80000}"/>
    <cellStyle name="Percent 13 3 2 3 2 4" xfId="17055" xr:uid="{00000000-0005-0000-0000-0000C7D80000}"/>
    <cellStyle name="Percent 13 3 2 3 2 4 2" xfId="46061" xr:uid="{00000000-0005-0000-0000-0000C8D80000}"/>
    <cellStyle name="Percent 13 3 2 3 2 5" xfId="31562" xr:uid="{00000000-0005-0000-0000-0000C9D80000}"/>
    <cellStyle name="Percent 13 3 2 3 3" xfId="3529" xr:uid="{00000000-0005-0000-0000-0000CAD80000}"/>
    <cellStyle name="Percent 13 3 2 3 3 2" xfId="6633" xr:uid="{00000000-0005-0000-0000-0000CBD80000}"/>
    <cellStyle name="Percent 13 3 2 3 3 2 2" xfId="13905" xr:uid="{00000000-0005-0000-0000-0000CCD80000}"/>
    <cellStyle name="Percent 13 3 2 3 3 2 2 2" xfId="28439" xr:uid="{00000000-0005-0000-0000-0000CDD80000}"/>
    <cellStyle name="Percent 13 3 2 3 3 2 2 2 2" xfId="57445" xr:uid="{00000000-0005-0000-0000-0000CED80000}"/>
    <cellStyle name="Percent 13 3 2 3 3 2 2 3" xfId="42946" xr:uid="{00000000-0005-0000-0000-0000CFD80000}"/>
    <cellStyle name="Percent 13 3 2 3 3 2 3" xfId="21191" xr:uid="{00000000-0005-0000-0000-0000D0D80000}"/>
    <cellStyle name="Percent 13 3 2 3 3 2 3 2" xfId="50197" xr:uid="{00000000-0005-0000-0000-0000D1D80000}"/>
    <cellStyle name="Percent 13 3 2 3 3 2 4" xfId="35698" xr:uid="{00000000-0005-0000-0000-0000D2D80000}"/>
    <cellStyle name="Percent 13 3 2 3 3 3" xfId="10801" xr:uid="{00000000-0005-0000-0000-0000D3D80000}"/>
    <cellStyle name="Percent 13 3 2 3 3 3 2" xfId="25335" xr:uid="{00000000-0005-0000-0000-0000D4D80000}"/>
    <cellStyle name="Percent 13 3 2 3 3 3 2 2" xfId="54341" xr:uid="{00000000-0005-0000-0000-0000D5D80000}"/>
    <cellStyle name="Percent 13 3 2 3 3 3 3" xfId="39842" xr:uid="{00000000-0005-0000-0000-0000D6D80000}"/>
    <cellStyle name="Percent 13 3 2 3 3 4" xfId="18087" xr:uid="{00000000-0005-0000-0000-0000D7D80000}"/>
    <cellStyle name="Percent 13 3 2 3 3 4 2" xfId="47093" xr:uid="{00000000-0005-0000-0000-0000D8D80000}"/>
    <cellStyle name="Percent 13 3 2 3 3 5" xfId="32594" xr:uid="{00000000-0005-0000-0000-0000D9D80000}"/>
    <cellStyle name="Percent 13 3 2 3 4" xfId="4561" xr:uid="{00000000-0005-0000-0000-0000DAD80000}"/>
    <cellStyle name="Percent 13 3 2 3 4 2" xfId="11833" xr:uid="{00000000-0005-0000-0000-0000DBD80000}"/>
    <cellStyle name="Percent 13 3 2 3 4 2 2" xfId="26367" xr:uid="{00000000-0005-0000-0000-0000DCD80000}"/>
    <cellStyle name="Percent 13 3 2 3 4 2 2 2" xfId="55373" xr:uid="{00000000-0005-0000-0000-0000DDD80000}"/>
    <cellStyle name="Percent 13 3 2 3 4 2 3" xfId="40874" xr:uid="{00000000-0005-0000-0000-0000DED80000}"/>
    <cellStyle name="Percent 13 3 2 3 4 3" xfId="19119" xr:uid="{00000000-0005-0000-0000-0000DFD80000}"/>
    <cellStyle name="Percent 13 3 2 3 4 3 2" xfId="48125" xr:uid="{00000000-0005-0000-0000-0000E0D80000}"/>
    <cellStyle name="Percent 13 3 2 3 4 4" xfId="33626" xr:uid="{00000000-0005-0000-0000-0000E1D80000}"/>
    <cellStyle name="Percent 13 3 2 3 5" xfId="7665" xr:uid="{00000000-0005-0000-0000-0000E2D80000}"/>
    <cellStyle name="Percent 13 3 2 3 5 2" xfId="14937" xr:uid="{00000000-0005-0000-0000-0000E3D80000}"/>
    <cellStyle name="Percent 13 3 2 3 5 2 2" xfId="29471" xr:uid="{00000000-0005-0000-0000-0000E4D80000}"/>
    <cellStyle name="Percent 13 3 2 3 5 2 2 2" xfId="58477" xr:uid="{00000000-0005-0000-0000-0000E5D80000}"/>
    <cellStyle name="Percent 13 3 2 3 5 2 3" xfId="43978" xr:uid="{00000000-0005-0000-0000-0000E6D80000}"/>
    <cellStyle name="Percent 13 3 2 3 5 3" xfId="22223" xr:uid="{00000000-0005-0000-0000-0000E7D80000}"/>
    <cellStyle name="Percent 13 3 2 3 5 3 2" xfId="51229" xr:uid="{00000000-0005-0000-0000-0000E8D80000}"/>
    <cellStyle name="Percent 13 3 2 3 5 4" xfId="36730" xr:uid="{00000000-0005-0000-0000-0000E9D80000}"/>
    <cellStyle name="Percent 13 3 2 3 6" xfId="8729" xr:uid="{00000000-0005-0000-0000-0000EAD80000}"/>
    <cellStyle name="Percent 13 3 2 3 6 2" xfId="23263" xr:uid="{00000000-0005-0000-0000-0000EBD80000}"/>
    <cellStyle name="Percent 13 3 2 3 6 2 2" xfId="52269" xr:uid="{00000000-0005-0000-0000-0000ECD80000}"/>
    <cellStyle name="Percent 13 3 2 3 6 3" xfId="37770" xr:uid="{00000000-0005-0000-0000-0000EDD80000}"/>
    <cellStyle name="Percent 13 3 2 3 7" xfId="16015" xr:uid="{00000000-0005-0000-0000-0000EED80000}"/>
    <cellStyle name="Percent 13 3 2 3 7 2" xfId="45021" xr:uid="{00000000-0005-0000-0000-0000EFD80000}"/>
    <cellStyle name="Percent 13 3 2 3 8" xfId="30522" xr:uid="{00000000-0005-0000-0000-0000F0D80000}"/>
    <cellStyle name="Percent 13 3 2 4" xfId="1985" xr:uid="{00000000-0005-0000-0000-0000F1D80000}"/>
    <cellStyle name="Percent 13 3 2 4 2" xfId="5089" xr:uid="{00000000-0005-0000-0000-0000F2D80000}"/>
    <cellStyle name="Percent 13 3 2 4 2 2" xfId="12361" xr:uid="{00000000-0005-0000-0000-0000F3D80000}"/>
    <cellStyle name="Percent 13 3 2 4 2 2 2" xfId="26895" xr:uid="{00000000-0005-0000-0000-0000F4D80000}"/>
    <cellStyle name="Percent 13 3 2 4 2 2 2 2" xfId="55901" xr:uid="{00000000-0005-0000-0000-0000F5D80000}"/>
    <cellStyle name="Percent 13 3 2 4 2 2 3" xfId="41402" xr:uid="{00000000-0005-0000-0000-0000F6D80000}"/>
    <cellStyle name="Percent 13 3 2 4 2 3" xfId="19647" xr:uid="{00000000-0005-0000-0000-0000F7D80000}"/>
    <cellStyle name="Percent 13 3 2 4 2 3 2" xfId="48653" xr:uid="{00000000-0005-0000-0000-0000F8D80000}"/>
    <cellStyle name="Percent 13 3 2 4 2 4" xfId="34154" xr:uid="{00000000-0005-0000-0000-0000F9D80000}"/>
    <cellStyle name="Percent 13 3 2 4 3" xfId="9257" xr:uid="{00000000-0005-0000-0000-0000FAD80000}"/>
    <cellStyle name="Percent 13 3 2 4 3 2" xfId="23791" xr:uid="{00000000-0005-0000-0000-0000FBD80000}"/>
    <cellStyle name="Percent 13 3 2 4 3 2 2" xfId="52797" xr:uid="{00000000-0005-0000-0000-0000FCD80000}"/>
    <cellStyle name="Percent 13 3 2 4 3 3" xfId="38298" xr:uid="{00000000-0005-0000-0000-0000FDD80000}"/>
    <cellStyle name="Percent 13 3 2 4 4" xfId="16543" xr:uid="{00000000-0005-0000-0000-0000FED80000}"/>
    <cellStyle name="Percent 13 3 2 4 4 2" xfId="45549" xr:uid="{00000000-0005-0000-0000-0000FFD80000}"/>
    <cellStyle name="Percent 13 3 2 4 5" xfId="31050" xr:uid="{00000000-0005-0000-0000-000000D90000}"/>
    <cellStyle name="Percent 13 3 2 5" xfId="3017" xr:uid="{00000000-0005-0000-0000-000001D90000}"/>
    <cellStyle name="Percent 13 3 2 5 2" xfId="6121" xr:uid="{00000000-0005-0000-0000-000002D90000}"/>
    <cellStyle name="Percent 13 3 2 5 2 2" xfId="13393" xr:uid="{00000000-0005-0000-0000-000003D90000}"/>
    <cellStyle name="Percent 13 3 2 5 2 2 2" xfId="27927" xr:uid="{00000000-0005-0000-0000-000004D90000}"/>
    <cellStyle name="Percent 13 3 2 5 2 2 2 2" xfId="56933" xr:uid="{00000000-0005-0000-0000-000005D90000}"/>
    <cellStyle name="Percent 13 3 2 5 2 2 3" xfId="42434" xr:uid="{00000000-0005-0000-0000-000006D90000}"/>
    <cellStyle name="Percent 13 3 2 5 2 3" xfId="20679" xr:uid="{00000000-0005-0000-0000-000007D90000}"/>
    <cellStyle name="Percent 13 3 2 5 2 3 2" xfId="49685" xr:uid="{00000000-0005-0000-0000-000008D90000}"/>
    <cellStyle name="Percent 13 3 2 5 2 4" xfId="35186" xr:uid="{00000000-0005-0000-0000-000009D90000}"/>
    <cellStyle name="Percent 13 3 2 5 3" xfId="10289" xr:uid="{00000000-0005-0000-0000-00000AD90000}"/>
    <cellStyle name="Percent 13 3 2 5 3 2" xfId="24823" xr:uid="{00000000-0005-0000-0000-00000BD90000}"/>
    <cellStyle name="Percent 13 3 2 5 3 2 2" xfId="53829" xr:uid="{00000000-0005-0000-0000-00000CD90000}"/>
    <cellStyle name="Percent 13 3 2 5 3 3" xfId="39330" xr:uid="{00000000-0005-0000-0000-00000DD90000}"/>
    <cellStyle name="Percent 13 3 2 5 4" xfId="17575" xr:uid="{00000000-0005-0000-0000-00000ED90000}"/>
    <cellStyle name="Percent 13 3 2 5 4 2" xfId="46581" xr:uid="{00000000-0005-0000-0000-00000FD90000}"/>
    <cellStyle name="Percent 13 3 2 5 5" xfId="32082" xr:uid="{00000000-0005-0000-0000-000010D90000}"/>
    <cellStyle name="Percent 13 3 2 6" xfId="4049" xr:uid="{00000000-0005-0000-0000-000011D90000}"/>
    <cellStyle name="Percent 13 3 2 6 2" xfId="11321" xr:uid="{00000000-0005-0000-0000-000012D90000}"/>
    <cellStyle name="Percent 13 3 2 6 2 2" xfId="25855" xr:uid="{00000000-0005-0000-0000-000013D90000}"/>
    <cellStyle name="Percent 13 3 2 6 2 2 2" xfId="54861" xr:uid="{00000000-0005-0000-0000-000014D90000}"/>
    <cellStyle name="Percent 13 3 2 6 2 3" xfId="40362" xr:uid="{00000000-0005-0000-0000-000015D90000}"/>
    <cellStyle name="Percent 13 3 2 6 3" xfId="18607" xr:uid="{00000000-0005-0000-0000-000016D90000}"/>
    <cellStyle name="Percent 13 3 2 6 3 2" xfId="47613" xr:uid="{00000000-0005-0000-0000-000017D90000}"/>
    <cellStyle name="Percent 13 3 2 6 4" xfId="33114" xr:uid="{00000000-0005-0000-0000-000018D90000}"/>
    <cellStyle name="Percent 13 3 2 7" xfId="7153" xr:uid="{00000000-0005-0000-0000-000019D90000}"/>
    <cellStyle name="Percent 13 3 2 7 2" xfId="14425" xr:uid="{00000000-0005-0000-0000-00001AD90000}"/>
    <cellStyle name="Percent 13 3 2 7 2 2" xfId="28959" xr:uid="{00000000-0005-0000-0000-00001BD90000}"/>
    <cellStyle name="Percent 13 3 2 7 2 2 2" xfId="57965" xr:uid="{00000000-0005-0000-0000-00001CD90000}"/>
    <cellStyle name="Percent 13 3 2 7 2 3" xfId="43466" xr:uid="{00000000-0005-0000-0000-00001DD90000}"/>
    <cellStyle name="Percent 13 3 2 7 3" xfId="21711" xr:uid="{00000000-0005-0000-0000-00001ED90000}"/>
    <cellStyle name="Percent 13 3 2 7 3 2" xfId="50717" xr:uid="{00000000-0005-0000-0000-00001FD90000}"/>
    <cellStyle name="Percent 13 3 2 7 4" xfId="36218" xr:uid="{00000000-0005-0000-0000-000020D90000}"/>
    <cellStyle name="Percent 13 3 2 8" xfId="8217" xr:uid="{00000000-0005-0000-0000-000021D90000}"/>
    <cellStyle name="Percent 13 3 2 8 2" xfId="22751" xr:uid="{00000000-0005-0000-0000-000022D90000}"/>
    <cellStyle name="Percent 13 3 2 8 2 2" xfId="51757" xr:uid="{00000000-0005-0000-0000-000023D90000}"/>
    <cellStyle name="Percent 13 3 2 8 3" xfId="37258" xr:uid="{00000000-0005-0000-0000-000024D90000}"/>
    <cellStyle name="Percent 13 3 2 9" xfId="15503" xr:uid="{00000000-0005-0000-0000-000025D90000}"/>
    <cellStyle name="Percent 13 3 2 9 2" xfId="44509" xr:uid="{00000000-0005-0000-0000-000026D90000}"/>
    <cellStyle name="Percent 13 3 3" xfId="1142" xr:uid="{00000000-0005-0000-0000-000027D90000}"/>
    <cellStyle name="Percent 13 3 3 2" xfId="1641" xr:uid="{00000000-0005-0000-0000-000028D90000}"/>
    <cellStyle name="Percent 13 3 3 2 2" xfId="2700" xr:uid="{00000000-0005-0000-0000-000029D90000}"/>
    <cellStyle name="Percent 13 3 3 2 2 2" xfId="5804" xr:uid="{00000000-0005-0000-0000-00002AD90000}"/>
    <cellStyle name="Percent 13 3 3 2 2 2 2" xfId="13076" xr:uid="{00000000-0005-0000-0000-00002BD90000}"/>
    <cellStyle name="Percent 13 3 3 2 2 2 2 2" xfId="27610" xr:uid="{00000000-0005-0000-0000-00002CD90000}"/>
    <cellStyle name="Percent 13 3 3 2 2 2 2 2 2" xfId="56616" xr:uid="{00000000-0005-0000-0000-00002DD90000}"/>
    <cellStyle name="Percent 13 3 3 2 2 2 2 3" xfId="42117" xr:uid="{00000000-0005-0000-0000-00002ED90000}"/>
    <cellStyle name="Percent 13 3 3 2 2 2 3" xfId="20362" xr:uid="{00000000-0005-0000-0000-00002FD90000}"/>
    <cellStyle name="Percent 13 3 3 2 2 2 3 2" xfId="49368" xr:uid="{00000000-0005-0000-0000-000030D90000}"/>
    <cellStyle name="Percent 13 3 3 2 2 2 4" xfId="34869" xr:uid="{00000000-0005-0000-0000-000031D90000}"/>
    <cellStyle name="Percent 13 3 3 2 2 3" xfId="9972" xr:uid="{00000000-0005-0000-0000-000032D90000}"/>
    <cellStyle name="Percent 13 3 3 2 2 3 2" xfId="24506" xr:uid="{00000000-0005-0000-0000-000033D90000}"/>
    <cellStyle name="Percent 13 3 3 2 2 3 2 2" xfId="53512" xr:uid="{00000000-0005-0000-0000-000034D90000}"/>
    <cellStyle name="Percent 13 3 3 2 2 3 3" xfId="39013" xr:uid="{00000000-0005-0000-0000-000035D90000}"/>
    <cellStyle name="Percent 13 3 3 2 2 4" xfId="17258" xr:uid="{00000000-0005-0000-0000-000036D90000}"/>
    <cellStyle name="Percent 13 3 3 2 2 4 2" xfId="46264" xr:uid="{00000000-0005-0000-0000-000037D90000}"/>
    <cellStyle name="Percent 13 3 3 2 2 5" xfId="31765" xr:uid="{00000000-0005-0000-0000-000038D90000}"/>
    <cellStyle name="Percent 13 3 3 2 3" xfId="3732" xr:uid="{00000000-0005-0000-0000-000039D90000}"/>
    <cellStyle name="Percent 13 3 3 2 3 2" xfId="6836" xr:uid="{00000000-0005-0000-0000-00003AD90000}"/>
    <cellStyle name="Percent 13 3 3 2 3 2 2" xfId="14108" xr:uid="{00000000-0005-0000-0000-00003BD90000}"/>
    <cellStyle name="Percent 13 3 3 2 3 2 2 2" xfId="28642" xr:uid="{00000000-0005-0000-0000-00003CD90000}"/>
    <cellStyle name="Percent 13 3 3 2 3 2 2 2 2" xfId="57648" xr:uid="{00000000-0005-0000-0000-00003DD90000}"/>
    <cellStyle name="Percent 13 3 3 2 3 2 2 3" xfId="43149" xr:uid="{00000000-0005-0000-0000-00003ED90000}"/>
    <cellStyle name="Percent 13 3 3 2 3 2 3" xfId="21394" xr:uid="{00000000-0005-0000-0000-00003FD90000}"/>
    <cellStyle name="Percent 13 3 3 2 3 2 3 2" xfId="50400" xr:uid="{00000000-0005-0000-0000-000040D90000}"/>
    <cellStyle name="Percent 13 3 3 2 3 2 4" xfId="35901" xr:uid="{00000000-0005-0000-0000-000041D90000}"/>
    <cellStyle name="Percent 13 3 3 2 3 3" xfId="11004" xr:uid="{00000000-0005-0000-0000-000042D90000}"/>
    <cellStyle name="Percent 13 3 3 2 3 3 2" xfId="25538" xr:uid="{00000000-0005-0000-0000-000043D90000}"/>
    <cellStyle name="Percent 13 3 3 2 3 3 2 2" xfId="54544" xr:uid="{00000000-0005-0000-0000-000044D90000}"/>
    <cellStyle name="Percent 13 3 3 2 3 3 3" xfId="40045" xr:uid="{00000000-0005-0000-0000-000045D90000}"/>
    <cellStyle name="Percent 13 3 3 2 3 4" xfId="18290" xr:uid="{00000000-0005-0000-0000-000046D90000}"/>
    <cellStyle name="Percent 13 3 3 2 3 4 2" xfId="47296" xr:uid="{00000000-0005-0000-0000-000047D90000}"/>
    <cellStyle name="Percent 13 3 3 2 3 5" xfId="32797" xr:uid="{00000000-0005-0000-0000-000048D90000}"/>
    <cellStyle name="Percent 13 3 3 2 4" xfId="4764" xr:uid="{00000000-0005-0000-0000-000049D90000}"/>
    <cellStyle name="Percent 13 3 3 2 4 2" xfId="12036" xr:uid="{00000000-0005-0000-0000-00004AD90000}"/>
    <cellStyle name="Percent 13 3 3 2 4 2 2" xfId="26570" xr:uid="{00000000-0005-0000-0000-00004BD90000}"/>
    <cellStyle name="Percent 13 3 3 2 4 2 2 2" xfId="55576" xr:uid="{00000000-0005-0000-0000-00004CD90000}"/>
    <cellStyle name="Percent 13 3 3 2 4 2 3" xfId="41077" xr:uid="{00000000-0005-0000-0000-00004DD90000}"/>
    <cellStyle name="Percent 13 3 3 2 4 3" xfId="19322" xr:uid="{00000000-0005-0000-0000-00004ED90000}"/>
    <cellStyle name="Percent 13 3 3 2 4 3 2" xfId="48328" xr:uid="{00000000-0005-0000-0000-00004FD90000}"/>
    <cellStyle name="Percent 13 3 3 2 4 4" xfId="33829" xr:uid="{00000000-0005-0000-0000-000050D90000}"/>
    <cellStyle name="Percent 13 3 3 2 5" xfId="7868" xr:uid="{00000000-0005-0000-0000-000051D90000}"/>
    <cellStyle name="Percent 13 3 3 2 5 2" xfId="15140" xr:uid="{00000000-0005-0000-0000-000052D90000}"/>
    <cellStyle name="Percent 13 3 3 2 5 2 2" xfId="29674" xr:uid="{00000000-0005-0000-0000-000053D90000}"/>
    <cellStyle name="Percent 13 3 3 2 5 2 2 2" xfId="58680" xr:uid="{00000000-0005-0000-0000-000054D90000}"/>
    <cellStyle name="Percent 13 3 3 2 5 2 3" xfId="44181" xr:uid="{00000000-0005-0000-0000-000055D90000}"/>
    <cellStyle name="Percent 13 3 3 2 5 3" xfId="22426" xr:uid="{00000000-0005-0000-0000-000056D90000}"/>
    <cellStyle name="Percent 13 3 3 2 5 3 2" xfId="51432" xr:uid="{00000000-0005-0000-0000-000057D90000}"/>
    <cellStyle name="Percent 13 3 3 2 5 4" xfId="36933" xr:uid="{00000000-0005-0000-0000-000058D90000}"/>
    <cellStyle name="Percent 13 3 3 2 6" xfId="8932" xr:uid="{00000000-0005-0000-0000-000059D90000}"/>
    <cellStyle name="Percent 13 3 3 2 6 2" xfId="23466" xr:uid="{00000000-0005-0000-0000-00005AD90000}"/>
    <cellStyle name="Percent 13 3 3 2 6 2 2" xfId="52472" xr:uid="{00000000-0005-0000-0000-00005BD90000}"/>
    <cellStyle name="Percent 13 3 3 2 6 3" xfId="37973" xr:uid="{00000000-0005-0000-0000-00005CD90000}"/>
    <cellStyle name="Percent 13 3 3 2 7" xfId="16218" xr:uid="{00000000-0005-0000-0000-00005DD90000}"/>
    <cellStyle name="Percent 13 3 3 2 7 2" xfId="45224" xr:uid="{00000000-0005-0000-0000-00005ED90000}"/>
    <cellStyle name="Percent 13 3 3 2 8" xfId="30725" xr:uid="{00000000-0005-0000-0000-00005FD90000}"/>
    <cellStyle name="Percent 13 3 3 3" xfId="2188" xr:uid="{00000000-0005-0000-0000-000060D90000}"/>
    <cellStyle name="Percent 13 3 3 3 2" xfId="5292" xr:uid="{00000000-0005-0000-0000-000061D90000}"/>
    <cellStyle name="Percent 13 3 3 3 2 2" xfId="12564" xr:uid="{00000000-0005-0000-0000-000062D90000}"/>
    <cellStyle name="Percent 13 3 3 3 2 2 2" xfId="27098" xr:uid="{00000000-0005-0000-0000-000063D90000}"/>
    <cellStyle name="Percent 13 3 3 3 2 2 2 2" xfId="56104" xr:uid="{00000000-0005-0000-0000-000064D90000}"/>
    <cellStyle name="Percent 13 3 3 3 2 2 3" xfId="41605" xr:uid="{00000000-0005-0000-0000-000065D90000}"/>
    <cellStyle name="Percent 13 3 3 3 2 3" xfId="19850" xr:uid="{00000000-0005-0000-0000-000066D90000}"/>
    <cellStyle name="Percent 13 3 3 3 2 3 2" xfId="48856" xr:uid="{00000000-0005-0000-0000-000067D90000}"/>
    <cellStyle name="Percent 13 3 3 3 2 4" xfId="34357" xr:uid="{00000000-0005-0000-0000-000068D90000}"/>
    <cellStyle name="Percent 13 3 3 3 3" xfId="9460" xr:uid="{00000000-0005-0000-0000-000069D90000}"/>
    <cellStyle name="Percent 13 3 3 3 3 2" xfId="23994" xr:uid="{00000000-0005-0000-0000-00006AD90000}"/>
    <cellStyle name="Percent 13 3 3 3 3 2 2" xfId="53000" xr:uid="{00000000-0005-0000-0000-00006BD90000}"/>
    <cellStyle name="Percent 13 3 3 3 3 3" xfId="38501" xr:uid="{00000000-0005-0000-0000-00006CD90000}"/>
    <cellStyle name="Percent 13 3 3 3 4" xfId="16746" xr:uid="{00000000-0005-0000-0000-00006DD90000}"/>
    <cellStyle name="Percent 13 3 3 3 4 2" xfId="45752" xr:uid="{00000000-0005-0000-0000-00006ED90000}"/>
    <cellStyle name="Percent 13 3 3 3 5" xfId="31253" xr:uid="{00000000-0005-0000-0000-00006FD90000}"/>
    <cellStyle name="Percent 13 3 3 4" xfId="3220" xr:uid="{00000000-0005-0000-0000-000070D90000}"/>
    <cellStyle name="Percent 13 3 3 4 2" xfId="6324" xr:uid="{00000000-0005-0000-0000-000071D90000}"/>
    <cellStyle name="Percent 13 3 3 4 2 2" xfId="13596" xr:uid="{00000000-0005-0000-0000-000072D90000}"/>
    <cellStyle name="Percent 13 3 3 4 2 2 2" xfId="28130" xr:uid="{00000000-0005-0000-0000-000073D90000}"/>
    <cellStyle name="Percent 13 3 3 4 2 2 2 2" xfId="57136" xr:uid="{00000000-0005-0000-0000-000074D90000}"/>
    <cellStyle name="Percent 13 3 3 4 2 2 3" xfId="42637" xr:uid="{00000000-0005-0000-0000-000075D90000}"/>
    <cellStyle name="Percent 13 3 3 4 2 3" xfId="20882" xr:uid="{00000000-0005-0000-0000-000076D90000}"/>
    <cellStyle name="Percent 13 3 3 4 2 3 2" xfId="49888" xr:uid="{00000000-0005-0000-0000-000077D90000}"/>
    <cellStyle name="Percent 13 3 3 4 2 4" xfId="35389" xr:uid="{00000000-0005-0000-0000-000078D90000}"/>
    <cellStyle name="Percent 13 3 3 4 3" xfId="10492" xr:uid="{00000000-0005-0000-0000-000079D90000}"/>
    <cellStyle name="Percent 13 3 3 4 3 2" xfId="25026" xr:uid="{00000000-0005-0000-0000-00007AD90000}"/>
    <cellStyle name="Percent 13 3 3 4 3 2 2" xfId="54032" xr:uid="{00000000-0005-0000-0000-00007BD90000}"/>
    <cellStyle name="Percent 13 3 3 4 3 3" xfId="39533" xr:uid="{00000000-0005-0000-0000-00007CD90000}"/>
    <cellStyle name="Percent 13 3 3 4 4" xfId="17778" xr:uid="{00000000-0005-0000-0000-00007DD90000}"/>
    <cellStyle name="Percent 13 3 3 4 4 2" xfId="46784" xr:uid="{00000000-0005-0000-0000-00007ED90000}"/>
    <cellStyle name="Percent 13 3 3 4 5" xfId="32285" xr:uid="{00000000-0005-0000-0000-00007FD90000}"/>
    <cellStyle name="Percent 13 3 3 5" xfId="4252" xr:uid="{00000000-0005-0000-0000-000080D90000}"/>
    <cellStyle name="Percent 13 3 3 5 2" xfId="11524" xr:uid="{00000000-0005-0000-0000-000081D90000}"/>
    <cellStyle name="Percent 13 3 3 5 2 2" xfId="26058" xr:uid="{00000000-0005-0000-0000-000082D90000}"/>
    <cellStyle name="Percent 13 3 3 5 2 2 2" xfId="55064" xr:uid="{00000000-0005-0000-0000-000083D90000}"/>
    <cellStyle name="Percent 13 3 3 5 2 3" xfId="40565" xr:uid="{00000000-0005-0000-0000-000084D90000}"/>
    <cellStyle name="Percent 13 3 3 5 3" xfId="18810" xr:uid="{00000000-0005-0000-0000-000085D90000}"/>
    <cellStyle name="Percent 13 3 3 5 3 2" xfId="47816" xr:uid="{00000000-0005-0000-0000-000086D90000}"/>
    <cellStyle name="Percent 13 3 3 5 4" xfId="33317" xr:uid="{00000000-0005-0000-0000-000087D90000}"/>
    <cellStyle name="Percent 13 3 3 6" xfId="7356" xr:uid="{00000000-0005-0000-0000-000088D90000}"/>
    <cellStyle name="Percent 13 3 3 6 2" xfId="14628" xr:uid="{00000000-0005-0000-0000-000089D90000}"/>
    <cellStyle name="Percent 13 3 3 6 2 2" xfId="29162" xr:uid="{00000000-0005-0000-0000-00008AD90000}"/>
    <cellStyle name="Percent 13 3 3 6 2 2 2" xfId="58168" xr:uid="{00000000-0005-0000-0000-00008BD90000}"/>
    <cellStyle name="Percent 13 3 3 6 2 3" xfId="43669" xr:uid="{00000000-0005-0000-0000-00008CD90000}"/>
    <cellStyle name="Percent 13 3 3 6 3" xfId="21914" xr:uid="{00000000-0005-0000-0000-00008DD90000}"/>
    <cellStyle name="Percent 13 3 3 6 3 2" xfId="50920" xr:uid="{00000000-0005-0000-0000-00008ED90000}"/>
    <cellStyle name="Percent 13 3 3 6 4" xfId="36421" xr:uid="{00000000-0005-0000-0000-00008FD90000}"/>
    <cellStyle name="Percent 13 3 3 7" xfId="8420" xr:uid="{00000000-0005-0000-0000-000090D90000}"/>
    <cellStyle name="Percent 13 3 3 7 2" xfId="22954" xr:uid="{00000000-0005-0000-0000-000091D90000}"/>
    <cellStyle name="Percent 13 3 3 7 2 2" xfId="51960" xr:uid="{00000000-0005-0000-0000-000092D90000}"/>
    <cellStyle name="Percent 13 3 3 7 3" xfId="37461" xr:uid="{00000000-0005-0000-0000-000093D90000}"/>
    <cellStyle name="Percent 13 3 3 8" xfId="15706" xr:uid="{00000000-0005-0000-0000-000094D90000}"/>
    <cellStyle name="Percent 13 3 3 8 2" xfId="44712" xr:uid="{00000000-0005-0000-0000-000095D90000}"/>
    <cellStyle name="Percent 13 3 3 9" xfId="30213" xr:uid="{00000000-0005-0000-0000-000096D90000}"/>
    <cellStyle name="Percent 13 3 4" xfId="1051" xr:uid="{00000000-0005-0000-0000-000097D90000}"/>
    <cellStyle name="Percent 13 3 4 2" xfId="1542" xr:uid="{00000000-0005-0000-0000-000098D90000}"/>
    <cellStyle name="Percent 13 3 4 2 2" xfId="2600" xr:uid="{00000000-0005-0000-0000-000099D90000}"/>
    <cellStyle name="Percent 13 3 4 2 2 2" xfId="5704" xr:uid="{00000000-0005-0000-0000-00009AD90000}"/>
    <cellStyle name="Percent 13 3 4 2 2 2 2" xfId="12976" xr:uid="{00000000-0005-0000-0000-00009BD90000}"/>
    <cellStyle name="Percent 13 3 4 2 2 2 2 2" xfId="27510" xr:uid="{00000000-0005-0000-0000-00009CD90000}"/>
    <cellStyle name="Percent 13 3 4 2 2 2 2 2 2" xfId="56516" xr:uid="{00000000-0005-0000-0000-00009DD90000}"/>
    <cellStyle name="Percent 13 3 4 2 2 2 2 3" xfId="42017" xr:uid="{00000000-0005-0000-0000-00009ED90000}"/>
    <cellStyle name="Percent 13 3 4 2 2 2 3" xfId="20262" xr:uid="{00000000-0005-0000-0000-00009FD90000}"/>
    <cellStyle name="Percent 13 3 4 2 2 2 3 2" xfId="49268" xr:uid="{00000000-0005-0000-0000-0000A0D90000}"/>
    <cellStyle name="Percent 13 3 4 2 2 2 4" xfId="34769" xr:uid="{00000000-0005-0000-0000-0000A1D90000}"/>
    <cellStyle name="Percent 13 3 4 2 2 3" xfId="9872" xr:uid="{00000000-0005-0000-0000-0000A2D90000}"/>
    <cellStyle name="Percent 13 3 4 2 2 3 2" xfId="24406" xr:uid="{00000000-0005-0000-0000-0000A3D90000}"/>
    <cellStyle name="Percent 13 3 4 2 2 3 2 2" xfId="53412" xr:uid="{00000000-0005-0000-0000-0000A4D90000}"/>
    <cellStyle name="Percent 13 3 4 2 2 3 3" xfId="38913" xr:uid="{00000000-0005-0000-0000-0000A5D90000}"/>
    <cellStyle name="Percent 13 3 4 2 2 4" xfId="17158" xr:uid="{00000000-0005-0000-0000-0000A6D90000}"/>
    <cellStyle name="Percent 13 3 4 2 2 4 2" xfId="46164" xr:uid="{00000000-0005-0000-0000-0000A7D90000}"/>
    <cellStyle name="Percent 13 3 4 2 2 5" xfId="31665" xr:uid="{00000000-0005-0000-0000-0000A8D90000}"/>
    <cellStyle name="Percent 13 3 4 2 3" xfId="3632" xr:uid="{00000000-0005-0000-0000-0000A9D90000}"/>
    <cellStyle name="Percent 13 3 4 2 3 2" xfId="6736" xr:uid="{00000000-0005-0000-0000-0000AAD90000}"/>
    <cellStyle name="Percent 13 3 4 2 3 2 2" xfId="14008" xr:uid="{00000000-0005-0000-0000-0000ABD90000}"/>
    <cellStyle name="Percent 13 3 4 2 3 2 2 2" xfId="28542" xr:uid="{00000000-0005-0000-0000-0000ACD90000}"/>
    <cellStyle name="Percent 13 3 4 2 3 2 2 2 2" xfId="57548" xr:uid="{00000000-0005-0000-0000-0000ADD90000}"/>
    <cellStyle name="Percent 13 3 4 2 3 2 2 3" xfId="43049" xr:uid="{00000000-0005-0000-0000-0000AED90000}"/>
    <cellStyle name="Percent 13 3 4 2 3 2 3" xfId="21294" xr:uid="{00000000-0005-0000-0000-0000AFD90000}"/>
    <cellStyle name="Percent 13 3 4 2 3 2 3 2" xfId="50300" xr:uid="{00000000-0005-0000-0000-0000B0D90000}"/>
    <cellStyle name="Percent 13 3 4 2 3 2 4" xfId="35801" xr:uid="{00000000-0005-0000-0000-0000B1D90000}"/>
    <cellStyle name="Percent 13 3 4 2 3 3" xfId="10904" xr:uid="{00000000-0005-0000-0000-0000B2D90000}"/>
    <cellStyle name="Percent 13 3 4 2 3 3 2" xfId="25438" xr:uid="{00000000-0005-0000-0000-0000B3D90000}"/>
    <cellStyle name="Percent 13 3 4 2 3 3 2 2" xfId="54444" xr:uid="{00000000-0005-0000-0000-0000B4D90000}"/>
    <cellStyle name="Percent 13 3 4 2 3 3 3" xfId="39945" xr:uid="{00000000-0005-0000-0000-0000B5D90000}"/>
    <cellStyle name="Percent 13 3 4 2 3 4" xfId="18190" xr:uid="{00000000-0005-0000-0000-0000B6D90000}"/>
    <cellStyle name="Percent 13 3 4 2 3 4 2" xfId="47196" xr:uid="{00000000-0005-0000-0000-0000B7D90000}"/>
    <cellStyle name="Percent 13 3 4 2 3 5" xfId="32697" xr:uid="{00000000-0005-0000-0000-0000B8D90000}"/>
    <cellStyle name="Percent 13 3 4 2 4" xfId="4664" xr:uid="{00000000-0005-0000-0000-0000B9D90000}"/>
    <cellStyle name="Percent 13 3 4 2 4 2" xfId="11936" xr:uid="{00000000-0005-0000-0000-0000BAD90000}"/>
    <cellStyle name="Percent 13 3 4 2 4 2 2" xfId="26470" xr:uid="{00000000-0005-0000-0000-0000BBD90000}"/>
    <cellStyle name="Percent 13 3 4 2 4 2 2 2" xfId="55476" xr:uid="{00000000-0005-0000-0000-0000BCD90000}"/>
    <cellStyle name="Percent 13 3 4 2 4 2 3" xfId="40977" xr:uid="{00000000-0005-0000-0000-0000BDD90000}"/>
    <cellStyle name="Percent 13 3 4 2 4 3" xfId="19222" xr:uid="{00000000-0005-0000-0000-0000BED90000}"/>
    <cellStyle name="Percent 13 3 4 2 4 3 2" xfId="48228" xr:uid="{00000000-0005-0000-0000-0000BFD90000}"/>
    <cellStyle name="Percent 13 3 4 2 4 4" xfId="33729" xr:uid="{00000000-0005-0000-0000-0000C0D90000}"/>
    <cellStyle name="Percent 13 3 4 2 5" xfId="7768" xr:uid="{00000000-0005-0000-0000-0000C1D90000}"/>
    <cellStyle name="Percent 13 3 4 2 5 2" xfId="15040" xr:uid="{00000000-0005-0000-0000-0000C2D90000}"/>
    <cellStyle name="Percent 13 3 4 2 5 2 2" xfId="29574" xr:uid="{00000000-0005-0000-0000-0000C3D90000}"/>
    <cellStyle name="Percent 13 3 4 2 5 2 2 2" xfId="58580" xr:uid="{00000000-0005-0000-0000-0000C4D90000}"/>
    <cellStyle name="Percent 13 3 4 2 5 2 3" xfId="44081" xr:uid="{00000000-0005-0000-0000-0000C5D90000}"/>
    <cellStyle name="Percent 13 3 4 2 5 3" xfId="22326" xr:uid="{00000000-0005-0000-0000-0000C6D90000}"/>
    <cellStyle name="Percent 13 3 4 2 5 3 2" xfId="51332" xr:uid="{00000000-0005-0000-0000-0000C7D90000}"/>
    <cellStyle name="Percent 13 3 4 2 5 4" xfId="36833" xr:uid="{00000000-0005-0000-0000-0000C8D90000}"/>
    <cellStyle name="Percent 13 3 4 2 6" xfId="8832" xr:uid="{00000000-0005-0000-0000-0000C9D90000}"/>
    <cellStyle name="Percent 13 3 4 2 6 2" xfId="23366" xr:uid="{00000000-0005-0000-0000-0000CAD90000}"/>
    <cellStyle name="Percent 13 3 4 2 6 2 2" xfId="52372" xr:uid="{00000000-0005-0000-0000-0000CBD90000}"/>
    <cellStyle name="Percent 13 3 4 2 6 3" xfId="37873" xr:uid="{00000000-0005-0000-0000-0000CCD90000}"/>
    <cellStyle name="Percent 13 3 4 2 7" xfId="16118" xr:uid="{00000000-0005-0000-0000-0000CDD90000}"/>
    <cellStyle name="Percent 13 3 4 2 7 2" xfId="45124" xr:uid="{00000000-0005-0000-0000-0000CED90000}"/>
    <cellStyle name="Percent 13 3 4 2 8" xfId="30625" xr:uid="{00000000-0005-0000-0000-0000CFD90000}"/>
    <cellStyle name="Percent 13 3 4 3" xfId="2088" xr:uid="{00000000-0005-0000-0000-0000D0D90000}"/>
    <cellStyle name="Percent 13 3 4 3 2" xfId="5192" xr:uid="{00000000-0005-0000-0000-0000D1D90000}"/>
    <cellStyle name="Percent 13 3 4 3 2 2" xfId="12464" xr:uid="{00000000-0005-0000-0000-0000D2D90000}"/>
    <cellStyle name="Percent 13 3 4 3 2 2 2" xfId="26998" xr:uid="{00000000-0005-0000-0000-0000D3D90000}"/>
    <cellStyle name="Percent 13 3 4 3 2 2 2 2" xfId="56004" xr:uid="{00000000-0005-0000-0000-0000D4D90000}"/>
    <cellStyle name="Percent 13 3 4 3 2 2 3" xfId="41505" xr:uid="{00000000-0005-0000-0000-0000D5D90000}"/>
    <cellStyle name="Percent 13 3 4 3 2 3" xfId="19750" xr:uid="{00000000-0005-0000-0000-0000D6D90000}"/>
    <cellStyle name="Percent 13 3 4 3 2 3 2" xfId="48756" xr:uid="{00000000-0005-0000-0000-0000D7D90000}"/>
    <cellStyle name="Percent 13 3 4 3 2 4" xfId="34257" xr:uid="{00000000-0005-0000-0000-0000D8D90000}"/>
    <cellStyle name="Percent 13 3 4 3 3" xfId="9360" xr:uid="{00000000-0005-0000-0000-0000D9D90000}"/>
    <cellStyle name="Percent 13 3 4 3 3 2" xfId="23894" xr:uid="{00000000-0005-0000-0000-0000DAD90000}"/>
    <cellStyle name="Percent 13 3 4 3 3 2 2" xfId="52900" xr:uid="{00000000-0005-0000-0000-0000DBD90000}"/>
    <cellStyle name="Percent 13 3 4 3 3 3" xfId="38401" xr:uid="{00000000-0005-0000-0000-0000DCD90000}"/>
    <cellStyle name="Percent 13 3 4 3 4" xfId="16646" xr:uid="{00000000-0005-0000-0000-0000DDD90000}"/>
    <cellStyle name="Percent 13 3 4 3 4 2" xfId="45652" xr:uid="{00000000-0005-0000-0000-0000DED90000}"/>
    <cellStyle name="Percent 13 3 4 3 5" xfId="31153" xr:uid="{00000000-0005-0000-0000-0000DFD90000}"/>
    <cellStyle name="Percent 13 3 4 4" xfId="3120" xr:uid="{00000000-0005-0000-0000-0000E0D90000}"/>
    <cellStyle name="Percent 13 3 4 4 2" xfId="6224" xr:uid="{00000000-0005-0000-0000-0000E1D90000}"/>
    <cellStyle name="Percent 13 3 4 4 2 2" xfId="13496" xr:uid="{00000000-0005-0000-0000-0000E2D90000}"/>
    <cellStyle name="Percent 13 3 4 4 2 2 2" xfId="28030" xr:uid="{00000000-0005-0000-0000-0000E3D90000}"/>
    <cellStyle name="Percent 13 3 4 4 2 2 2 2" xfId="57036" xr:uid="{00000000-0005-0000-0000-0000E4D90000}"/>
    <cellStyle name="Percent 13 3 4 4 2 2 3" xfId="42537" xr:uid="{00000000-0005-0000-0000-0000E5D90000}"/>
    <cellStyle name="Percent 13 3 4 4 2 3" xfId="20782" xr:uid="{00000000-0005-0000-0000-0000E6D90000}"/>
    <cellStyle name="Percent 13 3 4 4 2 3 2" xfId="49788" xr:uid="{00000000-0005-0000-0000-0000E7D90000}"/>
    <cellStyle name="Percent 13 3 4 4 2 4" xfId="35289" xr:uid="{00000000-0005-0000-0000-0000E8D90000}"/>
    <cellStyle name="Percent 13 3 4 4 3" xfId="10392" xr:uid="{00000000-0005-0000-0000-0000E9D90000}"/>
    <cellStyle name="Percent 13 3 4 4 3 2" xfId="24926" xr:uid="{00000000-0005-0000-0000-0000EAD90000}"/>
    <cellStyle name="Percent 13 3 4 4 3 2 2" xfId="53932" xr:uid="{00000000-0005-0000-0000-0000EBD90000}"/>
    <cellStyle name="Percent 13 3 4 4 3 3" xfId="39433" xr:uid="{00000000-0005-0000-0000-0000ECD90000}"/>
    <cellStyle name="Percent 13 3 4 4 4" xfId="17678" xr:uid="{00000000-0005-0000-0000-0000EDD90000}"/>
    <cellStyle name="Percent 13 3 4 4 4 2" xfId="46684" xr:uid="{00000000-0005-0000-0000-0000EED90000}"/>
    <cellStyle name="Percent 13 3 4 4 5" xfId="32185" xr:uid="{00000000-0005-0000-0000-0000EFD90000}"/>
    <cellStyle name="Percent 13 3 4 5" xfId="4152" xr:uid="{00000000-0005-0000-0000-0000F0D90000}"/>
    <cellStyle name="Percent 13 3 4 5 2" xfId="11424" xr:uid="{00000000-0005-0000-0000-0000F1D90000}"/>
    <cellStyle name="Percent 13 3 4 5 2 2" xfId="25958" xr:uid="{00000000-0005-0000-0000-0000F2D90000}"/>
    <cellStyle name="Percent 13 3 4 5 2 2 2" xfId="54964" xr:uid="{00000000-0005-0000-0000-0000F3D90000}"/>
    <cellStyle name="Percent 13 3 4 5 2 3" xfId="40465" xr:uid="{00000000-0005-0000-0000-0000F4D90000}"/>
    <cellStyle name="Percent 13 3 4 5 3" xfId="18710" xr:uid="{00000000-0005-0000-0000-0000F5D90000}"/>
    <cellStyle name="Percent 13 3 4 5 3 2" xfId="47716" xr:uid="{00000000-0005-0000-0000-0000F6D90000}"/>
    <cellStyle name="Percent 13 3 4 5 4" xfId="33217" xr:uid="{00000000-0005-0000-0000-0000F7D90000}"/>
    <cellStyle name="Percent 13 3 4 6" xfId="7256" xr:uid="{00000000-0005-0000-0000-0000F8D90000}"/>
    <cellStyle name="Percent 13 3 4 6 2" xfId="14528" xr:uid="{00000000-0005-0000-0000-0000F9D90000}"/>
    <cellStyle name="Percent 13 3 4 6 2 2" xfId="29062" xr:uid="{00000000-0005-0000-0000-0000FAD90000}"/>
    <cellStyle name="Percent 13 3 4 6 2 2 2" xfId="58068" xr:uid="{00000000-0005-0000-0000-0000FBD90000}"/>
    <cellStyle name="Percent 13 3 4 6 2 3" xfId="43569" xr:uid="{00000000-0005-0000-0000-0000FCD90000}"/>
    <cellStyle name="Percent 13 3 4 6 3" xfId="21814" xr:uid="{00000000-0005-0000-0000-0000FDD90000}"/>
    <cellStyle name="Percent 13 3 4 6 3 2" xfId="50820" xr:uid="{00000000-0005-0000-0000-0000FED90000}"/>
    <cellStyle name="Percent 13 3 4 6 4" xfId="36321" xr:uid="{00000000-0005-0000-0000-0000FFD90000}"/>
    <cellStyle name="Percent 13 3 4 7" xfId="8320" xr:uid="{00000000-0005-0000-0000-000000DA0000}"/>
    <cellStyle name="Percent 13 3 4 7 2" xfId="22854" xr:uid="{00000000-0005-0000-0000-000001DA0000}"/>
    <cellStyle name="Percent 13 3 4 7 2 2" xfId="51860" xr:uid="{00000000-0005-0000-0000-000002DA0000}"/>
    <cellStyle name="Percent 13 3 4 7 3" xfId="37361" xr:uid="{00000000-0005-0000-0000-000003DA0000}"/>
    <cellStyle name="Percent 13 3 4 8" xfId="15606" xr:uid="{00000000-0005-0000-0000-000004DA0000}"/>
    <cellStyle name="Percent 13 3 4 8 2" xfId="44612" xr:uid="{00000000-0005-0000-0000-000005DA0000}"/>
    <cellStyle name="Percent 13 3 4 9" xfId="30113" xr:uid="{00000000-0005-0000-0000-000006DA0000}"/>
    <cellStyle name="Percent 13 3 5" xfId="1337" xr:uid="{00000000-0005-0000-0000-000007DA0000}"/>
    <cellStyle name="Percent 13 3 5 2" xfId="2394" xr:uid="{00000000-0005-0000-0000-000008DA0000}"/>
    <cellStyle name="Percent 13 3 5 2 2" xfId="5498" xr:uid="{00000000-0005-0000-0000-000009DA0000}"/>
    <cellStyle name="Percent 13 3 5 2 2 2" xfId="12770" xr:uid="{00000000-0005-0000-0000-00000ADA0000}"/>
    <cellStyle name="Percent 13 3 5 2 2 2 2" xfId="27304" xr:uid="{00000000-0005-0000-0000-00000BDA0000}"/>
    <cellStyle name="Percent 13 3 5 2 2 2 2 2" xfId="56310" xr:uid="{00000000-0005-0000-0000-00000CDA0000}"/>
    <cellStyle name="Percent 13 3 5 2 2 2 3" xfId="41811" xr:uid="{00000000-0005-0000-0000-00000DDA0000}"/>
    <cellStyle name="Percent 13 3 5 2 2 3" xfId="20056" xr:uid="{00000000-0005-0000-0000-00000EDA0000}"/>
    <cellStyle name="Percent 13 3 5 2 2 3 2" xfId="49062" xr:uid="{00000000-0005-0000-0000-00000FDA0000}"/>
    <cellStyle name="Percent 13 3 5 2 2 4" xfId="34563" xr:uid="{00000000-0005-0000-0000-000010DA0000}"/>
    <cellStyle name="Percent 13 3 5 2 3" xfId="9666" xr:uid="{00000000-0005-0000-0000-000011DA0000}"/>
    <cellStyle name="Percent 13 3 5 2 3 2" xfId="24200" xr:uid="{00000000-0005-0000-0000-000012DA0000}"/>
    <cellStyle name="Percent 13 3 5 2 3 2 2" xfId="53206" xr:uid="{00000000-0005-0000-0000-000013DA0000}"/>
    <cellStyle name="Percent 13 3 5 2 3 3" xfId="38707" xr:uid="{00000000-0005-0000-0000-000014DA0000}"/>
    <cellStyle name="Percent 13 3 5 2 4" xfId="16952" xr:uid="{00000000-0005-0000-0000-000015DA0000}"/>
    <cellStyle name="Percent 13 3 5 2 4 2" xfId="45958" xr:uid="{00000000-0005-0000-0000-000016DA0000}"/>
    <cellStyle name="Percent 13 3 5 2 5" xfId="31459" xr:uid="{00000000-0005-0000-0000-000017DA0000}"/>
    <cellStyle name="Percent 13 3 5 3" xfId="3426" xr:uid="{00000000-0005-0000-0000-000018DA0000}"/>
    <cellStyle name="Percent 13 3 5 3 2" xfId="6530" xr:uid="{00000000-0005-0000-0000-000019DA0000}"/>
    <cellStyle name="Percent 13 3 5 3 2 2" xfId="13802" xr:uid="{00000000-0005-0000-0000-00001ADA0000}"/>
    <cellStyle name="Percent 13 3 5 3 2 2 2" xfId="28336" xr:uid="{00000000-0005-0000-0000-00001BDA0000}"/>
    <cellStyle name="Percent 13 3 5 3 2 2 2 2" xfId="57342" xr:uid="{00000000-0005-0000-0000-00001CDA0000}"/>
    <cellStyle name="Percent 13 3 5 3 2 2 3" xfId="42843" xr:uid="{00000000-0005-0000-0000-00001DDA0000}"/>
    <cellStyle name="Percent 13 3 5 3 2 3" xfId="21088" xr:uid="{00000000-0005-0000-0000-00001EDA0000}"/>
    <cellStyle name="Percent 13 3 5 3 2 3 2" xfId="50094" xr:uid="{00000000-0005-0000-0000-00001FDA0000}"/>
    <cellStyle name="Percent 13 3 5 3 2 4" xfId="35595" xr:uid="{00000000-0005-0000-0000-000020DA0000}"/>
    <cellStyle name="Percent 13 3 5 3 3" xfId="10698" xr:uid="{00000000-0005-0000-0000-000021DA0000}"/>
    <cellStyle name="Percent 13 3 5 3 3 2" xfId="25232" xr:uid="{00000000-0005-0000-0000-000022DA0000}"/>
    <cellStyle name="Percent 13 3 5 3 3 2 2" xfId="54238" xr:uid="{00000000-0005-0000-0000-000023DA0000}"/>
    <cellStyle name="Percent 13 3 5 3 3 3" xfId="39739" xr:uid="{00000000-0005-0000-0000-000024DA0000}"/>
    <cellStyle name="Percent 13 3 5 3 4" xfId="17984" xr:uid="{00000000-0005-0000-0000-000025DA0000}"/>
    <cellStyle name="Percent 13 3 5 3 4 2" xfId="46990" xr:uid="{00000000-0005-0000-0000-000026DA0000}"/>
    <cellStyle name="Percent 13 3 5 3 5" xfId="32491" xr:uid="{00000000-0005-0000-0000-000027DA0000}"/>
    <cellStyle name="Percent 13 3 5 4" xfId="4458" xr:uid="{00000000-0005-0000-0000-000028DA0000}"/>
    <cellStyle name="Percent 13 3 5 4 2" xfId="11730" xr:uid="{00000000-0005-0000-0000-000029DA0000}"/>
    <cellStyle name="Percent 13 3 5 4 2 2" xfId="26264" xr:uid="{00000000-0005-0000-0000-00002ADA0000}"/>
    <cellStyle name="Percent 13 3 5 4 2 2 2" xfId="55270" xr:uid="{00000000-0005-0000-0000-00002BDA0000}"/>
    <cellStyle name="Percent 13 3 5 4 2 3" xfId="40771" xr:uid="{00000000-0005-0000-0000-00002CDA0000}"/>
    <cellStyle name="Percent 13 3 5 4 3" xfId="19016" xr:uid="{00000000-0005-0000-0000-00002DDA0000}"/>
    <cellStyle name="Percent 13 3 5 4 3 2" xfId="48022" xr:uid="{00000000-0005-0000-0000-00002EDA0000}"/>
    <cellStyle name="Percent 13 3 5 4 4" xfId="33523" xr:uid="{00000000-0005-0000-0000-00002FDA0000}"/>
    <cellStyle name="Percent 13 3 5 5" xfId="7562" xr:uid="{00000000-0005-0000-0000-000030DA0000}"/>
    <cellStyle name="Percent 13 3 5 5 2" xfId="14834" xr:uid="{00000000-0005-0000-0000-000031DA0000}"/>
    <cellStyle name="Percent 13 3 5 5 2 2" xfId="29368" xr:uid="{00000000-0005-0000-0000-000032DA0000}"/>
    <cellStyle name="Percent 13 3 5 5 2 2 2" xfId="58374" xr:uid="{00000000-0005-0000-0000-000033DA0000}"/>
    <cellStyle name="Percent 13 3 5 5 2 3" xfId="43875" xr:uid="{00000000-0005-0000-0000-000034DA0000}"/>
    <cellStyle name="Percent 13 3 5 5 3" xfId="22120" xr:uid="{00000000-0005-0000-0000-000035DA0000}"/>
    <cellStyle name="Percent 13 3 5 5 3 2" xfId="51126" xr:uid="{00000000-0005-0000-0000-000036DA0000}"/>
    <cellStyle name="Percent 13 3 5 5 4" xfId="36627" xr:uid="{00000000-0005-0000-0000-000037DA0000}"/>
    <cellStyle name="Percent 13 3 5 6" xfId="8626" xr:uid="{00000000-0005-0000-0000-000038DA0000}"/>
    <cellStyle name="Percent 13 3 5 6 2" xfId="23160" xr:uid="{00000000-0005-0000-0000-000039DA0000}"/>
    <cellStyle name="Percent 13 3 5 6 2 2" xfId="52166" xr:uid="{00000000-0005-0000-0000-00003ADA0000}"/>
    <cellStyle name="Percent 13 3 5 6 3" xfId="37667" xr:uid="{00000000-0005-0000-0000-00003BDA0000}"/>
    <cellStyle name="Percent 13 3 5 7" xfId="15912" xr:uid="{00000000-0005-0000-0000-00003CDA0000}"/>
    <cellStyle name="Percent 13 3 5 7 2" xfId="44918" xr:uid="{00000000-0005-0000-0000-00003DDA0000}"/>
    <cellStyle name="Percent 13 3 5 8" xfId="30419" xr:uid="{00000000-0005-0000-0000-00003EDA0000}"/>
    <cellStyle name="Percent 13 3 6" xfId="1882" xr:uid="{00000000-0005-0000-0000-00003FDA0000}"/>
    <cellStyle name="Percent 13 3 6 2" xfId="4986" xr:uid="{00000000-0005-0000-0000-000040DA0000}"/>
    <cellStyle name="Percent 13 3 6 2 2" xfId="12258" xr:uid="{00000000-0005-0000-0000-000041DA0000}"/>
    <cellStyle name="Percent 13 3 6 2 2 2" xfId="26792" xr:uid="{00000000-0005-0000-0000-000042DA0000}"/>
    <cellStyle name="Percent 13 3 6 2 2 2 2" xfId="55798" xr:uid="{00000000-0005-0000-0000-000043DA0000}"/>
    <cellStyle name="Percent 13 3 6 2 2 3" xfId="41299" xr:uid="{00000000-0005-0000-0000-000044DA0000}"/>
    <cellStyle name="Percent 13 3 6 2 3" xfId="19544" xr:uid="{00000000-0005-0000-0000-000045DA0000}"/>
    <cellStyle name="Percent 13 3 6 2 3 2" xfId="48550" xr:uid="{00000000-0005-0000-0000-000046DA0000}"/>
    <cellStyle name="Percent 13 3 6 2 4" xfId="34051" xr:uid="{00000000-0005-0000-0000-000047DA0000}"/>
    <cellStyle name="Percent 13 3 6 3" xfId="9154" xr:uid="{00000000-0005-0000-0000-000048DA0000}"/>
    <cellStyle name="Percent 13 3 6 3 2" xfId="23688" xr:uid="{00000000-0005-0000-0000-000049DA0000}"/>
    <cellStyle name="Percent 13 3 6 3 2 2" xfId="52694" xr:uid="{00000000-0005-0000-0000-00004ADA0000}"/>
    <cellStyle name="Percent 13 3 6 3 3" xfId="38195" xr:uid="{00000000-0005-0000-0000-00004BDA0000}"/>
    <cellStyle name="Percent 13 3 6 4" xfId="16440" xr:uid="{00000000-0005-0000-0000-00004CDA0000}"/>
    <cellStyle name="Percent 13 3 6 4 2" xfId="45446" xr:uid="{00000000-0005-0000-0000-00004DDA0000}"/>
    <cellStyle name="Percent 13 3 6 5" xfId="30947" xr:uid="{00000000-0005-0000-0000-00004EDA0000}"/>
    <cellStyle name="Percent 13 3 7" xfId="2914" xr:uid="{00000000-0005-0000-0000-00004FDA0000}"/>
    <cellStyle name="Percent 13 3 7 2" xfId="6018" xr:uid="{00000000-0005-0000-0000-000050DA0000}"/>
    <cellStyle name="Percent 13 3 7 2 2" xfId="13290" xr:uid="{00000000-0005-0000-0000-000051DA0000}"/>
    <cellStyle name="Percent 13 3 7 2 2 2" xfId="27824" xr:uid="{00000000-0005-0000-0000-000052DA0000}"/>
    <cellStyle name="Percent 13 3 7 2 2 2 2" xfId="56830" xr:uid="{00000000-0005-0000-0000-000053DA0000}"/>
    <cellStyle name="Percent 13 3 7 2 2 3" xfId="42331" xr:uid="{00000000-0005-0000-0000-000054DA0000}"/>
    <cellStyle name="Percent 13 3 7 2 3" xfId="20576" xr:uid="{00000000-0005-0000-0000-000055DA0000}"/>
    <cellStyle name="Percent 13 3 7 2 3 2" xfId="49582" xr:uid="{00000000-0005-0000-0000-000056DA0000}"/>
    <cellStyle name="Percent 13 3 7 2 4" xfId="35083" xr:uid="{00000000-0005-0000-0000-000057DA0000}"/>
    <cellStyle name="Percent 13 3 7 3" xfId="10186" xr:uid="{00000000-0005-0000-0000-000058DA0000}"/>
    <cellStyle name="Percent 13 3 7 3 2" xfId="24720" xr:uid="{00000000-0005-0000-0000-000059DA0000}"/>
    <cellStyle name="Percent 13 3 7 3 2 2" xfId="53726" xr:uid="{00000000-0005-0000-0000-00005ADA0000}"/>
    <cellStyle name="Percent 13 3 7 3 3" xfId="39227" xr:uid="{00000000-0005-0000-0000-00005BDA0000}"/>
    <cellStyle name="Percent 13 3 7 4" xfId="17472" xr:uid="{00000000-0005-0000-0000-00005CDA0000}"/>
    <cellStyle name="Percent 13 3 7 4 2" xfId="46478" xr:uid="{00000000-0005-0000-0000-00005DDA0000}"/>
    <cellStyle name="Percent 13 3 7 5" xfId="31979" xr:uid="{00000000-0005-0000-0000-00005EDA0000}"/>
    <cellStyle name="Percent 13 3 8" xfId="3946" xr:uid="{00000000-0005-0000-0000-00005FDA0000}"/>
    <cellStyle name="Percent 13 3 8 2" xfId="11218" xr:uid="{00000000-0005-0000-0000-000060DA0000}"/>
    <cellStyle name="Percent 13 3 8 2 2" xfId="25752" xr:uid="{00000000-0005-0000-0000-000061DA0000}"/>
    <cellStyle name="Percent 13 3 8 2 2 2" xfId="54758" xr:uid="{00000000-0005-0000-0000-000062DA0000}"/>
    <cellStyle name="Percent 13 3 8 2 3" xfId="40259" xr:uid="{00000000-0005-0000-0000-000063DA0000}"/>
    <cellStyle name="Percent 13 3 8 3" xfId="18504" xr:uid="{00000000-0005-0000-0000-000064DA0000}"/>
    <cellStyle name="Percent 13 3 8 3 2" xfId="47510" xr:uid="{00000000-0005-0000-0000-000065DA0000}"/>
    <cellStyle name="Percent 13 3 8 4" xfId="33011" xr:uid="{00000000-0005-0000-0000-000066DA0000}"/>
    <cellStyle name="Percent 13 3 9" xfId="7050" xr:uid="{00000000-0005-0000-0000-000067DA0000}"/>
    <cellStyle name="Percent 13 3 9 2" xfId="14322" xr:uid="{00000000-0005-0000-0000-000068DA0000}"/>
    <cellStyle name="Percent 13 3 9 2 2" xfId="28856" xr:uid="{00000000-0005-0000-0000-000069DA0000}"/>
    <cellStyle name="Percent 13 3 9 2 2 2" xfId="57862" xr:uid="{00000000-0005-0000-0000-00006ADA0000}"/>
    <cellStyle name="Percent 13 3 9 2 3" xfId="43363" xr:uid="{00000000-0005-0000-0000-00006BDA0000}"/>
    <cellStyle name="Percent 13 3 9 3" xfId="21608" xr:uid="{00000000-0005-0000-0000-00006CDA0000}"/>
    <cellStyle name="Percent 13 3 9 3 2" xfId="50614" xr:uid="{00000000-0005-0000-0000-00006DDA0000}"/>
    <cellStyle name="Percent 13 3 9 4" xfId="36115" xr:uid="{00000000-0005-0000-0000-00006EDA0000}"/>
    <cellStyle name="Percent 13 4" xfId="919" xr:uid="{00000000-0005-0000-0000-00006FDA0000}"/>
    <cellStyle name="Percent 13 4 10" xfId="29958" xr:uid="{00000000-0005-0000-0000-000070DA0000}"/>
    <cellStyle name="Percent 13 4 2" xfId="1189" xr:uid="{00000000-0005-0000-0000-000071DA0000}"/>
    <cellStyle name="Percent 13 4 2 2" xfId="1692" xr:uid="{00000000-0005-0000-0000-000072DA0000}"/>
    <cellStyle name="Percent 13 4 2 2 2" xfId="2751" xr:uid="{00000000-0005-0000-0000-000073DA0000}"/>
    <cellStyle name="Percent 13 4 2 2 2 2" xfId="5855" xr:uid="{00000000-0005-0000-0000-000074DA0000}"/>
    <cellStyle name="Percent 13 4 2 2 2 2 2" xfId="13127" xr:uid="{00000000-0005-0000-0000-000075DA0000}"/>
    <cellStyle name="Percent 13 4 2 2 2 2 2 2" xfId="27661" xr:uid="{00000000-0005-0000-0000-000076DA0000}"/>
    <cellStyle name="Percent 13 4 2 2 2 2 2 2 2" xfId="56667" xr:uid="{00000000-0005-0000-0000-000077DA0000}"/>
    <cellStyle name="Percent 13 4 2 2 2 2 2 3" xfId="42168" xr:uid="{00000000-0005-0000-0000-000078DA0000}"/>
    <cellStyle name="Percent 13 4 2 2 2 2 3" xfId="20413" xr:uid="{00000000-0005-0000-0000-000079DA0000}"/>
    <cellStyle name="Percent 13 4 2 2 2 2 3 2" xfId="49419" xr:uid="{00000000-0005-0000-0000-00007ADA0000}"/>
    <cellStyle name="Percent 13 4 2 2 2 2 4" xfId="34920" xr:uid="{00000000-0005-0000-0000-00007BDA0000}"/>
    <cellStyle name="Percent 13 4 2 2 2 3" xfId="10023" xr:uid="{00000000-0005-0000-0000-00007CDA0000}"/>
    <cellStyle name="Percent 13 4 2 2 2 3 2" xfId="24557" xr:uid="{00000000-0005-0000-0000-00007DDA0000}"/>
    <cellStyle name="Percent 13 4 2 2 2 3 2 2" xfId="53563" xr:uid="{00000000-0005-0000-0000-00007EDA0000}"/>
    <cellStyle name="Percent 13 4 2 2 2 3 3" xfId="39064" xr:uid="{00000000-0005-0000-0000-00007FDA0000}"/>
    <cellStyle name="Percent 13 4 2 2 2 4" xfId="17309" xr:uid="{00000000-0005-0000-0000-000080DA0000}"/>
    <cellStyle name="Percent 13 4 2 2 2 4 2" xfId="46315" xr:uid="{00000000-0005-0000-0000-000081DA0000}"/>
    <cellStyle name="Percent 13 4 2 2 2 5" xfId="31816" xr:uid="{00000000-0005-0000-0000-000082DA0000}"/>
    <cellStyle name="Percent 13 4 2 2 3" xfId="3783" xr:uid="{00000000-0005-0000-0000-000083DA0000}"/>
    <cellStyle name="Percent 13 4 2 2 3 2" xfId="6887" xr:uid="{00000000-0005-0000-0000-000084DA0000}"/>
    <cellStyle name="Percent 13 4 2 2 3 2 2" xfId="14159" xr:uid="{00000000-0005-0000-0000-000085DA0000}"/>
    <cellStyle name="Percent 13 4 2 2 3 2 2 2" xfId="28693" xr:uid="{00000000-0005-0000-0000-000086DA0000}"/>
    <cellStyle name="Percent 13 4 2 2 3 2 2 2 2" xfId="57699" xr:uid="{00000000-0005-0000-0000-000087DA0000}"/>
    <cellStyle name="Percent 13 4 2 2 3 2 2 3" xfId="43200" xr:uid="{00000000-0005-0000-0000-000088DA0000}"/>
    <cellStyle name="Percent 13 4 2 2 3 2 3" xfId="21445" xr:uid="{00000000-0005-0000-0000-000089DA0000}"/>
    <cellStyle name="Percent 13 4 2 2 3 2 3 2" xfId="50451" xr:uid="{00000000-0005-0000-0000-00008ADA0000}"/>
    <cellStyle name="Percent 13 4 2 2 3 2 4" xfId="35952" xr:uid="{00000000-0005-0000-0000-00008BDA0000}"/>
    <cellStyle name="Percent 13 4 2 2 3 3" xfId="11055" xr:uid="{00000000-0005-0000-0000-00008CDA0000}"/>
    <cellStyle name="Percent 13 4 2 2 3 3 2" xfId="25589" xr:uid="{00000000-0005-0000-0000-00008DDA0000}"/>
    <cellStyle name="Percent 13 4 2 2 3 3 2 2" xfId="54595" xr:uid="{00000000-0005-0000-0000-00008EDA0000}"/>
    <cellStyle name="Percent 13 4 2 2 3 3 3" xfId="40096" xr:uid="{00000000-0005-0000-0000-00008FDA0000}"/>
    <cellStyle name="Percent 13 4 2 2 3 4" xfId="18341" xr:uid="{00000000-0005-0000-0000-000090DA0000}"/>
    <cellStyle name="Percent 13 4 2 2 3 4 2" xfId="47347" xr:uid="{00000000-0005-0000-0000-000091DA0000}"/>
    <cellStyle name="Percent 13 4 2 2 3 5" xfId="32848" xr:uid="{00000000-0005-0000-0000-000092DA0000}"/>
    <cellStyle name="Percent 13 4 2 2 4" xfId="4815" xr:uid="{00000000-0005-0000-0000-000093DA0000}"/>
    <cellStyle name="Percent 13 4 2 2 4 2" xfId="12087" xr:uid="{00000000-0005-0000-0000-000094DA0000}"/>
    <cellStyle name="Percent 13 4 2 2 4 2 2" xfId="26621" xr:uid="{00000000-0005-0000-0000-000095DA0000}"/>
    <cellStyle name="Percent 13 4 2 2 4 2 2 2" xfId="55627" xr:uid="{00000000-0005-0000-0000-000096DA0000}"/>
    <cellStyle name="Percent 13 4 2 2 4 2 3" xfId="41128" xr:uid="{00000000-0005-0000-0000-000097DA0000}"/>
    <cellStyle name="Percent 13 4 2 2 4 3" xfId="19373" xr:uid="{00000000-0005-0000-0000-000098DA0000}"/>
    <cellStyle name="Percent 13 4 2 2 4 3 2" xfId="48379" xr:uid="{00000000-0005-0000-0000-000099DA0000}"/>
    <cellStyle name="Percent 13 4 2 2 4 4" xfId="33880" xr:uid="{00000000-0005-0000-0000-00009ADA0000}"/>
    <cellStyle name="Percent 13 4 2 2 5" xfId="7919" xr:uid="{00000000-0005-0000-0000-00009BDA0000}"/>
    <cellStyle name="Percent 13 4 2 2 5 2" xfId="15191" xr:uid="{00000000-0005-0000-0000-00009CDA0000}"/>
    <cellStyle name="Percent 13 4 2 2 5 2 2" xfId="29725" xr:uid="{00000000-0005-0000-0000-00009DDA0000}"/>
    <cellStyle name="Percent 13 4 2 2 5 2 2 2" xfId="58731" xr:uid="{00000000-0005-0000-0000-00009EDA0000}"/>
    <cellStyle name="Percent 13 4 2 2 5 2 3" xfId="44232" xr:uid="{00000000-0005-0000-0000-00009FDA0000}"/>
    <cellStyle name="Percent 13 4 2 2 5 3" xfId="22477" xr:uid="{00000000-0005-0000-0000-0000A0DA0000}"/>
    <cellStyle name="Percent 13 4 2 2 5 3 2" xfId="51483" xr:uid="{00000000-0005-0000-0000-0000A1DA0000}"/>
    <cellStyle name="Percent 13 4 2 2 5 4" xfId="36984" xr:uid="{00000000-0005-0000-0000-0000A2DA0000}"/>
    <cellStyle name="Percent 13 4 2 2 6" xfId="8983" xr:uid="{00000000-0005-0000-0000-0000A3DA0000}"/>
    <cellStyle name="Percent 13 4 2 2 6 2" xfId="23517" xr:uid="{00000000-0005-0000-0000-0000A4DA0000}"/>
    <cellStyle name="Percent 13 4 2 2 6 2 2" xfId="52523" xr:uid="{00000000-0005-0000-0000-0000A5DA0000}"/>
    <cellStyle name="Percent 13 4 2 2 6 3" xfId="38024" xr:uid="{00000000-0005-0000-0000-0000A6DA0000}"/>
    <cellStyle name="Percent 13 4 2 2 7" xfId="16269" xr:uid="{00000000-0005-0000-0000-0000A7DA0000}"/>
    <cellStyle name="Percent 13 4 2 2 7 2" xfId="45275" xr:uid="{00000000-0005-0000-0000-0000A8DA0000}"/>
    <cellStyle name="Percent 13 4 2 2 8" xfId="30776" xr:uid="{00000000-0005-0000-0000-0000A9DA0000}"/>
    <cellStyle name="Percent 13 4 2 3" xfId="2239" xr:uid="{00000000-0005-0000-0000-0000AADA0000}"/>
    <cellStyle name="Percent 13 4 2 3 2" xfId="5343" xr:uid="{00000000-0005-0000-0000-0000ABDA0000}"/>
    <cellStyle name="Percent 13 4 2 3 2 2" xfId="12615" xr:uid="{00000000-0005-0000-0000-0000ACDA0000}"/>
    <cellStyle name="Percent 13 4 2 3 2 2 2" xfId="27149" xr:uid="{00000000-0005-0000-0000-0000ADDA0000}"/>
    <cellStyle name="Percent 13 4 2 3 2 2 2 2" xfId="56155" xr:uid="{00000000-0005-0000-0000-0000AEDA0000}"/>
    <cellStyle name="Percent 13 4 2 3 2 2 3" xfId="41656" xr:uid="{00000000-0005-0000-0000-0000AFDA0000}"/>
    <cellStyle name="Percent 13 4 2 3 2 3" xfId="19901" xr:uid="{00000000-0005-0000-0000-0000B0DA0000}"/>
    <cellStyle name="Percent 13 4 2 3 2 3 2" xfId="48907" xr:uid="{00000000-0005-0000-0000-0000B1DA0000}"/>
    <cellStyle name="Percent 13 4 2 3 2 4" xfId="34408" xr:uid="{00000000-0005-0000-0000-0000B2DA0000}"/>
    <cellStyle name="Percent 13 4 2 3 3" xfId="9511" xr:uid="{00000000-0005-0000-0000-0000B3DA0000}"/>
    <cellStyle name="Percent 13 4 2 3 3 2" xfId="24045" xr:uid="{00000000-0005-0000-0000-0000B4DA0000}"/>
    <cellStyle name="Percent 13 4 2 3 3 2 2" xfId="53051" xr:uid="{00000000-0005-0000-0000-0000B5DA0000}"/>
    <cellStyle name="Percent 13 4 2 3 3 3" xfId="38552" xr:uid="{00000000-0005-0000-0000-0000B6DA0000}"/>
    <cellStyle name="Percent 13 4 2 3 4" xfId="16797" xr:uid="{00000000-0005-0000-0000-0000B7DA0000}"/>
    <cellStyle name="Percent 13 4 2 3 4 2" xfId="45803" xr:uid="{00000000-0005-0000-0000-0000B8DA0000}"/>
    <cellStyle name="Percent 13 4 2 3 5" xfId="31304" xr:uid="{00000000-0005-0000-0000-0000B9DA0000}"/>
    <cellStyle name="Percent 13 4 2 4" xfId="3271" xr:uid="{00000000-0005-0000-0000-0000BADA0000}"/>
    <cellStyle name="Percent 13 4 2 4 2" xfId="6375" xr:uid="{00000000-0005-0000-0000-0000BBDA0000}"/>
    <cellStyle name="Percent 13 4 2 4 2 2" xfId="13647" xr:uid="{00000000-0005-0000-0000-0000BCDA0000}"/>
    <cellStyle name="Percent 13 4 2 4 2 2 2" xfId="28181" xr:uid="{00000000-0005-0000-0000-0000BDDA0000}"/>
    <cellStyle name="Percent 13 4 2 4 2 2 2 2" xfId="57187" xr:uid="{00000000-0005-0000-0000-0000BEDA0000}"/>
    <cellStyle name="Percent 13 4 2 4 2 2 3" xfId="42688" xr:uid="{00000000-0005-0000-0000-0000BFDA0000}"/>
    <cellStyle name="Percent 13 4 2 4 2 3" xfId="20933" xr:uid="{00000000-0005-0000-0000-0000C0DA0000}"/>
    <cellStyle name="Percent 13 4 2 4 2 3 2" xfId="49939" xr:uid="{00000000-0005-0000-0000-0000C1DA0000}"/>
    <cellStyle name="Percent 13 4 2 4 2 4" xfId="35440" xr:uid="{00000000-0005-0000-0000-0000C2DA0000}"/>
    <cellStyle name="Percent 13 4 2 4 3" xfId="10543" xr:uid="{00000000-0005-0000-0000-0000C3DA0000}"/>
    <cellStyle name="Percent 13 4 2 4 3 2" xfId="25077" xr:uid="{00000000-0005-0000-0000-0000C4DA0000}"/>
    <cellStyle name="Percent 13 4 2 4 3 2 2" xfId="54083" xr:uid="{00000000-0005-0000-0000-0000C5DA0000}"/>
    <cellStyle name="Percent 13 4 2 4 3 3" xfId="39584" xr:uid="{00000000-0005-0000-0000-0000C6DA0000}"/>
    <cellStyle name="Percent 13 4 2 4 4" xfId="17829" xr:uid="{00000000-0005-0000-0000-0000C7DA0000}"/>
    <cellStyle name="Percent 13 4 2 4 4 2" xfId="46835" xr:uid="{00000000-0005-0000-0000-0000C8DA0000}"/>
    <cellStyle name="Percent 13 4 2 4 5" xfId="32336" xr:uid="{00000000-0005-0000-0000-0000C9DA0000}"/>
    <cellStyle name="Percent 13 4 2 5" xfId="4303" xr:uid="{00000000-0005-0000-0000-0000CADA0000}"/>
    <cellStyle name="Percent 13 4 2 5 2" xfId="11575" xr:uid="{00000000-0005-0000-0000-0000CBDA0000}"/>
    <cellStyle name="Percent 13 4 2 5 2 2" xfId="26109" xr:uid="{00000000-0005-0000-0000-0000CCDA0000}"/>
    <cellStyle name="Percent 13 4 2 5 2 2 2" xfId="55115" xr:uid="{00000000-0005-0000-0000-0000CDDA0000}"/>
    <cellStyle name="Percent 13 4 2 5 2 3" xfId="40616" xr:uid="{00000000-0005-0000-0000-0000CEDA0000}"/>
    <cellStyle name="Percent 13 4 2 5 3" xfId="18861" xr:uid="{00000000-0005-0000-0000-0000CFDA0000}"/>
    <cellStyle name="Percent 13 4 2 5 3 2" xfId="47867" xr:uid="{00000000-0005-0000-0000-0000D0DA0000}"/>
    <cellStyle name="Percent 13 4 2 5 4" xfId="33368" xr:uid="{00000000-0005-0000-0000-0000D1DA0000}"/>
    <cellStyle name="Percent 13 4 2 6" xfId="7407" xr:uid="{00000000-0005-0000-0000-0000D2DA0000}"/>
    <cellStyle name="Percent 13 4 2 6 2" xfId="14679" xr:uid="{00000000-0005-0000-0000-0000D3DA0000}"/>
    <cellStyle name="Percent 13 4 2 6 2 2" xfId="29213" xr:uid="{00000000-0005-0000-0000-0000D4DA0000}"/>
    <cellStyle name="Percent 13 4 2 6 2 2 2" xfId="58219" xr:uid="{00000000-0005-0000-0000-0000D5DA0000}"/>
    <cellStyle name="Percent 13 4 2 6 2 3" xfId="43720" xr:uid="{00000000-0005-0000-0000-0000D6DA0000}"/>
    <cellStyle name="Percent 13 4 2 6 3" xfId="21965" xr:uid="{00000000-0005-0000-0000-0000D7DA0000}"/>
    <cellStyle name="Percent 13 4 2 6 3 2" xfId="50971" xr:uid="{00000000-0005-0000-0000-0000D8DA0000}"/>
    <cellStyle name="Percent 13 4 2 6 4" xfId="36472" xr:uid="{00000000-0005-0000-0000-0000D9DA0000}"/>
    <cellStyle name="Percent 13 4 2 7" xfId="8471" xr:uid="{00000000-0005-0000-0000-0000DADA0000}"/>
    <cellStyle name="Percent 13 4 2 7 2" xfId="23005" xr:uid="{00000000-0005-0000-0000-0000DBDA0000}"/>
    <cellStyle name="Percent 13 4 2 7 2 2" xfId="52011" xr:uid="{00000000-0005-0000-0000-0000DCDA0000}"/>
    <cellStyle name="Percent 13 4 2 7 3" xfId="37512" xr:uid="{00000000-0005-0000-0000-0000DDDA0000}"/>
    <cellStyle name="Percent 13 4 2 8" xfId="15757" xr:uid="{00000000-0005-0000-0000-0000DEDA0000}"/>
    <cellStyle name="Percent 13 4 2 8 2" xfId="44763" xr:uid="{00000000-0005-0000-0000-0000DFDA0000}"/>
    <cellStyle name="Percent 13 4 2 9" xfId="30264" xr:uid="{00000000-0005-0000-0000-0000E0DA0000}"/>
    <cellStyle name="Percent 13 4 3" xfId="1387" xr:uid="{00000000-0005-0000-0000-0000E1DA0000}"/>
    <cellStyle name="Percent 13 4 3 2" xfId="2445" xr:uid="{00000000-0005-0000-0000-0000E2DA0000}"/>
    <cellStyle name="Percent 13 4 3 2 2" xfId="5549" xr:uid="{00000000-0005-0000-0000-0000E3DA0000}"/>
    <cellStyle name="Percent 13 4 3 2 2 2" xfId="12821" xr:uid="{00000000-0005-0000-0000-0000E4DA0000}"/>
    <cellStyle name="Percent 13 4 3 2 2 2 2" xfId="27355" xr:uid="{00000000-0005-0000-0000-0000E5DA0000}"/>
    <cellStyle name="Percent 13 4 3 2 2 2 2 2" xfId="56361" xr:uid="{00000000-0005-0000-0000-0000E6DA0000}"/>
    <cellStyle name="Percent 13 4 3 2 2 2 3" xfId="41862" xr:uid="{00000000-0005-0000-0000-0000E7DA0000}"/>
    <cellStyle name="Percent 13 4 3 2 2 3" xfId="20107" xr:uid="{00000000-0005-0000-0000-0000E8DA0000}"/>
    <cellStyle name="Percent 13 4 3 2 2 3 2" xfId="49113" xr:uid="{00000000-0005-0000-0000-0000E9DA0000}"/>
    <cellStyle name="Percent 13 4 3 2 2 4" xfId="34614" xr:uid="{00000000-0005-0000-0000-0000EADA0000}"/>
    <cellStyle name="Percent 13 4 3 2 3" xfId="9717" xr:uid="{00000000-0005-0000-0000-0000EBDA0000}"/>
    <cellStyle name="Percent 13 4 3 2 3 2" xfId="24251" xr:uid="{00000000-0005-0000-0000-0000ECDA0000}"/>
    <cellStyle name="Percent 13 4 3 2 3 2 2" xfId="53257" xr:uid="{00000000-0005-0000-0000-0000EDDA0000}"/>
    <cellStyle name="Percent 13 4 3 2 3 3" xfId="38758" xr:uid="{00000000-0005-0000-0000-0000EEDA0000}"/>
    <cellStyle name="Percent 13 4 3 2 4" xfId="17003" xr:uid="{00000000-0005-0000-0000-0000EFDA0000}"/>
    <cellStyle name="Percent 13 4 3 2 4 2" xfId="46009" xr:uid="{00000000-0005-0000-0000-0000F0DA0000}"/>
    <cellStyle name="Percent 13 4 3 2 5" xfId="31510" xr:uid="{00000000-0005-0000-0000-0000F1DA0000}"/>
    <cellStyle name="Percent 13 4 3 3" xfId="3477" xr:uid="{00000000-0005-0000-0000-0000F2DA0000}"/>
    <cellStyle name="Percent 13 4 3 3 2" xfId="6581" xr:uid="{00000000-0005-0000-0000-0000F3DA0000}"/>
    <cellStyle name="Percent 13 4 3 3 2 2" xfId="13853" xr:uid="{00000000-0005-0000-0000-0000F4DA0000}"/>
    <cellStyle name="Percent 13 4 3 3 2 2 2" xfId="28387" xr:uid="{00000000-0005-0000-0000-0000F5DA0000}"/>
    <cellStyle name="Percent 13 4 3 3 2 2 2 2" xfId="57393" xr:uid="{00000000-0005-0000-0000-0000F6DA0000}"/>
    <cellStyle name="Percent 13 4 3 3 2 2 3" xfId="42894" xr:uid="{00000000-0005-0000-0000-0000F7DA0000}"/>
    <cellStyle name="Percent 13 4 3 3 2 3" xfId="21139" xr:uid="{00000000-0005-0000-0000-0000F8DA0000}"/>
    <cellStyle name="Percent 13 4 3 3 2 3 2" xfId="50145" xr:uid="{00000000-0005-0000-0000-0000F9DA0000}"/>
    <cellStyle name="Percent 13 4 3 3 2 4" xfId="35646" xr:uid="{00000000-0005-0000-0000-0000FADA0000}"/>
    <cellStyle name="Percent 13 4 3 3 3" xfId="10749" xr:uid="{00000000-0005-0000-0000-0000FBDA0000}"/>
    <cellStyle name="Percent 13 4 3 3 3 2" xfId="25283" xr:uid="{00000000-0005-0000-0000-0000FCDA0000}"/>
    <cellStyle name="Percent 13 4 3 3 3 2 2" xfId="54289" xr:uid="{00000000-0005-0000-0000-0000FDDA0000}"/>
    <cellStyle name="Percent 13 4 3 3 3 3" xfId="39790" xr:uid="{00000000-0005-0000-0000-0000FEDA0000}"/>
    <cellStyle name="Percent 13 4 3 3 4" xfId="18035" xr:uid="{00000000-0005-0000-0000-0000FFDA0000}"/>
    <cellStyle name="Percent 13 4 3 3 4 2" xfId="47041" xr:uid="{00000000-0005-0000-0000-000000DB0000}"/>
    <cellStyle name="Percent 13 4 3 3 5" xfId="32542" xr:uid="{00000000-0005-0000-0000-000001DB0000}"/>
    <cellStyle name="Percent 13 4 3 4" xfId="4509" xr:uid="{00000000-0005-0000-0000-000002DB0000}"/>
    <cellStyle name="Percent 13 4 3 4 2" xfId="11781" xr:uid="{00000000-0005-0000-0000-000003DB0000}"/>
    <cellStyle name="Percent 13 4 3 4 2 2" xfId="26315" xr:uid="{00000000-0005-0000-0000-000004DB0000}"/>
    <cellStyle name="Percent 13 4 3 4 2 2 2" xfId="55321" xr:uid="{00000000-0005-0000-0000-000005DB0000}"/>
    <cellStyle name="Percent 13 4 3 4 2 3" xfId="40822" xr:uid="{00000000-0005-0000-0000-000006DB0000}"/>
    <cellStyle name="Percent 13 4 3 4 3" xfId="19067" xr:uid="{00000000-0005-0000-0000-000007DB0000}"/>
    <cellStyle name="Percent 13 4 3 4 3 2" xfId="48073" xr:uid="{00000000-0005-0000-0000-000008DB0000}"/>
    <cellStyle name="Percent 13 4 3 4 4" xfId="33574" xr:uid="{00000000-0005-0000-0000-000009DB0000}"/>
    <cellStyle name="Percent 13 4 3 5" xfId="7613" xr:uid="{00000000-0005-0000-0000-00000ADB0000}"/>
    <cellStyle name="Percent 13 4 3 5 2" xfId="14885" xr:uid="{00000000-0005-0000-0000-00000BDB0000}"/>
    <cellStyle name="Percent 13 4 3 5 2 2" xfId="29419" xr:uid="{00000000-0005-0000-0000-00000CDB0000}"/>
    <cellStyle name="Percent 13 4 3 5 2 2 2" xfId="58425" xr:uid="{00000000-0005-0000-0000-00000DDB0000}"/>
    <cellStyle name="Percent 13 4 3 5 2 3" xfId="43926" xr:uid="{00000000-0005-0000-0000-00000EDB0000}"/>
    <cellStyle name="Percent 13 4 3 5 3" xfId="22171" xr:uid="{00000000-0005-0000-0000-00000FDB0000}"/>
    <cellStyle name="Percent 13 4 3 5 3 2" xfId="51177" xr:uid="{00000000-0005-0000-0000-000010DB0000}"/>
    <cellStyle name="Percent 13 4 3 5 4" xfId="36678" xr:uid="{00000000-0005-0000-0000-000011DB0000}"/>
    <cellStyle name="Percent 13 4 3 6" xfId="8677" xr:uid="{00000000-0005-0000-0000-000012DB0000}"/>
    <cellStyle name="Percent 13 4 3 6 2" xfId="23211" xr:uid="{00000000-0005-0000-0000-000013DB0000}"/>
    <cellStyle name="Percent 13 4 3 6 2 2" xfId="52217" xr:uid="{00000000-0005-0000-0000-000014DB0000}"/>
    <cellStyle name="Percent 13 4 3 6 3" xfId="37718" xr:uid="{00000000-0005-0000-0000-000015DB0000}"/>
    <cellStyle name="Percent 13 4 3 7" xfId="15963" xr:uid="{00000000-0005-0000-0000-000016DB0000}"/>
    <cellStyle name="Percent 13 4 3 7 2" xfId="44969" xr:uid="{00000000-0005-0000-0000-000017DB0000}"/>
    <cellStyle name="Percent 13 4 3 8" xfId="30470" xr:uid="{00000000-0005-0000-0000-000018DB0000}"/>
    <cellStyle name="Percent 13 4 4" xfId="1933" xr:uid="{00000000-0005-0000-0000-000019DB0000}"/>
    <cellStyle name="Percent 13 4 4 2" xfId="5037" xr:uid="{00000000-0005-0000-0000-00001ADB0000}"/>
    <cellStyle name="Percent 13 4 4 2 2" xfId="12309" xr:uid="{00000000-0005-0000-0000-00001BDB0000}"/>
    <cellStyle name="Percent 13 4 4 2 2 2" xfId="26843" xr:uid="{00000000-0005-0000-0000-00001CDB0000}"/>
    <cellStyle name="Percent 13 4 4 2 2 2 2" xfId="55849" xr:uid="{00000000-0005-0000-0000-00001DDB0000}"/>
    <cellStyle name="Percent 13 4 4 2 2 3" xfId="41350" xr:uid="{00000000-0005-0000-0000-00001EDB0000}"/>
    <cellStyle name="Percent 13 4 4 2 3" xfId="19595" xr:uid="{00000000-0005-0000-0000-00001FDB0000}"/>
    <cellStyle name="Percent 13 4 4 2 3 2" xfId="48601" xr:uid="{00000000-0005-0000-0000-000020DB0000}"/>
    <cellStyle name="Percent 13 4 4 2 4" xfId="34102" xr:uid="{00000000-0005-0000-0000-000021DB0000}"/>
    <cellStyle name="Percent 13 4 4 3" xfId="9205" xr:uid="{00000000-0005-0000-0000-000022DB0000}"/>
    <cellStyle name="Percent 13 4 4 3 2" xfId="23739" xr:uid="{00000000-0005-0000-0000-000023DB0000}"/>
    <cellStyle name="Percent 13 4 4 3 2 2" xfId="52745" xr:uid="{00000000-0005-0000-0000-000024DB0000}"/>
    <cellStyle name="Percent 13 4 4 3 3" xfId="38246" xr:uid="{00000000-0005-0000-0000-000025DB0000}"/>
    <cellStyle name="Percent 13 4 4 4" xfId="16491" xr:uid="{00000000-0005-0000-0000-000026DB0000}"/>
    <cellStyle name="Percent 13 4 4 4 2" xfId="45497" xr:uid="{00000000-0005-0000-0000-000027DB0000}"/>
    <cellStyle name="Percent 13 4 4 5" xfId="30998" xr:uid="{00000000-0005-0000-0000-000028DB0000}"/>
    <cellStyle name="Percent 13 4 5" xfId="2965" xr:uid="{00000000-0005-0000-0000-000029DB0000}"/>
    <cellStyle name="Percent 13 4 5 2" xfId="6069" xr:uid="{00000000-0005-0000-0000-00002ADB0000}"/>
    <cellStyle name="Percent 13 4 5 2 2" xfId="13341" xr:uid="{00000000-0005-0000-0000-00002BDB0000}"/>
    <cellStyle name="Percent 13 4 5 2 2 2" xfId="27875" xr:uid="{00000000-0005-0000-0000-00002CDB0000}"/>
    <cellStyle name="Percent 13 4 5 2 2 2 2" xfId="56881" xr:uid="{00000000-0005-0000-0000-00002DDB0000}"/>
    <cellStyle name="Percent 13 4 5 2 2 3" xfId="42382" xr:uid="{00000000-0005-0000-0000-00002EDB0000}"/>
    <cellStyle name="Percent 13 4 5 2 3" xfId="20627" xr:uid="{00000000-0005-0000-0000-00002FDB0000}"/>
    <cellStyle name="Percent 13 4 5 2 3 2" xfId="49633" xr:uid="{00000000-0005-0000-0000-000030DB0000}"/>
    <cellStyle name="Percent 13 4 5 2 4" xfId="35134" xr:uid="{00000000-0005-0000-0000-000031DB0000}"/>
    <cellStyle name="Percent 13 4 5 3" xfId="10237" xr:uid="{00000000-0005-0000-0000-000032DB0000}"/>
    <cellStyle name="Percent 13 4 5 3 2" xfId="24771" xr:uid="{00000000-0005-0000-0000-000033DB0000}"/>
    <cellStyle name="Percent 13 4 5 3 2 2" xfId="53777" xr:uid="{00000000-0005-0000-0000-000034DB0000}"/>
    <cellStyle name="Percent 13 4 5 3 3" xfId="39278" xr:uid="{00000000-0005-0000-0000-000035DB0000}"/>
    <cellStyle name="Percent 13 4 5 4" xfId="17523" xr:uid="{00000000-0005-0000-0000-000036DB0000}"/>
    <cellStyle name="Percent 13 4 5 4 2" xfId="46529" xr:uid="{00000000-0005-0000-0000-000037DB0000}"/>
    <cellStyle name="Percent 13 4 5 5" xfId="32030" xr:uid="{00000000-0005-0000-0000-000038DB0000}"/>
    <cellStyle name="Percent 13 4 6" xfId="3997" xr:uid="{00000000-0005-0000-0000-000039DB0000}"/>
    <cellStyle name="Percent 13 4 6 2" xfId="11269" xr:uid="{00000000-0005-0000-0000-00003ADB0000}"/>
    <cellStyle name="Percent 13 4 6 2 2" xfId="25803" xr:uid="{00000000-0005-0000-0000-00003BDB0000}"/>
    <cellStyle name="Percent 13 4 6 2 2 2" xfId="54809" xr:uid="{00000000-0005-0000-0000-00003CDB0000}"/>
    <cellStyle name="Percent 13 4 6 2 3" xfId="40310" xr:uid="{00000000-0005-0000-0000-00003DDB0000}"/>
    <cellStyle name="Percent 13 4 6 3" xfId="18555" xr:uid="{00000000-0005-0000-0000-00003EDB0000}"/>
    <cellStyle name="Percent 13 4 6 3 2" xfId="47561" xr:uid="{00000000-0005-0000-0000-00003FDB0000}"/>
    <cellStyle name="Percent 13 4 6 4" xfId="33062" xr:uid="{00000000-0005-0000-0000-000040DB0000}"/>
    <cellStyle name="Percent 13 4 7" xfId="7101" xr:uid="{00000000-0005-0000-0000-000041DB0000}"/>
    <cellStyle name="Percent 13 4 7 2" xfId="14373" xr:uid="{00000000-0005-0000-0000-000042DB0000}"/>
    <cellStyle name="Percent 13 4 7 2 2" xfId="28907" xr:uid="{00000000-0005-0000-0000-000043DB0000}"/>
    <cellStyle name="Percent 13 4 7 2 2 2" xfId="57913" xr:uid="{00000000-0005-0000-0000-000044DB0000}"/>
    <cellStyle name="Percent 13 4 7 2 3" xfId="43414" xr:uid="{00000000-0005-0000-0000-000045DB0000}"/>
    <cellStyle name="Percent 13 4 7 3" xfId="21659" xr:uid="{00000000-0005-0000-0000-000046DB0000}"/>
    <cellStyle name="Percent 13 4 7 3 2" xfId="50665" xr:uid="{00000000-0005-0000-0000-000047DB0000}"/>
    <cellStyle name="Percent 13 4 7 4" xfId="36166" xr:uid="{00000000-0005-0000-0000-000048DB0000}"/>
    <cellStyle name="Percent 13 4 8" xfId="8165" xr:uid="{00000000-0005-0000-0000-000049DB0000}"/>
    <cellStyle name="Percent 13 4 8 2" xfId="22699" xr:uid="{00000000-0005-0000-0000-00004ADB0000}"/>
    <cellStyle name="Percent 13 4 8 2 2" xfId="51705" xr:uid="{00000000-0005-0000-0000-00004BDB0000}"/>
    <cellStyle name="Percent 13 4 8 3" xfId="37206" xr:uid="{00000000-0005-0000-0000-00004CDB0000}"/>
    <cellStyle name="Percent 13 4 9" xfId="15451" xr:uid="{00000000-0005-0000-0000-00004DDB0000}"/>
    <cellStyle name="Percent 13 4 9 2" xfId="44457" xr:uid="{00000000-0005-0000-0000-00004EDB0000}"/>
    <cellStyle name="Percent 13 5" xfId="1093" xr:uid="{00000000-0005-0000-0000-00004FDB0000}"/>
    <cellStyle name="Percent 13 5 2" xfId="1589" xr:uid="{00000000-0005-0000-0000-000050DB0000}"/>
    <cellStyle name="Percent 13 5 2 2" xfId="2648" xr:uid="{00000000-0005-0000-0000-000051DB0000}"/>
    <cellStyle name="Percent 13 5 2 2 2" xfId="5752" xr:uid="{00000000-0005-0000-0000-000052DB0000}"/>
    <cellStyle name="Percent 13 5 2 2 2 2" xfId="13024" xr:uid="{00000000-0005-0000-0000-000053DB0000}"/>
    <cellStyle name="Percent 13 5 2 2 2 2 2" xfId="27558" xr:uid="{00000000-0005-0000-0000-000054DB0000}"/>
    <cellStyle name="Percent 13 5 2 2 2 2 2 2" xfId="56564" xr:uid="{00000000-0005-0000-0000-000055DB0000}"/>
    <cellStyle name="Percent 13 5 2 2 2 2 3" xfId="42065" xr:uid="{00000000-0005-0000-0000-000056DB0000}"/>
    <cellStyle name="Percent 13 5 2 2 2 3" xfId="20310" xr:uid="{00000000-0005-0000-0000-000057DB0000}"/>
    <cellStyle name="Percent 13 5 2 2 2 3 2" xfId="49316" xr:uid="{00000000-0005-0000-0000-000058DB0000}"/>
    <cellStyle name="Percent 13 5 2 2 2 4" xfId="34817" xr:uid="{00000000-0005-0000-0000-000059DB0000}"/>
    <cellStyle name="Percent 13 5 2 2 3" xfId="9920" xr:uid="{00000000-0005-0000-0000-00005ADB0000}"/>
    <cellStyle name="Percent 13 5 2 2 3 2" xfId="24454" xr:uid="{00000000-0005-0000-0000-00005BDB0000}"/>
    <cellStyle name="Percent 13 5 2 2 3 2 2" xfId="53460" xr:uid="{00000000-0005-0000-0000-00005CDB0000}"/>
    <cellStyle name="Percent 13 5 2 2 3 3" xfId="38961" xr:uid="{00000000-0005-0000-0000-00005DDB0000}"/>
    <cellStyle name="Percent 13 5 2 2 4" xfId="17206" xr:uid="{00000000-0005-0000-0000-00005EDB0000}"/>
    <cellStyle name="Percent 13 5 2 2 4 2" xfId="46212" xr:uid="{00000000-0005-0000-0000-00005FDB0000}"/>
    <cellStyle name="Percent 13 5 2 2 5" xfId="31713" xr:uid="{00000000-0005-0000-0000-000060DB0000}"/>
    <cellStyle name="Percent 13 5 2 3" xfId="3680" xr:uid="{00000000-0005-0000-0000-000061DB0000}"/>
    <cellStyle name="Percent 13 5 2 3 2" xfId="6784" xr:uid="{00000000-0005-0000-0000-000062DB0000}"/>
    <cellStyle name="Percent 13 5 2 3 2 2" xfId="14056" xr:uid="{00000000-0005-0000-0000-000063DB0000}"/>
    <cellStyle name="Percent 13 5 2 3 2 2 2" xfId="28590" xr:uid="{00000000-0005-0000-0000-000064DB0000}"/>
    <cellStyle name="Percent 13 5 2 3 2 2 2 2" xfId="57596" xr:uid="{00000000-0005-0000-0000-000065DB0000}"/>
    <cellStyle name="Percent 13 5 2 3 2 2 3" xfId="43097" xr:uid="{00000000-0005-0000-0000-000066DB0000}"/>
    <cellStyle name="Percent 13 5 2 3 2 3" xfId="21342" xr:uid="{00000000-0005-0000-0000-000067DB0000}"/>
    <cellStyle name="Percent 13 5 2 3 2 3 2" xfId="50348" xr:uid="{00000000-0005-0000-0000-000068DB0000}"/>
    <cellStyle name="Percent 13 5 2 3 2 4" xfId="35849" xr:uid="{00000000-0005-0000-0000-000069DB0000}"/>
    <cellStyle name="Percent 13 5 2 3 3" xfId="10952" xr:uid="{00000000-0005-0000-0000-00006ADB0000}"/>
    <cellStyle name="Percent 13 5 2 3 3 2" xfId="25486" xr:uid="{00000000-0005-0000-0000-00006BDB0000}"/>
    <cellStyle name="Percent 13 5 2 3 3 2 2" xfId="54492" xr:uid="{00000000-0005-0000-0000-00006CDB0000}"/>
    <cellStyle name="Percent 13 5 2 3 3 3" xfId="39993" xr:uid="{00000000-0005-0000-0000-00006DDB0000}"/>
    <cellStyle name="Percent 13 5 2 3 4" xfId="18238" xr:uid="{00000000-0005-0000-0000-00006EDB0000}"/>
    <cellStyle name="Percent 13 5 2 3 4 2" xfId="47244" xr:uid="{00000000-0005-0000-0000-00006FDB0000}"/>
    <cellStyle name="Percent 13 5 2 3 5" xfId="32745" xr:uid="{00000000-0005-0000-0000-000070DB0000}"/>
    <cellStyle name="Percent 13 5 2 4" xfId="4712" xr:uid="{00000000-0005-0000-0000-000071DB0000}"/>
    <cellStyle name="Percent 13 5 2 4 2" xfId="11984" xr:uid="{00000000-0005-0000-0000-000072DB0000}"/>
    <cellStyle name="Percent 13 5 2 4 2 2" xfId="26518" xr:uid="{00000000-0005-0000-0000-000073DB0000}"/>
    <cellStyle name="Percent 13 5 2 4 2 2 2" xfId="55524" xr:uid="{00000000-0005-0000-0000-000074DB0000}"/>
    <cellStyle name="Percent 13 5 2 4 2 3" xfId="41025" xr:uid="{00000000-0005-0000-0000-000075DB0000}"/>
    <cellStyle name="Percent 13 5 2 4 3" xfId="19270" xr:uid="{00000000-0005-0000-0000-000076DB0000}"/>
    <cellStyle name="Percent 13 5 2 4 3 2" xfId="48276" xr:uid="{00000000-0005-0000-0000-000077DB0000}"/>
    <cellStyle name="Percent 13 5 2 4 4" xfId="33777" xr:uid="{00000000-0005-0000-0000-000078DB0000}"/>
    <cellStyle name="Percent 13 5 2 5" xfId="7816" xr:uid="{00000000-0005-0000-0000-000079DB0000}"/>
    <cellStyle name="Percent 13 5 2 5 2" xfId="15088" xr:uid="{00000000-0005-0000-0000-00007ADB0000}"/>
    <cellStyle name="Percent 13 5 2 5 2 2" xfId="29622" xr:uid="{00000000-0005-0000-0000-00007BDB0000}"/>
    <cellStyle name="Percent 13 5 2 5 2 2 2" xfId="58628" xr:uid="{00000000-0005-0000-0000-00007CDB0000}"/>
    <cellStyle name="Percent 13 5 2 5 2 3" xfId="44129" xr:uid="{00000000-0005-0000-0000-00007DDB0000}"/>
    <cellStyle name="Percent 13 5 2 5 3" xfId="22374" xr:uid="{00000000-0005-0000-0000-00007EDB0000}"/>
    <cellStyle name="Percent 13 5 2 5 3 2" xfId="51380" xr:uid="{00000000-0005-0000-0000-00007FDB0000}"/>
    <cellStyle name="Percent 13 5 2 5 4" xfId="36881" xr:uid="{00000000-0005-0000-0000-000080DB0000}"/>
    <cellStyle name="Percent 13 5 2 6" xfId="8880" xr:uid="{00000000-0005-0000-0000-000081DB0000}"/>
    <cellStyle name="Percent 13 5 2 6 2" xfId="23414" xr:uid="{00000000-0005-0000-0000-000082DB0000}"/>
    <cellStyle name="Percent 13 5 2 6 2 2" xfId="52420" xr:uid="{00000000-0005-0000-0000-000083DB0000}"/>
    <cellStyle name="Percent 13 5 2 6 3" xfId="37921" xr:uid="{00000000-0005-0000-0000-000084DB0000}"/>
    <cellStyle name="Percent 13 5 2 7" xfId="16166" xr:uid="{00000000-0005-0000-0000-000085DB0000}"/>
    <cellStyle name="Percent 13 5 2 7 2" xfId="45172" xr:uid="{00000000-0005-0000-0000-000086DB0000}"/>
    <cellStyle name="Percent 13 5 2 8" xfId="30673" xr:uid="{00000000-0005-0000-0000-000087DB0000}"/>
    <cellStyle name="Percent 13 5 3" xfId="2136" xr:uid="{00000000-0005-0000-0000-000088DB0000}"/>
    <cellStyle name="Percent 13 5 3 2" xfId="5240" xr:uid="{00000000-0005-0000-0000-000089DB0000}"/>
    <cellStyle name="Percent 13 5 3 2 2" xfId="12512" xr:uid="{00000000-0005-0000-0000-00008ADB0000}"/>
    <cellStyle name="Percent 13 5 3 2 2 2" xfId="27046" xr:uid="{00000000-0005-0000-0000-00008BDB0000}"/>
    <cellStyle name="Percent 13 5 3 2 2 2 2" xfId="56052" xr:uid="{00000000-0005-0000-0000-00008CDB0000}"/>
    <cellStyle name="Percent 13 5 3 2 2 3" xfId="41553" xr:uid="{00000000-0005-0000-0000-00008DDB0000}"/>
    <cellStyle name="Percent 13 5 3 2 3" xfId="19798" xr:uid="{00000000-0005-0000-0000-00008EDB0000}"/>
    <cellStyle name="Percent 13 5 3 2 3 2" xfId="48804" xr:uid="{00000000-0005-0000-0000-00008FDB0000}"/>
    <cellStyle name="Percent 13 5 3 2 4" xfId="34305" xr:uid="{00000000-0005-0000-0000-000090DB0000}"/>
    <cellStyle name="Percent 13 5 3 3" xfId="9408" xr:uid="{00000000-0005-0000-0000-000091DB0000}"/>
    <cellStyle name="Percent 13 5 3 3 2" xfId="23942" xr:uid="{00000000-0005-0000-0000-000092DB0000}"/>
    <cellStyle name="Percent 13 5 3 3 2 2" xfId="52948" xr:uid="{00000000-0005-0000-0000-000093DB0000}"/>
    <cellStyle name="Percent 13 5 3 3 3" xfId="38449" xr:uid="{00000000-0005-0000-0000-000094DB0000}"/>
    <cellStyle name="Percent 13 5 3 4" xfId="16694" xr:uid="{00000000-0005-0000-0000-000095DB0000}"/>
    <cellStyle name="Percent 13 5 3 4 2" xfId="45700" xr:uid="{00000000-0005-0000-0000-000096DB0000}"/>
    <cellStyle name="Percent 13 5 3 5" xfId="31201" xr:uid="{00000000-0005-0000-0000-000097DB0000}"/>
    <cellStyle name="Percent 13 5 4" xfId="3168" xr:uid="{00000000-0005-0000-0000-000098DB0000}"/>
    <cellStyle name="Percent 13 5 4 2" xfId="6272" xr:uid="{00000000-0005-0000-0000-000099DB0000}"/>
    <cellStyle name="Percent 13 5 4 2 2" xfId="13544" xr:uid="{00000000-0005-0000-0000-00009ADB0000}"/>
    <cellStyle name="Percent 13 5 4 2 2 2" xfId="28078" xr:uid="{00000000-0005-0000-0000-00009BDB0000}"/>
    <cellStyle name="Percent 13 5 4 2 2 2 2" xfId="57084" xr:uid="{00000000-0005-0000-0000-00009CDB0000}"/>
    <cellStyle name="Percent 13 5 4 2 2 3" xfId="42585" xr:uid="{00000000-0005-0000-0000-00009DDB0000}"/>
    <cellStyle name="Percent 13 5 4 2 3" xfId="20830" xr:uid="{00000000-0005-0000-0000-00009EDB0000}"/>
    <cellStyle name="Percent 13 5 4 2 3 2" xfId="49836" xr:uid="{00000000-0005-0000-0000-00009FDB0000}"/>
    <cellStyle name="Percent 13 5 4 2 4" xfId="35337" xr:uid="{00000000-0005-0000-0000-0000A0DB0000}"/>
    <cellStyle name="Percent 13 5 4 3" xfId="10440" xr:uid="{00000000-0005-0000-0000-0000A1DB0000}"/>
    <cellStyle name="Percent 13 5 4 3 2" xfId="24974" xr:uid="{00000000-0005-0000-0000-0000A2DB0000}"/>
    <cellStyle name="Percent 13 5 4 3 2 2" xfId="53980" xr:uid="{00000000-0005-0000-0000-0000A3DB0000}"/>
    <cellStyle name="Percent 13 5 4 3 3" xfId="39481" xr:uid="{00000000-0005-0000-0000-0000A4DB0000}"/>
    <cellStyle name="Percent 13 5 4 4" xfId="17726" xr:uid="{00000000-0005-0000-0000-0000A5DB0000}"/>
    <cellStyle name="Percent 13 5 4 4 2" xfId="46732" xr:uid="{00000000-0005-0000-0000-0000A6DB0000}"/>
    <cellStyle name="Percent 13 5 4 5" xfId="32233" xr:uid="{00000000-0005-0000-0000-0000A7DB0000}"/>
    <cellStyle name="Percent 13 5 5" xfId="4200" xr:uid="{00000000-0005-0000-0000-0000A8DB0000}"/>
    <cellStyle name="Percent 13 5 5 2" xfId="11472" xr:uid="{00000000-0005-0000-0000-0000A9DB0000}"/>
    <cellStyle name="Percent 13 5 5 2 2" xfId="26006" xr:uid="{00000000-0005-0000-0000-0000AADB0000}"/>
    <cellStyle name="Percent 13 5 5 2 2 2" xfId="55012" xr:uid="{00000000-0005-0000-0000-0000ABDB0000}"/>
    <cellStyle name="Percent 13 5 5 2 3" xfId="40513" xr:uid="{00000000-0005-0000-0000-0000ACDB0000}"/>
    <cellStyle name="Percent 13 5 5 3" xfId="18758" xr:uid="{00000000-0005-0000-0000-0000ADDB0000}"/>
    <cellStyle name="Percent 13 5 5 3 2" xfId="47764" xr:uid="{00000000-0005-0000-0000-0000AEDB0000}"/>
    <cellStyle name="Percent 13 5 5 4" xfId="33265" xr:uid="{00000000-0005-0000-0000-0000AFDB0000}"/>
    <cellStyle name="Percent 13 5 6" xfId="7304" xr:uid="{00000000-0005-0000-0000-0000B0DB0000}"/>
    <cellStyle name="Percent 13 5 6 2" xfId="14576" xr:uid="{00000000-0005-0000-0000-0000B1DB0000}"/>
    <cellStyle name="Percent 13 5 6 2 2" xfId="29110" xr:uid="{00000000-0005-0000-0000-0000B2DB0000}"/>
    <cellStyle name="Percent 13 5 6 2 2 2" xfId="58116" xr:uid="{00000000-0005-0000-0000-0000B3DB0000}"/>
    <cellStyle name="Percent 13 5 6 2 3" xfId="43617" xr:uid="{00000000-0005-0000-0000-0000B4DB0000}"/>
    <cellStyle name="Percent 13 5 6 3" xfId="21862" xr:uid="{00000000-0005-0000-0000-0000B5DB0000}"/>
    <cellStyle name="Percent 13 5 6 3 2" xfId="50868" xr:uid="{00000000-0005-0000-0000-0000B6DB0000}"/>
    <cellStyle name="Percent 13 5 6 4" xfId="36369" xr:uid="{00000000-0005-0000-0000-0000B7DB0000}"/>
    <cellStyle name="Percent 13 5 7" xfId="8368" xr:uid="{00000000-0005-0000-0000-0000B8DB0000}"/>
    <cellStyle name="Percent 13 5 7 2" xfId="22902" xr:uid="{00000000-0005-0000-0000-0000B9DB0000}"/>
    <cellStyle name="Percent 13 5 7 2 2" xfId="51908" xr:uid="{00000000-0005-0000-0000-0000BADB0000}"/>
    <cellStyle name="Percent 13 5 7 3" xfId="37409" xr:uid="{00000000-0005-0000-0000-0000BBDB0000}"/>
    <cellStyle name="Percent 13 5 8" xfId="15654" xr:uid="{00000000-0005-0000-0000-0000BCDB0000}"/>
    <cellStyle name="Percent 13 5 8 2" xfId="44660" xr:uid="{00000000-0005-0000-0000-0000BDDB0000}"/>
    <cellStyle name="Percent 13 5 9" xfId="30161" xr:uid="{00000000-0005-0000-0000-0000BEDB0000}"/>
    <cellStyle name="Percent 13 6" xfId="1002" xr:uid="{00000000-0005-0000-0000-0000BFDB0000}"/>
    <cellStyle name="Percent 13 6 2" xfId="1490" xr:uid="{00000000-0005-0000-0000-0000C0DB0000}"/>
    <cellStyle name="Percent 13 6 2 2" xfId="2548" xr:uid="{00000000-0005-0000-0000-0000C1DB0000}"/>
    <cellStyle name="Percent 13 6 2 2 2" xfId="5652" xr:uid="{00000000-0005-0000-0000-0000C2DB0000}"/>
    <cellStyle name="Percent 13 6 2 2 2 2" xfId="12924" xr:uid="{00000000-0005-0000-0000-0000C3DB0000}"/>
    <cellStyle name="Percent 13 6 2 2 2 2 2" xfId="27458" xr:uid="{00000000-0005-0000-0000-0000C4DB0000}"/>
    <cellStyle name="Percent 13 6 2 2 2 2 2 2" xfId="56464" xr:uid="{00000000-0005-0000-0000-0000C5DB0000}"/>
    <cellStyle name="Percent 13 6 2 2 2 2 3" xfId="41965" xr:uid="{00000000-0005-0000-0000-0000C6DB0000}"/>
    <cellStyle name="Percent 13 6 2 2 2 3" xfId="20210" xr:uid="{00000000-0005-0000-0000-0000C7DB0000}"/>
    <cellStyle name="Percent 13 6 2 2 2 3 2" xfId="49216" xr:uid="{00000000-0005-0000-0000-0000C8DB0000}"/>
    <cellStyle name="Percent 13 6 2 2 2 4" xfId="34717" xr:uid="{00000000-0005-0000-0000-0000C9DB0000}"/>
    <cellStyle name="Percent 13 6 2 2 3" xfId="9820" xr:uid="{00000000-0005-0000-0000-0000CADB0000}"/>
    <cellStyle name="Percent 13 6 2 2 3 2" xfId="24354" xr:uid="{00000000-0005-0000-0000-0000CBDB0000}"/>
    <cellStyle name="Percent 13 6 2 2 3 2 2" xfId="53360" xr:uid="{00000000-0005-0000-0000-0000CCDB0000}"/>
    <cellStyle name="Percent 13 6 2 2 3 3" xfId="38861" xr:uid="{00000000-0005-0000-0000-0000CDDB0000}"/>
    <cellStyle name="Percent 13 6 2 2 4" xfId="17106" xr:uid="{00000000-0005-0000-0000-0000CEDB0000}"/>
    <cellStyle name="Percent 13 6 2 2 4 2" xfId="46112" xr:uid="{00000000-0005-0000-0000-0000CFDB0000}"/>
    <cellStyle name="Percent 13 6 2 2 5" xfId="31613" xr:uid="{00000000-0005-0000-0000-0000D0DB0000}"/>
    <cellStyle name="Percent 13 6 2 3" xfId="3580" xr:uid="{00000000-0005-0000-0000-0000D1DB0000}"/>
    <cellStyle name="Percent 13 6 2 3 2" xfId="6684" xr:uid="{00000000-0005-0000-0000-0000D2DB0000}"/>
    <cellStyle name="Percent 13 6 2 3 2 2" xfId="13956" xr:uid="{00000000-0005-0000-0000-0000D3DB0000}"/>
    <cellStyle name="Percent 13 6 2 3 2 2 2" xfId="28490" xr:uid="{00000000-0005-0000-0000-0000D4DB0000}"/>
    <cellStyle name="Percent 13 6 2 3 2 2 2 2" xfId="57496" xr:uid="{00000000-0005-0000-0000-0000D5DB0000}"/>
    <cellStyle name="Percent 13 6 2 3 2 2 3" xfId="42997" xr:uid="{00000000-0005-0000-0000-0000D6DB0000}"/>
    <cellStyle name="Percent 13 6 2 3 2 3" xfId="21242" xr:uid="{00000000-0005-0000-0000-0000D7DB0000}"/>
    <cellStyle name="Percent 13 6 2 3 2 3 2" xfId="50248" xr:uid="{00000000-0005-0000-0000-0000D8DB0000}"/>
    <cellStyle name="Percent 13 6 2 3 2 4" xfId="35749" xr:uid="{00000000-0005-0000-0000-0000D9DB0000}"/>
    <cellStyle name="Percent 13 6 2 3 3" xfId="10852" xr:uid="{00000000-0005-0000-0000-0000DADB0000}"/>
    <cellStyle name="Percent 13 6 2 3 3 2" xfId="25386" xr:uid="{00000000-0005-0000-0000-0000DBDB0000}"/>
    <cellStyle name="Percent 13 6 2 3 3 2 2" xfId="54392" xr:uid="{00000000-0005-0000-0000-0000DCDB0000}"/>
    <cellStyle name="Percent 13 6 2 3 3 3" xfId="39893" xr:uid="{00000000-0005-0000-0000-0000DDDB0000}"/>
    <cellStyle name="Percent 13 6 2 3 4" xfId="18138" xr:uid="{00000000-0005-0000-0000-0000DEDB0000}"/>
    <cellStyle name="Percent 13 6 2 3 4 2" xfId="47144" xr:uid="{00000000-0005-0000-0000-0000DFDB0000}"/>
    <cellStyle name="Percent 13 6 2 3 5" xfId="32645" xr:uid="{00000000-0005-0000-0000-0000E0DB0000}"/>
    <cellStyle name="Percent 13 6 2 4" xfId="4612" xr:uid="{00000000-0005-0000-0000-0000E1DB0000}"/>
    <cellStyle name="Percent 13 6 2 4 2" xfId="11884" xr:uid="{00000000-0005-0000-0000-0000E2DB0000}"/>
    <cellStyle name="Percent 13 6 2 4 2 2" xfId="26418" xr:uid="{00000000-0005-0000-0000-0000E3DB0000}"/>
    <cellStyle name="Percent 13 6 2 4 2 2 2" xfId="55424" xr:uid="{00000000-0005-0000-0000-0000E4DB0000}"/>
    <cellStyle name="Percent 13 6 2 4 2 3" xfId="40925" xr:uid="{00000000-0005-0000-0000-0000E5DB0000}"/>
    <cellStyle name="Percent 13 6 2 4 3" xfId="19170" xr:uid="{00000000-0005-0000-0000-0000E6DB0000}"/>
    <cellStyle name="Percent 13 6 2 4 3 2" xfId="48176" xr:uid="{00000000-0005-0000-0000-0000E7DB0000}"/>
    <cellStyle name="Percent 13 6 2 4 4" xfId="33677" xr:uid="{00000000-0005-0000-0000-0000E8DB0000}"/>
    <cellStyle name="Percent 13 6 2 5" xfId="7716" xr:uid="{00000000-0005-0000-0000-0000E9DB0000}"/>
    <cellStyle name="Percent 13 6 2 5 2" xfId="14988" xr:uid="{00000000-0005-0000-0000-0000EADB0000}"/>
    <cellStyle name="Percent 13 6 2 5 2 2" xfId="29522" xr:uid="{00000000-0005-0000-0000-0000EBDB0000}"/>
    <cellStyle name="Percent 13 6 2 5 2 2 2" xfId="58528" xr:uid="{00000000-0005-0000-0000-0000ECDB0000}"/>
    <cellStyle name="Percent 13 6 2 5 2 3" xfId="44029" xr:uid="{00000000-0005-0000-0000-0000EDDB0000}"/>
    <cellStyle name="Percent 13 6 2 5 3" xfId="22274" xr:uid="{00000000-0005-0000-0000-0000EEDB0000}"/>
    <cellStyle name="Percent 13 6 2 5 3 2" xfId="51280" xr:uid="{00000000-0005-0000-0000-0000EFDB0000}"/>
    <cellStyle name="Percent 13 6 2 5 4" xfId="36781" xr:uid="{00000000-0005-0000-0000-0000F0DB0000}"/>
    <cellStyle name="Percent 13 6 2 6" xfId="8780" xr:uid="{00000000-0005-0000-0000-0000F1DB0000}"/>
    <cellStyle name="Percent 13 6 2 6 2" xfId="23314" xr:uid="{00000000-0005-0000-0000-0000F2DB0000}"/>
    <cellStyle name="Percent 13 6 2 6 2 2" xfId="52320" xr:uid="{00000000-0005-0000-0000-0000F3DB0000}"/>
    <cellStyle name="Percent 13 6 2 6 3" xfId="37821" xr:uid="{00000000-0005-0000-0000-0000F4DB0000}"/>
    <cellStyle name="Percent 13 6 2 7" xfId="16066" xr:uid="{00000000-0005-0000-0000-0000F5DB0000}"/>
    <cellStyle name="Percent 13 6 2 7 2" xfId="45072" xr:uid="{00000000-0005-0000-0000-0000F6DB0000}"/>
    <cellStyle name="Percent 13 6 2 8" xfId="30573" xr:uid="{00000000-0005-0000-0000-0000F7DB0000}"/>
    <cellStyle name="Percent 13 6 3" xfId="2036" xr:uid="{00000000-0005-0000-0000-0000F8DB0000}"/>
    <cellStyle name="Percent 13 6 3 2" xfId="5140" xr:uid="{00000000-0005-0000-0000-0000F9DB0000}"/>
    <cellStyle name="Percent 13 6 3 2 2" xfId="12412" xr:uid="{00000000-0005-0000-0000-0000FADB0000}"/>
    <cellStyle name="Percent 13 6 3 2 2 2" xfId="26946" xr:uid="{00000000-0005-0000-0000-0000FBDB0000}"/>
    <cellStyle name="Percent 13 6 3 2 2 2 2" xfId="55952" xr:uid="{00000000-0005-0000-0000-0000FCDB0000}"/>
    <cellStyle name="Percent 13 6 3 2 2 3" xfId="41453" xr:uid="{00000000-0005-0000-0000-0000FDDB0000}"/>
    <cellStyle name="Percent 13 6 3 2 3" xfId="19698" xr:uid="{00000000-0005-0000-0000-0000FEDB0000}"/>
    <cellStyle name="Percent 13 6 3 2 3 2" xfId="48704" xr:uid="{00000000-0005-0000-0000-0000FFDB0000}"/>
    <cellStyle name="Percent 13 6 3 2 4" xfId="34205" xr:uid="{00000000-0005-0000-0000-000000DC0000}"/>
    <cellStyle name="Percent 13 6 3 3" xfId="9308" xr:uid="{00000000-0005-0000-0000-000001DC0000}"/>
    <cellStyle name="Percent 13 6 3 3 2" xfId="23842" xr:uid="{00000000-0005-0000-0000-000002DC0000}"/>
    <cellStyle name="Percent 13 6 3 3 2 2" xfId="52848" xr:uid="{00000000-0005-0000-0000-000003DC0000}"/>
    <cellStyle name="Percent 13 6 3 3 3" xfId="38349" xr:uid="{00000000-0005-0000-0000-000004DC0000}"/>
    <cellStyle name="Percent 13 6 3 4" xfId="16594" xr:uid="{00000000-0005-0000-0000-000005DC0000}"/>
    <cellStyle name="Percent 13 6 3 4 2" xfId="45600" xr:uid="{00000000-0005-0000-0000-000006DC0000}"/>
    <cellStyle name="Percent 13 6 3 5" xfId="31101" xr:uid="{00000000-0005-0000-0000-000007DC0000}"/>
    <cellStyle name="Percent 13 6 4" xfId="3068" xr:uid="{00000000-0005-0000-0000-000008DC0000}"/>
    <cellStyle name="Percent 13 6 4 2" xfId="6172" xr:uid="{00000000-0005-0000-0000-000009DC0000}"/>
    <cellStyle name="Percent 13 6 4 2 2" xfId="13444" xr:uid="{00000000-0005-0000-0000-00000ADC0000}"/>
    <cellStyle name="Percent 13 6 4 2 2 2" xfId="27978" xr:uid="{00000000-0005-0000-0000-00000BDC0000}"/>
    <cellStyle name="Percent 13 6 4 2 2 2 2" xfId="56984" xr:uid="{00000000-0005-0000-0000-00000CDC0000}"/>
    <cellStyle name="Percent 13 6 4 2 2 3" xfId="42485" xr:uid="{00000000-0005-0000-0000-00000DDC0000}"/>
    <cellStyle name="Percent 13 6 4 2 3" xfId="20730" xr:uid="{00000000-0005-0000-0000-00000EDC0000}"/>
    <cellStyle name="Percent 13 6 4 2 3 2" xfId="49736" xr:uid="{00000000-0005-0000-0000-00000FDC0000}"/>
    <cellStyle name="Percent 13 6 4 2 4" xfId="35237" xr:uid="{00000000-0005-0000-0000-000010DC0000}"/>
    <cellStyle name="Percent 13 6 4 3" xfId="10340" xr:uid="{00000000-0005-0000-0000-000011DC0000}"/>
    <cellStyle name="Percent 13 6 4 3 2" xfId="24874" xr:uid="{00000000-0005-0000-0000-000012DC0000}"/>
    <cellStyle name="Percent 13 6 4 3 2 2" xfId="53880" xr:uid="{00000000-0005-0000-0000-000013DC0000}"/>
    <cellStyle name="Percent 13 6 4 3 3" xfId="39381" xr:uid="{00000000-0005-0000-0000-000014DC0000}"/>
    <cellStyle name="Percent 13 6 4 4" xfId="17626" xr:uid="{00000000-0005-0000-0000-000015DC0000}"/>
    <cellStyle name="Percent 13 6 4 4 2" xfId="46632" xr:uid="{00000000-0005-0000-0000-000016DC0000}"/>
    <cellStyle name="Percent 13 6 4 5" xfId="32133" xr:uid="{00000000-0005-0000-0000-000017DC0000}"/>
    <cellStyle name="Percent 13 6 5" xfId="4100" xr:uid="{00000000-0005-0000-0000-000018DC0000}"/>
    <cellStyle name="Percent 13 6 5 2" xfId="11372" xr:uid="{00000000-0005-0000-0000-000019DC0000}"/>
    <cellStyle name="Percent 13 6 5 2 2" xfId="25906" xr:uid="{00000000-0005-0000-0000-00001ADC0000}"/>
    <cellStyle name="Percent 13 6 5 2 2 2" xfId="54912" xr:uid="{00000000-0005-0000-0000-00001BDC0000}"/>
    <cellStyle name="Percent 13 6 5 2 3" xfId="40413" xr:uid="{00000000-0005-0000-0000-00001CDC0000}"/>
    <cellStyle name="Percent 13 6 5 3" xfId="18658" xr:uid="{00000000-0005-0000-0000-00001DDC0000}"/>
    <cellStyle name="Percent 13 6 5 3 2" xfId="47664" xr:uid="{00000000-0005-0000-0000-00001EDC0000}"/>
    <cellStyle name="Percent 13 6 5 4" xfId="33165" xr:uid="{00000000-0005-0000-0000-00001FDC0000}"/>
    <cellStyle name="Percent 13 6 6" xfId="7204" xr:uid="{00000000-0005-0000-0000-000020DC0000}"/>
    <cellStyle name="Percent 13 6 6 2" xfId="14476" xr:uid="{00000000-0005-0000-0000-000021DC0000}"/>
    <cellStyle name="Percent 13 6 6 2 2" xfId="29010" xr:uid="{00000000-0005-0000-0000-000022DC0000}"/>
    <cellStyle name="Percent 13 6 6 2 2 2" xfId="58016" xr:uid="{00000000-0005-0000-0000-000023DC0000}"/>
    <cellStyle name="Percent 13 6 6 2 3" xfId="43517" xr:uid="{00000000-0005-0000-0000-000024DC0000}"/>
    <cellStyle name="Percent 13 6 6 3" xfId="21762" xr:uid="{00000000-0005-0000-0000-000025DC0000}"/>
    <cellStyle name="Percent 13 6 6 3 2" xfId="50768" xr:uid="{00000000-0005-0000-0000-000026DC0000}"/>
    <cellStyle name="Percent 13 6 6 4" xfId="36269" xr:uid="{00000000-0005-0000-0000-000027DC0000}"/>
    <cellStyle name="Percent 13 6 7" xfId="8268" xr:uid="{00000000-0005-0000-0000-000028DC0000}"/>
    <cellStyle name="Percent 13 6 7 2" xfId="22802" xr:uid="{00000000-0005-0000-0000-000029DC0000}"/>
    <cellStyle name="Percent 13 6 7 2 2" xfId="51808" xr:uid="{00000000-0005-0000-0000-00002ADC0000}"/>
    <cellStyle name="Percent 13 6 7 3" xfId="37309" xr:uid="{00000000-0005-0000-0000-00002BDC0000}"/>
    <cellStyle name="Percent 13 6 8" xfId="15554" xr:uid="{00000000-0005-0000-0000-00002CDC0000}"/>
    <cellStyle name="Percent 13 6 8 2" xfId="44560" xr:uid="{00000000-0005-0000-0000-00002DDC0000}"/>
    <cellStyle name="Percent 13 6 9" xfId="30061" xr:uid="{00000000-0005-0000-0000-00002EDC0000}"/>
    <cellStyle name="Percent 13 7" xfId="1286" xr:uid="{00000000-0005-0000-0000-00002FDC0000}"/>
    <cellStyle name="Percent 13 7 2" xfId="2342" xr:uid="{00000000-0005-0000-0000-000030DC0000}"/>
    <cellStyle name="Percent 13 7 2 2" xfId="5446" xr:uid="{00000000-0005-0000-0000-000031DC0000}"/>
    <cellStyle name="Percent 13 7 2 2 2" xfId="12718" xr:uid="{00000000-0005-0000-0000-000032DC0000}"/>
    <cellStyle name="Percent 13 7 2 2 2 2" xfId="27252" xr:uid="{00000000-0005-0000-0000-000033DC0000}"/>
    <cellStyle name="Percent 13 7 2 2 2 2 2" xfId="56258" xr:uid="{00000000-0005-0000-0000-000034DC0000}"/>
    <cellStyle name="Percent 13 7 2 2 2 3" xfId="41759" xr:uid="{00000000-0005-0000-0000-000035DC0000}"/>
    <cellStyle name="Percent 13 7 2 2 3" xfId="20004" xr:uid="{00000000-0005-0000-0000-000036DC0000}"/>
    <cellStyle name="Percent 13 7 2 2 3 2" xfId="49010" xr:uid="{00000000-0005-0000-0000-000037DC0000}"/>
    <cellStyle name="Percent 13 7 2 2 4" xfId="34511" xr:uid="{00000000-0005-0000-0000-000038DC0000}"/>
    <cellStyle name="Percent 13 7 2 3" xfId="9614" xr:uid="{00000000-0005-0000-0000-000039DC0000}"/>
    <cellStyle name="Percent 13 7 2 3 2" xfId="24148" xr:uid="{00000000-0005-0000-0000-00003ADC0000}"/>
    <cellStyle name="Percent 13 7 2 3 2 2" xfId="53154" xr:uid="{00000000-0005-0000-0000-00003BDC0000}"/>
    <cellStyle name="Percent 13 7 2 3 3" xfId="38655" xr:uid="{00000000-0005-0000-0000-00003CDC0000}"/>
    <cellStyle name="Percent 13 7 2 4" xfId="16900" xr:uid="{00000000-0005-0000-0000-00003DDC0000}"/>
    <cellStyle name="Percent 13 7 2 4 2" xfId="45906" xr:uid="{00000000-0005-0000-0000-00003EDC0000}"/>
    <cellStyle name="Percent 13 7 2 5" xfId="31407" xr:uid="{00000000-0005-0000-0000-00003FDC0000}"/>
    <cellStyle name="Percent 13 7 3" xfId="3374" xr:uid="{00000000-0005-0000-0000-000040DC0000}"/>
    <cellStyle name="Percent 13 7 3 2" xfId="6478" xr:uid="{00000000-0005-0000-0000-000041DC0000}"/>
    <cellStyle name="Percent 13 7 3 2 2" xfId="13750" xr:uid="{00000000-0005-0000-0000-000042DC0000}"/>
    <cellStyle name="Percent 13 7 3 2 2 2" xfId="28284" xr:uid="{00000000-0005-0000-0000-000043DC0000}"/>
    <cellStyle name="Percent 13 7 3 2 2 2 2" xfId="57290" xr:uid="{00000000-0005-0000-0000-000044DC0000}"/>
    <cellStyle name="Percent 13 7 3 2 2 3" xfId="42791" xr:uid="{00000000-0005-0000-0000-000045DC0000}"/>
    <cellStyle name="Percent 13 7 3 2 3" xfId="21036" xr:uid="{00000000-0005-0000-0000-000046DC0000}"/>
    <cellStyle name="Percent 13 7 3 2 3 2" xfId="50042" xr:uid="{00000000-0005-0000-0000-000047DC0000}"/>
    <cellStyle name="Percent 13 7 3 2 4" xfId="35543" xr:uid="{00000000-0005-0000-0000-000048DC0000}"/>
    <cellStyle name="Percent 13 7 3 3" xfId="10646" xr:uid="{00000000-0005-0000-0000-000049DC0000}"/>
    <cellStyle name="Percent 13 7 3 3 2" xfId="25180" xr:uid="{00000000-0005-0000-0000-00004ADC0000}"/>
    <cellStyle name="Percent 13 7 3 3 2 2" xfId="54186" xr:uid="{00000000-0005-0000-0000-00004BDC0000}"/>
    <cellStyle name="Percent 13 7 3 3 3" xfId="39687" xr:uid="{00000000-0005-0000-0000-00004CDC0000}"/>
    <cellStyle name="Percent 13 7 3 4" xfId="17932" xr:uid="{00000000-0005-0000-0000-00004DDC0000}"/>
    <cellStyle name="Percent 13 7 3 4 2" xfId="46938" xr:uid="{00000000-0005-0000-0000-00004EDC0000}"/>
    <cellStyle name="Percent 13 7 3 5" xfId="32439" xr:uid="{00000000-0005-0000-0000-00004FDC0000}"/>
    <cellStyle name="Percent 13 7 4" xfId="4406" xr:uid="{00000000-0005-0000-0000-000050DC0000}"/>
    <cellStyle name="Percent 13 7 4 2" xfId="11678" xr:uid="{00000000-0005-0000-0000-000051DC0000}"/>
    <cellStyle name="Percent 13 7 4 2 2" xfId="26212" xr:uid="{00000000-0005-0000-0000-000052DC0000}"/>
    <cellStyle name="Percent 13 7 4 2 2 2" xfId="55218" xr:uid="{00000000-0005-0000-0000-000053DC0000}"/>
    <cellStyle name="Percent 13 7 4 2 3" xfId="40719" xr:uid="{00000000-0005-0000-0000-000054DC0000}"/>
    <cellStyle name="Percent 13 7 4 3" xfId="18964" xr:uid="{00000000-0005-0000-0000-000055DC0000}"/>
    <cellStyle name="Percent 13 7 4 3 2" xfId="47970" xr:uid="{00000000-0005-0000-0000-000056DC0000}"/>
    <cellStyle name="Percent 13 7 4 4" xfId="33471" xr:uid="{00000000-0005-0000-0000-000057DC0000}"/>
    <cellStyle name="Percent 13 7 5" xfId="7510" xr:uid="{00000000-0005-0000-0000-000058DC0000}"/>
    <cellStyle name="Percent 13 7 5 2" xfId="14782" xr:uid="{00000000-0005-0000-0000-000059DC0000}"/>
    <cellStyle name="Percent 13 7 5 2 2" xfId="29316" xr:uid="{00000000-0005-0000-0000-00005ADC0000}"/>
    <cellStyle name="Percent 13 7 5 2 2 2" xfId="58322" xr:uid="{00000000-0005-0000-0000-00005BDC0000}"/>
    <cellStyle name="Percent 13 7 5 2 3" xfId="43823" xr:uid="{00000000-0005-0000-0000-00005CDC0000}"/>
    <cellStyle name="Percent 13 7 5 3" xfId="22068" xr:uid="{00000000-0005-0000-0000-00005DDC0000}"/>
    <cellStyle name="Percent 13 7 5 3 2" xfId="51074" xr:uid="{00000000-0005-0000-0000-00005EDC0000}"/>
    <cellStyle name="Percent 13 7 5 4" xfId="36575" xr:uid="{00000000-0005-0000-0000-00005FDC0000}"/>
    <cellStyle name="Percent 13 7 6" xfId="8574" xr:uid="{00000000-0005-0000-0000-000060DC0000}"/>
    <cellStyle name="Percent 13 7 6 2" xfId="23108" xr:uid="{00000000-0005-0000-0000-000061DC0000}"/>
    <cellStyle name="Percent 13 7 6 2 2" xfId="52114" xr:uid="{00000000-0005-0000-0000-000062DC0000}"/>
    <cellStyle name="Percent 13 7 6 3" xfId="37615" xr:uid="{00000000-0005-0000-0000-000063DC0000}"/>
    <cellStyle name="Percent 13 7 7" xfId="15860" xr:uid="{00000000-0005-0000-0000-000064DC0000}"/>
    <cellStyle name="Percent 13 7 7 2" xfId="44866" xr:uid="{00000000-0005-0000-0000-000065DC0000}"/>
    <cellStyle name="Percent 13 7 8" xfId="30367" xr:uid="{00000000-0005-0000-0000-000066DC0000}"/>
    <cellStyle name="Percent 13 8" xfId="1796" xr:uid="{00000000-0005-0000-0000-000067DC0000}"/>
    <cellStyle name="Percent 13 8 2" xfId="2838" xr:uid="{00000000-0005-0000-0000-000068DC0000}"/>
    <cellStyle name="Percent 13 8 2 2" xfId="5942" xr:uid="{00000000-0005-0000-0000-000069DC0000}"/>
    <cellStyle name="Percent 13 8 2 2 2" xfId="13214" xr:uid="{00000000-0005-0000-0000-00006ADC0000}"/>
    <cellStyle name="Percent 13 8 2 2 2 2" xfId="27748" xr:uid="{00000000-0005-0000-0000-00006BDC0000}"/>
    <cellStyle name="Percent 13 8 2 2 2 2 2" xfId="56754" xr:uid="{00000000-0005-0000-0000-00006CDC0000}"/>
    <cellStyle name="Percent 13 8 2 2 2 3" xfId="42255" xr:uid="{00000000-0005-0000-0000-00006DDC0000}"/>
    <cellStyle name="Percent 13 8 2 2 3" xfId="20500" xr:uid="{00000000-0005-0000-0000-00006EDC0000}"/>
    <cellStyle name="Percent 13 8 2 2 3 2" xfId="49506" xr:uid="{00000000-0005-0000-0000-00006FDC0000}"/>
    <cellStyle name="Percent 13 8 2 2 4" xfId="35007" xr:uid="{00000000-0005-0000-0000-000070DC0000}"/>
    <cellStyle name="Percent 13 8 2 3" xfId="10110" xr:uid="{00000000-0005-0000-0000-000071DC0000}"/>
    <cellStyle name="Percent 13 8 2 3 2" xfId="24644" xr:uid="{00000000-0005-0000-0000-000072DC0000}"/>
    <cellStyle name="Percent 13 8 2 3 2 2" xfId="53650" xr:uid="{00000000-0005-0000-0000-000073DC0000}"/>
    <cellStyle name="Percent 13 8 2 3 3" xfId="39151" xr:uid="{00000000-0005-0000-0000-000074DC0000}"/>
    <cellStyle name="Percent 13 8 2 4" xfId="17396" xr:uid="{00000000-0005-0000-0000-000075DC0000}"/>
    <cellStyle name="Percent 13 8 2 4 2" xfId="46402" xr:uid="{00000000-0005-0000-0000-000076DC0000}"/>
    <cellStyle name="Percent 13 8 2 5" xfId="31903" xr:uid="{00000000-0005-0000-0000-000077DC0000}"/>
    <cellStyle name="Percent 13 8 3" xfId="3870" xr:uid="{00000000-0005-0000-0000-000078DC0000}"/>
    <cellStyle name="Percent 13 8 3 2" xfId="6974" xr:uid="{00000000-0005-0000-0000-000079DC0000}"/>
    <cellStyle name="Percent 13 8 3 2 2" xfId="14246" xr:uid="{00000000-0005-0000-0000-00007ADC0000}"/>
    <cellStyle name="Percent 13 8 3 2 2 2" xfId="28780" xr:uid="{00000000-0005-0000-0000-00007BDC0000}"/>
    <cellStyle name="Percent 13 8 3 2 2 2 2" xfId="57786" xr:uid="{00000000-0005-0000-0000-00007CDC0000}"/>
    <cellStyle name="Percent 13 8 3 2 2 3" xfId="43287" xr:uid="{00000000-0005-0000-0000-00007DDC0000}"/>
    <cellStyle name="Percent 13 8 3 2 3" xfId="21532" xr:uid="{00000000-0005-0000-0000-00007EDC0000}"/>
    <cellStyle name="Percent 13 8 3 2 3 2" xfId="50538" xr:uid="{00000000-0005-0000-0000-00007FDC0000}"/>
    <cellStyle name="Percent 13 8 3 2 4" xfId="36039" xr:uid="{00000000-0005-0000-0000-000080DC0000}"/>
    <cellStyle name="Percent 13 8 3 3" xfId="11142" xr:uid="{00000000-0005-0000-0000-000081DC0000}"/>
    <cellStyle name="Percent 13 8 3 3 2" xfId="25676" xr:uid="{00000000-0005-0000-0000-000082DC0000}"/>
    <cellStyle name="Percent 13 8 3 3 2 2" xfId="54682" xr:uid="{00000000-0005-0000-0000-000083DC0000}"/>
    <cellStyle name="Percent 13 8 3 3 3" xfId="40183" xr:uid="{00000000-0005-0000-0000-000084DC0000}"/>
    <cellStyle name="Percent 13 8 3 4" xfId="18428" xr:uid="{00000000-0005-0000-0000-000085DC0000}"/>
    <cellStyle name="Percent 13 8 3 4 2" xfId="47434" xr:uid="{00000000-0005-0000-0000-000086DC0000}"/>
    <cellStyle name="Percent 13 8 3 5" xfId="32935" xr:uid="{00000000-0005-0000-0000-000087DC0000}"/>
    <cellStyle name="Percent 13 8 4" xfId="4902" xr:uid="{00000000-0005-0000-0000-000088DC0000}"/>
    <cellStyle name="Percent 13 8 4 2" xfId="12174" xr:uid="{00000000-0005-0000-0000-000089DC0000}"/>
    <cellStyle name="Percent 13 8 4 2 2" xfId="26708" xr:uid="{00000000-0005-0000-0000-00008ADC0000}"/>
    <cellStyle name="Percent 13 8 4 2 2 2" xfId="55714" xr:uid="{00000000-0005-0000-0000-00008BDC0000}"/>
    <cellStyle name="Percent 13 8 4 2 3" xfId="41215" xr:uid="{00000000-0005-0000-0000-00008CDC0000}"/>
    <cellStyle name="Percent 13 8 4 3" xfId="19460" xr:uid="{00000000-0005-0000-0000-00008DDC0000}"/>
    <cellStyle name="Percent 13 8 4 3 2" xfId="48466" xr:uid="{00000000-0005-0000-0000-00008EDC0000}"/>
    <cellStyle name="Percent 13 8 4 4" xfId="33967" xr:uid="{00000000-0005-0000-0000-00008FDC0000}"/>
    <cellStyle name="Percent 13 8 5" xfId="8006" xr:uid="{00000000-0005-0000-0000-000090DC0000}"/>
    <cellStyle name="Percent 13 8 5 2" xfId="15278" xr:uid="{00000000-0005-0000-0000-000091DC0000}"/>
    <cellStyle name="Percent 13 8 5 2 2" xfId="29812" xr:uid="{00000000-0005-0000-0000-000092DC0000}"/>
    <cellStyle name="Percent 13 8 5 2 2 2" xfId="58818" xr:uid="{00000000-0005-0000-0000-000093DC0000}"/>
    <cellStyle name="Percent 13 8 5 2 3" xfId="44319" xr:uid="{00000000-0005-0000-0000-000094DC0000}"/>
    <cellStyle name="Percent 13 8 5 3" xfId="22564" xr:uid="{00000000-0005-0000-0000-000095DC0000}"/>
    <cellStyle name="Percent 13 8 5 3 2" xfId="51570" xr:uid="{00000000-0005-0000-0000-000096DC0000}"/>
    <cellStyle name="Percent 13 8 5 4" xfId="37071" xr:uid="{00000000-0005-0000-0000-000097DC0000}"/>
    <cellStyle name="Percent 13 8 6" xfId="9070" xr:uid="{00000000-0005-0000-0000-000098DC0000}"/>
    <cellStyle name="Percent 13 8 6 2" xfId="23604" xr:uid="{00000000-0005-0000-0000-000099DC0000}"/>
    <cellStyle name="Percent 13 8 6 2 2" xfId="52610" xr:uid="{00000000-0005-0000-0000-00009ADC0000}"/>
    <cellStyle name="Percent 13 8 6 3" xfId="38111" xr:uid="{00000000-0005-0000-0000-00009BDC0000}"/>
    <cellStyle name="Percent 13 8 7" xfId="16356" xr:uid="{00000000-0005-0000-0000-00009CDC0000}"/>
    <cellStyle name="Percent 13 8 7 2" xfId="45362" xr:uid="{00000000-0005-0000-0000-00009DDC0000}"/>
    <cellStyle name="Percent 13 8 8" xfId="30863" xr:uid="{00000000-0005-0000-0000-00009EDC0000}"/>
    <cellStyle name="Percent 13 9" xfId="1806" xr:uid="{00000000-0005-0000-0000-00009FDC0000}"/>
    <cellStyle name="Percent 13 9 2" xfId="4910" xr:uid="{00000000-0005-0000-0000-0000A0DC0000}"/>
    <cellStyle name="Percent 13 9 2 2" xfId="12182" xr:uid="{00000000-0005-0000-0000-0000A1DC0000}"/>
    <cellStyle name="Percent 13 9 2 2 2" xfId="26716" xr:uid="{00000000-0005-0000-0000-0000A2DC0000}"/>
    <cellStyle name="Percent 13 9 2 2 2 2" xfId="55722" xr:uid="{00000000-0005-0000-0000-0000A3DC0000}"/>
    <cellStyle name="Percent 13 9 2 2 3" xfId="41223" xr:uid="{00000000-0005-0000-0000-0000A4DC0000}"/>
    <cellStyle name="Percent 13 9 2 3" xfId="19468" xr:uid="{00000000-0005-0000-0000-0000A5DC0000}"/>
    <cellStyle name="Percent 13 9 2 3 2" xfId="48474" xr:uid="{00000000-0005-0000-0000-0000A6DC0000}"/>
    <cellStyle name="Percent 13 9 2 4" xfId="33975" xr:uid="{00000000-0005-0000-0000-0000A7DC0000}"/>
    <cellStyle name="Percent 13 9 3" xfId="9078" xr:uid="{00000000-0005-0000-0000-0000A8DC0000}"/>
    <cellStyle name="Percent 13 9 3 2" xfId="23612" xr:uid="{00000000-0005-0000-0000-0000A9DC0000}"/>
    <cellStyle name="Percent 13 9 3 2 2" xfId="52618" xr:uid="{00000000-0005-0000-0000-0000AADC0000}"/>
    <cellStyle name="Percent 13 9 3 3" xfId="38119" xr:uid="{00000000-0005-0000-0000-0000ABDC0000}"/>
    <cellStyle name="Percent 13 9 4" xfId="16364" xr:uid="{00000000-0005-0000-0000-0000ACDC0000}"/>
    <cellStyle name="Percent 13 9 4 2" xfId="45370" xr:uid="{00000000-0005-0000-0000-0000ADDC0000}"/>
    <cellStyle name="Percent 13 9 5" xfId="30871" xr:uid="{00000000-0005-0000-0000-0000AEDC0000}"/>
    <cellStyle name="Percent 14" xfId="859" xr:uid="{00000000-0005-0000-0000-0000AFDC0000}"/>
    <cellStyle name="Percent 14 10" xfId="8089" xr:uid="{00000000-0005-0000-0000-0000B0DC0000}"/>
    <cellStyle name="Percent 14 10 2" xfId="22623" xr:uid="{00000000-0005-0000-0000-0000B1DC0000}"/>
    <cellStyle name="Percent 14 10 2 2" xfId="51629" xr:uid="{00000000-0005-0000-0000-0000B2DC0000}"/>
    <cellStyle name="Percent 14 10 3" xfId="37130" xr:uid="{00000000-0005-0000-0000-0000B3DC0000}"/>
    <cellStyle name="Percent 14 11" xfId="15375" xr:uid="{00000000-0005-0000-0000-0000B4DC0000}"/>
    <cellStyle name="Percent 14 11 2" xfId="44381" xr:uid="{00000000-0005-0000-0000-0000B5DC0000}"/>
    <cellStyle name="Percent 14 12" xfId="29882" xr:uid="{00000000-0005-0000-0000-0000B6DC0000}"/>
    <cellStyle name="Percent 14 2" xfId="940" xr:uid="{00000000-0005-0000-0000-0000B7DC0000}"/>
    <cellStyle name="Percent 14 2 10" xfId="29985" xr:uid="{00000000-0005-0000-0000-0000B8DC0000}"/>
    <cellStyle name="Percent 14 2 2" xfId="1214" xr:uid="{00000000-0005-0000-0000-0000B9DC0000}"/>
    <cellStyle name="Percent 14 2 2 2" xfId="1719" xr:uid="{00000000-0005-0000-0000-0000BADC0000}"/>
    <cellStyle name="Percent 14 2 2 2 2" xfId="2778" xr:uid="{00000000-0005-0000-0000-0000BBDC0000}"/>
    <cellStyle name="Percent 14 2 2 2 2 2" xfId="5882" xr:uid="{00000000-0005-0000-0000-0000BCDC0000}"/>
    <cellStyle name="Percent 14 2 2 2 2 2 2" xfId="13154" xr:uid="{00000000-0005-0000-0000-0000BDDC0000}"/>
    <cellStyle name="Percent 14 2 2 2 2 2 2 2" xfId="27688" xr:uid="{00000000-0005-0000-0000-0000BEDC0000}"/>
    <cellStyle name="Percent 14 2 2 2 2 2 2 2 2" xfId="56694" xr:uid="{00000000-0005-0000-0000-0000BFDC0000}"/>
    <cellStyle name="Percent 14 2 2 2 2 2 2 3" xfId="42195" xr:uid="{00000000-0005-0000-0000-0000C0DC0000}"/>
    <cellStyle name="Percent 14 2 2 2 2 2 3" xfId="20440" xr:uid="{00000000-0005-0000-0000-0000C1DC0000}"/>
    <cellStyle name="Percent 14 2 2 2 2 2 3 2" xfId="49446" xr:uid="{00000000-0005-0000-0000-0000C2DC0000}"/>
    <cellStyle name="Percent 14 2 2 2 2 2 4" xfId="34947" xr:uid="{00000000-0005-0000-0000-0000C3DC0000}"/>
    <cellStyle name="Percent 14 2 2 2 2 3" xfId="10050" xr:uid="{00000000-0005-0000-0000-0000C4DC0000}"/>
    <cellStyle name="Percent 14 2 2 2 2 3 2" xfId="24584" xr:uid="{00000000-0005-0000-0000-0000C5DC0000}"/>
    <cellStyle name="Percent 14 2 2 2 2 3 2 2" xfId="53590" xr:uid="{00000000-0005-0000-0000-0000C6DC0000}"/>
    <cellStyle name="Percent 14 2 2 2 2 3 3" xfId="39091" xr:uid="{00000000-0005-0000-0000-0000C7DC0000}"/>
    <cellStyle name="Percent 14 2 2 2 2 4" xfId="17336" xr:uid="{00000000-0005-0000-0000-0000C8DC0000}"/>
    <cellStyle name="Percent 14 2 2 2 2 4 2" xfId="46342" xr:uid="{00000000-0005-0000-0000-0000C9DC0000}"/>
    <cellStyle name="Percent 14 2 2 2 2 5" xfId="31843" xr:uid="{00000000-0005-0000-0000-0000CADC0000}"/>
    <cellStyle name="Percent 14 2 2 2 3" xfId="3810" xr:uid="{00000000-0005-0000-0000-0000CBDC0000}"/>
    <cellStyle name="Percent 14 2 2 2 3 2" xfId="6914" xr:uid="{00000000-0005-0000-0000-0000CCDC0000}"/>
    <cellStyle name="Percent 14 2 2 2 3 2 2" xfId="14186" xr:uid="{00000000-0005-0000-0000-0000CDDC0000}"/>
    <cellStyle name="Percent 14 2 2 2 3 2 2 2" xfId="28720" xr:uid="{00000000-0005-0000-0000-0000CEDC0000}"/>
    <cellStyle name="Percent 14 2 2 2 3 2 2 2 2" xfId="57726" xr:uid="{00000000-0005-0000-0000-0000CFDC0000}"/>
    <cellStyle name="Percent 14 2 2 2 3 2 2 3" xfId="43227" xr:uid="{00000000-0005-0000-0000-0000D0DC0000}"/>
    <cellStyle name="Percent 14 2 2 2 3 2 3" xfId="21472" xr:uid="{00000000-0005-0000-0000-0000D1DC0000}"/>
    <cellStyle name="Percent 14 2 2 2 3 2 3 2" xfId="50478" xr:uid="{00000000-0005-0000-0000-0000D2DC0000}"/>
    <cellStyle name="Percent 14 2 2 2 3 2 4" xfId="35979" xr:uid="{00000000-0005-0000-0000-0000D3DC0000}"/>
    <cellStyle name="Percent 14 2 2 2 3 3" xfId="11082" xr:uid="{00000000-0005-0000-0000-0000D4DC0000}"/>
    <cellStyle name="Percent 14 2 2 2 3 3 2" xfId="25616" xr:uid="{00000000-0005-0000-0000-0000D5DC0000}"/>
    <cellStyle name="Percent 14 2 2 2 3 3 2 2" xfId="54622" xr:uid="{00000000-0005-0000-0000-0000D6DC0000}"/>
    <cellStyle name="Percent 14 2 2 2 3 3 3" xfId="40123" xr:uid="{00000000-0005-0000-0000-0000D7DC0000}"/>
    <cellStyle name="Percent 14 2 2 2 3 4" xfId="18368" xr:uid="{00000000-0005-0000-0000-0000D8DC0000}"/>
    <cellStyle name="Percent 14 2 2 2 3 4 2" xfId="47374" xr:uid="{00000000-0005-0000-0000-0000D9DC0000}"/>
    <cellStyle name="Percent 14 2 2 2 3 5" xfId="32875" xr:uid="{00000000-0005-0000-0000-0000DADC0000}"/>
    <cellStyle name="Percent 14 2 2 2 4" xfId="4842" xr:uid="{00000000-0005-0000-0000-0000DBDC0000}"/>
    <cellStyle name="Percent 14 2 2 2 4 2" xfId="12114" xr:uid="{00000000-0005-0000-0000-0000DCDC0000}"/>
    <cellStyle name="Percent 14 2 2 2 4 2 2" xfId="26648" xr:uid="{00000000-0005-0000-0000-0000DDDC0000}"/>
    <cellStyle name="Percent 14 2 2 2 4 2 2 2" xfId="55654" xr:uid="{00000000-0005-0000-0000-0000DEDC0000}"/>
    <cellStyle name="Percent 14 2 2 2 4 2 3" xfId="41155" xr:uid="{00000000-0005-0000-0000-0000DFDC0000}"/>
    <cellStyle name="Percent 14 2 2 2 4 3" xfId="19400" xr:uid="{00000000-0005-0000-0000-0000E0DC0000}"/>
    <cellStyle name="Percent 14 2 2 2 4 3 2" xfId="48406" xr:uid="{00000000-0005-0000-0000-0000E1DC0000}"/>
    <cellStyle name="Percent 14 2 2 2 4 4" xfId="33907" xr:uid="{00000000-0005-0000-0000-0000E2DC0000}"/>
    <cellStyle name="Percent 14 2 2 2 5" xfId="7946" xr:uid="{00000000-0005-0000-0000-0000E3DC0000}"/>
    <cellStyle name="Percent 14 2 2 2 5 2" xfId="15218" xr:uid="{00000000-0005-0000-0000-0000E4DC0000}"/>
    <cellStyle name="Percent 14 2 2 2 5 2 2" xfId="29752" xr:uid="{00000000-0005-0000-0000-0000E5DC0000}"/>
    <cellStyle name="Percent 14 2 2 2 5 2 2 2" xfId="58758" xr:uid="{00000000-0005-0000-0000-0000E6DC0000}"/>
    <cellStyle name="Percent 14 2 2 2 5 2 3" xfId="44259" xr:uid="{00000000-0005-0000-0000-0000E7DC0000}"/>
    <cellStyle name="Percent 14 2 2 2 5 3" xfId="22504" xr:uid="{00000000-0005-0000-0000-0000E8DC0000}"/>
    <cellStyle name="Percent 14 2 2 2 5 3 2" xfId="51510" xr:uid="{00000000-0005-0000-0000-0000E9DC0000}"/>
    <cellStyle name="Percent 14 2 2 2 5 4" xfId="37011" xr:uid="{00000000-0005-0000-0000-0000EADC0000}"/>
    <cellStyle name="Percent 14 2 2 2 6" xfId="9010" xr:uid="{00000000-0005-0000-0000-0000EBDC0000}"/>
    <cellStyle name="Percent 14 2 2 2 6 2" xfId="23544" xr:uid="{00000000-0005-0000-0000-0000ECDC0000}"/>
    <cellStyle name="Percent 14 2 2 2 6 2 2" xfId="52550" xr:uid="{00000000-0005-0000-0000-0000EDDC0000}"/>
    <cellStyle name="Percent 14 2 2 2 6 3" xfId="38051" xr:uid="{00000000-0005-0000-0000-0000EEDC0000}"/>
    <cellStyle name="Percent 14 2 2 2 7" xfId="16296" xr:uid="{00000000-0005-0000-0000-0000EFDC0000}"/>
    <cellStyle name="Percent 14 2 2 2 7 2" xfId="45302" xr:uid="{00000000-0005-0000-0000-0000F0DC0000}"/>
    <cellStyle name="Percent 14 2 2 2 8" xfId="30803" xr:uid="{00000000-0005-0000-0000-0000F1DC0000}"/>
    <cellStyle name="Percent 14 2 2 3" xfId="2266" xr:uid="{00000000-0005-0000-0000-0000F2DC0000}"/>
    <cellStyle name="Percent 14 2 2 3 2" xfId="5370" xr:uid="{00000000-0005-0000-0000-0000F3DC0000}"/>
    <cellStyle name="Percent 14 2 2 3 2 2" xfId="12642" xr:uid="{00000000-0005-0000-0000-0000F4DC0000}"/>
    <cellStyle name="Percent 14 2 2 3 2 2 2" xfId="27176" xr:uid="{00000000-0005-0000-0000-0000F5DC0000}"/>
    <cellStyle name="Percent 14 2 2 3 2 2 2 2" xfId="56182" xr:uid="{00000000-0005-0000-0000-0000F6DC0000}"/>
    <cellStyle name="Percent 14 2 2 3 2 2 3" xfId="41683" xr:uid="{00000000-0005-0000-0000-0000F7DC0000}"/>
    <cellStyle name="Percent 14 2 2 3 2 3" xfId="19928" xr:uid="{00000000-0005-0000-0000-0000F8DC0000}"/>
    <cellStyle name="Percent 14 2 2 3 2 3 2" xfId="48934" xr:uid="{00000000-0005-0000-0000-0000F9DC0000}"/>
    <cellStyle name="Percent 14 2 2 3 2 4" xfId="34435" xr:uid="{00000000-0005-0000-0000-0000FADC0000}"/>
    <cellStyle name="Percent 14 2 2 3 3" xfId="9538" xr:uid="{00000000-0005-0000-0000-0000FBDC0000}"/>
    <cellStyle name="Percent 14 2 2 3 3 2" xfId="24072" xr:uid="{00000000-0005-0000-0000-0000FCDC0000}"/>
    <cellStyle name="Percent 14 2 2 3 3 2 2" xfId="53078" xr:uid="{00000000-0005-0000-0000-0000FDDC0000}"/>
    <cellStyle name="Percent 14 2 2 3 3 3" xfId="38579" xr:uid="{00000000-0005-0000-0000-0000FEDC0000}"/>
    <cellStyle name="Percent 14 2 2 3 4" xfId="16824" xr:uid="{00000000-0005-0000-0000-0000FFDC0000}"/>
    <cellStyle name="Percent 14 2 2 3 4 2" xfId="45830" xr:uid="{00000000-0005-0000-0000-000000DD0000}"/>
    <cellStyle name="Percent 14 2 2 3 5" xfId="31331" xr:uid="{00000000-0005-0000-0000-000001DD0000}"/>
    <cellStyle name="Percent 14 2 2 4" xfId="3298" xr:uid="{00000000-0005-0000-0000-000002DD0000}"/>
    <cellStyle name="Percent 14 2 2 4 2" xfId="6402" xr:uid="{00000000-0005-0000-0000-000003DD0000}"/>
    <cellStyle name="Percent 14 2 2 4 2 2" xfId="13674" xr:uid="{00000000-0005-0000-0000-000004DD0000}"/>
    <cellStyle name="Percent 14 2 2 4 2 2 2" xfId="28208" xr:uid="{00000000-0005-0000-0000-000005DD0000}"/>
    <cellStyle name="Percent 14 2 2 4 2 2 2 2" xfId="57214" xr:uid="{00000000-0005-0000-0000-000006DD0000}"/>
    <cellStyle name="Percent 14 2 2 4 2 2 3" xfId="42715" xr:uid="{00000000-0005-0000-0000-000007DD0000}"/>
    <cellStyle name="Percent 14 2 2 4 2 3" xfId="20960" xr:uid="{00000000-0005-0000-0000-000008DD0000}"/>
    <cellStyle name="Percent 14 2 2 4 2 3 2" xfId="49966" xr:uid="{00000000-0005-0000-0000-000009DD0000}"/>
    <cellStyle name="Percent 14 2 2 4 2 4" xfId="35467" xr:uid="{00000000-0005-0000-0000-00000ADD0000}"/>
    <cellStyle name="Percent 14 2 2 4 3" xfId="10570" xr:uid="{00000000-0005-0000-0000-00000BDD0000}"/>
    <cellStyle name="Percent 14 2 2 4 3 2" xfId="25104" xr:uid="{00000000-0005-0000-0000-00000CDD0000}"/>
    <cellStyle name="Percent 14 2 2 4 3 2 2" xfId="54110" xr:uid="{00000000-0005-0000-0000-00000DDD0000}"/>
    <cellStyle name="Percent 14 2 2 4 3 3" xfId="39611" xr:uid="{00000000-0005-0000-0000-00000EDD0000}"/>
    <cellStyle name="Percent 14 2 2 4 4" xfId="17856" xr:uid="{00000000-0005-0000-0000-00000FDD0000}"/>
    <cellStyle name="Percent 14 2 2 4 4 2" xfId="46862" xr:uid="{00000000-0005-0000-0000-000010DD0000}"/>
    <cellStyle name="Percent 14 2 2 4 5" xfId="32363" xr:uid="{00000000-0005-0000-0000-000011DD0000}"/>
    <cellStyle name="Percent 14 2 2 5" xfId="4330" xr:uid="{00000000-0005-0000-0000-000012DD0000}"/>
    <cellStyle name="Percent 14 2 2 5 2" xfId="11602" xr:uid="{00000000-0005-0000-0000-000013DD0000}"/>
    <cellStyle name="Percent 14 2 2 5 2 2" xfId="26136" xr:uid="{00000000-0005-0000-0000-000014DD0000}"/>
    <cellStyle name="Percent 14 2 2 5 2 2 2" xfId="55142" xr:uid="{00000000-0005-0000-0000-000015DD0000}"/>
    <cellStyle name="Percent 14 2 2 5 2 3" xfId="40643" xr:uid="{00000000-0005-0000-0000-000016DD0000}"/>
    <cellStyle name="Percent 14 2 2 5 3" xfId="18888" xr:uid="{00000000-0005-0000-0000-000017DD0000}"/>
    <cellStyle name="Percent 14 2 2 5 3 2" xfId="47894" xr:uid="{00000000-0005-0000-0000-000018DD0000}"/>
    <cellStyle name="Percent 14 2 2 5 4" xfId="33395" xr:uid="{00000000-0005-0000-0000-000019DD0000}"/>
    <cellStyle name="Percent 14 2 2 6" xfId="7434" xr:uid="{00000000-0005-0000-0000-00001ADD0000}"/>
    <cellStyle name="Percent 14 2 2 6 2" xfId="14706" xr:uid="{00000000-0005-0000-0000-00001BDD0000}"/>
    <cellStyle name="Percent 14 2 2 6 2 2" xfId="29240" xr:uid="{00000000-0005-0000-0000-00001CDD0000}"/>
    <cellStyle name="Percent 14 2 2 6 2 2 2" xfId="58246" xr:uid="{00000000-0005-0000-0000-00001DDD0000}"/>
    <cellStyle name="Percent 14 2 2 6 2 3" xfId="43747" xr:uid="{00000000-0005-0000-0000-00001EDD0000}"/>
    <cellStyle name="Percent 14 2 2 6 3" xfId="21992" xr:uid="{00000000-0005-0000-0000-00001FDD0000}"/>
    <cellStyle name="Percent 14 2 2 6 3 2" xfId="50998" xr:uid="{00000000-0005-0000-0000-000020DD0000}"/>
    <cellStyle name="Percent 14 2 2 6 4" xfId="36499" xr:uid="{00000000-0005-0000-0000-000021DD0000}"/>
    <cellStyle name="Percent 14 2 2 7" xfId="8498" xr:uid="{00000000-0005-0000-0000-000022DD0000}"/>
    <cellStyle name="Percent 14 2 2 7 2" xfId="23032" xr:uid="{00000000-0005-0000-0000-000023DD0000}"/>
    <cellStyle name="Percent 14 2 2 7 2 2" xfId="52038" xr:uid="{00000000-0005-0000-0000-000024DD0000}"/>
    <cellStyle name="Percent 14 2 2 7 3" xfId="37539" xr:uid="{00000000-0005-0000-0000-000025DD0000}"/>
    <cellStyle name="Percent 14 2 2 8" xfId="15784" xr:uid="{00000000-0005-0000-0000-000026DD0000}"/>
    <cellStyle name="Percent 14 2 2 8 2" xfId="44790" xr:uid="{00000000-0005-0000-0000-000027DD0000}"/>
    <cellStyle name="Percent 14 2 2 9" xfId="30291" xr:uid="{00000000-0005-0000-0000-000028DD0000}"/>
    <cellStyle name="Percent 14 2 3" xfId="1414" xr:uid="{00000000-0005-0000-0000-000029DD0000}"/>
    <cellStyle name="Percent 14 2 3 2" xfId="2472" xr:uid="{00000000-0005-0000-0000-00002ADD0000}"/>
    <cellStyle name="Percent 14 2 3 2 2" xfId="5576" xr:uid="{00000000-0005-0000-0000-00002BDD0000}"/>
    <cellStyle name="Percent 14 2 3 2 2 2" xfId="12848" xr:uid="{00000000-0005-0000-0000-00002CDD0000}"/>
    <cellStyle name="Percent 14 2 3 2 2 2 2" xfId="27382" xr:uid="{00000000-0005-0000-0000-00002DDD0000}"/>
    <cellStyle name="Percent 14 2 3 2 2 2 2 2" xfId="56388" xr:uid="{00000000-0005-0000-0000-00002EDD0000}"/>
    <cellStyle name="Percent 14 2 3 2 2 2 3" xfId="41889" xr:uid="{00000000-0005-0000-0000-00002FDD0000}"/>
    <cellStyle name="Percent 14 2 3 2 2 3" xfId="20134" xr:uid="{00000000-0005-0000-0000-000030DD0000}"/>
    <cellStyle name="Percent 14 2 3 2 2 3 2" xfId="49140" xr:uid="{00000000-0005-0000-0000-000031DD0000}"/>
    <cellStyle name="Percent 14 2 3 2 2 4" xfId="34641" xr:uid="{00000000-0005-0000-0000-000032DD0000}"/>
    <cellStyle name="Percent 14 2 3 2 3" xfId="9744" xr:uid="{00000000-0005-0000-0000-000033DD0000}"/>
    <cellStyle name="Percent 14 2 3 2 3 2" xfId="24278" xr:uid="{00000000-0005-0000-0000-000034DD0000}"/>
    <cellStyle name="Percent 14 2 3 2 3 2 2" xfId="53284" xr:uid="{00000000-0005-0000-0000-000035DD0000}"/>
    <cellStyle name="Percent 14 2 3 2 3 3" xfId="38785" xr:uid="{00000000-0005-0000-0000-000036DD0000}"/>
    <cellStyle name="Percent 14 2 3 2 4" xfId="17030" xr:uid="{00000000-0005-0000-0000-000037DD0000}"/>
    <cellStyle name="Percent 14 2 3 2 4 2" xfId="46036" xr:uid="{00000000-0005-0000-0000-000038DD0000}"/>
    <cellStyle name="Percent 14 2 3 2 5" xfId="31537" xr:uid="{00000000-0005-0000-0000-000039DD0000}"/>
    <cellStyle name="Percent 14 2 3 3" xfId="3504" xr:uid="{00000000-0005-0000-0000-00003ADD0000}"/>
    <cellStyle name="Percent 14 2 3 3 2" xfId="6608" xr:uid="{00000000-0005-0000-0000-00003BDD0000}"/>
    <cellStyle name="Percent 14 2 3 3 2 2" xfId="13880" xr:uid="{00000000-0005-0000-0000-00003CDD0000}"/>
    <cellStyle name="Percent 14 2 3 3 2 2 2" xfId="28414" xr:uid="{00000000-0005-0000-0000-00003DDD0000}"/>
    <cellStyle name="Percent 14 2 3 3 2 2 2 2" xfId="57420" xr:uid="{00000000-0005-0000-0000-00003EDD0000}"/>
    <cellStyle name="Percent 14 2 3 3 2 2 3" xfId="42921" xr:uid="{00000000-0005-0000-0000-00003FDD0000}"/>
    <cellStyle name="Percent 14 2 3 3 2 3" xfId="21166" xr:uid="{00000000-0005-0000-0000-000040DD0000}"/>
    <cellStyle name="Percent 14 2 3 3 2 3 2" xfId="50172" xr:uid="{00000000-0005-0000-0000-000041DD0000}"/>
    <cellStyle name="Percent 14 2 3 3 2 4" xfId="35673" xr:uid="{00000000-0005-0000-0000-000042DD0000}"/>
    <cellStyle name="Percent 14 2 3 3 3" xfId="10776" xr:uid="{00000000-0005-0000-0000-000043DD0000}"/>
    <cellStyle name="Percent 14 2 3 3 3 2" xfId="25310" xr:uid="{00000000-0005-0000-0000-000044DD0000}"/>
    <cellStyle name="Percent 14 2 3 3 3 2 2" xfId="54316" xr:uid="{00000000-0005-0000-0000-000045DD0000}"/>
    <cellStyle name="Percent 14 2 3 3 3 3" xfId="39817" xr:uid="{00000000-0005-0000-0000-000046DD0000}"/>
    <cellStyle name="Percent 14 2 3 3 4" xfId="18062" xr:uid="{00000000-0005-0000-0000-000047DD0000}"/>
    <cellStyle name="Percent 14 2 3 3 4 2" xfId="47068" xr:uid="{00000000-0005-0000-0000-000048DD0000}"/>
    <cellStyle name="Percent 14 2 3 3 5" xfId="32569" xr:uid="{00000000-0005-0000-0000-000049DD0000}"/>
    <cellStyle name="Percent 14 2 3 4" xfId="4536" xr:uid="{00000000-0005-0000-0000-00004ADD0000}"/>
    <cellStyle name="Percent 14 2 3 4 2" xfId="11808" xr:uid="{00000000-0005-0000-0000-00004BDD0000}"/>
    <cellStyle name="Percent 14 2 3 4 2 2" xfId="26342" xr:uid="{00000000-0005-0000-0000-00004CDD0000}"/>
    <cellStyle name="Percent 14 2 3 4 2 2 2" xfId="55348" xr:uid="{00000000-0005-0000-0000-00004DDD0000}"/>
    <cellStyle name="Percent 14 2 3 4 2 3" xfId="40849" xr:uid="{00000000-0005-0000-0000-00004EDD0000}"/>
    <cellStyle name="Percent 14 2 3 4 3" xfId="19094" xr:uid="{00000000-0005-0000-0000-00004FDD0000}"/>
    <cellStyle name="Percent 14 2 3 4 3 2" xfId="48100" xr:uid="{00000000-0005-0000-0000-000050DD0000}"/>
    <cellStyle name="Percent 14 2 3 4 4" xfId="33601" xr:uid="{00000000-0005-0000-0000-000051DD0000}"/>
    <cellStyle name="Percent 14 2 3 5" xfId="7640" xr:uid="{00000000-0005-0000-0000-000052DD0000}"/>
    <cellStyle name="Percent 14 2 3 5 2" xfId="14912" xr:uid="{00000000-0005-0000-0000-000053DD0000}"/>
    <cellStyle name="Percent 14 2 3 5 2 2" xfId="29446" xr:uid="{00000000-0005-0000-0000-000054DD0000}"/>
    <cellStyle name="Percent 14 2 3 5 2 2 2" xfId="58452" xr:uid="{00000000-0005-0000-0000-000055DD0000}"/>
    <cellStyle name="Percent 14 2 3 5 2 3" xfId="43953" xr:uid="{00000000-0005-0000-0000-000056DD0000}"/>
    <cellStyle name="Percent 14 2 3 5 3" xfId="22198" xr:uid="{00000000-0005-0000-0000-000057DD0000}"/>
    <cellStyle name="Percent 14 2 3 5 3 2" xfId="51204" xr:uid="{00000000-0005-0000-0000-000058DD0000}"/>
    <cellStyle name="Percent 14 2 3 5 4" xfId="36705" xr:uid="{00000000-0005-0000-0000-000059DD0000}"/>
    <cellStyle name="Percent 14 2 3 6" xfId="8704" xr:uid="{00000000-0005-0000-0000-00005ADD0000}"/>
    <cellStyle name="Percent 14 2 3 6 2" xfId="23238" xr:uid="{00000000-0005-0000-0000-00005BDD0000}"/>
    <cellStyle name="Percent 14 2 3 6 2 2" xfId="52244" xr:uid="{00000000-0005-0000-0000-00005CDD0000}"/>
    <cellStyle name="Percent 14 2 3 6 3" xfId="37745" xr:uid="{00000000-0005-0000-0000-00005DDD0000}"/>
    <cellStyle name="Percent 14 2 3 7" xfId="15990" xr:uid="{00000000-0005-0000-0000-00005EDD0000}"/>
    <cellStyle name="Percent 14 2 3 7 2" xfId="44996" xr:uid="{00000000-0005-0000-0000-00005FDD0000}"/>
    <cellStyle name="Percent 14 2 3 8" xfId="30497" xr:uid="{00000000-0005-0000-0000-000060DD0000}"/>
    <cellStyle name="Percent 14 2 4" xfId="1960" xr:uid="{00000000-0005-0000-0000-000061DD0000}"/>
    <cellStyle name="Percent 14 2 4 2" xfId="5064" xr:uid="{00000000-0005-0000-0000-000062DD0000}"/>
    <cellStyle name="Percent 14 2 4 2 2" xfId="12336" xr:uid="{00000000-0005-0000-0000-000063DD0000}"/>
    <cellStyle name="Percent 14 2 4 2 2 2" xfId="26870" xr:uid="{00000000-0005-0000-0000-000064DD0000}"/>
    <cellStyle name="Percent 14 2 4 2 2 2 2" xfId="55876" xr:uid="{00000000-0005-0000-0000-000065DD0000}"/>
    <cellStyle name="Percent 14 2 4 2 2 3" xfId="41377" xr:uid="{00000000-0005-0000-0000-000066DD0000}"/>
    <cellStyle name="Percent 14 2 4 2 3" xfId="19622" xr:uid="{00000000-0005-0000-0000-000067DD0000}"/>
    <cellStyle name="Percent 14 2 4 2 3 2" xfId="48628" xr:uid="{00000000-0005-0000-0000-000068DD0000}"/>
    <cellStyle name="Percent 14 2 4 2 4" xfId="34129" xr:uid="{00000000-0005-0000-0000-000069DD0000}"/>
    <cellStyle name="Percent 14 2 4 3" xfId="9232" xr:uid="{00000000-0005-0000-0000-00006ADD0000}"/>
    <cellStyle name="Percent 14 2 4 3 2" xfId="23766" xr:uid="{00000000-0005-0000-0000-00006BDD0000}"/>
    <cellStyle name="Percent 14 2 4 3 2 2" xfId="52772" xr:uid="{00000000-0005-0000-0000-00006CDD0000}"/>
    <cellStyle name="Percent 14 2 4 3 3" xfId="38273" xr:uid="{00000000-0005-0000-0000-00006DDD0000}"/>
    <cellStyle name="Percent 14 2 4 4" xfId="16518" xr:uid="{00000000-0005-0000-0000-00006EDD0000}"/>
    <cellStyle name="Percent 14 2 4 4 2" xfId="45524" xr:uid="{00000000-0005-0000-0000-00006FDD0000}"/>
    <cellStyle name="Percent 14 2 4 5" xfId="31025" xr:uid="{00000000-0005-0000-0000-000070DD0000}"/>
    <cellStyle name="Percent 14 2 5" xfId="2992" xr:uid="{00000000-0005-0000-0000-000071DD0000}"/>
    <cellStyle name="Percent 14 2 5 2" xfId="6096" xr:uid="{00000000-0005-0000-0000-000072DD0000}"/>
    <cellStyle name="Percent 14 2 5 2 2" xfId="13368" xr:uid="{00000000-0005-0000-0000-000073DD0000}"/>
    <cellStyle name="Percent 14 2 5 2 2 2" xfId="27902" xr:uid="{00000000-0005-0000-0000-000074DD0000}"/>
    <cellStyle name="Percent 14 2 5 2 2 2 2" xfId="56908" xr:uid="{00000000-0005-0000-0000-000075DD0000}"/>
    <cellStyle name="Percent 14 2 5 2 2 3" xfId="42409" xr:uid="{00000000-0005-0000-0000-000076DD0000}"/>
    <cellStyle name="Percent 14 2 5 2 3" xfId="20654" xr:uid="{00000000-0005-0000-0000-000077DD0000}"/>
    <cellStyle name="Percent 14 2 5 2 3 2" xfId="49660" xr:uid="{00000000-0005-0000-0000-000078DD0000}"/>
    <cellStyle name="Percent 14 2 5 2 4" xfId="35161" xr:uid="{00000000-0005-0000-0000-000079DD0000}"/>
    <cellStyle name="Percent 14 2 5 3" xfId="10264" xr:uid="{00000000-0005-0000-0000-00007ADD0000}"/>
    <cellStyle name="Percent 14 2 5 3 2" xfId="24798" xr:uid="{00000000-0005-0000-0000-00007BDD0000}"/>
    <cellStyle name="Percent 14 2 5 3 2 2" xfId="53804" xr:uid="{00000000-0005-0000-0000-00007CDD0000}"/>
    <cellStyle name="Percent 14 2 5 3 3" xfId="39305" xr:uid="{00000000-0005-0000-0000-00007DDD0000}"/>
    <cellStyle name="Percent 14 2 5 4" xfId="17550" xr:uid="{00000000-0005-0000-0000-00007EDD0000}"/>
    <cellStyle name="Percent 14 2 5 4 2" xfId="46556" xr:uid="{00000000-0005-0000-0000-00007FDD0000}"/>
    <cellStyle name="Percent 14 2 5 5" xfId="32057" xr:uid="{00000000-0005-0000-0000-000080DD0000}"/>
    <cellStyle name="Percent 14 2 6" xfId="4024" xr:uid="{00000000-0005-0000-0000-000081DD0000}"/>
    <cellStyle name="Percent 14 2 6 2" xfId="11296" xr:uid="{00000000-0005-0000-0000-000082DD0000}"/>
    <cellStyle name="Percent 14 2 6 2 2" xfId="25830" xr:uid="{00000000-0005-0000-0000-000083DD0000}"/>
    <cellStyle name="Percent 14 2 6 2 2 2" xfId="54836" xr:uid="{00000000-0005-0000-0000-000084DD0000}"/>
    <cellStyle name="Percent 14 2 6 2 3" xfId="40337" xr:uid="{00000000-0005-0000-0000-000085DD0000}"/>
    <cellStyle name="Percent 14 2 6 3" xfId="18582" xr:uid="{00000000-0005-0000-0000-000086DD0000}"/>
    <cellStyle name="Percent 14 2 6 3 2" xfId="47588" xr:uid="{00000000-0005-0000-0000-000087DD0000}"/>
    <cellStyle name="Percent 14 2 6 4" xfId="33089" xr:uid="{00000000-0005-0000-0000-000088DD0000}"/>
    <cellStyle name="Percent 14 2 7" xfId="7128" xr:uid="{00000000-0005-0000-0000-000089DD0000}"/>
    <cellStyle name="Percent 14 2 7 2" xfId="14400" xr:uid="{00000000-0005-0000-0000-00008ADD0000}"/>
    <cellStyle name="Percent 14 2 7 2 2" xfId="28934" xr:uid="{00000000-0005-0000-0000-00008BDD0000}"/>
    <cellStyle name="Percent 14 2 7 2 2 2" xfId="57940" xr:uid="{00000000-0005-0000-0000-00008CDD0000}"/>
    <cellStyle name="Percent 14 2 7 2 3" xfId="43441" xr:uid="{00000000-0005-0000-0000-00008DDD0000}"/>
    <cellStyle name="Percent 14 2 7 3" xfId="21686" xr:uid="{00000000-0005-0000-0000-00008EDD0000}"/>
    <cellStyle name="Percent 14 2 7 3 2" xfId="50692" xr:uid="{00000000-0005-0000-0000-00008FDD0000}"/>
    <cellStyle name="Percent 14 2 7 4" xfId="36193" xr:uid="{00000000-0005-0000-0000-000090DD0000}"/>
    <cellStyle name="Percent 14 2 8" xfId="8192" xr:uid="{00000000-0005-0000-0000-000091DD0000}"/>
    <cellStyle name="Percent 14 2 8 2" xfId="22726" xr:uid="{00000000-0005-0000-0000-000092DD0000}"/>
    <cellStyle name="Percent 14 2 8 2 2" xfId="51732" xr:uid="{00000000-0005-0000-0000-000093DD0000}"/>
    <cellStyle name="Percent 14 2 8 3" xfId="37233" xr:uid="{00000000-0005-0000-0000-000094DD0000}"/>
    <cellStyle name="Percent 14 2 9" xfId="15478" xr:uid="{00000000-0005-0000-0000-000095DD0000}"/>
    <cellStyle name="Percent 14 2 9 2" xfId="44484" xr:uid="{00000000-0005-0000-0000-000096DD0000}"/>
    <cellStyle name="Percent 14 3" xfId="1117" xr:uid="{00000000-0005-0000-0000-000097DD0000}"/>
    <cellStyle name="Percent 14 3 2" xfId="1616" xr:uid="{00000000-0005-0000-0000-000098DD0000}"/>
    <cellStyle name="Percent 14 3 2 2" xfId="2675" xr:uid="{00000000-0005-0000-0000-000099DD0000}"/>
    <cellStyle name="Percent 14 3 2 2 2" xfId="5779" xr:uid="{00000000-0005-0000-0000-00009ADD0000}"/>
    <cellStyle name="Percent 14 3 2 2 2 2" xfId="13051" xr:uid="{00000000-0005-0000-0000-00009BDD0000}"/>
    <cellStyle name="Percent 14 3 2 2 2 2 2" xfId="27585" xr:uid="{00000000-0005-0000-0000-00009CDD0000}"/>
    <cellStyle name="Percent 14 3 2 2 2 2 2 2" xfId="56591" xr:uid="{00000000-0005-0000-0000-00009DDD0000}"/>
    <cellStyle name="Percent 14 3 2 2 2 2 3" xfId="42092" xr:uid="{00000000-0005-0000-0000-00009EDD0000}"/>
    <cellStyle name="Percent 14 3 2 2 2 3" xfId="20337" xr:uid="{00000000-0005-0000-0000-00009FDD0000}"/>
    <cellStyle name="Percent 14 3 2 2 2 3 2" xfId="49343" xr:uid="{00000000-0005-0000-0000-0000A0DD0000}"/>
    <cellStyle name="Percent 14 3 2 2 2 4" xfId="34844" xr:uid="{00000000-0005-0000-0000-0000A1DD0000}"/>
    <cellStyle name="Percent 14 3 2 2 3" xfId="9947" xr:uid="{00000000-0005-0000-0000-0000A2DD0000}"/>
    <cellStyle name="Percent 14 3 2 2 3 2" xfId="24481" xr:uid="{00000000-0005-0000-0000-0000A3DD0000}"/>
    <cellStyle name="Percent 14 3 2 2 3 2 2" xfId="53487" xr:uid="{00000000-0005-0000-0000-0000A4DD0000}"/>
    <cellStyle name="Percent 14 3 2 2 3 3" xfId="38988" xr:uid="{00000000-0005-0000-0000-0000A5DD0000}"/>
    <cellStyle name="Percent 14 3 2 2 4" xfId="17233" xr:uid="{00000000-0005-0000-0000-0000A6DD0000}"/>
    <cellStyle name="Percent 14 3 2 2 4 2" xfId="46239" xr:uid="{00000000-0005-0000-0000-0000A7DD0000}"/>
    <cellStyle name="Percent 14 3 2 2 5" xfId="31740" xr:uid="{00000000-0005-0000-0000-0000A8DD0000}"/>
    <cellStyle name="Percent 14 3 2 3" xfId="3707" xr:uid="{00000000-0005-0000-0000-0000A9DD0000}"/>
    <cellStyle name="Percent 14 3 2 3 2" xfId="6811" xr:uid="{00000000-0005-0000-0000-0000AADD0000}"/>
    <cellStyle name="Percent 14 3 2 3 2 2" xfId="14083" xr:uid="{00000000-0005-0000-0000-0000ABDD0000}"/>
    <cellStyle name="Percent 14 3 2 3 2 2 2" xfId="28617" xr:uid="{00000000-0005-0000-0000-0000ACDD0000}"/>
    <cellStyle name="Percent 14 3 2 3 2 2 2 2" xfId="57623" xr:uid="{00000000-0005-0000-0000-0000ADDD0000}"/>
    <cellStyle name="Percent 14 3 2 3 2 2 3" xfId="43124" xr:uid="{00000000-0005-0000-0000-0000AEDD0000}"/>
    <cellStyle name="Percent 14 3 2 3 2 3" xfId="21369" xr:uid="{00000000-0005-0000-0000-0000AFDD0000}"/>
    <cellStyle name="Percent 14 3 2 3 2 3 2" xfId="50375" xr:uid="{00000000-0005-0000-0000-0000B0DD0000}"/>
    <cellStyle name="Percent 14 3 2 3 2 4" xfId="35876" xr:uid="{00000000-0005-0000-0000-0000B1DD0000}"/>
    <cellStyle name="Percent 14 3 2 3 3" xfId="10979" xr:uid="{00000000-0005-0000-0000-0000B2DD0000}"/>
    <cellStyle name="Percent 14 3 2 3 3 2" xfId="25513" xr:uid="{00000000-0005-0000-0000-0000B3DD0000}"/>
    <cellStyle name="Percent 14 3 2 3 3 2 2" xfId="54519" xr:uid="{00000000-0005-0000-0000-0000B4DD0000}"/>
    <cellStyle name="Percent 14 3 2 3 3 3" xfId="40020" xr:uid="{00000000-0005-0000-0000-0000B5DD0000}"/>
    <cellStyle name="Percent 14 3 2 3 4" xfId="18265" xr:uid="{00000000-0005-0000-0000-0000B6DD0000}"/>
    <cellStyle name="Percent 14 3 2 3 4 2" xfId="47271" xr:uid="{00000000-0005-0000-0000-0000B7DD0000}"/>
    <cellStyle name="Percent 14 3 2 3 5" xfId="32772" xr:uid="{00000000-0005-0000-0000-0000B8DD0000}"/>
    <cellStyle name="Percent 14 3 2 4" xfId="4739" xr:uid="{00000000-0005-0000-0000-0000B9DD0000}"/>
    <cellStyle name="Percent 14 3 2 4 2" xfId="12011" xr:uid="{00000000-0005-0000-0000-0000BADD0000}"/>
    <cellStyle name="Percent 14 3 2 4 2 2" xfId="26545" xr:uid="{00000000-0005-0000-0000-0000BBDD0000}"/>
    <cellStyle name="Percent 14 3 2 4 2 2 2" xfId="55551" xr:uid="{00000000-0005-0000-0000-0000BCDD0000}"/>
    <cellStyle name="Percent 14 3 2 4 2 3" xfId="41052" xr:uid="{00000000-0005-0000-0000-0000BDDD0000}"/>
    <cellStyle name="Percent 14 3 2 4 3" xfId="19297" xr:uid="{00000000-0005-0000-0000-0000BEDD0000}"/>
    <cellStyle name="Percent 14 3 2 4 3 2" xfId="48303" xr:uid="{00000000-0005-0000-0000-0000BFDD0000}"/>
    <cellStyle name="Percent 14 3 2 4 4" xfId="33804" xr:uid="{00000000-0005-0000-0000-0000C0DD0000}"/>
    <cellStyle name="Percent 14 3 2 5" xfId="7843" xr:uid="{00000000-0005-0000-0000-0000C1DD0000}"/>
    <cellStyle name="Percent 14 3 2 5 2" xfId="15115" xr:uid="{00000000-0005-0000-0000-0000C2DD0000}"/>
    <cellStyle name="Percent 14 3 2 5 2 2" xfId="29649" xr:uid="{00000000-0005-0000-0000-0000C3DD0000}"/>
    <cellStyle name="Percent 14 3 2 5 2 2 2" xfId="58655" xr:uid="{00000000-0005-0000-0000-0000C4DD0000}"/>
    <cellStyle name="Percent 14 3 2 5 2 3" xfId="44156" xr:uid="{00000000-0005-0000-0000-0000C5DD0000}"/>
    <cellStyle name="Percent 14 3 2 5 3" xfId="22401" xr:uid="{00000000-0005-0000-0000-0000C6DD0000}"/>
    <cellStyle name="Percent 14 3 2 5 3 2" xfId="51407" xr:uid="{00000000-0005-0000-0000-0000C7DD0000}"/>
    <cellStyle name="Percent 14 3 2 5 4" xfId="36908" xr:uid="{00000000-0005-0000-0000-0000C8DD0000}"/>
    <cellStyle name="Percent 14 3 2 6" xfId="8907" xr:uid="{00000000-0005-0000-0000-0000C9DD0000}"/>
    <cellStyle name="Percent 14 3 2 6 2" xfId="23441" xr:uid="{00000000-0005-0000-0000-0000CADD0000}"/>
    <cellStyle name="Percent 14 3 2 6 2 2" xfId="52447" xr:uid="{00000000-0005-0000-0000-0000CBDD0000}"/>
    <cellStyle name="Percent 14 3 2 6 3" xfId="37948" xr:uid="{00000000-0005-0000-0000-0000CCDD0000}"/>
    <cellStyle name="Percent 14 3 2 7" xfId="16193" xr:uid="{00000000-0005-0000-0000-0000CDDD0000}"/>
    <cellStyle name="Percent 14 3 2 7 2" xfId="45199" xr:uid="{00000000-0005-0000-0000-0000CEDD0000}"/>
    <cellStyle name="Percent 14 3 2 8" xfId="30700" xr:uid="{00000000-0005-0000-0000-0000CFDD0000}"/>
    <cellStyle name="Percent 14 3 3" xfId="2163" xr:uid="{00000000-0005-0000-0000-0000D0DD0000}"/>
    <cellStyle name="Percent 14 3 3 2" xfId="5267" xr:uid="{00000000-0005-0000-0000-0000D1DD0000}"/>
    <cellStyle name="Percent 14 3 3 2 2" xfId="12539" xr:uid="{00000000-0005-0000-0000-0000D2DD0000}"/>
    <cellStyle name="Percent 14 3 3 2 2 2" xfId="27073" xr:uid="{00000000-0005-0000-0000-0000D3DD0000}"/>
    <cellStyle name="Percent 14 3 3 2 2 2 2" xfId="56079" xr:uid="{00000000-0005-0000-0000-0000D4DD0000}"/>
    <cellStyle name="Percent 14 3 3 2 2 3" xfId="41580" xr:uid="{00000000-0005-0000-0000-0000D5DD0000}"/>
    <cellStyle name="Percent 14 3 3 2 3" xfId="19825" xr:uid="{00000000-0005-0000-0000-0000D6DD0000}"/>
    <cellStyle name="Percent 14 3 3 2 3 2" xfId="48831" xr:uid="{00000000-0005-0000-0000-0000D7DD0000}"/>
    <cellStyle name="Percent 14 3 3 2 4" xfId="34332" xr:uid="{00000000-0005-0000-0000-0000D8DD0000}"/>
    <cellStyle name="Percent 14 3 3 3" xfId="9435" xr:uid="{00000000-0005-0000-0000-0000D9DD0000}"/>
    <cellStyle name="Percent 14 3 3 3 2" xfId="23969" xr:uid="{00000000-0005-0000-0000-0000DADD0000}"/>
    <cellStyle name="Percent 14 3 3 3 2 2" xfId="52975" xr:uid="{00000000-0005-0000-0000-0000DBDD0000}"/>
    <cellStyle name="Percent 14 3 3 3 3" xfId="38476" xr:uid="{00000000-0005-0000-0000-0000DCDD0000}"/>
    <cellStyle name="Percent 14 3 3 4" xfId="16721" xr:uid="{00000000-0005-0000-0000-0000DDDD0000}"/>
    <cellStyle name="Percent 14 3 3 4 2" xfId="45727" xr:uid="{00000000-0005-0000-0000-0000DEDD0000}"/>
    <cellStyle name="Percent 14 3 3 5" xfId="31228" xr:uid="{00000000-0005-0000-0000-0000DFDD0000}"/>
    <cellStyle name="Percent 14 3 4" xfId="3195" xr:uid="{00000000-0005-0000-0000-0000E0DD0000}"/>
    <cellStyle name="Percent 14 3 4 2" xfId="6299" xr:uid="{00000000-0005-0000-0000-0000E1DD0000}"/>
    <cellStyle name="Percent 14 3 4 2 2" xfId="13571" xr:uid="{00000000-0005-0000-0000-0000E2DD0000}"/>
    <cellStyle name="Percent 14 3 4 2 2 2" xfId="28105" xr:uid="{00000000-0005-0000-0000-0000E3DD0000}"/>
    <cellStyle name="Percent 14 3 4 2 2 2 2" xfId="57111" xr:uid="{00000000-0005-0000-0000-0000E4DD0000}"/>
    <cellStyle name="Percent 14 3 4 2 2 3" xfId="42612" xr:uid="{00000000-0005-0000-0000-0000E5DD0000}"/>
    <cellStyle name="Percent 14 3 4 2 3" xfId="20857" xr:uid="{00000000-0005-0000-0000-0000E6DD0000}"/>
    <cellStyle name="Percent 14 3 4 2 3 2" xfId="49863" xr:uid="{00000000-0005-0000-0000-0000E7DD0000}"/>
    <cellStyle name="Percent 14 3 4 2 4" xfId="35364" xr:uid="{00000000-0005-0000-0000-0000E8DD0000}"/>
    <cellStyle name="Percent 14 3 4 3" xfId="10467" xr:uid="{00000000-0005-0000-0000-0000E9DD0000}"/>
    <cellStyle name="Percent 14 3 4 3 2" xfId="25001" xr:uid="{00000000-0005-0000-0000-0000EADD0000}"/>
    <cellStyle name="Percent 14 3 4 3 2 2" xfId="54007" xr:uid="{00000000-0005-0000-0000-0000EBDD0000}"/>
    <cellStyle name="Percent 14 3 4 3 3" xfId="39508" xr:uid="{00000000-0005-0000-0000-0000ECDD0000}"/>
    <cellStyle name="Percent 14 3 4 4" xfId="17753" xr:uid="{00000000-0005-0000-0000-0000EDDD0000}"/>
    <cellStyle name="Percent 14 3 4 4 2" xfId="46759" xr:uid="{00000000-0005-0000-0000-0000EEDD0000}"/>
    <cellStyle name="Percent 14 3 4 5" xfId="32260" xr:uid="{00000000-0005-0000-0000-0000EFDD0000}"/>
    <cellStyle name="Percent 14 3 5" xfId="4227" xr:uid="{00000000-0005-0000-0000-0000F0DD0000}"/>
    <cellStyle name="Percent 14 3 5 2" xfId="11499" xr:uid="{00000000-0005-0000-0000-0000F1DD0000}"/>
    <cellStyle name="Percent 14 3 5 2 2" xfId="26033" xr:uid="{00000000-0005-0000-0000-0000F2DD0000}"/>
    <cellStyle name="Percent 14 3 5 2 2 2" xfId="55039" xr:uid="{00000000-0005-0000-0000-0000F3DD0000}"/>
    <cellStyle name="Percent 14 3 5 2 3" xfId="40540" xr:uid="{00000000-0005-0000-0000-0000F4DD0000}"/>
    <cellStyle name="Percent 14 3 5 3" xfId="18785" xr:uid="{00000000-0005-0000-0000-0000F5DD0000}"/>
    <cellStyle name="Percent 14 3 5 3 2" xfId="47791" xr:uid="{00000000-0005-0000-0000-0000F6DD0000}"/>
    <cellStyle name="Percent 14 3 5 4" xfId="33292" xr:uid="{00000000-0005-0000-0000-0000F7DD0000}"/>
    <cellStyle name="Percent 14 3 6" xfId="7331" xr:uid="{00000000-0005-0000-0000-0000F8DD0000}"/>
    <cellStyle name="Percent 14 3 6 2" xfId="14603" xr:uid="{00000000-0005-0000-0000-0000F9DD0000}"/>
    <cellStyle name="Percent 14 3 6 2 2" xfId="29137" xr:uid="{00000000-0005-0000-0000-0000FADD0000}"/>
    <cellStyle name="Percent 14 3 6 2 2 2" xfId="58143" xr:uid="{00000000-0005-0000-0000-0000FBDD0000}"/>
    <cellStyle name="Percent 14 3 6 2 3" xfId="43644" xr:uid="{00000000-0005-0000-0000-0000FCDD0000}"/>
    <cellStyle name="Percent 14 3 6 3" xfId="21889" xr:uid="{00000000-0005-0000-0000-0000FDDD0000}"/>
    <cellStyle name="Percent 14 3 6 3 2" xfId="50895" xr:uid="{00000000-0005-0000-0000-0000FEDD0000}"/>
    <cellStyle name="Percent 14 3 6 4" xfId="36396" xr:uid="{00000000-0005-0000-0000-0000FFDD0000}"/>
    <cellStyle name="Percent 14 3 7" xfId="8395" xr:uid="{00000000-0005-0000-0000-000000DE0000}"/>
    <cellStyle name="Percent 14 3 7 2" xfId="22929" xr:uid="{00000000-0005-0000-0000-000001DE0000}"/>
    <cellStyle name="Percent 14 3 7 2 2" xfId="51935" xr:uid="{00000000-0005-0000-0000-000002DE0000}"/>
    <cellStyle name="Percent 14 3 7 3" xfId="37436" xr:uid="{00000000-0005-0000-0000-000003DE0000}"/>
    <cellStyle name="Percent 14 3 8" xfId="15681" xr:uid="{00000000-0005-0000-0000-000004DE0000}"/>
    <cellStyle name="Percent 14 3 8 2" xfId="44687" xr:uid="{00000000-0005-0000-0000-000005DE0000}"/>
    <cellStyle name="Percent 14 3 9" xfId="30188" xr:uid="{00000000-0005-0000-0000-000006DE0000}"/>
    <cellStyle name="Percent 14 4" xfId="1027" xr:uid="{00000000-0005-0000-0000-000007DE0000}"/>
    <cellStyle name="Percent 14 4 2" xfId="1517" xr:uid="{00000000-0005-0000-0000-000008DE0000}"/>
    <cellStyle name="Percent 14 4 2 2" xfId="2575" xr:uid="{00000000-0005-0000-0000-000009DE0000}"/>
    <cellStyle name="Percent 14 4 2 2 2" xfId="5679" xr:uid="{00000000-0005-0000-0000-00000ADE0000}"/>
    <cellStyle name="Percent 14 4 2 2 2 2" xfId="12951" xr:uid="{00000000-0005-0000-0000-00000BDE0000}"/>
    <cellStyle name="Percent 14 4 2 2 2 2 2" xfId="27485" xr:uid="{00000000-0005-0000-0000-00000CDE0000}"/>
    <cellStyle name="Percent 14 4 2 2 2 2 2 2" xfId="56491" xr:uid="{00000000-0005-0000-0000-00000DDE0000}"/>
    <cellStyle name="Percent 14 4 2 2 2 2 3" xfId="41992" xr:uid="{00000000-0005-0000-0000-00000EDE0000}"/>
    <cellStyle name="Percent 14 4 2 2 2 3" xfId="20237" xr:uid="{00000000-0005-0000-0000-00000FDE0000}"/>
    <cellStyle name="Percent 14 4 2 2 2 3 2" xfId="49243" xr:uid="{00000000-0005-0000-0000-000010DE0000}"/>
    <cellStyle name="Percent 14 4 2 2 2 4" xfId="34744" xr:uid="{00000000-0005-0000-0000-000011DE0000}"/>
    <cellStyle name="Percent 14 4 2 2 3" xfId="9847" xr:uid="{00000000-0005-0000-0000-000012DE0000}"/>
    <cellStyle name="Percent 14 4 2 2 3 2" xfId="24381" xr:uid="{00000000-0005-0000-0000-000013DE0000}"/>
    <cellStyle name="Percent 14 4 2 2 3 2 2" xfId="53387" xr:uid="{00000000-0005-0000-0000-000014DE0000}"/>
    <cellStyle name="Percent 14 4 2 2 3 3" xfId="38888" xr:uid="{00000000-0005-0000-0000-000015DE0000}"/>
    <cellStyle name="Percent 14 4 2 2 4" xfId="17133" xr:uid="{00000000-0005-0000-0000-000016DE0000}"/>
    <cellStyle name="Percent 14 4 2 2 4 2" xfId="46139" xr:uid="{00000000-0005-0000-0000-000017DE0000}"/>
    <cellStyle name="Percent 14 4 2 2 5" xfId="31640" xr:uid="{00000000-0005-0000-0000-000018DE0000}"/>
    <cellStyle name="Percent 14 4 2 3" xfId="3607" xr:uid="{00000000-0005-0000-0000-000019DE0000}"/>
    <cellStyle name="Percent 14 4 2 3 2" xfId="6711" xr:uid="{00000000-0005-0000-0000-00001ADE0000}"/>
    <cellStyle name="Percent 14 4 2 3 2 2" xfId="13983" xr:uid="{00000000-0005-0000-0000-00001BDE0000}"/>
    <cellStyle name="Percent 14 4 2 3 2 2 2" xfId="28517" xr:uid="{00000000-0005-0000-0000-00001CDE0000}"/>
    <cellStyle name="Percent 14 4 2 3 2 2 2 2" xfId="57523" xr:uid="{00000000-0005-0000-0000-00001DDE0000}"/>
    <cellStyle name="Percent 14 4 2 3 2 2 3" xfId="43024" xr:uid="{00000000-0005-0000-0000-00001EDE0000}"/>
    <cellStyle name="Percent 14 4 2 3 2 3" xfId="21269" xr:uid="{00000000-0005-0000-0000-00001FDE0000}"/>
    <cellStyle name="Percent 14 4 2 3 2 3 2" xfId="50275" xr:uid="{00000000-0005-0000-0000-000020DE0000}"/>
    <cellStyle name="Percent 14 4 2 3 2 4" xfId="35776" xr:uid="{00000000-0005-0000-0000-000021DE0000}"/>
    <cellStyle name="Percent 14 4 2 3 3" xfId="10879" xr:uid="{00000000-0005-0000-0000-000022DE0000}"/>
    <cellStyle name="Percent 14 4 2 3 3 2" xfId="25413" xr:uid="{00000000-0005-0000-0000-000023DE0000}"/>
    <cellStyle name="Percent 14 4 2 3 3 2 2" xfId="54419" xr:uid="{00000000-0005-0000-0000-000024DE0000}"/>
    <cellStyle name="Percent 14 4 2 3 3 3" xfId="39920" xr:uid="{00000000-0005-0000-0000-000025DE0000}"/>
    <cellStyle name="Percent 14 4 2 3 4" xfId="18165" xr:uid="{00000000-0005-0000-0000-000026DE0000}"/>
    <cellStyle name="Percent 14 4 2 3 4 2" xfId="47171" xr:uid="{00000000-0005-0000-0000-000027DE0000}"/>
    <cellStyle name="Percent 14 4 2 3 5" xfId="32672" xr:uid="{00000000-0005-0000-0000-000028DE0000}"/>
    <cellStyle name="Percent 14 4 2 4" xfId="4639" xr:uid="{00000000-0005-0000-0000-000029DE0000}"/>
    <cellStyle name="Percent 14 4 2 4 2" xfId="11911" xr:uid="{00000000-0005-0000-0000-00002ADE0000}"/>
    <cellStyle name="Percent 14 4 2 4 2 2" xfId="26445" xr:uid="{00000000-0005-0000-0000-00002BDE0000}"/>
    <cellStyle name="Percent 14 4 2 4 2 2 2" xfId="55451" xr:uid="{00000000-0005-0000-0000-00002CDE0000}"/>
    <cellStyle name="Percent 14 4 2 4 2 3" xfId="40952" xr:uid="{00000000-0005-0000-0000-00002DDE0000}"/>
    <cellStyle name="Percent 14 4 2 4 3" xfId="19197" xr:uid="{00000000-0005-0000-0000-00002EDE0000}"/>
    <cellStyle name="Percent 14 4 2 4 3 2" xfId="48203" xr:uid="{00000000-0005-0000-0000-00002FDE0000}"/>
    <cellStyle name="Percent 14 4 2 4 4" xfId="33704" xr:uid="{00000000-0005-0000-0000-000030DE0000}"/>
    <cellStyle name="Percent 14 4 2 5" xfId="7743" xr:uid="{00000000-0005-0000-0000-000031DE0000}"/>
    <cellStyle name="Percent 14 4 2 5 2" xfId="15015" xr:uid="{00000000-0005-0000-0000-000032DE0000}"/>
    <cellStyle name="Percent 14 4 2 5 2 2" xfId="29549" xr:uid="{00000000-0005-0000-0000-000033DE0000}"/>
    <cellStyle name="Percent 14 4 2 5 2 2 2" xfId="58555" xr:uid="{00000000-0005-0000-0000-000034DE0000}"/>
    <cellStyle name="Percent 14 4 2 5 2 3" xfId="44056" xr:uid="{00000000-0005-0000-0000-000035DE0000}"/>
    <cellStyle name="Percent 14 4 2 5 3" xfId="22301" xr:uid="{00000000-0005-0000-0000-000036DE0000}"/>
    <cellStyle name="Percent 14 4 2 5 3 2" xfId="51307" xr:uid="{00000000-0005-0000-0000-000037DE0000}"/>
    <cellStyle name="Percent 14 4 2 5 4" xfId="36808" xr:uid="{00000000-0005-0000-0000-000038DE0000}"/>
    <cellStyle name="Percent 14 4 2 6" xfId="8807" xr:uid="{00000000-0005-0000-0000-000039DE0000}"/>
    <cellStyle name="Percent 14 4 2 6 2" xfId="23341" xr:uid="{00000000-0005-0000-0000-00003ADE0000}"/>
    <cellStyle name="Percent 14 4 2 6 2 2" xfId="52347" xr:uid="{00000000-0005-0000-0000-00003BDE0000}"/>
    <cellStyle name="Percent 14 4 2 6 3" xfId="37848" xr:uid="{00000000-0005-0000-0000-00003CDE0000}"/>
    <cellStyle name="Percent 14 4 2 7" xfId="16093" xr:uid="{00000000-0005-0000-0000-00003DDE0000}"/>
    <cellStyle name="Percent 14 4 2 7 2" xfId="45099" xr:uid="{00000000-0005-0000-0000-00003EDE0000}"/>
    <cellStyle name="Percent 14 4 2 8" xfId="30600" xr:uid="{00000000-0005-0000-0000-00003FDE0000}"/>
    <cellStyle name="Percent 14 4 3" xfId="2063" xr:uid="{00000000-0005-0000-0000-000040DE0000}"/>
    <cellStyle name="Percent 14 4 3 2" xfId="5167" xr:uid="{00000000-0005-0000-0000-000041DE0000}"/>
    <cellStyle name="Percent 14 4 3 2 2" xfId="12439" xr:uid="{00000000-0005-0000-0000-000042DE0000}"/>
    <cellStyle name="Percent 14 4 3 2 2 2" xfId="26973" xr:uid="{00000000-0005-0000-0000-000043DE0000}"/>
    <cellStyle name="Percent 14 4 3 2 2 2 2" xfId="55979" xr:uid="{00000000-0005-0000-0000-000044DE0000}"/>
    <cellStyle name="Percent 14 4 3 2 2 3" xfId="41480" xr:uid="{00000000-0005-0000-0000-000045DE0000}"/>
    <cellStyle name="Percent 14 4 3 2 3" xfId="19725" xr:uid="{00000000-0005-0000-0000-000046DE0000}"/>
    <cellStyle name="Percent 14 4 3 2 3 2" xfId="48731" xr:uid="{00000000-0005-0000-0000-000047DE0000}"/>
    <cellStyle name="Percent 14 4 3 2 4" xfId="34232" xr:uid="{00000000-0005-0000-0000-000048DE0000}"/>
    <cellStyle name="Percent 14 4 3 3" xfId="9335" xr:uid="{00000000-0005-0000-0000-000049DE0000}"/>
    <cellStyle name="Percent 14 4 3 3 2" xfId="23869" xr:uid="{00000000-0005-0000-0000-00004ADE0000}"/>
    <cellStyle name="Percent 14 4 3 3 2 2" xfId="52875" xr:uid="{00000000-0005-0000-0000-00004BDE0000}"/>
    <cellStyle name="Percent 14 4 3 3 3" xfId="38376" xr:uid="{00000000-0005-0000-0000-00004CDE0000}"/>
    <cellStyle name="Percent 14 4 3 4" xfId="16621" xr:uid="{00000000-0005-0000-0000-00004DDE0000}"/>
    <cellStyle name="Percent 14 4 3 4 2" xfId="45627" xr:uid="{00000000-0005-0000-0000-00004EDE0000}"/>
    <cellStyle name="Percent 14 4 3 5" xfId="31128" xr:uid="{00000000-0005-0000-0000-00004FDE0000}"/>
    <cellStyle name="Percent 14 4 4" xfId="3095" xr:uid="{00000000-0005-0000-0000-000050DE0000}"/>
    <cellStyle name="Percent 14 4 4 2" xfId="6199" xr:uid="{00000000-0005-0000-0000-000051DE0000}"/>
    <cellStyle name="Percent 14 4 4 2 2" xfId="13471" xr:uid="{00000000-0005-0000-0000-000052DE0000}"/>
    <cellStyle name="Percent 14 4 4 2 2 2" xfId="28005" xr:uid="{00000000-0005-0000-0000-000053DE0000}"/>
    <cellStyle name="Percent 14 4 4 2 2 2 2" xfId="57011" xr:uid="{00000000-0005-0000-0000-000054DE0000}"/>
    <cellStyle name="Percent 14 4 4 2 2 3" xfId="42512" xr:uid="{00000000-0005-0000-0000-000055DE0000}"/>
    <cellStyle name="Percent 14 4 4 2 3" xfId="20757" xr:uid="{00000000-0005-0000-0000-000056DE0000}"/>
    <cellStyle name="Percent 14 4 4 2 3 2" xfId="49763" xr:uid="{00000000-0005-0000-0000-000057DE0000}"/>
    <cellStyle name="Percent 14 4 4 2 4" xfId="35264" xr:uid="{00000000-0005-0000-0000-000058DE0000}"/>
    <cellStyle name="Percent 14 4 4 3" xfId="10367" xr:uid="{00000000-0005-0000-0000-000059DE0000}"/>
    <cellStyle name="Percent 14 4 4 3 2" xfId="24901" xr:uid="{00000000-0005-0000-0000-00005ADE0000}"/>
    <cellStyle name="Percent 14 4 4 3 2 2" xfId="53907" xr:uid="{00000000-0005-0000-0000-00005BDE0000}"/>
    <cellStyle name="Percent 14 4 4 3 3" xfId="39408" xr:uid="{00000000-0005-0000-0000-00005CDE0000}"/>
    <cellStyle name="Percent 14 4 4 4" xfId="17653" xr:uid="{00000000-0005-0000-0000-00005DDE0000}"/>
    <cellStyle name="Percent 14 4 4 4 2" xfId="46659" xr:uid="{00000000-0005-0000-0000-00005EDE0000}"/>
    <cellStyle name="Percent 14 4 4 5" xfId="32160" xr:uid="{00000000-0005-0000-0000-00005FDE0000}"/>
    <cellStyle name="Percent 14 4 5" xfId="4127" xr:uid="{00000000-0005-0000-0000-000060DE0000}"/>
    <cellStyle name="Percent 14 4 5 2" xfId="11399" xr:uid="{00000000-0005-0000-0000-000061DE0000}"/>
    <cellStyle name="Percent 14 4 5 2 2" xfId="25933" xr:uid="{00000000-0005-0000-0000-000062DE0000}"/>
    <cellStyle name="Percent 14 4 5 2 2 2" xfId="54939" xr:uid="{00000000-0005-0000-0000-000063DE0000}"/>
    <cellStyle name="Percent 14 4 5 2 3" xfId="40440" xr:uid="{00000000-0005-0000-0000-000064DE0000}"/>
    <cellStyle name="Percent 14 4 5 3" xfId="18685" xr:uid="{00000000-0005-0000-0000-000065DE0000}"/>
    <cellStyle name="Percent 14 4 5 3 2" xfId="47691" xr:uid="{00000000-0005-0000-0000-000066DE0000}"/>
    <cellStyle name="Percent 14 4 5 4" xfId="33192" xr:uid="{00000000-0005-0000-0000-000067DE0000}"/>
    <cellStyle name="Percent 14 4 6" xfId="7231" xr:uid="{00000000-0005-0000-0000-000068DE0000}"/>
    <cellStyle name="Percent 14 4 6 2" xfId="14503" xr:uid="{00000000-0005-0000-0000-000069DE0000}"/>
    <cellStyle name="Percent 14 4 6 2 2" xfId="29037" xr:uid="{00000000-0005-0000-0000-00006ADE0000}"/>
    <cellStyle name="Percent 14 4 6 2 2 2" xfId="58043" xr:uid="{00000000-0005-0000-0000-00006BDE0000}"/>
    <cellStyle name="Percent 14 4 6 2 3" xfId="43544" xr:uid="{00000000-0005-0000-0000-00006CDE0000}"/>
    <cellStyle name="Percent 14 4 6 3" xfId="21789" xr:uid="{00000000-0005-0000-0000-00006DDE0000}"/>
    <cellStyle name="Percent 14 4 6 3 2" xfId="50795" xr:uid="{00000000-0005-0000-0000-00006EDE0000}"/>
    <cellStyle name="Percent 14 4 6 4" xfId="36296" xr:uid="{00000000-0005-0000-0000-00006FDE0000}"/>
    <cellStyle name="Percent 14 4 7" xfId="8295" xr:uid="{00000000-0005-0000-0000-000070DE0000}"/>
    <cellStyle name="Percent 14 4 7 2" xfId="22829" xr:uid="{00000000-0005-0000-0000-000071DE0000}"/>
    <cellStyle name="Percent 14 4 7 2 2" xfId="51835" xr:uid="{00000000-0005-0000-0000-000072DE0000}"/>
    <cellStyle name="Percent 14 4 7 3" xfId="37336" xr:uid="{00000000-0005-0000-0000-000073DE0000}"/>
    <cellStyle name="Percent 14 4 8" xfId="15581" xr:uid="{00000000-0005-0000-0000-000074DE0000}"/>
    <cellStyle name="Percent 14 4 8 2" xfId="44587" xr:uid="{00000000-0005-0000-0000-000075DE0000}"/>
    <cellStyle name="Percent 14 4 9" xfId="30088" xr:uid="{00000000-0005-0000-0000-000076DE0000}"/>
    <cellStyle name="Percent 14 5" xfId="1312" xr:uid="{00000000-0005-0000-0000-000077DE0000}"/>
    <cellStyle name="Percent 14 5 2" xfId="2369" xr:uid="{00000000-0005-0000-0000-000078DE0000}"/>
    <cellStyle name="Percent 14 5 2 2" xfId="5473" xr:uid="{00000000-0005-0000-0000-000079DE0000}"/>
    <cellStyle name="Percent 14 5 2 2 2" xfId="12745" xr:uid="{00000000-0005-0000-0000-00007ADE0000}"/>
    <cellStyle name="Percent 14 5 2 2 2 2" xfId="27279" xr:uid="{00000000-0005-0000-0000-00007BDE0000}"/>
    <cellStyle name="Percent 14 5 2 2 2 2 2" xfId="56285" xr:uid="{00000000-0005-0000-0000-00007CDE0000}"/>
    <cellStyle name="Percent 14 5 2 2 2 3" xfId="41786" xr:uid="{00000000-0005-0000-0000-00007DDE0000}"/>
    <cellStyle name="Percent 14 5 2 2 3" xfId="20031" xr:uid="{00000000-0005-0000-0000-00007EDE0000}"/>
    <cellStyle name="Percent 14 5 2 2 3 2" xfId="49037" xr:uid="{00000000-0005-0000-0000-00007FDE0000}"/>
    <cellStyle name="Percent 14 5 2 2 4" xfId="34538" xr:uid="{00000000-0005-0000-0000-000080DE0000}"/>
    <cellStyle name="Percent 14 5 2 3" xfId="9641" xr:uid="{00000000-0005-0000-0000-000081DE0000}"/>
    <cellStyle name="Percent 14 5 2 3 2" xfId="24175" xr:uid="{00000000-0005-0000-0000-000082DE0000}"/>
    <cellStyle name="Percent 14 5 2 3 2 2" xfId="53181" xr:uid="{00000000-0005-0000-0000-000083DE0000}"/>
    <cellStyle name="Percent 14 5 2 3 3" xfId="38682" xr:uid="{00000000-0005-0000-0000-000084DE0000}"/>
    <cellStyle name="Percent 14 5 2 4" xfId="16927" xr:uid="{00000000-0005-0000-0000-000085DE0000}"/>
    <cellStyle name="Percent 14 5 2 4 2" xfId="45933" xr:uid="{00000000-0005-0000-0000-000086DE0000}"/>
    <cellStyle name="Percent 14 5 2 5" xfId="31434" xr:uid="{00000000-0005-0000-0000-000087DE0000}"/>
    <cellStyle name="Percent 14 5 3" xfId="3401" xr:uid="{00000000-0005-0000-0000-000088DE0000}"/>
    <cellStyle name="Percent 14 5 3 2" xfId="6505" xr:uid="{00000000-0005-0000-0000-000089DE0000}"/>
    <cellStyle name="Percent 14 5 3 2 2" xfId="13777" xr:uid="{00000000-0005-0000-0000-00008ADE0000}"/>
    <cellStyle name="Percent 14 5 3 2 2 2" xfId="28311" xr:uid="{00000000-0005-0000-0000-00008BDE0000}"/>
    <cellStyle name="Percent 14 5 3 2 2 2 2" xfId="57317" xr:uid="{00000000-0005-0000-0000-00008CDE0000}"/>
    <cellStyle name="Percent 14 5 3 2 2 3" xfId="42818" xr:uid="{00000000-0005-0000-0000-00008DDE0000}"/>
    <cellStyle name="Percent 14 5 3 2 3" xfId="21063" xr:uid="{00000000-0005-0000-0000-00008EDE0000}"/>
    <cellStyle name="Percent 14 5 3 2 3 2" xfId="50069" xr:uid="{00000000-0005-0000-0000-00008FDE0000}"/>
    <cellStyle name="Percent 14 5 3 2 4" xfId="35570" xr:uid="{00000000-0005-0000-0000-000090DE0000}"/>
    <cellStyle name="Percent 14 5 3 3" xfId="10673" xr:uid="{00000000-0005-0000-0000-000091DE0000}"/>
    <cellStyle name="Percent 14 5 3 3 2" xfId="25207" xr:uid="{00000000-0005-0000-0000-000092DE0000}"/>
    <cellStyle name="Percent 14 5 3 3 2 2" xfId="54213" xr:uid="{00000000-0005-0000-0000-000093DE0000}"/>
    <cellStyle name="Percent 14 5 3 3 3" xfId="39714" xr:uid="{00000000-0005-0000-0000-000094DE0000}"/>
    <cellStyle name="Percent 14 5 3 4" xfId="17959" xr:uid="{00000000-0005-0000-0000-000095DE0000}"/>
    <cellStyle name="Percent 14 5 3 4 2" xfId="46965" xr:uid="{00000000-0005-0000-0000-000096DE0000}"/>
    <cellStyle name="Percent 14 5 3 5" xfId="32466" xr:uid="{00000000-0005-0000-0000-000097DE0000}"/>
    <cellStyle name="Percent 14 5 4" xfId="4433" xr:uid="{00000000-0005-0000-0000-000098DE0000}"/>
    <cellStyle name="Percent 14 5 4 2" xfId="11705" xr:uid="{00000000-0005-0000-0000-000099DE0000}"/>
    <cellStyle name="Percent 14 5 4 2 2" xfId="26239" xr:uid="{00000000-0005-0000-0000-00009ADE0000}"/>
    <cellStyle name="Percent 14 5 4 2 2 2" xfId="55245" xr:uid="{00000000-0005-0000-0000-00009BDE0000}"/>
    <cellStyle name="Percent 14 5 4 2 3" xfId="40746" xr:uid="{00000000-0005-0000-0000-00009CDE0000}"/>
    <cellStyle name="Percent 14 5 4 3" xfId="18991" xr:uid="{00000000-0005-0000-0000-00009DDE0000}"/>
    <cellStyle name="Percent 14 5 4 3 2" xfId="47997" xr:uid="{00000000-0005-0000-0000-00009EDE0000}"/>
    <cellStyle name="Percent 14 5 4 4" xfId="33498" xr:uid="{00000000-0005-0000-0000-00009FDE0000}"/>
    <cellStyle name="Percent 14 5 5" xfId="7537" xr:uid="{00000000-0005-0000-0000-0000A0DE0000}"/>
    <cellStyle name="Percent 14 5 5 2" xfId="14809" xr:uid="{00000000-0005-0000-0000-0000A1DE0000}"/>
    <cellStyle name="Percent 14 5 5 2 2" xfId="29343" xr:uid="{00000000-0005-0000-0000-0000A2DE0000}"/>
    <cellStyle name="Percent 14 5 5 2 2 2" xfId="58349" xr:uid="{00000000-0005-0000-0000-0000A3DE0000}"/>
    <cellStyle name="Percent 14 5 5 2 3" xfId="43850" xr:uid="{00000000-0005-0000-0000-0000A4DE0000}"/>
    <cellStyle name="Percent 14 5 5 3" xfId="22095" xr:uid="{00000000-0005-0000-0000-0000A5DE0000}"/>
    <cellStyle name="Percent 14 5 5 3 2" xfId="51101" xr:uid="{00000000-0005-0000-0000-0000A6DE0000}"/>
    <cellStyle name="Percent 14 5 5 4" xfId="36602" xr:uid="{00000000-0005-0000-0000-0000A7DE0000}"/>
    <cellStyle name="Percent 14 5 6" xfId="8601" xr:uid="{00000000-0005-0000-0000-0000A8DE0000}"/>
    <cellStyle name="Percent 14 5 6 2" xfId="23135" xr:uid="{00000000-0005-0000-0000-0000A9DE0000}"/>
    <cellStyle name="Percent 14 5 6 2 2" xfId="52141" xr:uid="{00000000-0005-0000-0000-0000AADE0000}"/>
    <cellStyle name="Percent 14 5 6 3" xfId="37642" xr:uid="{00000000-0005-0000-0000-0000ABDE0000}"/>
    <cellStyle name="Percent 14 5 7" xfId="15887" xr:uid="{00000000-0005-0000-0000-0000ACDE0000}"/>
    <cellStyle name="Percent 14 5 7 2" xfId="44893" xr:uid="{00000000-0005-0000-0000-0000ADDE0000}"/>
    <cellStyle name="Percent 14 5 8" xfId="30394" xr:uid="{00000000-0005-0000-0000-0000AEDE0000}"/>
    <cellStyle name="Percent 14 6" xfId="1857" xr:uid="{00000000-0005-0000-0000-0000AFDE0000}"/>
    <cellStyle name="Percent 14 6 2" xfId="4961" xr:uid="{00000000-0005-0000-0000-0000B0DE0000}"/>
    <cellStyle name="Percent 14 6 2 2" xfId="12233" xr:uid="{00000000-0005-0000-0000-0000B1DE0000}"/>
    <cellStyle name="Percent 14 6 2 2 2" xfId="26767" xr:uid="{00000000-0005-0000-0000-0000B2DE0000}"/>
    <cellStyle name="Percent 14 6 2 2 2 2" xfId="55773" xr:uid="{00000000-0005-0000-0000-0000B3DE0000}"/>
    <cellStyle name="Percent 14 6 2 2 3" xfId="41274" xr:uid="{00000000-0005-0000-0000-0000B4DE0000}"/>
    <cellStyle name="Percent 14 6 2 3" xfId="19519" xr:uid="{00000000-0005-0000-0000-0000B5DE0000}"/>
    <cellStyle name="Percent 14 6 2 3 2" xfId="48525" xr:uid="{00000000-0005-0000-0000-0000B6DE0000}"/>
    <cellStyle name="Percent 14 6 2 4" xfId="34026" xr:uid="{00000000-0005-0000-0000-0000B7DE0000}"/>
    <cellStyle name="Percent 14 6 3" xfId="9129" xr:uid="{00000000-0005-0000-0000-0000B8DE0000}"/>
    <cellStyle name="Percent 14 6 3 2" xfId="23663" xr:uid="{00000000-0005-0000-0000-0000B9DE0000}"/>
    <cellStyle name="Percent 14 6 3 2 2" xfId="52669" xr:uid="{00000000-0005-0000-0000-0000BADE0000}"/>
    <cellStyle name="Percent 14 6 3 3" xfId="38170" xr:uid="{00000000-0005-0000-0000-0000BBDE0000}"/>
    <cellStyle name="Percent 14 6 4" xfId="16415" xr:uid="{00000000-0005-0000-0000-0000BCDE0000}"/>
    <cellStyle name="Percent 14 6 4 2" xfId="45421" xr:uid="{00000000-0005-0000-0000-0000BDDE0000}"/>
    <cellStyle name="Percent 14 6 5" xfId="30922" xr:uid="{00000000-0005-0000-0000-0000BEDE0000}"/>
    <cellStyle name="Percent 14 7" xfId="2889" xr:uid="{00000000-0005-0000-0000-0000BFDE0000}"/>
    <cellStyle name="Percent 14 7 2" xfId="5993" xr:uid="{00000000-0005-0000-0000-0000C0DE0000}"/>
    <cellStyle name="Percent 14 7 2 2" xfId="13265" xr:uid="{00000000-0005-0000-0000-0000C1DE0000}"/>
    <cellStyle name="Percent 14 7 2 2 2" xfId="27799" xr:uid="{00000000-0005-0000-0000-0000C2DE0000}"/>
    <cellStyle name="Percent 14 7 2 2 2 2" xfId="56805" xr:uid="{00000000-0005-0000-0000-0000C3DE0000}"/>
    <cellStyle name="Percent 14 7 2 2 3" xfId="42306" xr:uid="{00000000-0005-0000-0000-0000C4DE0000}"/>
    <cellStyle name="Percent 14 7 2 3" xfId="20551" xr:uid="{00000000-0005-0000-0000-0000C5DE0000}"/>
    <cellStyle name="Percent 14 7 2 3 2" xfId="49557" xr:uid="{00000000-0005-0000-0000-0000C6DE0000}"/>
    <cellStyle name="Percent 14 7 2 4" xfId="35058" xr:uid="{00000000-0005-0000-0000-0000C7DE0000}"/>
    <cellStyle name="Percent 14 7 3" xfId="10161" xr:uid="{00000000-0005-0000-0000-0000C8DE0000}"/>
    <cellStyle name="Percent 14 7 3 2" xfId="24695" xr:uid="{00000000-0005-0000-0000-0000C9DE0000}"/>
    <cellStyle name="Percent 14 7 3 2 2" xfId="53701" xr:uid="{00000000-0005-0000-0000-0000CADE0000}"/>
    <cellStyle name="Percent 14 7 3 3" xfId="39202" xr:uid="{00000000-0005-0000-0000-0000CBDE0000}"/>
    <cellStyle name="Percent 14 7 4" xfId="17447" xr:uid="{00000000-0005-0000-0000-0000CCDE0000}"/>
    <cellStyle name="Percent 14 7 4 2" xfId="46453" xr:uid="{00000000-0005-0000-0000-0000CDDE0000}"/>
    <cellStyle name="Percent 14 7 5" xfId="31954" xr:uid="{00000000-0005-0000-0000-0000CEDE0000}"/>
    <cellStyle name="Percent 14 8" xfId="3921" xr:uid="{00000000-0005-0000-0000-0000CFDE0000}"/>
    <cellStyle name="Percent 14 8 2" xfId="11193" xr:uid="{00000000-0005-0000-0000-0000D0DE0000}"/>
    <cellStyle name="Percent 14 8 2 2" xfId="25727" xr:uid="{00000000-0005-0000-0000-0000D1DE0000}"/>
    <cellStyle name="Percent 14 8 2 2 2" xfId="54733" xr:uid="{00000000-0005-0000-0000-0000D2DE0000}"/>
    <cellStyle name="Percent 14 8 2 3" xfId="40234" xr:uid="{00000000-0005-0000-0000-0000D3DE0000}"/>
    <cellStyle name="Percent 14 8 3" xfId="18479" xr:uid="{00000000-0005-0000-0000-0000D4DE0000}"/>
    <cellStyle name="Percent 14 8 3 2" xfId="47485" xr:uid="{00000000-0005-0000-0000-0000D5DE0000}"/>
    <cellStyle name="Percent 14 8 4" xfId="32986" xr:uid="{00000000-0005-0000-0000-0000D6DE0000}"/>
    <cellStyle name="Percent 14 9" xfId="7025" xr:uid="{00000000-0005-0000-0000-0000D7DE0000}"/>
    <cellStyle name="Percent 14 9 2" xfId="14297" xr:uid="{00000000-0005-0000-0000-0000D8DE0000}"/>
    <cellStyle name="Percent 14 9 2 2" xfId="28831" xr:uid="{00000000-0005-0000-0000-0000D9DE0000}"/>
    <cellStyle name="Percent 14 9 2 2 2" xfId="57837" xr:uid="{00000000-0005-0000-0000-0000DADE0000}"/>
    <cellStyle name="Percent 14 9 2 3" xfId="43338" xr:uid="{00000000-0005-0000-0000-0000DBDE0000}"/>
    <cellStyle name="Percent 14 9 3" xfId="21583" xr:uid="{00000000-0005-0000-0000-0000DCDE0000}"/>
    <cellStyle name="Percent 14 9 3 2" xfId="50589" xr:uid="{00000000-0005-0000-0000-0000DDDE0000}"/>
    <cellStyle name="Percent 14 9 4" xfId="36090" xr:uid="{00000000-0005-0000-0000-0000DEDE0000}"/>
    <cellStyle name="Percent 15" xfId="719" xr:uid="{00000000-0005-0000-0000-0000DFDE0000}"/>
    <cellStyle name="Percent 16" xfId="710" xr:uid="{00000000-0005-0000-0000-0000E0DE0000}"/>
    <cellStyle name="Percent 17" xfId="15307" xr:uid="{00000000-0005-0000-0000-0000E1DE0000}"/>
    <cellStyle name="Percent 18" xfId="15315" xr:uid="{00000000-0005-0000-0000-0000E2DE0000}"/>
    <cellStyle name="Percent 18 2" xfId="29823" xr:uid="{00000000-0005-0000-0000-0000E3DE0000}"/>
    <cellStyle name="Percent 19" xfId="705" xr:uid="{00000000-0005-0000-0000-0000E4DE0000}"/>
    <cellStyle name="Percent 19 2" xfId="15336" xr:uid="{00000000-0005-0000-0000-0000E5DE0000}"/>
    <cellStyle name="Percent 19 2 2" xfId="44342" xr:uid="{00000000-0005-0000-0000-0000E6DE0000}"/>
    <cellStyle name="Percent 19 3" xfId="29843" xr:uid="{00000000-0005-0000-0000-0000E7DE0000}"/>
    <cellStyle name="Percent 2" xfId="6" xr:uid="{00000000-0005-0000-0000-0000E8DE0000}"/>
    <cellStyle name="Percent 2 2" xfId="17" xr:uid="{00000000-0005-0000-0000-0000E9DE0000}"/>
    <cellStyle name="Percent 2 2 2" xfId="1792" xr:uid="{00000000-0005-0000-0000-0000EADE0000}"/>
    <cellStyle name="Percent 2 2 3" xfId="792" xr:uid="{00000000-0005-0000-0000-0000EBDE0000}"/>
    <cellStyle name="Percent 2 3" xfId="319" xr:uid="{00000000-0005-0000-0000-0000ECDE0000}"/>
    <cellStyle name="Percent 2 3 2" xfId="676" xr:uid="{00000000-0005-0000-0000-0000EDDE0000}"/>
    <cellStyle name="Percent 2 4" xfId="675" xr:uid="{00000000-0005-0000-0000-0000EEDE0000}"/>
    <cellStyle name="Percent 20" xfId="58855" xr:uid="{00000000-0005-0000-0000-0000EFDE0000}"/>
    <cellStyle name="Percent 21" xfId="58859" xr:uid="{00000000-0005-0000-0000-0000F0DE0000}"/>
    <cellStyle name="Percent 3" xfId="12" xr:uid="{00000000-0005-0000-0000-0000F1DE0000}"/>
    <cellStyle name="Percent 3 2" xfId="25" xr:uid="{00000000-0005-0000-0000-0000F2DE0000}"/>
    <cellStyle name="Percent 3 2 2" xfId="775" xr:uid="{00000000-0005-0000-0000-0000F3DE0000}"/>
    <cellStyle name="Percent 3 2 3" xfId="774" xr:uid="{00000000-0005-0000-0000-0000F4DE0000}"/>
    <cellStyle name="Percent 3 3" xfId="15" xr:uid="{00000000-0005-0000-0000-0000F5DE0000}"/>
    <cellStyle name="Percent 3 3 2" xfId="191" xr:uid="{00000000-0005-0000-0000-0000F6DE0000}"/>
    <cellStyle name="Percent 3 3 2 2" xfId="302" xr:uid="{00000000-0005-0000-0000-0000F7DE0000}"/>
    <cellStyle name="Percent 3 3 2 2 2" xfId="59067" xr:uid="{00000000-0005-0000-0000-0000F8DE0000}"/>
    <cellStyle name="Percent 3 3 2 2 3" xfId="59119" xr:uid="{00000000-0005-0000-0000-0000F9DE0000}"/>
    <cellStyle name="Percent 3 3 2 3" xfId="59015" xr:uid="{00000000-0005-0000-0000-0000FADE0000}"/>
    <cellStyle name="Percent 3 3 2 3 2" xfId="59569" xr:uid="{00000000-0005-0000-0000-0000FBDE0000}"/>
    <cellStyle name="Percent 3 3 2 4" xfId="59090" xr:uid="{00000000-0005-0000-0000-0000FCDE0000}"/>
    <cellStyle name="Percent 3 3 3" xfId="256" xr:uid="{00000000-0005-0000-0000-0000FDDE0000}"/>
    <cellStyle name="Percent 3 3 3 2" xfId="484" xr:uid="{00000000-0005-0000-0000-0000FEDE0000}"/>
    <cellStyle name="Percent 3 3 3 3" xfId="59343" xr:uid="{00000000-0005-0000-0000-0000FFDE0000}"/>
    <cellStyle name="Percent 3 3 4" xfId="587" xr:uid="{00000000-0005-0000-0000-000000DF0000}"/>
    <cellStyle name="Percent 3 3 4 2" xfId="59448" xr:uid="{00000000-0005-0000-0000-000001DF0000}"/>
    <cellStyle name="Percent 3 3 5" xfId="776" xr:uid="{00000000-0005-0000-0000-000002DF0000}"/>
    <cellStyle name="Percent 3 3 5 2" xfId="59497" xr:uid="{00000000-0005-0000-0000-000003DF0000}"/>
    <cellStyle name="Percent 3 3 6" xfId="58941" xr:uid="{00000000-0005-0000-0000-000004DF0000}"/>
    <cellStyle name="Percent 3 3 7" xfId="112" xr:uid="{00000000-0005-0000-0000-000005DF0000}"/>
    <cellStyle name="Percent 3 4" xfId="43" xr:uid="{00000000-0005-0000-0000-000006DF0000}"/>
    <cellStyle name="Percent 3 4 2" xfId="215" xr:uid="{00000000-0005-0000-0000-000007DF0000}"/>
    <cellStyle name="Percent 3 4 2 2" xfId="59039" xr:uid="{00000000-0005-0000-0000-000008DF0000}"/>
    <cellStyle name="Percent 3 4 2 3" xfId="59109" xr:uid="{00000000-0005-0000-0000-000009DF0000}"/>
    <cellStyle name="Percent 3 4 3" xfId="58883" xr:uid="{00000000-0005-0000-0000-00000ADF0000}"/>
    <cellStyle name="Percent 3 4 4" xfId="730" xr:uid="{00000000-0005-0000-0000-00000BDF0000}"/>
    <cellStyle name="Percent 3 4 5" xfId="58965" xr:uid="{00000000-0005-0000-0000-00000CDF0000}"/>
    <cellStyle name="Percent 3 4 6" xfId="59079" xr:uid="{00000000-0005-0000-0000-00000DDF0000}"/>
    <cellStyle name="Percent 3 4 7" xfId="141" xr:uid="{00000000-0005-0000-0000-00000EDF0000}"/>
    <cellStyle name="Percent 3 5" xfId="264" xr:uid="{00000000-0005-0000-0000-00000FDF0000}"/>
    <cellStyle name="Percent 3 5 2" xfId="701" xr:uid="{00000000-0005-0000-0000-000010DF0000}"/>
    <cellStyle name="Percent 4" xfId="19" xr:uid="{00000000-0005-0000-0000-000011DF0000}"/>
    <cellStyle name="Percent 4 10" xfId="58920" xr:uid="{00000000-0005-0000-0000-000012DF0000}"/>
    <cellStyle name="Percent 4 11" xfId="91" xr:uid="{00000000-0005-0000-0000-000013DF0000}"/>
    <cellStyle name="Percent 4 2" xfId="95" xr:uid="{00000000-0005-0000-0000-000014DF0000}"/>
    <cellStyle name="Percent 4 2 10" xfId="59097" xr:uid="{00000000-0005-0000-0000-000015DF0000}"/>
    <cellStyle name="Percent 4 2 2" xfId="124" xr:uid="{00000000-0005-0000-0000-000016DF0000}"/>
    <cellStyle name="Percent 4 2 2 2" xfId="199" xr:uid="{00000000-0005-0000-0000-000017DF0000}"/>
    <cellStyle name="Percent 4 2 2 2 2" xfId="554" xr:uid="{00000000-0005-0000-0000-000018DF0000}"/>
    <cellStyle name="Percent 4 2 2 2 2 2" xfId="59415" xr:uid="{00000000-0005-0000-0000-000019DF0000}"/>
    <cellStyle name="Percent 4 2 2 2 3" xfId="59023" xr:uid="{00000000-0005-0000-0000-00001ADF0000}"/>
    <cellStyle name="Percent 4 2 2 2 3 2" xfId="59577" xr:uid="{00000000-0005-0000-0000-00001BDF0000}"/>
    <cellStyle name="Percent 4 2 2 2 4" xfId="59270" xr:uid="{00000000-0005-0000-0000-00001CDF0000}"/>
    <cellStyle name="Percent 4 2 2 3" xfId="483" xr:uid="{00000000-0005-0000-0000-00001DDF0000}"/>
    <cellStyle name="Percent 4 2 2 3 2" xfId="59342" xr:uid="{00000000-0005-0000-0000-00001EDF0000}"/>
    <cellStyle name="Percent 4 2 2 4" xfId="595" xr:uid="{00000000-0005-0000-0000-00001FDF0000}"/>
    <cellStyle name="Percent 4 2 2 4 2" xfId="59456" xr:uid="{00000000-0005-0000-0000-000020DF0000}"/>
    <cellStyle name="Percent 4 2 2 5" xfId="58949" xr:uid="{00000000-0005-0000-0000-000021DF0000}"/>
    <cellStyle name="Percent 4 2 2 5 2" xfId="59505" xr:uid="{00000000-0005-0000-0000-000022DF0000}"/>
    <cellStyle name="Percent 4 2 2 6" xfId="59126" xr:uid="{00000000-0005-0000-0000-000023DF0000}"/>
    <cellStyle name="Percent 4 2 3" xfId="149" xr:uid="{00000000-0005-0000-0000-000024DF0000}"/>
    <cellStyle name="Percent 4 2 3 2" xfId="223" xr:uid="{00000000-0005-0000-0000-000025DF0000}"/>
    <cellStyle name="Percent 4 2 3 2 2" xfId="532" xr:uid="{00000000-0005-0000-0000-000026DF0000}"/>
    <cellStyle name="Percent 4 2 3 2 2 2" xfId="59394" xr:uid="{00000000-0005-0000-0000-000027DF0000}"/>
    <cellStyle name="Percent 4 2 3 2 3" xfId="59047" xr:uid="{00000000-0005-0000-0000-000028DF0000}"/>
    <cellStyle name="Percent 4 2 3 2 3 2" xfId="59599" xr:uid="{00000000-0005-0000-0000-000029DF0000}"/>
    <cellStyle name="Percent 4 2 3 2 4" xfId="59252" xr:uid="{00000000-0005-0000-0000-00002ADF0000}"/>
    <cellStyle name="Percent 4 2 3 3" xfId="460" xr:uid="{00000000-0005-0000-0000-00002BDF0000}"/>
    <cellStyle name="Percent 4 2 3 3 2" xfId="59319" xr:uid="{00000000-0005-0000-0000-00002CDF0000}"/>
    <cellStyle name="Percent 4 2 3 4" xfId="58973" xr:uid="{00000000-0005-0000-0000-00002DDF0000}"/>
    <cellStyle name="Percent 4 2 3 4 2" xfId="59528" xr:uid="{00000000-0005-0000-0000-00002EDF0000}"/>
    <cellStyle name="Percent 4 2 3 5" xfId="59195" xr:uid="{00000000-0005-0000-0000-00002FDF0000}"/>
    <cellStyle name="Percent 4 2 4" xfId="175" xr:uid="{00000000-0005-0000-0000-000030DF0000}"/>
    <cellStyle name="Percent 4 2 4 2" xfId="502" xr:uid="{00000000-0005-0000-0000-000031DF0000}"/>
    <cellStyle name="Percent 4 2 4 2 2" xfId="59361" xr:uid="{00000000-0005-0000-0000-000032DF0000}"/>
    <cellStyle name="Percent 4 2 4 3" xfId="58999" xr:uid="{00000000-0005-0000-0000-000033DF0000}"/>
    <cellStyle name="Percent 4 2 4 3 2" xfId="59553" xr:uid="{00000000-0005-0000-0000-000034DF0000}"/>
    <cellStyle name="Percent 4 2 4 4" xfId="59223" xr:uid="{00000000-0005-0000-0000-000035DF0000}"/>
    <cellStyle name="Percent 4 2 5" xfId="430" xr:uid="{00000000-0005-0000-0000-000036DF0000}"/>
    <cellStyle name="Percent 4 2 5 2" xfId="59286" xr:uid="{00000000-0005-0000-0000-000037DF0000}"/>
    <cellStyle name="Percent 4 2 6" xfId="571" xr:uid="{00000000-0005-0000-0000-000038DF0000}"/>
    <cellStyle name="Percent 4 2 6 2" xfId="59432" xr:uid="{00000000-0005-0000-0000-000039DF0000}"/>
    <cellStyle name="Percent 4 2 7" xfId="323" xr:uid="{00000000-0005-0000-0000-00003ADF0000}"/>
    <cellStyle name="Percent 4 2 7 2" xfId="59162" xr:uid="{00000000-0005-0000-0000-00003BDF0000}"/>
    <cellStyle name="Percent 4 2 8" xfId="735" xr:uid="{00000000-0005-0000-0000-00003CDF0000}"/>
    <cellStyle name="Percent 4 2 8 2" xfId="59481" xr:uid="{00000000-0005-0000-0000-00003DDF0000}"/>
    <cellStyle name="Percent 4 2 9" xfId="58924" xr:uid="{00000000-0005-0000-0000-00003EDF0000}"/>
    <cellStyle name="Percent 4 3" xfId="116" xr:uid="{00000000-0005-0000-0000-00003FDF0000}"/>
    <cellStyle name="Percent 4 3 2" xfId="195" xr:uid="{00000000-0005-0000-0000-000040DF0000}"/>
    <cellStyle name="Percent 4 3 2 2" xfId="410" xr:uid="{00000000-0005-0000-0000-000041DF0000}"/>
    <cellStyle name="Percent 4 3 2 2 2" xfId="550" xr:uid="{00000000-0005-0000-0000-000042DF0000}"/>
    <cellStyle name="Percent 4 3 2 2 2 2" xfId="59411" xr:uid="{00000000-0005-0000-0000-000043DF0000}"/>
    <cellStyle name="Percent 4 3 2 2 3" xfId="59267" xr:uid="{00000000-0005-0000-0000-000044DF0000}"/>
    <cellStyle name="Percent 4 3 2 3" xfId="479" xr:uid="{00000000-0005-0000-0000-000045DF0000}"/>
    <cellStyle name="Percent 4 3 2 3 2" xfId="59338" xr:uid="{00000000-0005-0000-0000-000046DF0000}"/>
    <cellStyle name="Percent 4 3 2 4" xfId="59019" xr:uid="{00000000-0005-0000-0000-000047DF0000}"/>
    <cellStyle name="Percent 4 3 2 4 2" xfId="59573" xr:uid="{00000000-0005-0000-0000-000048DF0000}"/>
    <cellStyle name="Percent 4 3 2 5" xfId="59123" xr:uid="{00000000-0005-0000-0000-000049DF0000}"/>
    <cellStyle name="Percent 4 3 3" xfId="387" xr:uid="{00000000-0005-0000-0000-00004ADF0000}"/>
    <cellStyle name="Percent 4 3 3 2" xfId="518" xr:uid="{00000000-0005-0000-0000-00004BDF0000}"/>
    <cellStyle name="Percent 4 3 3 2 2" xfId="59377" xr:uid="{00000000-0005-0000-0000-00004CDF0000}"/>
    <cellStyle name="Percent 4 3 3 3" xfId="59239" xr:uid="{00000000-0005-0000-0000-00004DDF0000}"/>
    <cellStyle name="Percent 4 3 4" xfId="446" xr:uid="{00000000-0005-0000-0000-00004EDF0000}"/>
    <cellStyle name="Percent 4 3 4 2" xfId="59302" xr:uid="{00000000-0005-0000-0000-00004FDF0000}"/>
    <cellStyle name="Percent 4 3 5" xfId="591" xr:uid="{00000000-0005-0000-0000-000050DF0000}"/>
    <cellStyle name="Percent 4 3 5 2" xfId="59452" xr:uid="{00000000-0005-0000-0000-000051DF0000}"/>
    <cellStyle name="Percent 4 3 6" xfId="330" xr:uid="{00000000-0005-0000-0000-000052DF0000}"/>
    <cellStyle name="Percent 4 3 6 2" xfId="59178" xr:uid="{00000000-0005-0000-0000-000053DF0000}"/>
    <cellStyle name="Percent 4 3 7" xfId="1783" xr:uid="{00000000-0005-0000-0000-000054DF0000}"/>
    <cellStyle name="Percent 4 3 7 2" xfId="59501" xr:uid="{00000000-0005-0000-0000-000055DF0000}"/>
    <cellStyle name="Percent 4 3 8" xfId="58945" xr:uid="{00000000-0005-0000-0000-000056DF0000}"/>
    <cellStyle name="Percent 4 3 9" xfId="59094" xr:uid="{00000000-0005-0000-0000-000057DF0000}"/>
    <cellStyle name="Percent 4 4" xfId="145" xr:uid="{00000000-0005-0000-0000-000058DF0000}"/>
    <cellStyle name="Percent 4 4 2" xfId="219" xr:uid="{00000000-0005-0000-0000-000059DF0000}"/>
    <cellStyle name="Percent 4 4 2 2" xfId="528" xr:uid="{00000000-0005-0000-0000-00005ADF0000}"/>
    <cellStyle name="Percent 4 4 2 2 2" xfId="59390" xr:uid="{00000000-0005-0000-0000-00005BDF0000}"/>
    <cellStyle name="Percent 4 4 2 3" xfId="59043" xr:uid="{00000000-0005-0000-0000-00005CDF0000}"/>
    <cellStyle name="Percent 4 4 2 3 2" xfId="59595" xr:uid="{00000000-0005-0000-0000-00005DDF0000}"/>
    <cellStyle name="Percent 4 4 2 4" xfId="59112" xr:uid="{00000000-0005-0000-0000-00005EDF0000}"/>
    <cellStyle name="Percent 4 4 3" xfId="456" xr:uid="{00000000-0005-0000-0000-00005FDF0000}"/>
    <cellStyle name="Percent 4 4 3 2" xfId="59315" xr:uid="{00000000-0005-0000-0000-000060DF0000}"/>
    <cellStyle name="Percent 4 4 4" xfId="346" xr:uid="{00000000-0005-0000-0000-000061DF0000}"/>
    <cellStyle name="Percent 4 4 4 2" xfId="59191" xr:uid="{00000000-0005-0000-0000-000062DF0000}"/>
    <cellStyle name="Percent 4 4 5" xfId="732" xr:uid="{00000000-0005-0000-0000-000063DF0000}"/>
    <cellStyle name="Percent 4 4 5 2" xfId="59524" xr:uid="{00000000-0005-0000-0000-000064DF0000}"/>
    <cellStyle name="Percent 4 4 6" xfId="58969" xr:uid="{00000000-0005-0000-0000-000065DF0000}"/>
    <cellStyle name="Percent 4 4 7" xfId="59083" xr:uid="{00000000-0005-0000-0000-000066DF0000}"/>
    <cellStyle name="Percent 4 5" xfId="171" xr:uid="{00000000-0005-0000-0000-000067DF0000}"/>
    <cellStyle name="Percent 4 5 2" xfId="498" xr:uid="{00000000-0005-0000-0000-000068DF0000}"/>
    <cellStyle name="Percent 4 5 2 2" xfId="59357" xr:uid="{00000000-0005-0000-0000-000069DF0000}"/>
    <cellStyle name="Percent 4 5 3" xfId="373" xr:uid="{00000000-0005-0000-0000-00006ADF0000}"/>
    <cellStyle name="Percent 4 5 3 2" xfId="59219" xr:uid="{00000000-0005-0000-0000-00006BDF0000}"/>
    <cellStyle name="Percent 4 5 4" xfId="677" xr:uid="{00000000-0005-0000-0000-00006CDF0000}"/>
    <cellStyle name="Percent 4 5 4 2" xfId="59549" xr:uid="{00000000-0005-0000-0000-00006DDF0000}"/>
    <cellStyle name="Percent 4 5 5" xfId="58995" xr:uid="{00000000-0005-0000-0000-00006EDF0000}"/>
    <cellStyle name="Percent 4 5 6" xfId="59141" xr:uid="{00000000-0005-0000-0000-00006FDF0000}"/>
    <cellStyle name="Percent 4 6" xfId="253" xr:uid="{00000000-0005-0000-0000-000070DF0000}"/>
    <cellStyle name="Percent 4 6 2" xfId="426" xr:uid="{00000000-0005-0000-0000-000071DF0000}"/>
    <cellStyle name="Percent 4 6 2 2" xfId="59282" xr:uid="{00000000-0005-0000-0000-000072DF0000}"/>
    <cellStyle name="Percent 4 6 3" xfId="245" xr:uid="{00000000-0005-0000-0000-000073DF0000}"/>
    <cellStyle name="Percent 4 6 4" xfId="58841" xr:uid="{00000000-0005-0000-0000-000074DF0000}"/>
    <cellStyle name="Percent 4 6 5" xfId="59147" xr:uid="{00000000-0005-0000-0000-000075DF0000}"/>
    <cellStyle name="Percent 4 7" xfId="567" xr:uid="{00000000-0005-0000-0000-000076DF0000}"/>
    <cellStyle name="Percent 4 7 2" xfId="270" xr:uid="{00000000-0005-0000-0000-000077DF0000}"/>
    <cellStyle name="Percent 4 7 3" xfId="59428" xr:uid="{00000000-0005-0000-0000-000078DF0000}"/>
    <cellStyle name="Percent 4 8" xfId="298" xr:uid="{00000000-0005-0000-0000-000079DF0000}"/>
    <cellStyle name="Percent 4 8 2" xfId="59158" xr:uid="{00000000-0005-0000-0000-00007ADF0000}"/>
    <cellStyle name="Percent 4 9" xfId="58865" xr:uid="{00000000-0005-0000-0000-00007BDF0000}"/>
    <cellStyle name="Percent 4 9 2" xfId="59477" xr:uid="{00000000-0005-0000-0000-00007CDF0000}"/>
    <cellStyle name="Percent 5" xfId="20" xr:uid="{00000000-0005-0000-0000-00007DDF0000}"/>
    <cellStyle name="Percent 5 10" xfId="2859" xr:uid="{00000000-0005-0000-0000-00007EDF0000}"/>
    <cellStyle name="Percent 5 10 2" xfId="5963" xr:uid="{00000000-0005-0000-0000-00007FDF0000}"/>
    <cellStyle name="Percent 5 10 2 2" xfId="13235" xr:uid="{00000000-0005-0000-0000-000080DF0000}"/>
    <cellStyle name="Percent 5 10 2 2 2" xfId="27769" xr:uid="{00000000-0005-0000-0000-000081DF0000}"/>
    <cellStyle name="Percent 5 10 2 2 2 2" xfId="56775" xr:uid="{00000000-0005-0000-0000-000082DF0000}"/>
    <cellStyle name="Percent 5 10 2 2 3" xfId="42276" xr:uid="{00000000-0005-0000-0000-000083DF0000}"/>
    <cellStyle name="Percent 5 10 2 3" xfId="20521" xr:uid="{00000000-0005-0000-0000-000084DF0000}"/>
    <cellStyle name="Percent 5 10 2 3 2" xfId="49527" xr:uid="{00000000-0005-0000-0000-000085DF0000}"/>
    <cellStyle name="Percent 5 10 2 4" xfId="35028" xr:uid="{00000000-0005-0000-0000-000086DF0000}"/>
    <cellStyle name="Percent 5 10 3" xfId="10131" xr:uid="{00000000-0005-0000-0000-000087DF0000}"/>
    <cellStyle name="Percent 5 10 3 2" xfId="24665" xr:uid="{00000000-0005-0000-0000-000088DF0000}"/>
    <cellStyle name="Percent 5 10 3 2 2" xfId="53671" xr:uid="{00000000-0005-0000-0000-000089DF0000}"/>
    <cellStyle name="Percent 5 10 3 3" xfId="39172" xr:uid="{00000000-0005-0000-0000-00008ADF0000}"/>
    <cellStyle name="Percent 5 10 4" xfId="17417" xr:uid="{00000000-0005-0000-0000-00008BDF0000}"/>
    <cellStyle name="Percent 5 10 4 2" xfId="46423" xr:uid="{00000000-0005-0000-0000-00008CDF0000}"/>
    <cellStyle name="Percent 5 10 5" xfId="31924" xr:uid="{00000000-0005-0000-0000-00008DDF0000}"/>
    <cellStyle name="Percent 5 11" xfId="3891" xr:uid="{00000000-0005-0000-0000-00008EDF0000}"/>
    <cellStyle name="Percent 5 11 2" xfId="11163" xr:uid="{00000000-0005-0000-0000-00008FDF0000}"/>
    <cellStyle name="Percent 5 11 2 2" xfId="25697" xr:uid="{00000000-0005-0000-0000-000090DF0000}"/>
    <cellStyle name="Percent 5 11 2 2 2" xfId="54703" xr:uid="{00000000-0005-0000-0000-000091DF0000}"/>
    <cellStyle name="Percent 5 11 2 3" xfId="40204" xr:uid="{00000000-0005-0000-0000-000092DF0000}"/>
    <cellStyle name="Percent 5 11 3" xfId="18449" xr:uid="{00000000-0005-0000-0000-000093DF0000}"/>
    <cellStyle name="Percent 5 11 3 2" xfId="47455" xr:uid="{00000000-0005-0000-0000-000094DF0000}"/>
    <cellStyle name="Percent 5 11 4" xfId="32956" xr:uid="{00000000-0005-0000-0000-000095DF0000}"/>
    <cellStyle name="Percent 5 12" xfId="6995" xr:uid="{00000000-0005-0000-0000-000096DF0000}"/>
    <cellStyle name="Percent 5 12 2" xfId="14267" xr:uid="{00000000-0005-0000-0000-000097DF0000}"/>
    <cellStyle name="Percent 5 12 2 2" xfId="28801" xr:uid="{00000000-0005-0000-0000-000098DF0000}"/>
    <cellStyle name="Percent 5 12 2 2 2" xfId="57807" xr:uid="{00000000-0005-0000-0000-000099DF0000}"/>
    <cellStyle name="Percent 5 12 2 3" xfId="43308" xr:uid="{00000000-0005-0000-0000-00009ADF0000}"/>
    <cellStyle name="Percent 5 12 3" xfId="21553" xr:uid="{00000000-0005-0000-0000-00009BDF0000}"/>
    <cellStyle name="Percent 5 12 3 2" xfId="50559" xr:uid="{00000000-0005-0000-0000-00009CDF0000}"/>
    <cellStyle name="Percent 5 12 4" xfId="36060" xr:uid="{00000000-0005-0000-0000-00009DDF0000}"/>
    <cellStyle name="Percent 5 13" xfId="8059" xr:uid="{00000000-0005-0000-0000-00009EDF0000}"/>
    <cellStyle name="Percent 5 13 2" xfId="22593" xr:uid="{00000000-0005-0000-0000-00009FDF0000}"/>
    <cellStyle name="Percent 5 13 2 2" xfId="51599" xr:uid="{00000000-0005-0000-0000-0000A0DF0000}"/>
    <cellStyle name="Percent 5 13 3" xfId="37100" xr:uid="{00000000-0005-0000-0000-0000A1DF0000}"/>
    <cellStyle name="Percent 5 14" xfId="15345" xr:uid="{00000000-0005-0000-0000-0000A2DF0000}"/>
    <cellStyle name="Percent 5 14 2" xfId="44351" xr:uid="{00000000-0005-0000-0000-0000A3DF0000}"/>
    <cellStyle name="Percent 5 15" xfId="808" xr:uid="{00000000-0005-0000-0000-0000A4DF0000}"/>
    <cellStyle name="Percent 5 15 2" xfId="29852" xr:uid="{00000000-0005-0000-0000-0000A5DF0000}"/>
    <cellStyle name="Percent 5 16" xfId="58844" xr:uid="{00000000-0005-0000-0000-0000A6DF0000}"/>
    <cellStyle name="Percent 5 17" xfId="58866" xr:uid="{00000000-0005-0000-0000-0000A7DF0000}"/>
    <cellStyle name="Percent 5 18" xfId="678" xr:uid="{00000000-0005-0000-0000-0000A8DF0000}"/>
    <cellStyle name="Percent 5 19" xfId="58927" xr:uid="{00000000-0005-0000-0000-0000A9DF0000}"/>
    <cellStyle name="Percent 5 2" xfId="128" xr:uid="{00000000-0005-0000-0000-0000AADF0000}"/>
    <cellStyle name="Percent 5 2 10" xfId="7019" xr:uid="{00000000-0005-0000-0000-0000ABDF0000}"/>
    <cellStyle name="Percent 5 2 10 2" xfId="14291" xr:uid="{00000000-0005-0000-0000-0000ACDF0000}"/>
    <cellStyle name="Percent 5 2 10 2 2" xfId="28825" xr:uid="{00000000-0005-0000-0000-0000ADDF0000}"/>
    <cellStyle name="Percent 5 2 10 2 2 2" xfId="57831" xr:uid="{00000000-0005-0000-0000-0000AEDF0000}"/>
    <cellStyle name="Percent 5 2 10 2 3" xfId="43332" xr:uid="{00000000-0005-0000-0000-0000AFDF0000}"/>
    <cellStyle name="Percent 5 2 10 3" xfId="21577" xr:uid="{00000000-0005-0000-0000-0000B0DF0000}"/>
    <cellStyle name="Percent 5 2 10 3 2" xfId="50583" xr:uid="{00000000-0005-0000-0000-0000B1DF0000}"/>
    <cellStyle name="Percent 5 2 10 4" xfId="36084" xr:uid="{00000000-0005-0000-0000-0000B2DF0000}"/>
    <cellStyle name="Percent 5 2 11" xfId="8083" xr:uid="{00000000-0005-0000-0000-0000B3DF0000}"/>
    <cellStyle name="Percent 5 2 11 2" xfId="22617" xr:uid="{00000000-0005-0000-0000-0000B4DF0000}"/>
    <cellStyle name="Percent 5 2 11 2 2" xfId="51623" xr:uid="{00000000-0005-0000-0000-0000B5DF0000}"/>
    <cellStyle name="Percent 5 2 11 3" xfId="37124" xr:uid="{00000000-0005-0000-0000-0000B6DF0000}"/>
    <cellStyle name="Percent 5 2 12" xfId="15369" xr:uid="{00000000-0005-0000-0000-0000B7DF0000}"/>
    <cellStyle name="Percent 5 2 12 2" xfId="44375" xr:uid="{00000000-0005-0000-0000-0000B8DF0000}"/>
    <cellStyle name="Percent 5 2 13" xfId="29876" xr:uid="{00000000-0005-0000-0000-0000B9DF0000}"/>
    <cellStyle name="Percent 5 2 14" xfId="58851" xr:uid="{00000000-0005-0000-0000-0000BADF0000}"/>
    <cellStyle name="Percent 5 2 15" xfId="58875" xr:uid="{00000000-0005-0000-0000-0000BBDF0000}"/>
    <cellStyle name="Percent 5 2 16" xfId="58953" xr:uid="{00000000-0005-0000-0000-0000BCDF0000}"/>
    <cellStyle name="Percent 5 2 17" xfId="59101" xr:uid="{00000000-0005-0000-0000-0000BDDF0000}"/>
    <cellStyle name="Percent 5 2 2" xfId="203" xr:uid="{00000000-0005-0000-0000-0000BEDF0000}"/>
    <cellStyle name="Percent 5 2 2 10" xfId="8135" xr:uid="{00000000-0005-0000-0000-0000BFDF0000}"/>
    <cellStyle name="Percent 5 2 2 10 2" xfId="22669" xr:uid="{00000000-0005-0000-0000-0000C0DF0000}"/>
    <cellStyle name="Percent 5 2 2 10 2 2" xfId="51675" xr:uid="{00000000-0005-0000-0000-0000C1DF0000}"/>
    <cellStyle name="Percent 5 2 2 10 3" xfId="37176" xr:uid="{00000000-0005-0000-0000-0000C2DF0000}"/>
    <cellStyle name="Percent 5 2 2 11" xfId="15421" xr:uid="{00000000-0005-0000-0000-0000C3DF0000}"/>
    <cellStyle name="Percent 5 2 2 11 2" xfId="44427" xr:uid="{00000000-0005-0000-0000-0000C4DF0000}"/>
    <cellStyle name="Percent 5 2 2 12" xfId="29928" xr:uid="{00000000-0005-0000-0000-0000C5DF0000}"/>
    <cellStyle name="Percent 5 2 2 13" xfId="58903" xr:uid="{00000000-0005-0000-0000-0000C6DF0000}"/>
    <cellStyle name="Percent 5 2 2 14" xfId="59027" xr:uid="{00000000-0005-0000-0000-0000C7DF0000}"/>
    <cellStyle name="Percent 5 2 2 15" xfId="59130" xr:uid="{00000000-0005-0000-0000-0000C8DF0000}"/>
    <cellStyle name="Percent 5 2 2 2" xfId="419" xr:uid="{00000000-0005-0000-0000-0000C9DF0000}"/>
    <cellStyle name="Percent 5 2 2 2 10" xfId="30031" xr:uid="{00000000-0005-0000-0000-0000CADF0000}"/>
    <cellStyle name="Percent 5 2 2 2 11" xfId="59274" xr:uid="{00000000-0005-0000-0000-0000CBDF0000}"/>
    <cellStyle name="Percent 5 2 2 2 2" xfId="561" xr:uid="{00000000-0005-0000-0000-0000CCDF0000}"/>
    <cellStyle name="Percent 5 2 2 2 2 10" xfId="59422" xr:uid="{00000000-0005-0000-0000-0000CDDF0000}"/>
    <cellStyle name="Percent 5 2 2 2 2 2" xfId="1765" xr:uid="{00000000-0005-0000-0000-0000CEDF0000}"/>
    <cellStyle name="Percent 5 2 2 2 2 2 2" xfId="2824" xr:uid="{00000000-0005-0000-0000-0000CFDF0000}"/>
    <cellStyle name="Percent 5 2 2 2 2 2 2 2" xfId="5928" xr:uid="{00000000-0005-0000-0000-0000D0DF0000}"/>
    <cellStyle name="Percent 5 2 2 2 2 2 2 2 2" xfId="13200" xr:uid="{00000000-0005-0000-0000-0000D1DF0000}"/>
    <cellStyle name="Percent 5 2 2 2 2 2 2 2 2 2" xfId="27734" xr:uid="{00000000-0005-0000-0000-0000D2DF0000}"/>
    <cellStyle name="Percent 5 2 2 2 2 2 2 2 2 2 2" xfId="56740" xr:uid="{00000000-0005-0000-0000-0000D3DF0000}"/>
    <cellStyle name="Percent 5 2 2 2 2 2 2 2 2 3" xfId="42241" xr:uid="{00000000-0005-0000-0000-0000D4DF0000}"/>
    <cellStyle name="Percent 5 2 2 2 2 2 2 2 3" xfId="20486" xr:uid="{00000000-0005-0000-0000-0000D5DF0000}"/>
    <cellStyle name="Percent 5 2 2 2 2 2 2 2 3 2" xfId="49492" xr:uid="{00000000-0005-0000-0000-0000D6DF0000}"/>
    <cellStyle name="Percent 5 2 2 2 2 2 2 2 4" xfId="34993" xr:uid="{00000000-0005-0000-0000-0000D7DF0000}"/>
    <cellStyle name="Percent 5 2 2 2 2 2 2 3" xfId="10096" xr:uid="{00000000-0005-0000-0000-0000D8DF0000}"/>
    <cellStyle name="Percent 5 2 2 2 2 2 2 3 2" xfId="24630" xr:uid="{00000000-0005-0000-0000-0000D9DF0000}"/>
    <cellStyle name="Percent 5 2 2 2 2 2 2 3 2 2" xfId="53636" xr:uid="{00000000-0005-0000-0000-0000DADF0000}"/>
    <cellStyle name="Percent 5 2 2 2 2 2 2 3 3" xfId="39137" xr:uid="{00000000-0005-0000-0000-0000DBDF0000}"/>
    <cellStyle name="Percent 5 2 2 2 2 2 2 4" xfId="17382" xr:uid="{00000000-0005-0000-0000-0000DCDF0000}"/>
    <cellStyle name="Percent 5 2 2 2 2 2 2 4 2" xfId="46388" xr:uid="{00000000-0005-0000-0000-0000DDDF0000}"/>
    <cellStyle name="Percent 5 2 2 2 2 2 2 5" xfId="31889" xr:uid="{00000000-0005-0000-0000-0000DEDF0000}"/>
    <cellStyle name="Percent 5 2 2 2 2 2 3" xfId="3856" xr:uid="{00000000-0005-0000-0000-0000DFDF0000}"/>
    <cellStyle name="Percent 5 2 2 2 2 2 3 2" xfId="6960" xr:uid="{00000000-0005-0000-0000-0000E0DF0000}"/>
    <cellStyle name="Percent 5 2 2 2 2 2 3 2 2" xfId="14232" xr:uid="{00000000-0005-0000-0000-0000E1DF0000}"/>
    <cellStyle name="Percent 5 2 2 2 2 2 3 2 2 2" xfId="28766" xr:uid="{00000000-0005-0000-0000-0000E2DF0000}"/>
    <cellStyle name="Percent 5 2 2 2 2 2 3 2 2 2 2" xfId="57772" xr:uid="{00000000-0005-0000-0000-0000E3DF0000}"/>
    <cellStyle name="Percent 5 2 2 2 2 2 3 2 2 3" xfId="43273" xr:uid="{00000000-0005-0000-0000-0000E4DF0000}"/>
    <cellStyle name="Percent 5 2 2 2 2 2 3 2 3" xfId="21518" xr:uid="{00000000-0005-0000-0000-0000E5DF0000}"/>
    <cellStyle name="Percent 5 2 2 2 2 2 3 2 3 2" xfId="50524" xr:uid="{00000000-0005-0000-0000-0000E6DF0000}"/>
    <cellStyle name="Percent 5 2 2 2 2 2 3 2 4" xfId="36025" xr:uid="{00000000-0005-0000-0000-0000E7DF0000}"/>
    <cellStyle name="Percent 5 2 2 2 2 2 3 3" xfId="11128" xr:uid="{00000000-0005-0000-0000-0000E8DF0000}"/>
    <cellStyle name="Percent 5 2 2 2 2 2 3 3 2" xfId="25662" xr:uid="{00000000-0005-0000-0000-0000E9DF0000}"/>
    <cellStyle name="Percent 5 2 2 2 2 2 3 3 2 2" xfId="54668" xr:uid="{00000000-0005-0000-0000-0000EADF0000}"/>
    <cellStyle name="Percent 5 2 2 2 2 2 3 3 3" xfId="40169" xr:uid="{00000000-0005-0000-0000-0000EBDF0000}"/>
    <cellStyle name="Percent 5 2 2 2 2 2 3 4" xfId="18414" xr:uid="{00000000-0005-0000-0000-0000ECDF0000}"/>
    <cellStyle name="Percent 5 2 2 2 2 2 3 4 2" xfId="47420" xr:uid="{00000000-0005-0000-0000-0000EDDF0000}"/>
    <cellStyle name="Percent 5 2 2 2 2 2 3 5" xfId="32921" xr:uid="{00000000-0005-0000-0000-0000EEDF0000}"/>
    <cellStyle name="Percent 5 2 2 2 2 2 4" xfId="4888" xr:uid="{00000000-0005-0000-0000-0000EFDF0000}"/>
    <cellStyle name="Percent 5 2 2 2 2 2 4 2" xfId="12160" xr:uid="{00000000-0005-0000-0000-0000F0DF0000}"/>
    <cellStyle name="Percent 5 2 2 2 2 2 4 2 2" xfId="26694" xr:uid="{00000000-0005-0000-0000-0000F1DF0000}"/>
    <cellStyle name="Percent 5 2 2 2 2 2 4 2 2 2" xfId="55700" xr:uid="{00000000-0005-0000-0000-0000F2DF0000}"/>
    <cellStyle name="Percent 5 2 2 2 2 2 4 2 3" xfId="41201" xr:uid="{00000000-0005-0000-0000-0000F3DF0000}"/>
    <cellStyle name="Percent 5 2 2 2 2 2 4 3" xfId="19446" xr:uid="{00000000-0005-0000-0000-0000F4DF0000}"/>
    <cellStyle name="Percent 5 2 2 2 2 2 4 3 2" xfId="48452" xr:uid="{00000000-0005-0000-0000-0000F5DF0000}"/>
    <cellStyle name="Percent 5 2 2 2 2 2 4 4" xfId="33953" xr:uid="{00000000-0005-0000-0000-0000F6DF0000}"/>
    <cellStyle name="Percent 5 2 2 2 2 2 5" xfId="7992" xr:uid="{00000000-0005-0000-0000-0000F7DF0000}"/>
    <cellStyle name="Percent 5 2 2 2 2 2 5 2" xfId="15264" xr:uid="{00000000-0005-0000-0000-0000F8DF0000}"/>
    <cellStyle name="Percent 5 2 2 2 2 2 5 2 2" xfId="29798" xr:uid="{00000000-0005-0000-0000-0000F9DF0000}"/>
    <cellStyle name="Percent 5 2 2 2 2 2 5 2 2 2" xfId="58804" xr:uid="{00000000-0005-0000-0000-0000FADF0000}"/>
    <cellStyle name="Percent 5 2 2 2 2 2 5 2 3" xfId="44305" xr:uid="{00000000-0005-0000-0000-0000FBDF0000}"/>
    <cellStyle name="Percent 5 2 2 2 2 2 5 3" xfId="22550" xr:uid="{00000000-0005-0000-0000-0000FCDF0000}"/>
    <cellStyle name="Percent 5 2 2 2 2 2 5 3 2" xfId="51556" xr:uid="{00000000-0005-0000-0000-0000FDDF0000}"/>
    <cellStyle name="Percent 5 2 2 2 2 2 5 4" xfId="37057" xr:uid="{00000000-0005-0000-0000-0000FEDF0000}"/>
    <cellStyle name="Percent 5 2 2 2 2 2 6" xfId="9056" xr:uid="{00000000-0005-0000-0000-0000FFDF0000}"/>
    <cellStyle name="Percent 5 2 2 2 2 2 6 2" xfId="23590" xr:uid="{00000000-0005-0000-0000-000000E00000}"/>
    <cellStyle name="Percent 5 2 2 2 2 2 6 2 2" xfId="52596" xr:uid="{00000000-0005-0000-0000-000001E00000}"/>
    <cellStyle name="Percent 5 2 2 2 2 2 6 3" xfId="38097" xr:uid="{00000000-0005-0000-0000-000002E00000}"/>
    <cellStyle name="Percent 5 2 2 2 2 2 7" xfId="16342" xr:uid="{00000000-0005-0000-0000-000003E00000}"/>
    <cellStyle name="Percent 5 2 2 2 2 2 7 2" xfId="45348" xr:uid="{00000000-0005-0000-0000-000004E00000}"/>
    <cellStyle name="Percent 5 2 2 2 2 2 8" xfId="30849" xr:uid="{00000000-0005-0000-0000-000005E00000}"/>
    <cellStyle name="Percent 5 2 2 2 2 3" xfId="2312" xr:uid="{00000000-0005-0000-0000-000006E00000}"/>
    <cellStyle name="Percent 5 2 2 2 2 3 2" xfId="5416" xr:uid="{00000000-0005-0000-0000-000007E00000}"/>
    <cellStyle name="Percent 5 2 2 2 2 3 2 2" xfId="12688" xr:uid="{00000000-0005-0000-0000-000008E00000}"/>
    <cellStyle name="Percent 5 2 2 2 2 3 2 2 2" xfId="27222" xr:uid="{00000000-0005-0000-0000-000009E00000}"/>
    <cellStyle name="Percent 5 2 2 2 2 3 2 2 2 2" xfId="56228" xr:uid="{00000000-0005-0000-0000-00000AE00000}"/>
    <cellStyle name="Percent 5 2 2 2 2 3 2 2 3" xfId="41729" xr:uid="{00000000-0005-0000-0000-00000BE00000}"/>
    <cellStyle name="Percent 5 2 2 2 2 3 2 3" xfId="19974" xr:uid="{00000000-0005-0000-0000-00000CE00000}"/>
    <cellStyle name="Percent 5 2 2 2 2 3 2 3 2" xfId="48980" xr:uid="{00000000-0005-0000-0000-00000DE00000}"/>
    <cellStyle name="Percent 5 2 2 2 2 3 2 4" xfId="34481" xr:uid="{00000000-0005-0000-0000-00000EE00000}"/>
    <cellStyle name="Percent 5 2 2 2 2 3 3" xfId="9584" xr:uid="{00000000-0005-0000-0000-00000FE00000}"/>
    <cellStyle name="Percent 5 2 2 2 2 3 3 2" xfId="24118" xr:uid="{00000000-0005-0000-0000-000010E00000}"/>
    <cellStyle name="Percent 5 2 2 2 2 3 3 2 2" xfId="53124" xr:uid="{00000000-0005-0000-0000-000011E00000}"/>
    <cellStyle name="Percent 5 2 2 2 2 3 3 3" xfId="38625" xr:uid="{00000000-0005-0000-0000-000012E00000}"/>
    <cellStyle name="Percent 5 2 2 2 2 3 4" xfId="16870" xr:uid="{00000000-0005-0000-0000-000013E00000}"/>
    <cellStyle name="Percent 5 2 2 2 2 3 4 2" xfId="45876" xr:uid="{00000000-0005-0000-0000-000014E00000}"/>
    <cellStyle name="Percent 5 2 2 2 2 3 5" xfId="31377" xr:uid="{00000000-0005-0000-0000-000015E00000}"/>
    <cellStyle name="Percent 5 2 2 2 2 4" xfId="3344" xr:uid="{00000000-0005-0000-0000-000016E00000}"/>
    <cellStyle name="Percent 5 2 2 2 2 4 2" xfId="6448" xr:uid="{00000000-0005-0000-0000-000017E00000}"/>
    <cellStyle name="Percent 5 2 2 2 2 4 2 2" xfId="13720" xr:uid="{00000000-0005-0000-0000-000018E00000}"/>
    <cellStyle name="Percent 5 2 2 2 2 4 2 2 2" xfId="28254" xr:uid="{00000000-0005-0000-0000-000019E00000}"/>
    <cellStyle name="Percent 5 2 2 2 2 4 2 2 2 2" xfId="57260" xr:uid="{00000000-0005-0000-0000-00001AE00000}"/>
    <cellStyle name="Percent 5 2 2 2 2 4 2 2 3" xfId="42761" xr:uid="{00000000-0005-0000-0000-00001BE00000}"/>
    <cellStyle name="Percent 5 2 2 2 2 4 2 3" xfId="21006" xr:uid="{00000000-0005-0000-0000-00001CE00000}"/>
    <cellStyle name="Percent 5 2 2 2 2 4 2 3 2" xfId="50012" xr:uid="{00000000-0005-0000-0000-00001DE00000}"/>
    <cellStyle name="Percent 5 2 2 2 2 4 2 4" xfId="35513" xr:uid="{00000000-0005-0000-0000-00001EE00000}"/>
    <cellStyle name="Percent 5 2 2 2 2 4 3" xfId="10616" xr:uid="{00000000-0005-0000-0000-00001FE00000}"/>
    <cellStyle name="Percent 5 2 2 2 2 4 3 2" xfId="25150" xr:uid="{00000000-0005-0000-0000-000020E00000}"/>
    <cellStyle name="Percent 5 2 2 2 2 4 3 2 2" xfId="54156" xr:uid="{00000000-0005-0000-0000-000021E00000}"/>
    <cellStyle name="Percent 5 2 2 2 2 4 3 3" xfId="39657" xr:uid="{00000000-0005-0000-0000-000022E00000}"/>
    <cellStyle name="Percent 5 2 2 2 2 4 4" xfId="17902" xr:uid="{00000000-0005-0000-0000-000023E00000}"/>
    <cellStyle name="Percent 5 2 2 2 2 4 4 2" xfId="46908" xr:uid="{00000000-0005-0000-0000-000024E00000}"/>
    <cellStyle name="Percent 5 2 2 2 2 4 5" xfId="32409" xr:uid="{00000000-0005-0000-0000-000025E00000}"/>
    <cellStyle name="Percent 5 2 2 2 2 5" xfId="4376" xr:uid="{00000000-0005-0000-0000-000026E00000}"/>
    <cellStyle name="Percent 5 2 2 2 2 5 2" xfId="11648" xr:uid="{00000000-0005-0000-0000-000027E00000}"/>
    <cellStyle name="Percent 5 2 2 2 2 5 2 2" xfId="26182" xr:uid="{00000000-0005-0000-0000-000028E00000}"/>
    <cellStyle name="Percent 5 2 2 2 2 5 2 2 2" xfId="55188" xr:uid="{00000000-0005-0000-0000-000029E00000}"/>
    <cellStyle name="Percent 5 2 2 2 2 5 2 3" xfId="40689" xr:uid="{00000000-0005-0000-0000-00002AE00000}"/>
    <cellStyle name="Percent 5 2 2 2 2 5 3" xfId="18934" xr:uid="{00000000-0005-0000-0000-00002BE00000}"/>
    <cellStyle name="Percent 5 2 2 2 2 5 3 2" xfId="47940" xr:uid="{00000000-0005-0000-0000-00002CE00000}"/>
    <cellStyle name="Percent 5 2 2 2 2 5 4" xfId="33441" xr:uid="{00000000-0005-0000-0000-00002DE00000}"/>
    <cellStyle name="Percent 5 2 2 2 2 6" xfId="7480" xr:uid="{00000000-0005-0000-0000-00002EE00000}"/>
    <cellStyle name="Percent 5 2 2 2 2 6 2" xfId="14752" xr:uid="{00000000-0005-0000-0000-00002FE00000}"/>
    <cellStyle name="Percent 5 2 2 2 2 6 2 2" xfId="29286" xr:uid="{00000000-0005-0000-0000-000030E00000}"/>
    <cellStyle name="Percent 5 2 2 2 2 6 2 2 2" xfId="58292" xr:uid="{00000000-0005-0000-0000-000031E00000}"/>
    <cellStyle name="Percent 5 2 2 2 2 6 2 3" xfId="43793" xr:uid="{00000000-0005-0000-0000-000032E00000}"/>
    <cellStyle name="Percent 5 2 2 2 2 6 3" xfId="22038" xr:uid="{00000000-0005-0000-0000-000033E00000}"/>
    <cellStyle name="Percent 5 2 2 2 2 6 3 2" xfId="51044" xr:uid="{00000000-0005-0000-0000-000034E00000}"/>
    <cellStyle name="Percent 5 2 2 2 2 6 4" xfId="36545" xr:uid="{00000000-0005-0000-0000-000035E00000}"/>
    <cellStyle name="Percent 5 2 2 2 2 7" xfId="8544" xr:uid="{00000000-0005-0000-0000-000036E00000}"/>
    <cellStyle name="Percent 5 2 2 2 2 7 2" xfId="23078" xr:uid="{00000000-0005-0000-0000-000037E00000}"/>
    <cellStyle name="Percent 5 2 2 2 2 7 2 2" xfId="52084" xr:uid="{00000000-0005-0000-0000-000038E00000}"/>
    <cellStyle name="Percent 5 2 2 2 2 7 3" xfId="37585" xr:uid="{00000000-0005-0000-0000-000039E00000}"/>
    <cellStyle name="Percent 5 2 2 2 2 8" xfId="15830" xr:uid="{00000000-0005-0000-0000-00003AE00000}"/>
    <cellStyle name="Percent 5 2 2 2 2 8 2" xfId="44836" xr:uid="{00000000-0005-0000-0000-00003BE00000}"/>
    <cellStyle name="Percent 5 2 2 2 2 9" xfId="30337" xr:uid="{00000000-0005-0000-0000-00003CE00000}"/>
    <cellStyle name="Percent 5 2 2 2 3" xfId="1460" xr:uid="{00000000-0005-0000-0000-00003DE00000}"/>
    <cellStyle name="Percent 5 2 2 2 3 2" xfId="2518" xr:uid="{00000000-0005-0000-0000-00003EE00000}"/>
    <cellStyle name="Percent 5 2 2 2 3 2 2" xfId="5622" xr:uid="{00000000-0005-0000-0000-00003FE00000}"/>
    <cellStyle name="Percent 5 2 2 2 3 2 2 2" xfId="12894" xr:uid="{00000000-0005-0000-0000-000040E00000}"/>
    <cellStyle name="Percent 5 2 2 2 3 2 2 2 2" xfId="27428" xr:uid="{00000000-0005-0000-0000-000041E00000}"/>
    <cellStyle name="Percent 5 2 2 2 3 2 2 2 2 2" xfId="56434" xr:uid="{00000000-0005-0000-0000-000042E00000}"/>
    <cellStyle name="Percent 5 2 2 2 3 2 2 2 3" xfId="41935" xr:uid="{00000000-0005-0000-0000-000043E00000}"/>
    <cellStyle name="Percent 5 2 2 2 3 2 2 3" xfId="20180" xr:uid="{00000000-0005-0000-0000-000044E00000}"/>
    <cellStyle name="Percent 5 2 2 2 3 2 2 3 2" xfId="49186" xr:uid="{00000000-0005-0000-0000-000045E00000}"/>
    <cellStyle name="Percent 5 2 2 2 3 2 2 4" xfId="34687" xr:uid="{00000000-0005-0000-0000-000046E00000}"/>
    <cellStyle name="Percent 5 2 2 2 3 2 3" xfId="9790" xr:uid="{00000000-0005-0000-0000-000047E00000}"/>
    <cellStyle name="Percent 5 2 2 2 3 2 3 2" xfId="24324" xr:uid="{00000000-0005-0000-0000-000048E00000}"/>
    <cellStyle name="Percent 5 2 2 2 3 2 3 2 2" xfId="53330" xr:uid="{00000000-0005-0000-0000-000049E00000}"/>
    <cellStyle name="Percent 5 2 2 2 3 2 3 3" xfId="38831" xr:uid="{00000000-0005-0000-0000-00004AE00000}"/>
    <cellStyle name="Percent 5 2 2 2 3 2 4" xfId="17076" xr:uid="{00000000-0005-0000-0000-00004BE00000}"/>
    <cellStyle name="Percent 5 2 2 2 3 2 4 2" xfId="46082" xr:uid="{00000000-0005-0000-0000-00004CE00000}"/>
    <cellStyle name="Percent 5 2 2 2 3 2 5" xfId="31583" xr:uid="{00000000-0005-0000-0000-00004DE00000}"/>
    <cellStyle name="Percent 5 2 2 2 3 3" xfId="3550" xr:uid="{00000000-0005-0000-0000-00004EE00000}"/>
    <cellStyle name="Percent 5 2 2 2 3 3 2" xfId="6654" xr:uid="{00000000-0005-0000-0000-00004FE00000}"/>
    <cellStyle name="Percent 5 2 2 2 3 3 2 2" xfId="13926" xr:uid="{00000000-0005-0000-0000-000050E00000}"/>
    <cellStyle name="Percent 5 2 2 2 3 3 2 2 2" xfId="28460" xr:uid="{00000000-0005-0000-0000-000051E00000}"/>
    <cellStyle name="Percent 5 2 2 2 3 3 2 2 2 2" xfId="57466" xr:uid="{00000000-0005-0000-0000-000052E00000}"/>
    <cellStyle name="Percent 5 2 2 2 3 3 2 2 3" xfId="42967" xr:uid="{00000000-0005-0000-0000-000053E00000}"/>
    <cellStyle name="Percent 5 2 2 2 3 3 2 3" xfId="21212" xr:uid="{00000000-0005-0000-0000-000054E00000}"/>
    <cellStyle name="Percent 5 2 2 2 3 3 2 3 2" xfId="50218" xr:uid="{00000000-0005-0000-0000-000055E00000}"/>
    <cellStyle name="Percent 5 2 2 2 3 3 2 4" xfId="35719" xr:uid="{00000000-0005-0000-0000-000056E00000}"/>
    <cellStyle name="Percent 5 2 2 2 3 3 3" xfId="10822" xr:uid="{00000000-0005-0000-0000-000057E00000}"/>
    <cellStyle name="Percent 5 2 2 2 3 3 3 2" xfId="25356" xr:uid="{00000000-0005-0000-0000-000058E00000}"/>
    <cellStyle name="Percent 5 2 2 2 3 3 3 2 2" xfId="54362" xr:uid="{00000000-0005-0000-0000-000059E00000}"/>
    <cellStyle name="Percent 5 2 2 2 3 3 3 3" xfId="39863" xr:uid="{00000000-0005-0000-0000-00005AE00000}"/>
    <cellStyle name="Percent 5 2 2 2 3 3 4" xfId="18108" xr:uid="{00000000-0005-0000-0000-00005BE00000}"/>
    <cellStyle name="Percent 5 2 2 2 3 3 4 2" xfId="47114" xr:uid="{00000000-0005-0000-0000-00005CE00000}"/>
    <cellStyle name="Percent 5 2 2 2 3 3 5" xfId="32615" xr:uid="{00000000-0005-0000-0000-00005DE00000}"/>
    <cellStyle name="Percent 5 2 2 2 3 4" xfId="4582" xr:uid="{00000000-0005-0000-0000-00005EE00000}"/>
    <cellStyle name="Percent 5 2 2 2 3 4 2" xfId="11854" xr:uid="{00000000-0005-0000-0000-00005FE00000}"/>
    <cellStyle name="Percent 5 2 2 2 3 4 2 2" xfId="26388" xr:uid="{00000000-0005-0000-0000-000060E00000}"/>
    <cellStyle name="Percent 5 2 2 2 3 4 2 2 2" xfId="55394" xr:uid="{00000000-0005-0000-0000-000061E00000}"/>
    <cellStyle name="Percent 5 2 2 2 3 4 2 3" xfId="40895" xr:uid="{00000000-0005-0000-0000-000062E00000}"/>
    <cellStyle name="Percent 5 2 2 2 3 4 3" xfId="19140" xr:uid="{00000000-0005-0000-0000-000063E00000}"/>
    <cellStyle name="Percent 5 2 2 2 3 4 3 2" xfId="48146" xr:uid="{00000000-0005-0000-0000-000064E00000}"/>
    <cellStyle name="Percent 5 2 2 2 3 4 4" xfId="33647" xr:uid="{00000000-0005-0000-0000-000065E00000}"/>
    <cellStyle name="Percent 5 2 2 2 3 5" xfId="7686" xr:uid="{00000000-0005-0000-0000-000066E00000}"/>
    <cellStyle name="Percent 5 2 2 2 3 5 2" xfId="14958" xr:uid="{00000000-0005-0000-0000-000067E00000}"/>
    <cellStyle name="Percent 5 2 2 2 3 5 2 2" xfId="29492" xr:uid="{00000000-0005-0000-0000-000068E00000}"/>
    <cellStyle name="Percent 5 2 2 2 3 5 2 2 2" xfId="58498" xr:uid="{00000000-0005-0000-0000-000069E00000}"/>
    <cellStyle name="Percent 5 2 2 2 3 5 2 3" xfId="43999" xr:uid="{00000000-0005-0000-0000-00006AE00000}"/>
    <cellStyle name="Percent 5 2 2 2 3 5 3" xfId="22244" xr:uid="{00000000-0005-0000-0000-00006BE00000}"/>
    <cellStyle name="Percent 5 2 2 2 3 5 3 2" xfId="51250" xr:uid="{00000000-0005-0000-0000-00006CE00000}"/>
    <cellStyle name="Percent 5 2 2 2 3 5 4" xfId="36751" xr:uid="{00000000-0005-0000-0000-00006DE00000}"/>
    <cellStyle name="Percent 5 2 2 2 3 6" xfId="8750" xr:uid="{00000000-0005-0000-0000-00006EE00000}"/>
    <cellStyle name="Percent 5 2 2 2 3 6 2" xfId="23284" xr:uid="{00000000-0005-0000-0000-00006FE00000}"/>
    <cellStyle name="Percent 5 2 2 2 3 6 2 2" xfId="52290" xr:uid="{00000000-0005-0000-0000-000070E00000}"/>
    <cellStyle name="Percent 5 2 2 2 3 6 3" xfId="37791" xr:uid="{00000000-0005-0000-0000-000071E00000}"/>
    <cellStyle name="Percent 5 2 2 2 3 7" xfId="16036" xr:uid="{00000000-0005-0000-0000-000072E00000}"/>
    <cellStyle name="Percent 5 2 2 2 3 7 2" xfId="45042" xr:uid="{00000000-0005-0000-0000-000073E00000}"/>
    <cellStyle name="Percent 5 2 2 2 3 8" xfId="30543" xr:uid="{00000000-0005-0000-0000-000074E00000}"/>
    <cellStyle name="Percent 5 2 2 2 4" xfId="2006" xr:uid="{00000000-0005-0000-0000-000075E00000}"/>
    <cellStyle name="Percent 5 2 2 2 4 2" xfId="5110" xr:uid="{00000000-0005-0000-0000-000076E00000}"/>
    <cellStyle name="Percent 5 2 2 2 4 2 2" xfId="12382" xr:uid="{00000000-0005-0000-0000-000077E00000}"/>
    <cellStyle name="Percent 5 2 2 2 4 2 2 2" xfId="26916" xr:uid="{00000000-0005-0000-0000-000078E00000}"/>
    <cellStyle name="Percent 5 2 2 2 4 2 2 2 2" xfId="55922" xr:uid="{00000000-0005-0000-0000-000079E00000}"/>
    <cellStyle name="Percent 5 2 2 2 4 2 2 3" xfId="41423" xr:uid="{00000000-0005-0000-0000-00007AE00000}"/>
    <cellStyle name="Percent 5 2 2 2 4 2 3" xfId="19668" xr:uid="{00000000-0005-0000-0000-00007BE00000}"/>
    <cellStyle name="Percent 5 2 2 2 4 2 3 2" xfId="48674" xr:uid="{00000000-0005-0000-0000-00007CE00000}"/>
    <cellStyle name="Percent 5 2 2 2 4 2 4" xfId="34175" xr:uid="{00000000-0005-0000-0000-00007DE00000}"/>
    <cellStyle name="Percent 5 2 2 2 4 3" xfId="9278" xr:uid="{00000000-0005-0000-0000-00007EE00000}"/>
    <cellStyle name="Percent 5 2 2 2 4 3 2" xfId="23812" xr:uid="{00000000-0005-0000-0000-00007FE00000}"/>
    <cellStyle name="Percent 5 2 2 2 4 3 2 2" xfId="52818" xr:uid="{00000000-0005-0000-0000-000080E00000}"/>
    <cellStyle name="Percent 5 2 2 2 4 3 3" xfId="38319" xr:uid="{00000000-0005-0000-0000-000081E00000}"/>
    <cellStyle name="Percent 5 2 2 2 4 4" xfId="16564" xr:uid="{00000000-0005-0000-0000-000082E00000}"/>
    <cellStyle name="Percent 5 2 2 2 4 4 2" xfId="45570" xr:uid="{00000000-0005-0000-0000-000083E00000}"/>
    <cellStyle name="Percent 5 2 2 2 4 5" xfId="31071" xr:uid="{00000000-0005-0000-0000-000084E00000}"/>
    <cellStyle name="Percent 5 2 2 2 5" xfId="3038" xr:uid="{00000000-0005-0000-0000-000085E00000}"/>
    <cellStyle name="Percent 5 2 2 2 5 2" xfId="6142" xr:uid="{00000000-0005-0000-0000-000086E00000}"/>
    <cellStyle name="Percent 5 2 2 2 5 2 2" xfId="13414" xr:uid="{00000000-0005-0000-0000-000087E00000}"/>
    <cellStyle name="Percent 5 2 2 2 5 2 2 2" xfId="27948" xr:uid="{00000000-0005-0000-0000-000088E00000}"/>
    <cellStyle name="Percent 5 2 2 2 5 2 2 2 2" xfId="56954" xr:uid="{00000000-0005-0000-0000-000089E00000}"/>
    <cellStyle name="Percent 5 2 2 2 5 2 2 3" xfId="42455" xr:uid="{00000000-0005-0000-0000-00008AE00000}"/>
    <cellStyle name="Percent 5 2 2 2 5 2 3" xfId="20700" xr:uid="{00000000-0005-0000-0000-00008BE00000}"/>
    <cellStyle name="Percent 5 2 2 2 5 2 3 2" xfId="49706" xr:uid="{00000000-0005-0000-0000-00008CE00000}"/>
    <cellStyle name="Percent 5 2 2 2 5 2 4" xfId="35207" xr:uid="{00000000-0005-0000-0000-00008DE00000}"/>
    <cellStyle name="Percent 5 2 2 2 5 3" xfId="10310" xr:uid="{00000000-0005-0000-0000-00008EE00000}"/>
    <cellStyle name="Percent 5 2 2 2 5 3 2" xfId="24844" xr:uid="{00000000-0005-0000-0000-00008FE00000}"/>
    <cellStyle name="Percent 5 2 2 2 5 3 2 2" xfId="53850" xr:uid="{00000000-0005-0000-0000-000090E00000}"/>
    <cellStyle name="Percent 5 2 2 2 5 3 3" xfId="39351" xr:uid="{00000000-0005-0000-0000-000091E00000}"/>
    <cellStyle name="Percent 5 2 2 2 5 4" xfId="17596" xr:uid="{00000000-0005-0000-0000-000092E00000}"/>
    <cellStyle name="Percent 5 2 2 2 5 4 2" xfId="46602" xr:uid="{00000000-0005-0000-0000-000093E00000}"/>
    <cellStyle name="Percent 5 2 2 2 5 5" xfId="32103" xr:uid="{00000000-0005-0000-0000-000094E00000}"/>
    <cellStyle name="Percent 5 2 2 2 6" xfId="4070" xr:uid="{00000000-0005-0000-0000-000095E00000}"/>
    <cellStyle name="Percent 5 2 2 2 6 2" xfId="11342" xr:uid="{00000000-0005-0000-0000-000096E00000}"/>
    <cellStyle name="Percent 5 2 2 2 6 2 2" xfId="25876" xr:uid="{00000000-0005-0000-0000-000097E00000}"/>
    <cellStyle name="Percent 5 2 2 2 6 2 2 2" xfId="54882" xr:uid="{00000000-0005-0000-0000-000098E00000}"/>
    <cellStyle name="Percent 5 2 2 2 6 2 3" xfId="40383" xr:uid="{00000000-0005-0000-0000-000099E00000}"/>
    <cellStyle name="Percent 5 2 2 2 6 3" xfId="18628" xr:uid="{00000000-0005-0000-0000-00009AE00000}"/>
    <cellStyle name="Percent 5 2 2 2 6 3 2" xfId="47634" xr:uid="{00000000-0005-0000-0000-00009BE00000}"/>
    <cellStyle name="Percent 5 2 2 2 6 4" xfId="33135" xr:uid="{00000000-0005-0000-0000-00009CE00000}"/>
    <cellStyle name="Percent 5 2 2 2 7" xfId="7174" xr:uid="{00000000-0005-0000-0000-00009DE00000}"/>
    <cellStyle name="Percent 5 2 2 2 7 2" xfId="14446" xr:uid="{00000000-0005-0000-0000-00009EE00000}"/>
    <cellStyle name="Percent 5 2 2 2 7 2 2" xfId="28980" xr:uid="{00000000-0005-0000-0000-00009FE00000}"/>
    <cellStyle name="Percent 5 2 2 2 7 2 2 2" xfId="57986" xr:uid="{00000000-0005-0000-0000-0000A0E00000}"/>
    <cellStyle name="Percent 5 2 2 2 7 2 3" xfId="43487" xr:uid="{00000000-0005-0000-0000-0000A1E00000}"/>
    <cellStyle name="Percent 5 2 2 2 7 3" xfId="21732" xr:uid="{00000000-0005-0000-0000-0000A2E00000}"/>
    <cellStyle name="Percent 5 2 2 2 7 3 2" xfId="50738" xr:uid="{00000000-0005-0000-0000-0000A3E00000}"/>
    <cellStyle name="Percent 5 2 2 2 7 4" xfId="36239" xr:uid="{00000000-0005-0000-0000-0000A4E00000}"/>
    <cellStyle name="Percent 5 2 2 2 8" xfId="8238" xr:uid="{00000000-0005-0000-0000-0000A5E00000}"/>
    <cellStyle name="Percent 5 2 2 2 8 2" xfId="22772" xr:uid="{00000000-0005-0000-0000-0000A6E00000}"/>
    <cellStyle name="Percent 5 2 2 2 8 2 2" xfId="51778" xr:uid="{00000000-0005-0000-0000-0000A7E00000}"/>
    <cellStyle name="Percent 5 2 2 2 8 3" xfId="37279" xr:uid="{00000000-0005-0000-0000-0000A8E00000}"/>
    <cellStyle name="Percent 5 2 2 2 9" xfId="15524" xr:uid="{00000000-0005-0000-0000-0000A9E00000}"/>
    <cellStyle name="Percent 5 2 2 2 9 2" xfId="44530" xr:uid="{00000000-0005-0000-0000-0000AAE00000}"/>
    <cellStyle name="Percent 5 2 2 3" xfId="491" xr:uid="{00000000-0005-0000-0000-0000ABE00000}"/>
    <cellStyle name="Percent 5 2 2 3 10" xfId="59350" xr:uid="{00000000-0005-0000-0000-0000ACE00000}"/>
    <cellStyle name="Percent 5 2 2 3 2" xfId="1662" xr:uid="{00000000-0005-0000-0000-0000ADE00000}"/>
    <cellStyle name="Percent 5 2 2 3 2 2" xfId="2721" xr:uid="{00000000-0005-0000-0000-0000AEE00000}"/>
    <cellStyle name="Percent 5 2 2 3 2 2 2" xfId="5825" xr:uid="{00000000-0005-0000-0000-0000AFE00000}"/>
    <cellStyle name="Percent 5 2 2 3 2 2 2 2" xfId="13097" xr:uid="{00000000-0005-0000-0000-0000B0E00000}"/>
    <cellStyle name="Percent 5 2 2 3 2 2 2 2 2" xfId="27631" xr:uid="{00000000-0005-0000-0000-0000B1E00000}"/>
    <cellStyle name="Percent 5 2 2 3 2 2 2 2 2 2" xfId="56637" xr:uid="{00000000-0005-0000-0000-0000B2E00000}"/>
    <cellStyle name="Percent 5 2 2 3 2 2 2 2 3" xfId="42138" xr:uid="{00000000-0005-0000-0000-0000B3E00000}"/>
    <cellStyle name="Percent 5 2 2 3 2 2 2 3" xfId="20383" xr:uid="{00000000-0005-0000-0000-0000B4E00000}"/>
    <cellStyle name="Percent 5 2 2 3 2 2 2 3 2" xfId="49389" xr:uid="{00000000-0005-0000-0000-0000B5E00000}"/>
    <cellStyle name="Percent 5 2 2 3 2 2 2 4" xfId="34890" xr:uid="{00000000-0005-0000-0000-0000B6E00000}"/>
    <cellStyle name="Percent 5 2 2 3 2 2 3" xfId="9993" xr:uid="{00000000-0005-0000-0000-0000B7E00000}"/>
    <cellStyle name="Percent 5 2 2 3 2 2 3 2" xfId="24527" xr:uid="{00000000-0005-0000-0000-0000B8E00000}"/>
    <cellStyle name="Percent 5 2 2 3 2 2 3 2 2" xfId="53533" xr:uid="{00000000-0005-0000-0000-0000B9E00000}"/>
    <cellStyle name="Percent 5 2 2 3 2 2 3 3" xfId="39034" xr:uid="{00000000-0005-0000-0000-0000BAE00000}"/>
    <cellStyle name="Percent 5 2 2 3 2 2 4" xfId="17279" xr:uid="{00000000-0005-0000-0000-0000BBE00000}"/>
    <cellStyle name="Percent 5 2 2 3 2 2 4 2" xfId="46285" xr:uid="{00000000-0005-0000-0000-0000BCE00000}"/>
    <cellStyle name="Percent 5 2 2 3 2 2 5" xfId="31786" xr:uid="{00000000-0005-0000-0000-0000BDE00000}"/>
    <cellStyle name="Percent 5 2 2 3 2 3" xfId="3753" xr:uid="{00000000-0005-0000-0000-0000BEE00000}"/>
    <cellStyle name="Percent 5 2 2 3 2 3 2" xfId="6857" xr:uid="{00000000-0005-0000-0000-0000BFE00000}"/>
    <cellStyle name="Percent 5 2 2 3 2 3 2 2" xfId="14129" xr:uid="{00000000-0005-0000-0000-0000C0E00000}"/>
    <cellStyle name="Percent 5 2 2 3 2 3 2 2 2" xfId="28663" xr:uid="{00000000-0005-0000-0000-0000C1E00000}"/>
    <cellStyle name="Percent 5 2 2 3 2 3 2 2 2 2" xfId="57669" xr:uid="{00000000-0005-0000-0000-0000C2E00000}"/>
    <cellStyle name="Percent 5 2 2 3 2 3 2 2 3" xfId="43170" xr:uid="{00000000-0005-0000-0000-0000C3E00000}"/>
    <cellStyle name="Percent 5 2 2 3 2 3 2 3" xfId="21415" xr:uid="{00000000-0005-0000-0000-0000C4E00000}"/>
    <cellStyle name="Percent 5 2 2 3 2 3 2 3 2" xfId="50421" xr:uid="{00000000-0005-0000-0000-0000C5E00000}"/>
    <cellStyle name="Percent 5 2 2 3 2 3 2 4" xfId="35922" xr:uid="{00000000-0005-0000-0000-0000C6E00000}"/>
    <cellStyle name="Percent 5 2 2 3 2 3 3" xfId="11025" xr:uid="{00000000-0005-0000-0000-0000C7E00000}"/>
    <cellStyle name="Percent 5 2 2 3 2 3 3 2" xfId="25559" xr:uid="{00000000-0005-0000-0000-0000C8E00000}"/>
    <cellStyle name="Percent 5 2 2 3 2 3 3 2 2" xfId="54565" xr:uid="{00000000-0005-0000-0000-0000C9E00000}"/>
    <cellStyle name="Percent 5 2 2 3 2 3 3 3" xfId="40066" xr:uid="{00000000-0005-0000-0000-0000CAE00000}"/>
    <cellStyle name="Percent 5 2 2 3 2 3 4" xfId="18311" xr:uid="{00000000-0005-0000-0000-0000CBE00000}"/>
    <cellStyle name="Percent 5 2 2 3 2 3 4 2" xfId="47317" xr:uid="{00000000-0005-0000-0000-0000CCE00000}"/>
    <cellStyle name="Percent 5 2 2 3 2 3 5" xfId="32818" xr:uid="{00000000-0005-0000-0000-0000CDE00000}"/>
    <cellStyle name="Percent 5 2 2 3 2 4" xfId="4785" xr:uid="{00000000-0005-0000-0000-0000CEE00000}"/>
    <cellStyle name="Percent 5 2 2 3 2 4 2" xfId="12057" xr:uid="{00000000-0005-0000-0000-0000CFE00000}"/>
    <cellStyle name="Percent 5 2 2 3 2 4 2 2" xfId="26591" xr:uid="{00000000-0005-0000-0000-0000D0E00000}"/>
    <cellStyle name="Percent 5 2 2 3 2 4 2 2 2" xfId="55597" xr:uid="{00000000-0005-0000-0000-0000D1E00000}"/>
    <cellStyle name="Percent 5 2 2 3 2 4 2 3" xfId="41098" xr:uid="{00000000-0005-0000-0000-0000D2E00000}"/>
    <cellStyle name="Percent 5 2 2 3 2 4 3" xfId="19343" xr:uid="{00000000-0005-0000-0000-0000D3E00000}"/>
    <cellStyle name="Percent 5 2 2 3 2 4 3 2" xfId="48349" xr:uid="{00000000-0005-0000-0000-0000D4E00000}"/>
    <cellStyle name="Percent 5 2 2 3 2 4 4" xfId="33850" xr:uid="{00000000-0005-0000-0000-0000D5E00000}"/>
    <cellStyle name="Percent 5 2 2 3 2 5" xfId="7889" xr:uid="{00000000-0005-0000-0000-0000D6E00000}"/>
    <cellStyle name="Percent 5 2 2 3 2 5 2" xfId="15161" xr:uid="{00000000-0005-0000-0000-0000D7E00000}"/>
    <cellStyle name="Percent 5 2 2 3 2 5 2 2" xfId="29695" xr:uid="{00000000-0005-0000-0000-0000D8E00000}"/>
    <cellStyle name="Percent 5 2 2 3 2 5 2 2 2" xfId="58701" xr:uid="{00000000-0005-0000-0000-0000D9E00000}"/>
    <cellStyle name="Percent 5 2 2 3 2 5 2 3" xfId="44202" xr:uid="{00000000-0005-0000-0000-0000DAE00000}"/>
    <cellStyle name="Percent 5 2 2 3 2 5 3" xfId="22447" xr:uid="{00000000-0005-0000-0000-0000DBE00000}"/>
    <cellStyle name="Percent 5 2 2 3 2 5 3 2" xfId="51453" xr:uid="{00000000-0005-0000-0000-0000DCE00000}"/>
    <cellStyle name="Percent 5 2 2 3 2 5 4" xfId="36954" xr:uid="{00000000-0005-0000-0000-0000DDE00000}"/>
    <cellStyle name="Percent 5 2 2 3 2 6" xfId="8953" xr:uid="{00000000-0005-0000-0000-0000DEE00000}"/>
    <cellStyle name="Percent 5 2 2 3 2 6 2" xfId="23487" xr:uid="{00000000-0005-0000-0000-0000DFE00000}"/>
    <cellStyle name="Percent 5 2 2 3 2 6 2 2" xfId="52493" xr:uid="{00000000-0005-0000-0000-0000E0E00000}"/>
    <cellStyle name="Percent 5 2 2 3 2 6 3" xfId="37994" xr:uid="{00000000-0005-0000-0000-0000E1E00000}"/>
    <cellStyle name="Percent 5 2 2 3 2 7" xfId="16239" xr:uid="{00000000-0005-0000-0000-0000E2E00000}"/>
    <cellStyle name="Percent 5 2 2 3 2 7 2" xfId="45245" xr:uid="{00000000-0005-0000-0000-0000E3E00000}"/>
    <cellStyle name="Percent 5 2 2 3 2 8" xfId="30746" xr:uid="{00000000-0005-0000-0000-0000E4E00000}"/>
    <cellStyle name="Percent 5 2 2 3 3" xfId="2209" xr:uid="{00000000-0005-0000-0000-0000E5E00000}"/>
    <cellStyle name="Percent 5 2 2 3 3 2" xfId="5313" xr:uid="{00000000-0005-0000-0000-0000E6E00000}"/>
    <cellStyle name="Percent 5 2 2 3 3 2 2" xfId="12585" xr:uid="{00000000-0005-0000-0000-0000E7E00000}"/>
    <cellStyle name="Percent 5 2 2 3 3 2 2 2" xfId="27119" xr:uid="{00000000-0005-0000-0000-0000E8E00000}"/>
    <cellStyle name="Percent 5 2 2 3 3 2 2 2 2" xfId="56125" xr:uid="{00000000-0005-0000-0000-0000E9E00000}"/>
    <cellStyle name="Percent 5 2 2 3 3 2 2 3" xfId="41626" xr:uid="{00000000-0005-0000-0000-0000EAE00000}"/>
    <cellStyle name="Percent 5 2 2 3 3 2 3" xfId="19871" xr:uid="{00000000-0005-0000-0000-0000EBE00000}"/>
    <cellStyle name="Percent 5 2 2 3 3 2 3 2" xfId="48877" xr:uid="{00000000-0005-0000-0000-0000ECE00000}"/>
    <cellStyle name="Percent 5 2 2 3 3 2 4" xfId="34378" xr:uid="{00000000-0005-0000-0000-0000EDE00000}"/>
    <cellStyle name="Percent 5 2 2 3 3 3" xfId="9481" xr:uid="{00000000-0005-0000-0000-0000EEE00000}"/>
    <cellStyle name="Percent 5 2 2 3 3 3 2" xfId="24015" xr:uid="{00000000-0005-0000-0000-0000EFE00000}"/>
    <cellStyle name="Percent 5 2 2 3 3 3 2 2" xfId="53021" xr:uid="{00000000-0005-0000-0000-0000F0E00000}"/>
    <cellStyle name="Percent 5 2 2 3 3 3 3" xfId="38522" xr:uid="{00000000-0005-0000-0000-0000F1E00000}"/>
    <cellStyle name="Percent 5 2 2 3 3 4" xfId="16767" xr:uid="{00000000-0005-0000-0000-0000F2E00000}"/>
    <cellStyle name="Percent 5 2 2 3 3 4 2" xfId="45773" xr:uid="{00000000-0005-0000-0000-0000F3E00000}"/>
    <cellStyle name="Percent 5 2 2 3 3 5" xfId="31274" xr:uid="{00000000-0005-0000-0000-0000F4E00000}"/>
    <cellStyle name="Percent 5 2 2 3 4" xfId="3241" xr:uid="{00000000-0005-0000-0000-0000F5E00000}"/>
    <cellStyle name="Percent 5 2 2 3 4 2" xfId="6345" xr:uid="{00000000-0005-0000-0000-0000F6E00000}"/>
    <cellStyle name="Percent 5 2 2 3 4 2 2" xfId="13617" xr:uid="{00000000-0005-0000-0000-0000F7E00000}"/>
    <cellStyle name="Percent 5 2 2 3 4 2 2 2" xfId="28151" xr:uid="{00000000-0005-0000-0000-0000F8E00000}"/>
    <cellStyle name="Percent 5 2 2 3 4 2 2 2 2" xfId="57157" xr:uid="{00000000-0005-0000-0000-0000F9E00000}"/>
    <cellStyle name="Percent 5 2 2 3 4 2 2 3" xfId="42658" xr:uid="{00000000-0005-0000-0000-0000FAE00000}"/>
    <cellStyle name="Percent 5 2 2 3 4 2 3" xfId="20903" xr:uid="{00000000-0005-0000-0000-0000FBE00000}"/>
    <cellStyle name="Percent 5 2 2 3 4 2 3 2" xfId="49909" xr:uid="{00000000-0005-0000-0000-0000FCE00000}"/>
    <cellStyle name="Percent 5 2 2 3 4 2 4" xfId="35410" xr:uid="{00000000-0005-0000-0000-0000FDE00000}"/>
    <cellStyle name="Percent 5 2 2 3 4 3" xfId="10513" xr:uid="{00000000-0005-0000-0000-0000FEE00000}"/>
    <cellStyle name="Percent 5 2 2 3 4 3 2" xfId="25047" xr:uid="{00000000-0005-0000-0000-0000FFE00000}"/>
    <cellStyle name="Percent 5 2 2 3 4 3 2 2" xfId="54053" xr:uid="{00000000-0005-0000-0000-000000E10000}"/>
    <cellStyle name="Percent 5 2 2 3 4 3 3" xfId="39554" xr:uid="{00000000-0005-0000-0000-000001E10000}"/>
    <cellStyle name="Percent 5 2 2 3 4 4" xfId="17799" xr:uid="{00000000-0005-0000-0000-000002E10000}"/>
    <cellStyle name="Percent 5 2 2 3 4 4 2" xfId="46805" xr:uid="{00000000-0005-0000-0000-000003E10000}"/>
    <cellStyle name="Percent 5 2 2 3 4 5" xfId="32306" xr:uid="{00000000-0005-0000-0000-000004E10000}"/>
    <cellStyle name="Percent 5 2 2 3 5" xfId="4273" xr:uid="{00000000-0005-0000-0000-000005E10000}"/>
    <cellStyle name="Percent 5 2 2 3 5 2" xfId="11545" xr:uid="{00000000-0005-0000-0000-000006E10000}"/>
    <cellStyle name="Percent 5 2 2 3 5 2 2" xfId="26079" xr:uid="{00000000-0005-0000-0000-000007E10000}"/>
    <cellStyle name="Percent 5 2 2 3 5 2 2 2" xfId="55085" xr:uid="{00000000-0005-0000-0000-000008E10000}"/>
    <cellStyle name="Percent 5 2 2 3 5 2 3" xfId="40586" xr:uid="{00000000-0005-0000-0000-000009E10000}"/>
    <cellStyle name="Percent 5 2 2 3 5 3" xfId="18831" xr:uid="{00000000-0005-0000-0000-00000AE10000}"/>
    <cellStyle name="Percent 5 2 2 3 5 3 2" xfId="47837" xr:uid="{00000000-0005-0000-0000-00000BE10000}"/>
    <cellStyle name="Percent 5 2 2 3 5 4" xfId="33338" xr:uid="{00000000-0005-0000-0000-00000CE10000}"/>
    <cellStyle name="Percent 5 2 2 3 6" xfId="7377" xr:uid="{00000000-0005-0000-0000-00000DE10000}"/>
    <cellStyle name="Percent 5 2 2 3 6 2" xfId="14649" xr:uid="{00000000-0005-0000-0000-00000EE10000}"/>
    <cellStyle name="Percent 5 2 2 3 6 2 2" xfId="29183" xr:uid="{00000000-0005-0000-0000-00000FE10000}"/>
    <cellStyle name="Percent 5 2 2 3 6 2 2 2" xfId="58189" xr:uid="{00000000-0005-0000-0000-000010E10000}"/>
    <cellStyle name="Percent 5 2 2 3 6 2 3" xfId="43690" xr:uid="{00000000-0005-0000-0000-000011E10000}"/>
    <cellStyle name="Percent 5 2 2 3 6 3" xfId="21935" xr:uid="{00000000-0005-0000-0000-000012E10000}"/>
    <cellStyle name="Percent 5 2 2 3 6 3 2" xfId="50941" xr:uid="{00000000-0005-0000-0000-000013E10000}"/>
    <cellStyle name="Percent 5 2 2 3 6 4" xfId="36442" xr:uid="{00000000-0005-0000-0000-000014E10000}"/>
    <cellStyle name="Percent 5 2 2 3 7" xfId="8441" xr:uid="{00000000-0005-0000-0000-000015E10000}"/>
    <cellStyle name="Percent 5 2 2 3 7 2" xfId="22975" xr:uid="{00000000-0005-0000-0000-000016E10000}"/>
    <cellStyle name="Percent 5 2 2 3 7 2 2" xfId="51981" xr:uid="{00000000-0005-0000-0000-000017E10000}"/>
    <cellStyle name="Percent 5 2 2 3 7 3" xfId="37482" xr:uid="{00000000-0005-0000-0000-000018E10000}"/>
    <cellStyle name="Percent 5 2 2 3 8" xfId="15727" xr:uid="{00000000-0005-0000-0000-000019E10000}"/>
    <cellStyle name="Percent 5 2 2 3 8 2" xfId="44733" xr:uid="{00000000-0005-0000-0000-00001AE10000}"/>
    <cellStyle name="Percent 5 2 2 3 9" xfId="30234" xr:uid="{00000000-0005-0000-0000-00001BE10000}"/>
    <cellStyle name="Percent 5 2 2 4" xfId="1072" xr:uid="{00000000-0005-0000-0000-00001CE10000}"/>
    <cellStyle name="Percent 5 2 2 4 10" xfId="59581" xr:uid="{00000000-0005-0000-0000-00001DE10000}"/>
    <cellStyle name="Percent 5 2 2 4 2" xfId="1563" xr:uid="{00000000-0005-0000-0000-00001EE10000}"/>
    <cellStyle name="Percent 5 2 2 4 2 2" xfId="2621" xr:uid="{00000000-0005-0000-0000-00001FE10000}"/>
    <cellStyle name="Percent 5 2 2 4 2 2 2" xfId="5725" xr:uid="{00000000-0005-0000-0000-000020E10000}"/>
    <cellStyle name="Percent 5 2 2 4 2 2 2 2" xfId="12997" xr:uid="{00000000-0005-0000-0000-000021E10000}"/>
    <cellStyle name="Percent 5 2 2 4 2 2 2 2 2" xfId="27531" xr:uid="{00000000-0005-0000-0000-000022E10000}"/>
    <cellStyle name="Percent 5 2 2 4 2 2 2 2 2 2" xfId="56537" xr:uid="{00000000-0005-0000-0000-000023E10000}"/>
    <cellStyle name="Percent 5 2 2 4 2 2 2 2 3" xfId="42038" xr:uid="{00000000-0005-0000-0000-000024E10000}"/>
    <cellStyle name="Percent 5 2 2 4 2 2 2 3" xfId="20283" xr:uid="{00000000-0005-0000-0000-000025E10000}"/>
    <cellStyle name="Percent 5 2 2 4 2 2 2 3 2" xfId="49289" xr:uid="{00000000-0005-0000-0000-000026E10000}"/>
    <cellStyle name="Percent 5 2 2 4 2 2 2 4" xfId="34790" xr:uid="{00000000-0005-0000-0000-000027E10000}"/>
    <cellStyle name="Percent 5 2 2 4 2 2 3" xfId="9893" xr:uid="{00000000-0005-0000-0000-000028E10000}"/>
    <cellStyle name="Percent 5 2 2 4 2 2 3 2" xfId="24427" xr:uid="{00000000-0005-0000-0000-000029E10000}"/>
    <cellStyle name="Percent 5 2 2 4 2 2 3 2 2" xfId="53433" xr:uid="{00000000-0005-0000-0000-00002AE10000}"/>
    <cellStyle name="Percent 5 2 2 4 2 2 3 3" xfId="38934" xr:uid="{00000000-0005-0000-0000-00002BE10000}"/>
    <cellStyle name="Percent 5 2 2 4 2 2 4" xfId="17179" xr:uid="{00000000-0005-0000-0000-00002CE10000}"/>
    <cellStyle name="Percent 5 2 2 4 2 2 4 2" xfId="46185" xr:uid="{00000000-0005-0000-0000-00002DE10000}"/>
    <cellStyle name="Percent 5 2 2 4 2 2 5" xfId="31686" xr:uid="{00000000-0005-0000-0000-00002EE10000}"/>
    <cellStyle name="Percent 5 2 2 4 2 3" xfId="3653" xr:uid="{00000000-0005-0000-0000-00002FE10000}"/>
    <cellStyle name="Percent 5 2 2 4 2 3 2" xfId="6757" xr:uid="{00000000-0005-0000-0000-000030E10000}"/>
    <cellStyle name="Percent 5 2 2 4 2 3 2 2" xfId="14029" xr:uid="{00000000-0005-0000-0000-000031E10000}"/>
    <cellStyle name="Percent 5 2 2 4 2 3 2 2 2" xfId="28563" xr:uid="{00000000-0005-0000-0000-000032E10000}"/>
    <cellStyle name="Percent 5 2 2 4 2 3 2 2 2 2" xfId="57569" xr:uid="{00000000-0005-0000-0000-000033E10000}"/>
    <cellStyle name="Percent 5 2 2 4 2 3 2 2 3" xfId="43070" xr:uid="{00000000-0005-0000-0000-000034E10000}"/>
    <cellStyle name="Percent 5 2 2 4 2 3 2 3" xfId="21315" xr:uid="{00000000-0005-0000-0000-000035E10000}"/>
    <cellStyle name="Percent 5 2 2 4 2 3 2 3 2" xfId="50321" xr:uid="{00000000-0005-0000-0000-000036E10000}"/>
    <cellStyle name="Percent 5 2 2 4 2 3 2 4" xfId="35822" xr:uid="{00000000-0005-0000-0000-000037E10000}"/>
    <cellStyle name="Percent 5 2 2 4 2 3 3" xfId="10925" xr:uid="{00000000-0005-0000-0000-000038E10000}"/>
    <cellStyle name="Percent 5 2 2 4 2 3 3 2" xfId="25459" xr:uid="{00000000-0005-0000-0000-000039E10000}"/>
    <cellStyle name="Percent 5 2 2 4 2 3 3 2 2" xfId="54465" xr:uid="{00000000-0005-0000-0000-00003AE10000}"/>
    <cellStyle name="Percent 5 2 2 4 2 3 3 3" xfId="39966" xr:uid="{00000000-0005-0000-0000-00003BE10000}"/>
    <cellStyle name="Percent 5 2 2 4 2 3 4" xfId="18211" xr:uid="{00000000-0005-0000-0000-00003CE10000}"/>
    <cellStyle name="Percent 5 2 2 4 2 3 4 2" xfId="47217" xr:uid="{00000000-0005-0000-0000-00003DE10000}"/>
    <cellStyle name="Percent 5 2 2 4 2 3 5" xfId="32718" xr:uid="{00000000-0005-0000-0000-00003EE10000}"/>
    <cellStyle name="Percent 5 2 2 4 2 4" xfId="4685" xr:uid="{00000000-0005-0000-0000-00003FE10000}"/>
    <cellStyle name="Percent 5 2 2 4 2 4 2" xfId="11957" xr:uid="{00000000-0005-0000-0000-000040E10000}"/>
    <cellStyle name="Percent 5 2 2 4 2 4 2 2" xfId="26491" xr:uid="{00000000-0005-0000-0000-000041E10000}"/>
    <cellStyle name="Percent 5 2 2 4 2 4 2 2 2" xfId="55497" xr:uid="{00000000-0005-0000-0000-000042E10000}"/>
    <cellStyle name="Percent 5 2 2 4 2 4 2 3" xfId="40998" xr:uid="{00000000-0005-0000-0000-000043E10000}"/>
    <cellStyle name="Percent 5 2 2 4 2 4 3" xfId="19243" xr:uid="{00000000-0005-0000-0000-000044E10000}"/>
    <cellStyle name="Percent 5 2 2 4 2 4 3 2" xfId="48249" xr:uid="{00000000-0005-0000-0000-000045E10000}"/>
    <cellStyle name="Percent 5 2 2 4 2 4 4" xfId="33750" xr:uid="{00000000-0005-0000-0000-000046E10000}"/>
    <cellStyle name="Percent 5 2 2 4 2 5" xfId="7789" xr:uid="{00000000-0005-0000-0000-000047E10000}"/>
    <cellStyle name="Percent 5 2 2 4 2 5 2" xfId="15061" xr:uid="{00000000-0005-0000-0000-000048E10000}"/>
    <cellStyle name="Percent 5 2 2 4 2 5 2 2" xfId="29595" xr:uid="{00000000-0005-0000-0000-000049E10000}"/>
    <cellStyle name="Percent 5 2 2 4 2 5 2 2 2" xfId="58601" xr:uid="{00000000-0005-0000-0000-00004AE10000}"/>
    <cellStyle name="Percent 5 2 2 4 2 5 2 3" xfId="44102" xr:uid="{00000000-0005-0000-0000-00004BE10000}"/>
    <cellStyle name="Percent 5 2 2 4 2 5 3" xfId="22347" xr:uid="{00000000-0005-0000-0000-00004CE10000}"/>
    <cellStyle name="Percent 5 2 2 4 2 5 3 2" xfId="51353" xr:uid="{00000000-0005-0000-0000-00004DE10000}"/>
    <cellStyle name="Percent 5 2 2 4 2 5 4" xfId="36854" xr:uid="{00000000-0005-0000-0000-00004EE10000}"/>
    <cellStyle name="Percent 5 2 2 4 2 6" xfId="8853" xr:uid="{00000000-0005-0000-0000-00004FE10000}"/>
    <cellStyle name="Percent 5 2 2 4 2 6 2" xfId="23387" xr:uid="{00000000-0005-0000-0000-000050E10000}"/>
    <cellStyle name="Percent 5 2 2 4 2 6 2 2" xfId="52393" xr:uid="{00000000-0005-0000-0000-000051E10000}"/>
    <cellStyle name="Percent 5 2 2 4 2 6 3" xfId="37894" xr:uid="{00000000-0005-0000-0000-000052E10000}"/>
    <cellStyle name="Percent 5 2 2 4 2 7" xfId="16139" xr:uid="{00000000-0005-0000-0000-000053E10000}"/>
    <cellStyle name="Percent 5 2 2 4 2 7 2" xfId="45145" xr:uid="{00000000-0005-0000-0000-000054E10000}"/>
    <cellStyle name="Percent 5 2 2 4 2 8" xfId="30646" xr:uid="{00000000-0005-0000-0000-000055E10000}"/>
    <cellStyle name="Percent 5 2 2 4 3" xfId="2109" xr:uid="{00000000-0005-0000-0000-000056E10000}"/>
    <cellStyle name="Percent 5 2 2 4 3 2" xfId="5213" xr:uid="{00000000-0005-0000-0000-000057E10000}"/>
    <cellStyle name="Percent 5 2 2 4 3 2 2" xfId="12485" xr:uid="{00000000-0005-0000-0000-000058E10000}"/>
    <cellStyle name="Percent 5 2 2 4 3 2 2 2" xfId="27019" xr:uid="{00000000-0005-0000-0000-000059E10000}"/>
    <cellStyle name="Percent 5 2 2 4 3 2 2 2 2" xfId="56025" xr:uid="{00000000-0005-0000-0000-00005AE10000}"/>
    <cellStyle name="Percent 5 2 2 4 3 2 2 3" xfId="41526" xr:uid="{00000000-0005-0000-0000-00005BE10000}"/>
    <cellStyle name="Percent 5 2 2 4 3 2 3" xfId="19771" xr:uid="{00000000-0005-0000-0000-00005CE10000}"/>
    <cellStyle name="Percent 5 2 2 4 3 2 3 2" xfId="48777" xr:uid="{00000000-0005-0000-0000-00005DE10000}"/>
    <cellStyle name="Percent 5 2 2 4 3 2 4" xfId="34278" xr:uid="{00000000-0005-0000-0000-00005EE10000}"/>
    <cellStyle name="Percent 5 2 2 4 3 3" xfId="9381" xr:uid="{00000000-0005-0000-0000-00005FE10000}"/>
    <cellStyle name="Percent 5 2 2 4 3 3 2" xfId="23915" xr:uid="{00000000-0005-0000-0000-000060E10000}"/>
    <cellStyle name="Percent 5 2 2 4 3 3 2 2" xfId="52921" xr:uid="{00000000-0005-0000-0000-000061E10000}"/>
    <cellStyle name="Percent 5 2 2 4 3 3 3" xfId="38422" xr:uid="{00000000-0005-0000-0000-000062E10000}"/>
    <cellStyle name="Percent 5 2 2 4 3 4" xfId="16667" xr:uid="{00000000-0005-0000-0000-000063E10000}"/>
    <cellStyle name="Percent 5 2 2 4 3 4 2" xfId="45673" xr:uid="{00000000-0005-0000-0000-000064E10000}"/>
    <cellStyle name="Percent 5 2 2 4 3 5" xfId="31174" xr:uid="{00000000-0005-0000-0000-000065E10000}"/>
    <cellStyle name="Percent 5 2 2 4 4" xfId="3141" xr:uid="{00000000-0005-0000-0000-000066E10000}"/>
    <cellStyle name="Percent 5 2 2 4 4 2" xfId="6245" xr:uid="{00000000-0005-0000-0000-000067E10000}"/>
    <cellStyle name="Percent 5 2 2 4 4 2 2" xfId="13517" xr:uid="{00000000-0005-0000-0000-000068E10000}"/>
    <cellStyle name="Percent 5 2 2 4 4 2 2 2" xfId="28051" xr:uid="{00000000-0005-0000-0000-000069E10000}"/>
    <cellStyle name="Percent 5 2 2 4 4 2 2 2 2" xfId="57057" xr:uid="{00000000-0005-0000-0000-00006AE10000}"/>
    <cellStyle name="Percent 5 2 2 4 4 2 2 3" xfId="42558" xr:uid="{00000000-0005-0000-0000-00006BE10000}"/>
    <cellStyle name="Percent 5 2 2 4 4 2 3" xfId="20803" xr:uid="{00000000-0005-0000-0000-00006CE10000}"/>
    <cellStyle name="Percent 5 2 2 4 4 2 3 2" xfId="49809" xr:uid="{00000000-0005-0000-0000-00006DE10000}"/>
    <cellStyle name="Percent 5 2 2 4 4 2 4" xfId="35310" xr:uid="{00000000-0005-0000-0000-00006EE10000}"/>
    <cellStyle name="Percent 5 2 2 4 4 3" xfId="10413" xr:uid="{00000000-0005-0000-0000-00006FE10000}"/>
    <cellStyle name="Percent 5 2 2 4 4 3 2" xfId="24947" xr:uid="{00000000-0005-0000-0000-000070E10000}"/>
    <cellStyle name="Percent 5 2 2 4 4 3 2 2" xfId="53953" xr:uid="{00000000-0005-0000-0000-000071E10000}"/>
    <cellStyle name="Percent 5 2 2 4 4 3 3" xfId="39454" xr:uid="{00000000-0005-0000-0000-000072E10000}"/>
    <cellStyle name="Percent 5 2 2 4 4 4" xfId="17699" xr:uid="{00000000-0005-0000-0000-000073E10000}"/>
    <cellStyle name="Percent 5 2 2 4 4 4 2" xfId="46705" xr:uid="{00000000-0005-0000-0000-000074E10000}"/>
    <cellStyle name="Percent 5 2 2 4 4 5" xfId="32206" xr:uid="{00000000-0005-0000-0000-000075E10000}"/>
    <cellStyle name="Percent 5 2 2 4 5" xfId="4173" xr:uid="{00000000-0005-0000-0000-000076E10000}"/>
    <cellStyle name="Percent 5 2 2 4 5 2" xfId="11445" xr:uid="{00000000-0005-0000-0000-000077E10000}"/>
    <cellStyle name="Percent 5 2 2 4 5 2 2" xfId="25979" xr:uid="{00000000-0005-0000-0000-000078E10000}"/>
    <cellStyle name="Percent 5 2 2 4 5 2 2 2" xfId="54985" xr:uid="{00000000-0005-0000-0000-000079E10000}"/>
    <cellStyle name="Percent 5 2 2 4 5 2 3" xfId="40486" xr:uid="{00000000-0005-0000-0000-00007AE10000}"/>
    <cellStyle name="Percent 5 2 2 4 5 3" xfId="18731" xr:uid="{00000000-0005-0000-0000-00007BE10000}"/>
    <cellStyle name="Percent 5 2 2 4 5 3 2" xfId="47737" xr:uid="{00000000-0005-0000-0000-00007CE10000}"/>
    <cellStyle name="Percent 5 2 2 4 5 4" xfId="33238" xr:uid="{00000000-0005-0000-0000-00007DE10000}"/>
    <cellStyle name="Percent 5 2 2 4 6" xfId="7277" xr:uid="{00000000-0005-0000-0000-00007EE10000}"/>
    <cellStyle name="Percent 5 2 2 4 6 2" xfId="14549" xr:uid="{00000000-0005-0000-0000-00007FE10000}"/>
    <cellStyle name="Percent 5 2 2 4 6 2 2" xfId="29083" xr:uid="{00000000-0005-0000-0000-000080E10000}"/>
    <cellStyle name="Percent 5 2 2 4 6 2 2 2" xfId="58089" xr:uid="{00000000-0005-0000-0000-000081E10000}"/>
    <cellStyle name="Percent 5 2 2 4 6 2 3" xfId="43590" xr:uid="{00000000-0005-0000-0000-000082E10000}"/>
    <cellStyle name="Percent 5 2 2 4 6 3" xfId="21835" xr:uid="{00000000-0005-0000-0000-000083E10000}"/>
    <cellStyle name="Percent 5 2 2 4 6 3 2" xfId="50841" xr:uid="{00000000-0005-0000-0000-000084E10000}"/>
    <cellStyle name="Percent 5 2 2 4 6 4" xfId="36342" xr:uid="{00000000-0005-0000-0000-000085E10000}"/>
    <cellStyle name="Percent 5 2 2 4 7" xfId="8341" xr:uid="{00000000-0005-0000-0000-000086E10000}"/>
    <cellStyle name="Percent 5 2 2 4 7 2" xfId="22875" xr:uid="{00000000-0005-0000-0000-000087E10000}"/>
    <cellStyle name="Percent 5 2 2 4 7 2 2" xfId="51881" xr:uid="{00000000-0005-0000-0000-000088E10000}"/>
    <cellStyle name="Percent 5 2 2 4 7 3" xfId="37382" xr:uid="{00000000-0005-0000-0000-000089E10000}"/>
    <cellStyle name="Percent 5 2 2 4 8" xfId="15627" xr:uid="{00000000-0005-0000-0000-00008AE10000}"/>
    <cellStyle name="Percent 5 2 2 4 8 2" xfId="44633" xr:uid="{00000000-0005-0000-0000-00008BE10000}"/>
    <cellStyle name="Percent 5 2 2 4 9" xfId="30134" xr:uid="{00000000-0005-0000-0000-00008CE10000}"/>
    <cellStyle name="Percent 5 2 2 5" xfId="1358" xr:uid="{00000000-0005-0000-0000-00008DE10000}"/>
    <cellStyle name="Percent 5 2 2 5 2" xfId="2415" xr:uid="{00000000-0005-0000-0000-00008EE10000}"/>
    <cellStyle name="Percent 5 2 2 5 2 2" xfId="5519" xr:uid="{00000000-0005-0000-0000-00008FE10000}"/>
    <cellStyle name="Percent 5 2 2 5 2 2 2" xfId="12791" xr:uid="{00000000-0005-0000-0000-000090E10000}"/>
    <cellStyle name="Percent 5 2 2 5 2 2 2 2" xfId="27325" xr:uid="{00000000-0005-0000-0000-000091E10000}"/>
    <cellStyle name="Percent 5 2 2 5 2 2 2 2 2" xfId="56331" xr:uid="{00000000-0005-0000-0000-000092E10000}"/>
    <cellStyle name="Percent 5 2 2 5 2 2 2 3" xfId="41832" xr:uid="{00000000-0005-0000-0000-000093E10000}"/>
    <cellStyle name="Percent 5 2 2 5 2 2 3" xfId="20077" xr:uid="{00000000-0005-0000-0000-000094E10000}"/>
    <cellStyle name="Percent 5 2 2 5 2 2 3 2" xfId="49083" xr:uid="{00000000-0005-0000-0000-000095E10000}"/>
    <cellStyle name="Percent 5 2 2 5 2 2 4" xfId="34584" xr:uid="{00000000-0005-0000-0000-000096E10000}"/>
    <cellStyle name="Percent 5 2 2 5 2 3" xfId="9687" xr:uid="{00000000-0005-0000-0000-000097E10000}"/>
    <cellStyle name="Percent 5 2 2 5 2 3 2" xfId="24221" xr:uid="{00000000-0005-0000-0000-000098E10000}"/>
    <cellStyle name="Percent 5 2 2 5 2 3 2 2" xfId="53227" xr:uid="{00000000-0005-0000-0000-000099E10000}"/>
    <cellStyle name="Percent 5 2 2 5 2 3 3" xfId="38728" xr:uid="{00000000-0005-0000-0000-00009AE10000}"/>
    <cellStyle name="Percent 5 2 2 5 2 4" xfId="16973" xr:uid="{00000000-0005-0000-0000-00009BE10000}"/>
    <cellStyle name="Percent 5 2 2 5 2 4 2" xfId="45979" xr:uid="{00000000-0005-0000-0000-00009CE10000}"/>
    <cellStyle name="Percent 5 2 2 5 2 5" xfId="31480" xr:uid="{00000000-0005-0000-0000-00009DE10000}"/>
    <cellStyle name="Percent 5 2 2 5 3" xfId="3447" xr:uid="{00000000-0005-0000-0000-00009EE10000}"/>
    <cellStyle name="Percent 5 2 2 5 3 2" xfId="6551" xr:uid="{00000000-0005-0000-0000-00009FE10000}"/>
    <cellStyle name="Percent 5 2 2 5 3 2 2" xfId="13823" xr:uid="{00000000-0005-0000-0000-0000A0E10000}"/>
    <cellStyle name="Percent 5 2 2 5 3 2 2 2" xfId="28357" xr:uid="{00000000-0005-0000-0000-0000A1E10000}"/>
    <cellStyle name="Percent 5 2 2 5 3 2 2 2 2" xfId="57363" xr:uid="{00000000-0005-0000-0000-0000A2E10000}"/>
    <cellStyle name="Percent 5 2 2 5 3 2 2 3" xfId="42864" xr:uid="{00000000-0005-0000-0000-0000A3E10000}"/>
    <cellStyle name="Percent 5 2 2 5 3 2 3" xfId="21109" xr:uid="{00000000-0005-0000-0000-0000A4E10000}"/>
    <cellStyle name="Percent 5 2 2 5 3 2 3 2" xfId="50115" xr:uid="{00000000-0005-0000-0000-0000A5E10000}"/>
    <cellStyle name="Percent 5 2 2 5 3 2 4" xfId="35616" xr:uid="{00000000-0005-0000-0000-0000A6E10000}"/>
    <cellStyle name="Percent 5 2 2 5 3 3" xfId="10719" xr:uid="{00000000-0005-0000-0000-0000A7E10000}"/>
    <cellStyle name="Percent 5 2 2 5 3 3 2" xfId="25253" xr:uid="{00000000-0005-0000-0000-0000A8E10000}"/>
    <cellStyle name="Percent 5 2 2 5 3 3 2 2" xfId="54259" xr:uid="{00000000-0005-0000-0000-0000A9E10000}"/>
    <cellStyle name="Percent 5 2 2 5 3 3 3" xfId="39760" xr:uid="{00000000-0005-0000-0000-0000AAE10000}"/>
    <cellStyle name="Percent 5 2 2 5 3 4" xfId="18005" xr:uid="{00000000-0005-0000-0000-0000ABE10000}"/>
    <cellStyle name="Percent 5 2 2 5 3 4 2" xfId="47011" xr:uid="{00000000-0005-0000-0000-0000ACE10000}"/>
    <cellStyle name="Percent 5 2 2 5 3 5" xfId="32512" xr:uid="{00000000-0005-0000-0000-0000ADE10000}"/>
    <cellStyle name="Percent 5 2 2 5 4" xfId="4479" xr:uid="{00000000-0005-0000-0000-0000AEE10000}"/>
    <cellStyle name="Percent 5 2 2 5 4 2" xfId="11751" xr:uid="{00000000-0005-0000-0000-0000AFE10000}"/>
    <cellStyle name="Percent 5 2 2 5 4 2 2" xfId="26285" xr:uid="{00000000-0005-0000-0000-0000B0E10000}"/>
    <cellStyle name="Percent 5 2 2 5 4 2 2 2" xfId="55291" xr:uid="{00000000-0005-0000-0000-0000B1E10000}"/>
    <cellStyle name="Percent 5 2 2 5 4 2 3" xfId="40792" xr:uid="{00000000-0005-0000-0000-0000B2E10000}"/>
    <cellStyle name="Percent 5 2 2 5 4 3" xfId="19037" xr:uid="{00000000-0005-0000-0000-0000B3E10000}"/>
    <cellStyle name="Percent 5 2 2 5 4 3 2" xfId="48043" xr:uid="{00000000-0005-0000-0000-0000B4E10000}"/>
    <cellStyle name="Percent 5 2 2 5 4 4" xfId="33544" xr:uid="{00000000-0005-0000-0000-0000B5E10000}"/>
    <cellStyle name="Percent 5 2 2 5 5" xfId="7583" xr:uid="{00000000-0005-0000-0000-0000B6E10000}"/>
    <cellStyle name="Percent 5 2 2 5 5 2" xfId="14855" xr:uid="{00000000-0005-0000-0000-0000B7E10000}"/>
    <cellStyle name="Percent 5 2 2 5 5 2 2" xfId="29389" xr:uid="{00000000-0005-0000-0000-0000B8E10000}"/>
    <cellStyle name="Percent 5 2 2 5 5 2 2 2" xfId="58395" xr:uid="{00000000-0005-0000-0000-0000B9E10000}"/>
    <cellStyle name="Percent 5 2 2 5 5 2 3" xfId="43896" xr:uid="{00000000-0005-0000-0000-0000BAE10000}"/>
    <cellStyle name="Percent 5 2 2 5 5 3" xfId="22141" xr:uid="{00000000-0005-0000-0000-0000BBE10000}"/>
    <cellStyle name="Percent 5 2 2 5 5 3 2" xfId="51147" xr:uid="{00000000-0005-0000-0000-0000BCE10000}"/>
    <cellStyle name="Percent 5 2 2 5 5 4" xfId="36648" xr:uid="{00000000-0005-0000-0000-0000BDE10000}"/>
    <cellStyle name="Percent 5 2 2 5 6" xfId="8647" xr:uid="{00000000-0005-0000-0000-0000BEE10000}"/>
    <cellStyle name="Percent 5 2 2 5 6 2" xfId="23181" xr:uid="{00000000-0005-0000-0000-0000BFE10000}"/>
    <cellStyle name="Percent 5 2 2 5 6 2 2" xfId="52187" xr:uid="{00000000-0005-0000-0000-0000C0E10000}"/>
    <cellStyle name="Percent 5 2 2 5 6 3" xfId="37688" xr:uid="{00000000-0005-0000-0000-0000C1E10000}"/>
    <cellStyle name="Percent 5 2 2 5 7" xfId="15933" xr:uid="{00000000-0005-0000-0000-0000C2E10000}"/>
    <cellStyle name="Percent 5 2 2 5 7 2" xfId="44939" xr:uid="{00000000-0005-0000-0000-0000C3E10000}"/>
    <cellStyle name="Percent 5 2 2 5 8" xfId="30440" xr:uid="{00000000-0005-0000-0000-0000C4E10000}"/>
    <cellStyle name="Percent 5 2 2 6" xfId="1903" xr:uid="{00000000-0005-0000-0000-0000C5E10000}"/>
    <cellStyle name="Percent 5 2 2 6 2" xfId="5007" xr:uid="{00000000-0005-0000-0000-0000C6E10000}"/>
    <cellStyle name="Percent 5 2 2 6 2 2" xfId="12279" xr:uid="{00000000-0005-0000-0000-0000C7E10000}"/>
    <cellStyle name="Percent 5 2 2 6 2 2 2" xfId="26813" xr:uid="{00000000-0005-0000-0000-0000C8E10000}"/>
    <cellStyle name="Percent 5 2 2 6 2 2 2 2" xfId="55819" xr:uid="{00000000-0005-0000-0000-0000C9E10000}"/>
    <cellStyle name="Percent 5 2 2 6 2 2 3" xfId="41320" xr:uid="{00000000-0005-0000-0000-0000CAE10000}"/>
    <cellStyle name="Percent 5 2 2 6 2 3" xfId="19565" xr:uid="{00000000-0005-0000-0000-0000CBE10000}"/>
    <cellStyle name="Percent 5 2 2 6 2 3 2" xfId="48571" xr:uid="{00000000-0005-0000-0000-0000CCE10000}"/>
    <cellStyle name="Percent 5 2 2 6 2 4" xfId="34072" xr:uid="{00000000-0005-0000-0000-0000CDE10000}"/>
    <cellStyle name="Percent 5 2 2 6 3" xfId="9175" xr:uid="{00000000-0005-0000-0000-0000CEE10000}"/>
    <cellStyle name="Percent 5 2 2 6 3 2" xfId="23709" xr:uid="{00000000-0005-0000-0000-0000CFE10000}"/>
    <cellStyle name="Percent 5 2 2 6 3 2 2" xfId="52715" xr:uid="{00000000-0005-0000-0000-0000D0E10000}"/>
    <cellStyle name="Percent 5 2 2 6 3 3" xfId="38216" xr:uid="{00000000-0005-0000-0000-0000D1E10000}"/>
    <cellStyle name="Percent 5 2 2 6 4" xfId="16461" xr:uid="{00000000-0005-0000-0000-0000D2E10000}"/>
    <cellStyle name="Percent 5 2 2 6 4 2" xfId="45467" xr:uid="{00000000-0005-0000-0000-0000D3E10000}"/>
    <cellStyle name="Percent 5 2 2 6 5" xfId="30968" xr:uid="{00000000-0005-0000-0000-0000D4E10000}"/>
    <cellStyle name="Percent 5 2 2 7" xfId="2935" xr:uid="{00000000-0005-0000-0000-0000D5E10000}"/>
    <cellStyle name="Percent 5 2 2 7 2" xfId="6039" xr:uid="{00000000-0005-0000-0000-0000D6E10000}"/>
    <cellStyle name="Percent 5 2 2 7 2 2" xfId="13311" xr:uid="{00000000-0005-0000-0000-0000D7E10000}"/>
    <cellStyle name="Percent 5 2 2 7 2 2 2" xfId="27845" xr:uid="{00000000-0005-0000-0000-0000D8E10000}"/>
    <cellStyle name="Percent 5 2 2 7 2 2 2 2" xfId="56851" xr:uid="{00000000-0005-0000-0000-0000D9E10000}"/>
    <cellStyle name="Percent 5 2 2 7 2 2 3" xfId="42352" xr:uid="{00000000-0005-0000-0000-0000DAE10000}"/>
    <cellStyle name="Percent 5 2 2 7 2 3" xfId="20597" xr:uid="{00000000-0005-0000-0000-0000DBE10000}"/>
    <cellStyle name="Percent 5 2 2 7 2 3 2" xfId="49603" xr:uid="{00000000-0005-0000-0000-0000DCE10000}"/>
    <cellStyle name="Percent 5 2 2 7 2 4" xfId="35104" xr:uid="{00000000-0005-0000-0000-0000DDE10000}"/>
    <cellStyle name="Percent 5 2 2 7 3" xfId="10207" xr:uid="{00000000-0005-0000-0000-0000DEE10000}"/>
    <cellStyle name="Percent 5 2 2 7 3 2" xfId="24741" xr:uid="{00000000-0005-0000-0000-0000DFE10000}"/>
    <cellStyle name="Percent 5 2 2 7 3 2 2" xfId="53747" xr:uid="{00000000-0005-0000-0000-0000E0E10000}"/>
    <cellStyle name="Percent 5 2 2 7 3 3" xfId="39248" xr:uid="{00000000-0005-0000-0000-0000E1E10000}"/>
    <cellStyle name="Percent 5 2 2 7 4" xfId="17493" xr:uid="{00000000-0005-0000-0000-0000E2E10000}"/>
    <cellStyle name="Percent 5 2 2 7 4 2" xfId="46499" xr:uid="{00000000-0005-0000-0000-0000E3E10000}"/>
    <cellStyle name="Percent 5 2 2 7 5" xfId="32000" xr:uid="{00000000-0005-0000-0000-0000E4E10000}"/>
    <cellStyle name="Percent 5 2 2 8" xfId="3967" xr:uid="{00000000-0005-0000-0000-0000E5E10000}"/>
    <cellStyle name="Percent 5 2 2 8 2" xfId="11239" xr:uid="{00000000-0005-0000-0000-0000E6E10000}"/>
    <cellStyle name="Percent 5 2 2 8 2 2" xfId="25773" xr:uid="{00000000-0005-0000-0000-0000E7E10000}"/>
    <cellStyle name="Percent 5 2 2 8 2 2 2" xfId="54779" xr:uid="{00000000-0005-0000-0000-0000E8E10000}"/>
    <cellStyle name="Percent 5 2 2 8 2 3" xfId="40280" xr:uid="{00000000-0005-0000-0000-0000E9E10000}"/>
    <cellStyle name="Percent 5 2 2 8 3" xfId="18525" xr:uid="{00000000-0005-0000-0000-0000EAE10000}"/>
    <cellStyle name="Percent 5 2 2 8 3 2" xfId="47531" xr:uid="{00000000-0005-0000-0000-0000EBE10000}"/>
    <cellStyle name="Percent 5 2 2 8 4" xfId="33032" xr:uid="{00000000-0005-0000-0000-0000ECE10000}"/>
    <cellStyle name="Percent 5 2 2 9" xfId="7071" xr:uid="{00000000-0005-0000-0000-0000EDE10000}"/>
    <cellStyle name="Percent 5 2 2 9 2" xfId="14343" xr:uid="{00000000-0005-0000-0000-0000EEE10000}"/>
    <cellStyle name="Percent 5 2 2 9 2 2" xfId="28877" xr:uid="{00000000-0005-0000-0000-0000EFE10000}"/>
    <cellStyle name="Percent 5 2 2 9 2 2 2" xfId="57883" xr:uid="{00000000-0005-0000-0000-0000F0E10000}"/>
    <cellStyle name="Percent 5 2 2 9 2 3" xfId="43384" xr:uid="{00000000-0005-0000-0000-0000F1E10000}"/>
    <cellStyle name="Percent 5 2 2 9 3" xfId="21629" xr:uid="{00000000-0005-0000-0000-0000F2E10000}"/>
    <cellStyle name="Percent 5 2 2 9 3 2" xfId="50635" xr:uid="{00000000-0005-0000-0000-0000F3E10000}"/>
    <cellStyle name="Percent 5 2 2 9 4" xfId="36136" xr:uid="{00000000-0005-0000-0000-0000F4E10000}"/>
    <cellStyle name="Percent 5 2 3" xfId="391" xr:uid="{00000000-0005-0000-0000-0000F5E10000}"/>
    <cellStyle name="Percent 5 2 3 10" xfId="29979" xr:uid="{00000000-0005-0000-0000-0000F6E10000}"/>
    <cellStyle name="Percent 5 2 3 11" xfId="59242" xr:uid="{00000000-0005-0000-0000-0000F7E10000}"/>
    <cellStyle name="Percent 5 2 3 2" xfId="522" xr:uid="{00000000-0005-0000-0000-0000F8E10000}"/>
    <cellStyle name="Percent 5 2 3 2 10" xfId="59381" xr:uid="{00000000-0005-0000-0000-0000F9E10000}"/>
    <cellStyle name="Percent 5 2 3 2 2" xfId="1713" xr:uid="{00000000-0005-0000-0000-0000FAE10000}"/>
    <cellStyle name="Percent 5 2 3 2 2 2" xfId="2772" xr:uid="{00000000-0005-0000-0000-0000FBE10000}"/>
    <cellStyle name="Percent 5 2 3 2 2 2 2" xfId="5876" xr:uid="{00000000-0005-0000-0000-0000FCE10000}"/>
    <cellStyle name="Percent 5 2 3 2 2 2 2 2" xfId="13148" xr:uid="{00000000-0005-0000-0000-0000FDE10000}"/>
    <cellStyle name="Percent 5 2 3 2 2 2 2 2 2" xfId="27682" xr:uid="{00000000-0005-0000-0000-0000FEE10000}"/>
    <cellStyle name="Percent 5 2 3 2 2 2 2 2 2 2" xfId="56688" xr:uid="{00000000-0005-0000-0000-0000FFE10000}"/>
    <cellStyle name="Percent 5 2 3 2 2 2 2 2 3" xfId="42189" xr:uid="{00000000-0005-0000-0000-000000E20000}"/>
    <cellStyle name="Percent 5 2 3 2 2 2 2 3" xfId="20434" xr:uid="{00000000-0005-0000-0000-000001E20000}"/>
    <cellStyle name="Percent 5 2 3 2 2 2 2 3 2" xfId="49440" xr:uid="{00000000-0005-0000-0000-000002E20000}"/>
    <cellStyle name="Percent 5 2 3 2 2 2 2 4" xfId="34941" xr:uid="{00000000-0005-0000-0000-000003E20000}"/>
    <cellStyle name="Percent 5 2 3 2 2 2 3" xfId="10044" xr:uid="{00000000-0005-0000-0000-000004E20000}"/>
    <cellStyle name="Percent 5 2 3 2 2 2 3 2" xfId="24578" xr:uid="{00000000-0005-0000-0000-000005E20000}"/>
    <cellStyle name="Percent 5 2 3 2 2 2 3 2 2" xfId="53584" xr:uid="{00000000-0005-0000-0000-000006E20000}"/>
    <cellStyle name="Percent 5 2 3 2 2 2 3 3" xfId="39085" xr:uid="{00000000-0005-0000-0000-000007E20000}"/>
    <cellStyle name="Percent 5 2 3 2 2 2 4" xfId="17330" xr:uid="{00000000-0005-0000-0000-000008E20000}"/>
    <cellStyle name="Percent 5 2 3 2 2 2 4 2" xfId="46336" xr:uid="{00000000-0005-0000-0000-000009E20000}"/>
    <cellStyle name="Percent 5 2 3 2 2 2 5" xfId="31837" xr:uid="{00000000-0005-0000-0000-00000AE20000}"/>
    <cellStyle name="Percent 5 2 3 2 2 3" xfId="3804" xr:uid="{00000000-0005-0000-0000-00000BE20000}"/>
    <cellStyle name="Percent 5 2 3 2 2 3 2" xfId="6908" xr:uid="{00000000-0005-0000-0000-00000CE20000}"/>
    <cellStyle name="Percent 5 2 3 2 2 3 2 2" xfId="14180" xr:uid="{00000000-0005-0000-0000-00000DE20000}"/>
    <cellStyle name="Percent 5 2 3 2 2 3 2 2 2" xfId="28714" xr:uid="{00000000-0005-0000-0000-00000EE20000}"/>
    <cellStyle name="Percent 5 2 3 2 2 3 2 2 2 2" xfId="57720" xr:uid="{00000000-0005-0000-0000-00000FE20000}"/>
    <cellStyle name="Percent 5 2 3 2 2 3 2 2 3" xfId="43221" xr:uid="{00000000-0005-0000-0000-000010E20000}"/>
    <cellStyle name="Percent 5 2 3 2 2 3 2 3" xfId="21466" xr:uid="{00000000-0005-0000-0000-000011E20000}"/>
    <cellStyle name="Percent 5 2 3 2 2 3 2 3 2" xfId="50472" xr:uid="{00000000-0005-0000-0000-000012E20000}"/>
    <cellStyle name="Percent 5 2 3 2 2 3 2 4" xfId="35973" xr:uid="{00000000-0005-0000-0000-000013E20000}"/>
    <cellStyle name="Percent 5 2 3 2 2 3 3" xfId="11076" xr:uid="{00000000-0005-0000-0000-000014E20000}"/>
    <cellStyle name="Percent 5 2 3 2 2 3 3 2" xfId="25610" xr:uid="{00000000-0005-0000-0000-000015E20000}"/>
    <cellStyle name="Percent 5 2 3 2 2 3 3 2 2" xfId="54616" xr:uid="{00000000-0005-0000-0000-000016E20000}"/>
    <cellStyle name="Percent 5 2 3 2 2 3 3 3" xfId="40117" xr:uid="{00000000-0005-0000-0000-000017E20000}"/>
    <cellStyle name="Percent 5 2 3 2 2 3 4" xfId="18362" xr:uid="{00000000-0005-0000-0000-000018E20000}"/>
    <cellStyle name="Percent 5 2 3 2 2 3 4 2" xfId="47368" xr:uid="{00000000-0005-0000-0000-000019E20000}"/>
    <cellStyle name="Percent 5 2 3 2 2 3 5" xfId="32869" xr:uid="{00000000-0005-0000-0000-00001AE20000}"/>
    <cellStyle name="Percent 5 2 3 2 2 4" xfId="4836" xr:uid="{00000000-0005-0000-0000-00001BE20000}"/>
    <cellStyle name="Percent 5 2 3 2 2 4 2" xfId="12108" xr:uid="{00000000-0005-0000-0000-00001CE20000}"/>
    <cellStyle name="Percent 5 2 3 2 2 4 2 2" xfId="26642" xr:uid="{00000000-0005-0000-0000-00001DE20000}"/>
    <cellStyle name="Percent 5 2 3 2 2 4 2 2 2" xfId="55648" xr:uid="{00000000-0005-0000-0000-00001EE20000}"/>
    <cellStyle name="Percent 5 2 3 2 2 4 2 3" xfId="41149" xr:uid="{00000000-0005-0000-0000-00001FE20000}"/>
    <cellStyle name="Percent 5 2 3 2 2 4 3" xfId="19394" xr:uid="{00000000-0005-0000-0000-000020E20000}"/>
    <cellStyle name="Percent 5 2 3 2 2 4 3 2" xfId="48400" xr:uid="{00000000-0005-0000-0000-000021E20000}"/>
    <cellStyle name="Percent 5 2 3 2 2 4 4" xfId="33901" xr:uid="{00000000-0005-0000-0000-000022E20000}"/>
    <cellStyle name="Percent 5 2 3 2 2 5" xfId="7940" xr:uid="{00000000-0005-0000-0000-000023E20000}"/>
    <cellStyle name="Percent 5 2 3 2 2 5 2" xfId="15212" xr:uid="{00000000-0005-0000-0000-000024E20000}"/>
    <cellStyle name="Percent 5 2 3 2 2 5 2 2" xfId="29746" xr:uid="{00000000-0005-0000-0000-000025E20000}"/>
    <cellStyle name="Percent 5 2 3 2 2 5 2 2 2" xfId="58752" xr:uid="{00000000-0005-0000-0000-000026E20000}"/>
    <cellStyle name="Percent 5 2 3 2 2 5 2 3" xfId="44253" xr:uid="{00000000-0005-0000-0000-000027E20000}"/>
    <cellStyle name="Percent 5 2 3 2 2 5 3" xfId="22498" xr:uid="{00000000-0005-0000-0000-000028E20000}"/>
    <cellStyle name="Percent 5 2 3 2 2 5 3 2" xfId="51504" xr:uid="{00000000-0005-0000-0000-000029E20000}"/>
    <cellStyle name="Percent 5 2 3 2 2 5 4" xfId="37005" xr:uid="{00000000-0005-0000-0000-00002AE20000}"/>
    <cellStyle name="Percent 5 2 3 2 2 6" xfId="9004" xr:uid="{00000000-0005-0000-0000-00002BE20000}"/>
    <cellStyle name="Percent 5 2 3 2 2 6 2" xfId="23538" xr:uid="{00000000-0005-0000-0000-00002CE20000}"/>
    <cellStyle name="Percent 5 2 3 2 2 6 2 2" xfId="52544" xr:uid="{00000000-0005-0000-0000-00002DE20000}"/>
    <cellStyle name="Percent 5 2 3 2 2 6 3" xfId="38045" xr:uid="{00000000-0005-0000-0000-00002EE20000}"/>
    <cellStyle name="Percent 5 2 3 2 2 7" xfId="16290" xr:uid="{00000000-0005-0000-0000-00002FE20000}"/>
    <cellStyle name="Percent 5 2 3 2 2 7 2" xfId="45296" xr:uid="{00000000-0005-0000-0000-000030E20000}"/>
    <cellStyle name="Percent 5 2 3 2 2 8" xfId="30797" xr:uid="{00000000-0005-0000-0000-000031E20000}"/>
    <cellStyle name="Percent 5 2 3 2 3" xfId="2260" xr:uid="{00000000-0005-0000-0000-000032E20000}"/>
    <cellStyle name="Percent 5 2 3 2 3 2" xfId="5364" xr:uid="{00000000-0005-0000-0000-000033E20000}"/>
    <cellStyle name="Percent 5 2 3 2 3 2 2" xfId="12636" xr:uid="{00000000-0005-0000-0000-000034E20000}"/>
    <cellStyle name="Percent 5 2 3 2 3 2 2 2" xfId="27170" xr:uid="{00000000-0005-0000-0000-000035E20000}"/>
    <cellStyle name="Percent 5 2 3 2 3 2 2 2 2" xfId="56176" xr:uid="{00000000-0005-0000-0000-000036E20000}"/>
    <cellStyle name="Percent 5 2 3 2 3 2 2 3" xfId="41677" xr:uid="{00000000-0005-0000-0000-000037E20000}"/>
    <cellStyle name="Percent 5 2 3 2 3 2 3" xfId="19922" xr:uid="{00000000-0005-0000-0000-000038E20000}"/>
    <cellStyle name="Percent 5 2 3 2 3 2 3 2" xfId="48928" xr:uid="{00000000-0005-0000-0000-000039E20000}"/>
    <cellStyle name="Percent 5 2 3 2 3 2 4" xfId="34429" xr:uid="{00000000-0005-0000-0000-00003AE20000}"/>
    <cellStyle name="Percent 5 2 3 2 3 3" xfId="9532" xr:uid="{00000000-0005-0000-0000-00003BE20000}"/>
    <cellStyle name="Percent 5 2 3 2 3 3 2" xfId="24066" xr:uid="{00000000-0005-0000-0000-00003CE20000}"/>
    <cellStyle name="Percent 5 2 3 2 3 3 2 2" xfId="53072" xr:uid="{00000000-0005-0000-0000-00003DE20000}"/>
    <cellStyle name="Percent 5 2 3 2 3 3 3" xfId="38573" xr:uid="{00000000-0005-0000-0000-00003EE20000}"/>
    <cellStyle name="Percent 5 2 3 2 3 4" xfId="16818" xr:uid="{00000000-0005-0000-0000-00003FE20000}"/>
    <cellStyle name="Percent 5 2 3 2 3 4 2" xfId="45824" xr:uid="{00000000-0005-0000-0000-000040E20000}"/>
    <cellStyle name="Percent 5 2 3 2 3 5" xfId="31325" xr:uid="{00000000-0005-0000-0000-000041E20000}"/>
    <cellStyle name="Percent 5 2 3 2 4" xfId="3292" xr:uid="{00000000-0005-0000-0000-000042E20000}"/>
    <cellStyle name="Percent 5 2 3 2 4 2" xfId="6396" xr:uid="{00000000-0005-0000-0000-000043E20000}"/>
    <cellStyle name="Percent 5 2 3 2 4 2 2" xfId="13668" xr:uid="{00000000-0005-0000-0000-000044E20000}"/>
    <cellStyle name="Percent 5 2 3 2 4 2 2 2" xfId="28202" xr:uid="{00000000-0005-0000-0000-000045E20000}"/>
    <cellStyle name="Percent 5 2 3 2 4 2 2 2 2" xfId="57208" xr:uid="{00000000-0005-0000-0000-000046E20000}"/>
    <cellStyle name="Percent 5 2 3 2 4 2 2 3" xfId="42709" xr:uid="{00000000-0005-0000-0000-000047E20000}"/>
    <cellStyle name="Percent 5 2 3 2 4 2 3" xfId="20954" xr:uid="{00000000-0005-0000-0000-000048E20000}"/>
    <cellStyle name="Percent 5 2 3 2 4 2 3 2" xfId="49960" xr:uid="{00000000-0005-0000-0000-000049E20000}"/>
    <cellStyle name="Percent 5 2 3 2 4 2 4" xfId="35461" xr:uid="{00000000-0005-0000-0000-00004AE20000}"/>
    <cellStyle name="Percent 5 2 3 2 4 3" xfId="10564" xr:uid="{00000000-0005-0000-0000-00004BE20000}"/>
    <cellStyle name="Percent 5 2 3 2 4 3 2" xfId="25098" xr:uid="{00000000-0005-0000-0000-00004CE20000}"/>
    <cellStyle name="Percent 5 2 3 2 4 3 2 2" xfId="54104" xr:uid="{00000000-0005-0000-0000-00004DE20000}"/>
    <cellStyle name="Percent 5 2 3 2 4 3 3" xfId="39605" xr:uid="{00000000-0005-0000-0000-00004EE20000}"/>
    <cellStyle name="Percent 5 2 3 2 4 4" xfId="17850" xr:uid="{00000000-0005-0000-0000-00004FE20000}"/>
    <cellStyle name="Percent 5 2 3 2 4 4 2" xfId="46856" xr:uid="{00000000-0005-0000-0000-000050E20000}"/>
    <cellStyle name="Percent 5 2 3 2 4 5" xfId="32357" xr:uid="{00000000-0005-0000-0000-000051E20000}"/>
    <cellStyle name="Percent 5 2 3 2 5" xfId="4324" xr:uid="{00000000-0005-0000-0000-000052E20000}"/>
    <cellStyle name="Percent 5 2 3 2 5 2" xfId="11596" xr:uid="{00000000-0005-0000-0000-000053E20000}"/>
    <cellStyle name="Percent 5 2 3 2 5 2 2" xfId="26130" xr:uid="{00000000-0005-0000-0000-000054E20000}"/>
    <cellStyle name="Percent 5 2 3 2 5 2 2 2" xfId="55136" xr:uid="{00000000-0005-0000-0000-000055E20000}"/>
    <cellStyle name="Percent 5 2 3 2 5 2 3" xfId="40637" xr:uid="{00000000-0005-0000-0000-000056E20000}"/>
    <cellStyle name="Percent 5 2 3 2 5 3" xfId="18882" xr:uid="{00000000-0005-0000-0000-000057E20000}"/>
    <cellStyle name="Percent 5 2 3 2 5 3 2" xfId="47888" xr:uid="{00000000-0005-0000-0000-000058E20000}"/>
    <cellStyle name="Percent 5 2 3 2 5 4" xfId="33389" xr:uid="{00000000-0005-0000-0000-000059E20000}"/>
    <cellStyle name="Percent 5 2 3 2 6" xfId="7428" xr:uid="{00000000-0005-0000-0000-00005AE20000}"/>
    <cellStyle name="Percent 5 2 3 2 6 2" xfId="14700" xr:uid="{00000000-0005-0000-0000-00005BE20000}"/>
    <cellStyle name="Percent 5 2 3 2 6 2 2" xfId="29234" xr:uid="{00000000-0005-0000-0000-00005CE20000}"/>
    <cellStyle name="Percent 5 2 3 2 6 2 2 2" xfId="58240" xr:uid="{00000000-0005-0000-0000-00005DE20000}"/>
    <cellStyle name="Percent 5 2 3 2 6 2 3" xfId="43741" xr:uid="{00000000-0005-0000-0000-00005EE20000}"/>
    <cellStyle name="Percent 5 2 3 2 6 3" xfId="21986" xr:uid="{00000000-0005-0000-0000-00005FE20000}"/>
    <cellStyle name="Percent 5 2 3 2 6 3 2" xfId="50992" xr:uid="{00000000-0005-0000-0000-000060E20000}"/>
    <cellStyle name="Percent 5 2 3 2 6 4" xfId="36493" xr:uid="{00000000-0005-0000-0000-000061E20000}"/>
    <cellStyle name="Percent 5 2 3 2 7" xfId="8492" xr:uid="{00000000-0005-0000-0000-000062E20000}"/>
    <cellStyle name="Percent 5 2 3 2 7 2" xfId="23026" xr:uid="{00000000-0005-0000-0000-000063E20000}"/>
    <cellStyle name="Percent 5 2 3 2 7 2 2" xfId="52032" xr:uid="{00000000-0005-0000-0000-000064E20000}"/>
    <cellStyle name="Percent 5 2 3 2 7 3" xfId="37533" xr:uid="{00000000-0005-0000-0000-000065E20000}"/>
    <cellStyle name="Percent 5 2 3 2 8" xfId="15778" xr:uid="{00000000-0005-0000-0000-000066E20000}"/>
    <cellStyle name="Percent 5 2 3 2 8 2" xfId="44784" xr:uid="{00000000-0005-0000-0000-000067E20000}"/>
    <cellStyle name="Percent 5 2 3 2 9" xfId="30285" xr:uid="{00000000-0005-0000-0000-000068E20000}"/>
    <cellStyle name="Percent 5 2 3 3" xfId="1408" xr:uid="{00000000-0005-0000-0000-000069E20000}"/>
    <cellStyle name="Percent 5 2 3 3 2" xfId="2466" xr:uid="{00000000-0005-0000-0000-00006AE20000}"/>
    <cellStyle name="Percent 5 2 3 3 2 2" xfId="5570" xr:uid="{00000000-0005-0000-0000-00006BE20000}"/>
    <cellStyle name="Percent 5 2 3 3 2 2 2" xfId="12842" xr:uid="{00000000-0005-0000-0000-00006CE20000}"/>
    <cellStyle name="Percent 5 2 3 3 2 2 2 2" xfId="27376" xr:uid="{00000000-0005-0000-0000-00006DE20000}"/>
    <cellStyle name="Percent 5 2 3 3 2 2 2 2 2" xfId="56382" xr:uid="{00000000-0005-0000-0000-00006EE20000}"/>
    <cellStyle name="Percent 5 2 3 3 2 2 2 3" xfId="41883" xr:uid="{00000000-0005-0000-0000-00006FE20000}"/>
    <cellStyle name="Percent 5 2 3 3 2 2 3" xfId="20128" xr:uid="{00000000-0005-0000-0000-000070E20000}"/>
    <cellStyle name="Percent 5 2 3 3 2 2 3 2" xfId="49134" xr:uid="{00000000-0005-0000-0000-000071E20000}"/>
    <cellStyle name="Percent 5 2 3 3 2 2 4" xfId="34635" xr:uid="{00000000-0005-0000-0000-000072E20000}"/>
    <cellStyle name="Percent 5 2 3 3 2 3" xfId="9738" xr:uid="{00000000-0005-0000-0000-000073E20000}"/>
    <cellStyle name="Percent 5 2 3 3 2 3 2" xfId="24272" xr:uid="{00000000-0005-0000-0000-000074E20000}"/>
    <cellStyle name="Percent 5 2 3 3 2 3 2 2" xfId="53278" xr:uid="{00000000-0005-0000-0000-000075E20000}"/>
    <cellStyle name="Percent 5 2 3 3 2 3 3" xfId="38779" xr:uid="{00000000-0005-0000-0000-000076E20000}"/>
    <cellStyle name="Percent 5 2 3 3 2 4" xfId="17024" xr:uid="{00000000-0005-0000-0000-000077E20000}"/>
    <cellStyle name="Percent 5 2 3 3 2 4 2" xfId="46030" xr:uid="{00000000-0005-0000-0000-000078E20000}"/>
    <cellStyle name="Percent 5 2 3 3 2 5" xfId="31531" xr:uid="{00000000-0005-0000-0000-000079E20000}"/>
    <cellStyle name="Percent 5 2 3 3 3" xfId="3498" xr:uid="{00000000-0005-0000-0000-00007AE20000}"/>
    <cellStyle name="Percent 5 2 3 3 3 2" xfId="6602" xr:uid="{00000000-0005-0000-0000-00007BE20000}"/>
    <cellStyle name="Percent 5 2 3 3 3 2 2" xfId="13874" xr:uid="{00000000-0005-0000-0000-00007CE20000}"/>
    <cellStyle name="Percent 5 2 3 3 3 2 2 2" xfId="28408" xr:uid="{00000000-0005-0000-0000-00007DE20000}"/>
    <cellStyle name="Percent 5 2 3 3 3 2 2 2 2" xfId="57414" xr:uid="{00000000-0005-0000-0000-00007EE20000}"/>
    <cellStyle name="Percent 5 2 3 3 3 2 2 3" xfId="42915" xr:uid="{00000000-0005-0000-0000-00007FE20000}"/>
    <cellStyle name="Percent 5 2 3 3 3 2 3" xfId="21160" xr:uid="{00000000-0005-0000-0000-000080E20000}"/>
    <cellStyle name="Percent 5 2 3 3 3 2 3 2" xfId="50166" xr:uid="{00000000-0005-0000-0000-000081E20000}"/>
    <cellStyle name="Percent 5 2 3 3 3 2 4" xfId="35667" xr:uid="{00000000-0005-0000-0000-000082E20000}"/>
    <cellStyle name="Percent 5 2 3 3 3 3" xfId="10770" xr:uid="{00000000-0005-0000-0000-000083E20000}"/>
    <cellStyle name="Percent 5 2 3 3 3 3 2" xfId="25304" xr:uid="{00000000-0005-0000-0000-000084E20000}"/>
    <cellStyle name="Percent 5 2 3 3 3 3 2 2" xfId="54310" xr:uid="{00000000-0005-0000-0000-000085E20000}"/>
    <cellStyle name="Percent 5 2 3 3 3 3 3" xfId="39811" xr:uid="{00000000-0005-0000-0000-000086E20000}"/>
    <cellStyle name="Percent 5 2 3 3 3 4" xfId="18056" xr:uid="{00000000-0005-0000-0000-000087E20000}"/>
    <cellStyle name="Percent 5 2 3 3 3 4 2" xfId="47062" xr:uid="{00000000-0005-0000-0000-000088E20000}"/>
    <cellStyle name="Percent 5 2 3 3 3 5" xfId="32563" xr:uid="{00000000-0005-0000-0000-000089E20000}"/>
    <cellStyle name="Percent 5 2 3 3 4" xfId="4530" xr:uid="{00000000-0005-0000-0000-00008AE20000}"/>
    <cellStyle name="Percent 5 2 3 3 4 2" xfId="11802" xr:uid="{00000000-0005-0000-0000-00008BE20000}"/>
    <cellStyle name="Percent 5 2 3 3 4 2 2" xfId="26336" xr:uid="{00000000-0005-0000-0000-00008CE20000}"/>
    <cellStyle name="Percent 5 2 3 3 4 2 2 2" xfId="55342" xr:uid="{00000000-0005-0000-0000-00008DE20000}"/>
    <cellStyle name="Percent 5 2 3 3 4 2 3" xfId="40843" xr:uid="{00000000-0005-0000-0000-00008EE20000}"/>
    <cellStyle name="Percent 5 2 3 3 4 3" xfId="19088" xr:uid="{00000000-0005-0000-0000-00008FE20000}"/>
    <cellStyle name="Percent 5 2 3 3 4 3 2" xfId="48094" xr:uid="{00000000-0005-0000-0000-000090E20000}"/>
    <cellStyle name="Percent 5 2 3 3 4 4" xfId="33595" xr:uid="{00000000-0005-0000-0000-000091E20000}"/>
    <cellStyle name="Percent 5 2 3 3 5" xfId="7634" xr:uid="{00000000-0005-0000-0000-000092E20000}"/>
    <cellStyle name="Percent 5 2 3 3 5 2" xfId="14906" xr:uid="{00000000-0005-0000-0000-000093E20000}"/>
    <cellStyle name="Percent 5 2 3 3 5 2 2" xfId="29440" xr:uid="{00000000-0005-0000-0000-000094E20000}"/>
    <cellStyle name="Percent 5 2 3 3 5 2 2 2" xfId="58446" xr:uid="{00000000-0005-0000-0000-000095E20000}"/>
    <cellStyle name="Percent 5 2 3 3 5 2 3" xfId="43947" xr:uid="{00000000-0005-0000-0000-000096E20000}"/>
    <cellStyle name="Percent 5 2 3 3 5 3" xfId="22192" xr:uid="{00000000-0005-0000-0000-000097E20000}"/>
    <cellStyle name="Percent 5 2 3 3 5 3 2" xfId="51198" xr:uid="{00000000-0005-0000-0000-000098E20000}"/>
    <cellStyle name="Percent 5 2 3 3 5 4" xfId="36699" xr:uid="{00000000-0005-0000-0000-000099E20000}"/>
    <cellStyle name="Percent 5 2 3 3 6" xfId="8698" xr:uid="{00000000-0005-0000-0000-00009AE20000}"/>
    <cellStyle name="Percent 5 2 3 3 6 2" xfId="23232" xr:uid="{00000000-0005-0000-0000-00009BE20000}"/>
    <cellStyle name="Percent 5 2 3 3 6 2 2" xfId="52238" xr:uid="{00000000-0005-0000-0000-00009CE20000}"/>
    <cellStyle name="Percent 5 2 3 3 6 3" xfId="37739" xr:uid="{00000000-0005-0000-0000-00009DE20000}"/>
    <cellStyle name="Percent 5 2 3 3 7" xfId="15984" xr:uid="{00000000-0005-0000-0000-00009EE20000}"/>
    <cellStyle name="Percent 5 2 3 3 7 2" xfId="44990" xr:uid="{00000000-0005-0000-0000-00009FE20000}"/>
    <cellStyle name="Percent 5 2 3 3 8" xfId="30491" xr:uid="{00000000-0005-0000-0000-0000A0E20000}"/>
    <cellStyle name="Percent 5 2 3 4" xfId="1954" xr:uid="{00000000-0005-0000-0000-0000A1E20000}"/>
    <cellStyle name="Percent 5 2 3 4 2" xfId="5058" xr:uid="{00000000-0005-0000-0000-0000A2E20000}"/>
    <cellStyle name="Percent 5 2 3 4 2 2" xfId="12330" xr:uid="{00000000-0005-0000-0000-0000A3E20000}"/>
    <cellStyle name="Percent 5 2 3 4 2 2 2" xfId="26864" xr:uid="{00000000-0005-0000-0000-0000A4E20000}"/>
    <cellStyle name="Percent 5 2 3 4 2 2 2 2" xfId="55870" xr:uid="{00000000-0005-0000-0000-0000A5E20000}"/>
    <cellStyle name="Percent 5 2 3 4 2 2 3" xfId="41371" xr:uid="{00000000-0005-0000-0000-0000A6E20000}"/>
    <cellStyle name="Percent 5 2 3 4 2 3" xfId="19616" xr:uid="{00000000-0005-0000-0000-0000A7E20000}"/>
    <cellStyle name="Percent 5 2 3 4 2 3 2" xfId="48622" xr:uid="{00000000-0005-0000-0000-0000A8E20000}"/>
    <cellStyle name="Percent 5 2 3 4 2 4" xfId="34123" xr:uid="{00000000-0005-0000-0000-0000A9E20000}"/>
    <cellStyle name="Percent 5 2 3 4 3" xfId="9226" xr:uid="{00000000-0005-0000-0000-0000AAE20000}"/>
    <cellStyle name="Percent 5 2 3 4 3 2" xfId="23760" xr:uid="{00000000-0005-0000-0000-0000ABE20000}"/>
    <cellStyle name="Percent 5 2 3 4 3 2 2" xfId="52766" xr:uid="{00000000-0005-0000-0000-0000ACE20000}"/>
    <cellStyle name="Percent 5 2 3 4 3 3" xfId="38267" xr:uid="{00000000-0005-0000-0000-0000ADE20000}"/>
    <cellStyle name="Percent 5 2 3 4 4" xfId="16512" xr:uid="{00000000-0005-0000-0000-0000AEE20000}"/>
    <cellStyle name="Percent 5 2 3 4 4 2" xfId="45518" xr:uid="{00000000-0005-0000-0000-0000AFE20000}"/>
    <cellStyle name="Percent 5 2 3 4 5" xfId="31019" xr:uid="{00000000-0005-0000-0000-0000B0E20000}"/>
    <cellStyle name="Percent 5 2 3 5" xfId="2986" xr:uid="{00000000-0005-0000-0000-0000B1E20000}"/>
    <cellStyle name="Percent 5 2 3 5 2" xfId="6090" xr:uid="{00000000-0005-0000-0000-0000B2E20000}"/>
    <cellStyle name="Percent 5 2 3 5 2 2" xfId="13362" xr:uid="{00000000-0005-0000-0000-0000B3E20000}"/>
    <cellStyle name="Percent 5 2 3 5 2 2 2" xfId="27896" xr:uid="{00000000-0005-0000-0000-0000B4E20000}"/>
    <cellStyle name="Percent 5 2 3 5 2 2 2 2" xfId="56902" xr:uid="{00000000-0005-0000-0000-0000B5E20000}"/>
    <cellStyle name="Percent 5 2 3 5 2 2 3" xfId="42403" xr:uid="{00000000-0005-0000-0000-0000B6E20000}"/>
    <cellStyle name="Percent 5 2 3 5 2 3" xfId="20648" xr:uid="{00000000-0005-0000-0000-0000B7E20000}"/>
    <cellStyle name="Percent 5 2 3 5 2 3 2" xfId="49654" xr:uid="{00000000-0005-0000-0000-0000B8E20000}"/>
    <cellStyle name="Percent 5 2 3 5 2 4" xfId="35155" xr:uid="{00000000-0005-0000-0000-0000B9E20000}"/>
    <cellStyle name="Percent 5 2 3 5 3" xfId="10258" xr:uid="{00000000-0005-0000-0000-0000BAE20000}"/>
    <cellStyle name="Percent 5 2 3 5 3 2" xfId="24792" xr:uid="{00000000-0005-0000-0000-0000BBE20000}"/>
    <cellStyle name="Percent 5 2 3 5 3 2 2" xfId="53798" xr:uid="{00000000-0005-0000-0000-0000BCE20000}"/>
    <cellStyle name="Percent 5 2 3 5 3 3" xfId="39299" xr:uid="{00000000-0005-0000-0000-0000BDE20000}"/>
    <cellStyle name="Percent 5 2 3 5 4" xfId="17544" xr:uid="{00000000-0005-0000-0000-0000BEE20000}"/>
    <cellStyle name="Percent 5 2 3 5 4 2" xfId="46550" xr:uid="{00000000-0005-0000-0000-0000BFE20000}"/>
    <cellStyle name="Percent 5 2 3 5 5" xfId="32051" xr:uid="{00000000-0005-0000-0000-0000C0E20000}"/>
    <cellStyle name="Percent 5 2 3 6" xfId="4018" xr:uid="{00000000-0005-0000-0000-0000C1E20000}"/>
    <cellStyle name="Percent 5 2 3 6 2" xfId="11290" xr:uid="{00000000-0005-0000-0000-0000C2E20000}"/>
    <cellStyle name="Percent 5 2 3 6 2 2" xfId="25824" xr:uid="{00000000-0005-0000-0000-0000C3E20000}"/>
    <cellStyle name="Percent 5 2 3 6 2 2 2" xfId="54830" xr:uid="{00000000-0005-0000-0000-0000C4E20000}"/>
    <cellStyle name="Percent 5 2 3 6 2 3" xfId="40331" xr:uid="{00000000-0005-0000-0000-0000C5E20000}"/>
    <cellStyle name="Percent 5 2 3 6 3" xfId="18576" xr:uid="{00000000-0005-0000-0000-0000C6E20000}"/>
    <cellStyle name="Percent 5 2 3 6 3 2" xfId="47582" xr:uid="{00000000-0005-0000-0000-0000C7E20000}"/>
    <cellStyle name="Percent 5 2 3 6 4" xfId="33083" xr:uid="{00000000-0005-0000-0000-0000C8E20000}"/>
    <cellStyle name="Percent 5 2 3 7" xfId="7122" xr:uid="{00000000-0005-0000-0000-0000C9E20000}"/>
    <cellStyle name="Percent 5 2 3 7 2" xfId="14394" xr:uid="{00000000-0005-0000-0000-0000CAE20000}"/>
    <cellStyle name="Percent 5 2 3 7 2 2" xfId="28928" xr:uid="{00000000-0005-0000-0000-0000CBE20000}"/>
    <cellStyle name="Percent 5 2 3 7 2 2 2" xfId="57934" xr:uid="{00000000-0005-0000-0000-0000CCE20000}"/>
    <cellStyle name="Percent 5 2 3 7 2 3" xfId="43435" xr:uid="{00000000-0005-0000-0000-0000CDE20000}"/>
    <cellStyle name="Percent 5 2 3 7 3" xfId="21680" xr:uid="{00000000-0005-0000-0000-0000CEE20000}"/>
    <cellStyle name="Percent 5 2 3 7 3 2" xfId="50686" xr:uid="{00000000-0005-0000-0000-0000CFE20000}"/>
    <cellStyle name="Percent 5 2 3 7 4" xfId="36187" xr:uid="{00000000-0005-0000-0000-0000D0E20000}"/>
    <cellStyle name="Percent 5 2 3 8" xfId="8186" xr:uid="{00000000-0005-0000-0000-0000D1E20000}"/>
    <cellStyle name="Percent 5 2 3 8 2" xfId="22720" xr:uid="{00000000-0005-0000-0000-0000D2E20000}"/>
    <cellStyle name="Percent 5 2 3 8 2 2" xfId="51726" xr:uid="{00000000-0005-0000-0000-0000D3E20000}"/>
    <cellStyle name="Percent 5 2 3 8 3" xfId="37227" xr:uid="{00000000-0005-0000-0000-0000D4E20000}"/>
    <cellStyle name="Percent 5 2 3 9" xfId="15472" xr:uid="{00000000-0005-0000-0000-0000D5E20000}"/>
    <cellStyle name="Percent 5 2 3 9 2" xfId="44478" xr:uid="{00000000-0005-0000-0000-0000D6E20000}"/>
    <cellStyle name="Percent 5 2 4" xfId="450" xr:uid="{00000000-0005-0000-0000-0000D7E20000}"/>
    <cellStyle name="Percent 5 2 4 10" xfId="59306" xr:uid="{00000000-0005-0000-0000-0000D8E20000}"/>
    <cellStyle name="Percent 5 2 4 2" xfId="1610" xr:uid="{00000000-0005-0000-0000-0000D9E20000}"/>
    <cellStyle name="Percent 5 2 4 2 2" xfId="2669" xr:uid="{00000000-0005-0000-0000-0000DAE20000}"/>
    <cellStyle name="Percent 5 2 4 2 2 2" xfId="5773" xr:uid="{00000000-0005-0000-0000-0000DBE20000}"/>
    <cellStyle name="Percent 5 2 4 2 2 2 2" xfId="13045" xr:uid="{00000000-0005-0000-0000-0000DCE20000}"/>
    <cellStyle name="Percent 5 2 4 2 2 2 2 2" xfId="27579" xr:uid="{00000000-0005-0000-0000-0000DDE20000}"/>
    <cellStyle name="Percent 5 2 4 2 2 2 2 2 2" xfId="56585" xr:uid="{00000000-0005-0000-0000-0000DEE20000}"/>
    <cellStyle name="Percent 5 2 4 2 2 2 2 3" xfId="42086" xr:uid="{00000000-0005-0000-0000-0000DFE20000}"/>
    <cellStyle name="Percent 5 2 4 2 2 2 3" xfId="20331" xr:uid="{00000000-0005-0000-0000-0000E0E20000}"/>
    <cellStyle name="Percent 5 2 4 2 2 2 3 2" xfId="49337" xr:uid="{00000000-0005-0000-0000-0000E1E20000}"/>
    <cellStyle name="Percent 5 2 4 2 2 2 4" xfId="34838" xr:uid="{00000000-0005-0000-0000-0000E2E20000}"/>
    <cellStyle name="Percent 5 2 4 2 2 3" xfId="9941" xr:uid="{00000000-0005-0000-0000-0000E3E20000}"/>
    <cellStyle name="Percent 5 2 4 2 2 3 2" xfId="24475" xr:uid="{00000000-0005-0000-0000-0000E4E20000}"/>
    <cellStyle name="Percent 5 2 4 2 2 3 2 2" xfId="53481" xr:uid="{00000000-0005-0000-0000-0000E5E20000}"/>
    <cellStyle name="Percent 5 2 4 2 2 3 3" xfId="38982" xr:uid="{00000000-0005-0000-0000-0000E6E20000}"/>
    <cellStyle name="Percent 5 2 4 2 2 4" xfId="17227" xr:uid="{00000000-0005-0000-0000-0000E7E20000}"/>
    <cellStyle name="Percent 5 2 4 2 2 4 2" xfId="46233" xr:uid="{00000000-0005-0000-0000-0000E8E20000}"/>
    <cellStyle name="Percent 5 2 4 2 2 5" xfId="31734" xr:uid="{00000000-0005-0000-0000-0000E9E20000}"/>
    <cellStyle name="Percent 5 2 4 2 3" xfId="3701" xr:uid="{00000000-0005-0000-0000-0000EAE20000}"/>
    <cellStyle name="Percent 5 2 4 2 3 2" xfId="6805" xr:uid="{00000000-0005-0000-0000-0000EBE20000}"/>
    <cellStyle name="Percent 5 2 4 2 3 2 2" xfId="14077" xr:uid="{00000000-0005-0000-0000-0000ECE20000}"/>
    <cellStyle name="Percent 5 2 4 2 3 2 2 2" xfId="28611" xr:uid="{00000000-0005-0000-0000-0000EDE20000}"/>
    <cellStyle name="Percent 5 2 4 2 3 2 2 2 2" xfId="57617" xr:uid="{00000000-0005-0000-0000-0000EEE20000}"/>
    <cellStyle name="Percent 5 2 4 2 3 2 2 3" xfId="43118" xr:uid="{00000000-0005-0000-0000-0000EFE20000}"/>
    <cellStyle name="Percent 5 2 4 2 3 2 3" xfId="21363" xr:uid="{00000000-0005-0000-0000-0000F0E20000}"/>
    <cellStyle name="Percent 5 2 4 2 3 2 3 2" xfId="50369" xr:uid="{00000000-0005-0000-0000-0000F1E20000}"/>
    <cellStyle name="Percent 5 2 4 2 3 2 4" xfId="35870" xr:uid="{00000000-0005-0000-0000-0000F2E20000}"/>
    <cellStyle name="Percent 5 2 4 2 3 3" xfId="10973" xr:uid="{00000000-0005-0000-0000-0000F3E20000}"/>
    <cellStyle name="Percent 5 2 4 2 3 3 2" xfId="25507" xr:uid="{00000000-0005-0000-0000-0000F4E20000}"/>
    <cellStyle name="Percent 5 2 4 2 3 3 2 2" xfId="54513" xr:uid="{00000000-0005-0000-0000-0000F5E20000}"/>
    <cellStyle name="Percent 5 2 4 2 3 3 3" xfId="40014" xr:uid="{00000000-0005-0000-0000-0000F6E20000}"/>
    <cellStyle name="Percent 5 2 4 2 3 4" xfId="18259" xr:uid="{00000000-0005-0000-0000-0000F7E20000}"/>
    <cellStyle name="Percent 5 2 4 2 3 4 2" xfId="47265" xr:uid="{00000000-0005-0000-0000-0000F8E20000}"/>
    <cellStyle name="Percent 5 2 4 2 3 5" xfId="32766" xr:uid="{00000000-0005-0000-0000-0000F9E20000}"/>
    <cellStyle name="Percent 5 2 4 2 4" xfId="4733" xr:uid="{00000000-0005-0000-0000-0000FAE20000}"/>
    <cellStyle name="Percent 5 2 4 2 4 2" xfId="12005" xr:uid="{00000000-0005-0000-0000-0000FBE20000}"/>
    <cellStyle name="Percent 5 2 4 2 4 2 2" xfId="26539" xr:uid="{00000000-0005-0000-0000-0000FCE20000}"/>
    <cellStyle name="Percent 5 2 4 2 4 2 2 2" xfId="55545" xr:uid="{00000000-0005-0000-0000-0000FDE20000}"/>
    <cellStyle name="Percent 5 2 4 2 4 2 3" xfId="41046" xr:uid="{00000000-0005-0000-0000-0000FEE20000}"/>
    <cellStyle name="Percent 5 2 4 2 4 3" xfId="19291" xr:uid="{00000000-0005-0000-0000-0000FFE20000}"/>
    <cellStyle name="Percent 5 2 4 2 4 3 2" xfId="48297" xr:uid="{00000000-0005-0000-0000-000000E30000}"/>
    <cellStyle name="Percent 5 2 4 2 4 4" xfId="33798" xr:uid="{00000000-0005-0000-0000-000001E30000}"/>
    <cellStyle name="Percent 5 2 4 2 5" xfId="7837" xr:uid="{00000000-0005-0000-0000-000002E30000}"/>
    <cellStyle name="Percent 5 2 4 2 5 2" xfId="15109" xr:uid="{00000000-0005-0000-0000-000003E30000}"/>
    <cellStyle name="Percent 5 2 4 2 5 2 2" xfId="29643" xr:uid="{00000000-0005-0000-0000-000004E30000}"/>
    <cellStyle name="Percent 5 2 4 2 5 2 2 2" xfId="58649" xr:uid="{00000000-0005-0000-0000-000005E30000}"/>
    <cellStyle name="Percent 5 2 4 2 5 2 3" xfId="44150" xr:uid="{00000000-0005-0000-0000-000006E30000}"/>
    <cellStyle name="Percent 5 2 4 2 5 3" xfId="22395" xr:uid="{00000000-0005-0000-0000-000007E30000}"/>
    <cellStyle name="Percent 5 2 4 2 5 3 2" xfId="51401" xr:uid="{00000000-0005-0000-0000-000008E30000}"/>
    <cellStyle name="Percent 5 2 4 2 5 4" xfId="36902" xr:uid="{00000000-0005-0000-0000-000009E30000}"/>
    <cellStyle name="Percent 5 2 4 2 6" xfId="8901" xr:uid="{00000000-0005-0000-0000-00000AE30000}"/>
    <cellStyle name="Percent 5 2 4 2 6 2" xfId="23435" xr:uid="{00000000-0005-0000-0000-00000BE30000}"/>
    <cellStyle name="Percent 5 2 4 2 6 2 2" xfId="52441" xr:uid="{00000000-0005-0000-0000-00000CE30000}"/>
    <cellStyle name="Percent 5 2 4 2 6 3" xfId="37942" xr:uid="{00000000-0005-0000-0000-00000DE30000}"/>
    <cellStyle name="Percent 5 2 4 2 7" xfId="16187" xr:uid="{00000000-0005-0000-0000-00000EE30000}"/>
    <cellStyle name="Percent 5 2 4 2 7 2" xfId="45193" xr:uid="{00000000-0005-0000-0000-00000FE30000}"/>
    <cellStyle name="Percent 5 2 4 2 8" xfId="30694" xr:uid="{00000000-0005-0000-0000-000010E30000}"/>
    <cellStyle name="Percent 5 2 4 3" xfId="2157" xr:uid="{00000000-0005-0000-0000-000011E30000}"/>
    <cellStyle name="Percent 5 2 4 3 2" xfId="5261" xr:uid="{00000000-0005-0000-0000-000012E30000}"/>
    <cellStyle name="Percent 5 2 4 3 2 2" xfId="12533" xr:uid="{00000000-0005-0000-0000-000013E30000}"/>
    <cellStyle name="Percent 5 2 4 3 2 2 2" xfId="27067" xr:uid="{00000000-0005-0000-0000-000014E30000}"/>
    <cellStyle name="Percent 5 2 4 3 2 2 2 2" xfId="56073" xr:uid="{00000000-0005-0000-0000-000015E30000}"/>
    <cellStyle name="Percent 5 2 4 3 2 2 3" xfId="41574" xr:uid="{00000000-0005-0000-0000-000016E30000}"/>
    <cellStyle name="Percent 5 2 4 3 2 3" xfId="19819" xr:uid="{00000000-0005-0000-0000-000017E30000}"/>
    <cellStyle name="Percent 5 2 4 3 2 3 2" xfId="48825" xr:uid="{00000000-0005-0000-0000-000018E30000}"/>
    <cellStyle name="Percent 5 2 4 3 2 4" xfId="34326" xr:uid="{00000000-0005-0000-0000-000019E30000}"/>
    <cellStyle name="Percent 5 2 4 3 3" xfId="9429" xr:uid="{00000000-0005-0000-0000-00001AE30000}"/>
    <cellStyle name="Percent 5 2 4 3 3 2" xfId="23963" xr:uid="{00000000-0005-0000-0000-00001BE30000}"/>
    <cellStyle name="Percent 5 2 4 3 3 2 2" xfId="52969" xr:uid="{00000000-0005-0000-0000-00001CE30000}"/>
    <cellStyle name="Percent 5 2 4 3 3 3" xfId="38470" xr:uid="{00000000-0005-0000-0000-00001DE30000}"/>
    <cellStyle name="Percent 5 2 4 3 4" xfId="16715" xr:uid="{00000000-0005-0000-0000-00001EE30000}"/>
    <cellStyle name="Percent 5 2 4 3 4 2" xfId="45721" xr:uid="{00000000-0005-0000-0000-00001FE30000}"/>
    <cellStyle name="Percent 5 2 4 3 5" xfId="31222" xr:uid="{00000000-0005-0000-0000-000020E30000}"/>
    <cellStyle name="Percent 5 2 4 4" xfId="3189" xr:uid="{00000000-0005-0000-0000-000021E30000}"/>
    <cellStyle name="Percent 5 2 4 4 2" xfId="6293" xr:uid="{00000000-0005-0000-0000-000022E30000}"/>
    <cellStyle name="Percent 5 2 4 4 2 2" xfId="13565" xr:uid="{00000000-0005-0000-0000-000023E30000}"/>
    <cellStyle name="Percent 5 2 4 4 2 2 2" xfId="28099" xr:uid="{00000000-0005-0000-0000-000024E30000}"/>
    <cellStyle name="Percent 5 2 4 4 2 2 2 2" xfId="57105" xr:uid="{00000000-0005-0000-0000-000025E30000}"/>
    <cellStyle name="Percent 5 2 4 4 2 2 3" xfId="42606" xr:uid="{00000000-0005-0000-0000-000026E30000}"/>
    <cellStyle name="Percent 5 2 4 4 2 3" xfId="20851" xr:uid="{00000000-0005-0000-0000-000027E30000}"/>
    <cellStyle name="Percent 5 2 4 4 2 3 2" xfId="49857" xr:uid="{00000000-0005-0000-0000-000028E30000}"/>
    <cellStyle name="Percent 5 2 4 4 2 4" xfId="35358" xr:uid="{00000000-0005-0000-0000-000029E30000}"/>
    <cellStyle name="Percent 5 2 4 4 3" xfId="10461" xr:uid="{00000000-0005-0000-0000-00002AE30000}"/>
    <cellStyle name="Percent 5 2 4 4 3 2" xfId="24995" xr:uid="{00000000-0005-0000-0000-00002BE30000}"/>
    <cellStyle name="Percent 5 2 4 4 3 2 2" xfId="54001" xr:uid="{00000000-0005-0000-0000-00002CE30000}"/>
    <cellStyle name="Percent 5 2 4 4 3 3" xfId="39502" xr:uid="{00000000-0005-0000-0000-00002DE30000}"/>
    <cellStyle name="Percent 5 2 4 4 4" xfId="17747" xr:uid="{00000000-0005-0000-0000-00002EE30000}"/>
    <cellStyle name="Percent 5 2 4 4 4 2" xfId="46753" xr:uid="{00000000-0005-0000-0000-00002FE30000}"/>
    <cellStyle name="Percent 5 2 4 4 5" xfId="32254" xr:uid="{00000000-0005-0000-0000-000030E30000}"/>
    <cellStyle name="Percent 5 2 4 5" xfId="4221" xr:uid="{00000000-0005-0000-0000-000031E30000}"/>
    <cellStyle name="Percent 5 2 4 5 2" xfId="11493" xr:uid="{00000000-0005-0000-0000-000032E30000}"/>
    <cellStyle name="Percent 5 2 4 5 2 2" xfId="26027" xr:uid="{00000000-0005-0000-0000-000033E30000}"/>
    <cellStyle name="Percent 5 2 4 5 2 2 2" xfId="55033" xr:uid="{00000000-0005-0000-0000-000034E30000}"/>
    <cellStyle name="Percent 5 2 4 5 2 3" xfId="40534" xr:uid="{00000000-0005-0000-0000-000035E30000}"/>
    <cellStyle name="Percent 5 2 4 5 3" xfId="18779" xr:uid="{00000000-0005-0000-0000-000036E30000}"/>
    <cellStyle name="Percent 5 2 4 5 3 2" xfId="47785" xr:uid="{00000000-0005-0000-0000-000037E30000}"/>
    <cellStyle name="Percent 5 2 4 5 4" xfId="33286" xr:uid="{00000000-0005-0000-0000-000038E30000}"/>
    <cellStyle name="Percent 5 2 4 6" xfId="7325" xr:uid="{00000000-0005-0000-0000-000039E30000}"/>
    <cellStyle name="Percent 5 2 4 6 2" xfId="14597" xr:uid="{00000000-0005-0000-0000-00003AE30000}"/>
    <cellStyle name="Percent 5 2 4 6 2 2" xfId="29131" xr:uid="{00000000-0005-0000-0000-00003BE30000}"/>
    <cellStyle name="Percent 5 2 4 6 2 2 2" xfId="58137" xr:uid="{00000000-0005-0000-0000-00003CE30000}"/>
    <cellStyle name="Percent 5 2 4 6 2 3" xfId="43638" xr:uid="{00000000-0005-0000-0000-00003DE30000}"/>
    <cellStyle name="Percent 5 2 4 6 3" xfId="21883" xr:uid="{00000000-0005-0000-0000-00003EE30000}"/>
    <cellStyle name="Percent 5 2 4 6 3 2" xfId="50889" xr:uid="{00000000-0005-0000-0000-00003FE30000}"/>
    <cellStyle name="Percent 5 2 4 6 4" xfId="36390" xr:uid="{00000000-0005-0000-0000-000040E30000}"/>
    <cellStyle name="Percent 5 2 4 7" xfId="8389" xr:uid="{00000000-0005-0000-0000-000041E30000}"/>
    <cellStyle name="Percent 5 2 4 7 2" xfId="22923" xr:uid="{00000000-0005-0000-0000-000042E30000}"/>
    <cellStyle name="Percent 5 2 4 7 2 2" xfId="51929" xr:uid="{00000000-0005-0000-0000-000043E30000}"/>
    <cellStyle name="Percent 5 2 4 7 3" xfId="37430" xr:uid="{00000000-0005-0000-0000-000044E30000}"/>
    <cellStyle name="Percent 5 2 4 8" xfId="15675" xr:uid="{00000000-0005-0000-0000-000045E30000}"/>
    <cellStyle name="Percent 5 2 4 8 2" xfId="44681" xr:uid="{00000000-0005-0000-0000-000046E30000}"/>
    <cellStyle name="Percent 5 2 4 9" xfId="30182" xr:uid="{00000000-0005-0000-0000-000047E30000}"/>
    <cellStyle name="Percent 5 2 5" xfId="599" xr:uid="{00000000-0005-0000-0000-000048E30000}"/>
    <cellStyle name="Percent 5 2 5 10" xfId="59460" xr:uid="{00000000-0005-0000-0000-000049E30000}"/>
    <cellStyle name="Percent 5 2 5 2" xfId="1511" xr:uid="{00000000-0005-0000-0000-00004AE30000}"/>
    <cellStyle name="Percent 5 2 5 2 2" xfId="2569" xr:uid="{00000000-0005-0000-0000-00004BE30000}"/>
    <cellStyle name="Percent 5 2 5 2 2 2" xfId="5673" xr:uid="{00000000-0005-0000-0000-00004CE30000}"/>
    <cellStyle name="Percent 5 2 5 2 2 2 2" xfId="12945" xr:uid="{00000000-0005-0000-0000-00004DE30000}"/>
    <cellStyle name="Percent 5 2 5 2 2 2 2 2" xfId="27479" xr:uid="{00000000-0005-0000-0000-00004EE30000}"/>
    <cellStyle name="Percent 5 2 5 2 2 2 2 2 2" xfId="56485" xr:uid="{00000000-0005-0000-0000-00004FE30000}"/>
    <cellStyle name="Percent 5 2 5 2 2 2 2 3" xfId="41986" xr:uid="{00000000-0005-0000-0000-000050E30000}"/>
    <cellStyle name="Percent 5 2 5 2 2 2 3" xfId="20231" xr:uid="{00000000-0005-0000-0000-000051E30000}"/>
    <cellStyle name="Percent 5 2 5 2 2 2 3 2" xfId="49237" xr:uid="{00000000-0005-0000-0000-000052E30000}"/>
    <cellStyle name="Percent 5 2 5 2 2 2 4" xfId="34738" xr:uid="{00000000-0005-0000-0000-000053E30000}"/>
    <cellStyle name="Percent 5 2 5 2 2 3" xfId="9841" xr:uid="{00000000-0005-0000-0000-000054E30000}"/>
    <cellStyle name="Percent 5 2 5 2 2 3 2" xfId="24375" xr:uid="{00000000-0005-0000-0000-000055E30000}"/>
    <cellStyle name="Percent 5 2 5 2 2 3 2 2" xfId="53381" xr:uid="{00000000-0005-0000-0000-000056E30000}"/>
    <cellStyle name="Percent 5 2 5 2 2 3 3" xfId="38882" xr:uid="{00000000-0005-0000-0000-000057E30000}"/>
    <cellStyle name="Percent 5 2 5 2 2 4" xfId="17127" xr:uid="{00000000-0005-0000-0000-000058E30000}"/>
    <cellStyle name="Percent 5 2 5 2 2 4 2" xfId="46133" xr:uid="{00000000-0005-0000-0000-000059E30000}"/>
    <cellStyle name="Percent 5 2 5 2 2 5" xfId="31634" xr:uid="{00000000-0005-0000-0000-00005AE30000}"/>
    <cellStyle name="Percent 5 2 5 2 3" xfId="3601" xr:uid="{00000000-0005-0000-0000-00005BE30000}"/>
    <cellStyle name="Percent 5 2 5 2 3 2" xfId="6705" xr:uid="{00000000-0005-0000-0000-00005CE30000}"/>
    <cellStyle name="Percent 5 2 5 2 3 2 2" xfId="13977" xr:uid="{00000000-0005-0000-0000-00005DE30000}"/>
    <cellStyle name="Percent 5 2 5 2 3 2 2 2" xfId="28511" xr:uid="{00000000-0005-0000-0000-00005EE30000}"/>
    <cellStyle name="Percent 5 2 5 2 3 2 2 2 2" xfId="57517" xr:uid="{00000000-0005-0000-0000-00005FE30000}"/>
    <cellStyle name="Percent 5 2 5 2 3 2 2 3" xfId="43018" xr:uid="{00000000-0005-0000-0000-000060E30000}"/>
    <cellStyle name="Percent 5 2 5 2 3 2 3" xfId="21263" xr:uid="{00000000-0005-0000-0000-000061E30000}"/>
    <cellStyle name="Percent 5 2 5 2 3 2 3 2" xfId="50269" xr:uid="{00000000-0005-0000-0000-000062E30000}"/>
    <cellStyle name="Percent 5 2 5 2 3 2 4" xfId="35770" xr:uid="{00000000-0005-0000-0000-000063E30000}"/>
    <cellStyle name="Percent 5 2 5 2 3 3" xfId="10873" xr:uid="{00000000-0005-0000-0000-000064E30000}"/>
    <cellStyle name="Percent 5 2 5 2 3 3 2" xfId="25407" xr:uid="{00000000-0005-0000-0000-000065E30000}"/>
    <cellStyle name="Percent 5 2 5 2 3 3 2 2" xfId="54413" xr:uid="{00000000-0005-0000-0000-000066E30000}"/>
    <cellStyle name="Percent 5 2 5 2 3 3 3" xfId="39914" xr:uid="{00000000-0005-0000-0000-000067E30000}"/>
    <cellStyle name="Percent 5 2 5 2 3 4" xfId="18159" xr:uid="{00000000-0005-0000-0000-000068E30000}"/>
    <cellStyle name="Percent 5 2 5 2 3 4 2" xfId="47165" xr:uid="{00000000-0005-0000-0000-000069E30000}"/>
    <cellStyle name="Percent 5 2 5 2 3 5" xfId="32666" xr:uid="{00000000-0005-0000-0000-00006AE30000}"/>
    <cellStyle name="Percent 5 2 5 2 4" xfId="4633" xr:uid="{00000000-0005-0000-0000-00006BE30000}"/>
    <cellStyle name="Percent 5 2 5 2 4 2" xfId="11905" xr:uid="{00000000-0005-0000-0000-00006CE30000}"/>
    <cellStyle name="Percent 5 2 5 2 4 2 2" xfId="26439" xr:uid="{00000000-0005-0000-0000-00006DE30000}"/>
    <cellStyle name="Percent 5 2 5 2 4 2 2 2" xfId="55445" xr:uid="{00000000-0005-0000-0000-00006EE30000}"/>
    <cellStyle name="Percent 5 2 5 2 4 2 3" xfId="40946" xr:uid="{00000000-0005-0000-0000-00006FE30000}"/>
    <cellStyle name="Percent 5 2 5 2 4 3" xfId="19191" xr:uid="{00000000-0005-0000-0000-000070E30000}"/>
    <cellStyle name="Percent 5 2 5 2 4 3 2" xfId="48197" xr:uid="{00000000-0005-0000-0000-000071E30000}"/>
    <cellStyle name="Percent 5 2 5 2 4 4" xfId="33698" xr:uid="{00000000-0005-0000-0000-000072E30000}"/>
    <cellStyle name="Percent 5 2 5 2 5" xfId="7737" xr:uid="{00000000-0005-0000-0000-000073E30000}"/>
    <cellStyle name="Percent 5 2 5 2 5 2" xfId="15009" xr:uid="{00000000-0005-0000-0000-000074E30000}"/>
    <cellStyle name="Percent 5 2 5 2 5 2 2" xfId="29543" xr:uid="{00000000-0005-0000-0000-000075E30000}"/>
    <cellStyle name="Percent 5 2 5 2 5 2 2 2" xfId="58549" xr:uid="{00000000-0005-0000-0000-000076E30000}"/>
    <cellStyle name="Percent 5 2 5 2 5 2 3" xfId="44050" xr:uid="{00000000-0005-0000-0000-000077E30000}"/>
    <cellStyle name="Percent 5 2 5 2 5 3" xfId="22295" xr:uid="{00000000-0005-0000-0000-000078E30000}"/>
    <cellStyle name="Percent 5 2 5 2 5 3 2" xfId="51301" xr:uid="{00000000-0005-0000-0000-000079E30000}"/>
    <cellStyle name="Percent 5 2 5 2 5 4" xfId="36802" xr:uid="{00000000-0005-0000-0000-00007AE30000}"/>
    <cellStyle name="Percent 5 2 5 2 6" xfId="8801" xr:uid="{00000000-0005-0000-0000-00007BE30000}"/>
    <cellStyle name="Percent 5 2 5 2 6 2" xfId="23335" xr:uid="{00000000-0005-0000-0000-00007CE30000}"/>
    <cellStyle name="Percent 5 2 5 2 6 2 2" xfId="52341" xr:uid="{00000000-0005-0000-0000-00007DE30000}"/>
    <cellStyle name="Percent 5 2 5 2 6 3" xfId="37842" xr:uid="{00000000-0005-0000-0000-00007EE30000}"/>
    <cellStyle name="Percent 5 2 5 2 7" xfId="16087" xr:uid="{00000000-0005-0000-0000-00007FE30000}"/>
    <cellStyle name="Percent 5 2 5 2 7 2" xfId="45093" xr:uid="{00000000-0005-0000-0000-000080E30000}"/>
    <cellStyle name="Percent 5 2 5 2 8" xfId="30594" xr:uid="{00000000-0005-0000-0000-000081E30000}"/>
    <cellStyle name="Percent 5 2 5 3" xfId="2057" xr:uid="{00000000-0005-0000-0000-000082E30000}"/>
    <cellStyle name="Percent 5 2 5 3 2" xfId="5161" xr:uid="{00000000-0005-0000-0000-000083E30000}"/>
    <cellStyle name="Percent 5 2 5 3 2 2" xfId="12433" xr:uid="{00000000-0005-0000-0000-000084E30000}"/>
    <cellStyle name="Percent 5 2 5 3 2 2 2" xfId="26967" xr:uid="{00000000-0005-0000-0000-000085E30000}"/>
    <cellStyle name="Percent 5 2 5 3 2 2 2 2" xfId="55973" xr:uid="{00000000-0005-0000-0000-000086E30000}"/>
    <cellStyle name="Percent 5 2 5 3 2 2 3" xfId="41474" xr:uid="{00000000-0005-0000-0000-000087E30000}"/>
    <cellStyle name="Percent 5 2 5 3 2 3" xfId="19719" xr:uid="{00000000-0005-0000-0000-000088E30000}"/>
    <cellStyle name="Percent 5 2 5 3 2 3 2" xfId="48725" xr:uid="{00000000-0005-0000-0000-000089E30000}"/>
    <cellStyle name="Percent 5 2 5 3 2 4" xfId="34226" xr:uid="{00000000-0005-0000-0000-00008AE30000}"/>
    <cellStyle name="Percent 5 2 5 3 3" xfId="9329" xr:uid="{00000000-0005-0000-0000-00008BE30000}"/>
    <cellStyle name="Percent 5 2 5 3 3 2" xfId="23863" xr:uid="{00000000-0005-0000-0000-00008CE30000}"/>
    <cellStyle name="Percent 5 2 5 3 3 2 2" xfId="52869" xr:uid="{00000000-0005-0000-0000-00008DE30000}"/>
    <cellStyle name="Percent 5 2 5 3 3 3" xfId="38370" xr:uid="{00000000-0005-0000-0000-00008EE30000}"/>
    <cellStyle name="Percent 5 2 5 3 4" xfId="16615" xr:uid="{00000000-0005-0000-0000-00008FE30000}"/>
    <cellStyle name="Percent 5 2 5 3 4 2" xfId="45621" xr:uid="{00000000-0005-0000-0000-000090E30000}"/>
    <cellStyle name="Percent 5 2 5 3 5" xfId="31122" xr:uid="{00000000-0005-0000-0000-000091E30000}"/>
    <cellStyle name="Percent 5 2 5 4" xfId="3089" xr:uid="{00000000-0005-0000-0000-000092E30000}"/>
    <cellStyle name="Percent 5 2 5 4 2" xfId="6193" xr:uid="{00000000-0005-0000-0000-000093E30000}"/>
    <cellStyle name="Percent 5 2 5 4 2 2" xfId="13465" xr:uid="{00000000-0005-0000-0000-000094E30000}"/>
    <cellStyle name="Percent 5 2 5 4 2 2 2" xfId="27999" xr:uid="{00000000-0005-0000-0000-000095E30000}"/>
    <cellStyle name="Percent 5 2 5 4 2 2 2 2" xfId="57005" xr:uid="{00000000-0005-0000-0000-000096E30000}"/>
    <cellStyle name="Percent 5 2 5 4 2 2 3" xfId="42506" xr:uid="{00000000-0005-0000-0000-000097E30000}"/>
    <cellStyle name="Percent 5 2 5 4 2 3" xfId="20751" xr:uid="{00000000-0005-0000-0000-000098E30000}"/>
    <cellStyle name="Percent 5 2 5 4 2 3 2" xfId="49757" xr:uid="{00000000-0005-0000-0000-000099E30000}"/>
    <cellStyle name="Percent 5 2 5 4 2 4" xfId="35258" xr:uid="{00000000-0005-0000-0000-00009AE30000}"/>
    <cellStyle name="Percent 5 2 5 4 3" xfId="10361" xr:uid="{00000000-0005-0000-0000-00009BE30000}"/>
    <cellStyle name="Percent 5 2 5 4 3 2" xfId="24895" xr:uid="{00000000-0005-0000-0000-00009CE30000}"/>
    <cellStyle name="Percent 5 2 5 4 3 2 2" xfId="53901" xr:uid="{00000000-0005-0000-0000-00009DE30000}"/>
    <cellStyle name="Percent 5 2 5 4 3 3" xfId="39402" xr:uid="{00000000-0005-0000-0000-00009EE30000}"/>
    <cellStyle name="Percent 5 2 5 4 4" xfId="17647" xr:uid="{00000000-0005-0000-0000-00009FE30000}"/>
    <cellStyle name="Percent 5 2 5 4 4 2" xfId="46653" xr:uid="{00000000-0005-0000-0000-0000A0E30000}"/>
    <cellStyle name="Percent 5 2 5 4 5" xfId="32154" xr:uid="{00000000-0005-0000-0000-0000A1E30000}"/>
    <cellStyle name="Percent 5 2 5 5" xfId="4121" xr:uid="{00000000-0005-0000-0000-0000A2E30000}"/>
    <cellStyle name="Percent 5 2 5 5 2" xfId="11393" xr:uid="{00000000-0005-0000-0000-0000A3E30000}"/>
    <cellStyle name="Percent 5 2 5 5 2 2" xfId="25927" xr:uid="{00000000-0005-0000-0000-0000A4E30000}"/>
    <cellStyle name="Percent 5 2 5 5 2 2 2" xfId="54933" xr:uid="{00000000-0005-0000-0000-0000A5E30000}"/>
    <cellStyle name="Percent 5 2 5 5 2 3" xfId="40434" xr:uid="{00000000-0005-0000-0000-0000A6E30000}"/>
    <cellStyle name="Percent 5 2 5 5 3" xfId="18679" xr:uid="{00000000-0005-0000-0000-0000A7E30000}"/>
    <cellStyle name="Percent 5 2 5 5 3 2" xfId="47685" xr:uid="{00000000-0005-0000-0000-0000A8E30000}"/>
    <cellStyle name="Percent 5 2 5 5 4" xfId="33186" xr:uid="{00000000-0005-0000-0000-0000A9E30000}"/>
    <cellStyle name="Percent 5 2 5 6" xfId="7225" xr:uid="{00000000-0005-0000-0000-0000AAE30000}"/>
    <cellStyle name="Percent 5 2 5 6 2" xfId="14497" xr:uid="{00000000-0005-0000-0000-0000ABE30000}"/>
    <cellStyle name="Percent 5 2 5 6 2 2" xfId="29031" xr:uid="{00000000-0005-0000-0000-0000ACE30000}"/>
    <cellStyle name="Percent 5 2 5 6 2 2 2" xfId="58037" xr:uid="{00000000-0005-0000-0000-0000ADE30000}"/>
    <cellStyle name="Percent 5 2 5 6 2 3" xfId="43538" xr:uid="{00000000-0005-0000-0000-0000AEE30000}"/>
    <cellStyle name="Percent 5 2 5 6 3" xfId="21783" xr:uid="{00000000-0005-0000-0000-0000AFE30000}"/>
    <cellStyle name="Percent 5 2 5 6 3 2" xfId="50789" xr:uid="{00000000-0005-0000-0000-0000B0E30000}"/>
    <cellStyle name="Percent 5 2 5 6 4" xfId="36290" xr:uid="{00000000-0005-0000-0000-0000B1E30000}"/>
    <cellStyle name="Percent 5 2 5 7" xfId="8289" xr:uid="{00000000-0005-0000-0000-0000B2E30000}"/>
    <cellStyle name="Percent 5 2 5 7 2" xfId="22823" xr:uid="{00000000-0005-0000-0000-0000B3E30000}"/>
    <cellStyle name="Percent 5 2 5 7 2 2" xfId="51829" xr:uid="{00000000-0005-0000-0000-0000B4E30000}"/>
    <cellStyle name="Percent 5 2 5 7 3" xfId="37330" xr:uid="{00000000-0005-0000-0000-0000B5E30000}"/>
    <cellStyle name="Percent 5 2 5 8" xfId="15575" xr:uid="{00000000-0005-0000-0000-0000B6E30000}"/>
    <cellStyle name="Percent 5 2 5 8 2" xfId="44581" xr:uid="{00000000-0005-0000-0000-0000B7E30000}"/>
    <cellStyle name="Percent 5 2 5 9" xfId="30082" xr:uid="{00000000-0005-0000-0000-0000B8E30000}"/>
    <cellStyle name="Percent 5 2 6" xfId="334" xr:uid="{00000000-0005-0000-0000-0000B9E30000}"/>
    <cellStyle name="Percent 5 2 6 2" xfId="2363" xr:uid="{00000000-0005-0000-0000-0000BAE30000}"/>
    <cellStyle name="Percent 5 2 6 2 2" xfId="5467" xr:uid="{00000000-0005-0000-0000-0000BBE30000}"/>
    <cellStyle name="Percent 5 2 6 2 2 2" xfId="12739" xr:uid="{00000000-0005-0000-0000-0000BCE30000}"/>
    <cellStyle name="Percent 5 2 6 2 2 2 2" xfId="27273" xr:uid="{00000000-0005-0000-0000-0000BDE30000}"/>
    <cellStyle name="Percent 5 2 6 2 2 2 2 2" xfId="56279" xr:uid="{00000000-0005-0000-0000-0000BEE30000}"/>
    <cellStyle name="Percent 5 2 6 2 2 2 3" xfId="41780" xr:uid="{00000000-0005-0000-0000-0000BFE30000}"/>
    <cellStyle name="Percent 5 2 6 2 2 3" xfId="20025" xr:uid="{00000000-0005-0000-0000-0000C0E30000}"/>
    <cellStyle name="Percent 5 2 6 2 2 3 2" xfId="49031" xr:uid="{00000000-0005-0000-0000-0000C1E30000}"/>
    <cellStyle name="Percent 5 2 6 2 2 4" xfId="34532" xr:uid="{00000000-0005-0000-0000-0000C2E30000}"/>
    <cellStyle name="Percent 5 2 6 2 3" xfId="9635" xr:uid="{00000000-0005-0000-0000-0000C3E30000}"/>
    <cellStyle name="Percent 5 2 6 2 3 2" xfId="24169" xr:uid="{00000000-0005-0000-0000-0000C4E30000}"/>
    <cellStyle name="Percent 5 2 6 2 3 2 2" xfId="53175" xr:uid="{00000000-0005-0000-0000-0000C5E30000}"/>
    <cellStyle name="Percent 5 2 6 2 3 3" xfId="38676" xr:uid="{00000000-0005-0000-0000-0000C6E30000}"/>
    <cellStyle name="Percent 5 2 6 2 4" xfId="16921" xr:uid="{00000000-0005-0000-0000-0000C7E30000}"/>
    <cellStyle name="Percent 5 2 6 2 4 2" xfId="45927" xr:uid="{00000000-0005-0000-0000-0000C8E30000}"/>
    <cellStyle name="Percent 5 2 6 2 5" xfId="31428" xr:uid="{00000000-0005-0000-0000-0000C9E30000}"/>
    <cellStyle name="Percent 5 2 6 3" xfId="3395" xr:uid="{00000000-0005-0000-0000-0000CAE30000}"/>
    <cellStyle name="Percent 5 2 6 3 2" xfId="6499" xr:uid="{00000000-0005-0000-0000-0000CBE30000}"/>
    <cellStyle name="Percent 5 2 6 3 2 2" xfId="13771" xr:uid="{00000000-0005-0000-0000-0000CCE30000}"/>
    <cellStyle name="Percent 5 2 6 3 2 2 2" xfId="28305" xr:uid="{00000000-0005-0000-0000-0000CDE30000}"/>
    <cellStyle name="Percent 5 2 6 3 2 2 2 2" xfId="57311" xr:uid="{00000000-0005-0000-0000-0000CEE30000}"/>
    <cellStyle name="Percent 5 2 6 3 2 2 3" xfId="42812" xr:uid="{00000000-0005-0000-0000-0000CFE30000}"/>
    <cellStyle name="Percent 5 2 6 3 2 3" xfId="21057" xr:uid="{00000000-0005-0000-0000-0000D0E30000}"/>
    <cellStyle name="Percent 5 2 6 3 2 3 2" xfId="50063" xr:uid="{00000000-0005-0000-0000-0000D1E30000}"/>
    <cellStyle name="Percent 5 2 6 3 2 4" xfId="35564" xr:uid="{00000000-0005-0000-0000-0000D2E30000}"/>
    <cellStyle name="Percent 5 2 6 3 3" xfId="10667" xr:uid="{00000000-0005-0000-0000-0000D3E30000}"/>
    <cellStyle name="Percent 5 2 6 3 3 2" xfId="25201" xr:uid="{00000000-0005-0000-0000-0000D4E30000}"/>
    <cellStyle name="Percent 5 2 6 3 3 2 2" xfId="54207" xr:uid="{00000000-0005-0000-0000-0000D5E30000}"/>
    <cellStyle name="Percent 5 2 6 3 3 3" xfId="39708" xr:uid="{00000000-0005-0000-0000-0000D6E30000}"/>
    <cellStyle name="Percent 5 2 6 3 4" xfId="17953" xr:uid="{00000000-0005-0000-0000-0000D7E30000}"/>
    <cellStyle name="Percent 5 2 6 3 4 2" xfId="46959" xr:uid="{00000000-0005-0000-0000-0000D8E30000}"/>
    <cellStyle name="Percent 5 2 6 3 5" xfId="32460" xr:uid="{00000000-0005-0000-0000-0000D9E30000}"/>
    <cellStyle name="Percent 5 2 6 4" xfId="4427" xr:uid="{00000000-0005-0000-0000-0000DAE30000}"/>
    <cellStyle name="Percent 5 2 6 4 2" xfId="11699" xr:uid="{00000000-0005-0000-0000-0000DBE30000}"/>
    <cellStyle name="Percent 5 2 6 4 2 2" xfId="26233" xr:uid="{00000000-0005-0000-0000-0000DCE30000}"/>
    <cellStyle name="Percent 5 2 6 4 2 2 2" xfId="55239" xr:uid="{00000000-0005-0000-0000-0000DDE30000}"/>
    <cellStyle name="Percent 5 2 6 4 2 3" xfId="40740" xr:uid="{00000000-0005-0000-0000-0000DEE30000}"/>
    <cellStyle name="Percent 5 2 6 4 3" xfId="18985" xr:uid="{00000000-0005-0000-0000-0000DFE30000}"/>
    <cellStyle name="Percent 5 2 6 4 3 2" xfId="47991" xr:uid="{00000000-0005-0000-0000-0000E0E30000}"/>
    <cellStyle name="Percent 5 2 6 4 4" xfId="33492" xr:uid="{00000000-0005-0000-0000-0000E1E30000}"/>
    <cellStyle name="Percent 5 2 6 5" xfId="7531" xr:uid="{00000000-0005-0000-0000-0000E2E30000}"/>
    <cellStyle name="Percent 5 2 6 5 2" xfId="14803" xr:uid="{00000000-0005-0000-0000-0000E3E30000}"/>
    <cellStyle name="Percent 5 2 6 5 2 2" xfId="29337" xr:uid="{00000000-0005-0000-0000-0000E4E30000}"/>
    <cellStyle name="Percent 5 2 6 5 2 2 2" xfId="58343" xr:uid="{00000000-0005-0000-0000-0000E5E30000}"/>
    <cellStyle name="Percent 5 2 6 5 2 3" xfId="43844" xr:uid="{00000000-0005-0000-0000-0000E6E30000}"/>
    <cellStyle name="Percent 5 2 6 5 3" xfId="22089" xr:uid="{00000000-0005-0000-0000-0000E7E30000}"/>
    <cellStyle name="Percent 5 2 6 5 3 2" xfId="51095" xr:uid="{00000000-0005-0000-0000-0000E8E30000}"/>
    <cellStyle name="Percent 5 2 6 5 4" xfId="36596" xr:uid="{00000000-0005-0000-0000-0000E9E30000}"/>
    <cellStyle name="Percent 5 2 6 6" xfId="8595" xr:uid="{00000000-0005-0000-0000-0000EAE30000}"/>
    <cellStyle name="Percent 5 2 6 6 2" xfId="23129" xr:uid="{00000000-0005-0000-0000-0000EBE30000}"/>
    <cellStyle name="Percent 5 2 6 6 2 2" xfId="52135" xr:uid="{00000000-0005-0000-0000-0000ECE30000}"/>
    <cellStyle name="Percent 5 2 6 6 3" xfId="37636" xr:uid="{00000000-0005-0000-0000-0000EDE30000}"/>
    <cellStyle name="Percent 5 2 6 7" xfId="15881" xr:uid="{00000000-0005-0000-0000-0000EEE30000}"/>
    <cellStyle name="Percent 5 2 6 7 2" xfId="44887" xr:uid="{00000000-0005-0000-0000-0000EFE30000}"/>
    <cellStyle name="Percent 5 2 6 8" xfId="30388" xr:uid="{00000000-0005-0000-0000-0000F0E30000}"/>
    <cellStyle name="Percent 5 2 6 9" xfId="59182" xr:uid="{00000000-0005-0000-0000-0000F1E30000}"/>
    <cellStyle name="Percent 5 2 7" xfId="1851" xr:uid="{00000000-0005-0000-0000-0000F2E30000}"/>
    <cellStyle name="Percent 5 2 7 2" xfId="4955" xr:uid="{00000000-0005-0000-0000-0000F3E30000}"/>
    <cellStyle name="Percent 5 2 7 2 2" xfId="12227" xr:uid="{00000000-0005-0000-0000-0000F4E30000}"/>
    <cellStyle name="Percent 5 2 7 2 2 2" xfId="26761" xr:uid="{00000000-0005-0000-0000-0000F5E30000}"/>
    <cellStyle name="Percent 5 2 7 2 2 2 2" xfId="55767" xr:uid="{00000000-0005-0000-0000-0000F6E30000}"/>
    <cellStyle name="Percent 5 2 7 2 2 3" xfId="41268" xr:uid="{00000000-0005-0000-0000-0000F7E30000}"/>
    <cellStyle name="Percent 5 2 7 2 3" xfId="19513" xr:uid="{00000000-0005-0000-0000-0000F8E30000}"/>
    <cellStyle name="Percent 5 2 7 2 3 2" xfId="48519" xr:uid="{00000000-0005-0000-0000-0000F9E30000}"/>
    <cellStyle name="Percent 5 2 7 2 4" xfId="34020" xr:uid="{00000000-0005-0000-0000-0000FAE30000}"/>
    <cellStyle name="Percent 5 2 7 3" xfId="9123" xr:uid="{00000000-0005-0000-0000-0000FBE30000}"/>
    <cellStyle name="Percent 5 2 7 3 2" xfId="23657" xr:uid="{00000000-0005-0000-0000-0000FCE30000}"/>
    <cellStyle name="Percent 5 2 7 3 2 2" xfId="52663" xr:uid="{00000000-0005-0000-0000-0000FDE30000}"/>
    <cellStyle name="Percent 5 2 7 3 3" xfId="38164" xr:uid="{00000000-0005-0000-0000-0000FEE30000}"/>
    <cellStyle name="Percent 5 2 7 4" xfId="16409" xr:uid="{00000000-0005-0000-0000-0000FFE30000}"/>
    <cellStyle name="Percent 5 2 7 4 2" xfId="45415" xr:uid="{00000000-0005-0000-0000-000000E40000}"/>
    <cellStyle name="Percent 5 2 7 5" xfId="30916" xr:uid="{00000000-0005-0000-0000-000001E40000}"/>
    <cellStyle name="Percent 5 2 7 6" xfId="59509" xr:uid="{00000000-0005-0000-0000-000002E40000}"/>
    <cellStyle name="Percent 5 2 8" xfId="2883" xr:uid="{00000000-0005-0000-0000-000003E40000}"/>
    <cellStyle name="Percent 5 2 8 2" xfId="5987" xr:uid="{00000000-0005-0000-0000-000004E40000}"/>
    <cellStyle name="Percent 5 2 8 2 2" xfId="13259" xr:uid="{00000000-0005-0000-0000-000005E40000}"/>
    <cellStyle name="Percent 5 2 8 2 2 2" xfId="27793" xr:uid="{00000000-0005-0000-0000-000006E40000}"/>
    <cellStyle name="Percent 5 2 8 2 2 2 2" xfId="56799" xr:uid="{00000000-0005-0000-0000-000007E40000}"/>
    <cellStyle name="Percent 5 2 8 2 2 3" xfId="42300" xr:uid="{00000000-0005-0000-0000-000008E40000}"/>
    <cellStyle name="Percent 5 2 8 2 3" xfId="20545" xr:uid="{00000000-0005-0000-0000-000009E40000}"/>
    <cellStyle name="Percent 5 2 8 2 3 2" xfId="49551" xr:uid="{00000000-0005-0000-0000-00000AE40000}"/>
    <cellStyle name="Percent 5 2 8 2 4" xfId="35052" xr:uid="{00000000-0005-0000-0000-00000BE40000}"/>
    <cellStyle name="Percent 5 2 8 3" xfId="10155" xr:uid="{00000000-0005-0000-0000-00000CE40000}"/>
    <cellStyle name="Percent 5 2 8 3 2" xfId="24689" xr:uid="{00000000-0005-0000-0000-00000DE40000}"/>
    <cellStyle name="Percent 5 2 8 3 2 2" xfId="53695" xr:uid="{00000000-0005-0000-0000-00000EE40000}"/>
    <cellStyle name="Percent 5 2 8 3 3" xfId="39196" xr:uid="{00000000-0005-0000-0000-00000FE40000}"/>
    <cellStyle name="Percent 5 2 8 4" xfId="17441" xr:uid="{00000000-0005-0000-0000-000010E40000}"/>
    <cellStyle name="Percent 5 2 8 4 2" xfId="46447" xr:uid="{00000000-0005-0000-0000-000011E40000}"/>
    <cellStyle name="Percent 5 2 8 5" xfId="31948" xr:uid="{00000000-0005-0000-0000-000012E40000}"/>
    <cellStyle name="Percent 5 2 9" xfId="3915" xr:uid="{00000000-0005-0000-0000-000013E40000}"/>
    <cellStyle name="Percent 5 2 9 2" xfId="11187" xr:uid="{00000000-0005-0000-0000-000014E40000}"/>
    <cellStyle name="Percent 5 2 9 2 2" xfId="25721" xr:uid="{00000000-0005-0000-0000-000015E40000}"/>
    <cellStyle name="Percent 5 2 9 2 2 2" xfId="54727" xr:uid="{00000000-0005-0000-0000-000016E40000}"/>
    <cellStyle name="Percent 5 2 9 2 3" xfId="40228" xr:uid="{00000000-0005-0000-0000-000017E40000}"/>
    <cellStyle name="Percent 5 2 9 3" xfId="18473" xr:uid="{00000000-0005-0000-0000-000018E40000}"/>
    <cellStyle name="Percent 5 2 9 3 2" xfId="47479" xr:uid="{00000000-0005-0000-0000-000019E40000}"/>
    <cellStyle name="Percent 5 2 9 4" xfId="32980" xr:uid="{00000000-0005-0000-0000-00001AE40000}"/>
    <cellStyle name="Percent 5 20" xfId="59074" xr:uid="{00000000-0005-0000-0000-00001BE40000}"/>
    <cellStyle name="Percent 5 3" xfId="153" xr:uid="{00000000-0005-0000-0000-00001CE40000}"/>
    <cellStyle name="Percent 5 3 10" xfId="8111" xr:uid="{00000000-0005-0000-0000-00001DE40000}"/>
    <cellStyle name="Percent 5 3 10 2" xfId="22645" xr:uid="{00000000-0005-0000-0000-00001EE40000}"/>
    <cellStyle name="Percent 5 3 10 2 2" xfId="51651" xr:uid="{00000000-0005-0000-0000-00001FE40000}"/>
    <cellStyle name="Percent 5 3 10 3" xfId="37152" xr:uid="{00000000-0005-0000-0000-000020E40000}"/>
    <cellStyle name="Percent 5 3 11" xfId="15397" xr:uid="{00000000-0005-0000-0000-000021E40000}"/>
    <cellStyle name="Percent 5 3 11 2" xfId="44403" xr:uid="{00000000-0005-0000-0000-000022E40000}"/>
    <cellStyle name="Percent 5 3 12" xfId="29904" xr:uid="{00000000-0005-0000-0000-000023E40000}"/>
    <cellStyle name="Percent 5 3 13" xfId="58846" xr:uid="{00000000-0005-0000-0000-000024E40000}"/>
    <cellStyle name="Percent 5 3 14" xfId="58886" xr:uid="{00000000-0005-0000-0000-000025E40000}"/>
    <cellStyle name="Percent 5 3 15" xfId="58977" xr:uid="{00000000-0005-0000-0000-000026E40000}"/>
    <cellStyle name="Percent 5 3 16" xfId="59106" xr:uid="{00000000-0005-0000-0000-000027E40000}"/>
    <cellStyle name="Percent 5 3 2" xfId="227" xr:uid="{00000000-0005-0000-0000-000028E40000}"/>
    <cellStyle name="Percent 5 3 2 10" xfId="30007" xr:uid="{00000000-0005-0000-0000-000029E40000}"/>
    <cellStyle name="Percent 5 3 2 11" xfId="58908" xr:uid="{00000000-0005-0000-0000-00002AE40000}"/>
    <cellStyle name="Percent 5 3 2 12" xfId="59051" xr:uid="{00000000-0005-0000-0000-00002BE40000}"/>
    <cellStyle name="Percent 5 3 2 13" xfId="59254" xr:uid="{00000000-0005-0000-0000-00002CE40000}"/>
    <cellStyle name="Percent 5 3 2 2" xfId="535" xr:uid="{00000000-0005-0000-0000-00002DE40000}"/>
    <cellStyle name="Percent 5 3 2 2 10" xfId="59397" xr:uid="{00000000-0005-0000-0000-00002EE40000}"/>
    <cellStyle name="Percent 5 3 2 2 2" xfId="1741" xr:uid="{00000000-0005-0000-0000-00002FE40000}"/>
    <cellStyle name="Percent 5 3 2 2 2 2" xfId="2800" xr:uid="{00000000-0005-0000-0000-000030E40000}"/>
    <cellStyle name="Percent 5 3 2 2 2 2 2" xfId="5904" xr:uid="{00000000-0005-0000-0000-000031E40000}"/>
    <cellStyle name="Percent 5 3 2 2 2 2 2 2" xfId="13176" xr:uid="{00000000-0005-0000-0000-000032E40000}"/>
    <cellStyle name="Percent 5 3 2 2 2 2 2 2 2" xfId="27710" xr:uid="{00000000-0005-0000-0000-000033E40000}"/>
    <cellStyle name="Percent 5 3 2 2 2 2 2 2 2 2" xfId="56716" xr:uid="{00000000-0005-0000-0000-000034E40000}"/>
    <cellStyle name="Percent 5 3 2 2 2 2 2 2 3" xfId="42217" xr:uid="{00000000-0005-0000-0000-000035E40000}"/>
    <cellStyle name="Percent 5 3 2 2 2 2 2 3" xfId="20462" xr:uid="{00000000-0005-0000-0000-000036E40000}"/>
    <cellStyle name="Percent 5 3 2 2 2 2 2 3 2" xfId="49468" xr:uid="{00000000-0005-0000-0000-000037E40000}"/>
    <cellStyle name="Percent 5 3 2 2 2 2 2 4" xfId="34969" xr:uid="{00000000-0005-0000-0000-000038E40000}"/>
    <cellStyle name="Percent 5 3 2 2 2 2 3" xfId="10072" xr:uid="{00000000-0005-0000-0000-000039E40000}"/>
    <cellStyle name="Percent 5 3 2 2 2 2 3 2" xfId="24606" xr:uid="{00000000-0005-0000-0000-00003AE40000}"/>
    <cellStyle name="Percent 5 3 2 2 2 2 3 2 2" xfId="53612" xr:uid="{00000000-0005-0000-0000-00003BE40000}"/>
    <cellStyle name="Percent 5 3 2 2 2 2 3 3" xfId="39113" xr:uid="{00000000-0005-0000-0000-00003CE40000}"/>
    <cellStyle name="Percent 5 3 2 2 2 2 4" xfId="17358" xr:uid="{00000000-0005-0000-0000-00003DE40000}"/>
    <cellStyle name="Percent 5 3 2 2 2 2 4 2" xfId="46364" xr:uid="{00000000-0005-0000-0000-00003EE40000}"/>
    <cellStyle name="Percent 5 3 2 2 2 2 5" xfId="31865" xr:uid="{00000000-0005-0000-0000-00003FE40000}"/>
    <cellStyle name="Percent 5 3 2 2 2 3" xfId="3832" xr:uid="{00000000-0005-0000-0000-000040E40000}"/>
    <cellStyle name="Percent 5 3 2 2 2 3 2" xfId="6936" xr:uid="{00000000-0005-0000-0000-000041E40000}"/>
    <cellStyle name="Percent 5 3 2 2 2 3 2 2" xfId="14208" xr:uid="{00000000-0005-0000-0000-000042E40000}"/>
    <cellStyle name="Percent 5 3 2 2 2 3 2 2 2" xfId="28742" xr:uid="{00000000-0005-0000-0000-000043E40000}"/>
    <cellStyle name="Percent 5 3 2 2 2 3 2 2 2 2" xfId="57748" xr:uid="{00000000-0005-0000-0000-000044E40000}"/>
    <cellStyle name="Percent 5 3 2 2 2 3 2 2 3" xfId="43249" xr:uid="{00000000-0005-0000-0000-000045E40000}"/>
    <cellStyle name="Percent 5 3 2 2 2 3 2 3" xfId="21494" xr:uid="{00000000-0005-0000-0000-000046E40000}"/>
    <cellStyle name="Percent 5 3 2 2 2 3 2 3 2" xfId="50500" xr:uid="{00000000-0005-0000-0000-000047E40000}"/>
    <cellStyle name="Percent 5 3 2 2 2 3 2 4" xfId="36001" xr:uid="{00000000-0005-0000-0000-000048E40000}"/>
    <cellStyle name="Percent 5 3 2 2 2 3 3" xfId="11104" xr:uid="{00000000-0005-0000-0000-000049E40000}"/>
    <cellStyle name="Percent 5 3 2 2 2 3 3 2" xfId="25638" xr:uid="{00000000-0005-0000-0000-00004AE40000}"/>
    <cellStyle name="Percent 5 3 2 2 2 3 3 2 2" xfId="54644" xr:uid="{00000000-0005-0000-0000-00004BE40000}"/>
    <cellStyle name="Percent 5 3 2 2 2 3 3 3" xfId="40145" xr:uid="{00000000-0005-0000-0000-00004CE40000}"/>
    <cellStyle name="Percent 5 3 2 2 2 3 4" xfId="18390" xr:uid="{00000000-0005-0000-0000-00004DE40000}"/>
    <cellStyle name="Percent 5 3 2 2 2 3 4 2" xfId="47396" xr:uid="{00000000-0005-0000-0000-00004EE40000}"/>
    <cellStyle name="Percent 5 3 2 2 2 3 5" xfId="32897" xr:uid="{00000000-0005-0000-0000-00004FE40000}"/>
    <cellStyle name="Percent 5 3 2 2 2 4" xfId="4864" xr:uid="{00000000-0005-0000-0000-000050E40000}"/>
    <cellStyle name="Percent 5 3 2 2 2 4 2" xfId="12136" xr:uid="{00000000-0005-0000-0000-000051E40000}"/>
    <cellStyle name="Percent 5 3 2 2 2 4 2 2" xfId="26670" xr:uid="{00000000-0005-0000-0000-000052E40000}"/>
    <cellStyle name="Percent 5 3 2 2 2 4 2 2 2" xfId="55676" xr:uid="{00000000-0005-0000-0000-000053E40000}"/>
    <cellStyle name="Percent 5 3 2 2 2 4 2 3" xfId="41177" xr:uid="{00000000-0005-0000-0000-000054E40000}"/>
    <cellStyle name="Percent 5 3 2 2 2 4 3" xfId="19422" xr:uid="{00000000-0005-0000-0000-000055E40000}"/>
    <cellStyle name="Percent 5 3 2 2 2 4 3 2" xfId="48428" xr:uid="{00000000-0005-0000-0000-000056E40000}"/>
    <cellStyle name="Percent 5 3 2 2 2 4 4" xfId="33929" xr:uid="{00000000-0005-0000-0000-000057E40000}"/>
    <cellStyle name="Percent 5 3 2 2 2 5" xfId="7968" xr:uid="{00000000-0005-0000-0000-000058E40000}"/>
    <cellStyle name="Percent 5 3 2 2 2 5 2" xfId="15240" xr:uid="{00000000-0005-0000-0000-000059E40000}"/>
    <cellStyle name="Percent 5 3 2 2 2 5 2 2" xfId="29774" xr:uid="{00000000-0005-0000-0000-00005AE40000}"/>
    <cellStyle name="Percent 5 3 2 2 2 5 2 2 2" xfId="58780" xr:uid="{00000000-0005-0000-0000-00005BE40000}"/>
    <cellStyle name="Percent 5 3 2 2 2 5 2 3" xfId="44281" xr:uid="{00000000-0005-0000-0000-00005CE40000}"/>
    <cellStyle name="Percent 5 3 2 2 2 5 3" xfId="22526" xr:uid="{00000000-0005-0000-0000-00005DE40000}"/>
    <cellStyle name="Percent 5 3 2 2 2 5 3 2" xfId="51532" xr:uid="{00000000-0005-0000-0000-00005EE40000}"/>
    <cellStyle name="Percent 5 3 2 2 2 5 4" xfId="37033" xr:uid="{00000000-0005-0000-0000-00005FE40000}"/>
    <cellStyle name="Percent 5 3 2 2 2 6" xfId="9032" xr:uid="{00000000-0005-0000-0000-000060E40000}"/>
    <cellStyle name="Percent 5 3 2 2 2 6 2" xfId="23566" xr:uid="{00000000-0005-0000-0000-000061E40000}"/>
    <cellStyle name="Percent 5 3 2 2 2 6 2 2" xfId="52572" xr:uid="{00000000-0005-0000-0000-000062E40000}"/>
    <cellStyle name="Percent 5 3 2 2 2 6 3" xfId="38073" xr:uid="{00000000-0005-0000-0000-000063E40000}"/>
    <cellStyle name="Percent 5 3 2 2 2 7" xfId="16318" xr:uid="{00000000-0005-0000-0000-000064E40000}"/>
    <cellStyle name="Percent 5 3 2 2 2 7 2" xfId="45324" xr:uid="{00000000-0005-0000-0000-000065E40000}"/>
    <cellStyle name="Percent 5 3 2 2 2 8" xfId="30825" xr:uid="{00000000-0005-0000-0000-000066E40000}"/>
    <cellStyle name="Percent 5 3 2 2 3" xfId="2288" xr:uid="{00000000-0005-0000-0000-000067E40000}"/>
    <cellStyle name="Percent 5 3 2 2 3 2" xfId="5392" xr:uid="{00000000-0005-0000-0000-000068E40000}"/>
    <cellStyle name="Percent 5 3 2 2 3 2 2" xfId="12664" xr:uid="{00000000-0005-0000-0000-000069E40000}"/>
    <cellStyle name="Percent 5 3 2 2 3 2 2 2" xfId="27198" xr:uid="{00000000-0005-0000-0000-00006AE40000}"/>
    <cellStyle name="Percent 5 3 2 2 3 2 2 2 2" xfId="56204" xr:uid="{00000000-0005-0000-0000-00006BE40000}"/>
    <cellStyle name="Percent 5 3 2 2 3 2 2 3" xfId="41705" xr:uid="{00000000-0005-0000-0000-00006CE40000}"/>
    <cellStyle name="Percent 5 3 2 2 3 2 3" xfId="19950" xr:uid="{00000000-0005-0000-0000-00006DE40000}"/>
    <cellStyle name="Percent 5 3 2 2 3 2 3 2" xfId="48956" xr:uid="{00000000-0005-0000-0000-00006EE40000}"/>
    <cellStyle name="Percent 5 3 2 2 3 2 4" xfId="34457" xr:uid="{00000000-0005-0000-0000-00006FE40000}"/>
    <cellStyle name="Percent 5 3 2 2 3 3" xfId="9560" xr:uid="{00000000-0005-0000-0000-000070E40000}"/>
    <cellStyle name="Percent 5 3 2 2 3 3 2" xfId="24094" xr:uid="{00000000-0005-0000-0000-000071E40000}"/>
    <cellStyle name="Percent 5 3 2 2 3 3 2 2" xfId="53100" xr:uid="{00000000-0005-0000-0000-000072E40000}"/>
    <cellStyle name="Percent 5 3 2 2 3 3 3" xfId="38601" xr:uid="{00000000-0005-0000-0000-000073E40000}"/>
    <cellStyle name="Percent 5 3 2 2 3 4" xfId="16846" xr:uid="{00000000-0005-0000-0000-000074E40000}"/>
    <cellStyle name="Percent 5 3 2 2 3 4 2" xfId="45852" xr:uid="{00000000-0005-0000-0000-000075E40000}"/>
    <cellStyle name="Percent 5 3 2 2 3 5" xfId="31353" xr:uid="{00000000-0005-0000-0000-000076E40000}"/>
    <cellStyle name="Percent 5 3 2 2 4" xfId="3320" xr:uid="{00000000-0005-0000-0000-000077E40000}"/>
    <cellStyle name="Percent 5 3 2 2 4 2" xfId="6424" xr:uid="{00000000-0005-0000-0000-000078E40000}"/>
    <cellStyle name="Percent 5 3 2 2 4 2 2" xfId="13696" xr:uid="{00000000-0005-0000-0000-000079E40000}"/>
    <cellStyle name="Percent 5 3 2 2 4 2 2 2" xfId="28230" xr:uid="{00000000-0005-0000-0000-00007AE40000}"/>
    <cellStyle name="Percent 5 3 2 2 4 2 2 2 2" xfId="57236" xr:uid="{00000000-0005-0000-0000-00007BE40000}"/>
    <cellStyle name="Percent 5 3 2 2 4 2 2 3" xfId="42737" xr:uid="{00000000-0005-0000-0000-00007CE40000}"/>
    <cellStyle name="Percent 5 3 2 2 4 2 3" xfId="20982" xr:uid="{00000000-0005-0000-0000-00007DE40000}"/>
    <cellStyle name="Percent 5 3 2 2 4 2 3 2" xfId="49988" xr:uid="{00000000-0005-0000-0000-00007EE40000}"/>
    <cellStyle name="Percent 5 3 2 2 4 2 4" xfId="35489" xr:uid="{00000000-0005-0000-0000-00007FE40000}"/>
    <cellStyle name="Percent 5 3 2 2 4 3" xfId="10592" xr:uid="{00000000-0005-0000-0000-000080E40000}"/>
    <cellStyle name="Percent 5 3 2 2 4 3 2" xfId="25126" xr:uid="{00000000-0005-0000-0000-000081E40000}"/>
    <cellStyle name="Percent 5 3 2 2 4 3 2 2" xfId="54132" xr:uid="{00000000-0005-0000-0000-000082E40000}"/>
    <cellStyle name="Percent 5 3 2 2 4 3 3" xfId="39633" xr:uid="{00000000-0005-0000-0000-000083E40000}"/>
    <cellStyle name="Percent 5 3 2 2 4 4" xfId="17878" xr:uid="{00000000-0005-0000-0000-000084E40000}"/>
    <cellStyle name="Percent 5 3 2 2 4 4 2" xfId="46884" xr:uid="{00000000-0005-0000-0000-000085E40000}"/>
    <cellStyle name="Percent 5 3 2 2 4 5" xfId="32385" xr:uid="{00000000-0005-0000-0000-000086E40000}"/>
    <cellStyle name="Percent 5 3 2 2 5" xfId="4352" xr:uid="{00000000-0005-0000-0000-000087E40000}"/>
    <cellStyle name="Percent 5 3 2 2 5 2" xfId="11624" xr:uid="{00000000-0005-0000-0000-000088E40000}"/>
    <cellStyle name="Percent 5 3 2 2 5 2 2" xfId="26158" xr:uid="{00000000-0005-0000-0000-000089E40000}"/>
    <cellStyle name="Percent 5 3 2 2 5 2 2 2" xfId="55164" xr:uid="{00000000-0005-0000-0000-00008AE40000}"/>
    <cellStyle name="Percent 5 3 2 2 5 2 3" xfId="40665" xr:uid="{00000000-0005-0000-0000-00008BE40000}"/>
    <cellStyle name="Percent 5 3 2 2 5 3" xfId="18910" xr:uid="{00000000-0005-0000-0000-00008CE40000}"/>
    <cellStyle name="Percent 5 3 2 2 5 3 2" xfId="47916" xr:uid="{00000000-0005-0000-0000-00008DE40000}"/>
    <cellStyle name="Percent 5 3 2 2 5 4" xfId="33417" xr:uid="{00000000-0005-0000-0000-00008EE40000}"/>
    <cellStyle name="Percent 5 3 2 2 6" xfId="7456" xr:uid="{00000000-0005-0000-0000-00008FE40000}"/>
    <cellStyle name="Percent 5 3 2 2 6 2" xfId="14728" xr:uid="{00000000-0005-0000-0000-000090E40000}"/>
    <cellStyle name="Percent 5 3 2 2 6 2 2" xfId="29262" xr:uid="{00000000-0005-0000-0000-000091E40000}"/>
    <cellStyle name="Percent 5 3 2 2 6 2 2 2" xfId="58268" xr:uid="{00000000-0005-0000-0000-000092E40000}"/>
    <cellStyle name="Percent 5 3 2 2 6 2 3" xfId="43769" xr:uid="{00000000-0005-0000-0000-000093E40000}"/>
    <cellStyle name="Percent 5 3 2 2 6 3" xfId="22014" xr:uid="{00000000-0005-0000-0000-000094E40000}"/>
    <cellStyle name="Percent 5 3 2 2 6 3 2" xfId="51020" xr:uid="{00000000-0005-0000-0000-000095E40000}"/>
    <cellStyle name="Percent 5 3 2 2 6 4" xfId="36521" xr:uid="{00000000-0005-0000-0000-000096E40000}"/>
    <cellStyle name="Percent 5 3 2 2 7" xfId="8520" xr:uid="{00000000-0005-0000-0000-000097E40000}"/>
    <cellStyle name="Percent 5 3 2 2 7 2" xfId="23054" xr:uid="{00000000-0005-0000-0000-000098E40000}"/>
    <cellStyle name="Percent 5 3 2 2 7 2 2" xfId="52060" xr:uid="{00000000-0005-0000-0000-000099E40000}"/>
    <cellStyle name="Percent 5 3 2 2 7 3" xfId="37561" xr:uid="{00000000-0005-0000-0000-00009AE40000}"/>
    <cellStyle name="Percent 5 3 2 2 8" xfId="15806" xr:uid="{00000000-0005-0000-0000-00009BE40000}"/>
    <cellStyle name="Percent 5 3 2 2 8 2" xfId="44812" xr:uid="{00000000-0005-0000-0000-00009CE40000}"/>
    <cellStyle name="Percent 5 3 2 2 9" xfId="30313" xr:uid="{00000000-0005-0000-0000-00009DE40000}"/>
    <cellStyle name="Percent 5 3 2 3" xfId="1436" xr:uid="{00000000-0005-0000-0000-00009EE40000}"/>
    <cellStyle name="Percent 5 3 2 3 2" xfId="2494" xr:uid="{00000000-0005-0000-0000-00009FE40000}"/>
    <cellStyle name="Percent 5 3 2 3 2 2" xfId="5598" xr:uid="{00000000-0005-0000-0000-0000A0E40000}"/>
    <cellStyle name="Percent 5 3 2 3 2 2 2" xfId="12870" xr:uid="{00000000-0005-0000-0000-0000A1E40000}"/>
    <cellStyle name="Percent 5 3 2 3 2 2 2 2" xfId="27404" xr:uid="{00000000-0005-0000-0000-0000A2E40000}"/>
    <cellStyle name="Percent 5 3 2 3 2 2 2 2 2" xfId="56410" xr:uid="{00000000-0005-0000-0000-0000A3E40000}"/>
    <cellStyle name="Percent 5 3 2 3 2 2 2 3" xfId="41911" xr:uid="{00000000-0005-0000-0000-0000A4E40000}"/>
    <cellStyle name="Percent 5 3 2 3 2 2 3" xfId="20156" xr:uid="{00000000-0005-0000-0000-0000A5E40000}"/>
    <cellStyle name="Percent 5 3 2 3 2 2 3 2" xfId="49162" xr:uid="{00000000-0005-0000-0000-0000A6E40000}"/>
    <cellStyle name="Percent 5 3 2 3 2 2 4" xfId="34663" xr:uid="{00000000-0005-0000-0000-0000A7E40000}"/>
    <cellStyle name="Percent 5 3 2 3 2 3" xfId="9766" xr:uid="{00000000-0005-0000-0000-0000A8E40000}"/>
    <cellStyle name="Percent 5 3 2 3 2 3 2" xfId="24300" xr:uid="{00000000-0005-0000-0000-0000A9E40000}"/>
    <cellStyle name="Percent 5 3 2 3 2 3 2 2" xfId="53306" xr:uid="{00000000-0005-0000-0000-0000AAE40000}"/>
    <cellStyle name="Percent 5 3 2 3 2 3 3" xfId="38807" xr:uid="{00000000-0005-0000-0000-0000ABE40000}"/>
    <cellStyle name="Percent 5 3 2 3 2 4" xfId="17052" xr:uid="{00000000-0005-0000-0000-0000ACE40000}"/>
    <cellStyle name="Percent 5 3 2 3 2 4 2" xfId="46058" xr:uid="{00000000-0005-0000-0000-0000ADE40000}"/>
    <cellStyle name="Percent 5 3 2 3 2 5" xfId="31559" xr:uid="{00000000-0005-0000-0000-0000AEE40000}"/>
    <cellStyle name="Percent 5 3 2 3 3" xfId="3526" xr:uid="{00000000-0005-0000-0000-0000AFE40000}"/>
    <cellStyle name="Percent 5 3 2 3 3 2" xfId="6630" xr:uid="{00000000-0005-0000-0000-0000B0E40000}"/>
    <cellStyle name="Percent 5 3 2 3 3 2 2" xfId="13902" xr:uid="{00000000-0005-0000-0000-0000B1E40000}"/>
    <cellStyle name="Percent 5 3 2 3 3 2 2 2" xfId="28436" xr:uid="{00000000-0005-0000-0000-0000B2E40000}"/>
    <cellStyle name="Percent 5 3 2 3 3 2 2 2 2" xfId="57442" xr:uid="{00000000-0005-0000-0000-0000B3E40000}"/>
    <cellStyle name="Percent 5 3 2 3 3 2 2 3" xfId="42943" xr:uid="{00000000-0005-0000-0000-0000B4E40000}"/>
    <cellStyle name="Percent 5 3 2 3 3 2 3" xfId="21188" xr:uid="{00000000-0005-0000-0000-0000B5E40000}"/>
    <cellStyle name="Percent 5 3 2 3 3 2 3 2" xfId="50194" xr:uid="{00000000-0005-0000-0000-0000B6E40000}"/>
    <cellStyle name="Percent 5 3 2 3 3 2 4" xfId="35695" xr:uid="{00000000-0005-0000-0000-0000B7E40000}"/>
    <cellStyle name="Percent 5 3 2 3 3 3" xfId="10798" xr:uid="{00000000-0005-0000-0000-0000B8E40000}"/>
    <cellStyle name="Percent 5 3 2 3 3 3 2" xfId="25332" xr:uid="{00000000-0005-0000-0000-0000B9E40000}"/>
    <cellStyle name="Percent 5 3 2 3 3 3 2 2" xfId="54338" xr:uid="{00000000-0005-0000-0000-0000BAE40000}"/>
    <cellStyle name="Percent 5 3 2 3 3 3 3" xfId="39839" xr:uid="{00000000-0005-0000-0000-0000BBE40000}"/>
    <cellStyle name="Percent 5 3 2 3 3 4" xfId="18084" xr:uid="{00000000-0005-0000-0000-0000BCE40000}"/>
    <cellStyle name="Percent 5 3 2 3 3 4 2" xfId="47090" xr:uid="{00000000-0005-0000-0000-0000BDE40000}"/>
    <cellStyle name="Percent 5 3 2 3 3 5" xfId="32591" xr:uid="{00000000-0005-0000-0000-0000BEE40000}"/>
    <cellStyle name="Percent 5 3 2 3 4" xfId="4558" xr:uid="{00000000-0005-0000-0000-0000BFE40000}"/>
    <cellStyle name="Percent 5 3 2 3 4 2" xfId="11830" xr:uid="{00000000-0005-0000-0000-0000C0E40000}"/>
    <cellStyle name="Percent 5 3 2 3 4 2 2" xfId="26364" xr:uid="{00000000-0005-0000-0000-0000C1E40000}"/>
    <cellStyle name="Percent 5 3 2 3 4 2 2 2" xfId="55370" xr:uid="{00000000-0005-0000-0000-0000C2E40000}"/>
    <cellStyle name="Percent 5 3 2 3 4 2 3" xfId="40871" xr:uid="{00000000-0005-0000-0000-0000C3E40000}"/>
    <cellStyle name="Percent 5 3 2 3 4 3" xfId="19116" xr:uid="{00000000-0005-0000-0000-0000C4E40000}"/>
    <cellStyle name="Percent 5 3 2 3 4 3 2" xfId="48122" xr:uid="{00000000-0005-0000-0000-0000C5E40000}"/>
    <cellStyle name="Percent 5 3 2 3 4 4" xfId="33623" xr:uid="{00000000-0005-0000-0000-0000C6E40000}"/>
    <cellStyle name="Percent 5 3 2 3 5" xfId="7662" xr:uid="{00000000-0005-0000-0000-0000C7E40000}"/>
    <cellStyle name="Percent 5 3 2 3 5 2" xfId="14934" xr:uid="{00000000-0005-0000-0000-0000C8E40000}"/>
    <cellStyle name="Percent 5 3 2 3 5 2 2" xfId="29468" xr:uid="{00000000-0005-0000-0000-0000C9E40000}"/>
    <cellStyle name="Percent 5 3 2 3 5 2 2 2" xfId="58474" xr:uid="{00000000-0005-0000-0000-0000CAE40000}"/>
    <cellStyle name="Percent 5 3 2 3 5 2 3" xfId="43975" xr:uid="{00000000-0005-0000-0000-0000CBE40000}"/>
    <cellStyle name="Percent 5 3 2 3 5 3" xfId="22220" xr:uid="{00000000-0005-0000-0000-0000CCE40000}"/>
    <cellStyle name="Percent 5 3 2 3 5 3 2" xfId="51226" xr:uid="{00000000-0005-0000-0000-0000CDE40000}"/>
    <cellStyle name="Percent 5 3 2 3 5 4" xfId="36727" xr:uid="{00000000-0005-0000-0000-0000CEE40000}"/>
    <cellStyle name="Percent 5 3 2 3 6" xfId="8726" xr:uid="{00000000-0005-0000-0000-0000CFE40000}"/>
    <cellStyle name="Percent 5 3 2 3 6 2" xfId="23260" xr:uid="{00000000-0005-0000-0000-0000D0E40000}"/>
    <cellStyle name="Percent 5 3 2 3 6 2 2" xfId="52266" xr:uid="{00000000-0005-0000-0000-0000D1E40000}"/>
    <cellStyle name="Percent 5 3 2 3 6 3" xfId="37767" xr:uid="{00000000-0005-0000-0000-0000D2E40000}"/>
    <cellStyle name="Percent 5 3 2 3 7" xfId="16012" xr:uid="{00000000-0005-0000-0000-0000D3E40000}"/>
    <cellStyle name="Percent 5 3 2 3 7 2" xfId="45018" xr:uid="{00000000-0005-0000-0000-0000D4E40000}"/>
    <cellStyle name="Percent 5 3 2 3 8" xfId="30519" xr:uid="{00000000-0005-0000-0000-0000D5E40000}"/>
    <cellStyle name="Percent 5 3 2 3 9" xfId="59603" xr:uid="{00000000-0005-0000-0000-0000D6E40000}"/>
    <cellStyle name="Percent 5 3 2 4" xfId="1982" xr:uid="{00000000-0005-0000-0000-0000D7E40000}"/>
    <cellStyle name="Percent 5 3 2 4 2" xfId="5086" xr:uid="{00000000-0005-0000-0000-0000D8E40000}"/>
    <cellStyle name="Percent 5 3 2 4 2 2" xfId="12358" xr:uid="{00000000-0005-0000-0000-0000D9E40000}"/>
    <cellStyle name="Percent 5 3 2 4 2 2 2" xfId="26892" xr:uid="{00000000-0005-0000-0000-0000DAE40000}"/>
    <cellStyle name="Percent 5 3 2 4 2 2 2 2" xfId="55898" xr:uid="{00000000-0005-0000-0000-0000DBE40000}"/>
    <cellStyle name="Percent 5 3 2 4 2 2 3" xfId="41399" xr:uid="{00000000-0005-0000-0000-0000DCE40000}"/>
    <cellStyle name="Percent 5 3 2 4 2 3" xfId="19644" xr:uid="{00000000-0005-0000-0000-0000DDE40000}"/>
    <cellStyle name="Percent 5 3 2 4 2 3 2" xfId="48650" xr:uid="{00000000-0005-0000-0000-0000DEE40000}"/>
    <cellStyle name="Percent 5 3 2 4 2 4" xfId="34151" xr:uid="{00000000-0005-0000-0000-0000DFE40000}"/>
    <cellStyle name="Percent 5 3 2 4 3" xfId="9254" xr:uid="{00000000-0005-0000-0000-0000E0E40000}"/>
    <cellStyle name="Percent 5 3 2 4 3 2" xfId="23788" xr:uid="{00000000-0005-0000-0000-0000E1E40000}"/>
    <cellStyle name="Percent 5 3 2 4 3 2 2" xfId="52794" xr:uid="{00000000-0005-0000-0000-0000E2E40000}"/>
    <cellStyle name="Percent 5 3 2 4 3 3" xfId="38295" xr:uid="{00000000-0005-0000-0000-0000E3E40000}"/>
    <cellStyle name="Percent 5 3 2 4 4" xfId="16540" xr:uid="{00000000-0005-0000-0000-0000E4E40000}"/>
    <cellStyle name="Percent 5 3 2 4 4 2" xfId="45546" xr:uid="{00000000-0005-0000-0000-0000E5E40000}"/>
    <cellStyle name="Percent 5 3 2 4 5" xfId="31047" xr:uid="{00000000-0005-0000-0000-0000E6E40000}"/>
    <cellStyle name="Percent 5 3 2 5" xfId="3014" xr:uid="{00000000-0005-0000-0000-0000E7E40000}"/>
    <cellStyle name="Percent 5 3 2 5 2" xfId="6118" xr:uid="{00000000-0005-0000-0000-0000E8E40000}"/>
    <cellStyle name="Percent 5 3 2 5 2 2" xfId="13390" xr:uid="{00000000-0005-0000-0000-0000E9E40000}"/>
    <cellStyle name="Percent 5 3 2 5 2 2 2" xfId="27924" xr:uid="{00000000-0005-0000-0000-0000EAE40000}"/>
    <cellStyle name="Percent 5 3 2 5 2 2 2 2" xfId="56930" xr:uid="{00000000-0005-0000-0000-0000EBE40000}"/>
    <cellStyle name="Percent 5 3 2 5 2 2 3" xfId="42431" xr:uid="{00000000-0005-0000-0000-0000ECE40000}"/>
    <cellStyle name="Percent 5 3 2 5 2 3" xfId="20676" xr:uid="{00000000-0005-0000-0000-0000EDE40000}"/>
    <cellStyle name="Percent 5 3 2 5 2 3 2" xfId="49682" xr:uid="{00000000-0005-0000-0000-0000EEE40000}"/>
    <cellStyle name="Percent 5 3 2 5 2 4" xfId="35183" xr:uid="{00000000-0005-0000-0000-0000EFE40000}"/>
    <cellStyle name="Percent 5 3 2 5 3" xfId="10286" xr:uid="{00000000-0005-0000-0000-0000F0E40000}"/>
    <cellStyle name="Percent 5 3 2 5 3 2" xfId="24820" xr:uid="{00000000-0005-0000-0000-0000F1E40000}"/>
    <cellStyle name="Percent 5 3 2 5 3 2 2" xfId="53826" xr:uid="{00000000-0005-0000-0000-0000F2E40000}"/>
    <cellStyle name="Percent 5 3 2 5 3 3" xfId="39327" xr:uid="{00000000-0005-0000-0000-0000F3E40000}"/>
    <cellStyle name="Percent 5 3 2 5 4" xfId="17572" xr:uid="{00000000-0005-0000-0000-0000F4E40000}"/>
    <cellStyle name="Percent 5 3 2 5 4 2" xfId="46578" xr:uid="{00000000-0005-0000-0000-0000F5E40000}"/>
    <cellStyle name="Percent 5 3 2 5 5" xfId="32079" xr:uid="{00000000-0005-0000-0000-0000F6E40000}"/>
    <cellStyle name="Percent 5 3 2 6" xfId="4046" xr:uid="{00000000-0005-0000-0000-0000F7E40000}"/>
    <cellStyle name="Percent 5 3 2 6 2" xfId="11318" xr:uid="{00000000-0005-0000-0000-0000F8E40000}"/>
    <cellStyle name="Percent 5 3 2 6 2 2" xfId="25852" xr:uid="{00000000-0005-0000-0000-0000F9E40000}"/>
    <cellStyle name="Percent 5 3 2 6 2 2 2" xfId="54858" xr:uid="{00000000-0005-0000-0000-0000FAE40000}"/>
    <cellStyle name="Percent 5 3 2 6 2 3" xfId="40359" xr:uid="{00000000-0005-0000-0000-0000FBE40000}"/>
    <cellStyle name="Percent 5 3 2 6 3" xfId="18604" xr:uid="{00000000-0005-0000-0000-0000FCE40000}"/>
    <cellStyle name="Percent 5 3 2 6 3 2" xfId="47610" xr:uid="{00000000-0005-0000-0000-0000FDE40000}"/>
    <cellStyle name="Percent 5 3 2 6 4" xfId="33111" xr:uid="{00000000-0005-0000-0000-0000FEE40000}"/>
    <cellStyle name="Percent 5 3 2 7" xfId="7150" xr:uid="{00000000-0005-0000-0000-0000FFE40000}"/>
    <cellStyle name="Percent 5 3 2 7 2" xfId="14422" xr:uid="{00000000-0005-0000-0000-000000E50000}"/>
    <cellStyle name="Percent 5 3 2 7 2 2" xfId="28956" xr:uid="{00000000-0005-0000-0000-000001E50000}"/>
    <cellStyle name="Percent 5 3 2 7 2 2 2" xfId="57962" xr:uid="{00000000-0005-0000-0000-000002E50000}"/>
    <cellStyle name="Percent 5 3 2 7 2 3" xfId="43463" xr:uid="{00000000-0005-0000-0000-000003E50000}"/>
    <cellStyle name="Percent 5 3 2 7 3" xfId="21708" xr:uid="{00000000-0005-0000-0000-000004E50000}"/>
    <cellStyle name="Percent 5 3 2 7 3 2" xfId="50714" xr:uid="{00000000-0005-0000-0000-000005E50000}"/>
    <cellStyle name="Percent 5 3 2 7 4" xfId="36215" xr:uid="{00000000-0005-0000-0000-000006E50000}"/>
    <cellStyle name="Percent 5 3 2 8" xfId="8214" xr:uid="{00000000-0005-0000-0000-000007E50000}"/>
    <cellStyle name="Percent 5 3 2 8 2" xfId="22748" xr:uid="{00000000-0005-0000-0000-000008E50000}"/>
    <cellStyle name="Percent 5 3 2 8 2 2" xfId="51754" xr:uid="{00000000-0005-0000-0000-000009E50000}"/>
    <cellStyle name="Percent 5 3 2 8 3" xfId="37255" xr:uid="{00000000-0005-0000-0000-00000AE50000}"/>
    <cellStyle name="Percent 5 3 2 9" xfId="15500" xr:uid="{00000000-0005-0000-0000-00000BE50000}"/>
    <cellStyle name="Percent 5 3 2 9 2" xfId="44506" xr:uid="{00000000-0005-0000-0000-00000CE50000}"/>
    <cellStyle name="Percent 5 3 3" xfId="463" xr:uid="{00000000-0005-0000-0000-00000DE50000}"/>
    <cellStyle name="Percent 5 3 3 10" xfId="59322" xr:uid="{00000000-0005-0000-0000-00000EE50000}"/>
    <cellStyle name="Percent 5 3 3 2" xfId="1638" xr:uid="{00000000-0005-0000-0000-00000FE50000}"/>
    <cellStyle name="Percent 5 3 3 2 2" xfId="2697" xr:uid="{00000000-0005-0000-0000-000010E50000}"/>
    <cellStyle name="Percent 5 3 3 2 2 2" xfId="5801" xr:uid="{00000000-0005-0000-0000-000011E50000}"/>
    <cellStyle name="Percent 5 3 3 2 2 2 2" xfId="13073" xr:uid="{00000000-0005-0000-0000-000012E50000}"/>
    <cellStyle name="Percent 5 3 3 2 2 2 2 2" xfId="27607" xr:uid="{00000000-0005-0000-0000-000013E50000}"/>
    <cellStyle name="Percent 5 3 3 2 2 2 2 2 2" xfId="56613" xr:uid="{00000000-0005-0000-0000-000014E50000}"/>
    <cellStyle name="Percent 5 3 3 2 2 2 2 3" xfId="42114" xr:uid="{00000000-0005-0000-0000-000015E50000}"/>
    <cellStyle name="Percent 5 3 3 2 2 2 3" xfId="20359" xr:uid="{00000000-0005-0000-0000-000016E50000}"/>
    <cellStyle name="Percent 5 3 3 2 2 2 3 2" xfId="49365" xr:uid="{00000000-0005-0000-0000-000017E50000}"/>
    <cellStyle name="Percent 5 3 3 2 2 2 4" xfId="34866" xr:uid="{00000000-0005-0000-0000-000018E50000}"/>
    <cellStyle name="Percent 5 3 3 2 2 3" xfId="9969" xr:uid="{00000000-0005-0000-0000-000019E50000}"/>
    <cellStyle name="Percent 5 3 3 2 2 3 2" xfId="24503" xr:uid="{00000000-0005-0000-0000-00001AE50000}"/>
    <cellStyle name="Percent 5 3 3 2 2 3 2 2" xfId="53509" xr:uid="{00000000-0005-0000-0000-00001BE50000}"/>
    <cellStyle name="Percent 5 3 3 2 2 3 3" xfId="39010" xr:uid="{00000000-0005-0000-0000-00001CE50000}"/>
    <cellStyle name="Percent 5 3 3 2 2 4" xfId="17255" xr:uid="{00000000-0005-0000-0000-00001DE50000}"/>
    <cellStyle name="Percent 5 3 3 2 2 4 2" xfId="46261" xr:uid="{00000000-0005-0000-0000-00001EE50000}"/>
    <cellStyle name="Percent 5 3 3 2 2 5" xfId="31762" xr:uid="{00000000-0005-0000-0000-00001FE50000}"/>
    <cellStyle name="Percent 5 3 3 2 3" xfId="3729" xr:uid="{00000000-0005-0000-0000-000020E50000}"/>
    <cellStyle name="Percent 5 3 3 2 3 2" xfId="6833" xr:uid="{00000000-0005-0000-0000-000021E50000}"/>
    <cellStyle name="Percent 5 3 3 2 3 2 2" xfId="14105" xr:uid="{00000000-0005-0000-0000-000022E50000}"/>
    <cellStyle name="Percent 5 3 3 2 3 2 2 2" xfId="28639" xr:uid="{00000000-0005-0000-0000-000023E50000}"/>
    <cellStyle name="Percent 5 3 3 2 3 2 2 2 2" xfId="57645" xr:uid="{00000000-0005-0000-0000-000024E50000}"/>
    <cellStyle name="Percent 5 3 3 2 3 2 2 3" xfId="43146" xr:uid="{00000000-0005-0000-0000-000025E50000}"/>
    <cellStyle name="Percent 5 3 3 2 3 2 3" xfId="21391" xr:uid="{00000000-0005-0000-0000-000026E50000}"/>
    <cellStyle name="Percent 5 3 3 2 3 2 3 2" xfId="50397" xr:uid="{00000000-0005-0000-0000-000027E50000}"/>
    <cellStyle name="Percent 5 3 3 2 3 2 4" xfId="35898" xr:uid="{00000000-0005-0000-0000-000028E50000}"/>
    <cellStyle name="Percent 5 3 3 2 3 3" xfId="11001" xr:uid="{00000000-0005-0000-0000-000029E50000}"/>
    <cellStyle name="Percent 5 3 3 2 3 3 2" xfId="25535" xr:uid="{00000000-0005-0000-0000-00002AE50000}"/>
    <cellStyle name="Percent 5 3 3 2 3 3 2 2" xfId="54541" xr:uid="{00000000-0005-0000-0000-00002BE50000}"/>
    <cellStyle name="Percent 5 3 3 2 3 3 3" xfId="40042" xr:uid="{00000000-0005-0000-0000-00002CE50000}"/>
    <cellStyle name="Percent 5 3 3 2 3 4" xfId="18287" xr:uid="{00000000-0005-0000-0000-00002DE50000}"/>
    <cellStyle name="Percent 5 3 3 2 3 4 2" xfId="47293" xr:uid="{00000000-0005-0000-0000-00002EE50000}"/>
    <cellStyle name="Percent 5 3 3 2 3 5" xfId="32794" xr:uid="{00000000-0005-0000-0000-00002FE50000}"/>
    <cellStyle name="Percent 5 3 3 2 4" xfId="4761" xr:uid="{00000000-0005-0000-0000-000030E50000}"/>
    <cellStyle name="Percent 5 3 3 2 4 2" xfId="12033" xr:uid="{00000000-0005-0000-0000-000031E50000}"/>
    <cellStyle name="Percent 5 3 3 2 4 2 2" xfId="26567" xr:uid="{00000000-0005-0000-0000-000032E50000}"/>
    <cellStyle name="Percent 5 3 3 2 4 2 2 2" xfId="55573" xr:uid="{00000000-0005-0000-0000-000033E50000}"/>
    <cellStyle name="Percent 5 3 3 2 4 2 3" xfId="41074" xr:uid="{00000000-0005-0000-0000-000034E50000}"/>
    <cellStyle name="Percent 5 3 3 2 4 3" xfId="19319" xr:uid="{00000000-0005-0000-0000-000035E50000}"/>
    <cellStyle name="Percent 5 3 3 2 4 3 2" xfId="48325" xr:uid="{00000000-0005-0000-0000-000036E50000}"/>
    <cellStyle name="Percent 5 3 3 2 4 4" xfId="33826" xr:uid="{00000000-0005-0000-0000-000037E50000}"/>
    <cellStyle name="Percent 5 3 3 2 5" xfId="7865" xr:uid="{00000000-0005-0000-0000-000038E50000}"/>
    <cellStyle name="Percent 5 3 3 2 5 2" xfId="15137" xr:uid="{00000000-0005-0000-0000-000039E50000}"/>
    <cellStyle name="Percent 5 3 3 2 5 2 2" xfId="29671" xr:uid="{00000000-0005-0000-0000-00003AE50000}"/>
    <cellStyle name="Percent 5 3 3 2 5 2 2 2" xfId="58677" xr:uid="{00000000-0005-0000-0000-00003BE50000}"/>
    <cellStyle name="Percent 5 3 3 2 5 2 3" xfId="44178" xr:uid="{00000000-0005-0000-0000-00003CE50000}"/>
    <cellStyle name="Percent 5 3 3 2 5 3" xfId="22423" xr:uid="{00000000-0005-0000-0000-00003DE50000}"/>
    <cellStyle name="Percent 5 3 3 2 5 3 2" xfId="51429" xr:uid="{00000000-0005-0000-0000-00003EE50000}"/>
    <cellStyle name="Percent 5 3 3 2 5 4" xfId="36930" xr:uid="{00000000-0005-0000-0000-00003FE50000}"/>
    <cellStyle name="Percent 5 3 3 2 6" xfId="8929" xr:uid="{00000000-0005-0000-0000-000040E50000}"/>
    <cellStyle name="Percent 5 3 3 2 6 2" xfId="23463" xr:uid="{00000000-0005-0000-0000-000041E50000}"/>
    <cellStyle name="Percent 5 3 3 2 6 2 2" xfId="52469" xr:uid="{00000000-0005-0000-0000-000042E50000}"/>
    <cellStyle name="Percent 5 3 3 2 6 3" xfId="37970" xr:uid="{00000000-0005-0000-0000-000043E50000}"/>
    <cellStyle name="Percent 5 3 3 2 7" xfId="16215" xr:uid="{00000000-0005-0000-0000-000044E50000}"/>
    <cellStyle name="Percent 5 3 3 2 7 2" xfId="45221" xr:uid="{00000000-0005-0000-0000-000045E50000}"/>
    <cellStyle name="Percent 5 3 3 2 8" xfId="30722" xr:uid="{00000000-0005-0000-0000-000046E50000}"/>
    <cellStyle name="Percent 5 3 3 3" xfId="2185" xr:uid="{00000000-0005-0000-0000-000047E50000}"/>
    <cellStyle name="Percent 5 3 3 3 2" xfId="5289" xr:uid="{00000000-0005-0000-0000-000048E50000}"/>
    <cellStyle name="Percent 5 3 3 3 2 2" xfId="12561" xr:uid="{00000000-0005-0000-0000-000049E50000}"/>
    <cellStyle name="Percent 5 3 3 3 2 2 2" xfId="27095" xr:uid="{00000000-0005-0000-0000-00004AE50000}"/>
    <cellStyle name="Percent 5 3 3 3 2 2 2 2" xfId="56101" xr:uid="{00000000-0005-0000-0000-00004BE50000}"/>
    <cellStyle name="Percent 5 3 3 3 2 2 3" xfId="41602" xr:uid="{00000000-0005-0000-0000-00004CE50000}"/>
    <cellStyle name="Percent 5 3 3 3 2 3" xfId="19847" xr:uid="{00000000-0005-0000-0000-00004DE50000}"/>
    <cellStyle name="Percent 5 3 3 3 2 3 2" xfId="48853" xr:uid="{00000000-0005-0000-0000-00004EE50000}"/>
    <cellStyle name="Percent 5 3 3 3 2 4" xfId="34354" xr:uid="{00000000-0005-0000-0000-00004FE50000}"/>
    <cellStyle name="Percent 5 3 3 3 3" xfId="9457" xr:uid="{00000000-0005-0000-0000-000050E50000}"/>
    <cellStyle name="Percent 5 3 3 3 3 2" xfId="23991" xr:uid="{00000000-0005-0000-0000-000051E50000}"/>
    <cellStyle name="Percent 5 3 3 3 3 2 2" xfId="52997" xr:uid="{00000000-0005-0000-0000-000052E50000}"/>
    <cellStyle name="Percent 5 3 3 3 3 3" xfId="38498" xr:uid="{00000000-0005-0000-0000-000053E50000}"/>
    <cellStyle name="Percent 5 3 3 3 4" xfId="16743" xr:uid="{00000000-0005-0000-0000-000054E50000}"/>
    <cellStyle name="Percent 5 3 3 3 4 2" xfId="45749" xr:uid="{00000000-0005-0000-0000-000055E50000}"/>
    <cellStyle name="Percent 5 3 3 3 5" xfId="31250" xr:uid="{00000000-0005-0000-0000-000056E50000}"/>
    <cellStyle name="Percent 5 3 3 4" xfId="3217" xr:uid="{00000000-0005-0000-0000-000057E50000}"/>
    <cellStyle name="Percent 5 3 3 4 2" xfId="6321" xr:uid="{00000000-0005-0000-0000-000058E50000}"/>
    <cellStyle name="Percent 5 3 3 4 2 2" xfId="13593" xr:uid="{00000000-0005-0000-0000-000059E50000}"/>
    <cellStyle name="Percent 5 3 3 4 2 2 2" xfId="28127" xr:uid="{00000000-0005-0000-0000-00005AE50000}"/>
    <cellStyle name="Percent 5 3 3 4 2 2 2 2" xfId="57133" xr:uid="{00000000-0005-0000-0000-00005BE50000}"/>
    <cellStyle name="Percent 5 3 3 4 2 2 3" xfId="42634" xr:uid="{00000000-0005-0000-0000-00005CE50000}"/>
    <cellStyle name="Percent 5 3 3 4 2 3" xfId="20879" xr:uid="{00000000-0005-0000-0000-00005DE50000}"/>
    <cellStyle name="Percent 5 3 3 4 2 3 2" xfId="49885" xr:uid="{00000000-0005-0000-0000-00005EE50000}"/>
    <cellStyle name="Percent 5 3 3 4 2 4" xfId="35386" xr:uid="{00000000-0005-0000-0000-00005FE50000}"/>
    <cellStyle name="Percent 5 3 3 4 3" xfId="10489" xr:uid="{00000000-0005-0000-0000-000060E50000}"/>
    <cellStyle name="Percent 5 3 3 4 3 2" xfId="25023" xr:uid="{00000000-0005-0000-0000-000061E50000}"/>
    <cellStyle name="Percent 5 3 3 4 3 2 2" xfId="54029" xr:uid="{00000000-0005-0000-0000-000062E50000}"/>
    <cellStyle name="Percent 5 3 3 4 3 3" xfId="39530" xr:uid="{00000000-0005-0000-0000-000063E50000}"/>
    <cellStyle name="Percent 5 3 3 4 4" xfId="17775" xr:uid="{00000000-0005-0000-0000-000064E50000}"/>
    <cellStyle name="Percent 5 3 3 4 4 2" xfId="46781" xr:uid="{00000000-0005-0000-0000-000065E50000}"/>
    <cellStyle name="Percent 5 3 3 4 5" xfId="32282" xr:uid="{00000000-0005-0000-0000-000066E50000}"/>
    <cellStyle name="Percent 5 3 3 5" xfId="4249" xr:uid="{00000000-0005-0000-0000-000067E50000}"/>
    <cellStyle name="Percent 5 3 3 5 2" xfId="11521" xr:uid="{00000000-0005-0000-0000-000068E50000}"/>
    <cellStyle name="Percent 5 3 3 5 2 2" xfId="26055" xr:uid="{00000000-0005-0000-0000-000069E50000}"/>
    <cellStyle name="Percent 5 3 3 5 2 2 2" xfId="55061" xr:uid="{00000000-0005-0000-0000-00006AE50000}"/>
    <cellStyle name="Percent 5 3 3 5 2 3" xfId="40562" xr:uid="{00000000-0005-0000-0000-00006BE50000}"/>
    <cellStyle name="Percent 5 3 3 5 3" xfId="18807" xr:uid="{00000000-0005-0000-0000-00006CE50000}"/>
    <cellStyle name="Percent 5 3 3 5 3 2" xfId="47813" xr:uid="{00000000-0005-0000-0000-00006DE50000}"/>
    <cellStyle name="Percent 5 3 3 5 4" xfId="33314" xr:uid="{00000000-0005-0000-0000-00006EE50000}"/>
    <cellStyle name="Percent 5 3 3 6" xfId="7353" xr:uid="{00000000-0005-0000-0000-00006FE50000}"/>
    <cellStyle name="Percent 5 3 3 6 2" xfId="14625" xr:uid="{00000000-0005-0000-0000-000070E50000}"/>
    <cellStyle name="Percent 5 3 3 6 2 2" xfId="29159" xr:uid="{00000000-0005-0000-0000-000071E50000}"/>
    <cellStyle name="Percent 5 3 3 6 2 2 2" xfId="58165" xr:uid="{00000000-0005-0000-0000-000072E50000}"/>
    <cellStyle name="Percent 5 3 3 6 2 3" xfId="43666" xr:uid="{00000000-0005-0000-0000-000073E50000}"/>
    <cellStyle name="Percent 5 3 3 6 3" xfId="21911" xr:uid="{00000000-0005-0000-0000-000074E50000}"/>
    <cellStyle name="Percent 5 3 3 6 3 2" xfId="50917" xr:uid="{00000000-0005-0000-0000-000075E50000}"/>
    <cellStyle name="Percent 5 3 3 6 4" xfId="36418" xr:uid="{00000000-0005-0000-0000-000076E50000}"/>
    <cellStyle name="Percent 5 3 3 7" xfId="8417" xr:uid="{00000000-0005-0000-0000-000077E50000}"/>
    <cellStyle name="Percent 5 3 3 7 2" xfId="22951" xr:uid="{00000000-0005-0000-0000-000078E50000}"/>
    <cellStyle name="Percent 5 3 3 7 2 2" xfId="51957" xr:uid="{00000000-0005-0000-0000-000079E50000}"/>
    <cellStyle name="Percent 5 3 3 7 3" xfId="37458" xr:uid="{00000000-0005-0000-0000-00007AE50000}"/>
    <cellStyle name="Percent 5 3 3 8" xfId="15703" xr:uid="{00000000-0005-0000-0000-00007BE50000}"/>
    <cellStyle name="Percent 5 3 3 8 2" xfId="44709" xr:uid="{00000000-0005-0000-0000-00007CE50000}"/>
    <cellStyle name="Percent 5 3 3 9" xfId="30210" xr:uid="{00000000-0005-0000-0000-00007DE50000}"/>
    <cellStyle name="Percent 5 3 4" xfId="352" xr:uid="{00000000-0005-0000-0000-00007EE50000}"/>
    <cellStyle name="Percent 5 3 4 10" xfId="59198" xr:uid="{00000000-0005-0000-0000-00007FE50000}"/>
    <cellStyle name="Percent 5 3 4 2" xfId="1539" xr:uid="{00000000-0005-0000-0000-000080E50000}"/>
    <cellStyle name="Percent 5 3 4 2 2" xfId="2597" xr:uid="{00000000-0005-0000-0000-000081E50000}"/>
    <cellStyle name="Percent 5 3 4 2 2 2" xfId="5701" xr:uid="{00000000-0005-0000-0000-000082E50000}"/>
    <cellStyle name="Percent 5 3 4 2 2 2 2" xfId="12973" xr:uid="{00000000-0005-0000-0000-000083E50000}"/>
    <cellStyle name="Percent 5 3 4 2 2 2 2 2" xfId="27507" xr:uid="{00000000-0005-0000-0000-000084E50000}"/>
    <cellStyle name="Percent 5 3 4 2 2 2 2 2 2" xfId="56513" xr:uid="{00000000-0005-0000-0000-000085E50000}"/>
    <cellStyle name="Percent 5 3 4 2 2 2 2 3" xfId="42014" xr:uid="{00000000-0005-0000-0000-000086E50000}"/>
    <cellStyle name="Percent 5 3 4 2 2 2 3" xfId="20259" xr:uid="{00000000-0005-0000-0000-000087E50000}"/>
    <cellStyle name="Percent 5 3 4 2 2 2 3 2" xfId="49265" xr:uid="{00000000-0005-0000-0000-000088E50000}"/>
    <cellStyle name="Percent 5 3 4 2 2 2 4" xfId="34766" xr:uid="{00000000-0005-0000-0000-000089E50000}"/>
    <cellStyle name="Percent 5 3 4 2 2 3" xfId="9869" xr:uid="{00000000-0005-0000-0000-00008AE50000}"/>
    <cellStyle name="Percent 5 3 4 2 2 3 2" xfId="24403" xr:uid="{00000000-0005-0000-0000-00008BE50000}"/>
    <cellStyle name="Percent 5 3 4 2 2 3 2 2" xfId="53409" xr:uid="{00000000-0005-0000-0000-00008CE50000}"/>
    <cellStyle name="Percent 5 3 4 2 2 3 3" xfId="38910" xr:uid="{00000000-0005-0000-0000-00008DE50000}"/>
    <cellStyle name="Percent 5 3 4 2 2 4" xfId="17155" xr:uid="{00000000-0005-0000-0000-00008EE50000}"/>
    <cellStyle name="Percent 5 3 4 2 2 4 2" xfId="46161" xr:uid="{00000000-0005-0000-0000-00008FE50000}"/>
    <cellStyle name="Percent 5 3 4 2 2 5" xfId="31662" xr:uid="{00000000-0005-0000-0000-000090E50000}"/>
    <cellStyle name="Percent 5 3 4 2 3" xfId="3629" xr:uid="{00000000-0005-0000-0000-000091E50000}"/>
    <cellStyle name="Percent 5 3 4 2 3 2" xfId="6733" xr:uid="{00000000-0005-0000-0000-000092E50000}"/>
    <cellStyle name="Percent 5 3 4 2 3 2 2" xfId="14005" xr:uid="{00000000-0005-0000-0000-000093E50000}"/>
    <cellStyle name="Percent 5 3 4 2 3 2 2 2" xfId="28539" xr:uid="{00000000-0005-0000-0000-000094E50000}"/>
    <cellStyle name="Percent 5 3 4 2 3 2 2 2 2" xfId="57545" xr:uid="{00000000-0005-0000-0000-000095E50000}"/>
    <cellStyle name="Percent 5 3 4 2 3 2 2 3" xfId="43046" xr:uid="{00000000-0005-0000-0000-000096E50000}"/>
    <cellStyle name="Percent 5 3 4 2 3 2 3" xfId="21291" xr:uid="{00000000-0005-0000-0000-000097E50000}"/>
    <cellStyle name="Percent 5 3 4 2 3 2 3 2" xfId="50297" xr:uid="{00000000-0005-0000-0000-000098E50000}"/>
    <cellStyle name="Percent 5 3 4 2 3 2 4" xfId="35798" xr:uid="{00000000-0005-0000-0000-000099E50000}"/>
    <cellStyle name="Percent 5 3 4 2 3 3" xfId="10901" xr:uid="{00000000-0005-0000-0000-00009AE50000}"/>
    <cellStyle name="Percent 5 3 4 2 3 3 2" xfId="25435" xr:uid="{00000000-0005-0000-0000-00009BE50000}"/>
    <cellStyle name="Percent 5 3 4 2 3 3 2 2" xfId="54441" xr:uid="{00000000-0005-0000-0000-00009CE50000}"/>
    <cellStyle name="Percent 5 3 4 2 3 3 3" xfId="39942" xr:uid="{00000000-0005-0000-0000-00009DE50000}"/>
    <cellStyle name="Percent 5 3 4 2 3 4" xfId="18187" xr:uid="{00000000-0005-0000-0000-00009EE50000}"/>
    <cellStyle name="Percent 5 3 4 2 3 4 2" xfId="47193" xr:uid="{00000000-0005-0000-0000-00009FE50000}"/>
    <cellStyle name="Percent 5 3 4 2 3 5" xfId="32694" xr:uid="{00000000-0005-0000-0000-0000A0E50000}"/>
    <cellStyle name="Percent 5 3 4 2 4" xfId="4661" xr:uid="{00000000-0005-0000-0000-0000A1E50000}"/>
    <cellStyle name="Percent 5 3 4 2 4 2" xfId="11933" xr:uid="{00000000-0005-0000-0000-0000A2E50000}"/>
    <cellStyle name="Percent 5 3 4 2 4 2 2" xfId="26467" xr:uid="{00000000-0005-0000-0000-0000A3E50000}"/>
    <cellStyle name="Percent 5 3 4 2 4 2 2 2" xfId="55473" xr:uid="{00000000-0005-0000-0000-0000A4E50000}"/>
    <cellStyle name="Percent 5 3 4 2 4 2 3" xfId="40974" xr:uid="{00000000-0005-0000-0000-0000A5E50000}"/>
    <cellStyle name="Percent 5 3 4 2 4 3" xfId="19219" xr:uid="{00000000-0005-0000-0000-0000A6E50000}"/>
    <cellStyle name="Percent 5 3 4 2 4 3 2" xfId="48225" xr:uid="{00000000-0005-0000-0000-0000A7E50000}"/>
    <cellStyle name="Percent 5 3 4 2 4 4" xfId="33726" xr:uid="{00000000-0005-0000-0000-0000A8E50000}"/>
    <cellStyle name="Percent 5 3 4 2 5" xfId="7765" xr:uid="{00000000-0005-0000-0000-0000A9E50000}"/>
    <cellStyle name="Percent 5 3 4 2 5 2" xfId="15037" xr:uid="{00000000-0005-0000-0000-0000AAE50000}"/>
    <cellStyle name="Percent 5 3 4 2 5 2 2" xfId="29571" xr:uid="{00000000-0005-0000-0000-0000ABE50000}"/>
    <cellStyle name="Percent 5 3 4 2 5 2 2 2" xfId="58577" xr:uid="{00000000-0005-0000-0000-0000ACE50000}"/>
    <cellStyle name="Percent 5 3 4 2 5 2 3" xfId="44078" xr:uid="{00000000-0005-0000-0000-0000ADE50000}"/>
    <cellStyle name="Percent 5 3 4 2 5 3" xfId="22323" xr:uid="{00000000-0005-0000-0000-0000AEE50000}"/>
    <cellStyle name="Percent 5 3 4 2 5 3 2" xfId="51329" xr:uid="{00000000-0005-0000-0000-0000AFE50000}"/>
    <cellStyle name="Percent 5 3 4 2 5 4" xfId="36830" xr:uid="{00000000-0005-0000-0000-0000B0E50000}"/>
    <cellStyle name="Percent 5 3 4 2 6" xfId="8829" xr:uid="{00000000-0005-0000-0000-0000B1E50000}"/>
    <cellStyle name="Percent 5 3 4 2 6 2" xfId="23363" xr:uid="{00000000-0005-0000-0000-0000B2E50000}"/>
    <cellStyle name="Percent 5 3 4 2 6 2 2" xfId="52369" xr:uid="{00000000-0005-0000-0000-0000B3E50000}"/>
    <cellStyle name="Percent 5 3 4 2 6 3" xfId="37870" xr:uid="{00000000-0005-0000-0000-0000B4E50000}"/>
    <cellStyle name="Percent 5 3 4 2 7" xfId="16115" xr:uid="{00000000-0005-0000-0000-0000B5E50000}"/>
    <cellStyle name="Percent 5 3 4 2 7 2" xfId="45121" xr:uid="{00000000-0005-0000-0000-0000B6E50000}"/>
    <cellStyle name="Percent 5 3 4 2 8" xfId="30622" xr:uid="{00000000-0005-0000-0000-0000B7E50000}"/>
    <cellStyle name="Percent 5 3 4 3" xfId="2085" xr:uid="{00000000-0005-0000-0000-0000B8E50000}"/>
    <cellStyle name="Percent 5 3 4 3 2" xfId="5189" xr:uid="{00000000-0005-0000-0000-0000B9E50000}"/>
    <cellStyle name="Percent 5 3 4 3 2 2" xfId="12461" xr:uid="{00000000-0005-0000-0000-0000BAE50000}"/>
    <cellStyle name="Percent 5 3 4 3 2 2 2" xfId="26995" xr:uid="{00000000-0005-0000-0000-0000BBE50000}"/>
    <cellStyle name="Percent 5 3 4 3 2 2 2 2" xfId="56001" xr:uid="{00000000-0005-0000-0000-0000BCE50000}"/>
    <cellStyle name="Percent 5 3 4 3 2 2 3" xfId="41502" xr:uid="{00000000-0005-0000-0000-0000BDE50000}"/>
    <cellStyle name="Percent 5 3 4 3 2 3" xfId="19747" xr:uid="{00000000-0005-0000-0000-0000BEE50000}"/>
    <cellStyle name="Percent 5 3 4 3 2 3 2" xfId="48753" xr:uid="{00000000-0005-0000-0000-0000BFE50000}"/>
    <cellStyle name="Percent 5 3 4 3 2 4" xfId="34254" xr:uid="{00000000-0005-0000-0000-0000C0E50000}"/>
    <cellStyle name="Percent 5 3 4 3 3" xfId="9357" xr:uid="{00000000-0005-0000-0000-0000C1E50000}"/>
    <cellStyle name="Percent 5 3 4 3 3 2" xfId="23891" xr:uid="{00000000-0005-0000-0000-0000C2E50000}"/>
    <cellStyle name="Percent 5 3 4 3 3 2 2" xfId="52897" xr:uid="{00000000-0005-0000-0000-0000C3E50000}"/>
    <cellStyle name="Percent 5 3 4 3 3 3" xfId="38398" xr:uid="{00000000-0005-0000-0000-0000C4E50000}"/>
    <cellStyle name="Percent 5 3 4 3 4" xfId="16643" xr:uid="{00000000-0005-0000-0000-0000C5E50000}"/>
    <cellStyle name="Percent 5 3 4 3 4 2" xfId="45649" xr:uid="{00000000-0005-0000-0000-0000C6E50000}"/>
    <cellStyle name="Percent 5 3 4 3 5" xfId="31150" xr:uid="{00000000-0005-0000-0000-0000C7E50000}"/>
    <cellStyle name="Percent 5 3 4 4" xfId="3117" xr:uid="{00000000-0005-0000-0000-0000C8E50000}"/>
    <cellStyle name="Percent 5 3 4 4 2" xfId="6221" xr:uid="{00000000-0005-0000-0000-0000C9E50000}"/>
    <cellStyle name="Percent 5 3 4 4 2 2" xfId="13493" xr:uid="{00000000-0005-0000-0000-0000CAE50000}"/>
    <cellStyle name="Percent 5 3 4 4 2 2 2" xfId="28027" xr:uid="{00000000-0005-0000-0000-0000CBE50000}"/>
    <cellStyle name="Percent 5 3 4 4 2 2 2 2" xfId="57033" xr:uid="{00000000-0005-0000-0000-0000CCE50000}"/>
    <cellStyle name="Percent 5 3 4 4 2 2 3" xfId="42534" xr:uid="{00000000-0005-0000-0000-0000CDE50000}"/>
    <cellStyle name="Percent 5 3 4 4 2 3" xfId="20779" xr:uid="{00000000-0005-0000-0000-0000CEE50000}"/>
    <cellStyle name="Percent 5 3 4 4 2 3 2" xfId="49785" xr:uid="{00000000-0005-0000-0000-0000CFE50000}"/>
    <cellStyle name="Percent 5 3 4 4 2 4" xfId="35286" xr:uid="{00000000-0005-0000-0000-0000D0E50000}"/>
    <cellStyle name="Percent 5 3 4 4 3" xfId="10389" xr:uid="{00000000-0005-0000-0000-0000D1E50000}"/>
    <cellStyle name="Percent 5 3 4 4 3 2" xfId="24923" xr:uid="{00000000-0005-0000-0000-0000D2E50000}"/>
    <cellStyle name="Percent 5 3 4 4 3 2 2" xfId="53929" xr:uid="{00000000-0005-0000-0000-0000D3E50000}"/>
    <cellStyle name="Percent 5 3 4 4 3 3" xfId="39430" xr:uid="{00000000-0005-0000-0000-0000D4E50000}"/>
    <cellStyle name="Percent 5 3 4 4 4" xfId="17675" xr:uid="{00000000-0005-0000-0000-0000D5E50000}"/>
    <cellStyle name="Percent 5 3 4 4 4 2" xfId="46681" xr:uid="{00000000-0005-0000-0000-0000D6E50000}"/>
    <cellStyle name="Percent 5 3 4 4 5" xfId="32182" xr:uid="{00000000-0005-0000-0000-0000D7E50000}"/>
    <cellStyle name="Percent 5 3 4 5" xfId="4149" xr:uid="{00000000-0005-0000-0000-0000D8E50000}"/>
    <cellStyle name="Percent 5 3 4 5 2" xfId="11421" xr:uid="{00000000-0005-0000-0000-0000D9E50000}"/>
    <cellStyle name="Percent 5 3 4 5 2 2" xfId="25955" xr:uid="{00000000-0005-0000-0000-0000DAE50000}"/>
    <cellStyle name="Percent 5 3 4 5 2 2 2" xfId="54961" xr:uid="{00000000-0005-0000-0000-0000DBE50000}"/>
    <cellStyle name="Percent 5 3 4 5 2 3" xfId="40462" xr:uid="{00000000-0005-0000-0000-0000DCE50000}"/>
    <cellStyle name="Percent 5 3 4 5 3" xfId="18707" xr:uid="{00000000-0005-0000-0000-0000DDE50000}"/>
    <cellStyle name="Percent 5 3 4 5 3 2" xfId="47713" xr:uid="{00000000-0005-0000-0000-0000DEE50000}"/>
    <cellStyle name="Percent 5 3 4 5 4" xfId="33214" xr:uid="{00000000-0005-0000-0000-0000DFE50000}"/>
    <cellStyle name="Percent 5 3 4 6" xfId="7253" xr:uid="{00000000-0005-0000-0000-0000E0E50000}"/>
    <cellStyle name="Percent 5 3 4 6 2" xfId="14525" xr:uid="{00000000-0005-0000-0000-0000E1E50000}"/>
    <cellStyle name="Percent 5 3 4 6 2 2" xfId="29059" xr:uid="{00000000-0005-0000-0000-0000E2E50000}"/>
    <cellStyle name="Percent 5 3 4 6 2 2 2" xfId="58065" xr:uid="{00000000-0005-0000-0000-0000E3E50000}"/>
    <cellStyle name="Percent 5 3 4 6 2 3" xfId="43566" xr:uid="{00000000-0005-0000-0000-0000E4E50000}"/>
    <cellStyle name="Percent 5 3 4 6 3" xfId="21811" xr:uid="{00000000-0005-0000-0000-0000E5E50000}"/>
    <cellStyle name="Percent 5 3 4 6 3 2" xfId="50817" xr:uid="{00000000-0005-0000-0000-0000E6E50000}"/>
    <cellStyle name="Percent 5 3 4 6 4" xfId="36318" xr:uid="{00000000-0005-0000-0000-0000E7E50000}"/>
    <cellStyle name="Percent 5 3 4 7" xfId="8317" xr:uid="{00000000-0005-0000-0000-0000E8E50000}"/>
    <cellStyle name="Percent 5 3 4 7 2" xfId="22851" xr:uid="{00000000-0005-0000-0000-0000E9E50000}"/>
    <cellStyle name="Percent 5 3 4 7 2 2" xfId="51857" xr:uid="{00000000-0005-0000-0000-0000EAE50000}"/>
    <cellStyle name="Percent 5 3 4 7 3" xfId="37358" xr:uid="{00000000-0005-0000-0000-0000EBE50000}"/>
    <cellStyle name="Percent 5 3 4 8" xfId="15603" xr:uid="{00000000-0005-0000-0000-0000ECE50000}"/>
    <cellStyle name="Percent 5 3 4 8 2" xfId="44609" xr:uid="{00000000-0005-0000-0000-0000EDE50000}"/>
    <cellStyle name="Percent 5 3 4 9" xfId="30110" xr:uid="{00000000-0005-0000-0000-0000EEE50000}"/>
    <cellStyle name="Percent 5 3 5" xfId="1334" xr:uid="{00000000-0005-0000-0000-0000EFE50000}"/>
    <cellStyle name="Percent 5 3 5 2" xfId="2391" xr:uid="{00000000-0005-0000-0000-0000F0E50000}"/>
    <cellStyle name="Percent 5 3 5 2 2" xfId="5495" xr:uid="{00000000-0005-0000-0000-0000F1E50000}"/>
    <cellStyle name="Percent 5 3 5 2 2 2" xfId="12767" xr:uid="{00000000-0005-0000-0000-0000F2E50000}"/>
    <cellStyle name="Percent 5 3 5 2 2 2 2" xfId="27301" xr:uid="{00000000-0005-0000-0000-0000F3E50000}"/>
    <cellStyle name="Percent 5 3 5 2 2 2 2 2" xfId="56307" xr:uid="{00000000-0005-0000-0000-0000F4E50000}"/>
    <cellStyle name="Percent 5 3 5 2 2 2 3" xfId="41808" xr:uid="{00000000-0005-0000-0000-0000F5E50000}"/>
    <cellStyle name="Percent 5 3 5 2 2 3" xfId="20053" xr:uid="{00000000-0005-0000-0000-0000F6E50000}"/>
    <cellStyle name="Percent 5 3 5 2 2 3 2" xfId="49059" xr:uid="{00000000-0005-0000-0000-0000F7E50000}"/>
    <cellStyle name="Percent 5 3 5 2 2 4" xfId="34560" xr:uid="{00000000-0005-0000-0000-0000F8E50000}"/>
    <cellStyle name="Percent 5 3 5 2 3" xfId="9663" xr:uid="{00000000-0005-0000-0000-0000F9E50000}"/>
    <cellStyle name="Percent 5 3 5 2 3 2" xfId="24197" xr:uid="{00000000-0005-0000-0000-0000FAE50000}"/>
    <cellStyle name="Percent 5 3 5 2 3 2 2" xfId="53203" xr:uid="{00000000-0005-0000-0000-0000FBE50000}"/>
    <cellStyle name="Percent 5 3 5 2 3 3" xfId="38704" xr:uid="{00000000-0005-0000-0000-0000FCE50000}"/>
    <cellStyle name="Percent 5 3 5 2 4" xfId="16949" xr:uid="{00000000-0005-0000-0000-0000FDE50000}"/>
    <cellStyle name="Percent 5 3 5 2 4 2" xfId="45955" xr:uid="{00000000-0005-0000-0000-0000FEE50000}"/>
    <cellStyle name="Percent 5 3 5 2 5" xfId="31456" xr:uid="{00000000-0005-0000-0000-0000FFE50000}"/>
    <cellStyle name="Percent 5 3 5 3" xfId="3423" xr:uid="{00000000-0005-0000-0000-000000E60000}"/>
    <cellStyle name="Percent 5 3 5 3 2" xfId="6527" xr:uid="{00000000-0005-0000-0000-000001E60000}"/>
    <cellStyle name="Percent 5 3 5 3 2 2" xfId="13799" xr:uid="{00000000-0005-0000-0000-000002E60000}"/>
    <cellStyle name="Percent 5 3 5 3 2 2 2" xfId="28333" xr:uid="{00000000-0005-0000-0000-000003E60000}"/>
    <cellStyle name="Percent 5 3 5 3 2 2 2 2" xfId="57339" xr:uid="{00000000-0005-0000-0000-000004E60000}"/>
    <cellStyle name="Percent 5 3 5 3 2 2 3" xfId="42840" xr:uid="{00000000-0005-0000-0000-000005E60000}"/>
    <cellStyle name="Percent 5 3 5 3 2 3" xfId="21085" xr:uid="{00000000-0005-0000-0000-000006E60000}"/>
    <cellStyle name="Percent 5 3 5 3 2 3 2" xfId="50091" xr:uid="{00000000-0005-0000-0000-000007E60000}"/>
    <cellStyle name="Percent 5 3 5 3 2 4" xfId="35592" xr:uid="{00000000-0005-0000-0000-000008E60000}"/>
    <cellStyle name="Percent 5 3 5 3 3" xfId="10695" xr:uid="{00000000-0005-0000-0000-000009E60000}"/>
    <cellStyle name="Percent 5 3 5 3 3 2" xfId="25229" xr:uid="{00000000-0005-0000-0000-00000AE60000}"/>
    <cellStyle name="Percent 5 3 5 3 3 2 2" xfId="54235" xr:uid="{00000000-0005-0000-0000-00000BE60000}"/>
    <cellStyle name="Percent 5 3 5 3 3 3" xfId="39736" xr:uid="{00000000-0005-0000-0000-00000CE60000}"/>
    <cellStyle name="Percent 5 3 5 3 4" xfId="17981" xr:uid="{00000000-0005-0000-0000-00000DE60000}"/>
    <cellStyle name="Percent 5 3 5 3 4 2" xfId="46987" xr:uid="{00000000-0005-0000-0000-00000EE60000}"/>
    <cellStyle name="Percent 5 3 5 3 5" xfId="32488" xr:uid="{00000000-0005-0000-0000-00000FE60000}"/>
    <cellStyle name="Percent 5 3 5 4" xfId="4455" xr:uid="{00000000-0005-0000-0000-000010E60000}"/>
    <cellStyle name="Percent 5 3 5 4 2" xfId="11727" xr:uid="{00000000-0005-0000-0000-000011E60000}"/>
    <cellStyle name="Percent 5 3 5 4 2 2" xfId="26261" xr:uid="{00000000-0005-0000-0000-000012E60000}"/>
    <cellStyle name="Percent 5 3 5 4 2 2 2" xfId="55267" xr:uid="{00000000-0005-0000-0000-000013E60000}"/>
    <cellStyle name="Percent 5 3 5 4 2 3" xfId="40768" xr:uid="{00000000-0005-0000-0000-000014E60000}"/>
    <cellStyle name="Percent 5 3 5 4 3" xfId="19013" xr:uid="{00000000-0005-0000-0000-000015E60000}"/>
    <cellStyle name="Percent 5 3 5 4 3 2" xfId="48019" xr:uid="{00000000-0005-0000-0000-000016E60000}"/>
    <cellStyle name="Percent 5 3 5 4 4" xfId="33520" xr:uid="{00000000-0005-0000-0000-000017E60000}"/>
    <cellStyle name="Percent 5 3 5 5" xfId="7559" xr:uid="{00000000-0005-0000-0000-000018E60000}"/>
    <cellStyle name="Percent 5 3 5 5 2" xfId="14831" xr:uid="{00000000-0005-0000-0000-000019E60000}"/>
    <cellStyle name="Percent 5 3 5 5 2 2" xfId="29365" xr:uid="{00000000-0005-0000-0000-00001AE60000}"/>
    <cellStyle name="Percent 5 3 5 5 2 2 2" xfId="58371" xr:uid="{00000000-0005-0000-0000-00001BE60000}"/>
    <cellStyle name="Percent 5 3 5 5 2 3" xfId="43872" xr:uid="{00000000-0005-0000-0000-00001CE60000}"/>
    <cellStyle name="Percent 5 3 5 5 3" xfId="22117" xr:uid="{00000000-0005-0000-0000-00001DE60000}"/>
    <cellStyle name="Percent 5 3 5 5 3 2" xfId="51123" xr:uid="{00000000-0005-0000-0000-00001EE60000}"/>
    <cellStyle name="Percent 5 3 5 5 4" xfId="36624" xr:uid="{00000000-0005-0000-0000-00001FE60000}"/>
    <cellStyle name="Percent 5 3 5 6" xfId="8623" xr:uid="{00000000-0005-0000-0000-000020E60000}"/>
    <cellStyle name="Percent 5 3 5 6 2" xfId="23157" xr:uid="{00000000-0005-0000-0000-000021E60000}"/>
    <cellStyle name="Percent 5 3 5 6 2 2" xfId="52163" xr:uid="{00000000-0005-0000-0000-000022E60000}"/>
    <cellStyle name="Percent 5 3 5 6 3" xfId="37664" xr:uid="{00000000-0005-0000-0000-000023E60000}"/>
    <cellStyle name="Percent 5 3 5 7" xfId="15909" xr:uid="{00000000-0005-0000-0000-000024E60000}"/>
    <cellStyle name="Percent 5 3 5 7 2" xfId="44915" xr:uid="{00000000-0005-0000-0000-000025E60000}"/>
    <cellStyle name="Percent 5 3 5 8" xfId="30416" xr:uid="{00000000-0005-0000-0000-000026E60000}"/>
    <cellStyle name="Percent 5 3 5 9" xfId="59532" xr:uid="{00000000-0005-0000-0000-000027E60000}"/>
    <cellStyle name="Percent 5 3 6" xfId="1879" xr:uid="{00000000-0005-0000-0000-000028E60000}"/>
    <cellStyle name="Percent 5 3 6 2" xfId="4983" xr:uid="{00000000-0005-0000-0000-000029E60000}"/>
    <cellStyle name="Percent 5 3 6 2 2" xfId="12255" xr:uid="{00000000-0005-0000-0000-00002AE60000}"/>
    <cellStyle name="Percent 5 3 6 2 2 2" xfId="26789" xr:uid="{00000000-0005-0000-0000-00002BE60000}"/>
    <cellStyle name="Percent 5 3 6 2 2 2 2" xfId="55795" xr:uid="{00000000-0005-0000-0000-00002CE60000}"/>
    <cellStyle name="Percent 5 3 6 2 2 3" xfId="41296" xr:uid="{00000000-0005-0000-0000-00002DE60000}"/>
    <cellStyle name="Percent 5 3 6 2 3" xfId="19541" xr:uid="{00000000-0005-0000-0000-00002EE60000}"/>
    <cellStyle name="Percent 5 3 6 2 3 2" xfId="48547" xr:uid="{00000000-0005-0000-0000-00002FE60000}"/>
    <cellStyle name="Percent 5 3 6 2 4" xfId="34048" xr:uid="{00000000-0005-0000-0000-000030E60000}"/>
    <cellStyle name="Percent 5 3 6 3" xfId="9151" xr:uid="{00000000-0005-0000-0000-000031E60000}"/>
    <cellStyle name="Percent 5 3 6 3 2" xfId="23685" xr:uid="{00000000-0005-0000-0000-000032E60000}"/>
    <cellStyle name="Percent 5 3 6 3 2 2" xfId="52691" xr:uid="{00000000-0005-0000-0000-000033E60000}"/>
    <cellStyle name="Percent 5 3 6 3 3" xfId="38192" xr:uid="{00000000-0005-0000-0000-000034E60000}"/>
    <cellStyle name="Percent 5 3 6 4" xfId="16437" xr:uid="{00000000-0005-0000-0000-000035E60000}"/>
    <cellStyle name="Percent 5 3 6 4 2" xfId="45443" xr:uid="{00000000-0005-0000-0000-000036E60000}"/>
    <cellStyle name="Percent 5 3 6 5" xfId="30944" xr:uid="{00000000-0005-0000-0000-000037E60000}"/>
    <cellStyle name="Percent 5 3 7" xfId="2911" xr:uid="{00000000-0005-0000-0000-000038E60000}"/>
    <cellStyle name="Percent 5 3 7 2" xfId="6015" xr:uid="{00000000-0005-0000-0000-000039E60000}"/>
    <cellStyle name="Percent 5 3 7 2 2" xfId="13287" xr:uid="{00000000-0005-0000-0000-00003AE60000}"/>
    <cellStyle name="Percent 5 3 7 2 2 2" xfId="27821" xr:uid="{00000000-0005-0000-0000-00003BE60000}"/>
    <cellStyle name="Percent 5 3 7 2 2 2 2" xfId="56827" xr:uid="{00000000-0005-0000-0000-00003CE60000}"/>
    <cellStyle name="Percent 5 3 7 2 2 3" xfId="42328" xr:uid="{00000000-0005-0000-0000-00003DE60000}"/>
    <cellStyle name="Percent 5 3 7 2 3" xfId="20573" xr:uid="{00000000-0005-0000-0000-00003EE60000}"/>
    <cellStyle name="Percent 5 3 7 2 3 2" xfId="49579" xr:uid="{00000000-0005-0000-0000-00003FE60000}"/>
    <cellStyle name="Percent 5 3 7 2 4" xfId="35080" xr:uid="{00000000-0005-0000-0000-000040E60000}"/>
    <cellStyle name="Percent 5 3 7 3" xfId="10183" xr:uid="{00000000-0005-0000-0000-000041E60000}"/>
    <cellStyle name="Percent 5 3 7 3 2" xfId="24717" xr:uid="{00000000-0005-0000-0000-000042E60000}"/>
    <cellStyle name="Percent 5 3 7 3 2 2" xfId="53723" xr:uid="{00000000-0005-0000-0000-000043E60000}"/>
    <cellStyle name="Percent 5 3 7 3 3" xfId="39224" xr:uid="{00000000-0005-0000-0000-000044E60000}"/>
    <cellStyle name="Percent 5 3 7 4" xfId="17469" xr:uid="{00000000-0005-0000-0000-000045E60000}"/>
    <cellStyle name="Percent 5 3 7 4 2" xfId="46475" xr:uid="{00000000-0005-0000-0000-000046E60000}"/>
    <cellStyle name="Percent 5 3 7 5" xfId="31976" xr:uid="{00000000-0005-0000-0000-000047E60000}"/>
    <cellStyle name="Percent 5 3 8" xfId="3943" xr:uid="{00000000-0005-0000-0000-000048E60000}"/>
    <cellStyle name="Percent 5 3 8 2" xfId="11215" xr:uid="{00000000-0005-0000-0000-000049E60000}"/>
    <cellStyle name="Percent 5 3 8 2 2" xfId="25749" xr:uid="{00000000-0005-0000-0000-00004AE60000}"/>
    <cellStyle name="Percent 5 3 8 2 2 2" xfId="54755" xr:uid="{00000000-0005-0000-0000-00004BE60000}"/>
    <cellStyle name="Percent 5 3 8 2 3" xfId="40256" xr:uid="{00000000-0005-0000-0000-00004CE60000}"/>
    <cellStyle name="Percent 5 3 8 3" xfId="18501" xr:uid="{00000000-0005-0000-0000-00004DE60000}"/>
    <cellStyle name="Percent 5 3 8 3 2" xfId="47507" xr:uid="{00000000-0005-0000-0000-00004EE60000}"/>
    <cellStyle name="Percent 5 3 8 4" xfId="33008" xr:uid="{00000000-0005-0000-0000-00004FE60000}"/>
    <cellStyle name="Percent 5 3 9" xfId="7047" xr:uid="{00000000-0005-0000-0000-000050E60000}"/>
    <cellStyle name="Percent 5 3 9 2" xfId="14319" xr:uid="{00000000-0005-0000-0000-000051E60000}"/>
    <cellStyle name="Percent 5 3 9 2 2" xfId="28853" xr:uid="{00000000-0005-0000-0000-000052E60000}"/>
    <cellStyle name="Percent 5 3 9 2 2 2" xfId="57859" xr:uid="{00000000-0005-0000-0000-000053E60000}"/>
    <cellStyle name="Percent 5 3 9 2 3" xfId="43360" xr:uid="{00000000-0005-0000-0000-000054E60000}"/>
    <cellStyle name="Percent 5 3 9 3" xfId="21605" xr:uid="{00000000-0005-0000-0000-000055E60000}"/>
    <cellStyle name="Percent 5 3 9 3 2" xfId="50611" xr:uid="{00000000-0005-0000-0000-000056E60000}"/>
    <cellStyle name="Percent 5 3 9 4" xfId="36112" xr:uid="{00000000-0005-0000-0000-000057E60000}"/>
    <cellStyle name="Percent 5 4" xfId="178" xr:uid="{00000000-0005-0000-0000-000058E60000}"/>
    <cellStyle name="Percent 5 4 10" xfId="29955" xr:uid="{00000000-0005-0000-0000-000059E60000}"/>
    <cellStyle name="Percent 5 4 11" xfId="58896" xr:uid="{00000000-0005-0000-0000-00005AE60000}"/>
    <cellStyle name="Percent 5 4 12" xfId="59002" xr:uid="{00000000-0005-0000-0000-00005BE60000}"/>
    <cellStyle name="Percent 5 4 13" xfId="59151" xr:uid="{00000000-0005-0000-0000-00005CE60000}"/>
    <cellStyle name="Percent 5 4 2" xfId="505" xr:uid="{00000000-0005-0000-0000-00005DE60000}"/>
    <cellStyle name="Percent 5 4 2 10" xfId="59364" xr:uid="{00000000-0005-0000-0000-00005EE60000}"/>
    <cellStyle name="Percent 5 4 2 2" xfId="1689" xr:uid="{00000000-0005-0000-0000-00005FE60000}"/>
    <cellStyle name="Percent 5 4 2 2 2" xfId="2748" xr:uid="{00000000-0005-0000-0000-000060E60000}"/>
    <cellStyle name="Percent 5 4 2 2 2 2" xfId="5852" xr:uid="{00000000-0005-0000-0000-000061E60000}"/>
    <cellStyle name="Percent 5 4 2 2 2 2 2" xfId="13124" xr:uid="{00000000-0005-0000-0000-000062E60000}"/>
    <cellStyle name="Percent 5 4 2 2 2 2 2 2" xfId="27658" xr:uid="{00000000-0005-0000-0000-000063E60000}"/>
    <cellStyle name="Percent 5 4 2 2 2 2 2 2 2" xfId="56664" xr:uid="{00000000-0005-0000-0000-000064E60000}"/>
    <cellStyle name="Percent 5 4 2 2 2 2 2 3" xfId="42165" xr:uid="{00000000-0005-0000-0000-000065E60000}"/>
    <cellStyle name="Percent 5 4 2 2 2 2 3" xfId="20410" xr:uid="{00000000-0005-0000-0000-000066E60000}"/>
    <cellStyle name="Percent 5 4 2 2 2 2 3 2" xfId="49416" xr:uid="{00000000-0005-0000-0000-000067E60000}"/>
    <cellStyle name="Percent 5 4 2 2 2 2 4" xfId="34917" xr:uid="{00000000-0005-0000-0000-000068E60000}"/>
    <cellStyle name="Percent 5 4 2 2 2 3" xfId="10020" xr:uid="{00000000-0005-0000-0000-000069E60000}"/>
    <cellStyle name="Percent 5 4 2 2 2 3 2" xfId="24554" xr:uid="{00000000-0005-0000-0000-00006AE60000}"/>
    <cellStyle name="Percent 5 4 2 2 2 3 2 2" xfId="53560" xr:uid="{00000000-0005-0000-0000-00006BE60000}"/>
    <cellStyle name="Percent 5 4 2 2 2 3 3" xfId="39061" xr:uid="{00000000-0005-0000-0000-00006CE60000}"/>
    <cellStyle name="Percent 5 4 2 2 2 4" xfId="17306" xr:uid="{00000000-0005-0000-0000-00006DE60000}"/>
    <cellStyle name="Percent 5 4 2 2 2 4 2" xfId="46312" xr:uid="{00000000-0005-0000-0000-00006EE60000}"/>
    <cellStyle name="Percent 5 4 2 2 2 5" xfId="31813" xr:uid="{00000000-0005-0000-0000-00006FE60000}"/>
    <cellStyle name="Percent 5 4 2 2 3" xfId="3780" xr:uid="{00000000-0005-0000-0000-000070E60000}"/>
    <cellStyle name="Percent 5 4 2 2 3 2" xfId="6884" xr:uid="{00000000-0005-0000-0000-000071E60000}"/>
    <cellStyle name="Percent 5 4 2 2 3 2 2" xfId="14156" xr:uid="{00000000-0005-0000-0000-000072E60000}"/>
    <cellStyle name="Percent 5 4 2 2 3 2 2 2" xfId="28690" xr:uid="{00000000-0005-0000-0000-000073E60000}"/>
    <cellStyle name="Percent 5 4 2 2 3 2 2 2 2" xfId="57696" xr:uid="{00000000-0005-0000-0000-000074E60000}"/>
    <cellStyle name="Percent 5 4 2 2 3 2 2 3" xfId="43197" xr:uid="{00000000-0005-0000-0000-000075E60000}"/>
    <cellStyle name="Percent 5 4 2 2 3 2 3" xfId="21442" xr:uid="{00000000-0005-0000-0000-000076E60000}"/>
    <cellStyle name="Percent 5 4 2 2 3 2 3 2" xfId="50448" xr:uid="{00000000-0005-0000-0000-000077E60000}"/>
    <cellStyle name="Percent 5 4 2 2 3 2 4" xfId="35949" xr:uid="{00000000-0005-0000-0000-000078E60000}"/>
    <cellStyle name="Percent 5 4 2 2 3 3" xfId="11052" xr:uid="{00000000-0005-0000-0000-000079E60000}"/>
    <cellStyle name="Percent 5 4 2 2 3 3 2" xfId="25586" xr:uid="{00000000-0005-0000-0000-00007AE60000}"/>
    <cellStyle name="Percent 5 4 2 2 3 3 2 2" xfId="54592" xr:uid="{00000000-0005-0000-0000-00007BE60000}"/>
    <cellStyle name="Percent 5 4 2 2 3 3 3" xfId="40093" xr:uid="{00000000-0005-0000-0000-00007CE60000}"/>
    <cellStyle name="Percent 5 4 2 2 3 4" xfId="18338" xr:uid="{00000000-0005-0000-0000-00007DE60000}"/>
    <cellStyle name="Percent 5 4 2 2 3 4 2" xfId="47344" xr:uid="{00000000-0005-0000-0000-00007EE60000}"/>
    <cellStyle name="Percent 5 4 2 2 3 5" xfId="32845" xr:uid="{00000000-0005-0000-0000-00007FE60000}"/>
    <cellStyle name="Percent 5 4 2 2 4" xfId="4812" xr:uid="{00000000-0005-0000-0000-000080E60000}"/>
    <cellStyle name="Percent 5 4 2 2 4 2" xfId="12084" xr:uid="{00000000-0005-0000-0000-000081E60000}"/>
    <cellStyle name="Percent 5 4 2 2 4 2 2" xfId="26618" xr:uid="{00000000-0005-0000-0000-000082E60000}"/>
    <cellStyle name="Percent 5 4 2 2 4 2 2 2" xfId="55624" xr:uid="{00000000-0005-0000-0000-000083E60000}"/>
    <cellStyle name="Percent 5 4 2 2 4 2 3" xfId="41125" xr:uid="{00000000-0005-0000-0000-000084E60000}"/>
    <cellStyle name="Percent 5 4 2 2 4 3" xfId="19370" xr:uid="{00000000-0005-0000-0000-000085E60000}"/>
    <cellStyle name="Percent 5 4 2 2 4 3 2" xfId="48376" xr:uid="{00000000-0005-0000-0000-000086E60000}"/>
    <cellStyle name="Percent 5 4 2 2 4 4" xfId="33877" xr:uid="{00000000-0005-0000-0000-000087E60000}"/>
    <cellStyle name="Percent 5 4 2 2 5" xfId="7916" xr:uid="{00000000-0005-0000-0000-000088E60000}"/>
    <cellStyle name="Percent 5 4 2 2 5 2" xfId="15188" xr:uid="{00000000-0005-0000-0000-000089E60000}"/>
    <cellStyle name="Percent 5 4 2 2 5 2 2" xfId="29722" xr:uid="{00000000-0005-0000-0000-00008AE60000}"/>
    <cellStyle name="Percent 5 4 2 2 5 2 2 2" xfId="58728" xr:uid="{00000000-0005-0000-0000-00008BE60000}"/>
    <cellStyle name="Percent 5 4 2 2 5 2 3" xfId="44229" xr:uid="{00000000-0005-0000-0000-00008CE60000}"/>
    <cellStyle name="Percent 5 4 2 2 5 3" xfId="22474" xr:uid="{00000000-0005-0000-0000-00008DE60000}"/>
    <cellStyle name="Percent 5 4 2 2 5 3 2" xfId="51480" xr:uid="{00000000-0005-0000-0000-00008EE60000}"/>
    <cellStyle name="Percent 5 4 2 2 5 4" xfId="36981" xr:uid="{00000000-0005-0000-0000-00008FE60000}"/>
    <cellStyle name="Percent 5 4 2 2 6" xfId="8980" xr:uid="{00000000-0005-0000-0000-000090E60000}"/>
    <cellStyle name="Percent 5 4 2 2 6 2" xfId="23514" xr:uid="{00000000-0005-0000-0000-000091E60000}"/>
    <cellStyle name="Percent 5 4 2 2 6 2 2" xfId="52520" xr:uid="{00000000-0005-0000-0000-000092E60000}"/>
    <cellStyle name="Percent 5 4 2 2 6 3" xfId="38021" xr:uid="{00000000-0005-0000-0000-000093E60000}"/>
    <cellStyle name="Percent 5 4 2 2 7" xfId="16266" xr:uid="{00000000-0005-0000-0000-000094E60000}"/>
    <cellStyle name="Percent 5 4 2 2 7 2" xfId="45272" xr:uid="{00000000-0005-0000-0000-000095E60000}"/>
    <cellStyle name="Percent 5 4 2 2 8" xfId="30773" xr:uid="{00000000-0005-0000-0000-000096E60000}"/>
    <cellStyle name="Percent 5 4 2 3" xfId="2236" xr:uid="{00000000-0005-0000-0000-000097E60000}"/>
    <cellStyle name="Percent 5 4 2 3 2" xfId="5340" xr:uid="{00000000-0005-0000-0000-000098E60000}"/>
    <cellStyle name="Percent 5 4 2 3 2 2" xfId="12612" xr:uid="{00000000-0005-0000-0000-000099E60000}"/>
    <cellStyle name="Percent 5 4 2 3 2 2 2" xfId="27146" xr:uid="{00000000-0005-0000-0000-00009AE60000}"/>
    <cellStyle name="Percent 5 4 2 3 2 2 2 2" xfId="56152" xr:uid="{00000000-0005-0000-0000-00009BE60000}"/>
    <cellStyle name="Percent 5 4 2 3 2 2 3" xfId="41653" xr:uid="{00000000-0005-0000-0000-00009CE60000}"/>
    <cellStyle name="Percent 5 4 2 3 2 3" xfId="19898" xr:uid="{00000000-0005-0000-0000-00009DE60000}"/>
    <cellStyle name="Percent 5 4 2 3 2 3 2" xfId="48904" xr:uid="{00000000-0005-0000-0000-00009EE60000}"/>
    <cellStyle name="Percent 5 4 2 3 2 4" xfId="34405" xr:uid="{00000000-0005-0000-0000-00009FE60000}"/>
    <cellStyle name="Percent 5 4 2 3 3" xfId="9508" xr:uid="{00000000-0005-0000-0000-0000A0E60000}"/>
    <cellStyle name="Percent 5 4 2 3 3 2" xfId="24042" xr:uid="{00000000-0005-0000-0000-0000A1E60000}"/>
    <cellStyle name="Percent 5 4 2 3 3 2 2" xfId="53048" xr:uid="{00000000-0005-0000-0000-0000A2E60000}"/>
    <cellStyle name="Percent 5 4 2 3 3 3" xfId="38549" xr:uid="{00000000-0005-0000-0000-0000A3E60000}"/>
    <cellStyle name="Percent 5 4 2 3 4" xfId="16794" xr:uid="{00000000-0005-0000-0000-0000A4E60000}"/>
    <cellStyle name="Percent 5 4 2 3 4 2" xfId="45800" xr:uid="{00000000-0005-0000-0000-0000A5E60000}"/>
    <cellStyle name="Percent 5 4 2 3 5" xfId="31301" xr:uid="{00000000-0005-0000-0000-0000A6E60000}"/>
    <cellStyle name="Percent 5 4 2 4" xfId="3268" xr:uid="{00000000-0005-0000-0000-0000A7E60000}"/>
    <cellStyle name="Percent 5 4 2 4 2" xfId="6372" xr:uid="{00000000-0005-0000-0000-0000A8E60000}"/>
    <cellStyle name="Percent 5 4 2 4 2 2" xfId="13644" xr:uid="{00000000-0005-0000-0000-0000A9E60000}"/>
    <cellStyle name="Percent 5 4 2 4 2 2 2" xfId="28178" xr:uid="{00000000-0005-0000-0000-0000AAE60000}"/>
    <cellStyle name="Percent 5 4 2 4 2 2 2 2" xfId="57184" xr:uid="{00000000-0005-0000-0000-0000ABE60000}"/>
    <cellStyle name="Percent 5 4 2 4 2 2 3" xfId="42685" xr:uid="{00000000-0005-0000-0000-0000ACE60000}"/>
    <cellStyle name="Percent 5 4 2 4 2 3" xfId="20930" xr:uid="{00000000-0005-0000-0000-0000ADE60000}"/>
    <cellStyle name="Percent 5 4 2 4 2 3 2" xfId="49936" xr:uid="{00000000-0005-0000-0000-0000AEE60000}"/>
    <cellStyle name="Percent 5 4 2 4 2 4" xfId="35437" xr:uid="{00000000-0005-0000-0000-0000AFE60000}"/>
    <cellStyle name="Percent 5 4 2 4 3" xfId="10540" xr:uid="{00000000-0005-0000-0000-0000B0E60000}"/>
    <cellStyle name="Percent 5 4 2 4 3 2" xfId="25074" xr:uid="{00000000-0005-0000-0000-0000B1E60000}"/>
    <cellStyle name="Percent 5 4 2 4 3 2 2" xfId="54080" xr:uid="{00000000-0005-0000-0000-0000B2E60000}"/>
    <cellStyle name="Percent 5 4 2 4 3 3" xfId="39581" xr:uid="{00000000-0005-0000-0000-0000B3E60000}"/>
    <cellStyle name="Percent 5 4 2 4 4" xfId="17826" xr:uid="{00000000-0005-0000-0000-0000B4E60000}"/>
    <cellStyle name="Percent 5 4 2 4 4 2" xfId="46832" xr:uid="{00000000-0005-0000-0000-0000B5E60000}"/>
    <cellStyle name="Percent 5 4 2 4 5" xfId="32333" xr:uid="{00000000-0005-0000-0000-0000B6E60000}"/>
    <cellStyle name="Percent 5 4 2 5" xfId="4300" xr:uid="{00000000-0005-0000-0000-0000B7E60000}"/>
    <cellStyle name="Percent 5 4 2 5 2" xfId="11572" xr:uid="{00000000-0005-0000-0000-0000B8E60000}"/>
    <cellStyle name="Percent 5 4 2 5 2 2" xfId="26106" xr:uid="{00000000-0005-0000-0000-0000B9E60000}"/>
    <cellStyle name="Percent 5 4 2 5 2 2 2" xfId="55112" xr:uid="{00000000-0005-0000-0000-0000BAE60000}"/>
    <cellStyle name="Percent 5 4 2 5 2 3" xfId="40613" xr:uid="{00000000-0005-0000-0000-0000BBE60000}"/>
    <cellStyle name="Percent 5 4 2 5 3" xfId="18858" xr:uid="{00000000-0005-0000-0000-0000BCE60000}"/>
    <cellStyle name="Percent 5 4 2 5 3 2" xfId="47864" xr:uid="{00000000-0005-0000-0000-0000BDE60000}"/>
    <cellStyle name="Percent 5 4 2 5 4" xfId="33365" xr:uid="{00000000-0005-0000-0000-0000BEE60000}"/>
    <cellStyle name="Percent 5 4 2 6" xfId="7404" xr:uid="{00000000-0005-0000-0000-0000BFE60000}"/>
    <cellStyle name="Percent 5 4 2 6 2" xfId="14676" xr:uid="{00000000-0005-0000-0000-0000C0E60000}"/>
    <cellStyle name="Percent 5 4 2 6 2 2" xfId="29210" xr:uid="{00000000-0005-0000-0000-0000C1E60000}"/>
    <cellStyle name="Percent 5 4 2 6 2 2 2" xfId="58216" xr:uid="{00000000-0005-0000-0000-0000C2E60000}"/>
    <cellStyle name="Percent 5 4 2 6 2 3" xfId="43717" xr:uid="{00000000-0005-0000-0000-0000C3E60000}"/>
    <cellStyle name="Percent 5 4 2 6 3" xfId="21962" xr:uid="{00000000-0005-0000-0000-0000C4E60000}"/>
    <cellStyle name="Percent 5 4 2 6 3 2" xfId="50968" xr:uid="{00000000-0005-0000-0000-0000C5E60000}"/>
    <cellStyle name="Percent 5 4 2 6 4" xfId="36469" xr:uid="{00000000-0005-0000-0000-0000C6E60000}"/>
    <cellStyle name="Percent 5 4 2 7" xfId="8468" xr:uid="{00000000-0005-0000-0000-0000C7E60000}"/>
    <cellStyle name="Percent 5 4 2 7 2" xfId="23002" xr:uid="{00000000-0005-0000-0000-0000C8E60000}"/>
    <cellStyle name="Percent 5 4 2 7 2 2" xfId="52008" xr:uid="{00000000-0005-0000-0000-0000C9E60000}"/>
    <cellStyle name="Percent 5 4 2 7 3" xfId="37509" xr:uid="{00000000-0005-0000-0000-0000CAE60000}"/>
    <cellStyle name="Percent 5 4 2 8" xfId="15754" xr:uid="{00000000-0005-0000-0000-0000CBE60000}"/>
    <cellStyle name="Percent 5 4 2 8 2" xfId="44760" xr:uid="{00000000-0005-0000-0000-0000CCE60000}"/>
    <cellStyle name="Percent 5 4 2 9" xfId="30261" xr:uid="{00000000-0005-0000-0000-0000CDE60000}"/>
    <cellStyle name="Percent 5 4 3" xfId="379" xr:uid="{00000000-0005-0000-0000-0000CEE60000}"/>
    <cellStyle name="Percent 5 4 3 2" xfId="2442" xr:uid="{00000000-0005-0000-0000-0000CFE60000}"/>
    <cellStyle name="Percent 5 4 3 2 2" xfId="5546" xr:uid="{00000000-0005-0000-0000-0000D0E60000}"/>
    <cellStyle name="Percent 5 4 3 2 2 2" xfId="12818" xr:uid="{00000000-0005-0000-0000-0000D1E60000}"/>
    <cellStyle name="Percent 5 4 3 2 2 2 2" xfId="27352" xr:uid="{00000000-0005-0000-0000-0000D2E60000}"/>
    <cellStyle name="Percent 5 4 3 2 2 2 2 2" xfId="56358" xr:uid="{00000000-0005-0000-0000-0000D3E60000}"/>
    <cellStyle name="Percent 5 4 3 2 2 2 3" xfId="41859" xr:uid="{00000000-0005-0000-0000-0000D4E60000}"/>
    <cellStyle name="Percent 5 4 3 2 2 3" xfId="20104" xr:uid="{00000000-0005-0000-0000-0000D5E60000}"/>
    <cellStyle name="Percent 5 4 3 2 2 3 2" xfId="49110" xr:uid="{00000000-0005-0000-0000-0000D6E60000}"/>
    <cellStyle name="Percent 5 4 3 2 2 4" xfId="34611" xr:uid="{00000000-0005-0000-0000-0000D7E60000}"/>
    <cellStyle name="Percent 5 4 3 2 3" xfId="9714" xr:uid="{00000000-0005-0000-0000-0000D8E60000}"/>
    <cellStyle name="Percent 5 4 3 2 3 2" xfId="24248" xr:uid="{00000000-0005-0000-0000-0000D9E60000}"/>
    <cellStyle name="Percent 5 4 3 2 3 2 2" xfId="53254" xr:uid="{00000000-0005-0000-0000-0000DAE60000}"/>
    <cellStyle name="Percent 5 4 3 2 3 3" xfId="38755" xr:uid="{00000000-0005-0000-0000-0000DBE60000}"/>
    <cellStyle name="Percent 5 4 3 2 4" xfId="17000" xr:uid="{00000000-0005-0000-0000-0000DCE60000}"/>
    <cellStyle name="Percent 5 4 3 2 4 2" xfId="46006" xr:uid="{00000000-0005-0000-0000-0000DDE60000}"/>
    <cellStyle name="Percent 5 4 3 2 5" xfId="31507" xr:uid="{00000000-0005-0000-0000-0000DEE60000}"/>
    <cellStyle name="Percent 5 4 3 3" xfId="3474" xr:uid="{00000000-0005-0000-0000-0000DFE60000}"/>
    <cellStyle name="Percent 5 4 3 3 2" xfId="6578" xr:uid="{00000000-0005-0000-0000-0000E0E60000}"/>
    <cellStyle name="Percent 5 4 3 3 2 2" xfId="13850" xr:uid="{00000000-0005-0000-0000-0000E1E60000}"/>
    <cellStyle name="Percent 5 4 3 3 2 2 2" xfId="28384" xr:uid="{00000000-0005-0000-0000-0000E2E60000}"/>
    <cellStyle name="Percent 5 4 3 3 2 2 2 2" xfId="57390" xr:uid="{00000000-0005-0000-0000-0000E3E60000}"/>
    <cellStyle name="Percent 5 4 3 3 2 2 3" xfId="42891" xr:uid="{00000000-0005-0000-0000-0000E4E60000}"/>
    <cellStyle name="Percent 5 4 3 3 2 3" xfId="21136" xr:uid="{00000000-0005-0000-0000-0000E5E60000}"/>
    <cellStyle name="Percent 5 4 3 3 2 3 2" xfId="50142" xr:uid="{00000000-0005-0000-0000-0000E6E60000}"/>
    <cellStyle name="Percent 5 4 3 3 2 4" xfId="35643" xr:uid="{00000000-0005-0000-0000-0000E7E60000}"/>
    <cellStyle name="Percent 5 4 3 3 3" xfId="10746" xr:uid="{00000000-0005-0000-0000-0000E8E60000}"/>
    <cellStyle name="Percent 5 4 3 3 3 2" xfId="25280" xr:uid="{00000000-0005-0000-0000-0000E9E60000}"/>
    <cellStyle name="Percent 5 4 3 3 3 2 2" xfId="54286" xr:uid="{00000000-0005-0000-0000-0000EAE60000}"/>
    <cellStyle name="Percent 5 4 3 3 3 3" xfId="39787" xr:uid="{00000000-0005-0000-0000-0000EBE60000}"/>
    <cellStyle name="Percent 5 4 3 3 4" xfId="18032" xr:uid="{00000000-0005-0000-0000-0000ECE60000}"/>
    <cellStyle name="Percent 5 4 3 3 4 2" xfId="47038" xr:uid="{00000000-0005-0000-0000-0000EDE60000}"/>
    <cellStyle name="Percent 5 4 3 3 5" xfId="32539" xr:uid="{00000000-0005-0000-0000-0000EEE60000}"/>
    <cellStyle name="Percent 5 4 3 4" xfId="4506" xr:uid="{00000000-0005-0000-0000-0000EFE60000}"/>
    <cellStyle name="Percent 5 4 3 4 2" xfId="11778" xr:uid="{00000000-0005-0000-0000-0000F0E60000}"/>
    <cellStyle name="Percent 5 4 3 4 2 2" xfId="26312" xr:uid="{00000000-0005-0000-0000-0000F1E60000}"/>
    <cellStyle name="Percent 5 4 3 4 2 2 2" xfId="55318" xr:uid="{00000000-0005-0000-0000-0000F2E60000}"/>
    <cellStyle name="Percent 5 4 3 4 2 3" xfId="40819" xr:uid="{00000000-0005-0000-0000-0000F3E60000}"/>
    <cellStyle name="Percent 5 4 3 4 3" xfId="19064" xr:uid="{00000000-0005-0000-0000-0000F4E60000}"/>
    <cellStyle name="Percent 5 4 3 4 3 2" xfId="48070" xr:uid="{00000000-0005-0000-0000-0000F5E60000}"/>
    <cellStyle name="Percent 5 4 3 4 4" xfId="33571" xr:uid="{00000000-0005-0000-0000-0000F6E60000}"/>
    <cellStyle name="Percent 5 4 3 5" xfId="7610" xr:uid="{00000000-0005-0000-0000-0000F7E60000}"/>
    <cellStyle name="Percent 5 4 3 5 2" xfId="14882" xr:uid="{00000000-0005-0000-0000-0000F8E60000}"/>
    <cellStyle name="Percent 5 4 3 5 2 2" xfId="29416" xr:uid="{00000000-0005-0000-0000-0000F9E60000}"/>
    <cellStyle name="Percent 5 4 3 5 2 2 2" xfId="58422" xr:uid="{00000000-0005-0000-0000-0000FAE60000}"/>
    <cellStyle name="Percent 5 4 3 5 2 3" xfId="43923" xr:uid="{00000000-0005-0000-0000-0000FBE60000}"/>
    <cellStyle name="Percent 5 4 3 5 3" xfId="22168" xr:uid="{00000000-0005-0000-0000-0000FCE60000}"/>
    <cellStyle name="Percent 5 4 3 5 3 2" xfId="51174" xr:uid="{00000000-0005-0000-0000-0000FDE60000}"/>
    <cellStyle name="Percent 5 4 3 5 4" xfId="36675" xr:uid="{00000000-0005-0000-0000-0000FEE60000}"/>
    <cellStyle name="Percent 5 4 3 6" xfId="8674" xr:uid="{00000000-0005-0000-0000-0000FFE60000}"/>
    <cellStyle name="Percent 5 4 3 6 2" xfId="23208" xr:uid="{00000000-0005-0000-0000-000000E70000}"/>
    <cellStyle name="Percent 5 4 3 6 2 2" xfId="52214" xr:uid="{00000000-0005-0000-0000-000001E70000}"/>
    <cellStyle name="Percent 5 4 3 6 3" xfId="37715" xr:uid="{00000000-0005-0000-0000-000002E70000}"/>
    <cellStyle name="Percent 5 4 3 7" xfId="15960" xr:uid="{00000000-0005-0000-0000-000003E70000}"/>
    <cellStyle name="Percent 5 4 3 7 2" xfId="44966" xr:uid="{00000000-0005-0000-0000-000004E70000}"/>
    <cellStyle name="Percent 5 4 3 8" xfId="30467" xr:uid="{00000000-0005-0000-0000-000005E70000}"/>
    <cellStyle name="Percent 5 4 3 9" xfId="59226" xr:uid="{00000000-0005-0000-0000-000006E70000}"/>
    <cellStyle name="Percent 5 4 4" xfId="1930" xr:uid="{00000000-0005-0000-0000-000007E70000}"/>
    <cellStyle name="Percent 5 4 4 2" xfId="5034" xr:uid="{00000000-0005-0000-0000-000008E70000}"/>
    <cellStyle name="Percent 5 4 4 2 2" xfId="12306" xr:uid="{00000000-0005-0000-0000-000009E70000}"/>
    <cellStyle name="Percent 5 4 4 2 2 2" xfId="26840" xr:uid="{00000000-0005-0000-0000-00000AE70000}"/>
    <cellStyle name="Percent 5 4 4 2 2 2 2" xfId="55846" xr:uid="{00000000-0005-0000-0000-00000BE70000}"/>
    <cellStyle name="Percent 5 4 4 2 2 3" xfId="41347" xr:uid="{00000000-0005-0000-0000-00000CE70000}"/>
    <cellStyle name="Percent 5 4 4 2 3" xfId="19592" xr:uid="{00000000-0005-0000-0000-00000DE70000}"/>
    <cellStyle name="Percent 5 4 4 2 3 2" xfId="48598" xr:uid="{00000000-0005-0000-0000-00000EE70000}"/>
    <cellStyle name="Percent 5 4 4 2 4" xfId="34099" xr:uid="{00000000-0005-0000-0000-00000FE70000}"/>
    <cellStyle name="Percent 5 4 4 3" xfId="9202" xr:uid="{00000000-0005-0000-0000-000010E70000}"/>
    <cellStyle name="Percent 5 4 4 3 2" xfId="23736" xr:uid="{00000000-0005-0000-0000-000011E70000}"/>
    <cellStyle name="Percent 5 4 4 3 2 2" xfId="52742" xr:uid="{00000000-0005-0000-0000-000012E70000}"/>
    <cellStyle name="Percent 5 4 4 3 3" xfId="38243" xr:uid="{00000000-0005-0000-0000-000013E70000}"/>
    <cellStyle name="Percent 5 4 4 4" xfId="16488" xr:uid="{00000000-0005-0000-0000-000014E70000}"/>
    <cellStyle name="Percent 5 4 4 4 2" xfId="45494" xr:uid="{00000000-0005-0000-0000-000015E70000}"/>
    <cellStyle name="Percent 5 4 4 5" xfId="30995" xr:uid="{00000000-0005-0000-0000-000016E70000}"/>
    <cellStyle name="Percent 5 4 4 6" xfId="59556" xr:uid="{00000000-0005-0000-0000-000017E70000}"/>
    <cellStyle name="Percent 5 4 5" xfId="2962" xr:uid="{00000000-0005-0000-0000-000018E70000}"/>
    <cellStyle name="Percent 5 4 5 2" xfId="6066" xr:uid="{00000000-0005-0000-0000-000019E70000}"/>
    <cellStyle name="Percent 5 4 5 2 2" xfId="13338" xr:uid="{00000000-0005-0000-0000-00001AE70000}"/>
    <cellStyle name="Percent 5 4 5 2 2 2" xfId="27872" xr:uid="{00000000-0005-0000-0000-00001BE70000}"/>
    <cellStyle name="Percent 5 4 5 2 2 2 2" xfId="56878" xr:uid="{00000000-0005-0000-0000-00001CE70000}"/>
    <cellStyle name="Percent 5 4 5 2 2 3" xfId="42379" xr:uid="{00000000-0005-0000-0000-00001DE70000}"/>
    <cellStyle name="Percent 5 4 5 2 3" xfId="20624" xr:uid="{00000000-0005-0000-0000-00001EE70000}"/>
    <cellStyle name="Percent 5 4 5 2 3 2" xfId="49630" xr:uid="{00000000-0005-0000-0000-00001FE70000}"/>
    <cellStyle name="Percent 5 4 5 2 4" xfId="35131" xr:uid="{00000000-0005-0000-0000-000020E70000}"/>
    <cellStyle name="Percent 5 4 5 3" xfId="10234" xr:uid="{00000000-0005-0000-0000-000021E70000}"/>
    <cellStyle name="Percent 5 4 5 3 2" xfId="24768" xr:uid="{00000000-0005-0000-0000-000022E70000}"/>
    <cellStyle name="Percent 5 4 5 3 2 2" xfId="53774" xr:uid="{00000000-0005-0000-0000-000023E70000}"/>
    <cellStyle name="Percent 5 4 5 3 3" xfId="39275" xr:uid="{00000000-0005-0000-0000-000024E70000}"/>
    <cellStyle name="Percent 5 4 5 4" xfId="17520" xr:uid="{00000000-0005-0000-0000-000025E70000}"/>
    <cellStyle name="Percent 5 4 5 4 2" xfId="46526" xr:uid="{00000000-0005-0000-0000-000026E70000}"/>
    <cellStyle name="Percent 5 4 5 5" xfId="32027" xr:uid="{00000000-0005-0000-0000-000027E70000}"/>
    <cellStyle name="Percent 5 4 6" xfId="3994" xr:uid="{00000000-0005-0000-0000-000028E70000}"/>
    <cellStyle name="Percent 5 4 6 2" xfId="11266" xr:uid="{00000000-0005-0000-0000-000029E70000}"/>
    <cellStyle name="Percent 5 4 6 2 2" xfId="25800" xr:uid="{00000000-0005-0000-0000-00002AE70000}"/>
    <cellStyle name="Percent 5 4 6 2 2 2" xfId="54806" xr:uid="{00000000-0005-0000-0000-00002BE70000}"/>
    <cellStyle name="Percent 5 4 6 2 3" xfId="40307" xr:uid="{00000000-0005-0000-0000-00002CE70000}"/>
    <cellStyle name="Percent 5 4 6 3" xfId="18552" xr:uid="{00000000-0005-0000-0000-00002DE70000}"/>
    <cellStyle name="Percent 5 4 6 3 2" xfId="47558" xr:uid="{00000000-0005-0000-0000-00002EE70000}"/>
    <cellStyle name="Percent 5 4 6 4" xfId="33059" xr:uid="{00000000-0005-0000-0000-00002FE70000}"/>
    <cellStyle name="Percent 5 4 7" xfId="7098" xr:uid="{00000000-0005-0000-0000-000030E70000}"/>
    <cellStyle name="Percent 5 4 7 2" xfId="14370" xr:uid="{00000000-0005-0000-0000-000031E70000}"/>
    <cellStyle name="Percent 5 4 7 2 2" xfId="28904" xr:uid="{00000000-0005-0000-0000-000032E70000}"/>
    <cellStyle name="Percent 5 4 7 2 2 2" xfId="57910" xr:uid="{00000000-0005-0000-0000-000033E70000}"/>
    <cellStyle name="Percent 5 4 7 2 3" xfId="43411" xr:uid="{00000000-0005-0000-0000-000034E70000}"/>
    <cellStyle name="Percent 5 4 7 3" xfId="21656" xr:uid="{00000000-0005-0000-0000-000035E70000}"/>
    <cellStyle name="Percent 5 4 7 3 2" xfId="50662" xr:uid="{00000000-0005-0000-0000-000036E70000}"/>
    <cellStyle name="Percent 5 4 7 4" xfId="36163" xr:uid="{00000000-0005-0000-0000-000037E70000}"/>
    <cellStyle name="Percent 5 4 8" xfId="8162" xr:uid="{00000000-0005-0000-0000-000038E70000}"/>
    <cellStyle name="Percent 5 4 8 2" xfId="22696" xr:uid="{00000000-0005-0000-0000-000039E70000}"/>
    <cellStyle name="Percent 5 4 8 2 2" xfId="51702" xr:uid="{00000000-0005-0000-0000-00003AE70000}"/>
    <cellStyle name="Percent 5 4 8 3" xfId="37203" xr:uid="{00000000-0005-0000-0000-00003BE70000}"/>
    <cellStyle name="Percent 5 4 9" xfId="15448" xr:uid="{00000000-0005-0000-0000-00003CE70000}"/>
    <cellStyle name="Percent 5 4 9 2" xfId="44454" xr:uid="{00000000-0005-0000-0000-00003DE70000}"/>
    <cellStyle name="Percent 5 5" xfId="433" xr:uid="{00000000-0005-0000-0000-00003EE70000}"/>
    <cellStyle name="Percent 5 5 10" xfId="59289" xr:uid="{00000000-0005-0000-0000-00003FE70000}"/>
    <cellStyle name="Percent 5 5 2" xfId="1586" xr:uid="{00000000-0005-0000-0000-000040E70000}"/>
    <cellStyle name="Percent 5 5 2 2" xfId="2645" xr:uid="{00000000-0005-0000-0000-000041E70000}"/>
    <cellStyle name="Percent 5 5 2 2 2" xfId="5749" xr:uid="{00000000-0005-0000-0000-000042E70000}"/>
    <cellStyle name="Percent 5 5 2 2 2 2" xfId="13021" xr:uid="{00000000-0005-0000-0000-000043E70000}"/>
    <cellStyle name="Percent 5 5 2 2 2 2 2" xfId="27555" xr:uid="{00000000-0005-0000-0000-000044E70000}"/>
    <cellStyle name="Percent 5 5 2 2 2 2 2 2" xfId="56561" xr:uid="{00000000-0005-0000-0000-000045E70000}"/>
    <cellStyle name="Percent 5 5 2 2 2 2 3" xfId="42062" xr:uid="{00000000-0005-0000-0000-000046E70000}"/>
    <cellStyle name="Percent 5 5 2 2 2 3" xfId="20307" xr:uid="{00000000-0005-0000-0000-000047E70000}"/>
    <cellStyle name="Percent 5 5 2 2 2 3 2" xfId="49313" xr:uid="{00000000-0005-0000-0000-000048E70000}"/>
    <cellStyle name="Percent 5 5 2 2 2 4" xfId="34814" xr:uid="{00000000-0005-0000-0000-000049E70000}"/>
    <cellStyle name="Percent 5 5 2 2 3" xfId="9917" xr:uid="{00000000-0005-0000-0000-00004AE70000}"/>
    <cellStyle name="Percent 5 5 2 2 3 2" xfId="24451" xr:uid="{00000000-0005-0000-0000-00004BE70000}"/>
    <cellStyle name="Percent 5 5 2 2 3 2 2" xfId="53457" xr:uid="{00000000-0005-0000-0000-00004CE70000}"/>
    <cellStyle name="Percent 5 5 2 2 3 3" xfId="38958" xr:uid="{00000000-0005-0000-0000-00004DE70000}"/>
    <cellStyle name="Percent 5 5 2 2 4" xfId="17203" xr:uid="{00000000-0005-0000-0000-00004EE70000}"/>
    <cellStyle name="Percent 5 5 2 2 4 2" xfId="46209" xr:uid="{00000000-0005-0000-0000-00004FE70000}"/>
    <cellStyle name="Percent 5 5 2 2 5" xfId="31710" xr:uid="{00000000-0005-0000-0000-000050E70000}"/>
    <cellStyle name="Percent 5 5 2 3" xfId="3677" xr:uid="{00000000-0005-0000-0000-000051E70000}"/>
    <cellStyle name="Percent 5 5 2 3 2" xfId="6781" xr:uid="{00000000-0005-0000-0000-000052E70000}"/>
    <cellStyle name="Percent 5 5 2 3 2 2" xfId="14053" xr:uid="{00000000-0005-0000-0000-000053E70000}"/>
    <cellStyle name="Percent 5 5 2 3 2 2 2" xfId="28587" xr:uid="{00000000-0005-0000-0000-000054E70000}"/>
    <cellStyle name="Percent 5 5 2 3 2 2 2 2" xfId="57593" xr:uid="{00000000-0005-0000-0000-000055E70000}"/>
    <cellStyle name="Percent 5 5 2 3 2 2 3" xfId="43094" xr:uid="{00000000-0005-0000-0000-000056E70000}"/>
    <cellStyle name="Percent 5 5 2 3 2 3" xfId="21339" xr:uid="{00000000-0005-0000-0000-000057E70000}"/>
    <cellStyle name="Percent 5 5 2 3 2 3 2" xfId="50345" xr:uid="{00000000-0005-0000-0000-000058E70000}"/>
    <cellStyle name="Percent 5 5 2 3 2 4" xfId="35846" xr:uid="{00000000-0005-0000-0000-000059E70000}"/>
    <cellStyle name="Percent 5 5 2 3 3" xfId="10949" xr:uid="{00000000-0005-0000-0000-00005AE70000}"/>
    <cellStyle name="Percent 5 5 2 3 3 2" xfId="25483" xr:uid="{00000000-0005-0000-0000-00005BE70000}"/>
    <cellStyle name="Percent 5 5 2 3 3 2 2" xfId="54489" xr:uid="{00000000-0005-0000-0000-00005CE70000}"/>
    <cellStyle name="Percent 5 5 2 3 3 3" xfId="39990" xr:uid="{00000000-0005-0000-0000-00005DE70000}"/>
    <cellStyle name="Percent 5 5 2 3 4" xfId="18235" xr:uid="{00000000-0005-0000-0000-00005EE70000}"/>
    <cellStyle name="Percent 5 5 2 3 4 2" xfId="47241" xr:uid="{00000000-0005-0000-0000-00005FE70000}"/>
    <cellStyle name="Percent 5 5 2 3 5" xfId="32742" xr:uid="{00000000-0005-0000-0000-000060E70000}"/>
    <cellStyle name="Percent 5 5 2 4" xfId="4709" xr:uid="{00000000-0005-0000-0000-000061E70000}"/>
    <cellStyle name="Percent 5 5 2 4 2" xfId="11981" xr:uid="{00000000-0005-0000-0000-000062E70000}"/>
    <cellStyle name="Percent 5 5 2 4 2 2" xfId="26515" xr:uid="{00000000-0005-0000-0000-000063E70000}"/>
    <cellStyle name="Percent 5 5 2 4 2 2 2" xfId="55521" xr:uid="{00000000-0005-0000-0000-000064E70000}"/>
    <cellStyle name="Percent 5 5 2 4 2 3" xfId="41022" xr:uid="{00000000-0005-0000-0000-000065E70000}"/>
    <cellStyle name="Percent 5 5 2 4 3" xfId="19267" xr:uid="{00000000-0005-0000-0000-000066E70000}"/>
    <cellStyle name="Percent 5 5 2 4 3 2" xfId="48273" xr:uid="{00000000-0005-0000-0000-000067E70000}"/>
    <cellStyle name="Percent 5 5 2 4 4" xfId="33774" xr:uid="{00000000-0005-0000-0000-000068E70000}"/>
    <cellStyle name="Percent 5 5 2 5" xfId="7813" xr:uid="{00000000-0005-0000-0000-000069E70000}"/>
    <cellStyle name="Percent 5 5 2 5 2" xfId="15085" xr:uid="{00000000-0005-0000-0000-00006AE70000}"/>
    <cellStyle name="Percent 5 5 2 5 2 2" xfId="29619" xr:uid="{00000000-0005-0000-0000-00006BE70000}"/>
    <cellStyle name="Percent 5 5 2 5 2 2 2" xfId="58625" xr:uid="{00000000-0005-0000-0000-00006CE70000}"/>
    <cellStyle name="Percent 5 5 2 5 2 3" xfId="44126" xr:uid="{00000000-0005-0000-0000-00006DE70000}"/>
    <cellStyle name="Percent 5 5 2 5 3" xfId="22371" xr:uid="{00000000-0005-0000-0000-00006EE70000}"/>
    <cellStyle name="Percent 5 5 2 5 3 2" xfId="51377" xr:uid="{00000000-0005-0000-0000-00006FE70000}"/>
    <cellStyle name="Percent 5 5 2 5 4" xfId="36878" xr:uid="{00000000-0005-0000-0000-000070E70000}"/>
    <cellStyle name="Percent 5 5 2 6" xfId="8877" xr:uid="{00000000-0005-0000-0000-000071E70000}"/>
    <cellStyle name="Percent 5 5 2 6 2" xfId="23411" xr:uid="{00000000-0005-0000-0000-000072E70000}"/>
    <cellStyle name="Percent 5 5 2 6 2 2" xfId="52417" xr:uid="{00000000-0005-0000-0000-000073E70000}"/>
    <cellStyle name="Percent 5 5 2 6 3" xfId="37918" xr:uid="{00000000-0005-0000-0000-000074E70000}"/>
    <cellStyle name="Percent 5 5 2 7" xfId="16163" xr:uid="{00000000-0005-0000-0000-000075E70000}"/>
    <cellStyle name="Percent 5 5 2 7 2" xfId="45169" xr:uid="{00000000-0005-0000-0000-000076E70000}"/>
    <cellStyle name="Percent 5 5 2 8" xfId="30670" xr:uid="{00000000-0005-0000-0000-000077E70000}"/>
    <cellStyle name="Percent 5 5 3" xfId="2133" xr:uid="{00000000-0005-0000-0000-000078E70000}"/>
    <cellStyle name="Percent 5 5 3 2" xfId="5237" xr:uid="{00000000-0005-0000-0000-000079E70000}"/>
    <cellStyle name="Percent 5 5 3 2 2" xfId="12509" xr:uid="{00000000-0005-0000-0000-00007AE70000}"/>
    <cellStyle name="Percent 5 5 3 2 2 2" xfId="27043" xr:uid="{00000000-0005-0000-0000-00007BE70000}"/>
    <cellStyle name="Percent 5 5 3 2 2 2 2" xfId="56049" xr:uid="{00000000-0005-0000-0000-00007CE70000}"/>
    <cellStyle name="Percent 5 5 3 2 2 3" xfId="41550" xr:uid="{00000000-0005-0000-0000-00007DE70000}"/>
    <cellStyle name="Percent 5 5 3 2 3" xfId="19795" xr:uid="{00000000-0005-0000-0000-00007EE70000}"/>
    <cellStyle name="Percent 5 5 3 2 3 2" xfId="48801" xr:uid="{00000000-0005-0000-0000-00007FE70000}"/>
    <cellStyle name="Percent 5 5 3 2 4" xfId="34302" xr:uid="{00000000-0005-0000-0000-000080E70000}"/>
    <cellStyle name="Percent 5 5 3 3" xfId="9405" xr:uid="{00000000-0005-0000-0000-000081E70000}"/>
    <cellStyle name="Percent 5 5 3 3 2" xfId="23939" xr:uid="{00000000-0005-0000-0000-000082E70000}"/>
    <cellStyle name="Percent 5 5 3 3 2 2" xfId="52945" xr:uid="{00000000-0005-0000-0000-000083E70000}"/>
    <cellStyle name="Percent 5 5 3 3 3" xfId="38446" xr:uid="{00000000-0005-0000-0000-000084E70000}"/>
    <cellStyle name="Percent 5 5 3 4" xfId="16691" xr:uid="{00000000-0005-0000-0000-000085E70000}"/>
    <cellStyle name="Percent 5 5 3 4 2" xfId="45697" xr:uid="{00000000-0005-0000-0000-000086E70000}"/>
    <cellStyle name="Percent 5 5 3 5" xfId="31198" xr:uid="{00000000-0005-0000-0000-000087E70000}"/>
    <cellStyle name="Percent 5 5 4" xfId="3165" xr:uid="{00000000-0005-0000-0000-000088E70000}"/>
    <cellStyle name="Percent 5 5 4 2" xfId="6269" xr:uid="{00000000-0005-0000-0000-000089E70000}"/>
    <cellStyle name="Percent 5 5 4 2 2" xfId="13541" xr:uid="{00000000-0005-0000-0000-00008AE70000}"/>
    <cellStyle name="Percent 5 5 4 2 2 2" xfId="28075" xr:uid="{00000000-0005-0000-0000-00008BE70000}"/>
    <cellStyle name="Percent 5 5 4 2 2 2 2" xfId="57081" xr:uid="{00000000-0005-0000-0000-00008CE70000}"/>
    <cellStyle name="Percent 5 5 4 2 2 3" xfId="42582" xr:uid="{00000000-0005-0000-0000-00008DE70000}"/>
    <cellStyle name="Percent 5 5 4 2 3" xfId="20827" xr:uid="{00000000-0005-0000-0000-00008EE70000}"/>
    <cellStyle name="Percent 5 5 4 2 3 2" xfId="49833" xr:uid="{00000000-0005-0000-0000-00008FE70000}"/>
    <cellStyle name="Percent 5 5 4 2 4" xfId="35334" xr:uid="{00000000-0005-0000-0000-000090E70000}"/>
    <cellStyle name="Percent 5 5 4 3" xfId="10437" xr:uid="{00000000-0005-0000-0000-000091E70000}"/>
    <cellStyle name="Percent 5 5 4 3 2" xfId="24971" xr:uid="{00000000-0005-0000-0000-000092E70000}"/>
    <cellStyle name="Percent 5 5 4 3 2 2" xfId="53977" xr:uid="{00000000-0005-0000-0000-000093E70000}"/>
    <cellStyle name="Percent 5 5 4 3 3" xfId="39478" xr:uid="{00000000-0005-0000-0000-000094E70000}"/>
    <cellStyle name="Percent 5 5 4 4" xfId="17723" xr:uid="{00000000-0005-0000-0000-000095E70000}"/>
    <cellStyle name="Percent 5 5 4 4 2" xfId="46729" xr:uid="{00000000-0005-0000-0000-000096E70000}"/>
    <cellStyle name="Percent 5 5 4 5" xfId="32230" xr:uid="{00000000-0005-0000-0000-000097E70000}"/>
    <cellStyle name="Percent 5 5 5" xfId="4197" xr:uid="{00000000-0005-0000-0000-000098E70000}"/>
    <cellStyle name="Percent 5 5 5 2" xfId="11469" xr:uid="{00000000-0005-0000-0000-000099E70000}"/>
    <cellStyle name="Percent 5 5 5 2 2" xfId="26003" xr:uid="{00000000-0005-0000-0000-00009AE70000}"/>
    <cellStyle name="Percent 5 5 5 2 2 2" xfId="55009" xr:uid="{00000000-0005-0000-0000-00009BE70000}"/>
    <cellStyle name="Percent 5 5 5 2 3" xfId="40510" xr:uid="{00000000-0005-0000-0000-00009CE70000}"/>
    <cellStyle name="Percent 5 5 5 3" xfId="18755" xr:uid="{00000000-0005-0000-0000-00009DE70000}"/>
    <cellStyle name="Percent 5 5 5 3 2" xfId="47761" xr:uid="{00000000-0005-0000-0000-00009EE70000}"/>
    <cellStyle name="Percent 5 5 5 4" xfId="33262" xr:uid="{00000000-0005-0000-0000-00009FE70000}"/>
    <cellStyle name="Percent 5 5 6" xfId="7301" xr:uid="{00000000-0005-0000-0000-0000A0E70000}"/>
    <cellStyle name="Percent 5 5 6 2" xfId="14573" xr:uid="{00000000-0005-0000-0000-0000A1E70000}"/>
    <cellStyle name="Percent 5 5 6 2 2" xfId="29107" xr:uid="{00000000-0005-0000-0000-0000A2E70000}"/>
    <cellStyle name="Percent 5 5 6 2 2 2" xfId="58113" xr:uid="{00000000-0005-0000-0000-0000A3E70000}"/>
    <cellStyle name="Percent 5 5 6 2 3" xfId="43614" xr:uid="{00000000-0005-0000-0000-0000A4E70000}"/>
    <cellStyle name="Percent 5 5 6 3" xfId="21859" xr:uid="{00000000-0005-0000-0000-0000A5E70000}"/>
    <cellStyle name="Percent 5 5 6 3 2" xfId="50865" xr:uid="{00000000-0005-0000-0000-0000A6E70000}"/>
    <cellStyle name="Percent 5 5 6 4" xfId="36366" xr:uid="{00000000-0005-0000-0000-0000A7E70000}"/>
    <cellStyle name="Percent 5 5 7" xfId="8365" xr:uid="{00000000-0005-0000-0000-0000A8E70000}"/>
    <cellStyle name="Percent 5 5 7 2" xfId="22899" xr:uid="{00000000-0005-0000-0000-0000A9E70000}"/>
    <cellStyle name="Percent 5 5 7 2 2" xfId="51905" xr:uid="{00000000-0005-0000-0000-0000AAE70000}"/>
    <cellStyle name="Percent 5 5 7 3" xfId="37406" xr:uid="{00000000-0005-0000-0000-0000ABE70000}"/>
    <cellStyle name="Percent 5 5 8" xfId="15651" xr:uid="{00000000-0005-0000-0000-0000ACE70000}"/>
    <cellStyle name="Percent 5 5 8 2" xfId="44657" xr:uid="{00000000-0005-0000-0000-0000ADE70000}"/>
    <cellStyle name="Percent 5 5 9" xfId="30158" xr:uid="{00000000-0005-0000-0000-0000AEE70000}"/>
    <cellStyle name="Percent 5 6" xfId="574" xr:uid="{00000000-0005-0000-0000-0000AFE70000}"/>
    <cellStyle name="Percent 5 6 10" xfId="59435" xr:uid="{00000000-0005-0000-0000-0000B0E70000}"/>
    <cellStyle name="Percent 5 6 2" xfId="1487" xr:uid="{00000000-0005-0000-0000-0000B1E70000}"/>
    <cellStyle name="Percent 5 6 2 2" xfId="2545" xr:uid="{00000000-0005-0000-0000-0000B2E70000}"/>
    <cellStyle name="Percent 5 6 2 2 2" xfId="5649" xr:uid="{00000000-0005-0000-0000-0000B3E70000}"/>
    <cellStyle name="Percent 5 6 2 2 2 2" xfId="12921" xr:uid="{00000000-0005-0000-0000-0000B4E70000}"/>
    <cellStyle name="Percent 5 6 2 2 2 2 2" xfId="27455" xr:uid="{00000000-0005-0000-0000-0000B5E70000}"/>
    <cellStyle name="Percent 5 6 2 2 2 2 2 2" xfId="56461" xr:uid="{00000000-0005-0000-0000-0000B6E70000}"/>
    <cellStyle name="Percent 5 6 2 2 2 2 3" xfId="41962" xr:uid="{00000000-0005-0000-0000-0000B7E70000}"/>
    <cellStyle name="Percent 5 6 2 2 2 3" xfId="20207" xr:uid="{00000000-0005-0000-0000-0000B8E70000}"/>
    <cellStyle name="Percent 5 6 2 2 2 3 2" xfId="49213" xr:uid="{00000000-0005-0000-0000-0000B9E70000}"/>
    <cellStyle name="Percent 5 6 2 2 2 4" xfId="34714" xr:uid="{00000000-0005-0000-0000-0000BAE70000}"/>
    <cellStyle name="Percent 5 6 2 2 3" xfId="9817" xr:uid="{00000000-0005-0000-0000-0000BBE70000}"/>
    <cellStyle name="Percent 5 6 2 2 3 2" xfId="24351" xr:uid="{00000000-0005-0000-0000-0000BCE70000}"/>
    <cellStyle name="Percent 5 6 2 2 3 2 2" xfId="53357" xr:uid="{00000000-0005-0000-0000-0000BDE70000}"/>
    <cellStyle name="Percent 5 6 2 2 3 3" xfId="38858" xr:uid="{00000000-0005-0000-0000-0000BEE70000}"/>
    <cellStyle name="Percent 5 6 2 2 4" xfId="17103" xr:uid="{00000000-0005-0000-0000-0000BFE70000}"/>
    <cellStyle name="Percent 5 6 2 2 4 2" xfId="46109" xr:uid="{00000000-0005-0000-0000-0000C0E70000}"/>
    <cellStyle name="Percent 5 6 2 2 5" xfId="31610" xr:uid="{00000000-0005-0000-0000-0000C1E70000}"/>
    <cellStyle name="Percent 5 6 2 3" xfId="3577" xr:uid="{00000000-0005-0000-0000-0000C2E70000}"/>
    <cellStyle name="Percent 5 6 2 3 2" xfId="6681" xr:uid="{00000000-0005-0000-0000-0000C3E70000}"/>
    <cellStyle name="Percent 5 6 2 3 2 2" xfId="13953" xr:uid="{00000000-0005-0000-0000-0000C4E70000}"/>
    <cellStyle name="Percent 5 6 2 3 2 2 2" xfId="28487" xr:uid="{00000000-0005-0000-0000-0000C5E70000}"/>
    <cellStyle name="Percent 5 6 2 3 2 2 2 2" xfId="57493" xr:uid="{00000000-0005-0000-0000-0000C6E70000}"/>
    <cellStyle name="Percent 5 6 2 3 2 2 3" xfId="42994" xr:uid="{00000000-0005-0000-0000-0000C7E70000}"/>
    <cellStyle name="Percent 5 6 2 3 2 3" xfId="21239" xr:uid="{00000000-0005-0000-0000-0000C8E70000}"/>
    <cellStyle name="Percent 5 6 2 3 2 3 2" xfId="50245" xr:uid="{00000000-0005-0000-0000-0000C9E70000}"/>
    <cellStyle name="Percent 5 6 2 3 2 4" xfId="35746" xr:uid="{00000000-0005-0000-0000-0000CAE70000}"/>
    <cellStyle name="Percent 5 6 2 3 3" xfId="10849" xr:uid="{00000000-0005-0000-0000-0000CBE70000}"/>
    <cellStyle name="Percent 5 6 2 3 3 2" xfId="25383" xr:uid="{00000000-0005-0000-0000-0000CCE70000}"/>
    <cellStyle name="Percent 5 6 2 3 3 2 2" xfId="54389" xr:uid="{00000000-0005-0000-0000-0000CDE70000}"/>
    <cellStyle name="Percent 5 6 2 3 3 3" xfId="39890" xr:uid="{00000000-0005-0000-0000-0000CEE70000}"/>
    <cellStyle name="Percent 5 6 2 3 4" xfId="18135" xr:uid="{00000000-0005-0000-0000-0000CFE70000}"/>
    <cellStyle name="Percent 5 6 2 3 4 2" xfId="47141" xr:uid="{00000000-0005-0000-0000-0000D0E70000}"/>
    <cellStyle name="Percent 5 6 2 3 5" xfId="32642" xr:uid="{00000000-0005-0000-0000-0000D1E70000}"/>
    <cellStyle name="Percent 5 6 2 4" xfId="4609" xr:uid="{00000000-0005-0000-0000-0000D2E70000}"/>
    <cellStyle name="Percent 5 6 2 4 2" xfId="11881" xr:uid="{00000000-0005-0000-0000-0000D3E70000}"/>
    <cellStyle name="Percent 5 6 2 4 2 2" xfId="26415" xr:uid="{00000000-0005-0000-0000-0000D4E70000}"/>
    <cellStyle name="Percent 5 6 2 4 2 2 2" xfId="55421" xr:uid="{00000000-0005-0000-0000-0000D5E70000}"/>
    <cellStyle name="Percent 5 6 2 4 2 3" xfId="40922" xr:uid="{00000000-0005-0000-0000-0000D6E70000}"/>
    <cellStyle name="Percent 5 6 2 4 3" xfId="19167" xr:uid="{00000000-0005-0000-0000-0000D7E70000}"/>
    <cellStyle name="Percent 5 6 2 4 3 2" xfId="48173" xr:uid="{00000000-0005-0000-0000-0000D8E70000}"/>
    <cellStyle name="Percent 5 6 2 4 4" xfId="33674" xr:uid="{00000000-0005-0000-0000-0000D9E70000}"/>
    <cellStyle name="Percent 5 6 2 5" xfId="7713" xr:uid="{00000000-0005-0000-0000-0000DAE70000}"/>
    <cellStyle name="Percent 5 6 2 5 2" xfId="14985" xr:uid="{00000000-0005-0000-0000-0000DBE70000}"/>
    <cellStyle name="Percent 5 6 2 5 2 2" xfId="29519" xr:uid="{00000000-0005-0000-0000-0000DCE70000}"/>
    <cellStyle name="Percent 5 6 2 5 2 2 2" xfId="58525" xr:uid="{00000000-0005-0000-0000-0000DDE70000}"/>
    <cellStyle name="Percent 5 6 2 5 2 3" xfId="44026" xr:uid="{00000000-0005-0000-0000-0000DEE70000}"/>
    <cellStyle name="Percent 5 6 2 5 3" xfId="22271" xr:uid="{00000000-0005-0000-0000-0000DFE70000}"/>
    <cellStyle name="Percent 5 6 2 5 3 2" xfId="51277" xr:uid="{00000000-0005-0000-0000-0000E0E70000}"/>
    <cellStyle name="Percent 5 6 2 5 4" xfId="36778" xr:uid="{00000000-0005-0000-0000-0000E1E70000}"/>
    <cellStyle name="Percent 5 6 2 6" xfId="8777" xr:uid="{00000000-0005-0000-0000-0000E2E70000}"/>
    <cellStyle name="Percent 5 6 2 6 2" xfId="23311" xr:uid="{00000000-0005-0000-0000-0000E3E70000}"/>
    <cellStyle name="Percent 5 6 2 6 2 2" xfId="52317" xr:uid="{00000000-0005-0000-0000-0000E4E70000}"/>
    <cellStyle name="Percent 5 6 2 6 3" xfId="37818" xr:uid="{00000000-0005-0000-0000-0000E5E70000}"/>
    <cellStyle name="Percent 5 6 2 7" xfId="16063" xr:uid="{00000000-0005-0000-0000-0000E6E70000}"/>
    <cellStyle name="Percent 5 6 2 7 2" xfId="45069" xr:uid="{00000000-0005-0000-0000-0000E7E70000}"/>
    <cellStyle name="Percent 5 6 2 8" xfId="30570" xr:uid="{00000000-0005-0000-0000-0000E8E70000}"/>
    <cellStyle name="Percent 5 6 3" xfId="2033" xr:uid="{00000000-0005-0000-0000-0000E9E70000}"/>
    <cellStyle name="Percent 5 6 3 2" xfId="5137" xr:uid="{00000000-0005-0000-0000-0000EAE70000}"/>
    <cellStyle name="Percent 5 6 3 2 2" xfId="12409" xr:uid="{00000000-0005-0000-0000-0000EBE70000}"/>
    <cellStyle name="Percent 5 6 3 2 2 2" xfId="26943" xr:uid="{00000000-0005-0000-0000-0000ECE70000}"/>
    <cellStyle name="Percent 5 6 3 2 2 2 2" xfId="55949" xr:uid="{00000000-0005-0000-0000-0000EDE70000}"/>
    <cellStyle name="Percent 5 6 3 2 2 3" xfId="41450" xr:uid="{00000000-0005-0000-0000-0000EEE70000}"/>
    <cellStyle name="Percent 5 6 3 2 3" xfId="19695" xr:uid="{00000000-0005-0000-0000-0000EFE70000}"/>
    <cellStyle name="Percent 5 6 3 2 3 2" xfId="48701" xr:uid="{00000000-0005-0000-0000-0000F0E70000}"/>
    <cellStyle name="Percent 5 6 3 2 4" xfId="34202" xr:uid="{00000000-0005-0000-0000-0000F1E70000}"/>
    <cellStyle name="Percent 5 6 3 3" xfId="9305" xr:uid="{00000000-0005-0000-0000-0000F2E70000}"/>
    <cellStyle name="Percent 5 6 3 3 2" xfId="23839" xr:uid="{00000000-0005-0000-0000-0000F3E70000}"/>
    <cellStyle name="Percent 5 6 3 3 2 2" xfId="52845" xr:uid="{00000000-0005-0000-0000-0000F4E70000}"/>
    <cellStyle name="Percent 5 6 3 3 3" xfId="38346" xr:uid="{00000000-0005-0000-0000-0000F5E70000}"/>
    <cellStyle name="Percent 5 6 3 4" xfId="16591" xr:uid="{00000000-0005-0000-0000-0000F6E70000}"/>
    <cellStyle name="Percent 5 6 3 4 2" xfId="45597" xr:uid="{00000000-0005-0000-0000-0000F7E70000}"/>
    <cellStyle name="Percent 5 6 3 5" xfId="31098" xr:uid="{00000000-0005-0000-0000-0000F8E70000}"/>
    <cellStyle name="Percent 5 6 4" xfId="3065" xr:uid="{00000000-0005-0000-0000-0000F9E70000}"/>
    <cellStyle name="Percent 5 6 4 2" xfId="6169" xr:uid="{00000000-0005-0000-0000-0000FAE70000}"/>
    <cellStyle name="Percent 5 6 4 2 2" xfId="13441" xr:uid="{00000000-0005-0000-0000-0000FBE70000}"/>
    <cellStyle name="Percent 5 6 4 2 2 2" xfId="27975" xr:uid="{00000000-0005-0000-0000-0000FCE70000}"/>
    <cellStyle name="Percent 5 6 4 2 2 2 2" xfId="56981" xr:uid="{00000000-0005-0000-0000-0000FDE70000}"/>
    <cellStyle name="Percent 5 6 4 2 2 3" xfId="42482" xr:uid="{00000000-0005-0000-0000-0000FEE70000}"/>
    <cellStyle name="Percent 5 6 4 2 3" xfId="20727" xr:uid="{00000000-0005-0000-0000-0000FFE70000}"/>
    <cellStyle name="Percent 5 6 4 2 3 2" xfId="49733" xr:uid="{00000000-0005-0000-0000-000000E80000}"/>
    <cellStyle name="Percent 5 6 4 2 4" xfId="35234" xr:uid="{00000000-0005-0000-0000-000001E80000}"/>
    <cellStyle name="Percent 5 6 4 3" xfId="10337" xr:uid="{00000000-0005-0000-0000-000002E80000}"/>
    <cellStyle name="Percent 5 6 4 3 2" xfId="24871" xr:uid="{00000000-0005-0000-0000-000003E80000}"/>
    <cellStyle name="Percent 5 6 4 3 2 2" xfId="53877" xr:uid="{00000000-0005-0000-0000-000004E80000}"/>
    <cellStyle name="Percent 5 6 4 3 3" xfId="39378" xr:uid="{00000000-0005-0000-0000-000005E80000}"/>
    <cellStyle name="Percent 5 6 4 4" xfId="17623" xr:uid="{00000000-0005-0000-0000-000006E80000}"/>
    <cellStyle name="Percent 5 6 4 4 2" xfId="46629" xr:uid="{00000000-0005-0000-0000-000007E80000}"/>
    <cellStyle name="Percent 5 6 4 5" xfId="32130" xr:uid="{00000000-0005-0000-0000-000008E80000}"/>
    <cellStyle name="Percent 5 6 5" xfId="4097" xr:uid="{00000000-0005-0000-0000-000009E80000}"/>
    <cellStyle name="Percent 5 6 5 2" xfId="11369" xr:uid="{00000000-0005-0000-0000-00000AE80000}"/>
    <cellStyle name="Percent 5 6 5 2 2" xfId="25903" xr:uid="{00000000-0005-0000-0000-00000BE80000}"/>
    <cellStyle name="Percent 5 6 5 2 2 2" xfId="54909" xr:uid="{00000000-0005-0000-0000-00000CE80000}"/>
    <cellStyle name="Percent 5 6 5 2 3" xfId="40410" xr:uid="{00000000-0005-0000-0000-00000DE80000}"/>
    <cellStyle name="Percent 5 6 5 3" xfId="18655" xr:uid="{00000000-0005-0000-0000-00000EE80000}"/>
    <cellStyle name="Percent 5 6 5 3 2" xfId="47661" xr:uid="{00000000-0005-0000-0000-00000FE80000}"/>
    <cellStyle name="Percent 5 6 5 4" xfId="33162" xr:uid="{00000000-0005-0000-0000-000010E80000}"/>
    <cellStyle name="Percent 5 6 6" xfId="7201" xr:uid="{00000000-0005-0000-0000-000011E80000}"/>
    <cellStyle name="Percent 5 6 6 2" xfId="14473" xr:uid="{00000000-0005-0000-0000-000012E80000}"/>
    <cellStyle name="Percent 5 6 6 2 2" xfId="29007" xr:uid="{00000000-0005-0000-0000-000013E80000}"/>
    <cellStyle name="Percent 5 6 6 2 2 2" xfId="58013" xr:uid="{00000000-0005-0000-0000-000014E80000}"/>
    <cellStyle name="Percent 5 6 6 2 3" xfId="43514" xr:uid="{00000000-0005-0000-0000-000015E80000}"/>
    <cellStyle name="Percent 5 6 6 3" xfId="21759" xr:uid="{00000000-0005-0000-0000-000016E80000}"/>
    <cellStyle name="Percent 5 6 6 3 2" xfId="50765" xr:uid="{00000000-0005-0000-0000-000017E80000}"/>
    <cellStyle name="Percent 5 6 6 4" xfId="36266" xr:uid="{00000000-0005-0000-0000-000018E80000}"/>
    <cellStyle name="Percent 5 6 7" xfId="8265" xr:uid="{00000000-0005-0000-0000-000019E80000}"/>
    <cellStyle name="Percent 5 6 7 2" xfId="22799" xr:uid="{00000000-0005-0000-0000-00001AE80000}"/>
    <cellStyle name="Percent 5 6 7 2 2" xfId="51805" xr:uid="{00000000-0005-0000-0000-00001BE80000}"/>
    <cellStyle name="Percent 5 6 7 3" xfId="37306" xr:uid="{00000000-0005-0000-0000-00001CE80000}"/>
    <cellStyle name="Percent 5 6 8" xfId="15551" xr:uid="{00000000-0005-0000-0000-00001DE80000}"/>
    <cellStyle name="Percent 5 6 8 2" xfId="44557" xr:uid="{00000000-0005-0000-0000-00001EE80000}"/>
    <cellStyle name="Percent 5 6 9" xfId="30058" xr:uid="{00000000-0005-0000-0000-00001FE80000}"/>
    <cellStyle name="Percent 5 7" xfId="263" xr:uid="{00000000-0005-0000-0000-000020E80000}"/>
    <cellStyle name="Percent 5 7 2" xfId="2339" xr:uid="{00000000-0005-0000-0000-000021E80000}"/>
    <cellStyle name="Percent 5 7 2 2" xfId="5443" xr:uid="{00000000-0005-0000-0000-000022E80000}"/>
    <cellStyle name="Percent 5 7 2 2 2" xfId="12715" xr:uid="{00000000-0005-0000-0000-000023E80000}"/>
    <cellStyle name="Percent 5 7 2 2 2 2" xfId="27249" xr:uid="{00000000-0005-0000-0000-000024E80000}"/>
    <cellStyle name="Percent 5 7 2 2 2 2 2" xfId="56255" xr:uid="{00000000-0005-0000-0000-000025E80000}"/>
    <cellStyle name="Percent 5 7 2 2 2 3" xfId="41756" xr:uid="{00000000-0005-0000-0000-000026E80000}"/>
    <cellStyle name="Percent 5 7 2 2 3" xfId="20001" xr:uid="{00000000-0005-0000-0000-000027E80000}"/>
    <cellStyle name="Percent 5 7 2 2 3 2" xfId="49007" xr:uid="{00000000-0005-0000-0000-000028E80000}"/>
    <cellStyle name="Percent 5 7 2 2 4" xfId="34508" xr:uid="{00000000-0005-0000-0000-000029E80000}"/>
    <cellStyle name="Percent 5 7 2 3" xfId="9611" xr:uid="{00000000-0005-0000-0000-00002AE80000}"/>
    <cellStyle name="Percent 5 7 2 3 2" xfId="24145" xr:uid="{00000000-0005-0000-0000-00002BE80000}"/>
    <cellStyle name="Percent 5 7 2 3 2 2" xfId="53151" xr:uid="{00000000-0005-0000-0000-00002CE80000}"/>
    <cellStyle name="Percent 5 7 2 3 3" xfId="38652" xr:uid="{00000000-0005-0000-0000-00002DE80000}"/>
    <cellStyle name="Percent 5 7 2 4" xfId="16897" xr:uid="{00000000-0005-0000-0000-00002EE80000}"/>
    <cellStyle name="Percent 5 7 2 4 2" xfId="45903" xr:uid="{00000000-0005-0000-0000-00002FE80000}"/>
    <cellStyle name="Percent 5 7 2 5" xfId="31404" xr:uid="{00000000-0005-0000-0000-000030E80000}"/>
    <cellStyle name="Percent 5 7 3" xfId="3371" xr:uid="{00000000-0005-0000-0000-000031E80000}"/>
    <cellStyle name="Percent 5 7 3 2" xfId="6475" xr:uid="{00000000-0005-0000-0000-000032E80000}"/>
    <cellStyle name="Percent 5 7 3 2 2" xfId="13747" xr:uid="{00000000-0005-0000-0000-000033E80000}"/>
    <cellStyle name="Percent 5 7 3 2 2 2" xfId="28281" xr:uid="{00000000-0005-0000-0000-000034E80000}"/>
    <cellStyle name="Percent 5 7 3 2 2 2 2" xfId="57287" xr:uid="{00000000-0005-0000-0000-000035E80000}"/>
    <cellStyle name="Percent 5 7 3 2 2 3" xfId="42788" xr:uid="{00000000-0005-0000-0000-000036E80000}"/>
    <cellStyle name="Percent 5 7 3 2 3" xfId="21033" xr:uid="{00000000-0005-0000-0000-000037E80000}"/>
    <cellStyle name="Percent 5 7 3 2 3 2" xfId="50039" xr:uid="{00000000-0005-0000-0000-000038E80000}"/>
    <cellStyle name="Percent 5 7 3 2 4" xfId="35540" xr:uid="{00000000-0005-0000-0000-000039E80000}"/>
    <cellStyle name="Percent 5 7 3 3" xfId="10643" xr:uid="{00000000-0005-0000-0000-00003AE80000}"/>
    <cellStyle name="Percent 5 7 3 3 2" xfId="25177" xr:uid="{00000000-0005-0000-0000-00003BE80000}"/>
    <cellStyle name="Percent 5 7 3 3 2 2" xfId="54183" xr:uid="{00000000-0005-0000-0000-00003CE80000}"/>
    <cellStyle name="Percent 5 7 3 3 3" xfId="39684" xr:uid="{00000000-0005-0000-0000-00003DE80000}"/>
    <cellStyle name="Percent 5 7 3 4" xfId="17929" xr:uid="{00000000-0005-0000-0000-00003EE80000}"/>
    <cellStyle name="Percent 5 7 3 4 2" xfId="46935" xr:uid="{00000000-0005-0000-0000-00003FE80000}"/>
    <cellStyle name="Percent 5 7 3 5" xfId="32436" xr:uid="{00000000-0005-0000-0000-000040E80000}"/>
    <cellStyle name="Percent 5 7 4" xfId="4403" xr:uid="{00000000-0005-0000-0000-000041E80000}"/>
    <cellStyle name="Percent 5 7 4 2" xfId="11675" xr:uid="{00000000-0005-0000-0000-000042E80000}"/>
    <cellStyle name="Percent 5 7 4 2 2" xfId="26209" xr:uid="{00000000-0005-0000-0000-000043E80000}"/>
    <cellStyle name="Percent 5 7 4 2 2 2" xfId="55215" xr:uid="{00000000-0005-0000-0000-000044E80000}"/>
    <cellStyle name="Percent 5 7 4 2 3" xfId="40716" xr:uid="{00000000-0005-0000-0000-000045E80000}"/>
    <cellStyle name="Percent 5 7 4 3" xfId="18961" xr:uid="{00000000-0005-0000-0000-000046E80000}"/>
    <cellStyle name="Percent 5 7 4 3 2" xfId="47967" xr:uid="{00000000-0005-0000-0000-000047E80000}"/>
    <cellStyle name="Percent 5 7 4 4" xfId="33468" xr:uid="{00000000-0005-0000-0000-000048E80000}"/>
    <cellStyle name="Percent 5 7 5" xfId="7507" xr:uid="{00000000-0005-0000-0000-000049E80000}"/>
    <cellStyle name="Percent 5 7 5 2" xfId="14779" xr:uid="{00000000-0005-0000-0000-00004AE80000}"/>
    <cellStyle name="Percent 5 7 5 2 2" xfId="29313" xr:uid="{00000000-0005-0000-0000-00004BE80000}"/>
    <cellStyle name="Percent 5 7 5 2 2 2" xfId="58319" xr:uid="{00000000-0005-0000-0000-00004CE80000}"/>
    <cellStyle name="Percent 5 7 5 2 3" xfId="43820" xr:uid="{00000000-0005-0000-0000-00004DE80000}"/>
    <cellStyle name="Percent 5 7 5 3" xfId="22065" xr:uid="{00000000-0005-0000-0000-00004EE80000}"/>
    <cellStyle name="Percent 5 7 5 3 2" xfId="51071" xr:uid="{00000000-0005-0000-0000-00004FE80000}"/>
    <cellStyle name="Percent 5 7 5 4" xfId="36572" xr:uid="{00000000-0005-0000-0000-000050E80000}"/>
    <cellStyle name="Percent 5 7 6" xfId="8571" xr:uid="{00000000-0005-0000-0000-000051E80000}"/>
    <cellStyle name="Percent 5 7 6 2" xfId="23105" xr:uid="{00000000-0005-0000-0000-000052E80000}"/>
    <cellStyle name="Percent 5 7 6 2 2" xfId="52111" xr:uid="{00000000-0005-0000-0000-000053E80000}"/>
    <cellStyle name="Percent 5 7 6 3" xfId="37612" xr:uid="{00000000-0005-0000-0000-000054E80000}"/>
    <cellStyle name="Percent 5 7 7" xfId="15857" xr:uid="{00000000-0005-0000-0000-000055E80000}"/>
    <cellStyle name="Percent 5 7 7 2" xfId="44863" xr:uid="{00000000-0005-0000-0000-000056E80000}"/>
    <cellStyle name="Percent 5 7 8" xfId="30364" xr:uid="{00000000-0005-0000-0000-000057E80000}"/>
    <cellStyle name="Percent 5 7 9" xfId="59165" xr:uid="{00000000-0005-0000-0000-000058E80000}"/>
    <cellStyle name="Percent 5 8" xfId="1784" xr:uid="{00000000-0005-0000-0000-000059E80000}"/>
    <cellStyle name="Percent 5 8 2" xfId="59484" xr:uid="{00000000-0005-0000-0000-00005AE80000}"/>
    <cellStyle name="Percent 5 9" xfId="1827" xr:uid="{00000000-0005-0000-0000-00005BE80000}"/>
    <cellStyle name="Percent 5 9 2" xfId="4931" xr:uid="{00000000-0005-0000-0000-00005CE80000}"/>
    <cellStyle name="Percent 5 9 2 2" xfId="12203" xr:uid="{00000000-0005-0000-0000-00005DE80000}"/>
    <cellStyle name="Percent 5 9 2 2 2" xfId="26737" xr:uid="{00000000-0005-0000-0000-00005EE80000}"/>
    <cellStyle name="Percent 5 9 2 2 2 2" xfId="55743" xr:uid="{00000000-0005-0000-0000-00005FE80000}"/>
    <cellStyle name="Percent 5 9 2 2 3" xfId="41244" xr:uid="{00000000-0005-0000-0000-000060E80000}"/>
    <cellStyle name="Percent 5 9 2 3" xfId="19489" xr:uid="{00000000-0005-0000-0000-000061E80000}"/>
    <cellStyle name="Percent 5 9 2 3 2" xfId="48495" xr:uid="{00000000-0005-0000-0000-000062E80000}"/>
    <cellStyle name="Percent 5 9 2 4" xfId="33996" xr:uid="{00000000-0005-0000-0000-000063E80000}"/>
    <cellStyle name="Percent 5 9 3" xfId="9099" xr:uid="{00000000-0005-0000-0000-000064E80000}"/>
    <cellStyle name="Percent 5 9 3 2" xfId="23633" xr:uid="{00000000-0005-0000-0000-000065E80000}"/>
    <cellStyle name="Percent 5 9 3 2 2" xfId="52639" xr:uid="{00000000-0005-0000-0000-000066E80000}"/>
    <cellStyle name="Percent 5 9 3 3" xfId="38140" xr:uid="{00000000-0005-0000-0000-000067E80000}"/>
    <cellStyle name="Percent 5 9 4" xfId="16385" xr:uid="{00000000-0005-0000-0000-000068E80000}"/>
    <cellStyle name="Percent 5 9 4 2" xfId="45391" xr:uid="{00000000-0005-0000-0000-000069E80000}"/>
    <cellStyle name="Percent 5 9 5" xfId="30892" xr:uid="{00000000-0005-0000-0000-00006AE80000}"/>
    <cellStyle name="Percent 6" xfId="40" xr:uid="{00000000-0005-0000-0000-00006BE80000}"/>
    <cellStyle name="Percent 6 2" xfId="132" xr:uid="{00000000-0005-0000-0000-00006CE80000}"/>
    <cellStyle name="Percent 6 2 2" xfId="207" xr:uid="{00000000-0005-0000-0000-00006DE80000}"/>
    <cellStyle name="Percent 6 2 2 2" xfId="542" xr:uid="{00000000-0005-0000-0000-00006EE80000}"/>
    <cellStyle name="Percent 6 2 2 2 2" xfId="59403" xr:uid="{00000000-0005-0000-0000-00006FE80000}"/>
    <cellStyle name="Percent 6 2 2 3" xfId="59031" xr:uid="{00000000-0005-0000-0000-000070E80000}"/>
    <cellStyle name="Percent 6 2 2 3 2" xfId="59585" xr:uid="{00000000-0005-0000-0000-000071E80000}"/>
    <cellStyle name="Percent 6 2 2 4" xfId="59260" xr:uid="{00000000-0005-0000-0000-000072E80000}"/>
    <cellStyle name="Percent 6 2 3" xfId="471" xr:uid="{00000000-0005-0000-0000-000073E80000}"/>
    <cellStyle name="Percent 6 2 3 2" xfId="59330" xr:uid="{00000000-0005-0000-0000-000074E80000}"/>
    <cellStyle name="Percent 6 2 4" xfId="603" xr:uid="{00000000-0005-0000-0000-000075E80000}"/>
    <cellStyle name="Percent 6 2 4 2" xfId="59464" xr:uid="{00000000-0005-0000-0000-000076E80000}"/>
    <cellStyle name="Percent 6 2 5" xfId="834" xr:uid="{00000000-0005-0000-0000-000077E80000}"/>
    <cellStyle name="Percent 6 2 5 2" xfId="59513" xr:uid="{00000000-0005-0000-0000-000078E80000}"/>
    <cellStyle name="Percent 6 2 6" xfId="58957" xr:uid="{00000000-0005-0000-0000-000079E80000}"/>
    <cellStyle name="Percent 6 2 7" xfId="59206" xr:uid="{00000000-0005-0000-0000-00007AE80000}"/>
    <cellStyle name="Percent 6 3" xfId="157" xr:uid="{00000000-0005-0000-0000-00007BE80000}"/>
    <cellStyle name="Percent 6 3 2" xfId="231" xr:uid="{00000000-0005-0000-0000-00007CE80000}"/>
    <cellStyle name="Percent 6 3 2 2" xfId="59055" xr:uid="{00000000-0005-0000-0000-00007DE80000}"/>
    <cellStyle name="Percent 6 3 2 3" xfId="59607" xr:uid="{00000000-0005-0000-0000-00007EE80000}"/>
    <cellStyle name="Percent 6 3 3" xfId="341" xr:uid="{00000000-0005-0000-0000-00007FE80000}"/>
    <cellStyle name="Percent 6 3 3 2" xfId="58888" xr:uid="{00000000-0005-0000-0000-000080E80000}"/>
    <cellStyle name="Percent 6 3 3 3" xfId="59536" xr:uid="{00000000-0005-0000-0000-000081E80000}"/>
    <cellStyle name="Percent 6 3 4" xfId="58981" xr:uid="{00000000-0005-0000-0000-000082E80000}"/>
    <cellStyle name="Percent 6 4" xfId="184" xr:uid="{00000000-0005-0000-0000-000083E80000}"/>
    <cellStyle name="Percent 6 4 2" xfId="511" xr:uid="{00000000-0005-0000-0000-000084E80000}"/>
    <cellStyle name="Percent 6 4 2 2" xfId="59370" xr:uid="{00000000-0005-0000-0000-000085E80000}"/>
    <cellStyle name="Percent 6 4 3" xfId="59008" xr:uid="{00000000-0005-0000-0000-000086E80000}"/>
    <cellStyle name="Percent 6 4 3 2" xfId="59562" xr:uid="{00000000-0005-0000-0000-000087E80000}"/>
    <cellStyle name="Percent 6 4 4" xfId="59232" xr:uid="{00000000-0005-0000-0000-000088E80000}"/>
    <cellStyle name="Percent 6 5" xfId="260" xr:uid="{00000000-0005-0000-0000-000089E80000}"/>
    <cellStyle name="Percent 6 5 2" xfId="439" xr:uid="{00000000-0005-0000-0000-00008AE80000}"/>
    <cellStyle name="Percent 6 5 3" xfId="59295" xr:uid="{00000000-0005-0000-0000-00008BE80000}"/>
    <cellStyle name="Percent 6 6" xfId="580" xr:uid="{00000000-0005-0000-0000-00008CE80000}"/>
    <cellStyle name="Percent 6 6 2" xfId="59441" xr:uid="{00000000-0005-0000-0000-00008DE80000}"/>
    <cellStyle name="Percent 6 7" xfId="303" xr:uid="{00000000-0005-0000-0000-00008EE80000}"/>
    <cellStyle name="Percent 6 7 2" xfId="59171" xr:uid="{00000000-0005-0000-0000-00008FE80000}"/>
    <cellStyle name="Percent 6 8" xfId="58933" xr:uid="{00000000-0005-0000-0000-000090E80000}"/>
    <cellStyle name="Percent 6 8 2" xfId="59490" xr:uid="{00000000-0005-0000-0000-000091E80000}"/>
    <cellStyle name="Percent 6 9" xfId="59134" xr:uid="{00000000-0005-0000-0000-000092E80000}"/>
    <cellStyle name="Percent 7" xfId="106" xr:uid="{00000000-0005-0000-0000-000093E80000}"/>
    <cellStyle name="Percent 7 2" xfId="161" xr:uid="{00000000-0005-0000-0000-000094E80000}"/>
    <cellStyle name="Percent 7 2 2" xfId="235" xr:uid="{00000000-0005-0000-0000-000095E80000}"/>
    <cellStyle name="Percent 7 2 2 2" xfId="546" xr:uid="{00000000-0005-0000-0000-000096E80000}"/>
    <cellStyle name="Percent 7 2 2 2 2" xfId="59407" xr:uid="{00000000-0005-0000-0000-000097E80000}"/>
    <cellStyle name="Percent 7 2 2 3" xfId="59059" xr:uid="{00000000-0005-0000-0000-000098E80000}"/>
    <cellStyle name="Percent 7 2 2 3 2" xfId="59611" xr:uid="{00000000-0005-0000-0000-000099E80000}"/>
    <cellStyle name="Percent 7 2 2 4" xfId="59264" xr:uid="{00000000-0005-0000-0000-00009AE80000}"/>
    <cellStyle name="Percent 7 2 3" xfId="475" xr:uid="{00000000-0005-0000-0000-00009BE80000}"/>
    <cellStyle name="Percent 7 2 3 2" xfId="59334" xr:uid="{00000000-0005-0000-0000-00009CE80000}"/>
    <cellStyle name="Percent 7 2 4" xfId="58985" xr:uid="{00000000-0005-0000-0000-00009DE80000}"/>
    <cellStyle name="Percent 7 2 4 2" xfId="59540" xr:uid="{00000000-0005-0000-0000-00009EE80000}"/>
    <cellStyle name="Percent 7 2 5" xfId="59210" xr:uid="{00000000-0005-0000-0000-00009FE80000}"/>
    <cellStyle name="Percent 7 3" xfId="188" xr:uid="{00000000-0005-0000-0000-0000A0E80000}"/>
    <cellStyle name="Percent 7 3 2" xfId="515" xr:uid="{00000000-0005-0000-0000-0000A1E80000}"/>
    <cellStyle name="Percent 7 3 2 2" xfId="59374" xr:uid="{00000000-0005-0000-0000-0000A2E80000}"/>
    <cellStyle name="Percent 7 3 3" xfId="59012" xr:uid="{00000000-0005-0000-0000-0000A3E80000}"/>
    <cellStyle name="Percent 7 3 3 2" xfId="59566" xr:uid="{00000000-0005-0000-0000-0000A4E80000}"/>
    <cellStyle name="Percent 7 3 4" xfId="59236" xr:uid="{00000000-0005-0000-0000-0000A5E80000}"/>
    <cellStyle name="Percent 7 4" xfId="443" xr:uid="{00000000-0005-0000-0000-0000A6E80000}"/>
    <cellStyle name="Percent 7 4 2" xfId="59299" xr:uid="{00000000-0005-0000-0000-0000A7E80000}"/>
    <cellStyle name="Percent 7 5" xfId="584" xr:uid="{00000000-0005-0000-0000-0000A8E80000}"/>
    <cellStyle name="Percent 7 5 2" xfId="59445" xr:uid="{00000000-0005-0000-0000-0000A9E80000}"/>
    <cellStyle name="Percent 7 6" xfId="295" xr:uid="{00000000-0005-0000-0000-0000AAE80000}"/>
    <cellStyle name="Percent 7 6 2" xfId="59175" xr:uid="{00000000-0005-0000-0000-0000ABE80000}"/>
    <cellStyle name="Percent 7 7" xfId="835" xr:uid="{00000000-0005-0000-0000-0000ACE80000}"/>
    <cellStyle name="Percent 7 7 2" xfId="59494" xr:uid="{00000000-0005-0000-0000-0000ADE80000}"/>
    <cellStyle name="Percent 7 8" xfId="58937" xr:uid="{00000000-0005-0000-0000-0000AEE80000}"/>
    <cellStyle name="Percent 7 9" xfId="59138" xr:uid="{00000000-0005-0000-0000-0000AFE80000}"/>
    <cellStyle name="Percent 8" xfId="136" xr:uid="{00000000-0005-0000-0000-0000B0E80000}"/>
    <cellStyle name="Percent 8 2" xfId="165" xr:uid="{00000000-0005-0000-0000-0000B1E80000}"/>
    <cellStyle name="Percent 8 2 2" xfId="239" xr:uid="{00000000-0005-0000-0000-0000B2E80000}"/>
    <cellStyle name="Percent 8 2 2 2" xfId="59063" xr:uid="{00000000-0005-0000-0000-0000B3E80000}"/>
    <cellStyle name="Percent 8 2 2 2 2" xfId="59615" xr:uid="{00000000-0005-0000-0000-0000B4E80000}"/>
    <cellStyle name="Percent 8 2 2 3" xfId="59386" xr:uid="{00000000-0005-0000-0000-0000B5E80000}"/>
    <cellStyle name="Percent 8 2 3" xfId="58989" xr:uid="{00000000-0005-0000-0000-0000B6E80000}"/>
    <cellStyle name="Percent 8 2 3 2" xfId="59544" xr:uid="{00000000-0005-0000-0000-0000B7E80000}"/>
    <cellStyle name="Percent 8 2 4" xfId="59246" xr:uid="{00000000-0005-0000-0000-0000B8E80000}"/>
    <cellStyle name="Percent 8 3" xfId="212" xr:uid="{00000000-0005-0000-0000-0000B9E80000}"/>
    <cellStyle name="Percent 8 3 2" xfId="59036" xr:uid="{00000000-0005-0000-0000-0000BAE80000}"/>
    <cellStyle name="Percent 8 3 2 2" xfId="59590" xr:uid="{00000000-0005-0000-0000-0000BBE80000}"/>
    <cellStyle name="Percent 8 3 3" xfId="59311" xr:uid="{00000000-0005-0000-0000-0000BCE80000}"/>
    <cellStyle name="Percent 8 4" xfId="608" xr:uid="{00000000-0005-0000-0000-0000BDE80000}"/>
    <cellStyle name="Percent 8 4 2" xfId="59469" xr:uid="{00000000-0005-0000-0000-0000BEE80000}"/>
    <cellStyle name="Percent 8 5" xfId="836" xr:uid="{00000000-0005-0000-0000-0000BFE80000}"/>
    <cellStyle name="Percent 8 5 2" xfId="59518" xr:uid="{00000000-0005-0000-0000-0000C0E80000}"/>
    <cellStyle name="Percent 8 6" xfId="58962" xr:uid="{00000000-0005-0000-0000-0000C1E80000}"/>
    <cellStyle name="Percent 8 7" xfId="59187" xr:uid="{00000000-0005-0000-0000-0000C2E80000}"/>
    <cellStyle name="Percent 9" xfId="613" xr:uid="{00000000-0005-0000-0000-0000C3E80000}"/>
    <cellStyle name="Percent 9 2" xfId="837" xr:uid="{00000000-0005-0000-0000-0000C4E80000}"/>
    <cellStyle name="Percent 9 3" xfId="59473" xr:uid="{00000000-0005-0000-0000-0000C5E80000}"/>
    <cellStyle name="Statements - Column Header" xfId="679" xr:uid="{00000000-0005-0000-0000-0000C6E80000}"/>
    <cellStyle name="Statements - Line Item 1" xfId="680" xr:uid="{00000000-0005-0000-0000-0000C7E80000}"/>
    <cellStyle name="Statements - Line Item 2" xfId="681" xr:uid="{00000000-0005-0000-0000-0000C8E80000}"/>
    <cellStyle name="Statements - Line Item 3" xfId="682" xr:uid="{00000000-0005-0000-0000-0000C9E80000}"/>
    <cellStyle name="Statements - Major Caption" xfId="683" xr:uid="{00000000-0005-0000-0000-0000CAE80000}"/>
    <cellStyle name="Statements - Subhead One" xfId="684" xr:uid="{00000000-0005-0000-0000-0000CBE80000}"/>
    <cellStyle name="STYLE1" xfId="8" xr:uid="{00000000-0005-0000-0000-0000CCE80000}"/>
    <cellStyle name="STYLE1 2" xfId="725" xr:uid="{00000000-0005-0000-0000-0000CDE80000}"/>
    <cellStyle name="STYLE1 2 2" xfId="1785" xr:uid="{00000000-0005-0000-0000-0000CEE80000}"/>
    <cellStyle name="STYLE1_cbhc3rdQtr2011Composite" xfId="777" xr:uid="{00000000-0005-0000-0000-0000CFE80000}"/>
    <cellStyle name="STYLE2" xfId="720" xr:uid="{00000000-0005-0000-0000-0000D0E80000}"/>
    <cellStyle name="STYLE2 2" xfId="726" xr:uid="{00000000-0005-0000-0000-0000D1E80000}"/>
    <cellStyle name="STYLE2 2 2" xfId="1786" xr:uid="{00000000-0005-0000-0000-0000D2E80000}"/>
    <cellStyle name="STYLE2_cbhc3rdQtr2011Composite" xfId="778" xr:uid="{00000000-0005-0000-0000-0000D3E80000}"/>
    <cellStyle name="STYLE3" xfId="721" xr:uid="{00000000-0005-0000-0000-0000D4E80000}"/>
    <cellStyle name="STYLE3 2" xfId="779" xr:uid="{00000000-0005-0000-0000-0000D5E80000}"/>
    <cellStyle name="STYLE4" xfId="780" xr:uid="{00000000-0005-0000-0000-0000D6E80000}"/>
    <cellStyle name="STYLE5" xfId="781" xr:uid="{00000000-0005-0000-0000-0000D7E80000}"/>
    <cellStyle name="Table Subtitle" xfId="693" xr:uid="{00000000-0005-0000-0000-0000D8E80000}"/>
    <cellStyle name="Table Title" xfId="692" xr:uid="{00000000-0005-0000-0000-0000D9E80000}"/>
    <cellStyle name="Title" xfId="45" builtinId="15" customBuiltin="1"/>
    <cellStyle name="Title 2" xfId="685" xr:uid="{00000000-0005-0000-0000-0000DBE80000}"/>
    <cellStyle name="Title 3" xfId="706" xr:uid="{00000000-0005-0000-0000-0000DCE80000}"/>
    <cellStyle name="Total" xfId="60" builtinId="25" customBuiltin="1"/>
    <cellStyle name="Total 2" xfId="686" xr:uid="{00000000-0005-0000-0000-0000DEE80000}"/>
    <cellStyle name="Warning Text" xfId="58" builtinId="11" customBuiltin="1"/>
    <cellStyle name="Warning Text 2" xfId="687" xr:uid="{00000000-0005-0000-0000-0000E0E80000}"/>
  </cellStyles>
  <dxfs count="0"/>
  <tableStyles count="0" defaultTableStyle="TableStyleMedium2" defaultPivotStyle="PivotStyleLight16"/>
  <colors>
    <mruColors>
      <color rgb="FFF8971D"/>
      <color rgb="FFFF0000"/>
      <color rgb="FF9CC5CA"/>
      <color rgb="FF0000FF"/>
      <color rgb="FF7AC142"/>
      <color rgb="FF0033CC"/>
      <color rgb="FF6666FF"/>
      <color rgb="FF3893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85725</xdr:colOff>
      <xdr:row>1</xdr:row>
      <xdr:rowOff>38100</xdr:rowOff>
    </xdr:from>
    <xdr:to>
      <xdr:col>7</xdr:col>
      <xdr:colOff>1123950</xdr:colOff>
      <xdr:row>1</xdr:row>
      <xdr:rowOff>238125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858375" y="371475"/>
          <a:ext cx="1038225" cy="200025"/>
        </a:xfrm>
        <a:prstGeom prst="rect">
          <a:avLst/>
        </a:prstGeom>
        <a:solidFill>
          <a:schemeClr val="bg1">
            <a:lumMod val="85000"/>
          </a:schemeClr>
        </a:solidFill>
        <a:ln w="9525" cmpd="sng">
          <a:solidFill>
            <a:schemeClr val="bg1">
              <a:lumMod val="6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t>Send to Provider</a:t>
          </a:r>
        </a:p>
      </xdr:txBody>
    </xdr:sp>
    <xdr:clientData/>
  </xdr:twoCellAnchor>
  <xdr:twoCellAnchor>
    <xdr:from>
      <xdr:col>7</xdr:col>
      <xdr:colOff>85725</xdr:colOff>
      <xdr:row>1</xdr:row>
      <xdr:rowOff>38100</xdr:rowOff>
    </xdr:from>
    <xdr:to>
      <xdr:col>7</xdr:col>
      <xdr:colOff>1123950</xdr:colOff>
      <xdr:row>1</xdr:row>
      <xdr:rowOff>238125</xdr:rowOff>
    </xdr:to>
    <xdr:sp macro="[0]!ProtectAllSheets" textlink="">
      <xdr:nvSpPr>
        <xdr:cNvPr id="3" name="TextBox 2">
          <a:extLst>
            <a:ext uri="{FF2B5EF4-FFF2-40B4-BE49-F238E27FC236}">
              <a16:creationId xmlns:a16="http://schemas.microsoft.com/office/drawing/2014/main" id="{00000000-0008-0000-0100-000003000000}"/>
            </a:ext>
          </a:extLst>
        </xdr:cNvPr>
        <xdr:cNvSpPr txBox="1"/>
      </xdr:nvSpPr>
      <xdr:spPr>
        <a:xfrm>
          <a:off x="9858375" y="371475"/>
          <a:ext cx="1038225" cy="200025"/>
        </a:xfrm>
        <a:prstGeom prst="rect">
          <a:avLst/>
        </a:prstGeom>
        <a:solidFill>
          <a:schemeClr val="bg1">
            <a:lumMod val="85000"/>
          </a:schemeClr>
        </a:solidFill>
        <a:ln w="9525" cmpd="sng">
          <a:solidFill>
            <a:schemeClr val="bg1">
              <a:lumMod val="6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t>Send to Provider</a:t>
          </a:r>
        </a:p>
      </xdr:txBody>
    </xdr:sp>
    <xdr:clientData/>
  </xdr:twoCellAnchor>
  <xdr:oneCellAnchor>
    <xdr:from>
      <xdr:col>7</xdr:col>
      <xdr:colOff>200025</xdr:colOff>
      <xdr:row>3</xdr:row>
      <xdr:rowOff>38100</xdr:rowOff>
    </xdr:from>
    <xdr:ext cx="866775" cy="219075"/>
    <xdr:sp macro="[0]!Unhide" textlink="">
      <xdr:nvSpPr>
        <xdr:cNvPr id="4" name="TextBox 3">
          <a:extLst>
            <a:ext uri="{FF2B5EF4-FFF2-40B4-BE49-F238E27FC236}">
              <a16:creationId xmlns:a16="http://schemas.microsoft.com/office/drawing/2014/main" id="{00000000-0008-0000-0100-000004000000}"/>
            </a:ext>
          </a:extLst>
        </xdr:cNvPr>
        <xdr:cNvSpPr txBox="1"/>
      </xdr:nvSpPr>
      <xdr:spPr>
        <a:xfrm>
          <a:off x="9972675" y="904875"/>
          <a:ext cx="866775" cy="21907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00" b="1"/>
            <a:t>Show All Tabs</a:t>
          </a:r>
        </a:p>
      </xdr:txBody>
    </xdr:sp>
    <xdr:clientData/>
  </xdr:oneCellAnchor>
  <xdr:oneCellAnchor>
    <xdr:from>
      <xdr:col>7</xdr:col>
      <xdr:colOff>28575</xdr:colOff>
      <xdr:row>5</xdr:row>
      <xdr:rowOff>47624</xdr:rowOff>
    </xdr:from>
    <xdr:ext cx="2800350" cy="371476"/>
    <xdr:sp macro="[0]!Hide" textlink="">
      <xdr:nvSpPr>
        <xdr:cNvPr id="5" name="TextBox 4">
          <a:extLst>
            <a:ext uri="{FF2B5EF4-FFF2-40B4-BE49-F238E27FC236}">
              <a16:creationId xmlns:a16="http://schemas.microsoft.com/office/drawing/2014/main" id="{00000000-0008-0000-0100-000005000000}"/>
            </a:ext>
          </a:extLst>
        </xdr:cNvPr>
        <xdr:cNvSpPr txBox="1"/>
      </xdr:nvSpPr>
      <xdr:spPr>
        <a:xfrm>
          <a:off x="9801225" y="1371599"/>
          <a:ext cx="2800350" cy="371476"/>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900" b="1"/>
            <a:t>Hide Schedules 2E/F/G/H/I/J/K/L/M</a:t>
          </a:r>
        </a:p>
        <a:p>
          <a:pPr algn="ctr"/>
          <a:r>
            <a:rPr lang="en-US" sz="900" b="1"/>
            <a:t>(Use</a:t>
          </a:r>
          <a:r>
            <a:rPr lang="en-US" sz="900" b="1" baseline="0"/>
            <a:t> if not a New Comprehensive Safety Net Provider)</a:t>
          </a:r>
          <a:endParaRPr lang="en-US" sz="900" b="1"/>
        </a:p>
      </xdr:txBody>
    </xdr:sp>
    <xdr:clientData/>
  </xdr:oneCellAnchor>
  <xdr:twoCellAnchor>
    <xdr:from>
      <xdr:col>6</xdr:col>
      <xdr:colOff>12700</xdr:colOff>
      <xdr:row>11</xdr:row>
      <xdr:rowOff>12700</xdr:rowOff>
    </xdr:from>
    <xdr:to>
      <xdr:col>6</xdr:col>
      <xdr:colOff>165100</xdr:colOff>
      <xdr:row>11</xdr:row>
      <xdr:rowOff>165100</xdr:rowOff>
    </xdr:to>
    <xdr:pic>
      <xdr:nvPicPr>
        <xdr:cNvPr id="6" name="Picture 5">
          <a:extLst>
            <a:ext uri="{FF2B5EF4-FFF2-40B4-BE49-F238E27FC236}">
              <a16:creationId xmlns:a16="http://schemas.microsoft.com/office/drawing/2014/main" id="{00000000-0008-0000-0100-000006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4320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12</xdr:row>
      <xdr:rowOff>12700</xdr:rowOff>
    </xdr:from>
    <xdr:to>
      <xdr:col>6</xdr:col>
      <xdr:colOff>165100</xdr:colOff>
      <xdr:row>12</xdr:row>
      <xdr:rowOff>165100</xdr:rowOff>
    </xdr:to>
    <xdr:pic>
      <xdr:nvPicPr>
        <xdr:cNvPr id="7" name="Picture 6">
          <a:extLst>
            <a:ext uri="{FF2B5EF4-FFF2-40B4-BE49-F238E27FC236}">
              <a16:creationId xmlns:a16="http://schemas.microsoft.com/office/drawing/2014/main" id="{00000000-0008-0000-0100-000007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6162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13</xdr:row>
      <xdr:rowOff>12700</xdr:rowOff>
    </xdr:from>
    <xdr:to>
      <xdr:col>6</xdr:col>
      <xdr:colOff>165100</xdr:colOff>
      <xdr:row>13</xdr:row>
      <xdr:rowOff>165100</xdr:rowOff>
    </xdr:to>
    <xdr:pic>
      <xdr:nvPicPr>
        <xdr:cNvPr id="8" name="Picture 7">
          <a:extLst>
            <a:ext uri="{FF2B5EF4-FFF2-40B4-BE49-F238E27FC236}">
              <a16:creationId xmlns:a16="http://schemas.microsoft.com/office/drawing/2014/main" id="{00000000-0008-0000-0100-000008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8003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14</xdr:row>
      <xdr:rowOff>12700</xdr:rowOff>
    </xdr:from>
    <xdr:to>
      <xdr:col>6</xdr:col>
      <xdr:colOff>165100</xdr:colOff>
      <xdr:row>14</xdr:row>
      <xdr:rowOff>165100</xdr:rowOff>
    </xdr:to>
    <xdr:pic>
      <xdr:nvPicPr>
        <xdr:cNvPr id="9" name="Picture 8">
          <a:extLst>
            <a:ext uri="{FF2B5EF4-FFF2-40B4-BE49-F238E27FC236}">
              <a16:creationId xmlns:a16="http://schemas.microsoft.com/office/drawing/2014/main" id="{00000000-0008-0000-0100-000009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9845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15</xdr:row>
      <xdr:rowOff>12700</xdr:rowOff>
    </xdr:from>
    <xdr:to>
      <xdr:col>6</xdr:col>
      <xdr:colOff>165100</xdr:colOff>
      <xdr:row>15</xdr:row>
      <xdr:rowOff>165100</xdr:rowOff>
    </xdr:to>
    <xdr:pic>
      <xdr:nvPicPr>
        <xdr:cNvPr id="10" name="Picture 9">
          <a:extLst>
            <a:ext uri="{FF2B5EF4-FFF2-40B4-BE49-F238E27FC236}">
              <a16:creationId xmlns:a16="http://schemas.microsoft.com/office/drawing/2014/main" id="{00000000-0008-0000-0100-00000A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1686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16</xdr:row>
      <xdr:rowOff>12700</xdr:rowOff>
    </xdr:from>
    <xdr:to>
      <xdr:col>6</xdr:col>
      <xdr:colOff>165100</xdr:colOff>
      <xdr:row>16</xdr:row>
      <xdr:rowOff>165100</xdr:rowOff>
    </xdr:to>
    <xdr:pic>
      <xdr:nvPicPr>
        <xdr:cNvPr id="11" name="Picture 10">
          <a:extLst>
            <a:ext uri="{FF2B5EF4-FFF2-40B4-BE49-F238E27FC236}">
              <a16:creationId xmlns:a16="http://schemas.microsoft.com/office/drawing/2014/main" id="{00000000-0008-0000-0100-00000B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3528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17</xdr:row>
      <xdr:rowOff>12700</xdr:rowOff>
    </xdr:from>
    <xdr:to>
      <xdr:col>6</xdr:col>
      <xdr:colOff>165100</xdr:colOff>
      <xdr:row>17</xdr:row>
      <xdr:rowOff>165100</xdr:rowOff>
    </xdr:to>
    <xdr:pic>
      <xdr:nvPicPr>
        <xdr:cNvPr id="12" name="Picture 11">
          <a:extLst>
            <a:ext uri="{FF2B5EF4-FFF2-40B4-BE49-F238E27FC236}">
              <a16:creationId xmlns:a16="http://schemas.microsoft.com/office/drawing/2014/main" id="{00000000-0008-0000-0100-00000C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5369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27</xdr:row>
      <xdr:rowOff>12700</xdr:rowOff>
    </xdr:from>
    <xdr:to>
      <xdr:col>6</xdr:col>
      <xdr:colOff>165100</xdr:colOff>
      <xdr:row>27</xdr:row>
      <xdr:rowOff>165100</xdr:rowOff>
    </xdr:to>
    <xdr:pic>
      <xdr:nvPicPr>
        <xdr:cNvPr id="13" name="Picture 12">
          <a:extLst>
            <a:ext uri="{FF2B5EF4-FFF2-40B4-BE49-F238E27FC236}">
              <a16:creationId xmlns:a16="http://schemas.microsoft.com/office/drawing/2014/main" id="{00000000-0008-0000-0100-00000D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7211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28</xdr:row>
      <xdr:rowOff>12700</xdr:rowOff>
    </xdr:from>
    <xdr:to>
      <xdr:col>6</xdr:col>
      <xdr:colOff>165100</xdr:colOff>
      <xdr:row>28</xdr:row>
      <xdr:rowOff>165100</xdr:rowOff>
    </xdr:to>
    <xdr:pic>
      <xdr:nvPicPr>
        <xdr:cNvPr id="14" name="Picture 13">
          <a:extLst>
            <a:ext uri="{FF2B5EF4-FFF2-40B4-BE49-F238E27FC236}">
              <a16:creationId xmlns:a16="http://schemas.microsoft.com/office/drawing/2014/main" id="{00000000-0008-0000-0100-00000E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9052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29</xdr:row>
      <xdr:rowOff>12700</xdr:rowOff>
    </xdr:from>
    <xdr:to>
      <xdr:col>6</xdr:col>
      <xdr:colOff>165100</xdr:colOff>
      <xdr:row>29</xdr:row>
      <xdr:rowOff>165100</xdr:rowOff>
    </xdr:to>
    <xdr:pic>
      <xdr:nvPicPr>
        <xdr:cNvPr id="15" name="Picture 14">
          <a:extLst>
            <a:ext uri="{FF2B5EF4-FFF2-40B4-BE49-F238E27FC236}">
              <a16:creationId xmlns:a16="http://schemas.microsoft.com/office/drawing/2014/main" id="{00000000-0008-0000-0100-00000F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40894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30</xdr:row>
      <xdr:rowOff>12700</xdr:rowOff>
    </xdr:from>
    <xdr:to>
      <xdr:col>6</xdr:col>
      <xdr:colOff>165100</xdr:colOff>
      <xdr:row>30</xdr:row>
      <xdr:rowOff>165100</xdr:rowOff>
    </xdr:to>
    <xdr:pic>
      <xdr:nvPicPr>
        <xdr:cNvPr id="16" name="Picture 15">
          <a:extLst>
            <a:ext uri="{FF2B5EF4-FFF2-40B4-BE49-F238E27FC236}">
              <a16:creationId xmlns:a16="http://schemas.microsoft.com/office/drawing/2014/main" id="{00000000-0008-0000-0100-000010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42735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31</xdr:row>
      <xdr:rowOff>12700</xdr:rowOff>
    </xdr:from>
    <xdr:to>
      <xdr:col>6</xdr:col>
      <xdr:colOff>165100</xdr:colOff>
      <xdr:row>31</xdr:row>
      <xdr:rowOff>165100</xdr:rowOff>
    </xdr:to>
    <xdr:pic>
      <xdr:nvPicPr>
        <xdr:cNvPr id="17" name="Picture 16">
          <a:extLst>
            <a:ext uri="{FF2B5EF4-FFF2-40B4-BE49-F238E27FC236}">
              <a16:creationId xmlns:a16="http://schemas.microsoft.com/office/drawing/2014/main" id="{00000000-0008-0000-0100-000011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44577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34</xdr:row>
      <xdr:rowOff>12700</xdr:rowOff>
    </xdr:from>
    <xdr:to>
      <xdr:col>6</xdr:col>
      <xdr:colOff>165100</xdr:colOff>
      <xdr:row>34</xdr:row>
      <xdr:rowOff>165100</xdr:rowOff>
    </xdr:to>
    <xdr:pic>
      <xdr:nvPicPr>
        <xdr:cNvPr id="18" name="Picture 17">
          <a:extLst>
            <a:ext uri="{FF2B5EF4-FFF2-40B4-BE49-F238E27FC236}">
              <a16:creationId xmlns:a16="http://schemas.microsoft.com/office/drawing/2014/main" id="{00000000-0008-0000-0100-000012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0101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35</xdr:row>
      <xdr:rowOff>12700</xdr:rowOff>
    </xdr:from>
    <xdr:to>
      <xdr:col>6</xdr:col>
      <xdr:colOff>165100</xdr:colOff>
      <xdr:row>35</xdr:row>
      <xdr:rowOff>165100</xdr:rowOff>
    </xdr:to>
    <xdr:pic>
      <xdr:nvPicPr>
        <xdr:cNvPr id="19" name="Picture 18">
          <a:extLst>
            <a:ext uri="{FF2B5EF4-FFF2-40B4-BE49-F238E27FC236}">
              <a16:creationId xmlns:a16="http://schemas.microsoft.com/office/drawing/2014/main" id="{00000000-0008-0000-0100-000013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1943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36</xdr:row>
      <xdr:rowOff>12700</xdr:rowOff>
    </xdr:from>
    <xdr:to>
      <xdr:col>6</xdr:col>
      <xdr:colOff>165100</xdr:colOff>
      <xdr:row>36</xdr:row>
      <xdr:rowOff>165100</xdr:rowOff>
    </xdr:to>
    <xdr:pic>
      <xdr:nvPicPr>
        <xdr:cNvPr id="20" name="Picture 19">
          <a:extLst>
            <a:ext uri="{FF2B5EF4-FFF2-40B4-BE49-F238E27FC236}">
              <a16:creationId xmlns:a16="http://schemas.microsoft.com/office/drawing/2014/main" id="{00000000-0008-0000-0100-000014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3784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37</xdr:row>
      <xdr:rowOff>12700</xdr:rowOff>
    </xdr:from>
    <xdr:to>
      <xdr:col>6</xdr:col>
      <xdr:colOff>165100</xdr:colOff>
      <xdr:row>37</xdr:row>
      <xdr:rowOff>165100</xdr:rowOff>
    </xdr:to>
    <xdr:pic>
      <xdr:nvPicPr>
        <xdr:cNvPr id="21" name="Picture 20">
          <a:extLst>
            <a:ext uri="{FF2B5EF4-FFF2-40B4-BE49-F238E27FC236}">
              <a16:creationId xmlns:a16="http://schemas.microsoft.com/office/drawing/2014/main" id="{00000000-0008-0000-0100-000015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5626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38</xdr:row>
      <xdr:rowOff>12700</xdr:rowOff>
    </xdr:from>
    <xdr:to>
      <xdr:col>6</xdr:col>
      <xdr:colOff>165100</xdr:colOff>
      <xdr:row>38</xdr:row>
      <xdr:rowOff>165100</xdr:rowOff>
    </xdr:to>
    <xdr:pic>
      <xdr:nvPicPr>
        <xdr:cNvPr id="22" name="Picture 21">
          <a:extLst>
            <a:ext uri="{FF2B5EF4-FFF2-40B4-BE49-F238E27FC236}">
              <a16:creationId xmlns:a16="http://schemas.microsoft.com/office/drawing/2014/main" id="{00000000-0008-0000-0100-000016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7467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41</xdr:row>
      <xdr:rowOff>12700</xdr:rowOff>
    </xdr:from>
    <xdr:to>
      <xdr:col>6</xdr:col>
      <xdr:colOff>165100</xdr:colOff>
      <xdr:row>41</xdr:row>
      <xdr:rowOff>165100</xdr:rowOff>
    </xdr:to>
    <xdr:pic>
      <xdr:nvPicPr>
        <xdr:cNvPr id="23" name="Picture 22">
          <a:extLst>
            <a:ext uri="{FF2B5EF4-FFF2-40B4-BE49-F238E27FC236}">
              <a16:creationId xmlns:a16="http://schemas.microsoft.com/office/drawing/2014/main" id="{00000000-0008-0000-0100-000017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2992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42</xdr:row>
      <xdr:rowOff>12700</xdr:rowOff>
    </xdr:from>
    <xdr:to>
      <xdr:col>6</xdr:col>
      <xdr:colOff>165100</xdr:colOff>
      <xdr:row>42</xdr:row>
      <xdr:rowOff>165100</xdr:rowOff>
    </xdr:to>
    <xdr:pic>
      <xdr:nvPicPr>
        <xdr:cNvPr id="24" name="Picture 23">
          <a:extLst>
            <a:ext uri="{FF2B5EF4-FFF2-40B4-BE49-F238E27FC236}">
              <a16:creationId xmlns:a16="http://schemas.microsoft.com/office/drawing/2014/main" id="{00000000-0008-0000-0100-000018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4833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43</xdr:row>
      <xdr:rowOff>12700</xdr:rowOff>
    </xdr:from>
    <xdr:to>
      <xdr:col>6</xdr:col>
      <xdr:colOff>165100</xdr:colOff>
      <xdr:row>43</xdr:row>
      <xdr:rowOff>165100</xdr:rowOff>
    </xdr:to>
    <xdr:pic>
      <xdr:nvPicPr>
        <xdr:cNvPr id="25" name="Picture 24">
          <a:extLst>
            <a:ext uri="{FF2B5EF4-FFF2-40B4-BE49-F238E27FC236}">
              <a16:creationId xmlns:a16="http://schemas.microsoft.com/office/drawing/2014/main" id="{00000000-0008-0000-0100-000019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6675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44</xdr:row>
      <xdr:rowOff>12700</xdr:rowOff>
    </xdr:from>
    <xdr:to>
      <xdr:col>6</xdr:col>
      <xdr:colOff>165100</xdr:colOff>
      <xdr:row>44</xdr:row>
      <xdr:rowOff>165100</xdr:rowOff>
    </xdr:to>
    <xdr:pic>
      <xdr:nvPicPr>
        <xdr:cNvPr id="26" name="Picture 25">
          <a:extLst>
            <a:ext uri="{FF2B5EF4-FFF2-40B4-BE49-F238E27FC236}">
              <a16:creationId xmlns:a16="http://schemas.microsoft.com/office/drawing/2014/main" id="{00000000-0008-0000-0100-00001A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8516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5"/>
  <dimension ref="A1:N83"/>
  <sheetViews>
    <sheetView workbookViewId="0">
      <selection activeCell="P12" sqref="P12"/>
    </sheetView>
  </sheetViews>
  <sheetFormatPr defaultColWidth="9.1796875" defaultRowHeight="14.5" x14ac:dyDescent="0.35"/>
  <cols>
    <col min="1" max="1" width="3.7265625" style="78" customWidth="1"/>
    <col min="2" max="3" width="3.7265625" customWidth="1"/>
  </cols>
  <sheetData>
    <row r="1" spans="1:14" ht="18.5" x14ac:dyDescent="0.45">
      <c r="A1" s="389" t="s">
        <v>722</v>
      </c>
    </row>
    <row r="3" spans="1:14" x14ac:dyDescent="0.35">
      <c r="A3" s="78">
        <v>0</v>
      </c>
      <c r="B3" t="s">
        <v>723</v>
      </c>
    </row>
    <row r="5" spans="1:14" x14ac:dyDescent="0.35">
      <c r="B5" s="78" t="s">
        <v>447</v>
      </c>
      <c r="C5" t="s">
        <v>724</v>
      </c>
    </row>
    <row r="6" spans="1:14" x14ac:dyDescent="0.35">
      <c r="B6" s="78" t="s">
        <v>448</v>
      </c>
      <c r="C6" t="s">
        <v>725</v>
      </c>
    </row>
    <row r="8" spans="1:14" x14ac:dyDescent="0.35">
      <c r="A8" s="78">
        <v>1</v>
      </c>
      <c r="B8" s="476" t="s">
        <v>726</v>
      </c>
      <c r="C8" s="476"/>
      <c r="D8" s="476"/>
      <c r="E8" s="476"/>
      <c r="F8" s="476"/>
      <c r="G8" s="476"/>
      <c r="H8" s="476"/>
      <c r="I8" s="476"/>
      <c r="J8" s="476"/>
      <c r="K8" s="476"/>
      <c r="L8" s="476"/>
      <c r="M8" s="476"/>
      <c r="N8" s="476"/>
    </row>
    <row r="9" spans="1:14" x14ac:dyDescent="0.35">
      <c r="B9" s="476"/>
      <c r="C9" s="476"/>
      <c r="D9" s="476"/>
      <c r="E9" s="476"/>
      <c r="F9" s="476"/>
      <c r="G9" s="476"/>
      <c r="H9" s="476"/>
      <c r="I9" s="476"/>
      <c r="J9" s="476"/>
      <c r="K9" s="476"/>
      <c r="L9" s="476"/>
      <c r="M9" s="476"/>
      <c r="N9" s="476"/>
    </row>
    <row r="10" spans="1:14" x14ac:dyDescent="0.35">
      <c r="B10" s="388"/>
      <c r="C10" s="388"/>
      <c r="D10" s="388"/>
      <c r="E10" s="388"/>
      <c r="F10" s="388"/>
      <c r="G10" s="388"/>
      <c r="H10" s="388"/>
      <c r="I10" s="388"/>
      <c r="J10" s="388"/>
      <c r="K10" s="388"/>
      <c r="L10" s="388"/>
      <c r="M10" s="388"/>
      <c r="N10" s="388"/>
    </row>
    <row r="11" spans="1:14" x14ac:dyDescent="0.35">
      <c r="A11" s="78">
        <v>2</v>
      </c>
      <c r="B11" t="s">
        <v>727</v>
      </c>
    </row>
    <row r="13" spans="1:14" x14ac:dyDescent="0.35">
      <c r="B13" s="78" t="s">
        <v>447</v>
      </c>
      <c r="C13" t="s">
        <v>728</v>
      </c>
    </row>
    <row r="14" spans="1:14" x14ac:dyDescent="0.35">
      <c r="B14" s="78" t="s">
        <v>448</v>
      </c>
      <c r="C14" t="s">
        <v>729</v>
      </c>
    </row>
    <row r="15" spans="1:14" x14ac:dyDescent="0.35">
      <c r="B15" s="78" t="s">
        <v>449</v>
      </c>
      <c r="C15" t="s">
        <v>730</v>
      </c>
    </row>
    <row r="16" spans="1:14" x14ac:dyDescent="0.35">
      <c r="B16" s="78" t="s">
        <v>731</v>
      </c>
      <c r="C16" s="476" t="s">
        <v>732</v>
      </c>
      <c r="D16" s="476"/>
      <c r="E16" s="476"/>
      <c r="F16" s="476"/>
      <c r="G16" s="476"/>
      <c r="H16" s="476"/>
      <c r="I16" s="476"/>
      <c r="J16" s="476"/>
      <c r="K16" s="476"/>
      <c r="L16" s="476"/>
      <c r="M16" s="476"/>
      <c r="N16" s="476"/>
    </row>
    <row r="17" spans="1:14" x14ac:dyDescent="0.35">
      <c r="B17" s="78"/>
      <c r="C17" s="476"/>
      <c r="D17" s="476"/>
      <c r="E17" s="476"/>
      <c r="F17" s="476"/>
      <c r="G17" s="476"/>
      <c r="H17" s="476"/>
      <c r="I17" s="476"/>
      <c r="J17" s="476"/>
      <c r="K17" s="476"/>
      <c r="L17" s="476"/>
      <c r="M17" s="476"/>
      <c r="N17" s="476"/>
    </row>
    <row r="18" spans="1:14" x14ac:dyDescent="0.35">
      <c r="B18" s="78"/>
      <c r="C18" s="388"/>
      <c r="D18" s="388"/>
      <c r="E18" s="388"/>
      <c r="F18" s="388"/>
      <c r="G18" s="388"/>
      <c r="H18" s="388"/>
      <c r="I18" s="388"/>
      <c r="J18" s="388"/>
      <c r="K18" s="388"/>
      <c r="L18" s="388"/>
      <c r="M18" s="388"/>
      <c r="N18" s="388"/>
    </row>
    <row r="19" spans="1:14" x14ac:dyDescent="0.35">
      <c r="A19" s="78">
        <v>3</v>
      </c>
      <c r="B19" t="s">
        <v>733</v>
      </c>
    </row>
    <row r="20" spans="1:14" x14ac:dyDescent="0.35">
      <c r="B20" s="78"/>
    </row>
    <row r="21" spans="1:14" ht="15" customHeight="1" x14ac:dyDescent="0.35">
      <c r="B21" s="78" t="s">
        <v>447</v>
      </c>
      <c r="C21" s="476" t="s">
        <v>932</v>
      </c>
      <c r="D21" s="476"/>
      <c r="E21" s="476"/>
      <c r="F21" s="476"/>
      <c r="G21" s="476"/>
      <c r="H21" s="476"/>
      <c r="I21" s="476"/>
      <c r="J21" s="476"/>
      <c r="K21" s="476"/>
      <c r="L21" s="476"/>
      <c r="M21" s="476"/>
      <c r="N21" s="476"/>
    </row>
    <row r="22" spans="1:14" ht="15" customHeight="1" x14ac:dyDescent="0.35">
      <c r="B22" s="78"/>
      <c r="C22" s="476"/>
      <c r="D22" s="476"/>
      <c r="E22" s="476"/>
      <c r="F22" s="476"/>
      <c r="G22" s="476"/>
      <c r="H22" s="476"/>
      <c r="I22" s="476"/>
      <c r="J22" s="476"/>
      <c r="K22" s="476"/>
      <c r="L22" s="476"/>
      <c r="M22" s="476"/>
      <c r="N22" s="476"/>
    </row>
    <row r="23" spans="1:14" x14ac:dyDescent="0.35">
      <c r="C23" s="476"/>
      <c r="D23" s="476"/>
      <c r="E23" s="476"/>
      <c r="F23" s="476"/>
      <c r="G23" s="476"/>
      <c r="H23" s="476"/>
      <c r="I23" s="476"/>
      <c r="J23" s="476"/>
      <c r="K23" s="476"/>
      <c r="L23" s="476"/>
      <c r="M23" s="476"/>
      <c r="N23" s="476"/>
    </row>
    <row r="24" spans="1:14" ht="15" customHeight="1" x14ac:dyDescent="0.35">
      <c r="B24" s="78" t="s">
        <v>448</v>
      </c>
      <c r="C24" s="476" t="s">
        <v>904</v>
      </c>
      <c r="D24" s="476"/>
      <c r="E24" s="476"/>
      <c r="F24" s="476"/>
      <c r="G24" s="476"/>
      <c r="H24" s="476"/>
      <c r="I24" s="476"/>
      <c r="J24" s="476"/>
      <c r="K24" s="476"/>
      <c r="L24" s="476"/>
      <c r="M24" s="476"/>
      <c r="N24" s="476"/>
    </row>
    <row r="25" spans="1:14" x14ac:dyDescent="0.35">
      <c r="C25" s="476"/>
      <c r="D25" s="476"/>
      <c r="E25" s="476"/>
      <c r="F25" s="476"/>
      <c r="G25" s="476"/>
      <c r="H25" s="476"/>
      <c r="I25" s="476"/>
      <c r="J25" s="476"/>
      <c r="K25" s="476"/>
      <c r="L25" s="476"/>
      <c r="M25" s="476"/>
      <c r="N25" s="476"/>
    </row>
    <row r="26" spans="1:14" x14ac:dyDescent="0.35">
      <c r="D26" s="388"/>
      <c r="E26" s="388"/>
      <c r="F26" s="388"/>
      <c r="G26" s="388"/>
      <c r="H26" s="388"/>
      <c r="I26" s="388"/>
      <c r="J26" s="388"/>
      <c r="K26" s="388"/>
      <c r="L26" s="388"/>
      <c r="M26" s="388"/>
      <c r="N26" s="388"/>
    </row>
    <row r="27" spans="1:14" x14ac:dyDescent="0.35">
      <c r="A27" s="78">
        <v>4</v>
      </c>
      <c r="B27" t="s">
        <v>734</v>
      </c>
    </row>
    <row r="28" spans="1:14" x14ac:dyDescent="0.35">
      <c r="B28" s="78"/>
    </row>
    <row r="29" spans="1:14" x14ac:dyDescent="0.35">
      <c r="B29" s="78" t="s">
        <v>447</v>
      </c>
      <c r="C29" t="s">
        <v>735</v>
      </c>
    </row>
    <row r="30" spans="1:14" ht="15" customHeight="1" x14ac:dyDescent="0.35">
      <c r="B30" s="78" t="s">
        <v>448</v>
      </c>
      <c r="C30" s="476" t="s">
        <v>736</v>
      </c>
      <c r="D30" s="476"/>
      <c r="E30" s="476"/>
      <c r="F30" s="476"/>
      <c r="G30" s="476"/>
      <c r="H30" s="476"/>
      <c r="I30" s="476"/>
      <c r="J30" s="476"/>
      <c r="K30" s="476"/>
      <c r="L30" s="476"/>
      <c r="M30" s="476"/>
      <c r="N30" s="476"/>
    </row>
    <row r="31" spans="1:14" x14ac:dyDescent="0.35">
      <c r="C31" s="476"/>
      <c r="D31" s="476"/>
      <c r="E31" s="476"/>
      <c r="F31" s="476"/>
      <c r="G31" s="476"/>
      <c r="H31" s="476"/>
      <c r="I31" s="476"/>
      <c r="J31" s="476"/>
      <c r="K31" s="476"/>
      <c r="L31" s="476"/>
      <c r="M31" s="476"/>
      <c r="N31" s="476"/>
    </row>
    <row r="32" spans="1:14" x14ac:dyDescent="0.35">
      <c r="C32" s="476"/>
      <c r="D32" s="476"/>
      <c r="E32" s="476"/>
      <c r="F32" s="476"/>
      <c r="G32" s="476"/>
      <c r="H32" s="476"/>
      <c r="I32" s="476"/>
      <c r="J32" s="476"/>
      <c r="K32" s="476"/>
      <c r="L32" s="476"/>
      <c r="M32" s="476"/>
      <c r="N32" s="476"/>
    </row>
    <row r="33" spans="1:14" x14ac:dyDescent="0.35">
      <c r="D33" s="240"/>
      <c r="E33" s="240"/>
      <c r="F33" s="240"/>
      <c r="G33" s="240"/>
      <c r="H33" s="240"/>
      <c r="I33" s="240"/>
      <c r="J33" s="240"/>
      <c r="K33" s="240"/>
      <c r="L33" s="240"/>
      <c r="M33" s="240"/>
      <c r="N33" s="240"/>
    </row>
    <row r="34" spans="1:14" x14ac:dyDescent="0.35">
      <c r="A34" s="78">
        <v>5</v>
      </c>
      <c r="B34" t="s">
        <v>737</v>
      </c>
    </row>
    <row r="35" spans="1:14" x14ac:dyDescent="0.35">
      <c r="B35" s="78"/>
    </row>
    <row r="36" spans="1:14" x14ac:dyDescent="0.35">
      <c r="B36" s="78" t="s">
        <v>447</v>
      </c>
      <c r="C36" s="476" t="s">
        <v>738</v>
      </c>
      <c r="D36" s="476"/>
      <c r="E36" s="476"/>
      <c r="F36" s="476"/>
      <c r="G36" s="476"/>
      <c r="H36" s="476"/>
      <c r="I36" s="476"/>
      <c r="J36" s="476"/>
      <c r="K36" s="476"/>
      <c r="L36" s="476"/>
      <c r="M36" s="476"/>
      <c r="N36" s="476"/>
    </row>
    <row r="37" spans="1:14" x14ac:dyDescent="0.35">
      <c r="B37" s="78"/>
      <c r="C37" s="476"/>
      <c r="D37" s="476"/>
      <c r="E37" s="476"/>
      <c r="F37" s="476"/>
      <c r="G37" s="476"/>
      <c r="H37" s="476"/>
      <c r="I37" s="476"/>
      <c r="J37" s="476"/>
      <c r="K37" s="476"/>
      <c r="L37" s="476"/>
      <c r="M37" s="476"/>
      <c r="N37" s="476"/>
    </row>
    <row r="38" spans="1:14" x14ac:dyDescent="0.35">
      <c r="B38" s="78"/>
      <c r="C38" s="476"/>
      <c r="D38" s="476"/>
      <c r="E38" s="476"/>
      <c r="F38" s="476"/>
      <c r="G38" s="476"/>
      <c r="H38" s="476"/>
      <c r="I38" s="476"/>
      <c r="J38" s="476"/>
      <c r="K38" s="476"/>
      <c r="L38" s="476"/>
      <c r="M38" s="476"/>
      <c r="N38" s="476"/>
    </row>
    <row r="39" spans="1:14" x14ac:dyDescent="0.35">
      <c r="D39" s="240"/>
      <c r="E39" s="240"/>
      <c r="F39" s="240"/>
      <c r="G39" s="240"/>
      <c r="H39" s="240"/>
      <c r="I39" s="240"/>
      <c r="J39" s="240"/>
      <c r="K39" s="240"/>
      <c r="L39" s="240"/>
      <c r="M39" s="240"/>
      <c r="N39" s="240"/>
    </row>
    <row r="40" spans="1:14" x14ac:dyDescent="0.35">
      <c r="A40" s="78">
        <v>6</v>
      </c>
      <c r="B40" t="s">
        <v>739</v>
      </c>
    </row>
    <row r="41" spans="1:14" x14ac:dyDescent="0.35">
      <c r="B41" s="78"/>
    </row>
    <row r="42" spans="1:14" x14ac:dyDescent="0.35">
      <c r="B42" s="78" t="s">
        <v>447</v>
      </c>
      <c r="C42" t="s">
        <v>740</v>
      </c>
    </row>
    <row r="43" spans="1:14" x14ac:dyDescent="0.35">
      <c r="C43" s="78"/>
      <c r="D43" s="240"/>
      <c r="E43" s="240"/>
      <c r="F43" s="240"/>
      <c r="G43" s="240"/>
      <c r="H43" s="240"/>
      <c r="I43" s="240"/>
      <c r="J43" s="240"/>
      <c r="K43" s="240"/>
      <c r="L43" s="240"/>
      <c r="M43" s="240"/>
      <c r="N43" s="240"/>
    </row>
    <row r="44" spans="1:14" x14ac:dyDescent="0.35">
      <c r="A44" s="78">
        <v>7</v>
      </c>
      <c r="B44" t="s">
        <v>741</v>
      </c>
      <c r="C44" s="78"/>
      <c r="D44" s="240"/>
      <c r="E44" s="240"/>
      <c r="F44" s="240"/>
      <c r="G44" s="240"/>
      <c r="H44" s="240"/>
      <c r="I44" s="240"/>
      <c r="J44" s="240"/>
      <c r="K44" s="240"/>
      <c r="L44" s="240"/>
      <c r="M44" s="240"/>
      <c r="N44" s="240"/>
    </row>
    <row r="45" spans="1:14" x14ac:dyDescent="0.35">
      <c r="C45" s="78"/>
      <c r="D45" s="240"/>
      <c r="E45" s="240"/>
      <c r="F45" s="240"/>
      <c r="G45" s="240"/>
      <c r="H45" s="240"/>
      <c r="I45" s="240"/>
      <c r="J45" s="240"/>
      <c r="K45" s="240"/>
      <c r="L45" s="240"/>
      <c r="M45" s="240"/>
      <c r="N45" s="240"/>
    </row>
    <row r="46" spans="1:14" x14ac:dyDescent="0.35">
      <c r="B46" s="78" t="s">
        <v>447</v>
      </c>
      <c r="C46" s="476" t="s">
        <v>914</v>
      </c>
      <c r="D46" s="476"/>
      <c r="E46" s="476"/>
      <c r="F46" s="476"/>
      <c r="G46" s="476"/>
      <c r="H46" s="476"/>
      <c r="I46" s="476"/>
      <c r="J46" s="476"/>
      <c r="K46" s="476"/>
      <c r="L46" s="476"/>
      <c r="M46" s="476"/>
      <c r="N46" s="476"/>
    </row>
    <row r="47" spans="1:14" x14ac:dyDescent="0.35">
      <c r="C47" s="476"/>
      <c r="D47" s="476"/>
      <c r="E47" s="476"/>
      <c r="F47" s="476"/>
      <c r="G47" s="476"/>
      <c r="H47" s="476"/>
      <c r="I47" s="476"/>
      <c r="J47" s="476"/>
      <c r="K47" s="476"/>
      <c r="L47" s="476"/>
      <c r="M47" s="476"/>
      <c r="N47" s="476"/>
    </row>
    <row r="48" spans="1:14" x14ac:dyDescent="0.35">
      <c r="C48" s="476"/>
      <c r="D48" s="476"/>
      <c r="E48" s="476"/>
      <c r="F48" s="476"/>
      <c r="G48" s="476"/>
      <c r="H48" s="476"/>
      <c r="I48" s="476"/>
      <c r="J48" s="476"/>
      <c r="K48" s="476"/>
      <c r="L48" s="476"/>
      <c r="M48" s="476"/>
      <c r="N48" s="476"/>
    </row>
    <row r="49" spans="1:14" x14ac:dyDescent="0.35">
      <c r="B49" s="78" t="s">
        <v>448</v>
      </c>
      <c r="C49" s="476" t="s">
        <v>915</v>
      </c>
      <c r="D49" s="476"/>
      <c r="E49" s="476"/>
      <c r="F49" s="476"/>
      <c r="G49" s="476"/>
      <c r="H49" s="476"/>
      <c r="I49" s="476"/>
      <c r="J49" s="476"/>
      <c r="K49" s="476"/>
      <c r="L49" s="476"/>
      <c r="M49" s="476"/>
      <c r="N49" s="476"/>
    </row>
    <row r="50" spans="1:14" x14ac:dyDescent="0.35">
      <c r="B50" s="78"/>
      <c r="C50" s="476"/>
      <c r="D50" s="476"/>
      <c r="E50" s="476"/>
      <c r="F50" s="476"/>
      <c r="G50" s="476"/>
      <c r="H50" s="476"/>
      <c r="I50" s="476"/>
      <c r="J50" s="476"/>
      <c r="K50" s="476"/>
      <c r="L50" s="476"/>
      <c r="M50" s="476"/>
      <c r="N50" s="476"/>
    </row>
    <row r="51" spans="1:14" x14ac:dyDescent="0.35">
      <c r="C51" s="476"/>
      <c r="D51" s="476"/>
      <c r="E51" s="476"/>
      <c r="F51" s="476"/>
      <c r="G51" s="476"/>
      <c r="H51" s="476"/>
      <c r="I51" s="476"/>
      <c r="J51" s="476"/>
      <c r="K51" s="476"/>
      <c r="L51" s="476"/>
      <c r="M51" s="476"/>
      <c r="N51" s="476"/>
    </row>
    <row r="52" spans="1:14" x14ac:dyDescent="0.35">
      <c r="B52" s="78" t="s">
        <v>449</v>
      </c>
      <c r="C52" s="476" t="s">
        <v>742</v>
      </c>
      <c r="D52" s="476"/>
      <c r="E52" s="476"/>
      <c r="F52" s="476"/>
      <c r="G52" s="476"/>
      <c r="H52" s="476"/>
      <c r="I52" s="476"/>
      <c r="J52" s="476"/>
      <c r="K52" s="476"/>
      <c r="L52" s="476"/>
      <c r="M52" s="476"/>
      <c r="N52" s="476"/>
    </row>
    <row r="53" spans="1:14" x14ac:dyDescent="0.35">
      <c r="C53" s="476"/>
      <c r="D53" s="476"/>
      <c r="E53" s="476"/>
      <c r="F53" s="476"/>
      <c r="G53" s="476"/>
      <c r="H53" s="476"/>
      <c r="I53" s="476"/>
      <c r="J53" s="476"/>
      <c r="K53" s="476"/>
      <c r="L53" s="476"/>
      <c r="M53" s="476"/>
      <c r="N53" s="476"/>
    </row>
    <row r="54" spans="1:14" x14ac:dyDescent="0.35">
      <c r="C54" s="78"/>
      <c r="D54" s="240"/>
      <c r="E54" s="240"/>
      <c r="F54" s="240"/>
      <c r="G54" s="240"/>
      <c r="H54" s="240"/>
      <c r="I54" s="240"/>
      <c r="J54" s="240"/>
      <c r="K54" s="240"/>
      <c r="L54" s="240"/>
      <c r="M54" s="240"/>
      <c r="N54" s="240"/>
    </row>
    <row r="55" spans="1:14" x14ac:dyDescent="0.35">
      <c r="A55" s="78">
        <v>8</v>
      </c>
      <c r="B55" t="s">
        <v>743</v>
      </c>
      <c r="C55" s="78"/>
      <c r="D55" s="240"/>
      <c r="E55" s="240"/>
      <c r="F55" s="240"/>
      <c r="G55" s="240"/>
      <c r="H55" s="240"/>
      <c r="I55" s="240"/>
      <c r="J55" s="240"/>
      <c r="K55" s="240"/>
      <c r="L55" s="240"/>
      <c r="M55" s="240"/>
      <c r="N55" s="240"/>
    </row>
    <row r="56" spans="1:14" x14ac:dyDescent="0.35">
      <c r="C56" s="78"/>
      <c r="D56" s="240"/>
      <c r="E56" s="240"/>
      <c r="F56" s="240"/>
      <c r="G56" s="240"/>
      <c r="H56" s="240"/>
      <c r="I56" s="240"/>
      <c r="J56" s="240"/>
      <c r="K56" s="240"/>
      <c r="L56" s="240"/>
      <c r="M56" s="240"/>
      <c r="N56" s="240"/>
    </row>
    <row r="57" spans="1:14" x14ac:dyDescent="0.35">
      <c r="B57" s="78" t="s">
        <v>447</v>
      </c>
      <c r="C57" s="476" t="s">
        <v>749</v>
      </c>
      <c r="D57" s="476"/>
      <c r="E57" s="476"/>
      <c r="F57" s="476"/>
      <c r="G57" s="476"/>
      <c r="H57" s="476"/>
      <c r="I57" s="476"/>
      <c r="J57" s="476"/>
      <c r="K57" s="476"/>
      <c r="L57" s="476"/>
      <c r="M57" s="476"/>
      <c r="N57" s="476"/>
    </row>
    <row r="58" spans="1:14" x14ac:dyDescent="0.35">
      <c r="B58" s="78"/>
      <c r="C58" s="476"/>
      <c r="D58" s="476"/>
      <c r="E58" s="476"/>
      <c r="F58" s="476"/>
      <c r="G58" s="476"/>
      <c r="H58" s="476"/>
      <c r="I58" s="476"/>
      <c r="J58" s="476"/>
      <c r="K58" s="476"/>
      <c r="L58" s="476"/>
      <c r="M58" s="476"/>
      <c r="N58" s="476"/>
    </row>
    <row r="59" spans="1:14" x14ac:dyDescent="0.35">
      <c r="C59" s="476"/>
      <c r="D59" s="476"/>
      <c r="E59" s="476"/>
      <c r="F59" s="476"/>
      <c r="G59" s="476"/>
      <c r="H59" s="476"/>
      <c r="I59" s="476"/>
      <c r="J59" s="476"/>
      <c r="K59" s="476"/>
      <c r="L59" s="476"/>
      <c r="M59" s="476"/>
      <c r="N59" s="476"/>
    </row>
    <row r="60" spans="1:14" x14ac:dyDescent="0.35">
      <c r="B60" s="78" t="s">
        <v>448</v>
      </c>
      <c r="C60" s="476" t="s">
        <v>744</v>
      </c>
      <c r="D60" s="476"/>
      <c r="E60" s="476"/>
      <c r="F60" s="476"/>
      <c r="G60" s="476"/>
      <c r="H60" s="476"/>
      <c r="I60" s="476"/>
      <c r="J60" s="476"/>
      <c r="K60" s="476"/>
      <c r="L60" s="476"/>
      <c r="M60" s="476"/>
      <c r="N60" s="476"/>
    </row>
    <row r="61" spans="1:14" x14ac:dyDescent="0.35">
      <c r="B61" s="78"/>
      <c r="C61" s="476"/>
      <c r="D61" s="476"/>
      <c r="E61" s="476"/>
      <c r="F61" s="476"/>
      <c r="G61" s="476"/>
      <c r="H61" s="476"/>
      <c r="I61" s="476"/>
      <c r="J61" s="476"/>
      <c r="K61" s="476"/>
      <c r="L61" s="476"/>
      <c r="M61" s="476"/>
      <c r="N61" s="476"/>
    </row>
    <row r="62" spans="1:14" x14ac:dyDescent="0.35">
      <c r="B62" s="78"/>
      <c r="C62" s="476"/>
      <c r="D62" s="476"/>
      <c r="E62" s="476"/>
      <c r="F62" s="476"/>
      <c r="G62" s="476"/>
      <c r="H62" s="476"/>
      <c r="I62" s="476"/>
      <c r="J62" s="476"/>
      <c r="K62" s="476"/>
      <c r="L62" s="476"/>
      <c r="M62" s="476"/>
      <c r="N62" s="476"/>
    </row>
    <row r="63" spans="1:14" x14ac:dyDescent="0.35">
      <c r="C63" s="476"/>
      <c r="D63" s="476"/>
      <c r="E63" s="476"/>
      <c r="F63" s="476"/>
      <c r="G63" s="476"/>
      <c r="H63" s="476"/>
      <c r="I63" s="476"/>
      <c r="J63" s="476"/>
      <c r="K63" s="476"/>
      <c r="L63" s="476"/>
      <c r="M63" s="476"/>
      <c r="N63" s="476"/>
    </row>
    <row r="64" spans="1:14" x14ac:dyDescent="0.35">
      <c r="C64" s="78"/>
      <c r="D64" s="240"/>
      <c r="E64" s="240"/>
      <c r="F64" s="240"/>
      <c r="G64" s="240"/>
      <c r="H64" s="240"/>
      <c r="I64" s="240"/>
      <c r="J64" s="240"/>
      <c r="K64" s="240"/>
      <c r="L64" s="240"/>
      <c r="M64" s="240"/>
      <c r="N64" s="240"/>
    </row>
    <row r="65" spans="1:14" x14ac:dyDescent="0.35">
      <c r="A65" s="78">
        <v>9</v>
      </c>
      <c r="B65" t="s">
        <v>745</v>
      </c>
    </row>
    <row r="67" spans="1:14" x14ac:dyDescent="0.35">
      <c r="A67" s="78">
        <v>10</v>
      </c>
      <c r="B67" s="475" t="s">
        <v>746</v>
      </c>
      <c r="C67" s="475"/>
      <c r="D67" s="475"/>
      <c r="E67" s="475"/>
      <c r="F67" s="475"/>
      <c r="G67" s="475"/>
      <c r="H67" s="475"/>
      <c r="I67" s="475"/>
      <c r="J67" s="475"/>
      <c r="K67" s="475"/>
      <c r="L67" s="475"/>
      <c r="M67" s="475"/>
      <c r="N67" s="475"/>
    </row>
    <row r="68" spans="1:14" x14ac:dyDescent="0.35">
      <c r="B68" s="475"/>
      <c r="C68" s="475"/>
      <c r="D68" s="475"/>
      <c r="E68" s="475"/>
      <c r="F68" s="475"/>
      <c r="G68" s="475"/>
      <c r="H68" s="475"/>
      <c r="I68" s="475"/>
      <c r="J68" s="475"/>
      <c r="K68" s="475"/>
      <c r="L68" s="475"/>
      <c r="M68" s="475"/>
      <c r="N68" s="475"/>
    </row>
    <row r="69" spans="1:14" x14ac:dyDescent="0.35">
      <c r="B69" s="475"/>
      <c r="C69" s="475"/>
      <c r="D69" s="475"/>
      <c r="E69" s="475"/>
      <c r="F69" s="475"/>
      <c r="G69" s="475"/>
      <c r="H69" s="475"/>
      <c r="I69" s="475"/>
      <c r="J69" s="475"/>
      <c r="K69" s="475"/>
      <c r="L69" s="475"/>
      <c r="M69" s="475"/>
      <c r="N69" s="475"/>
    </row>
    <row r="70" spans="1:14" x14ac:dyDescent="0.35">
      <c r="B70" s="475"/>
      <c r="C70" s="475"/>
      <c r="D70" s="475"/>
      <c r="E70" s="475"/>
      <c r="F70" s="475"/>
      <c r="G70" s="475"/>
      <c r="H70" s="475"/>
      <c r="I70" s="475"/>
      <c r="J70" s="475"/>
      <c r="K70" s="475"/>
      <c r="L70" s="475"/>
      <c r="M70" s="475"/>
      <c r="N70" s="475"/>
    </row>
    <row r="71" spans="1:14" x14ac:dyDescent="0.35">
      <c r="B71" s="406"/>
      <c r="C71" s="406"/>
      <c r="D71" s="406"/>
      <c r="E71" s="406"/>
      <c r="F71" s="406"/>
      <c r="G71" s="406"/>
      <c r="H71" s="406"/>
      <c r="I71" s="406"/>
      <c r="J71" s="406"/>
      <c r="K71" s="406"/>
      <c r="L71" s="406"/>
      <c r="M71" s="406"/>
      <c r="N71" s="406"/>
    </row>
    <row r="72" spans="1:14" x14ac:dyDescent="0.35">
      <c r="A72" s="78">
        <v>11</v>
      </c>
      <c r="B72" t="s">
        <v>747</v>
      </c>
    </row>
    <row r="74" spans="1:14" x14ac:dyDescent="0.35">
      <c r="A74" s="78">
        <v>12</v>
      </c>
      <c r="B74" s="476" t="s">
        <v>748</v>
      </c>
      <c r="C74" s="476"/>
      <c r="D74" s="476"/>
      <c r="E74" s="476"/>
      <c r="F74" s="476"/>
      <c r="G74" s="476"/>
      <c r="H74" s="476"/>
      <c r="I74" s="476"/>
      <c r="J74" s="476"/>
      <c r="K74" s="476"/>
      <c r="L74" s="476"/>
      <c r="M74" s="476"/>
      <c r="N74" s="476"/>
    </row>
    <row r="75" spans="1:14" x14ac:dyDescent="0.35">
      <c r="B75" s="476"/>
      <c r="C75" s="476"/>
      <c r="D75" s="476"/>
      <c r="E75" s="476"/>
      <c r="F75" s="476"/>
      <c r="G75" s="476"/>
      <c r="H75" s="476"/>
      <c r="I75" s="476"/>
      <c r="J75" s="476"/>
      <c r="K75" s="476"/>
      <c r="L75" s="476"/>
      <c r="M75" s="476"/>
      <c r="N75" s="476"/>
    </row>
    <row r="76" spans="1:14" x14ac:dyDescent="0.35">
      <c r="B76" s="476"/>
      <c r="C76" s="476"/>
      <c r="D76" s="476"/>
      <c r="E76" s="476"/>
      <c r="F76" s="476"/>
      <c r="G76" s="476"/>
      <c r="H76" s="476"/>
      <c r="I76" s="476"/>
      <c r="J76" s="476"/>
      <c r="K76" s="476"/>
      <c r="L76" s="476"/>
      <c r="M76" s="476"/>
      <c r="N76" s="476"/>
    </row>
    <row r="78" spans="1:14" x14ac:dyDescent="0.35">
      <c r="B78" s="78" t="s">
        <v>447</v>
      </c>
      <c r="D78" s="475" t="s">
        <v>916</v>
      </c>
      <c r="E78" s="475"/>
      <c r="F78" s="475"/>
      <c r="G78" s="475"/>
      <c r="H78" s="475"/>
      <c r="I78" s="475"/>
      <c r="J78" s="475"/>
      <c r="K78" s="475"/>
      <c r="L78" s="475"/>
      <c r="M78" s="475"/>
      <c r="N78" s="475"/>
    </row>
    <row r="79" spans="1:14" x14ac:dyDescent="0.35">
      <c r="D79" s="475"/>
      <c r="E79" s="475"/>
      <c r="F79" s="475"/>
      <c r="G79" s="475"/>
      <c r="H79" s="475"/>
      <c r="I79" s="475"/>
      <c r="J79" s="475"/>
      <c r="K79" s="475"/>
      <c r="L79" s="475"/>
      <c r="M79" s="475"/>
      <c r="N79" s="475"/>
    </row>
    <row r="81" spans="2:14" x14ac:dyDescent="0.35">
      <c r="B81" s="78" t="s">
        <v>448</v>
      </c>
      <c r="D81" s="475" t="s">
        <v>917</v>
      </c>
      <c r="E81" s="475"/>
      <c r="F81" s="475"/>
      <c r="G81" s="475"/>
      <c r="H81" s="475"/>
      <c r="I81" s="475"/>
      <c r="J81" s="475"/>
      <c r="K81" s="475"/>
      <c r="L81" s="475"/>
      <c r="M81" s="475"/>
      <c r="N81" s="475"/>
    </row>
    <row r="82" spans="2:14" x14ac:dyDescent="0.35">
      <c r="B82" s="78"/>
      <c r="D82" s="475"/>
      <c r="E82" s="475"/>
      <c r="F82" s="475"/>
      <c r="G82" s="475"/>
      <c r="H82" s="475"/>
      <c r="I82" s="475"/>
      <c r="J82" s="475"/>
      <c r="K82" s="475"/>
      <c r="L82" s="475"/>
      <c r="M82" s="475"/>
      <c r="N82" s="475"/>
    </row>
    <row r="83" spans="2:14" x14ac:dyDescent="0.35">
      <c r="D83" s="475"/>
      <c r="E83" s="475"/>
      <c r="F83" s="475"/>
      <c r="G83" s="475"/>
      <c r="H83" s="475"/>
      <c r="I83" s="475"/>
      <c r="J83" s="475"/>
      <c r="K83" s="475"/>
      <c r="L83" s="475"/>
      <c r="M83" s="475"/>
      <c r="N83" s="475"/>
    </row>
  </sheetData>
  <sheetProtection sheet="1" objects="1" scenarios="1"/>
  <customSheetViews>
    <customSheetView guid="{D0F83CC0-0361-4280-BCA4-9A92C986158B}" state="hidden">
      <pageMargins left="0.7" right="0.7" top="0.75" bottom="0.75" header="0.3" footer="0.3"/>
      <pageSetup orientation="portrait" horizontalDpi="1200" verticalDpi="1200" r:id="rId1"/>
    </customSheetView>
    <customSheetView guid="{27BAF95E-10B4-4025-9660-F5A8EBC66DC3}" state="hidden">
      <pageMargins left="0.7" right="0.7" top="0.75" bottom="0.75" header="0.3" footer="0.3"/>
      <pageSetup orientation="portrait" horizontalDpi="1200" verticalDpi="1200" r:id="rId2"/>
    </customSheetView>
  </customSheetViews>
  <mergeCells count="15">
    <mergeCell ref="C36:N38"/>
    <mergeCell ref="B8:N9"/>
    <mergeCell ref="C16:N17"/>
    <mergeCell ref="C21:N23"/>
    <mergeCell ref="C24:N25"/>
    <mergeCell ref="C30:N32"/>
    <mergeCell ref="D78:N79"/>
    <mergeCell ref="D81:N83"/>
    <mergeCell ref="B74:N76"/>
    <mergeCell ref="C46:N48"/>
    <mergeCell ref="C49:N51"/>
    <mergeCell ref="C52:N53"/>
    <mergeCell ref="C57:N59"/>
    <mergeCell ref="C60:N63"/>
    <mergeCell ref="B67:N70"/>
  </mergeCells>
  <pageMargins left="0.7" right="0.7" top="0.75" bottom="0.75" header="0.3" footer="0.3"/>
  <pageSetup orientation="portrait" horizontalDpi="1200" verticalDpi="120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8971D"/>
  </sheetPr>
  <dimension ref="A1:O76"/>
  <sheetViews>
    <sheetView workbookViewId="0">
      <selection activeCell="B20" sqref="B20:D20"/>
    </sheetView>
  </sheetViews>
  <sheetFormatPr defaultColWidth="9.1796875" defaultRowHeight="14.5" x14ac:dyDescent="0.35"/>
  <cols>
    <col min="1" max="1" width="9.54296875" customWidth="1"/>
    <col min="2" max="2" width="16" customWidth="1"/>
    <col min="3" max="3" width="22.5429687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5" width="12" customWidth="1"/>
  </cols>
  <sheetData>
    <row r="1" spans="1:15" ht="26" x14ac:dyDescent="0.6">
      <c r="A1" s="3" t="s">
        <v>774</v>
      </c>
    </row>
    <row r="2" spans="1:15" ht="21" x14ac:dyDescent="0.5">
      <c r="A2" s="2" t="s">
        <v>772</v>
      </c>
    </row>
    <row r="3" spans="1:15" ht="25" customHeight="1" x14ac:dyDescent="0.5">
      <c r="A3" s="495" t="s">
        <v>694</v>
      </c>
      <c r="B3" s="495"/>
      <c r="C3" s="495"/>
      <c r="D3" s="495"/>
      <c r="E3" s="495"/>
      <c r="F3" s="495"/>
      <c r="G3" s="495"/>
      <c r="H3" s="49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751</v>
      </c>
      <c r="C9" s="1"/>
      <c r="F9" s="118" t="str">
        <f>'Schedule 2B Adjustments'!F8</f>
        <v>Yes</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2B Adjustments'!B15:D15</f>
        <v>STEM-Ctr for Strength-AEAP</v>
      </c>
      <c r="C16" s="514"/>
      <c r="D16" s="514"/>
      <c r="F16" s="117">
        <f>'Schedule 2B Adjustments'!H15</f>
        <v>0</v>
      </c>
      <c r="G16" s="180">
        <f>'Schedule 2B Adjustments'!J15</f>
        <v>0</v>
      </c>
      <c r="H16" s="180">
        <f>SUM(F16:G16)</f>
        <v>0</v>
      </c>
      <c r="I16" s="100"/>
      <c r="J16" s="179">
        <f>'Schedule 2B Adjustments'!P15</f>
        <v>431994</v>
      </c>
      <c r="K16" s="180">
        <f>'Schedule 2B Adjustments'!R15</f>
        <v>141422.20861725084</v>
      </c>
      <c r="L16" s="68">
        <f>SUM(J16:K16)</f>
        <v>573416.2086172509</v>
      </c>
      <c r="N16" s="119">
        <f>'Schedule 2B Adjustments'!X15</f>
        <v>4.37</v>
      </c>
      <c r="O16" s="119">
        <f>'Schedule 2B Adjustments'!AA15</f>
        <v>2</v>
      </c>
    </row>
    <row r="17" spans="1:15" x14ac:dyDescent="0.35">
      <c r="A17" s="24">
        <v>2</v>
      </c>
      <c r="B17" s="514" t="str">
        <f>'Schedule 2B Adjustments'!B16:D16</f>
        <v/>
      </c>
      <c r="C17" s="514"/>
      <c r="D17" s="514"/>
      <c r="F17" s="117">
        <f>'Schedule 2B Adjustments'!H16</f>
        <v>0</v>
      </c>
      <c r="G17" s="180">
        <f>'Schedule 2B Adjustments'!J16</f>
        <v>0</v>
      </c>
      <c r="H17" s="68">
        <f t="shared" ref="H17:H73" si="0">SUM(F17:G17)</f>
        <v>0</v>
      </c>
      <c r="J17" s="179">
        <f>'Schedule 2B Adjustments'!P16</f>
        <v>0</v>
      </c>
      <c r="K17" s="180">
        <f>'Schedule 2B Adjustments'!R16</f>
        <v>0</v>
      </c>
      <c r="L17" s="68">
        <f t="shared" ref="L17:L73" si="1">SUM(J17:K17)</f>
        <v>0</v>
      </c>
      <c r="N17" s="119">
        <f>'Schedule 2B Adjustments'!X16</f>
        <v>0</v>
      </c>
      <c r="O17" s="119">
        <f>'Schedule 2B Adjustments'!AA16</f>
        <v>0</v>
      </c>
    </row>
    <row r="18" spans="1:15" x14ac:dyDescent="0.35">
      <c r="A18" s="24">
        <v>3</v>
      </c>
      <c r="B18" s="524" t="s">
        <v>1048</v>
      </c>
      <c r="C18" s="525"/>
      <c r="D18" s="526"/>
      <c r="F18" s="117">
        <f>'Schedule 2B Adjustments'!H17</f>
        <v>0</v>
      </c>
      <c r="G18" s="180">
        <f>'Schedule 2B Adjustments'!J17</f>
        <v>0</v>
      </c>
      <c r="H18" s="68">
        <f t="shared" si="0"/>
        <v>0</v>
      </c>
      <c r="J18" s="179">
        <f>'Schedule 2B Adjustments'!P17</f>
        <v>312084</v>
      </c>
      <c r="K18" s="180">
        <f>'Schedule 2B Adjustments'!R17</f>
        <v>102167.17953051689</v>
      </c>
      <c r="L18" s="68">
        <f t="shared" si="1"/>
        <v>414251.17953051691</v>
      </c>
      <c r="N18" s="119">
        <f>'Schedule 2B Adjustments'!X17</f>
        <v>3</v>
      </c>
      <c r="O18" s="119">
        <f>'Schedule 2B Adjustments'!AA17</f>
        <v>0</v>
      </c>
    </row>
    <row r="19" spans="1:15" x14ac:dyDescent="0.35">
      <c r="A19" s="24">
        <v>4</v>
      </c>
      <c r="B19" s="527" t="str">
        <f>'Schedule 2B Adjustments'!B18:D18</f>
        <v/>
      </c>
      <c r="C19" s="527"/>
      <c r="D19" s="527"/>
      <c r="F19" s="117">
        <f>'Schedule 2B Adjustments'!H18</f>
        <v>0</v>
      </c>
      <c r="G19" s="180">
        <f>'Schedule 2B Adjustments'!J18</f>
        <v>0</v>
      </c>
      <c r="H19" s="68">
        <f t="shared" si="0"/>
        <v>0</v>
      </c>
      <c r="J19" s="179">
        <f>'Schedule 2B Adjustments'!P18</f>
        <v>0</v>
      </c>
      <c r="K19" s="180">
        <f>'Schedule 2B Adjustments'!R18</f>
        <v>0</v>
      </c>
      <c r="L19" s="68">
        <f t="shared" si="1"/>
        <v>0</v>
      </c>
      <c r="N19" s="119">
        <f>'Schedule 2B Adjustments'!X18</f>
        <v>0</v>
      </c>
      <c r="O19" s="119">
        <f>'Schedule 2B Adjustments'!AA18</f>
        <v>0</v>
      </c>
    </row>
    <row r="20" spans="1:15" x14ac:dyDescent="0.35">
      <c r="A20" s="24">
        <v>5</v>
      </c>
      <c r="B20" s="524" t="s">
        <v>1032</v>
      </c>
      <c r="C20" s="525"/>
      <c r="D20" s="526"/>
      <c r="F20" s="117">
        <f>'Schedule 2B Adjustments'!H19</f>
        <v>0</v>
      </c>
      <c r="G20" s="180">
        <f>'Schedule 2B Adjustments'!J19</f>
        <v>0</v>
      </c>
      <c r="H20" s="68">
        <f t="shared" si="0"/>
        <v>0</v>
      </c>
      <c r="J20" s="179">
        <f>'Schedule 2B Adjustments'!P19</f>
        <v>216523</v>
      </c>
      <c r="K20" s="180">
        <f>'Schedule 2B Adjustments'!R19</f>
        <v>70883.301333891228</v>
      </c>
      <c r="L20" s="68">
        <f t="shared" si="1"/>
        <v>287406.30133389123</v>
      </c>
      <c r="N20" s="119">
        <f>'Schedule 2B Adjustments'!X19</f>
        <v>0</v>
      </c>
      <c r="O20" s="119">
        <f>'Schedule 2B Adjustments'!AA19</f>
        <v>0</v>
      </c>
    </row>
    <row r="21" spans="1:15" x14ac:dyDescent="0.35">
      <c r="A21" s="24">
        <v>6</v>
      </c>
      <c r="B21" s="514" t="str">
        <f>'Schedule 2B Adjustments'!B20:D20</f>
        <v/>
      </c>
      <c r="C21" s="514"/>
      <c r="D21" s="514"/>
      <c r="F21" s="117">
        <f>'Schedule 2B Adjustments'!H20</f>
        <v>0</v>
      </c>
      <c r="G21" s="180">
        <f>'Schedule 2B Adjustments'!J20</f>
        <v>0</v>
      </c>
      <c r="H21" s="68">
        <f t="shared" si="0"/>
        <v>0</v>
      </c>
      <c r="J21" s="179">
        <f>'Schedule 2B Adjustments'!P20</f>
        <v>0</v>
      </c>
      <c r="K21" s="180">
        <f>'Schedule 2B Adjustments'!R20</f>
        <v>0</v>
      </c>
      <c r="L21" s="68">
        <f t="shared" si="1"/>
        <v>0</v>
      </c>
      <c r="N21" s="119">
        <f>'Schedule 2B Adjustments'!X20</f>
        <v>0</v>
      </c>
      <c r="O21" s="119">
        <f>'Schedule 2B Adjustments'!AA20</f>
        <v>0</v>
      </c>
    </row>
    <row r="22" spans="1:15" x14ac:dyDescent="0.35">
      <c r="A22" s="24">
        <v>7</v>
      </c>
      <c r="B22" s="514" t="str">
        <f>'Schedule 2B Adjustments'!B21:D21</f>
        <v/>
      </c>
      <c r="C22" s="514"/>
      <c r="D22" s="514"/>
      <c r="F22" s="117">
        <f>'Schedule 2B Adjustments'!H21</f>
        <v>0</v>
      </c>
      <c r="G22" s="180">
        <f>'Schedule 2B Adjustments'!J21</f>
        <v>0</v>
      </c>
      <c r="H22" s="68">
        <f t="shared" si="0"/>
        <v>0</v>
      </c>
      <c r="J22" s="179">
        <f>'Schedule 2B Adjustments'!P21</f>
        <v>0</v>
      </c>
      <c r="K22" s="180">
        <f>'Schedule 2B Adjustments'!R21</f>
        <v>0</v>
      </c>
      <c r="L22" s="68">
        <f t="shared" si="1"/>
        <v>0</v>
      </c>
      <c r="N22" s="119">
        <f>'Schedule 2B Adjustments'!X21</f>
        <v>0</v>
      </c>
      <c r="O22" s="119">
        <f>'Schedule 2B Adjustments'!AA21</f>
        <v>0</v>
      </c>
    </row>
    <row r="23" spans="1:15" x14ac:dyDescent="0.35">
      <c r="A23" s="24">
        <v>8</v>
      </c>
      <c r="B23" s="514" t="str">
        <f>'Schedule 2B Adjustments'!B22:D22</f>
        <v/>
      </c>
      <c r="C23" s="514"/>
      <c r="D23" s="514"/>
      <c r="F23" s="117">
        <f>'Schedule 2B Adjustments'!H22</f>
        <v>0</v>
      </c>
      <c r="G23" s="180">
        <f>'Schedule 2B Adjustments'!J22</f>
        <v>0</v>
      </c>
      <c r="H23" s="68">
        <f t="shared" si="0"/>
        <v>0</v>
      </c>
      <c r="J23" s="179">
        <f>'Schedule 2B Adjustments'!P22</f>
        <v>0</v>
      </c>
      <c r="K23" s="180">
        <f>'Schedule 2B Adjustments'!R22</f>
        <v>0</v>
      </c>
      <c r="L23" s="68">
        <f t="shared" si="1"/>
        <v>0</v>
      </c>
      <c r="N23" s="119">
        <f>'Schedule 2B Adjustments'!X22</f>
        <v>0</v>
      </c>
      <c r="O23" s="119">
        <f>'Schedule 2B Adjustments'!AA22</f>
        <v>0</v>
      </c>
    </row>
    <row r="24" spans="1:15" x14ac:dyDescent="0.35">
      <c r="A24" s="24">
        <v>9</v>
      </c>
      <c r="B24" s="514" t="str">
        <f>'Schedule 2B Adjustments'!B23:D23</f>
        <v/>
      </c>
      <c r="C24" s="514"/>
      <c r="D24" s="514"/>
      <c r="F24" s="117">
        <f>'Schedule 2B Adjustments'!H23</f>
        <v>0</v>
      </c>
      <c r="G24" s="180">
        <f>'Schedule 2B Adjustments'!J23</f>
        <v>0</v>
      </c>
      <c r="H24" s="68">
        <f t="shared" si="0"/>
        <v>0</v>
      </c>
      <c r="J24" s="179">
        <f>'Schedule 2B Adjustments'!P23</f>
        <v>0</v>
      </c>
      <c r="K24" s="180">
        <f>'Schedule 2B Adjustments'!R23</f>
        <v>0</v>
      </c>
      <c r="L24" s="68">
        <f t="shared" si="1"/>
        <v>0</v>
      </c>
      <c r="N24" s="119">
        <f>'Schedule 2B Adjustments'!X23</f>
        <v>0</v>
      </c>
      <c r="O24" s="119">
        <f>'Schedule 2B Adjustments'!AA23</f>
        <v>0</v>
      </c>
    </row>
    <row r="25" spans="1:15" x14ac:dyDescent="0.35">
      <c r="A25" s="24">
        <v>10</v>
      </c>
      <c r="B25" s="514" t="str">
        <f>'Schedule 2B Adjustments'!B24:D24</f>
        <v/>
      </c>
      <c r="C25" s="514"/>
      <c r="D25" s="514"/>
      <c r="F25" s="117">
        <f>'Schedule 2B Adjustments'!H24</f>
        <v>0</v>
      </c>
      <c r="G25" s="180">
        <f>'Schedule 2B Adjustments'!J24</f>
        <v>0</v>
      </c>
      <c r="H25" s="68">
        <f t="shared" si="0"/>
        <v>0</v>
      </c>
      <c r="J25" s="179">
        <f>'Schedule 2B Adjustments'!P24</f>
        <v>0</v>
      </c>
      <c r="K25" s="180">
        <f>'Schedule 2B Adjustments'!R24</f>
        <v>0</v>
      </c>
      <c r="L25" s="68">
        <f t="shared" si="1"/>
        <v>0</v>
      </c>
      <c r="N25" s="119">
        <f>'Schedule 2B Adjustments'!X24</f>
        <v>0</v>
      </c>
      <c r="O25" s="119">
        <f>'Schedule 2B Adjustments'!AA24</f>
        <v>0</v>
      </c>
    </row>
    <row r="26" spans="1:15" x14ac:dyDescent="0.35">
      <c r="A26" s="24">
        <v>11</v>
      </c>
      <c r="B26" s="514" t="str">
        <f>'Schedule 2B Adjustments'!B25:D25</f>
        <v/>
      </c>
      <c r="C26" s="514"/>
      <c r="D26" s="514"/>
      <c r="F26" s="117">
        <f>'Schedule 2B Adjustments'!H25</f>
        <v>0</v>
      </c>
      <c r="G26" s="180">
        <f>'Schedule 2B Adjustments'!J25</f>
        <v>0</v>
      </c>
      <c r="H26" s="68">
        <f t="shared" si="0"/>
        <v>0</v>
      </c>
      <c r="J26" s="179">
        <f>'Schedule 2B Adjustments'!P25</f>
        <v>0</v>
      </c>
      <c r="K26" s="180">
        <f>'Schedule 2B Adjustments'!R25</f>
        <v>0</v>
      </c>
      <c r="L26" s="68">
        <f t="shared" si="1"/>
        <v>0</v>
      </c>
      <c r="N26" s="119">
        <f>'Schedule 2B Adjustments'!X25</f>
        <v>0</v>
      </c>
      <c r="O26" s="119">
        <f>'Schedule 2B Adjustments'!AA25</f>
        <v>0</v>
      </c>
    </row>
    <row r="27" spans="1:15" x14ac:dyDescent="0.35">
      <c r="A27" s="24">
        <v>12</v>
      </c>
      <c r="B27" s="514" t="str">
        <f>'Schedule 2B Adjustments'!B26:D26</f>
        <v/>
      </c>
      <c r="C27" s="514"/>
      <c r="D27" s="514"/>
      <c r="F27" s="117">
        <f>'Schedule 2B Adjustments'!H26</f>
        <v>0</v>
      </c>
      <c r="G27" s="180">
        <f>'Schedule 2B Adjustments'!J26</f>
        <v>0</v>
      </c>
      <c r="H27" s="68">
        <f t="shared" si="0"/>
        <v>0</v>
      </c>
      <c r="J27" s="179">
        <f>'Schedule 2B Adjustments'!P26</f>
        <v>0</v>
      </c>
      <c r="K27" s="180">
        <f>'Schedule 2B Adjustments'!R26</f>
        <v>0</v>
      </c>
      <c r="L27" s="68">
        <f t="shared" si="1"/>
        <v>0</v>
      </c>
      <c r="N27" s="119">
        <f>'Schedule 2B Adjustments'!X26</f>
        <v>0</v>
      </c>
      <c r="O27" s="119">
        <f>'Schedule 2B Adjustments'!AA26</f>
        <v>0</v>
      </c>
    </row>
    <row r="28" spans="1:15" x14ac:dyDescent="0.35">
      <c r="A28" s="24">
        <v>13</v>
      </c>
      <c r="B28" s="514" t="str">
        <f>'Schedule 2B Adjustments'!B27:D27</f>
        <v/>
      </c>
      <c r="C28" s="514"/>
      <c r="D28" s="514"/>
      <c r="F28" s="117">
        <f>'Schedule 2B Adjustments'!H27</f>
        <v>0</v>
      </c>
      <c r="G28" s="180">
        <f>'Schedule 2B Adjustments'!J27</f>
        <v>0</v>
      </c>
      <c r="H28" s="68">
        <f t="shared" si="0"/>
        <v>0</v>
      </c>
      <c r="J28" s="179">
        <f>'Schedule 2B Adjustments'!P27</f>
        <v>0</v>
      </c>
      <c r="K28" s="180">
        <f>'Schedule 2B Adjustments'!R27</f>
        <v>0</v>
      </c>
      <c r="L28" s="68">
        <f t="shared" si="1"/>
        <v>0</v>
      </c>
      <c r="N28" s="119">
        <f>'Schedule 2B Adjustments'!X27</f>
        <v>0</v>
      </c>
      <c r="O28" s="119">
        <f>'Schedule 2B Adjustments'!AA27</f>
        <v>0</v>
      </c>
    </row>
    <row r="29" spans="1:15" x14ac:dyDescent="0.35">
      <c r="A29" s="24">
        <v>14</v>
      </c>
      <c r="B29" s="514" t="str">
        <f>'Schedule 2B Adjustments'!B28:D28</f>
        <v/>
      </c>
      <c r="C29" s="514"/>
      <c r="D29" s="514"/>
      <c r="F29" s="117">
        <f>'Schedule 2B Adjustments'!H28</f>
        <v>0</v>
      </c>
      <c r="G29" s="180">
        <f>'Schedule 2B Adjustments'!J28</f>
        <v>0</v>
      </c>
      <c r="H29" s="68">
        <f t="shared" si="0"/>
        <v>0</v>
      </c>
      <c r="J29" s="179">
        <f>'Schedule 2B Adjustments'!P28</f>
        <v>0</v>
      </c>
      <c r="K29" s="180">
        <f>'Schedule 2B Adjustments'!R28</f>
        <v>0</v>
      </c>
      <c r="L29" s="68">
        <f t="shared" si="1"/>
        <v>0</v>
      </c>
      <c r="N29" s="119">
        <f>'Schedule 2B Adjustments'!X28</f>
        <v>0</v>
      </c>
      <c r="O29" s="119">
        <f>'Schedule 2B Adjustments'!AA28</f>
        <v>0</v>
      </c>
    </row>
    <row r="30" spans="1:15" x14ac:dyDescent="0.35">
      <c r="A30" s="24">
        <v>15</v>
      </c>
      <c r="B30" s="514" t="str">
        <f>'Schedule 2B Adjustments'!B29:D29</f>
        <v/>
      </c>
      <c r="C30" s="514"/>
      <c r="D30" s="514"/>
      <c r="F30" s="117">
        <f>'Schedule 2B Adjustments'!H29</f>
        <v>0</v>
      </c>
      <c r="G30" s="180">
        <f>'Schedule 2B Adjustments'!J29</f>
        <v>0</v>
      </c>
      <c r="H30" s="68">
        <f t="shared" si="0"/>
        <v>0</v>
      </c>
      <c r="J30" s="179">
        <f>'Schedule 2B Adjustments'!P29</f>
        <v>0</v>
      </c>
      <c r="K30" s="180">
        <f>'Schedule 2B Adjustments'!R29</f>
        <v>0</v>
      </c>
      <c r="L30" s="68">
        <f t="shared" si="1"/>
        <v>0</v>
      </c>
      <c r="N30" s="119">
        <f>'Schedule 2B Adjustments'!X29</f>
        <v>0</v>
      </c>
      <c r="O30" s="119">
        <f>'Schedule 2B Adjustments'!AA29</f>
        <v>0</v>
      </c>
    </row>
    <row r="31" spans="1:15" x14ac:dyDescent="0.35">
      <c r="A31" s="24">
        <v>16</v>
      </c>
      <c r="B31" s="514" t="str">
        <f>'Schedule 2B Adjustments'!B30:D30</f>
        <v/>
      </c>
      <c r="C31" s="514"/>
      <c r="D31" s="514"/>
      <c r="F31" s="117">
        <f>'Schedule 2B Adjustments'!H30</f>
        <v>0</v>
      </c>
      <c r="G31" s="180">
        <f>'Schedule 2B Adjustments'!J30</f>
        <v>0</v>
      </c>
      <c r="H31" s="68">
        <f t="shared" si="0"/>
        <v>0</v>
      </c>
      <c r="J31" s="179">
        <f>'Schedule 2B Adjustments'!P30</f>
        <v>0</v>
      </c>
      <c r="K31" s="180">
        <f>'Schedule 2B Adjustments'!R30</f>
        <v>0</v>
      </c>
      <c r="L31" s="68">
        <f t="shared" si="1"/>
        <v>0</v>
      </c>
      <c r="N31" s="119">
        <f>'Schedule 2B Adjustments'!X30</f>
        <v>0</v>
      </c>
      <c r="O31" s="119">
        <f>'Schedule 2B Adjustments'!AA30</f>
        <v>0</v>
      </c>
    </row>
    <row r="32" spans="1:15" x14ac:dyDescent="0.35">
      <c r="A32" s="24">
        <v>17</v>
      </c>
      <c r="B32" s="514" t="str">
        <f>'Schedule 2B Adjustments'!B31:D31</f>
        <v/>
      </c>
      <c r="C32" s="514"/>
      <c r="D32" s="514"/>
      <c r="F32" s="117">
        <f>'Schedule 2B Adjustments'!H31</f>
        <v>0</v>
      </c>
      <c r="G32" s="180">
        <f>'Schedule 2B Adjustments'!J31</f>
        <v>0</v>
      </c>
      <c r="H32" s="68">
        <f t="shared" si="0"/>
        <v>0</v>
      </c>
      <c r="J32" s="179">
        <f>'Schedule 2B Adjustments'!P31</f>
        <v>0</v>
      </c>
      <c r="K32" s="180">
        <f>'Schedule 2B Adjustments'!R31</f>
        <v>0</v>
      </c>
      <c r="L32" s="68">
        <f t="shared" si="1"/>
        <v>0</v>
      </c>
      <c r="N32" s="119">
        <f>'Schedule 2B Adjustments'!X31</f>
        <v>0</v>
      </c>
      <c r="O32" s="119">
        <f>'Schedule 2B Adjustments'!AA31</f>
        <v>0</v>
      </c>
    </row>
    <row r="33" spans="1:15" x14ac:dyDescent="0.35">
      <c r="A33" s="24">
        <v>18</v>
      </c>
      <c r="B33" s="514" t="str">
        <f>'Schedule 2B Adjustments'!B32:D32</f>
        <v/>
      </c>
      <c r="C33" s="514"/>
      <c r="D33" s="514"/>
      <c r="F33" s="117">
        <f>'Schedule 2B Adjustments'!H32</f>
        <v>0</v>
      </c>
      <c r="G33" s="180">
        <f>'Schedule 2B Adjustments'!J32</f>
        <v>0</v>
      </c>
      <c r="H33" s="68">
        <f t="shared" si="0"/>
        <v>0</v>
      </c>
      <c r="J33" s="179">
        <f>'Schedule 2B Adjustments'!P32</f>
        <v>0</v>
      </c>
      <c r="K33" s="180">
        <f>'Schedule 2B Adjustments'!R32</f>
        <v>0</v>
      </c>
      <c r="L33" s="68">
        <f t="shared" si="1"/>
        <v>0</v>
      </c>
      <c r="N33" s="119">
        <f>'Schedule 2B Adjustments'!X32</f>
        <v>0</v>
      </c>
      <c r="O33" s="119">
        <f>'Schedule 2B Adjustments'!AA32</f>
        <v>0</v>
      </c>
    </row>
    <row r="34" spans="1:15" x14ac:dyDescent="0.35">
      <c r="A34" s="24">
        <v>19</v>
      </c>
      <c r="B34" s="514" t="str">
        <f>'Schedule 2B Adjustments'!B33:D33</f>
        <v/>
      </c>
      <c r="C34" s="514"/>
      <c r="D34" s="514"/>
      <c r="F34" s="117">
        <f>'Schedule 2B Adjustments'!H33</f>
        <v>0</v>
      </c>
      <c r="G34" s="180">
        <f>'Schedule 2B Adjustments'!J33</f>
        <v>0</v>
      </c>
      <c r="H34" s="68">
        <f t="shared" si="0"/>
        <v>0</v>
      </c>
      <c r="J34" s="179">
        <f>'Schedule 2B Adjustments'!P33</f>
        <v>0</v>
      </c>
      <c r="K34" s="180">
        <f>'Schedule 2B Adjustments'!R33</f>
        <v>0</v>
      </c>
      <c r="L34" s="68">
        <f t="shared" si="1"/>
        <v>0</v>
      </c>
      <c r="N34" s="119">
        <f>'Schedule 2B Adjustments'!X33</f>
        <v>0</v>
      </c>
      <c r="O34" s="119">
        <f>'Schedule 2B Adjustments'!AA33</f>
        <v>0</v>
      </c>
    </row>
    <row r="35" spans="1:15" x14ac:dyDescent="0.35">
      <c r="A35" s="24">
        <v>20</v>
      </c>
      <c r="B35" s="514" t="str">
        <f>'Schedule 2B Adjustments'!B34:D34</f>
        <v/>
      </c>
      <c r="C35" s="514"/>
      <c r="D35" s="514"/>
      <c r="F35" s="117">
        <f>'Schedule 2B Adjustments'!H34</f>
        <v>0</v>
      </c>
      <c r="G35" s="180">
        <f>'Schedule 2B Adjustments'!J34</f>
        <v>0</v>
      </c>
      <c r="H35" s="68">
        <f t="shared" si="0"/>
        <v>0</v>
      </c>
      <c r="J35" s="179">
        <f>'Schedule 2B Adjustments'!P34</f>
        <v>0</v>
      </c>
      <c r="K35" s="180">
        <f>'Schedule 2B Adjustments'!R34</f>
        <v>0</v>
      </c>
      <c r="L35" s="68">
        <f t="shared" si="1"/>
        <v>0</v>
      </c>
      <c r="N35" s="119">
        <f>'Schedule 2B Adjustments'!X34</f>
        <v>0</v>
      </c>
      <c r="O35" s="119">
        <f>'Schedule 2B Adjustments'!AA34</f>
        <v>0</v>
      </c>
    </row>
    <row r="36" spans="1:15" x14ac:dyDescent="0.35">
      <c r="A36" s="24">
        <v>21</v>
      </c>
      <c r="B36" s="514" t="str">
        <f>'Schedule 2B Adjustments'!B35:D35</f>
        <v/>
      </c>
      <c r="C36" s="514"/>
      <c r="D36" s="514"/>
      <c r="F36" s="117">
        <f>'Schedule 2B Adjustments'!H35</f>
        <v>0</v>
      </c>
      <c r="G36" s="180">
        <f>'Schedule 2B Adjustments'!J35</f>
        <v>0</v>
      </c>
      <c r="H36" s="68">
        <f t="shared" si="0"/>
        <v>0</v>
      </c>
      <c r="J36" s="179">
        <f>'Schedule 2B Adjustments'!P35</f>
        <v>0</v>
      </c>
      <c r="K36" s="180">
        <f>'Schedule 2B Adjustments'!R35</f>
        <v>0</v>
      </c>
      <c r="L36" s="68">
        <f t="shared" si="1"/>
        <v>0</v>
      </c>
      <c r="N36" s="119">
        <f>'Schedule 2B Adjustments'!X35</f>
        <v>0</v>
      </c>
      <c r="O36" s="119">
        <f>'Schedule 2B Adjustments'!AA35</f>
        <v>0</v>
      </c>
    </row>
    <row r="37" spans="1:15" x14ac:dyDescent="0.35">
      <c r="A37" s="24">
        <v>22</v>
      </c>
      <c r="B37" s="514" t="str">
        <f>'Schedule 2B Adjustments'!B36:D36</f>
        <v/>
      </c>
      <c r="C37" s="514"/>
      <c r="D37" s="514"/>
      <c r="F37" s="117">
        <f>'Schedule 2B Adjustments'!H36</f>
        <v>0</v>
      </c>
      <c r="G37" s="180">
        <f>'Schedule 2B Adjustments'!J36</f>
        <v>0</v>
      </c>
      <c r="H37" s="68">
        <f t="shared" si="0"/>
        <v>0</v>
      </c>
      <c r="J37" s="179">
        <f>'Schedule 2B Adjustments'!P36</f>
        <v>0</v>
      </c>
      <c r="K37" s="180">
        <f>'Schedule 2B Adjustments'!R36</f>
        <v>0</v>
      </c>
      <c r="L37" s="68">
        <f t="shared" si="1"/>
        <v>0</v>
      </c>
      <c r="N37" s="119">
        <f>'Schedule 2B Adjustments'!X36</f>
        <v>0</v>
      </c>
      <c r="O37" s="119">
        <f>'Schedule 2B Adjustments'!AA36</f>
        <v>0</v>
      </c>
    </row>
    <row r="38" spans="1:15" x14ac:dyDescent="0.35">
      <c r="A38" s="24">
        <v>23</v>
      </c>
      <c r="B38" s="514" t="str">
        <f>'Schedule 2B Adjustments'!B37:D37</f>
        <v/>
      </c>
      <c r="C38" s="514"/>
      <c r="D38" s="514"/>
      <c r="F38" s="117">
        <f>'Schedule 2B Adjustments'!H37</f>
        <v>0</v>
      </c>
      <c r="G38" s="180">
        <f>'Schedule 2B Adjustments'!J37</f>
        <v>0</v>
      </c>
      <c r="H38" s="68">
        <f t="shared" si="0"/>
        <v>0</v>
      </c>
      <c r="J38" s="179">
        <f>'Schedule 2B Adjustments'!P37</f>
        <v>0</v>
      </c>
      <c r="K38" s="180">
        <f>'Schedule 2B Adjustments'!R37</f>
        <v>0</v>
      </c>
      <c r="L38" s="68">
        <f t="shared" si="1"/>
        <v>0</v>
      </c>
      <c r="N38" s="119">
        <f>'Schedule 2B Adjustments'!X37</f>
        <v>0</v>
      </c>
      <c r="O38" s="119">
        <f>'Schedule 2B Adjustments'!AA37</f>
        <v>0</v>
      </c>
    </row>
    <row r="39" spans="1:15" x14ac:dyDescent="0.35">
      <c r="A39" s="24">
        <v>24</v>
      </c>
      <c r="B39" s="514" t="str">
        <f>'Schedule 2B Adjustments'!B38:D38</f>
        <v/>
      </c>
      <c r="C39" s="514"/>
      <c r="D39" s="514"/>
      <c r="F39" s="117">
        <f>'Schedule 2B Adjustments'!H38</f>
        <v>0</v>
      </c>
      <c r="G39" s="180">
        <f>'Schedule 2B Adjustments'!J38</f>
        <v>0</v>
      </c>
      <c r="H39" s="68">
        <f t="shared" si="0"/>
        <v>0</v>
      </c>
      <c r="J39" s="179">
        <f>'Schedule 2B Adjustments'!P38</f>
        <v>0</v>
      </c>
      <c r="K39" s="180">
        <f>'Schedule 2B Adjustments'!R38</f>
        <v>0</v>
      </c>
      <c r="L39" s="68">
        <f t="shared" si="1"/>
        <v>0</v>
      </c>
      <c r="N39" s="119">
        <f>'Schedule 2B Adjustments'!X38</f>
        <v>0</v>
      </c>
      <c r="O39" s="119">
        <f>'Schedule 2B Adjustments'!AA38</f>
        <v>0</v>
      </c>
    </row>
    <row r="40" spans="1:15" x14ac:dyDescent="0.35">
      <c r="A40" s="24">
        <v>25</v>
      </c>
      <c r="B40" s="514" t="str">
        <f>'Schedule 2B Adjustments'!B39:D39</f>
        <v/>
      </c>
      <c r="C40" s="514"/>
      <c r="D40" s="514"/>
      <c r="F40" s="117">
        <f>'Schedule 2B Adjustments'!H39</f>
        <v>0</v>
      </c>
      <c r="G40" s="180">
        <f>'Schedule 2B Adjustments'!J39</f>
        <v>0</v>
      </c>
      <c r="H40" s="68">
        <f t="shared" si="0"/>
        <v>0</v>
      </c>
      <c r="J40" s="179">
        <f>'Schedule 2B Adjustments'!P39</f>
        <v>0</v>
      </c>
      <c r="K40" s="180">
        <f>'Schedule 2B Adjustments'!R39</f>
        <v>0</v>
      </c>
      <c r="L40" s="68">
        <f t="shared" si="1"/>
        <v>0</v>
      </c>
      <c r="N40" s="119">
        <f>'Schedule 2B Adjustments'!X39</f>
        <v>0</v>
      </c>
      <c r="O40" s="119">
        <f>'Schedule 2B Adjustments'!AA39</f>
        <v>0</v>
      </c>
    </row>
    <row r="41" spans="1:15" x14ac:dyDescent="0.35">
      <c r="A41" s="24">
        <v>26</v>
      </c>
      <c r="B41" s="514" t="str">
        <f>'Schedule 2B Adjustments'!B40:D40</f>
        <v/>
      </c>
      <c r="C41" s="514"/>
      <c r="D41" s="514"/>
      <c r="F41" s="117">
        <f>'Schedule 2B Adjustments'!H40</f>
        <v>0</v>
      </c>
      <c r="G41" s="180">
        <f>'Schedule 2B Adjustments'!J40</f>
        <v>0</v>
      </c>
      <c r="H41" s="68">
        <f t="shared" si="0"/>
        <v>0</v>
      </c>
      <c r="J41" s="179">
        <f>'Schedule 2B Adjustments'!P40</f>
        <v>0</v>
      </c>
      <c r="K41" s="180">
        <f>'Schedule 2B Adjustments'!R40</f>
        <v>0</v>
      </c>
      <c r="L41" s="68">
        <f t="shared" si="1"/>
        <v>0</v>
      </c>
      <c r="N41" s="119">
        <f>'Schedule 2B Adjustments'!X40</f>
        <v>0</v>
      </c>
      <c r="O41" s="119">
        <f>'Schedule 2B Adjustments'!AA40</f>
        <v>0</v>
      </c>
    </row>
    <row r="42" spans="1:15" x14ac:dyDescent="0.35">
      <c r="A42" s="24">
        <v>27</v>
      </c>
      <c r="B42" s="514" t="str">
        <f>'Schedule 2B Adjustments'!B41:D41</f>
        <v/>
      </c>
      <c r="C42" s="514"/>
      <c r="D42" s="514"/>
      <c r="F42" s="117">
        <f>'Schedule 2B Adjustments'!H41</f>
        <v>0</v>
      </c>
      <c r="G42" s="180">
        <f>'Schedule 2B Adjustments'!J41</f>
        <v>0</v>
      </c>
      <c r="H42" s="68">
        <f t="shared" si="0"/>
        <v>0</v>
      </c>
      <c r="J42" s="179">
        <f>'Schedule 2B Adjustments'!P41</f>
        <v>0</v>
      </c>
      <c r="K42" s="180">
        <f>'Schedule 2B Adjustments'!R41</f>
        <v>0</v>
      </c>
      <c r="L42" s="68">
        <f t="shared" si="1"/>
        <v>0</v>
      </c>
      <c r="N42" s="119">
        <f>'Schedule 2B Adjustments'!X41</f>
        <v>0</v>
      </c>
      <c r="O42" s="119">
        <f>'Schedule 2B Adjustments'!AA41</f>
        <v>0</v>
      </c>
    </row>
    <row r="43" spans="1:15" x14ac:dyDescent="0.35">
      <c r="A43" s="24">
        <v>28</v>
      </c>
      <c r="B43" s="514" t="str">
        <f>'Schedule 2B Adjustments'!B42:D42</f>
        <v/>
      </c>
      <c r="C43" s="514"/>
      <c r="D43" s="514"/>
      <c r="F43" s="117">
        <f>'Schedule 2B Adjustments'!H42</f>
        <v>0</v>
      </c>
      <c r="G43" s="180">
        <f>'Schedule 2B Adjustments'!J42</f>
        <v>0</v>
      </c>
      <c r="H43" s="68">
        <f t="shared" si="0"/>
        <v>0</v>
      </c>
      <c r="J43" s="179">
        <f>'Schedule 2B Adjustments'!P42</f>
        <v>0</v>
      </c>
      <c r="K43" s="180">
        <f>'Schedule 2B Adjustments'!R42</f>
        <v>0</v>
      </c>
      <c r="L43" s="68">
        <f t="shared" si="1"/>
        <v>0</v>
      </c>
      <c r="N43" s="119">
        <f>'Schedule 2B Adjustments'!X42</f>
        <v>0</v>
      </c>
      <c r="O43" s="119">
        <f>'Schedule 2B Adjustments'!AA42</f>
        <v>0</v>
      </c>
    </row>
    <row r="44" spans="1:15" x14ac:dyDescent="0.35">
      <c r="A44" s="24">
        <v>29</v>
      </c>
      <c r="B44" s="514" t="str">
        <f>'Schedule 2B Adjustments'!B43:D43</f>
        <v/>
      </c>
      <c r="C44" s="514"/>
      <c r="D44" s="514"/>
      <c r="F44" s="117">
        <f>'Schedule 2B Adjustments'!H43</f>
        <v>0</v>
      </c>
      <c r="G44" s="180">
        <f>'Schedule 2B Adjustments'!J43</f>
        <v>0</v>
      </c>
      <c r="H44" s="68">
        <f t="shared" si="0"/>
        <v>0</v>
      </c>
      <c r="J44" s="179">
        <f>'Schedule 2B Adjustments'!P43</f>
        <v>0</v>
      </c>
      <c r="K44" s="180">
        <f>'Schedule 2B Adjustments'!R43</f>
        <v>0</v>
      </c>
      <c r="L44" s="68">
        <f t="shared" si="1"/>
        <v>0</v>
      </c>
      <c r="N44" s="119">
        <f>'Schedule 2B Adjustments'!X43</f>
        <v>0</v>
      </c>
      <c r="O44" s="119">
        <f>'Schedule 2B Adjustments'!AA43</f>
        <v>0</v>
      </c>
    </row>
    <row r="45" spans="1:15" x14ac:dyDescent="0.35">
      <c r="A45" s="24">
        <v>30</v>
      </c>
      <c r="B45" s="514" t="str">
        <f>'Schedule 2B Adjustments'!B44:D44</f>
        <v/>
      </c>
      <c r="C45" s="514"/>
      <c r="D45" s="514"/>
      <c r="F45" s="117">
        <f>'Schedule 2B Adjustments'!H44</f>
        <v>0</v>
      </c>
      <c r="G45" s="180">
        <f>'Schedule 2B Adjustments'!J44</f>
        <v>0</v>
      </c>
      <c r="H45" s="68">
        <f t="shared" si="0"/>
        <v>0</v>
      </c>
      <c r="J45" s="179">
        <f>'Schedule 2B Adjustments'!P44</f>
        <v>0</v>
      </c>
      <c r="K45" s="180">
        <f>'Schedule 2B Adjustments'!R44</f>
        <v>0</v>
      </c>
      <c r="L45" s="68">
        <f t="shared" si="1"/>
        <v>0</v>
      </c>
      <c r="N45" s="119">
        <f>'Schedule 2B Adjustments'!X44</f>
        <v>0</v>
      </c>
      <c r="O45" s="119">
        <f>'Schedule 2B Adjustments'!AA44</f>
        <v>0</v>
      </c>
    </row>
    <row r="46" spans="1:15" x14ac:dyDescent="0.35">
      <c r="A46" s="24">
        <v>31</v>
      </c>
      <c r="B46" s="514" t="str">
        <f>'Schedule 2B Adjustments'!B45:D45</f>
        <v/>
      </c>
      <c r="C46" s="514"/>
      <c r="D46" s="514"/>
      <c r="F46" s="117">
        <f>'Schedule 2B Adjustments'!H45</f>
        <v>0</v>
      </c>
      <c r="G46" s="180">
        <f>'Schedule 2B Adjustments'!J45</f>
        <v>0</v>
      </c>
      <c r="H46" s="68">
        <f t="shared" si="0"/>
        <v>0</v>
      </c>
      <c r="J46" s="179">
        <f>'Schedule 2B Adjustments'!P45</f>
        <v>0</v>
      </c>
      <c r="K46" s="180">
        <f>'Schedule 2B Adjustments'!R45</f>
        <v>0</v>
      </c>
      <c r="L46" s="68">
        <f t="shared" si="1"/>
        <v>0</v>
      </c>
      <c r="N46" s="119">
        <f>'Schedule 2B Adjustments'!X45</f>
        <v>0</v>
      </c>
      <c r="O46" s="119">
        <f>'Schedule 2B Adjustments'!AA45</f>
        <v>0</v>
      </c>
    </row>
    <row r="47" spans="1:15" x14ac:dyDescent="0.35">
      <c r="A47" s="24">
        <v>32</v>
      </c>
      <c r="B47" s="514" t="str">
        <f>'Schedule 2B Adjustments'!B46:D46</f>
        <v/>
      </c>
      <c r="C47" s="514"/>
      <c r="D47" s="514"/>
      <c r="F47" s="117">
        <f>'Schedule 2B Adjustments'!H46</f>
        <v>0</v>
      </c>
      <c r="G47" s="180">
        <f>'Schedule 2B Adjustments'!J46</f>
        <v>0</v>
      </c>
      <c r="H47" s="68">
        <f t="shared" si="0"/>
        <v>0</v>
      </c>
      <c r="J47" s="179">
        <f>'Schedule 2B Adjustments'!P46</f>
        <v>0</v>
      </c>
      <c r="K47" s="180">
        <f>'Schedule 2B Adjustments'!R46</f>
        <v>0</v>
      </c>
      <c r="L47" s="68">
        <f t="shared" si="1"/>
        <v>0</v>
      </c>
      <c r="N47" s="119">
        <f>'Schedule 2B Adjustments'!X46</f>
        <v>0</v>
      </c>
      <c r="O47" s="119">
        <f>'Schedule 2B Adjustments'!AA46</f>
        <v>0</v>
      </c>
    </row>
    <row r="48" spans="1:15" x14ac:dyDescent="0.35">
      <c r="A48" s="24">
        <v>33</v>
      </c>
      <c r="B48" s="514" t="str">
        <f>'Schedule 2B Adjustments'!B47:D47</f>
        <v/>
      </c>
      <c r="C48" s="514"/>
      <c r="D48" s="514"/>
      <c r="F48" s="117">
        <f>'Schedule 2B Adjustments'!H47</f>
        <v>0</v>
      </c>
      <c r="G48" s="180">
        <f>'Schedule 2B Adjustments'!J47</f>
        <v>0</v>
      </c>
      <c r="H48" s="68">
        <f t="shared" si="0"/>
        <v>0</v>
      </c>
      <c r="J48" s="179">
        <f>'Schedule 2B Adjustments'!P47</f>
        <v>0</v>
      </c>
      <c r="K48" s="180">
        <f>'Schedule 2B Adjustments'!R47</f>
        <v>0</v>
      </c>
      <c r="L48" s="68">
        <f t="shared" si="1"/>
        <v>0</v>
      </c>
      <c r="N48" s="119">
        <f>'Schedule 2B Adjustments'!X47</f>
        <v>0</v>
      </c>
      <c r="O48" s="119">
        <f>'Schedule 2B Adjustments'!AA47</f>
        <v>0</v>
      </c>
    </row>
    <row r="49" spans="1:15" x14ac:dyDescent="0.35">
      <c r="A49" s="24">
        <v>34</v>
      </c>
      <c r="B49" s="514" t="str">
        <f>'Schedule 2B Adjustments'!B48:D48</f>
        <v/>
      </c>
      <c r="C49" s="514"/>
      <c r="D49" s="514"/>
      <c r="F49" s="117">
        <f>'Schedule 2B Adjustments'!H48</f>
        <v>0</v>
      </c>
      <c r="G49" s="180">
        <f>'Schedule 2B Adjustments'!J48</f>
        <v>0</v>
      </c>
      <c r="H49" s="68">
        <f t="shared" si="0"/>
        <v>0</v>
      </c>
      <c r="J49" s="179">
        <f>'Schedule 2B Adjustments'!P48</f>
        <v>0</v>
      </c>
      <c r="K49" s="180">
        <f>'Schedule 2B Adjustments'!R48</f>
        <v>0</v>
      </c>
      <c r="L49" s="68">
        <f t="shared" si="1"/>
        <v>0</v>
      </c>
      <c r="N49" s="119">
        <f>'Schedule 2B Adjustments'!X48</f>
        <v>0</v>
      </c>
      <c r="O49" s="119">
        <f>'Schedule 2B Adjustments'!AA48</f>
        <v>0</v>
      </c>
    </row>
    <row r="50" spans="1:15" x14ac:dyDescent="0.35">
      <c r="A50" s="24">
        <v>35</v>
      </c>
      <c r="B50" s="514" t="str">
        <f>'Schedule 2B Adjustments'!B49:D49</f>
        <v/>
      </c>
      <c r="C50" s="514"/>
      <c r="D50" s="514"/>
      <c r="F50" s="117">
        <f>'Schedule 2B Adjustments'!H49</f>
        <v>0</v>
      </c>
      <c r="G50" s="180">
        <f>'Schedule 2B Adjustments'!J49</f>
        <v>0</v>
      </c>
      <c r="H50" s="68">
        <f t="shared" si="0"/>
        <v>0</v>
      </c>
      <c r="J50" s="179">
        <f>'Schedule 2B Adjustments'!P49</f>
        <v>0</v>
      </c>
      <c r="K50" s="180">
        <f>'Schedule 2B Adjustments'!R49</f>
        <v>0</v>
      </c>
      <c r="L50" s="68">
        <f t="shared" si="1"/>
        <v>0</v>
      </c>
      <c r="N50" s="119">
        <f>'Schedule 2B Adjustments'!X49</f>
        <v>0</v>
      </c>
      <c r="O50" s="119">
        <f>'Schedule 2B Adjustments'!AA49</f>
        <v>0</v>
      </c>
    </row>
    <row r="51" spans="1:15" x14ac:dyDescent="0.35">
      <c r="A51" s="24">
        <v>36</v>
      </c>
      <c r="B51" s="514" t="str">
        <f>'Schedule 2B Adjustments'!B50:D50</f>
        <v/>
      </c>
      <c r="C51" s="514"/>
      <c r="D51" s="514"/>
      <c r="F51" s="117">
        <f>'Schedule 2B Adjustments'!H50</f>
        <v>0</v>
      </c>
      <c r="G51" s="180">
        <f>'Schedule 2B Adjustments'!J50</f>
        <v>0</v>
      </c>
      <c r="H51" s="68">
        <f t="shared" si="0"/>
        <v>0</v>
      </c>
      <c r="J51" s="179">
        <f>'Schedule 2B Adjustments'!P50</f>
        <v>0</v>
      </c>
      <c r="K51" s="180">
        <f>'Schedule 2B Adjustments'!R50</f>
        <v>0</v>
      </c>
      <c r="L51" s="68">
        <f t="shared" si="1"/>
        <v>0</v>
      </c>
      <c r="N51" s="119">
        <f>'Schedule 2B Adjustments'!X50</f>
        <v>0</v>
      </c>
      <c r="O51" s="119">
        <f>'Schedule 2B Adjustments'!AA50</f>
        <v>0</v>
      </c>
    </row>
    <row r="52" spans="1:15" x14ac:dyDescent="0.35">
      <c r="A52" s="24">
        <v>37</v>
      </c>
      <c r="B52" s="514" t="str">
        <f>'Schedule 2B Adjustments'!B51:D51</f>
        <v/>
      </c>
      <c r="C52" s="514"/>
      <c r="D52" s="514"/>
      <c r="F52" s="117">
        <f>'Schedule 2B Adjustments'!H51</f>
        <v>0</v>
      </c>
      <c r="G52" s="180">
        <f>'Schedule 2B Adjustments'!J51</f>
        <v>0</v>
      </c>
      <c r="H52" s="68">
        <f t="shared" si="0"/>
        <v>0</v>
      </c>
      <c r="J52" s="179">
        <f>'Schedule 2B Adjustments'!P51</f>
        <v>0</v>
      </c>
      <c r="K52" s="180">
        <f>'Schedule 2B Adjustments'!R51</f>
        <v>0</v>
      </c>
      <c r="L52" s="68">
        <f t="shared" si="1"/>
        <v>0</v>
      </c>
      <c r="N52" s="119">
        <f>'Schedule 2B Adjustments'!X51</f>
        <v>0</v>
      </c>
      <c r="O52" s="119">
        <f>'Schedule 2B Adjustments'!AA51</f>
        <v>0</v>
      </c>
    </row>
    <row r="53" spans="1:15" x14ac:dyDescent="0.35">
      <c r="A53" s="24">
        <v>38</v>
      </c>
      <c r="B53" s="514" t="str">
        <f>'Schedule 2B Adjustments'!B52:D52</f>
        <v/>
      </c>
      <c r="C53" s="514"/>
      <c r="D53" s="514"/>
      <c r="F53" s="117">
        <f>'Schedule 2B Adjustments'!H52</f>
        <v>0</v>
      </c>
      <c r="G53" s="180">
        <f>'Schedule 2B Adjustments'!J52</f>
        <v>0</v>
      </c>
      <c r="H53" s="68">
        <f t="shared" si="0"/>
        <v>0</v>
      </c>
      <c r="J53" s="179">
        <f>'Schedule 2B Adjustments'!P52</f>
        <v>0</v>
      </c>
      <c r="K53" s="180">
        <f>'Schedule 2B Adjustments'!R52</f>
        <v>0</v>
      </c>
      <c r="L53" s="68">
        <f t="shared" si="1"/>
        <v>0</v>
      </c>
      <c r="N53" s="119">
        <f>'Schedule 2B Adjustments'!X52</f>
        <v>0</v>
      </c>
      <c r="O53" s="119">
        <f>'Schedule 2B Adjustments'!AA52</f>
        <v>0</v>
      </c>
    </row>
    <row r="54" spans="1:15" x14ac:dyDescent="0.35">
      <c r="A54" s="24">
        <v>39</v>
      </c>
      <c r="B54" s="514" t="str">
        <f>'Schedule 2B Adjustments'!B53:D53</f>
        <v/>
      </c>
      <c r="C54" s="514"/>
      <c r="D54" s="514"/>
      <c r="F54" s="117">
        <f>'Schedule 2B Adjustments'!H53</f>
        <v>0</v>
      </c>
      <c r="G54" s="180">
        <f>'Schedule 2B Adjustments'!J53</f>
        <v>0</v>
      </c>
      <c r="H54" s="68">
        <f t="shared" si="0"/>
        <v>0</v>
      </c>
      <c r="J54" s="179">
        <f>'Schedule 2B Adjustments'!P53</f>
        <v>0</v>
      </c>
      <c r="K54" s="180">
        <f>'Schedule 2B Adjustments'!R53</f>
        <v>0</v>
      </c>
      <c r="L54" s="68">
        <f t="shared" si="1"/>
        <v>0</v>
      </c>
      <c r="N54" s="119">
        <f>'Schedule 2B Adjustments'!X53</f>
        <v>0</v>
      </c>
      <c r="O54" s="119">
        <f>'Schedule 2B Adjustments'!AA53</f>
        <v>0</v>
      </c>
    </row>
    <row r="55" spans="1:15" x14ac:dyDescent="0.35">
      <c r="A55" s="24">
        <v>40</v>
      </c>
      <c r="B55" s="514" t="str">
        <f>'Schedule 2B Adjustments'!B54:D54</f>
        <v/>
      </c>
      <c r="C55" s="514"/>
      <c r="D55" s="514"/>
      <c r="F55" s="117">
        <f>'Schedule 2B Adjustments'!H54</f>
        <v>0</v>
      </c>
      <c r="G55" s="180">
        <f>'Schedule 2B Adjustments'!J54</f>
        <v>0</v>
      </c>
      <c r="H55" s="68">
        <f t="shared" si="0"/>
        <v>0</v>
      </c>
      <c r="J55" s="179">
        <f>'Schedule 2B Adjustments'!P54</f>
        <v>0</v>
      </c>
      <c r="K55" s="180">
        <f>'Schedule 2B Adjustments'!R54</f>
        <v>0</v>
      </c>
      <c r="L55" s="68">
        <f t="shared" si="1"/>
        <v>0</v>
      </c>
      <c r="N55" s="119">
        <f>'Schedule 2B Adjustments'!X54</f>
        <v>0</v>
      </c>
      <c r="O55" s="119">
        <f>'Schedule 2B Adjustments'!AA54</f>
        <v>0</v>
      </c>
    </row>
    <row r="56" spans="1:15" x14ac:dyDescent="0.35">
      <c r="A56" s="24">
        <v>41</v>
      </c>
      <c r="B56" s="514" t="str">
        <f>'Schedule 2B Adjustments'!B55:D55</f>
        <v/>
      </c>
      <c r="C56" s="514"/>
      <c r="D56" s="514"/>
      <c r="F56" s="117">
        <f>'Schedule 2B Adjustments'!H55</f>
        <v>0</v>
      </c>
      <c r="G56" s="180">
        <f>'Schedule 2B Adjustments'!J55</f>
        <v>0</v>
      </c>
      <c r="H56" s="68">
        <f t="shared" si="0"/>
        <v>0</v>
      </c>
      <c r="J56" s="179">
        <f>'Schedule 2B Adjustments'!P55</f>
        <v>0</v>
      </c>
      <c r="K56" s="180">
        <f>'Schedule 2B Adjustments'!R55</f>
        <v>0</v>
      </c>
      <c r="L56" s="68">
        <f t="shared" si="1"/>
        <v>0</v>
      </c>
      <c r="N56" s="119">
        <f>'Schedule 2B Adjustments'!X55</f>
        <v>0</v>
      </c>
      <c r="O56" s="119">
        <f>'Schedule 2B Adjustments'!AA55</f>
        <v>0</v>
      </c>
    </row>
    <row r="57" spans="1:15" x14ac:dyDescent="0.35">
      <c r="A57" s="24">
        <v>42</v>
      </c>
      <c r="B57" s="514" t="str">
        <f>'Schedule 2B Adjustments'!B56:D56</f>
        <v/>
      </c>
      <c r="C57" s="514"/>
      <c r="D57" s="514"/>
      <c r="F57" s="117">
        <f>'Schedule 2B Adjustments'!H56</f>
        <v>0</v>
      </c>
      <c r="G57" s="180">
        <f>'Schedule 2B Adjustments'!J56</f>
        <v>0</v>
      </c>
      <c r="H57" s="68">
        <f t="shared" si="0"/>
        <v>0</v>
      </c>
      <c r="J57" s="179">
        <f>'Schedule 2B Adjustments'!P56</f>
        <v>0</v>
      </c>
      <c r="K57" s="180">
        <f>'Schedule 2B Adjustments'!R56</f>
        <v>0</v>
      </c>
      <c r="L57" s="68">
        <f t="shared" si="1"/>
        <v>0</v>
      </c>
      <c r="N57" s="119">
        <f>'Schedule 2B Adjustments'!X56</f>
        <v>0</v>
      </c>
      <c r="O57" s="119">
        <f>'Schedule 2B Adjustments'!AA56</f>
        <v>0</v>
      </c>
    </row>
    <row r="58" spans="1:15" x14ac:dyDescent="0.35">
      <c r="A58" s="24">
        <v>43</v>
      </c>
      <c r="B58" s="514" t="str">
        <f>'Schedule 2B Adjustments'!B57:D57</f>
        <v/>
      </c>
      <c r="C58" s="514"/>
      <c r="D58" s="514"/>
      <c r="F58" s="117">
        <f>'Schedule 2B Adjustments'!H57</f>
        <v>0</v>
      </c>
      <c r="G58" s="180">
        <f>'Schedule 2B Adjustments'!J57</f>
        <v>0</v>
      </c>
      <c r="H58" s="68">
        <f t="shared" si="0"/>
        <v>0</v>
      </c>
      <c r="J58" s="179">
        <f>'Schedule 2B Adjustments'!P57</f>
        <v>0</v>
      </c>
      <c r="K58" s="180">
        <f>'Schedule 2B Adjustments'!R57</f>
        <v>0</v>
      </c>
      <c r="L58" s="68">
        <f t="shared" si="1"/>
        <v>0</v>
      </c>
      <c r="N58" s="119">
        <f>'Schedule 2B Adjustments'!X57</f>
        <v>0</v>
      </c>
      <c r="O58" s="119">
        <f>'Schedule 2B Adjustments'!AA57</f>
        <v>0</v>
      </c>
    </row>
    <row r="59" spans="1:15" x14ac:dyDescent="0.35">
      <c r="A59" s="24">
        <v>44</v>
      </c>
      <c r="B59" s="514" t="str">
        <f>'Schedule 2B Adjustments'!B58:D58</f>
        <v/>
      </c>
      <c r="C59" s="514"/>
      <c r="D59" s="514"/>
      <c r="F59" s="117">
        <f>'Schedule 2B Adjustments'!H58</f>
        <v>0</v>
      </c>
      <c r="G59" s="180">
        <f>'Schedule 2B Adjustments'!J58</f>
        <v>0</v>
      </c>
      <c r="H59" s="68">
        <f t="shared" si="0"/>
        <v>0</v>
      </c>
      <c r="J59" s="179">
        <f>'Schedule 2B Adjustments'!P58</f>
        <v>0</v>
      </c>
      <c r="K59" s="180">
        <f>'Schedule 2B Adjustments'!R58</f>
        <v>0</v>
      </c>
      <c r="L59" s="68">
        <f t="shared" si="1"/>
        <v>0</v>
      </c>
      <c r="N59" s="119">
        <f>'Schedule 2B Adjustments'!X58</f>
        <v>0</v>
      </c>
      <c r="O59" s="119">
        <f>'Schedule 2B Adjustments'!AA58</f>
        <v>0</v>
      </c>
    </row>
    <row r="60" spans="1:15" x14ac:dyDescent="0.35">
      <c r="A60" s="24">
        <v>45</v>
      </c>
      <c r="B60" s="514" t="str">
        <f>'Schedule 2B Adjustments'!B59:D59</f>
        <v/>
      </c>
      <c r="C60" s="514"/>
      <c r="D60" s="514"/>
      <c r="F60" s="117">
        <f>'Schedule 2B Adjustments'!H59</f>
        <v>0</v>
      </c>
      <c r="G60" s="180">
        <f>'Schedule 2B Adjustments'!J59</f>
        <v>0</v>
      </c>
      <c r="H60" s="68">
        <f t="shared" si="0"/>
        <v>0</v>
      </c>
      <c r="J60" s="179">
        <f>'Schedule 2B Adjustments'!P59</f>
        <v>0</v>
      </c>
      <c r="K60" s="180">
        <f>'Schedule 2B Adjustments'!R59</f>
        <v>0</v>
      </c>
      <c r="L60" s="68">
        <f t="shared" si="1"/>
        <v>0</v>
      </c>
      <c r="N60" s="119">
        <f>'Schedule 2B Adjustments'!X59</f>
        <v>0</v>
      </c>
      <c r="O60" s="119">
        <f>'Schedule 2B Adjustments'!AA59</f>
        <v>0</v>
      </c>
    </row>
    <row r="61" spans="1:15" x14ac:dyDescent="0.35">
      <c r="A61" s="24">
        <v>46</v>
      </c>
      <c r="B61" s="514" t="str">
        <f>'Schedule 2B Adjustments'!B60:D60</f>
        <v/>
      </c>
      <c r="C61" s="514"/>
      <c r="D61" s="514"/>
      <c r="F61" s="117">
        <f>'Schedule 2B Adjustments'!H60</f>
        <v>0</v>
      </c>
      <c r="G61" s="180">
        <f>'Schedule 2B Adjustments'!J60</f>
        <v>0</v>
      </c>
      <c r="H61" s="68">
        <f t="shared" si="0"/>
        <v>0</v>
      </c>
      <c r="J61" s="179">
        <f>'Schedule 2B Adjustments'!P60</f>
        <v>0</v>
      </c>
      <c r="K61" s="180">
        <f>'Schedule 2B Adjustments'!R60</f>
        <v>0</v>
      </c>
      <c r="L61" s="68">
        <f t="shared" si="1"/>
        <v>0</v>
      </c>
      <c r="N61" s="119">
        <f>'Schedule 2B Adjustments'!X60</f>
        <v>0</v>
      </c>
      <c r="O61" s="119">
        <f>'Schedule 2B Adjustments'!AA60</f>
        <v>0</v>
      </c>
    </row>
    <row r="62" spans="1:15" x14ac:dyDescent="0.35">
      <c r="A62" s="24">
        <v>47</v>
      </c>
      <c r="B62" s="514" t="str">
        <f>'Schedule 2B Adjustments'!B61:D61</f>
        <v/>
      </c>
      <c r="C62" s="514"/>
      <c r="D62" s="514"/>
      <c r="F62" s="117">
        <f>'Schedule 2B Adjustments'!H61</f>
        <v>0</v>
      </c>
      <c r="G62" s="180">
        <f>'Schedule 2B Adjustments'!J61</f>
        <v>0</v>
      </c>
      <c r="H62" s="68">
        <f t="shared" si="0"/>
        <v>0</v>
      </c>
      <c r="J62" s="179">
        <f>'Schedule 2B Adjustments'!P61</f>
        <v>0</v>
      </c>
      <c r="K62" s="180">
        <f>'Schedule 2B Adjustments'!R61</f>
        <v>0</v>
      </c>
      <c r="L62" s="68">
        <f t="shared" si="1"/>
        <v>0</v>
      </c>
      <c r="N62" s="119">
        <f>'Schedule 2B Adjustments'!X61</f>
        <v>0</v>
      </c>
      <c r="O62" s="119">
        <f>'Schedule 2B Adjustments'!AA61</f>
        <v>0</v>
      </c>
    </row>
    <row r="63" spans="1:15" x14ac:dyDescent="0.35">
      <c r="A63" s="24">
        <v>48</v>
      </c>
      <c r="B63" s="514" t="str">
        <f>'Schedule 2B Adjustments'!B62:D62</f>
        <v/>
      </c>
      <c r="C63" s="514"/>
      <c r="D63" s="514"/>
      <c r="F63" s="117">
        <f>'Schedule 2B Adjustments'!H62</f>
        <v>0</v>
      </c>
      <c r="G63" s="180">
        <f>'Schedule 2B Adjustments'!J62</f>
        <v>0</v>
      </c>
      <c r="H63" s="68">
        <f t="shared" si="0"/>
        <v>0</v>
      </c>
      <c r="J63" s="179">
        <f>'Schedule 2B Adjustments'!P62</f>
        <v>0</v>
      </c>
      <c r="K63" s="180">
        <f>'Schedule 2B Adjustments'!R62</f>
        <v>0</v>
      </c>
      <c r="L63" s="68">
        <f t="shared" si="1"/>
        <v>0</v>
      </c>
      <c r="N63" s="119">
        <f>'Schedule 2B Adjustments'!X62</f>
        <v>0</v>
      </c>
      <c r="O63" s="119">
        <f>'Schedule 2B Adjustments'!AA62</f>
        <v>0</v>
      </c>
    </row>
    <row r="64" spans="1:15" x14ac:dyDescent="0.35">
      <c r="A64" s="24">
        <v>49</v>
      </c>
      <c r="B64" s="514" t="str">
        <f>'Schedule 2B Adjustments'!B63:D63</f>
        <v/>
      </c>
      <c r="C64" s="514"/>
      <c r="D64" s="514"/>
      <c r="F64" s="117">
        <f>'Schedule 2B Adjustments'!H63</f>
        <v>0</v>
      </c>
      <c r="G64" s="180">
        <f>'Schedule 2B Adjustments'!J63</f>
        <v>0</v>
      </c>
      <c r="H64" s="68">
        <f t="shared" si="0"/>
        <v>0</v>
      </c>
      <c r="J64" s="179">
        <f>'Schedule 2B Adjustments'!P63</f>
        <v>0</v>
      </c>
      <c r="K64" s="180">
        <f>'Schedule 2B Adjustments'!R63</f>
        <v>0</v>
      </c>
      <c r="L64" s="68">
        <f t="shared" si="1"/>
        <v>0</v>
      </c>
      <c r="N64" s="119">
        <f>'Schedule 2B Adjustments'!X63</f>
        <v>0</v>
      </c>
      <c r="O64" s="119">
        <f>'Schedule 2B Adjustments'!AA63</f>
        <v>0</v>
      </c>
    </row>
    <row r="65" spans="1:15" x14ac:dyDescent="0.35">
      <c r="A65" s="24">
        <v>50</v>
      </c>
      <c r="B65" s="514" t="str">
        <f>'Schedule 2B Adjustments'!B64:D64</f>
        <v/>
      </c>
      <c r="C65" s="514"/>
      <c r="D65" s="514"/>
      <c r="F65" s="117">
        <f>'Schedule 2B Adjustments'!H64</f>
        <v>0</v>
      </c>
      <c r="G65" s="180">
        <f>'Schedule 2B Adjustments'!J64</f>
        <v>0</v>
      </c>
      <c r="H65" s="68">
        <f t="shared" si="0"/>
        <v>0</v>
      </c>
      <c r="J65" s="179">
        <f>'Schedule 2B Adjustments'!P64</f>
        <v>0</v>
      </c>
      <c r="K65" s="180">
        <f>'Schedule 2B Adjustments'!R64</f>
        <v>0</v>
      </c>
      <c r="L65" s="68">
        <f t="shared" si="1"/>
        <v>0</v>
      </c>
      <c r="N65" s="119">
        <f>'Schedule 2B Adjustments'!X64</f>
        <v>0</v>
      </c>
      <c r="O65" s="119">
        <f>'Schedule 2B Adjustments'!AA64</f>
        <v>0</v>
      </c>
    </row>
    <row r="66" spans="1:15" x14ac:dyDescent="0.35">
      <c r="A66" s="24">
        <v>51</v>
      </c>
      <c r="B66" s="514" t="str">
        <f>'Schedule 2B Adjustments'!B65:D65</f>
        <v/>
      </c>
      <c r="C66" s="514"/>
      <c r="D66" s="514"/>
      <c r="F66" s="117">
        <f>'Schedule 2B Adjustments'!H65</f>
        <v>0</v>
      </c>
      <c r="G66" s="180">
        <f>'Schedule 2B Adjustments'!J65</f>
        <v>0</v>
      </c>
      <c r="H66" s="68">
        <f t="shared" si="0"/>
        <v>0</v>
      </c>
      <c r="J66" s="179">
        <f>'Schedule 2B Adjustments'!P65</f>
        <v>0</v>
      </c>
      <c r="K66" s="180">
        <f>'Schedule 2B Adjustments'!R65</f>
        <v>0</v>
      </c>
      <c r="L66" s="68">
        <f t="shared" si="1"/>
        <v>0</v>
      </c>
      <c r="N66" s="119">
        <f>'Schedule 2B Adjustments'!X65</f>
        <v>0</v>
      </c>
      <c r="O66" s="119">
        <f>'Schedule 2B Adjustments'!AA65</f>
        <v>0</v>
      </c>
    </row>
    <row r="67" spans="1:15" x14ac:dyDescent="0.35">
      <c r="A67" s="24">
        <v>52</v>
      </c>
      <c r="B67" s="514" t="str">
        <f>'Schedule 2B Adjustments'!B66:D66</f>
        <v/>
      </c>
      <c r="C67" s="514"/>
      <c r="D67" s="514"/>
      <c r="F67" s="117">
        <f>'Schedule 2B Adjustments'!H66</f>
        <v>0</v>
      </c>
      <c r="G67" s="180">
        <f>'Schedule 2B Adjustments'!J66</f>
        <v>0</v>
      </c>
      <c r="H67" s="68">
        <f t="shared" si="0"/>
        <v>0</v>
      </c>
      <c r="J67" s="179">
        <f>'Schedule 2B Adjustments'!P66</f>
        <v>0</v>
      </c>
      <c r="K67" s="180">
        <f>'Schedule 2B Adjustments'!R66</f>
        <v>0</v>
      </c>
      <c r="L67" s="68">
        <f t="shared" si="1"/>
        <v>0</v>
      </c>
      <c r="N67" s="119">
        <f>'Schedule 2B Adjustments'!X66</f>
        <v>0</v>
      </c>
      <c r="O67" s="119">
        <f>'Schedule 2B Adjustments'!AA66</f>
        <v>0</v>
      </c>
    </row>
    <row r="68" spans="1:15" x14ac:dyDescent="0.35">
      <c r="A68" s="24">
        <v>53</v>
      </c>
      <c r="B68" s="514" t="str">
        <f>'Schedule 2B Adjustments'!B67:D67</f>
        <v/>
      </c>
      <c r="C68" s="514"/>
      <c r="D68" s="514"/>
      <c r="F68" s="117">
        <f>'Schedule 2B Adjustments'!H67</f>
        <v>0</v>
      </c>
      <c r="G68" s="180">
        <f>'Schedule 2B Adjustments'!J67</f>
        <v>0</v>
      </c>
      <c r="H68" s="68">
        <f t="shared" si="0"/>
        <v>0</v>
      </c>
      <c r="J68" s="179">
        <f>'Schedule 2B Adjustments'!P67</f>
        <v>0</v>
      </c>
      <c r="K68" s="180">
        <f>'Schedule 2B Adjustments'!R67</f>
        <v>0</v>
      </c>
      <c r="L68" s="68">
        <f t="shared" si="1"/>
        <v>0</v>
      </c>
      <c r="N68" s="119">
        <f>'Schedule 2B Adjustments'!X67</f>
        <v>0</v>
      </c>
      <c r="O68" s="119">
        <f>'Schedule 2B Adjustments'!AA67</f>
        <v>0</v>
      </c>
    </row>
    <row r="69" spans="1:15" x14ac:dyDescent="0.35">
      <c r="A69" s="24">
        <v>54</v>
      </c>
      <c r="B69" s="514" t="str">
        <f>'Schedule 2B Adjustments'!B68:D68</f>
        <v/>
      </c>
      <c r="C69" s="514"/>
      <c r="D69" s="514"/>
      <c r="F69" s="117">
        <f>'Schedule 2B Adjustments'!H68</f>
        <v>0</v>
      </c>
      <c r="G69" s="180">
        <f>'Schedule 2B Adjustments'!J68</f>
        <v>0</v>
      </c>
      <c r="H69" s="68">
        <f t="shared" si="0"/>
        <v>0</v>
      </c>
      <c r="J69" s="179">
        <f>'Schedule 2B Adjustments'!P68</f>
        <v>0</v>
      </c>
      <c r="K69" s="180">
        <f>'Schedule 2B Adjustments'!R68</f>
        <v>0</v>
      </c>
      <c r="L69" s="68">
        <f t="shared" si="1"/>
        <v>0</v>
      </c>
      <c r="N69" s="119">
        <f>'Schedule 2B Adjustments'!X68</f>
        <v>0</v>
      </c>
      <c r="O69" s="119">
        <f>'Schedule 2B Adjustments'!AA68</f>
        <v>0</v>
      </c>
    </row>
    <row r="70" spans="1:15" x14ac:dyDescent="0.35">
      <c r="A70" s="24">
        <v>55</v>
      </c>
      <c r="B70" s="514" t="str">
        <f>'Schedule 2B Adjustments'!B69:D69</f>
        <v/>
      </c>
      <c r="C70" s="514"/>
      <c r="D70" s="514"/>
      <c r="F70" s="117">
        <f>'Schedule 2B Adjustments'!H69</f>
        <v>0</v>
      </c>
      <c r="G70" s="180">
        <f>'Schedule 2B Adjustments'!J69</f>
        <v>0</v>
      </c>
      <c r="H70" s="68">
        <f t="shared" si="0"/>
        <v>0</v>
      </c>
      <c r="J70" s="179">
        <f>'Schedule 2B Adjustments'!P69</f>
        <v>0</v>
      </c>
      <c r="K70" s="180">
        <f>'Schedule 2B Adjustments'!R69</f>
        <v>0</v>
      </c>
      <c r="L70" s="68">
        <f t="shared" si="1"/>
        <v>0</v>
      </c>
      <c r="N70" s="119">
        <f>'Schedule 2B Adjustments'!X69</f>
        <v>0</v>
      </c>
      <c r="O70" s="119">
        <f>'Schedule 2B Adjustments'!AA69</f>
        <v>0</v>
      </c>
    </row>
    <row r="71" spans="1:15" x14ac:dyDescent="0.35">
      <c r="A71" s="24">
        <v>56</v>
      </c>
      <c r="B71" s="514" t="str">
        <f>'Schedule 2B Adjustments'!B70:D70</f>
        <v/>
      </c>
      <c r="C71" s="514"/>
      <c r="D71" s="514"/>
      <c r="F71" s="117">
        <f>'Schedule 2B Adjustments'!H70</f>
        <v>0</v>
      </c>
      <c r="G71" s="180">
        <f>'Schedule 2B Adjustments'!J70</f>
        <v>0</v>
      </c>
      <c r="H71" s="68">
        <f t="shared" si="0"/>
        <v>0</v>
      </c>
      <c r="J71" s="179">
        <f>'Schedule 2B Adjustments'!P70</f>
        <v>0</v>
      </c>
      <c r="K71" s="180">
        <f>'Schedule 2B Adjustments'!R70</f>
        <v>0</v>
      </c>
      <c r="L71" s="68">
        <f t="shared" si="1"/>
        <v>0</v>
      </c>
      <c r="N71" s="119">
        <f>'Schedule 2B Adjustments'!X70</f>
        <v>0</v>
      </c>
      <c r="O71" s="119">
        <f>'Schedule 2B Adjustments'!AA70</f>
        <v>0</v>
      </c>
    </row>
    <row r="72" spans="1:15" x14ac:dyDescent="0.35">
      <c r="A72" s="24">
        <v>57</v>
      </c>
      <c r="B72" s="514" t="str">
        <f>'Schedule 2B Adjustments'!B71:D71</f>
        <v/>
      </c>
      <c r="C72" s="514"/>
      <c r="D72" s="514"/>
      <c r="F72" s="117">
        <f>'Schedule 2B Adjustments'!H71</f>
        <v>0</v>
      </c>
      <c r="G72" s="180">
        <f>'Schedule 2B Adjustments'!J71</f>
        <v>0</v>
      </c>
      <c r="H72" s="68">
        <f t="shared" si="0"/>
        <v>0</v>
      </c>
      <c r="J72" s="179">
        <f>'Schedule 2B Adjustments'!P71</f>
        <v>0</v>
      </c>
      <c r="K72" s="180">
        <f>'Schedule 2B Adjustments'!R71</f>
        <v>0</v>
      </c>
      <c r="L72" s="68">
        <f t="shared" si="1"/>
        <v>0</v>
      </c>
      <c r="N72" s="119">
        <f>'Schedule 2B Adjustments'!X71</f>
        <v>0</v>
      </c>
      <c r="O72" s="119">
        <f>'Schedule 2B Adjustments'!AA71</f>
        <v>0</v>
      </c>
    </row>
    <row r="73" spans="1:15" x14ac:dyDescent="0.35">
      <c r="A73" s="24">
        <v>58</v>
      </c>
      <c r="B73" s="514" t="str">
        <f>'Schedule 2B Adjustments'!B72:D72</f>
        <v/>
      </c>
      <c r="C73" s="514"/>
      <c r="D73" s="514"/>
      <c r="F73" s="117">
        <f>'Schedule 2B Adjustments'!H72</f>
        <v>0</v>
      </c>
      <c r="G73" s="180">
        <f>'Schedule 2B Adjustments'!J72</f>
        <v>0</v>
      </c>
      <c r="H73" s="68">
        <f t="shared" si="0"/>
        <v>0</v>
      </c>
      <c r="J73" s="179">
        <f>'Schedule 2B Adjustments'!P72</f>
        <v>0</v>
      </c>
      <c r="K73" s="180">
        <f>'Schedule 2B Adjustments'!R72</f>
        <v>0</v>
      </c>
      <c r="L73" s="68">
        <f t="shared" si="1"/>
        <v>0</v>
      </c>
      <c r="N73" s="119">
        <f>'Schedule 2B Adjustments'!X72</f>
        <v>0</v>
      </c>
      <c r="O73" s="119">
        <f>'Schedule 2B Adjustments'!AA72</f>
        <v>0</v>
      </c>
    </row>
    <row r="74" spans="1:15" x14ac:dyDescent="0.35">
      <c r="A74" s="24">
        <v>59</v>
      </c>
      <c r="F74" s="18">
        <f>SUM(F16:F73)</f>
        <v>0</v>
      </c>
      <c r="G74" s="18">
        <f t="shared" ref="G74:H74" si="2">SUM(G16:G73)</f>
        <v>0</v>
      </c>
      <c r="H74" s="18">
        <f t="shared" si="2"/>
        <v>0</v>
      </c>
      <c r="J74" s="18">
        <f>SUM(J16:J73)</f>
        <v>960601</v>
      </c>
      <c r="K74" s="18">
        <f t="shared" ref="K74:L74" si="3">SUM(K16:K73)</f>
        <v>314472.68948165898</v>
      </c>
      <c r="L74" s="18">
        <f t="shared" si="3"/>
        <v>1275073.6894816591</v>
      </c>
      <c r="O74" s="83" t="s">
        <v>313</v>
      </c>
    </row>
    <row r="75" spans="1:15" ht="15" thickBot="1" x14ac:dyDescent="0.4">
      <c r="H75" s="37" t="s">
        <v>257</v>
      </c>
      <c r="L75" s="37" t="s">
        <v>258</v>
      </c>
    </row>
    <row r="76" spans="1:15" s="72" customFormat="1" ht="16" thickBot="1" x14ac:dyDescent="0.4">
      <c r="A76" s="24">
        <v>60</v>
      </c>
      <c r="B76" s="73" t="s">
        <v>460</v>
      </c>
      <c r="F76" s="75">
        <f>H74+L74</f>
        <v>1275073.6894816591</v>
      </c>
      <c r="G76" s="74"/>
      <c r="H76" s="74"/>
      <c r="I76" s="74"/>
      <c r="J76" s="74"/>
      <c r="K76" s="74"/>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5">
    <mergeCell ref="B20:D20"/>
    <mergeCell ref="B69:D69"/>
    <mergeCell ref="B70:D70"/>
    <mergeCell ref="B71:D71"/>
    <mergeCell ref="B72:D72"/>
    <mergeCell ref="B56:D56"/>
    <mergeCell ref="B45:D45"/>
    <mergeCell ref="B46:D46"/>
    <mergeCell ref="B47:D47"/>
    <mergeCell ref="B48:D48"/>
    <mergeCell ref="B49:D49"/>
    <mergeCell ref="B50:D50"/>
    <mergeCell ref="B51:D51"/>
    <mergeCell ref="B52:D52"/>
    <mergeCell ref="B53:D53"/>
    <mergeCell ref="B54:D54"/>
    <mergeCell ref="B73:D73"/>
    <mergeCell ref="B68:D68"/>
    <mergeCell ref="B57:D57"/>
    <mergeCell ref="B58:D58"/>
    <mergeCell ref="B59:D59"/>
    <mergeCell ref="B60:D60"/>
    <mergeCell ref="B61:D61"/>
    <mergeCell ref="B62:D62"/>
    <mergeCell ref="B63:D63"/>
    <mergeCell ref="B64:D64"/>
    <mergeCell ref="B65:D65"/>
    <mergeCell ref="B66:D66"/>
    <mergeCell ref="B67:D67"/>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B16:D16"/>
    <mergeCell ref="B17:D17"/>
    <mergeCell ref="B19:D19"/>
    <mergeCell ref="J14:L14"/>
    <mergeCell ref="N14:N15"/>
    <mergeCell ref="B18:D18"/>
    <mergeCell ref="A3:H3"/>
    <mergeCell ref="B13:D13"/>
    <mergeCell ref="B14:D15"/>
    <mergeCell ref="F14:H14"/>
    <mergeCell ref="O14:O15"/>
  </mergeCells>
  <pageMargins left="0.7" right="0.7" top="0.75" bottom="0.75" header="0.3" footer="0.3"/>
  <pageSetup orientation="portrait" horizontalDpi="1200" verticalDpi="12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8971D"/>
  </sheetPr>
  <dimension ref="A1:O76"/>
  <sheetViews>
    <sheetView workbookViewId="0">
      <selection activeCell="Q34" sqref="Q34"/>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453125" customWidth="1"/>
    <col min="15" max="15" width="12" customWidth="1"/>
  </cols>
  <sheetData>
    <row r="1" spans="1:15" ht="26" x14ac:dyDescent="0.6">
      <c r="A1" s="3" t="s">
        <v>774</v>
      </c>
    </row>
    <row r="2" spans="1:15" ht="21" x14ac:dyDescent="0.5">
      <c r="A2" s="2" t="s">
        <v>772</v>
      </c>
    </row>
    <row r="3" spans="1:15" ht="25" customHeight="1" x14ac:dyDescent="0.5">
      <c r="A3" s="495" t="s">
        <v>695</v>
      </c>
      <c r="B3" s="495"/>
      <c r="C3" s="495"/>
      <c r="D3" s="495"/>
      <c r="E3" s="495"/>
      <c r="F3" s="495"/>
      <c r="G3" s="495"/>
      <c r="H3" s="49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752</v>
      </c>
      <c r="C9" s="1"/>
      <c r="D9" s="118" t="str">
        <f>'Schedule 2C Adjustments'!D8</f>
        <v>Yes</v>
      </c>
      <c r="E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c r="C16" s="514"/>
      <c r="D16" s="514"/>
      <c r="F16" s="117">
        <f>'Schedule 2C Adjustments'!H15</f>
        <v>0</v>
      </c>
      <c r="G16" s="68">
        <f>'Schedule 2C Adjustments'!J15</f>
        <v>0</v>
      </c>
      <c r="H16" s="68">
        <f>SUM(F16:G16)</f>
        <v>0</v>
      </c>
      <c r="J16" s="117">
        <f>'Schedule 2C Adjustments'!P15</f>
        <v>0</v>
      </c>
      <c r="K16" s="68">
        <f>'Schedule 2C Adjustments'!R15</f>
        <v>0</v>
      </c>
      <c r="L16" s="68">
        <f>SUM(J16:K16)</f>
        <v>0</v>
      </c>
      <c r="N16" s="119">
        <f>'Schedule 2C Adjustments'!X15</f>
        <v>0</v>
      </c>
      <c r="O16" s="119">
        <f>'Schedule 2C Adjustments'!AA15</f>
        <v>0</v>
      </c>
    </row>
    <row r="17" spans="1:15" x14ac:dyDescent="0.35">
      <c r="A17" s="24">
        <v>2</v>
      </c>
      <c r="B17" s="514" t="str">
        <f>'Schedule 2C Adjustments'!B16:D16</f>
        <v>JBBS</v>
      </c>
      <c r="C17" s="514"/>
      <c r="D17" s="514"/>
      <c r="F17" s="117">
        <f>'Schedule 2C Adjustments'!H16</f>
        <v>5320</v>
      </c>
      <c r="G17" s="68">
        <f>'Schedule 2C Adjustments'!J16</f>
        <v>1741.6124988860367</v>
      </c>
      <c r="H17" s="68">
        <f t="shared" ref="H17:H73" si="0">SUM(F17:G17)</f>
        <v>7061.6124988860365</v>
      </c>
      <c r="J17" s="117">
        <f>'Schedule 2C Adjustments'!P16</f>
        <v>343096</v>
      </c>
      <c r="K17" s="68">
        <f>'Schedule 2C Adjustments'!R16</f>
        <v>112319.60186424881</v>
      </c>
      <c r="L17" s="68">
        <f t="shared" ref="L17:L73" si="1">SUM(J17:K17)</f>
        <v>455415.60186424881</v>
      </c>
      <c r="N17" s="119">
        <f>'Schedule 2C Adjustments'!X16</f>
        <v>3.67</v>
      </c>
      <c r="O17" s="119">
        <f>'Schedule 2C Adjustments'!AA16</f>
        <v>1204</v>
      </c>
    </row>
    <row r="18" spans="1:15" x14ac:dyDescent="0.35">
      <c r="A18" s="24">
        <v>3</v>
      </c>
      <c r="B18" s="514" t="str">
        <f>'Schedule 2C Adjustments'!B17:D17</f>
        <v>Parker - Crown Point</v>
      </c>
      <c r="C18" s="514"/>
      <c r="D18" s="514"/>
      <c r="F18" s="117">
        <f>'Schedule 2C Adjustments'!H17</f>
        <v>36330</v>
      </c>
      <c r="G18" s="68">
        <f>'Schedule 2C Adjustments'!J17</f>
        <v>11893.380091077013</v>
      </c>
      <c r="H18" s="68">
        <f t="shared" si="0"/>
        <v>48223.380091077015</v>
      </c>
      <c r="J18" s="117">
        <f>'Schedule 2C Adjustments'!P17</f>
        <v>0</v>
      </c>
      <c r="K18" s="68">
        <f>'Schedule 2C Adjustments'!R17</f>
        <v>0</v>
      </c>
      <c r="L18" s="68">
        <f t="shared" si="1"/>
        <v>0</v>
      </c>
      <c r="N18" s="119">
        <f>'Schedule 2C Adjustments'!X17</f>
        <v>0</v>
      </c>
      <c r="O18" s="119">
        <f>'Schedule 2C Adjustments'!AA17</f>
        <v>0</v>
      </c>
    </row>
    <row r="19" spans="1:15" x14ac:dyDescent="0.35">
      <c r="A19" s="24">
        <v>4</v>
      </c>
      <c r="B19" s="514" t="str">
        <f>'Schedule 2C Adjustments'!B18:D18</f>
        <v>PSR</v>
      </c>
      <c r="C19" s="514"/>
      <c r="D19" s="514"/>
      <c r="F19" s="117">
        <f>'Schedule 2C Adjustments'!H18</f>
        <v>2164742</v>
      </c>
      <c r="G19" s="68">
        <f>'Schedule 2C Adjustments'!J18</f>
        <v>708673.25640292419</v>
      </c>
      <c r="H19" s="68">
        <f t="shared" si="0"/>
        <v>2873415.2564029242</v>
      </c>
      <c r="J19" s="117">
        <f>'Schedule 2C Adjustments'!P18</f>
        <v>46</v>
      </c>
      <c r="K19" s="68">
        <f>'Schedule 2C Adjustments'!R18</f>
        <v>15.059055441495806</v>
      </c>
      <c r="L19" s="68">
        <f t="shared" si="1"/>
        <v>61.059055441495808</v>
      </c>
      <c r="N19" s="119">
        <f>'Schedule 2C Adjustments'!X18</f>
        <v>15.56</v>
      </c>
      <c r="O19" s="119">
        <f>'Schedule 2C Adjustments'!AA18</f>
        <v>1034</v>
      </c>
    </row>
    <row r="20" spans="1:15" x14ac:dyDescent="0.35">
      <c r="A20" s="24">
        <v>5</v>
      </c>
      <c r="B20" s="514" t="str">
        <f>'Schedule 2C Adjustments'!B19:D19</f>
        <v>Southwood</v>
      </c>
      <c r="C20" s="514"/>
      <c r="D20" s="514"/>
      <c r="F20" s="117">
        <f>'Schedule 2C Adjustments'!H19</f>
        <v>-39936</v>
      </c>
      <c r="G20" s="68">
        <f>'Schedule 2C Adjustments'!J19</f>
        <v>-13073.879089382097</v>
      </c>
      <c r="H20" s="68">
        <f t="shared" si="0"/>
        <v>-53009.879089382099</v>
      </c>
      <c r="J20" s="117">
        <f>'Schedule 2C Adjustments'!P19</f>
        <v>0</v>
      </c>
      <c r="K20" s="68">
        <f>'Schedule 2C Adjustments'!R19</f>
        <v>0</v>
      </c>
      <c r="L20" s="68">
        <f t="shared" si="1"/>
        <v>0</v>
      </c>
      <c r="N20" s="119">
        <f>'Schedule 2C Adjustments'!X19</f>
        <v>0</v>
      </c>
      <c r="O20" s="119">
        <f>'Schedule 2C Adjustments'!AA19</f>
        <v>0</v>
      </c>
    </row>
    <row r="21" spans="1:15" x14ac:dyDescent="0.35">
      <c r="A21" s="24">
        <v>6</v>
      </c>
      <c r="B21" s="514" t="str">
        <f>'Schedule 2C Adjustments'!B20:D20</f>
        <v>FACT</v>
      </c>
      <c r="C21" s="514"/>
      <c r="D21" s="514"/>
      <c r="F21" s="117">
        <f>'Schedule 2C Adjustments'!H20</f>
        <v>577958</v>
      </c>
      <c r="G21" s="68">
        <f>'Schedule 2C Adjustments'!J20</f>
        <v>189206.55575773984</v>
      </c>
      <c r="H21" s="68">
        <f t="shared" si="0"/>
        <v>767164.55575773981</v>
      </c>
      <c r="J21" s="117">
        <f>'Schedule 2C Adjustments'!P20</f>
        <v>0</v>
      </c>
      <c r="K21" s="68">
        <f>'Schedule 2C Adjustments'!R20</f>
        <v>0</v>
      </c>
      <c r="L21" s="68">
        <f t="shared" si="1"/>
        <v>0</v>
      </c>
      <c r="N21" s="119">
        <f>'Schedule 2C Adjustments'!X20</f>
        <v>6.8</v>
      </c>
      <c r="O21" s="119">
        <f>'Schedule 2C Adjustments'!AA20</f>
        <v>45</v>
      </c>
    </row>
    <row r="22" spans="1:15" x14ac:dyDescent="0.35">
      <c r="A22" s="24">
        <v>7</v>
      </c>
      <c r="B22" s="514" t="str">
        <f>'Schedule 2C Adjustments'!B21:D21</f>
        <v>Ascent Step Down/FEP</v>
      </c>
      <c r="C22" s="514"/>
      <c r="D22" s="514"/>
      <c r="F22" s="117">
        <f>'Schedule 2C Adjustments'!H21</f>
        <v>825161</v>
      </c>
      <c r="G22" s="68">
        <f>'Schedule 2C Adjustments'!J21</f>
        <v>270133.59232956782</v>
      </c>
      <c r="H22" s="68">
        <f t="shared" si="0"/>
        <v>1095294.5923295678</v>
      </c>
      <c r="J22" s="117">
        <f>'Schedule 2C Adjustments'!P21</f>
        <v>61</v>
      </c>
      <c r="K22" s="68">
        <f>'Schedule 2C Adjustments'!R21</f>
        <v>19.969616998505309</v>
      </c>
      <c r="L22" s="68">
        <f t="shared" si="1"/>
        <v>80.969616998505302</v>
      </c>
      <c r="N22" s="119">
        <f>'Schedule 2C Adjustments'!X21</f>
        <v>6.94</v>
      </c>
      <c r="O22" s="119">
        <f>'Schedule 2C Adjustments'!AA21</f>
        <v>47</v>
      </c>
    </row>
    <row r="23" spans="1:15" x14ac:dyDescent="0.35">
      <c r="A23" s="24">
        <v>8</v>
      </c>
      <c r="B23" s="514" t="str">
        <f>'Schedule 2C Adjustments'!B22:D22</f>
        <v>Ascent (FEP)</v>
      </c>
      <c r="C23" s="514"/>
      <c r="D23" s="514"/>
      <c r="F23" s="117">
        <f>'Schedule 2C Adjustments'!H22</f>
        <v>-8805</v>
      </c>
      <c r="G23" s="68">
        <f>'Schedule 2C Adjustments'!J22</f>
        <v>-2882.4996339645777</v>
      </c>
      <c r="H23" s="68">
        <f t="shared" si="0"/>
        <v>-11687.499633964577</v>
      </c>
      <c r="J23" s="117">
        <f>'Schedule 2C Adjustments'!P22</f>
        <v>0</v>
      </c>
      <c r="K23" s="68">
        <f>'Schedule 2C Adjustments'!R22</f>
        <v>0</v>
      </c>
      <c r="L23" s="68">
        <f t="shared" si="1"/>
        <v>0</v>
      </c>
      <c r="N23" s="119">
        <f>'Schedule 2C Adjustments'!X22</f>
        <v>0</v>
      </c>
      <c r="O23" s="119">
        <f>'Schedule 2C Adjustments'!AA22</f>
        <v>0</v>
      </c>
    </row>
    <row r="24" spans="1:15" x14ac:dyDescent="0.35">
      <c r="A24" s="24">
        <v>9</v>
      </c>
      <c r="B24" s="514" t="str">
        <f>'Schedule 2C Adjustments'!B23:D23</f>
        <v>Assertive Community Trtmt</v>
      </c>
      <c r="C24" s="514"/>
      <c r="D24" s="514"/>
      <c r="F24" s="117">
        <f>'Schedule 2C Adjustments'!H23</f>
        <v>765333</v>
      </c>
      <c r="G24" s="68">
        <f>'Schedule 2C Adjustments'!J23</f>
        <v>250547.65387405021</v>
      </c>
      <c r="H24" s="68">
        <f t="shared" si="0"/>
        <v>1015880.6538740502</v>
      </c>
      <c r="J24" s="117">
        <f>'Schedule 2C Adjustments'!P23</f>
        <v>218</v>
      </c>
      <c r="K24" s="68">
        <f>'Schedule 2C Adjustments'!R23</f>
        <v>71.366827961871422</v>
      </c>
      <c r="L24" s="68">
        <f t="shared" si="1"/>
        <v>289.36682796187142</v>
      </c>
      <c r="N24" s="119">
        <f>'Schedule 2C Adjustments'!X23</f>
        <v>6.05</v>
      </c>
      <c r="O24" s="119">
        <f>'Schedule 2C Adjustments'!AA23</f>
        <v>70</v>
      </c>
    </row>
    <row r="25" spans="1:15" x14ac:dyDescent="0.35">
      <c r="A25" s="24">
        <v>10</v>
      </c>
      <c r="B25" s="514" t="str">
        <f>'Schedule 2C Adjustments'!B24:D24</f>
        <v>Berry</v>
      </c>
      <c r="C25" s="514"/>
      <c r="D25" s="514"/>
      <c r="F25" s="117">
        <f>'Schedule 2C Adjustments'!H24</f>
        <v>58903</v>
      </c>
      <c r="G25" s="68">
        <f>'Schedule 2C Adjustments'!J24</f>
        <v>19283.12049283538</v>
      </c>
      <c r="H25" s="68">
        <f t="shared" si="0"/>
        <v>78186.120492835384</v>
      </c>
      <c r="J25" s="117">
        <f>'Schedule 2C Adjustments'!P24</f>
        <v>0</v>
      </c>
      <c r="K25" s="68">
        <f>'Schedule 2C Adjustments'!R24</f>
        <v>0</v>
      </c>
      <c r="L25" s="68">
        <f t="shared" si="1"/>
        <v>0</v>
      </c>
      <c r="N25" s="119">
        <f>'Schedule 2C Adjustments'!X24</f>
        <v>0</v>
      </c>
      <c r="O25" s="119">
        <f>'Schedule 2C Adjustments'!AA24</f>
        <v>0</v>
      </c>
    </row>
    <row r="26" spans="1:15" x14ac:dyDescent="0.35">
      <c r="A26" s="24">
        <v>11</v>
      </c>
      <c r="B26" s="514" t="str">
        <f>'Schedule 2C Adjustments'!B25:D25</f>
        <v>Briarwood</v>
      </c>
      <c r="C26" s="514"/>
      <c r="D26" s="514"/>
      <c r="F26" s="117">
        <f>'Schedule 2C Adjustments'!H25</f>
        <v>38906</v>
      </c>
      <c r="G26" s="68">
        <f>'Schedule 2C Adjustments'!J25</f>
        <v>12736.687195800778</v>
      </c>
      <c r="H26" s="68">
        <f t="shared" si="0"/>
        <v>51642.687195800776</v>
      </c>
      <c r="J26" s="117">
        <f>'Schedule 2C Adjustments'!P25</f>
        <v>0</v>
      </c>
      <c r="K26" s="68">
        <f>'Schedule 2C Adjustments'!R25</f>
        <v>0</v>
      </c>
      <c r="L26" s="68">
        <f t="shared" si="1"/>
        <v>0</v>
      </c>
      <c r="N26" s="119">
        <f>'Schedule 2C Adjustments'!X25</f>
        <v>0</v>
      </c>
      <c r="O26" s="119">
        <f>'Schedule 2C Adjustments'!AA25</f>
        <v>0</v>
      </c>
    </row>
    <row r="27" spans="1:15" x14ac:dyDescent="0.35">
      <c r="A27" s="24">
        <v>12</v>
      </c>
      <c r="B27" s="514" t="str">
        <f>'Schedule 2C Adjustments'!B26:D26</f>
        <v>Case Management</v>
      </c>
      <c r="C27" s="514"/>
      <c r="D27" s="514"/>
      <c r="F27" s="117">
        <f>'Schedule 2C Adjustments'!H26</f>
        <v>606300</v>
      </c>
      <c r="G27" s="68">
        <f>'Schedule 2C Adjustments'!J26</f>
        <v>198484.89813432406</v>
      </c>
      <c r="H27" s="68">
        <f t="shared" si="0"/>
        <v>804784.898134324</v>
      </c>
      <c r="J27" s="117">
        <f>'Schedule 2C Adjustments'!P26</f>
        <v>-231</v>
      </c>
      <c r="K27" s="68">
        <f>'Schedule 2C Adjustments'!R26</f>
        <v>-75.622647977946329</v>
      </c>
      <c r="L27" s="68">
        <f t="shared" si="1"/>
        <v>-306.62264797794631</v>
      </c>
      <c r="N27" s="119">
        <f>'Schedule 2C Adjustments'!X26</f>
        <v>6.2</v>
      </c>
      <c r="O27" s="119">
        <f>'Schedule 2C Adjustments'!AA26</f>
        <v>763</v>
      </c>
    </row>
    <row r="28" spans="1:15" x14ac:dyDescent="0.35">
      <c r="A28" s="24">
        <v>13</v>
      </c>
      <c r="B28" s="514" t="str">
        <f>'Schedule 2C Adjustments'!B27:D27</f>
        <v>Castle Rock - Briscoe</v>
      </c>
      <c r="C28" s="514"/>
      <c r="D28" s="514"/>
      <c r="F28" s="117">
        <f>'Schedule 2C Adjustments'!H27</f>
        <v>17428</v>
      </c>
      <c r="G28" s="68">
        <f>'Schedule 2C Adjustments'!J27</f>
        <v>5705.4177877041066</v>
      </c>
      <c r="H28" s="68">
        <f t="shared" si="0"/>
        <v>23133.417787704107</v>
      </c>
      <c r="J28" s="117">
        <f>'Schedule 2C Adjustments'!P27</f>
        <v>0</v>
      </c>
      <c r="K28" s="68">
        <f>'Schedule 2C Adjustments'!R27</f>
        <v>0</v>
      </c>
      <c r="L28" s="68">
        <f t="shared" si="1"/>
        <v>0</v>
      </c>
      <c r="N28" s="119">
        <f>'Schedule 2C Adjustments'!X27</f>
        <v>0</v>
      </c>
      <c r="O28" s="119">
        <f>'Schedule 2C Adjustments'!AA27</f>
        <v>0</v>
      </c>
    </row>
    <row r="29" spans="1:15" x14ac:dyDescent="0.35">
      <c r="A29" s="24">
        <v>14</v>
      </c>
      <c r="B29" s="514" t="str">
        <f>'Schedule 2C Adjustments'!B28:D28</f>
        <v>Castle Rock - Perry</v>
      </c>
      <c r="C29" s="514"/>
      <c r="D29" s="514"/>
      <c r="F29" s="117">
        <f>'Schedule 2C Adjustments'!H28</f>
        <v>3694</v>
      </c>
      <c r="G29" s="68">
        <f>'Schedule 2C Adjustments'!J28</f>
        <v>1209.3076261062067</v>
      </c>
      <c r="H29" s="68">
        <f t="shared" si="0"/>
        <v>4903.307626106207</v>
      </c>
      <c r="J29" s="117">
        <f>'Schedule 2C Adjustments'!P28</f>
        <v>0</v>
      </c>
      <c r="K29" s="68">
        <f>'Schedule 2C Adjustments'!R28</f>
        <v>0</v>
      </c>
      <c r="L29" s="68">
        <f t="shared" si="1"/>
        <v>0</v>
      </c>
      <c r="N29" s="119">
        <f>'Schedule 2C Adjustments'!X28</f>
        <v>0</v>
      </c>
      <c r="O29" s="119">
        <f>'Schedule 2C Adjustments'!AA28</f>
        <v>0</v>
      </c>
    </row>
    <row r="30" spans="1:15" x14ac:dyDescent="0.35">
      <c r="A30" s="24">
        <v>15</v>
      </c>
      <c r="B30" s="514" t="str">
        <f>'Schedule 2C Adjustments'!B29:D29</f>
        <v>Castle Rock Counseling</v>
      </c>
      <c r="C30" s="514"/>
      <c r="D30" s="514"/>
      <c r="F30" s="117">
        <f>'Schedule 2C Adjustments'!H29</f>
        <v>1105199</v>
      </c>
      <c r="G30" s="68">
        <f>'Schedule 2C Adjustments'!J29</f>
        <v>361809.84814968961</v>
      </c>
      <c r="H30" s="68">
        <f t="shared" si="0"/>
        <v>1467008.8481496896</v>
      </c>
      <c r="J30" s="117">
        <f>'Schedule 2C Adjustments'!P29</f>
        <v>0</v>
      </c>
      <c r="K30" s="68">
        <f>'Schedule 2C Adjustments'!R29</f>
        <v>0</v>
      </c>
      <c r="L30" s="68">
        <f t="shared" si="1"/>
        <v>0</v>
      </c>
      <c r="N30" s="119">
        <f>'Schedule 2C Adjustments'!X29</f>
        <v>8.8000000000000007</v>
      </c>
      <c r="O30" s="119">
        <f>'Schedule 2C Adjustments'!AA29</f>
        <v>735</v>
      </c>
    </row>
    <row r="31" spans="1:15" x14ac:dyDescent="0.35">
      <c r="A31" s="24">
        <v>16</v>
      </c>
      <c r="B31" s="514" t="str">
        <f>'Schedule 2C Adjustments'!B30:D30</f>
        <v>Center Point</v>
      </c>
      <c r="C31" s="514"/>
      <c r="D31" s="514"/>
      <c r="F31" s="117">
        <f>'Schedule 2C Adjustments'!H30</f>
        <v>863863</v>
      </c>
      <c r="G31" s="68">
        <f>'Schedule 2C Adjustments'!J30</f>
        <v>282803.49588819331</v>
      </c>
      <c r="H31" s="68">
        <f t="shared" si="0"/>
        <v>1146666.4958881934</v>
      </c>
      <c r="J31" s="117">
        <f>'Schedule 2C Adjustments'!P30</f>
        <v>0</v>
      </c>
      <c r="K31" s="68">
        <f>'Schedule 2C Adjustments'!R30</f>
        <v>0</v>
      </c>
      <c r="L31" s="68">
        <f t="shared" si="1"/>
        <v>0</v>
      </c>
      <c r="N31" s="119">
        <f>'Schedule 2C Adjustments'!X30</f>
        <v>8.7799999999999994</v>
      </c>
      <c r="O31" s="119">
        <f>'Schedule 2C Adjustments'!AA30</f>
        <v>646</v>
      </c>
    </row>
    <row r="32" spans="1:15" x14ac:dyDescent="0.35">
      <c r="A32" s="24">
        <v>17</v>
      </c>
      <c r="B32" s="514" t="str">
        <f>'Schedule 2C Adjustments'!B31:D31</f>
        <v>Certifications</v>
      </c>
      <c r="C32" s="514"/>
      <c r="D32" s="514"/>
      <c r="F32" s="117">
        <f>'Schedule 2C Adjustments'!H31</f>
        <v>345448</v>
      </c>
      <c r="G32" s="68">
        <f>'Schedule 2C Adjustments'!J31</f>
        <v>113089.57791638789</v>
      </c>
      <c r="H32" s="68">
        <f t="shared" si="0"/>
        <v>458537.57791638788</v>
      </c>
      <c r="J32" s="117">
        <f>'Schedule 2C Adjustments'!P31</f>
        <v>0</v>
      </c>
      <c r="K32" s="68">
        <f>'Schedule 2C Adjustments'!R31</f>
        <v>0</v>
      </c>
      <c r="L32" s="68">
        <f t="shared" si="1"/>
        <v>0</v>
      </c>
      <c r="N32" s="119">
        <f>'Schedule 2C Adjustments'!X31</f>
        <v>2.48</v>
      </c>
      <c r="O32" s="119">
        <f>'Schedule 2C Adjustments'!AA31</f>
        <v>176</v>
      </c>
    </row>
    <row r="33" spans="1:15" x14ac:dyDescent="0.35">
      <c r="A33" s="24">
        <v>18</v>
      </c>
      <c r="B33" s="514" t="str">
        <f>'Schedule 2C Adjustments'!B32:D32</f>
        <v>Child &amp; Family Case Mgmt Team</v>
      </c>
      <c r="C33" s="514"/>
      <c r="D33" s="514"/>
      <c r="F33" s="117">
        <f>'Schedule 2C Adjustments'!H32</f>
        <v>383577</v>
      </c>
      <c r="G33" s="68">
        <f>'Schedule 2C Adjustments'!J32</f>
        <v>125571.89802353558</v>
      </c>
      <c r="H33" s="68">
        <f t="shared" si="0"/>
        <v>509148.89802353561</v>
      </c>
      <c r="J33" s="117">
        <f>'Schedule 2C Adjustments'!P32</f>
        <v>0</v>
      </c>
      <c r="K33" s="68">
        <f>'Schedule 2C Adjustments'!R32</f>
        <v>0</v>
      </c>
      <c r="L33" s="68">
        <f t="shared" si="1"/>
        <v>0</v>
      </c>
      <c r="N33" s="119">
        <f>'Schedule 2C Adjustments'!X32</f>
        <v>4.3899999999999997</v>
      </c>
      <c r="O33" s="119">
        <f>'Schedule 2C Adjustments'!AA32</f>
        <v>299</v>
      </c>
    </row>
    <row r="34" spans="1:15" x14ac:dyDescent="0.35">
      <c r="A34" s="24">
        <v>19</v>
      </c>
      <c r="B34" s="514" t="str">
        <f>'Schedule 2C Adjustments'!B33:D33</f>
        <v>Clinical Assessment Team</v>
      </c>
      <c r="C34" s="514"/>
      <c r="D34" s="514"/>
      <c r="F34" s="117">
        <f>'Schedule 2C Adjustments'!H33</f>
        <v>1486257</v>
      </c>
      <c r="G34" s="68">
        <f>'Schedule 2C Adjustments'!J33</f>
        <v>486557.09920241806</v>
      </c>
      <c r="H34" s="68">
        <f t="shared" si="0"/>
        <v>1972814.099202418</v>
      </c>
      <c r="J34" s="117">
        <f>'Schedule 2C Adjustments'!P33</f>
        <v>0</v>
      </c>
      <c r="K34" s="68">
        <f>'Schedule 2C Adjustments'!R33</f>
        <v>0</v>
      </c>
      <c r="L34" s="68">
        <f t="shared" si="1"/>
        <v>0</v>
      </c>
      <c r="N34" s="119">
        <f>'Schedule 2C Adjustments'!X33</f>
        <v>13.94</v>
      </c>
      <c r="O34" s="119">
        <f>'Schedule 2C Adjustments'!AA33</f>
        <v>3092</v>
      </c>
    </row>
    <row r="35" spans="1:15" x14ac:dyDescent="0.35">
      <c r="A35" s="24">
        <v>20</v>
      </c>
      <c r="B35" s="514" t="str">
        <f>'Schedule 2C Adjustments'!B34:D34</f>
        <v>Highlands Ranch</v>
      </c>
      <c r="C35" s="514"/>
      <c r="D35" s="514"/>
      <c r="F35" s="117">
        <f>'Schedule 2C Adjustments'!H34</f>
        <v>-22457</v>
      </c>
      <c r="G35" s="68">
        <f>'Schedule 2C Adjustments'!J34</f>
        <v>-7351.765392384159</v>
      </c>
      <c r="H35" s="68">
        <f t="shared" si="0"/>
        <v>-29808.765392384157</v>
      </c>
      <c r="J35" s="117">
        <f>'Schedule 2C Adjustments'!P34</f>
        <v>0</v>
      </c>
      <c r="K35" s="68">
        <f>'Schedule 2C Adjustments'!R34</f>
        <v>0</v>
      </c>
      <c r="L35" s="68">
        <f t="shared" si="1"/>
        <v>0</v>
      </c>
      <c r="N35" s="119">
        <f>'Schedule 2C Adjustments'!X34</f>
        <v>0</v>
      </c>
      <c r="O35" s="119">
        <f>'Schedule 2C Adjustments'!AA34</f>
        <v>0</v>
      </c>
    </row>
    <row r="36" spans="1:15" x14ac:dyDescent="0.35">
      <c r="A36" s="24">
        <v>21</v>
      </c>
      <c r="B36" s="514" t="str">
        <f>'Schedule 2C Adjustments'!B35:D35</f>
        <v>Highlands Ranch Counsel.</v>
      </c>
      <c r="C36" s="514"/>
      <c r="D36" s="514"/>
      <c r="F36" s="117">
        <f>'Schedule 2C Adjustments'!H35</f>
        <v>961249</v>
      </c>
      <c r="G36" s="68">
        <f>'Schedule 2C Adjustments'!J35</f>
        <v>314684.82574092178</v>
      </c>
      <c r="H36" s="68">
        <f t="shared" si="0"/>
        <v>1275933.8257409218</v>
      </c>
      <c r="J36" s="117">
        <f>'Schedule 2C Adjustments'!P35</f>
        <v>0</v>
      </c>
      <c r="K36" s="68">
        <f>'Schedule 2C Adjustments'!R35</f>
        <v>0</v>
      </c>
      <c r="L36" s="68">
        <f t="shared" si="1"/>
        <v>0</v>
      </c>
      <c r="N36" s="119">
        <f>'Schedule 2C Adjustments'!X35</f>
        <v>9.0399999999999991</v>
      </c>
      <c r="O36" s="119">
        <f>'Schedule 2C Adjustments'!AA35</f>
        <v>580</v>
      </c>
    </row>
    <row r="37" spans="1:15" x14ac:dyDescent="0.35">
      <c r="A37" s="24">
        <v>22</v>
      </c>
      <c r="B37" s="514" t="str">
        <f>'Schedule 2C Adjustments'!B36:D36</f>
        <v>Inverness</v>
      </c>
      <c r="C37" s="514"/>
      <c r="D37" s="514"/>
      <c r="F37" s="117">
        <f>'Schedule 2C Adjustments'!H36</f>
        <v>-54773</v>
      </c>
      <c r="G37" s="68">
        <f>'Schedule 2C Adjustments'!J36</f>
        <v>-17931.07921080543</v>
      </c>
      <c r="H37" s="68">
        <f t="shared" si="0"/>
        <v>-72704.07921080543</v>
      </c>
      <c r="J37" s="117">
        <f>'Schedule 2C Adjustments'!P36</f>
        <v>0</v>
      </c>
      <c r="K37" s="68">
        <f>'Schedule 2C Adjustments'!R36</f>
        <v>0</v>
      </c>
      <c r="L37" s="68">
        <f t="shared" si="1"/>
        <v>0</v>
      </c>
      <c r="N37" s="119">
        <f>'Schedule 2C Adjustments'!X36</f>
        <v>0</v>
      </c>
      <c r="O37" s="119">
        <f>'Schedule 2C Adjustments'!AA36</f>
        <v>0</v>
      </c>
    </row>
    <row r="38" spans="1:15" x14ac:dyDescent="0.35">
      <c r="A38" s="24">
        <v>23</v>
      </c>
      <c r="B38" s="514" t="str">
        <f>'Schedule 2C Adjustments'!B37:D37</f>
        <v>Inverness Counseling</v>
      </c>
      <c r="C38" s="514"/>
      <c r="D38" s="514"/>
      <c r="F38" s="117">
        <f>'Schedule 2C Adjustments'!H37</f>
        <v>1110149</v>
      </c>
      <c r="G38" s="68">
        <f>'Schedule 2C Adjustments'!J37</f>
        <v>363430.33346350276</v>
      </c>
      <c r="H38" s="68">
        <f t="shared" si="0"/>
        <v>1473579.3334635028</v>
      </c>
      <c r="J38" s="117">
        <f>'Schedule 2C Adjustments'!P37</f>
        <v>0</v>
      </c>
      <c r="K38" s="68">
        <f>'Schedule 2C Adjustments'!R37</f>
        <v>0</v>
      </c>
      <c r="L38" s="68">
        <f t="shared" si="1"/>
        <v>0</v>
      </c>
      <c r="N38" s="119">
        <f>'Schedule 2C Adjustments'!X37</f>
        <v>11.19</v>
      </c>
      <c r="O38" s="119">
        <f>'Schedule 2C Adjustments'!AA37</f>
        <v>687</v>
      </c>
    </row>
    <row r="39" spans="1:15" x14ac:dyDescent="0.35">
      <c r="A39" s="24">
        <v>24</v>
      </c>
      <c r="B39" s="514" t="str">
        <f>'Schedule 2C Adjustments'!B38:D38</f>
        <v>IPS Vocational Services</v>
      </c>
      <c r="C39" s="514"/>
      <c r="D39" s="514"/>
      <c r="F39" s="117">
        <f>'Schedule 2C Adjustments'!H38</f>
        <v>381130</v>
      </c>
      <c r="G39" s="68">
        <f>'Schedule 2C Adjustments'!J38</f>
        <v>124770.8217482021</v>
      </c>
      <c r="H39" s="68">
        <f t="shared" si="0"/>
        <v>505900.82174820208</v>
      </c>
      <c r="J39" s="117">
        <f>'Schedule 2C Adjustments'!P38</f>
        <v>0</v>
      </c>
      <c r="K39" s="68">
        <f>'Schedule 2C Adjustments'!R38</f>
        <v>0</v>
      </c>
      <c r="L39" s="68">
        <f t="shared" si="1"/>
        <v>0</v>
      </c>
      <c r="N39" s="119">
        <f>'Schedule 2C Adjustments'!X38</f>
        <v>4.47</v>
      </c>
      <c r="O39" s="119">
        <f>'Schedule 2C Adjustments'!AA38</f>
        <v>132</v>
      </c>
    </row>
    <row r="40" spans="1:15" x14ac:dyDescent="0.35">
      <c r="A40" s="24">
        <v>25</v>
      </c>
      <c r="B40" s="514" t="str">
        <f>'Schedule 2C Adjustments'!B39:D39</f>
        <v>MAT</v>
      </c>
      <c r="C40" s="514"/>
      <c r="D40" s="514"/>
      <c r="F40" s="117">
        <f>'Schedule 2C Adjustments'!H39</f>
        <v>213333</v>
      </c>
      <c r="G40" s="68">
        <f>'Schedule 2C Adjustments'!J39</f>
        <v>69838.988576100543</v>
      </c>
      <c r="H40" s="68">
        <f t="shared" si="0"/>
        <v>283171.98857610056</v>
      </c>
      <c r="J40" s="117">
        <f>'Schedule 2C Adjustments'!P39</f>
        <v>131215</v>
      </c>
      <c r="K40" s="68">
        <f>'Schedule 2C Adjustments'!R39</f>
        <v>42955.955646866787</v>
      </c>
      <c r="L40" s="68">
        <f t="shared" si="1"/>
        <v>174170.95564686679</v>
      </c>
      <c r="N40" s="119">
        <f>'Schedule 2C Adjustments'!X39</f>
        <v>2</v>
      </c>
      <c r="O40" s="119">
        <f>'Schedule 2C Adjustments'!AA39</f>
        <v>177</v>
      </c>
    </row>
    <row r="41" spans="1:15" x14ac:dyDescent="0.35">
      <c r="A41" s="24">
        <v>26</v>
      </c>
      <c r="B41" s="514" t="str">
        <f>'Schedule 2C Adjustments'!B40:D40</f>
        <v>Mobile Response Unit (MRU)</v>
      </c>
      <c r="C41" s="514"/>
      <c r="D41" s="514"/>
      <c r="F41" s="117">
        <f>'Schedule 2C Adjustments'!H40</f>
        <v>360712</v>
      </c>
      <c r="G41" s="68">
        <f>'Schedule 2C Adjustments'!J40</f>
        <v>118086.56535680075</v>
      </c>
      <c r="H41" s="68">
        <f t="shared" si="0"/>
        <v>478798.56535680074</v>
      </c>
      <c r="J41" s="117">
        <f>'Schedule 2C Adjustments'!P40</f>
        <v>56</v>
      </c>
      <c r="K41" s="68">
        <f>'Schedule 2C Adjustments'!R40</f>
        <v>18.332763146168809</v>
      </c>
      <c r="L41" s="68">
        <f t="shared" si="1"/>
        <v>74.332763146168816</v>
      </c>
      <c r="N41" s="119">
        <f>'Schedule 2C Adjustments'!X40</f>
        <v>2.66</v>
      </c>
      <c r="O41" s="119">
        <f>'Schedule 2C Adjustments'!AA40</f>
        <v>158</v>
      </c>
    </row>
    <row r="42" spans="1:15" x14ac:dyDescent="0.35">
      <c r="A42" s="24">
        <v>27</v>
      </c>
      <c r="B42" s="514" t="str">
        <f>'Schedule 2C Adjustments'!B41:D41</f>
        <v>Parker - Dransfeldt</v>
      </c>
      <c r="C42" s="514"/>
      <c r="D42" s="514"/>
      <c r="F42" s="117">
        <f>'Schedule 2C Adjustments'!H41</f>
        <v>117595</v>
      </c>
      <c r="G42" s="68">
        <f>'Schedule 2C Adjustments'!J41</f>
        <v>38497.165753102156</v>
      </c>
      <c r="H42" s="68">
        <f t="shared" si="0"/>
        <v>156092.16575310216</v>
      </c>
      <c r="J42" s="117">
        <f>'Schedule 2C Adjustments'!P41</f>
        <v>0</v>
      </c>
      <c r="K42" s="68">
        <f>'Schedule 2C Adjustments'!R41</f>
        <v>0</v>
      </c>
      <c r="L42" s="68">
        <f t="shared" si="1"/>
        <v>0</v>
      </c>
      <c r="N42" s="119">
        <f>'Schedule 2C Adjustments'!X41</f>
        <v>0</v>
      </c>
      <c r="O42" s="119">
        <f>'Schedule 2C Adjustments'!AA41</f>
        <v>0</v>
      </c>
    </row>
    <row r="43" spans="1:15" x14ac:dyDescent="0.35">
      <c r="A43" s="24">
        <v>28</v>
      </c>
      <c r="B43" s="514" t="str">
        <f>'Schedule 2C Adjustments'!B42:D42</f>
        <v>Parker Counseling</v>
      </c>
      <c r="C43" s="514"/>
      <c r="D43" s="514"/>
      <c r="F43" s="117">
        <f>'Schedule 2C Adjustments'!H42</f>
        <v>1275112</v>
      </c>
      <c r="G43" s="68">
        <f>'Schedule 2C Adjustments'!J42</f>
        <v>417434.3978721</v>
      </c>
      <c r="H43" s="68">
        <f t="shared" si="0"/>
        <v>1692546.3978721001</v>
      </c>
      <c r="J43" s="117">
        <f>'Schedule 2C Adjustments'!P42</f>
        <v>0</v>
      </c>
      <c r="K43" s="68">
        <f>'Schedule 2C Adjustments'!R42</f>
        <v>0</v>
      </c>
      <c r="L43" s="68">
        <f t="shared" si="1"/>
        <v>0</v>
      </c>
      <c r="N43" s="119">
        <f>'Schedule 2C Adjustments'!X42</f>
        <v>10.56</v>
      </c>
      <c r="O43" s="119">
        <f>'Schedule 2C Adjustments'!AA42</f>
        <v>877</v>
      </c>
    </row>
    <row r="44" spans="1:15" x14ac:dyDescent="0.35">
      <c r="A44" s="24">
        <v>29</v>
      </c>
      <c r="B44" s="514" t="str">
        <f>'Schedule 2C Adjustments'!B43:D43</f>
        <v>Psychiatric Services</v>
      </c>
      <c r="C44" s="514"/>
      <c r="D44" s="514"/>
      <c r="F44" s="117">
        <f>'Schedule 2C Adjustments'!H43</f>
        <v>3041730</v>
      </c>
      <c r="G44" s="68">
        <f>'Schedule 2C Adjustments'!J43</f>
        <v>995773.4936535008</v>
      </c>
      <c r="H44" s="68">
        <f t="shared" si="0"/>
        <v>4037503.4936535009</v>
      </c>
      <c r="J44" s="117">
        <f>'Schedule 2C Adjustments'!P43</f>
        <v>1304</v>
      </c>
      <c r="K44" s="68">
        <f>'Schedule 2C Adjustments'!R43</f>
        <v>426.89148468935934</v>
      </c>
      <c r="L44" s="68">
        <f t="shared" si="1"/>
        <v>1730.8914846893595</v>
      </c>
      <c r="N44" s="119">
        <f>'Schedule 2C Adjustments'!X43</f>
        <v>16.920000000000002</v>
      </c>
      <c r="O44" s="119">
        <f>'Schedule 2C Adjustments'!AA43</f>
        <v>2718</v>
      </c>
    </row>
    <row r="45" spans="1:15" x14ac:dyDescent="0.35">
      <c r="A45" s="24">
        <v>30</v>
      </c>
      <c r="B45" s="514" t="str">
        <f>'Schedule 2C Adjustments'!B44:D44</f>
        <v>Resiliency Program</v>
      </c>
      <c r="C45" s="514"/>
      <c r="D45" s="514"/>
      <c r="F45" s="117">
        <f>'Schedule 2C Adjustments'!H44</f>
        <v>1222318</v>
      </c>
      <c r="G45" s="68">
        <f>'Schedule 2C Adjustments'!J44</f>
        <v>400151.18541604932</v>
      </c>
      <c r="H45" s="68">
        <f t="shared" si="0"/>
        <v>1622469.1854160493</v>
      </c>
      <c r="J45" s="117">
        <f>'Schedule 2C Adjustments'!P44</f>
        <v>0</v>
      </c>
      <c r="K45" s="68">
        <f>'Schedule 2C Adjustments'!R44</f>
        <v>0</v>
      </c>
      <c r="L45" s="68">
        <f t="shared" si="1"/>
        <v>0</v>
      </c>
      <c r="N45" s="119">
        <f>'Schedule 2C Adjustments'!X44</f>
        <v>12.18</v>
      </c>
      <c r="O45" s="119">
        <f>'Schedule 2C Adjustments'!AA44</f>
        <v>489</v>
      </c>
    </row>
    <row r="46" spans="1:15" x14ac:dyDescent="0.35">
      <c r="A46" s="24">
        <v>31</v>
      </c>
      <c r="B46" s="514" t="str">
        <f>'Schedule 2C Adjustments'!B45:D45</f>
        <v>School Based Mental Health</v>
      </c>
      <c r="C46" s="514"/>
      <c r="D46" s="514"/>
      <c r="F46" s="117">
        <f>'Schedule 2C Adjustments'!H45</f>
        <v>2076831</v>
      </c>
      <c r="G46" s="68">
        <f>'Schedule 2C Adjustments'!J45</f>
        <v>679893.76460037334</v>
      </c>
      <c r="H46" s="68">
        <f t="shared" si="0"/>
        <v>2756724.7646003733</v>
      </c>
      <c r="J46" s="117">
        <f>'Schedule 2C Adjustments'!P45</f>
        <v>0</v>
      </c>
      <c r="K46" s="68">
        <f>'Schedule 2C Adjustments'!R45</f>
        <v>0</v>
      </c>
      <c r="L46" s="68">
        <f t="shared" si="1"/>
        <v>0</v>
      </c>
      <c r="N46" s="119">
        <f>'Schedule 2C Adjustments'!X45</f>
        <v>23.89</v>
      </c>
      <c r="O46" s="119">
        <f>'Schedule 2C Adjustments'!AA45</f>
        <v>913</v>
      </c>
    </row>
    <row r="47" spans="1:15" x14ac:dyDescent="0.35">
      <c r="A47" s="24">
        <v>32</v>
      </c>
      <c r="B47" s="514" t="str">
        <f>'Schedule 2C Adjustments'!B46:D46</f>
        <v>SU IOP</v>
      </c>
      <c r="C47" s="514"/>
      <c r="D47" s="514"/>
      <c r="F47" s="117">
        <f>'Schedule 2C Adjustments'!H46</f>
        <v>369171</v>
      </c>
      <c r="G47" s="68">
        <f>'Schedule 2C Adjustments'!J46</f>
        <v>120855.79470418366</v>
      </c>
      <c r="H47" s="68">
        <f t="shared" si="0"/>
        <v>490026.79470418365</v>
      </c>
      <c r="J47" s="117">
        <f>'Schedule 2C Adjustments'!P46</f>
        <v>0</v>
      </c>
      <c r="K47" s="68">
        <f>'Schedule 2C Adjustments'!R46</f>
        <v>0</v>
      </c>
      <c r="L47" s="68">
        <f t="shared" si="1"/>
        <v>0</v>
      </c>
      <c r="N47" s="119">
        <f>'Schedule 2C Adjustments'!X46</f>
        <v>2</v>
      </c>
      <c r="O47" s="119">
        <f>'Schedule 2C Adjustments'!AA46</f>
        <v>212</v>
      </c>
    </row>
    <row r="48" spans="1:15" x14ac:dyDescent="0.35">
      <c r="A48" s="24">
        <v>33</v>
      </c>
      <c r="B48" s="514" t="str">
        <f>'Schedule 2C Adjustments'!B47:D47</f>
        <v>Sycamore</v>
      </c>
      <c r="C48" s="514"/>
      <c r="D48" s="514"/>
      <c r="F48" s="117">
        <f>'Schedule 2C Adjustments'!H47</f>
        <v>-204918</v>
      </c>
      <c r="G48" s="68">
        <f>'Schedule 2C Adjustments'!J47</f>
        <v>-67084.163542618204</v>
      </c>
      <c r="H48" s="68">
        <f t="shared" si="0"/>
        <v>-272002.16354261822</v>
      </c>
      <c r="J48" s="117">
        <f>'Schedule 2C Adjustments'!P47</f>
        <v>0</v>
      </c>
      <c r="K48" s="68">
        <f>'Schedule 2C Adjustments'!R47</f>
        <v>0</v>
      </c>
      <c r="L48" s="68">
        <f t="shared" si="1"/>
        <v>0</v>
      </c>
      <c r="N48" s="119">
        <f>'Schedule 2C Adjustments'!X47</f>
        <v>0</v>
      </c>
      <c r="O48" s="119">
        <f>'Schedule 2C Adjustments'!AA47</f>
        <v>0</v>
      </c>
    </row>
    <row r="49" spans="1:15" x14ac:dyDescent="0.35">
      <c r="A49" s="24">
        <v>34</v>
      </c>
      <c r="B49" s="514" t="str">
        <f>'Schedule 2C Adjustments'!B48:D48</f>
        <v>Sycamore Counseling</v>
      </c>
      <c r="C49" s="514"/>
      <c r="D49" s="514"/>
      <c r="F49" s="117">
        <f>'Schedule 2C Adjustments'!H48</f>
        <v>903070</v>
      </c>
      <c r="G49" s="68">
        <f>'Schedule 2C Adjustments'!J48</f>
        <v>295638.72168590472</v>
      </c>
      <c r="H49" s="68">
        <f t="shared" si="0"/>
        <v>1198708.7216859048</v>
      </c>
      <c r="J49" s="117">
        <f>'Schedule 2C Adjustments'!P48</f>
        <v>0</v>
      </c>
      <c r="K49" s="68">
        <f>'Schedule 2C Adjustments'!R48</f>
        <v>0</v>
      </c>
      <c r="L49" s="68">
        <f t="shared" si="1"/>
        <v>0</v>
      </c>
      <c r="N49" s="119">
        <f>'Schedule 2C Adjustments'!X48</f>
        <v>7.05</v>
      </c>
      <c r="O49" s="119">
        <f>'Schedule 2C Adjustments'!AA48</f>
        <v>465</v>
      </c>
    </row>
    <row r="50" spans="1:15" x14ac:dyDescent="0.35">
      <c r="A50" s="24">
        <v>35</v>
      </c>
      <c r="B50" s="514" t="str">
        <f>'Schedule 2C Adjustments'!B49:D49</f>
        <v>Wellness Center</v>
      </c>
      <c r="C50" s="514"/>
      <c r="D50" s="514"/>
      <c r="F50" s="117">
        <f>'Schedule 2C Adjustments'!H49</f>
        <v>-20653</v>
      </c>
      <c r="G50" s="68">
        <f>'Schedule 2C Adjustments'!J49</f>
        <v>-6761.1885224611497</v>
      </c>
      <c r="H50" s="68">
        <f t="shared" si="0"/>
        <v>-27414.188522461151</v>
      </c>
      <c r="J50" s="117">
        <f>'Schedule 2C Adjustments'!P49</f>
        <v>0</v>
      </c>
      <c r="K50" s="68">
        <f>'Schedule 2C Adjustments'!R49</f>
        <v>0</v>
      </c>
      <c r="L50" s="68">
        <f t="shared" si="1"/>
        <v>0</v>
      </c>
      <c r="N50" s="119">
        <f>'Schedule 2C Adjustments'!X49</f>
        <v>1.9</v>
      </c>
      <c r="O50" s="119">
        <f>'Schedule 2C Adjustments'!AA49</f>
        <v>29</v>
      </c>
    </row>
    <row r="51" spans="1:15" x14ac:dyDescent="0.35">
      <c r="A51" s="24">
        <v>36</v>
      </c>
      <c r="B51" s="514" t="str">
        <f>'Schedule 2C Adjustments'!B50:D50</f>
        <v>Early Childhood Consultati</v>
      </c>
      <c r="C51" s="514"/>
      <c r="D51" s="514"/>
      <c r="F51" s="117">
        <f>'Schedule 2C Adjustments'!H50</f>
        <v>0</v>
      </c>
      <c r="G51" s="68">
        <f>'Schedule 2C Adjustments'!J50</f>
        <v>0</v>
      </c>
      <c r="H51" s="68">
        <f t="shared" si="0"/>
        <v>0</v>
      </c>
      <c r="J51" s="117">
        <f>'Schedule 2C Adjustments'!P50</f>
        <v>0</v>
      </c>
      <c r="K51" s="68">
        <f>'Schedule 2C Adjustments'!R50</f>
        <v>0</v>
      </c>
      <c r="L51" s="68">
        <f t="shared" si="1"/>
        <v>0</v>
      </c>
      <c r="N51" s="119">
        <f>'Schedule 2C Adjustments'!X50</f>
        <v>0</v>
      </c>
      <c r="O51" s="119">
        <f>'Schedule 2C Adjustments'!AA50</f>
        <v>0</v>
      </c>
    </row>
    <row r="52" spans="1:15" x14ac:dyDescent="0.35">
      <c r="A52" s="24">
        <v>37</v>
      </c>
      <c r="B52" s="514" t="str">
        <f>'Schedule 2C Adjustments'!B51:D51</f>
        <v>Bridges</v>
      </c>
      <c r="C52" s="514"/>
      <c r="D52" s="514"/>
      <c r="F52" s="117">
        <f>'Schedule 2C Adjustments'!H51</f>
        <v>0</v>
      </c>
      <c r="G52" s="68">
        <f>'Schedule 2C Adjustments'!J51</f>
        <v>0</v>
      </c>
      <c r="H52" s="68">
        <f t="shared" si="0"/>
        <v>0</v>
      </c>
      <c r="J52" s="117">
        <f>'Schedule 2C Adjustments'!P51</f>
        <v>235531</v>
      </c>
      <c r="K52" s="68">
        <f>'Schedule 2C Adjustments'!R51</f>
        <v>77105.96493893367</v>
      </c>
      <c r="L52" s="68">
        <f t="shared" si="1"/>
        <v>312636.96493893367</v>
      </c>
      <c r="N52" s="119">
        <f>'Schedule 2C Adjustments'!X51</f>
        <v>2.88</v>
      </c>
      <c r="O52" s="119">
        <f>'Schedule 2C Adjustments'!AA51</f>
        <v>4</v>
      </c>
    </row>
    <row r="53" spans="1:15" x14ac:dyDescent="0.35">
      <c r="A53" s="24">
        <v>38</v>
      </c>
      <c r="B53" s="514" t="str">
        <f>'Schedule 2C Adjustments'!B52:D52</f>
        <v>Early Childhood</v>
      </c>
      <c r="C53" s="514"/>
      <c r="D53" s="514"/>
      <c r="F53" s="117">
        <f>'Schedule 2C Adjustments'!H52</f>
        <v>902063</v>
      </c>
      <c r="G53" s="68">
        <f>'Schedule 2C Adjustments'!J52</f>
        <v>295309.05932004412</v>
      </c>
      <c r="H53" s="68">
        <f t="shared" si="0"/>
        <v>1197372.0593200442</v>
      </c>
      <c r="J53" s="117">
        <f>'Schedule 2C Adjustments'!P52</f>
        <v>0</v>
      </c>
      <c r="K53" s="68">
        <f>'Schedule 2C Adjustments'!R52</f>
        <v>0</v>
      </c>
      <c r="L53" s="68">
        <f t="shared" si="1"/>
        <v>0</v>
      </c>
      <c r="N53" s="119">
        <f>'Schedule 2C Adjustments'!X52</f>
        <v>7</v>
      </c>
      <c r="O53" s="119">
        <f>'Schedule 2C Adjustments'!AA52</f>
        <v>310</v>
      </c>
    </row>
    <row r="54" spans="1:15" x14ac:dyDescent="0.35">
      <c r="A54" s="24">
        <v>39</v>
      </c>
      <c r="B54" s="514" t="str">
        <f>'Schedule 2C Adjustments'!B53:D53</f>
        <v>Nursing Services</v>
      </c>
      <c r="C54" s="514"/>
      <c r="D54" s="514"/>
      <c r="F54" s="117">
        <f>'Schedule 2C Adjustments'!H53</f>
        <v>899098</v>
      </c>
      <c r="G54" s="68">
        <f>'Schedule 2C Adjustments'!J53</f>
        <v>294338.40498560859</v>
      </c>
      <c r="H54" s="68">
        <f t="shared" si="0"/>
        <v>1193436.4049856085</v>
      </c>
      <c r="J54" s="117">
        <f>'Schedule 2C Adjustments'!P53</f>
        <v>0</v>
      </c>
      <c r="K54" s="68">
        <f>'Schedule 2C Adjustments'!R53</f>
        <v>0</v>
      </c>
      <c r="L54" s="68">
        <f t="shared" si="1"/>
        <v>0</v>
      </c>
      <c r="N54" s="119">
        <f>'Schedule 2C Adjustments'!X53</f>
        <v>23.84</v>
      </c>
      <c r="O54" s="119">
        <f>'Schedule 2C Adjustments'!AA53</f>
        <v>2</v>
      </c>
    </row>
    <row r="55" spans="1:15" x14ac:dyDescent="0.35">
      <c r="A55" s="24">
        <v>40</v>
      </c>
      <c r="B55" s="514" t="str">
        <f>'Schedule 2C Adjustments'!B54:D54</f>
        <v>Pharmacy Sycamore</v>
      </c>
      <c r="C55" s="514"/>
      <c r="D55" s="514"/>
      <c r="F55" s="117">
        <f>'Schedule 2C Adjustments'!H54</f>
        <v>0</v>
      </c>
      <c r="G55" s="68">
        <f>'Schedule 2C Adjustments'!J54</f>
        <v>0</v>
      </c>
      <c r="H55" s="68">
        <f t="shared" si="0"/>
        <v>0</v>
      </c>
      <c r="J55" s="117">
        <f>'Schedule 2C Adjustments'!P54</f>
        <v>13253148</v>
      </c>
      <c r="K55" s="68">
        <f>'Schedule 2C Adjustments'!R54</f>
        <v>4338693.2718771575</v>
      </c>
      <c r="L55" s="68">
        <f t="shared" si="1"/>
        <v>17591841.271877158</v>
      </c>
      <c r="N55" s="119">
        <f>'Schedule 2C Adjustments'!X54</f>
        <v>8.93</v>
      </c>
      <c r="O55" s="119">
        <f>'Schedule 2C Adjustments'!AA54</f>
        <v>0</v>
      </c>
    </row>
    <row r="56" spans="1:15" x14ac:dyDescent="0.35">
      <c r="A56" s="24">
        <v>41</v>
      </c>
      <c r="B56" s="514" t="str">
        <f>'Schedule 2C Adjustments'!B55:D55</f>
        <v>Community Support and Engagement</v>
      </c>
      <c r="C56" s="514"/>
      <c r="D56" s="514"/>
      <c r="F56" s="117">
        <f>'Schedule 2C Adjustments'!H55</f>
        <v>0</v>
      </c>
      <c r="G56" s="68">
        <f>'Schedule 2C Adjustments'!J55</f>
        <v>0</v>
      </c>
      <c r="H56" s="68">
        <f t="shared" si="0"/>
        <v>0</v>
      </c>
      <c r="J56" s="117">
        <f>'Schedule 2C Adjustments'!P55</f>
        <v>492877</v>
      </c>
      <c r="K56" s="68">
        <f>'Schedule 2C Adjustments'!R55</f>
        <v>161353.52323561147</v>
      </c>
      <c r="L56" s="68">
        <f t="shared" si="1"/>
        <v>654230.5232356115</v>
      </c>
      <c r="N56" s="119">
        <f>'Schedule 2C Adjustments'!X55</f>
        <v>3.86</v>
      </c>
      <c r="O56" s="119">
        <f>'Schedule 2C Adjustments'!AA55</f>
        <v>0</v>
      </c>
    </row>
    <row r="57" spans="1:15" x14ac:dyDescent="0.35">
      <c r="A57" s="24">
        <v>42</v>
      </c>
      <c r="B57" s="514" t="str">
        <f>'Schedule 2C Adjustments'!B56:D56</f>
        <v>PATH Outreach Team</v>
      </c>
      <c r="C57" s="514"/>
      <c r="D57" s="514"/>
      <c r="F57" s="117">
        <f>'Schedule 2C Adjustments'!H56</f>
        <v>266046</v>
      </c>
      <c r="G57" s="68">
        <f>'Schedule 2C Adjustments'!J56</f>
        <v>87095.683999743327</v>
      </c>
      <c r="H57" s="68">
        <f t="shared" si="0"/>
        <v>353141.68399974331</v>
      </c>
      <c r="J57" s="117">
        <f>'Schedule 2C Adjustments'!P56</f>
        <v>0</v>
      </c>
      <c r="K57" s="68">
        <f>'Schedule 2C Adjustments'!R56</f>
        <v>0</v>
      </c>
      <c r="L57" s="68">
        <f t="shared" si="1"/>
        <v>0</v>
      </c>
      <c r="N57" s="119">
        <f>'Schedule 2C Adjustments'!X56</f>
        <v>2.97</v>
      </c>
      <c r="O57" s="119">
        <f>'Schedule 2C Adjustments'!AA56</f>
        <v>107</v>
      </c>
    </row>
    <row r="58" spans="1:15" x14ac:dyDescent="0.35">
      <c r="A58" s="24">
        <v>43</v>
      </c>
      <c r="B58" s="514" t="str">
        <f>'Schedule 2C Adjustments'!B57:D57</f>
        <v>D - IOP</v>
      </c>
      <c r="C58" s="514"/>
      <c r="D58" s="514"/>
      <c r="F58" s="117">
        <f>'Schedule 2C Adjustments'!H57</f>
        <v>485203</v>
      </c>
      <c r="G58" s="68">
        <f>'Schedule 2C Adjustments'!J57</f>
        <v>158841.27994304543</v>
      </c>
      <c r="H58" s="68">
        <f t="shared" si="0"/>
        <v>644044.27994304546</v>
      </c>
      <c r="J58" s="117">
        <f>'Schedule 2C Adjustments'!P57</f>
        <v>0</v>
      </c>
      <c r="K58" s="68">
        <f>'Schedule 2C Adjustments'!R57</f>
        <v>0</v>
      </c>
      <c r="L58" s="68">
        <f t="shared" si="1"/>
        <v>0</v>
      </c>
      <c r="N58" s="119">
        <f>'Schedule 2C Adjustments'!X57</f>
        <v>4.4400000000000004</v>
      </c>
      <c r="O58" s="119">
        <f>'Schedule 2C Adjustments'!AA57</f>
        <v>182</v>
      </c>
    </row>
    <row r="59" spans="1:15" x14ac:dyDescent="0.35">
      <c r="A59" s="24">
        <v>44</v>
      </c>
      <c r="B59" s="514" t="str">
        <f>'Schedule 2C Adjustments'!B58:D58</f>
        <v>Recovery Cooperative</v>
      </c>
      <c r="C59" s="514"/>
      <c r="D59" s="514"/>
      <c r="F59" s="117">
        <f>'Schedule 2C Adjustments'!H58</f>
        <v>3504269</v>
      </c>
      <c r="G59" s="68">
        <f>'Schedule 2C Adjustments'!J58</f>
        <v>1147195.2424546753</v>
      </c>
      <c r="H59" s="68">
        <f t="shared" si="0"/>
        <v>4651464.242454675</v>
      </c>
      <c r="J59" s="117">
        <f>'Schedule 2C Adjustments'!P58</f>
        <v>0</v>
      </c>
      <c r="K59" s="68">
        <f>'Schedule 2C Adjustments'!R58</f>
        <v>0</v>
      </c>
      <c r="L59" s="68">
        <f t="shared" si="1"/>
        <v>0</v>
      </c>
      <c r="N59" s="119">
        <f>'Schedule 2C Adjustments'!X58</f>
        <v>27.62</v>
      </c>
      <c r="O59" s="119">
        <f>'Schedule 2C Adjustments'!AA58</f>
        <v>0</v>
      </c>
    </row>
    <row r="60" spans="1:15" x14ac:dyDescent="0.35">
      <c r="A60" s="24">
        <v>45</v>
      </c>
      <c r="B60" s="524" t="s">
        <v>1033</v>
      </c>
      <c r="C60" s="525"/>
      <c r="D60" s="526"/>
      <c r="F60" s="117">
        <f>'Schedule 2C Adjustments'!H59</f>
        <v>721323</v>
      </c>
      <c r="G60" s="68">
        <f>'Schedule 2C Adjustments'!J59</f>
        <v>236140.06626578432</v>
      </c>
      <c r="H60" s="68">
        <f t="shared" si="0"/>
        <v>957463.06626578432</v>
      </c>
      <c r="J60" s="117">
        <f>'Schedule 2C Adjustments'!P59</f>
        <v>0</v>
      </c>
      <c r="K60" s="68">
        <f>'Schedule 2C Adjustments'!R59</f>
        <v>0</v>
      </c>
      <c r="L60" s="68">
        <f t="shared" si="1"/>
        <v>0</v>
      </c>
      <c r="N60" s="119">
        <f>'Schedule 2C Adjustments'!X59</f>
        <v>0</v>
      </c>
      <c r="O60" s="119">
        <f>'Schedule 2C Adjustments'!AA59</f>
        <v>0</v>
      </c>
    </row>
    <row r="61" spans="1:15" x14ac:dyDescent="0.35">
      <c r="A61" s="24">
        <v>46</v>
      </c>
      <c r="B61" s="524" t="s">
        <v>1034</v>
      </c>
      <c r="C61" s="525"/>
      <c r="D61" s="526"/>
      <c r="F61" s="117">
        <f>'Schedule 2C Adjustments'!H60</f>
        <v>0</v>
      </c>
      <c r="G61" s="68">
        <f>'Schedule 2C Adjustments'!J60</f>
        <v>0</v>
      </c>
      <c r="H61" s="68">
        <f t="shared" si="0"/>
        <v>0</v>
      </c>
      <c r="J61" s="117">
        <f>'Schedule 2C Adjustments'!P60</f>
        <v>509878</v>
      </c>
      <c r="K61" s="68">
        <f>'Schedule 2C Adjustments'!R60</f>
        <v>166919.15370432605</v>
      </c>
      <c r="L61" s="68">
        <f t="shared" si="1"/>
        <v>676797.15370432602</v>
      </c>
      <c r="N61" s="119">
        <f>'Schedule 2C Adjustments'!X60</f>
        <v>0</v>
      </c>
      <c r="O61" s="119">
        <f>'Schedule 2C Adjustments'!AA60</f>
        <v>0</v>
      </c>
    </row>
    <row r="62" spans="1:15" x14ac:dyDescent="0.35">
      <c r="A62" s="24">
        <v>47</v>
      </c>
      <c r="B62" s="524" t="s">
        <v>1035</v>
      </c>
      <c r="C62" s="525"/>
      <c r="D62" s="526"/>
      <c r="F62" s="117">
        <f>'Schedule 2C Adjustments'!H61</f>
        <v>232834</v>
      </c>
      <c r="G62" s="68">
        <f>'Schedule 2C Adjustments'!J61</f>
        <v>76223.045970983352</v>
      </c>
      <c r="H62" s="68">
        <f t="shared" si="0"/>
        <v>309057.04597098334</v>
      </c>
      <c r="J62" s="117">
        <f>'Schedule 2C Adjustments'!P61</f>
        <v>0</v>
      </c>
      <c r="K62" s="68">
        <f>'Schedule 2C Adjustments'!R61</f>
        <v>0</v>
      </c>
      <c r="L62" s="68">
        <f t="shared" si="1"/>
        <v>0</v>
      </c>
      <c r="N62" s="119">
        <f>'Schedule 2C Adjustments'!X61</f>
        <v>0</v>
      </c>
      <c r="O62" s="119">
        <f>'Schedule 2C Adjustments'!AA61</f>
        <v>0</v>
      </c>
    </row>
    <row r="63" spans="1:15" x14ac:dyDescent="0.35">
      <c r="A63" s="24">
        <v>48</v>
      </c>
      <c r="B63" s="524" t="s">
        <v>1036</v>
      </c>
      <c r="C63" s="525"/>
      <c r="D63" s="526"/>
      <c r="F63" s="117">
        <f>'Schedule 2C Adjustments'!H62</f>
        <v>694</v>
      </c>
      <c r="G63" s="68">
        <f>'Schedule 2C Adjustments'!J62</f>
        <v>227.19531470430627</v>
      </c>
      <c r="H63" s="68">
        <f t="shared" si="0"/>
        <v>921.19531470430627</v>
      </c>
      <c r="J63" s="117">
        <f>'Schedule 2C Adjustments'!P62</f>
        <v>0</v>
      </c>
      <c r="K63" s="68">
        <f>'Schedule 2C Adjustments'!R62</f>
        <v>0</v>
      </c>
      <c r="L63" s="68">
        <f t="shared" si="1"/>
        <v>0</v>
      </c>
      <c r="N63" s="119">
        <f>'Schedule 2C Adjustments'!X62</f>
        <v>0</v>
      </c>
      <c r="O63" s="119">
        <f>'Schedule 2C Adjustments'!AA62</f>
        <v>0</v>
      </c>
    </row>
    <row r="64" spans="1:15" x14ac:dyDescent="0.35">
      <c r="A64" s="24">
        <v>49</v>
      </c>
      <c r="B64" s="524" t="s">
        <v>1037</v>
      </c>
      <c r="C64" s="525"/>
      <c r="D64" s="526"/>
      <c r="F64" s="117">
        <f>'Schedule 2C Adjustments'!H63</f>
        <v>126</v>
      </c>
      <c r="G64" s="68">
        <f>'Schedule 2C Adjustments'!J63</f>
        <v>41.248717078879814</v>
      </c>
      <c r="H64" s="68">
        <f t="shared" si="0"/>
        <v>167.24871707887982</v>
      </c>
      <c r="J64" s="117">
        <f>'Schedule 2C Adjustments'!P63</f>
        <v>0</v>
      </c>
      <c r="K64" s="68">
        <f>'Schedule 2C Adjustments'!R63</f>
        <v>0</v>
      </c>
      <c r="L64" s="68">
        <f t="shared" si="1"/>
        <v>0</v>
      </c>
      <c r="N64" s="119">
        <f>'Schedule 2C Adjustments'!X63</f>
        <v>0</v>
      </c>
      <c r="O64" s="119">
        <f>'Schedule 2C Adjustments'!AA63</f>
        <v>0</v>
      </c>
    </row>
    <row r="65" spans="1:15" x14ac:dyDescent="0.35">
      <c r="A65" s="24">
        <v>50</v>
      </c>
      <c r="B65" s="524" t="s">
        <v>1038</v>
      </c>
      <c r="C65" s="525"/>
      <c r="D65" s="526"/>
      <c r="F65" s="117">
        <f>'Schedule 2C Adjustments'!H64</f>
        <v>0</v>
      </c>
      <c r="G65" s="68">
        <f>'Schedule 2C Adjustments'!J64</f>
        <v>0</v>
      </c>
      <c r="H65" s="68">
        <f t="shared" si="0"/>
        <v>0</v>
      </c>
      <c r="J65" s="117">
        <f>'Schedule 2C Adjustments'!P64</f>
        <v>0</v>
      </c>
      <c r="K65" s="68">
        <f>'Schedule 2C Adjustments'!R64</f>
        <v>0</v>
      </c>
      <c r="L65" s="68">
        <f t="shared" si="1"/>
        <v>0</v>
      </c>
      <c r="N65" s="119">
        <f>'Schedule 2C Adjustments'!X64</f>
        <v>0</v>
      </c>
      <c r="O65" s="119">
        <f>'Schedule 2C Adjustments'!AA64</f>
        <v>0</v>
      </c>
    </row>
    <row r="66" spans="1:15" x14ac:dyDescent="0.35">
      <c r="A66" s="24">
        <v>51</v>
      </c>
      <c r="B66" s="524" t="s">
        <v>1039</v>
      </c>
      <c r="C66" s="525"/>
      <c r="D66" s="526"/>
      <c r="F66" s="117">
        <f>'Schedule 2C Adjustments'!H65</f>
        <v>0</v>
      </c>
      <c r="G66" s="68">
        <f>'Schedule 2C Adjustments'!J65</f>
        <v>0</v>
      </c>
      <c r="H66" s="68">
        <f t="shared" si="0"/>
        <v>0</v>
      </c>
      <c r="J66" s="117">
        <f>'Schedule 2C Adjustments'!P65</f>
        <v>5637</v>
      </c>
      <c r="K66" s="68">
        <f>'Schedule 2C Adjustments'!R65</f>
        <v>1845.3890331241707</v>
      </c>
      <c r="L66" s="68">
        <f t="shared" si="1"/>
        <v>7482.389033124171</v>
      </c>
      <c r="N66" s="119">
        <f>'Schedule 2C Adjustments'!X65</f>
        <v>0</v>
      </c>
      <c r="O66" s="119">
        <f>'Schedule 2C Adjustments'!AA65</f>
        <v>0</v>
      </c>
    </row>
    <row r="67" spans="1:15" x14ac:dyDescent="0.35">
      <c r="A67" s="24">
        <v>52</v>
      </c>
      <c r="B67" s="524" t="s">
        <v>1040</v>
      </c>
      <c r="C67" s="525"/>
      <c r="D67" s="526"/>
      <c r="F67" s="117">
        <f>'Schedule 2C Adjustments'!H66</f>
        <v>0</v>
      </c>
      <c r="G67" s="68">
        <f>'Schedule 2C Adjustments'!J66</f>
        <v>0</v>
      </c>
      <c r="H67" s="68">
        <f t="shared" si="0"/>
        <v>0</v>
      </c>
      <c r="J67" s="117">
        <f>'Schedule 2C Adjustments'!P66</f>
        <v>-226651</v>
      </c>
      <c r="K67" s="68">
        <f>'Schedule 2C Adjustments'!R66</f>
        <v>-74198.912497184036</v>
      </c>
      <c r="L67" s="68">
        <f t="shared" si="1"/>
        <v>-300849.91249718401</v>
      </c>
      <c r="N67" s="119">
        <f>'Schedule 2C Adjustments'!X66</f>
        <v>0</v>
      </c>
      <c r="O67" s="119">
        <f>'Schedule 2C Adjustments'!AA66</f>
        <v>0</v>
      </c>
    </row>
    <row r="68" spans="1:15" x14ac:dyDescent="0.35">
      <c r="A68" s="24">
        <v>53</v>
      </c>
      <c r="B68" s="514" t="str">
        <f>'Schedule 2C Adjustments'!B67:D67</f>
        <v/>
      </c>
      <c r="C68" s="514"/>
      <c r="D68" s="514"/>
      <c r="F68" s="117">
        <f>'Schedule 2C Adjustments'!H67</f>
        <v>0</v>
      </c>
      <c r="G68" s="68">
        <f>'Schedule 2C Adjustments'!J67</f>
        <v>0</v>
      </c>
      <c r="H68" s="68">
        <f t="shared" si="0"/>
        <v>0</v>
      </c>
      <c r="J68" s="117">
        <f>'Schedule 2C Adjustments'!P67</f>
        <v>0</v>
      </c>
      <c r="K68" s="68">
        <f>'Schedule 2C Adjustments'!R67</f>
        <v>0</v>
      </c>
      <c r="L68" s="68">
        <f t="shared" si="1"/>
        <v>0</v>
      </c>
      <c r="N68" s="119">
        <f>'Schedule 2C Adjustments'!X67</f>
        <v>0</v>
      </c>
      <c r="O68" s="119">
        <f>'Schedule 2C Adjustments'!AA67</f>
        <v>0</v>
      </c>
    </row>
    <row r="69" spans="1:15" x14ac:dyDescent="0.35">
      <c r="A69" s="24">
        <v>54</v>
      </c>
      <c r="B69" s="514" t="str">
        <f>'Schedule 2C Adjustments'!B68:D68</f>
        <v/>
      </c>
      <c r="C69" s="514"/>
      <c r="D69" s="514"/>
      <c r="F69" s="117">
        <f>'Schedule 2C Adjustments'!H68</f>
        <v>0</v>
      </c>
      <c r="G69" s="68">
        <f>'Schedule 2C Adjustments'!J68</f>
        <v>0</v>
      </c>
      <c r="H69" s="68">
        <f t="shared" si="0"/>
        <v>0</v>
      </c>
      <c r="J69" s="117">
        <f>'Schedule 2C Adjustments'!P68</f>
        <v>0</v>
      </c>
      <c r="K69" s="68">
        <f>'Schedule 2C Adjustments'!R68</f>
        <v>0</v>
      </c>
      <c r="L69" s="68">
        <f t="shared" si="1"/>
        <v>0</v>
      </c>
      <c r="N69" s="119">
        <f>'Schedule 2C Adjustments'!X68</f>
        <v>0</v>
      </c>
      <c r="O69" s="119">
        <f>'Schedule 2C Adjustments'!AA68</f>
        <v>0</v>
      </c>
    </row>
    <row r="70" spans="1:15" x14ac:dyDescent="0.35">
      <c r="A70" s="24">
        <v>55</v>
      </c>
      <c r="B70" s="514" t="str">
        <f>'Schedule 2C Adjustments'!B69:D69</f>
        <v/>
      </c>
      <c r="C70" s="514"/>
      <c r="D70" s="514"/>
      <c r="F70" s="117">
        <f>'Schedule 2C Adjustments'!H69</f>
        <v>0</v>
      </c>
      <c r="G70" s="68">
        <f>'Schedule 2C Adjustments'!J69</f>
        <v>0</v>
      </c>
      <c r="H70" s="68">
        <f t="shared" si="0"/>
        <v>0</v>
      </c>
      <c r="J70" s="117">
        <f>'Schedule 2C Adjustments'!P69</f>
        <v>0</v>
      </c>
      <c r="K70" s="68">
        <f>'Schedule 2C Adjustments'!R69</f>
        <v>0</v>
      </c>
      <c r="L70" s="68">
        <f t="shared" si="1"/>
        <v>0</v>
      </c>
      <c r="N70" s="119">
        <f>'Schedule 2C Adjustments'!X69</f>
        <v>0</v>
      </c>
      <c r="O70" s="119">
        <f>'Schedule 2C Adjustments'!AA69</f>
        <v>0</v>
      </c>
    </row>
    <row r="71" spans="1:15" x14ac:dyDescent="0.35">
      <c r="A71" s="24">
        <v>56</v>
      </c>
      <c r="B71" s="514" t="str">
        <f>'Schedule 2C Adjustments'!B70:D70</f>
        <v/>
      </c>
      <c r="C71" s="514"/>
      <c r="D71" s="514"/>
      <c r="F71" s="117">
        <f>'Schedule 2C Adjustments'!H70</f>
        <v>0</v>
      </c>
      <c r="G71" s="68">
        <f>'Schedule 2C Adjustments'!J70</f>
        <v>0</v>
      </c>
      <c r="H71" s="68">
        <f t="shared" si="0"/>
        <v>0</v>
      </c>
      <c r="J71" s="117">
        <f>'Schedule 2C Adjustments'!P70</f>
        <v>0</v>
      </c>
      <c r="K71" s="68">
        <f>'Schedule 2C Adjustments'!R70</f>
        <v>0</v>
      </c>
      <c r="L71" s="68">
        <f t="shared" si="1"/>
        <v>0</v>
      </c>
      <c r="N71" s="119">
        <f>'Schedule 2C Adjustments'!X70</f>
        <v>0</v>
      </c>
      <c r="O71" s="119">
        <f>'Schedule 2C Adjustments'!AA70</f>
        <v>0</v>
      </c>
    </row>
    <row r="72" spans="1:15" x14ac:dyDescent="0.35">
      <c r="A72" s="24">
        <v>57</v>
      </c>
      <c r="B72" s="514" t="str">
        <f>'Schedule 2C Adjustments'!B71:D71</f>
        <v/>
      </c>
      <c r="C72" s="514"/>
      <c r="D72" s="514"/>
      <c r="F72" s="117">
        <f>'Schedule 2C Adjustments'!H71</f>
        <v>0</v>
      </c>
      <c r="G72" s="68">
        <f>'Schedule 2C Adjustments'!J71</f>
        <v>0</v>
      </c>
      <c r="H72" s="68">
        <f t="shared" si="0"/>
        <v>0</v>
      </c>
      <c r="J72" s="117">
        <f>'Schedule 2C Adjustments'!P71</f>
        <v>0</v>
      </c>
      <c r="K72" s="68">
        <f>'Schedule 2C Adjustments'!R71</f>
        <v>0</v>
      </c>
      <c r="L72" s="68">
        <f t="shared" si="1"/>
        <v>0</v>
      </c>
      <c r="N72" s="119">
        <f>'Schedule 2C Adjustments'!X71</f>
        <v>0</v>
      </c>
      <c r="O72" s="119">
        <f>'Schedule 2C Adjustments'!AA71</f>
        <v>0</v>
      </c>
    </row>
    <row r="73" spans="1:15" x14ac:dyDescent="0.35">
      <c r="A73" s="24">
        <v>58</v>
      </c>
      <c r="B73" s="514" t="str">
        <f>'Schedule 2C Adjustments'!B72:D72</f>
        <v/>
      </c>
      <c r="C73" s="514"/>
      <c r="D73" s="514"/>
      <c r="F73" s="117">
        <f>'Schedule 2C Adjustments'!H72</f>
        <v>0</v>
      </c>
      <c r="G73" s="68">
        <f>'Schedule 2C Adjustments'!J72</f>
        <v>0</v>
      </c>
      <c r="H73" s="68">
        <f t="shared" si="0"/>
        <v>0</v>
      </c>
      <c r="J73" s="117">
        <f>'Schedule 2C Adjustments'!P72</f>
        <v>0</v>
      </c>
      <c r="K73" s="68">
        <f>'Schedule 2C Adjustments'!R72</f>
        <v>0</v>
      </c>
      <c r="L73" s="68">
        <f t="shared" si="1"/>
        <v>0</v>
      </c>
      <c r="N73" s="119">
        <f>'Schedule 2C Adjustments'!X72</f>
        <v>0</v>
      </c>
      <c r="O73" s="119">
        <f>'Schedule 2C Adjustments'!AA72</f>
        <v>0</v>
      </c>
    </row>
    <row r="74" spans="1:15" x14ac:dyDescent="0.35">
      <c r="A74" s="24">
        <v>59</v>
      </c>
      <c r="F74" s="18">
        <f>SUM(F16:F73)</f>
        <v>27976933</v>
      </c>
      <c r="G74" s="18">
        <f t="shared" ref="G74:H74" si="2">SUM(G16:G73)</f>
        <v>9158830.1115220338</v>
      </c>
      <c r="H74" s="18">
        <f t="shared" si="2"/>
        <v>37135763.111522041</v>
      </c>
      <c r="J74" s="18">
        <f>SUM(J16:J73)</f>
        <v>14746185</v>
      </c>
      <c r="K74" s="18">
        <f>SUM(K16:K73)</f>
        <v>4827469.944903343</v>
      </c>
      <c r="L74" s="18">
        <f>SUM(L16:L73)</f>
        <v>19573654.944903344</v>
      </c>
      <c r="O74" s="83" t="s">
        <v>313</v>
      </c>
    </row>
    <row r="75" spans="1:15" ht="15" thickBot="1" x14ac:dyDescent="0.4">
      <c r="H75" s="37" t="s">
        <v>257</v>
      </c>
      <c r="L75" s="37" t="s">
        <v>258</v>
      </c>
    </row>
    <row r="76" spans="1:15" s="72" customFormat="1" ht="16" thickBot="1" x14ac:dyDescent="0.4">
      <c r="A76" s="24">
        <v>60</v>
      </c>
      <c r="B76" s="73" t="s">
        <v>461</v>
      </c>
      <c r="F76" s="75">
        <f>H74+L74</f>
        <v>56709418.056425385</v>
      </c>
      <c r="G76" s="74"/>
      <c r="H76" s="74"/>
      <c r="I76" s="74"/>
      <c r="J76" s="74"/>
      <c r="K76" s="74"/>
    </row>
  </sheetData>
  <sheetProtection sheet="1" objects="1" scenarios="1"/>
  <customSheetViews>
    <customSheetView guid="{D0F83CC0-0361-4280-BCA4-9A92C986158B}">
      <pageMargins left="0.7" right="0.7" top="0.75" bottom="0.75" header="0.3" footer="0.3"/>
    </customSheetView>
    <customSheetView guid="{27BAF95E-10B4-4025-9660-F5A8EBC66DC3}">
      <pageMargins left="0.7" right="0.7" top="0.75" bottom="0.75" header="0.3" footer="0.3"/>
    </customSheetView>
  </customSheetViews>
  <mergeCells count="65">
    <mergeCell ref="B70:D70"/>
    <mergeCell ref="B71:D71"/>
    <mergeCell ref="B72:D72"/>
    <mergeCell ref="B73:D73"/>
    <mergeCell ref="B60:D60"/>
    <mergeCell ref="B61:D61"/>
    <mergeCell ref="B62:D62"/>
    <mergeCell ref="B63:D63"/>
    <mergeCell ref="B64:D64"/>
    <mergeCell ref="B65:D65"/>
    <mergeCell ref="B66:D66"/>
    <mergeCell ref="B67:D67"/>
    <mergeCell ref="B68:D68"/>
    <mergeCell ref="B57:D57"/>
    <mergeCell ref="B58:D58"/>
    <mergeCell ref="B59:D59"/>
    <mergeCell ref="B69:D69"/>
    <mergeCell ref="B56:D56"/>
    <mergeCell ref="B53:D53"/>
    <mergeCell ref="B54:D54"/>
    <mergeCell ref="B45:D45"/>
    <mergeCell ref="B46:D46"/>
    <mergeCell ref="B47:D47"/>
    <mergeCell ref="B48:D48"/>
    <mergeCell ref="B49:D49"/>
    <mergeCell ref="B55:D55"/>
    <mergeCell ref="B44:D44"/>
    <mergeCell ref="B33:D33"/>
    <mergeCell ref="B34:D34"/>
    <mergeCell ref="B35:D35"/>
    <mergeCell ref="B36:D36"/>
    <mergeCell ref="B37:D37"/>
    <mergeCell ref="B38:D38"/>
    <mergeCell ref="B39:D39"/>
    <mergeCell ref="B40:D40"/>
    <mergeCell ref="B41:D41"/>
    <mergeCell ref="B42:D42"/>
    <mergeCell ref="B43:D43"/>
    <mergeCell ref="B50:D50"/>
    <mergeCell ref="B51:D51"/>
    <mergeCell ref="B52:D52"/>
    <mergeCell ref="B32:D32"/>
    <mergeCell ref="B21:D21"/>
    <mergeCell ref="B22:D22"/>
    <mergeCell ref="B23:D23"/>
    <mergeCell ref="B24:D24"/>
    <mergeCell ref="B25:D25"/>
    <mergeCell ref="B26:D26"/>
    <mergeCell ref="B27:D27"/>
    <mergeCell ref="B28:D28"/>
    <mergeCell ref="B29:D29"/>
    <mergeCell ref="B30:D30"/>
    <mergeCell ref="B31:D31"/>
    <mergeCell ref="O14:O15"/>
    <mergeCell ref="B16:D16"/>
    <mergeCell ref="B17:D17"/>
    <mergeCell ref="B18:D18"/>
    <mergeCell ref="B19:D19"/>
    <mergeCell ref="J14:L14"/>
    <mergeCell ref="N14:N15"/>
    <mergeCell ref="B20:D20"/>
    <mergeCell ref="A3:H3"/>
    <mergeCell ref="B13:D13"/>
    <mergeCell ref="B14:D15"/>
    <mergeCell ref="F14:H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495" t="s">
        <v>696</v>
      </c>
      <c r="B3" s="495"/>
      <c r="C3" s="495"/>
      <c r="D3" s="495"/>
      <c r="E3" s="495"/>
      <c r="F3" s="495"/>
      <c r="G3" s="495"/>
      <c r="H3" s="49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628</v>
      </c>
      <c r="C9" s="1"/>
      <c r="F9" s="472" t="s">
        <v>1041</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2D Adjustments'!B15:D15</f>
        <v/>
      </c>
      <c r="C16" s="514"/>
      <c r="D16" s="514"/>
      <c r="F16" s="117">
        <f>'Schedule 2D Adjustments'!H15</f>
        <v>0</v>
      </c>
      <c r="G16" s="68">
        <f>'Schedule 2D Adjustments'!J15</f>
        <v>0</v>
      </c>
      <c r="H16" s="68">
        <f>SUM(F16:G16)</f>
        <v>0</v>
      </c>
      <c r="J16" s="117">
        <f>'Schedule 2D Adjustments'!P15</f>
        <v>0</v>
      </c>
      <c r="K16" s="68">
        <f>'Schedule 2D Adjustments'!R15</f>
        <v>0</v>
      </c>
      <c r="L16" s="68">
        <f>SUM(J16:K16)</f>
        <v>0</v>
      </c>
      <c r="N16" s="119">
        <f>'Schedule 2D Adjustments'!X15</f>
        <v>0</v>
      </c>
      <c r="O16" s="119">
        <f>'Schedule 2D Adjustments'!AA15</f>
        <v>0</v>
      </c>
    </row>
    <row r="17" spans="1:15" x14ac:dyDescent="0.35">
      <c r="A17" s="24">
        <v>2</v>
      </c>
      <c r="B17" s="514" t="str">
        <f>'Schedule 2D Adjustments'!B16:D16</f>
        <v/>
      </c>
      <c r="C17" s="514"/>
      <c r="D17" s="514"/>
      <c r="F17" s="117">
        <f>'Schedule 2D Adjustments'!H16</f>
        <v>0</v>
      </c>
      <c r="G17" s="68">
        <f>'Schedule 2D Adjustments'!J16</f>
        <v>0</v>
      </c>
      <c r="H17" s="68">
        <f t="shared" ref="H17:H73" si="0">SUM(F17:G17)</f>
        <v>0</v>
      </c>
      <c r="J17" s="117">
        <f>'Schedule 2D Adjustments'!P16</f>
        <v>0</v>
      </c>
      <c r="K17" s="68">
        <f>'Schedule 2D Adjustments'!R16</f>
        <v>0</v>
      </c>
      <c r="L17" s="68">
        <f t="shared" ref="L17:L73" si="1">SUM(J17:K17)</f>
        <v>0</v>
      </c>
      <c r="N17" s="119">
        <f>'Schedule 2D Adjustments'!X16</f>
        <v>0</v>
      </c>
      <c r="O17" s="119">
        <f>'Schedule 2D Adjustments'!AA16</f>
        <v>0</v>
      </c>
    </row>
    <row r="18" spans="1:15" x14ac:dyDescent="0.35">
      <c r="A18" s="24">
        <v>3</v>
      </c>
      <c r="B18" s="514" t="str">
        <f>'Schedule 2D Adjustments'!B17:D17</f>
        <v/>
      </c>
      <c r="C18" s="514"/>
      <c r="D18" s="514"/>
      <c r="F18" s="117">
        <f>'Schedule 2D Adjustments'!H17</f>
        <v>0</v>
      </c>
      <c r="G18" s="68">
        <f>'Schedule 2D Adjustments'!J17</f>
        <v>0</v>
      </c>
      <c r="H18" s="68">
        <f t="shared" si="0"/>
        <v>0</v>
      </c>
      <c r="J18" s="117">
        <f>'Schedule 2D Adjustments'!P17</f>
        <v>0</v>
      </c>
      <c r="K18" s="68">
        <f>'Schedule 2D Adjustments'!R17</f>
        <v>0</v>
      </c>
      <c r="L18" s="68">
        <f t="shared" si="1"/>
        <v>0</v>
      </c>
      <c r="N18" s="119">
        <f>'Schedule 2D Adjustments'!X17</f>
        <v>0</v>
      </c>
      <c r="O18" s="119">
        <f>'Schedule 2D Adjustments'!AA17</f>
        <v>0</v>
      </c>
    </row>
    <row r="19" spans="1:15" x14ac:dyDescent="0.35">
      <c r="A19" s="24">
        <v>4</v>
      </c>
      <c r="B19" s="514" t="str">
        <f>'Schedule 2D Adjustments'!B18:D18</f>
        <v/>
      </c>
      <c r="C19" s="514"/>
      <c r="D19" s="514"/>
      <c r="F19" s="117">
        <f>'Schedule 2D Adjustments'!H18</f>
        <v>0</v>
      </c>
      <c r="G19" s="68">
        <f>'Schedule 2D Adjustments'!J18</f>
        <v>0</v>
      </c>
      <c r="H19" s="68">
        <f t="shared" si="0"/>
        <v>0</v>
      </c>
      <c r="J19" s="117">
        <f>'Schedule 2D Adjustments'!P18</f>
        <v>0</v>
      </c>
      <c r="K19" s="68">
        <f>'Schedule 2D Adjustments'!R18</f>
        <v>0</v>
      </c>
      <c r="L19" s="68">
        <f t="shared" si="1"/>
        <v>0</v>
      </c>
      <c r="N19" s="119">
        <f>'Schedule 2D Adjustments'!X18</f>
        <v>0</v>
      </c>
      <c r="O19" s="119">
        <f>'Schedule 2D Adjustments'!AA18</f>
        <v>0</v>
      </c>
    </row>
    <row r="20" spans="1:15" x14ac:dyDescent="0.35">
      <c r="A20" s="24">
        <v>5</v>
      </c>
      <c r="B20" s="514" t="str">
        <f>'Schedule 2D Adjustments'!B19:D19</f>
        <v/>
      </c>
      <c r="C20" s="514"/>
      <c r="D20" s="514"/>
      <c r="F20" s="117">
        <f>'Schedule 2D Adjustments'!H19</f>
        <v>0</v>
      </c>
      <c r="G20" s="68">
        <f>'Schedule 2D Adjustments'!J19</f>
        <v>0</v>
      </c>
      <c r="H20" s="68">
        <f t="shared" si="0"/>
        <v>0</v>
      </c>
      <c r="J20" s="117">
        <f>'Schedule 2D Adjustments'!P19</f>
        <v>0</v>
      </c>
      <c r="K20" s="68">
        <f>'Schedule 2D Adjustments'!R19</f>
        <v>0</v>
      </c>
      <c r="L20" s="68">
        <f t="shared" si="1"/>
        <v>0</v>
      </c>
      <c r="N20" s="119">
        <f>'Schedule 2D Adjustments'!X19</f>
        <v>0</v>
      </c>
      <c r="O20" s="119">
        <f>'Schedule 2D Adjustments'!AA19</f>
        <v>0</v>
      </c>
    </row>
    <row r="21" spans="1:15" x14ac:dyDescent="0.35">
      <c r="A21" s="24">
        <v>6</v>
      </c>
      <c r="B21" s="514" t="str">
        <f>'Schedule 2D Adjustments'!B20:D20</f>
        <v/>
      </c>
      <c r="C21" s="514"/>
      <c r="D21" s="514"/>
      <c r="F21" s="117">
        <f>'Schedule 2D Adjustments'!H20</f>
        <v>0</v>
      </c>
      <c r="G21" s="68">
        <f>'Schedule 2D Adjustments'!J20</f>
        <v>0</v>
      </c>
      <c r="H21" s="68">
        <f t="shared" si="0"/>
        <v>0</v>
      </c>
      <c r="J21" s="117">
        <f>'Schedule 2D Adjustments'!P20</f>
        <v>0</v>
      </c>
      <c r="K21" s="68">
        <f>'Schedule 2D Adjustments'!R20</f>
        <v>0</v>
      </c>
      <c r="L21" s="68">
        <f t="shared" si="1"/>
        <v>0</v>
      </c>
      <c r="N21" s="119">
        <f>'Schedule 2D Adjustments'!X20</f>
        <v>0</v>
      </c>
      <c r="O21" s="119">
        <f>'Schedule 2D Adjustments'!AA20</f>
        <v>0</v>
      </c>
    </row>
    <row r="22" spans="1:15" x14ac:dyDescent="0.35">
      <c r="A22" s="24">
        <v>7</v>
      </c>
      <c r="B22" s="514" t="str">
        <f>'Schedule 2D Adjustments'!B21:D21</f>
        <v/>
      </c>
      <c r="C22" s="514"/>
      <c r="D22" s="514"/>
      <c r="F22" s="117">
        <f>'Schedule 2D Adjustments'!H21</f>
        <v>0</v>
      </c>
      <c r="G22" s="68">
        <f>'Schedule 2D Adjustments'!J21</f>
        <v>0</v>
      </c>
      <c r="H22" s="68">
        <f t="shared" si="0"/>
        <v>0</v>
      </c>
      <c r="J22" s="117">
        <f>'Schedule 2D Adjustments'!P21</f>
        <v>0</v>
      </c>
      <c r="K22" s="68">
        <f>'Schedule 2D Adjustments'!R21</f>
        <v>0</v>
      </c>
      <c r="L22" s="68">
        <f t="shared" si="1"/>
        <v>0</v>
      </c>
      <c r="N22" s="119">
        <f>'Schedule 2D Adjustments'!X21</f>
        <v>0</v>
      </c>
      <c r="O22" s="119">
        <f>'Schedule 2D Adjustments'!AA21</f>
        <v>0</v>
      </c>
    </row>
    <row r="23" spans="1:15" x14ac:dyDescent="0.35">
      <c r="A23" s="24">
        <v>8</v>
      </c>
      <c r="B23" s="514" t="str">
        <f>'Schedule 2D Adjustments'!B22:D22</f>
        <v/>
      </c>
      <c r="C23" s="514"/>
      <c r="D23" s="514"/>
      <c r="F23" s="117">
        <f>'Schedule 2D Adjustments'!H22</f>
        <v>0</v>
      </c>
      <c r="G23" s="68">
        <f>'Schedule 2D Adjustments'!J22</f>
        <v>0</v>
      </c>
      <c r="H23" s="68">
        <f t="shared" si="0"/>
        <v>0</v>
      </c>
      <c r="J23" s="117">
        <f>'Schedule 2D Adjustments'!P22</f>
        <v>0</v>
      </c>
      <c r="K23" s="68">
        <f>'Schedule 2D Adjustments'!R22</f>
        <v>0</v>
      </c>
      <c r="L23" s="68">
        <f t="shared" si="1"/>
        <v>0</v>
      </c>
      <c r="N23" s="119">
        <f>'Schedule 2D Adjustments'!X22</f>
        <v>0</v>
      </c>
      <c r="O23" s="119">
        <f>'Schedule 2D Adjustments'!AA22</f>
        <v>0</v>
      </c>
    </row>
    <row r="24" spans="1:15" x14ac:dyDescent="0.35">
      <c r="A24" s="24">
        <v>9</v>
      </c>
      <c r="B24" s="514" t="str">
        <f>'Schedule 2D Adjustments'!B23:D23</f>
        <v/>
      </c>
      <c r="C24" s="514"/>
      <c r="D24" s="514"/>
      <c r="F24" s="117">
        <f>'Schedule 2D Adjustments'!H23</f>
        <v>0</v>
      </c>
      <c r="G24" s="68">
        <f>'Schedule 2D Adjustments'!J23</f>
        <v>0</v>
      </c>
      <c r="H24" s="68">
        <f t="shared" si="0"/>
        <v>0</v>
      </c>
      <c r="J24" s="117">
        <f>'Schedule 2D Adjustments'!P23</f>
        <v>0</v>
      </c>
      <c r="K24" s="68">
        <f>'Schedule 2D Adjustments'!R23</f>
        <v>0</v>
      </c>
      <c r="L24" s="68">
        <f t="shared" si="1"/>
        <v>0</v>
      </c>
      <c r="N24" s="119">
        <f>'Schedule 2D Adjustments'!X23</f>
        <v>0</v>
      </c>
      <c r="O24" s="119">
        <f>'Schedule 2D Adjustments'!AA23</f>
        <v>0</v>
      </c>
    </row>
    <row r="25" spans="1:15" x14ac:dyDescent="0.35">
      <c r="A25" s="24">
        <v>10</v>
      </c>
      <c r="B25" s="514" t="str">
        <f>'Schedule 2D Adjustments'!B24:D24</f>
        <v/>
      </c>
      <c r="C25" s="514"/>
      <c r="D25" s="514"/>
      <c r="F25" s="117">
        <f>'Schedule 2D Adjustments'!H24</f>
        <v>0</v>
      </c>
      <c r="G25" s="68">
        <f>'Schedule 2D Adjustments'!J24</f>
        <v>0</v>
      </c>
      <c r="H25" s="68">
        <f t="shared" si="0"/>
        <v>0</v>
      </c>
      <c r="J25" s="117">
        <f>'Schedule 2D Adjustments'!P24</f>
        <v>0</v>
      </c>
      <c r="K25" s="68">
        <f>'Schedule 2D Adjustments'!R24</f>
        <v>0</v>
      </c>
      <c r="L25" s="68">
        <f t="shared" si="1"/>
        <v>0</v>
      </c>
      <c r="N25" s="119">
        <f>'Schedule 2D Adjustments'!X24</f>
        <v>0</v>
      </c>
      <c r="O25" s="119">
        <f>'Schedule 2D Adjustments'!AA24</f>
        <v>0</v>
      </c>
    </row>
    <row r="26" spans="1:15" x14ac:dyDescent="0.35">
      <c r="A26" s="24">
        <v>11</v>
      </c>
      <c r="B26" s="514" t="str">
        <f>'Schedule 2D Adjustments'!B25:D25</f>
        <v/>
      </c>
      <c r="C26" s="514"/>
      <c r="D26" s="514"/>
      <c r="F26" s="117">
        <f>'Schedule 2D Adjustments'!H25</f>
        <v>0</v>
      </c>
      <c r="G26" s="68">
        <f>'Schedule 2D Adjustments'!J25</f>
        <v>0</v>
      </c>
      <c r="H26" s="68">
        <f t="shared" si="0"/>
        <v>0</v>
      </c>
      <c r="J26" s="117">
        <f>'Schedule 2D Adjustments'!P25</f>
        <v>0</v>
      </c>
      <c r="K26" s="68">
        <f>'Schedule 2D Adjustments'!R25</f>
        <v>0</v>
      </c>
      <c r="L26" s="68">
        <f t="shared" si="1"/>
        <v>0</v>
      </c>
      <c r="N26" s="119">
        <f>'Schedule 2D Adjustments'!X25</f>
        <v>0</v>
      </c>
      <c r="O26" s="119">
        <f>'Schedule 2D Adjustments'!AA25</f>
        <v>0</v>
      </c>
    </row>
    <row r="27" spans="1:15" x14ac:dyDescent="0.35">
      <c r="A27" s="24">
        <v>12</v>
      </c>
      <c r="B27" s="514" t="str">
        <f>'Schedule 2D Adjustments'!B26:D26</f>
        <v/>
      </c>
      <c r="C27" s="514"/>
      <c r="D27" s="514"/>
      <c r="F27" s="117">
        <f>'Schedule 2D Adjustments'!H26</f>
        <v>0</v>
      </c>
      <c r="G27" s="68">
        <f>'Schedule 2D Adjustments'!J26</f>
        <v>0</v>
      </c>
      <c r="H27" s="68">
        <f t="shared" si="0"/>
        <v>0</v>
      </c>
      <c r="J27" s="117">
        <f>'Schedule 2D Adjustments'!P26</f>
        <v>0</v>
      </c>
      <c r="K27" s="68">
        <f>'Schedule 2D Adjustments'!R26</f>
        <v>0</v>
      </c>
      <c r="L27" s="68">
        <f t="shared" si="1"/>
        <v>0</v>
      </c>
      <c r="N27" s="119">
        <f>'Schedule 2D Adjustments'!X26</f>
        <v>0</v>
      </c>
      <c r="O27" s="119">
        <f>'Schedule 2D Adjustments'!AA26</f>
        <v>0</v>
      </c>
    </row>
    <row r="28" spans="1:15" x14ac:dyDescent="0.35">
      <c r="A28" s="24">
        <v>13</v>
      </c>
      <c r="B28" s="514" t="str">
        <f>'Schedule 2D Adjustments'!B27:D27</f>
        <v/>
      </c>
      <c r="C28" s="514"/>
      <c r="D28" s="514"/>
      <c r="F28" s="117">
        <f>'Schedule 2D Adjustments'!H27</f>
        <v>0</v>
      </c>
      <c r="G28" s="68">
        <f>'Schedule 2D Adjustments'!J27</f>
        <v>0</v>
      </c>
      <c r="H28" s="68">
        <f t="shared" si="0"/>
        <v>0</v>
      </c>
      <c r="J28" s="117">
        <f>'Schedule 2D Adjustments'!P27</f>
        <v>0</v>
      </c>
      <c r="K28" s="68">
        <f>'Schedule 2D Adjustments'!R27</f>
        <v>0</v>
      </c>
      <c r="L28" s="68">
        <f t="shared" si="1"/>
        <v>0</v>
      </c>
      <c r="N28" s="119">
        <f>'Schedule 2D Adjustments'!X27</f>
        <v>0</v>
      </c>
      <c r="O28" s="119">
        <f>'Schedule 2D Adjustments'!AA27</f>
        <v>0</v>
      </c>
    </row>
    <row r="29" spans="1:15" x14ac:dyDescent="0.35">
      <c r="A29" s="24">
        <v>14</v>
      </c>
      <c r="B29" s="514" t="str">
        <f>'Schedule 2D Adjustments'!B28:D28</f>
        <v/>
      </c>
      <c r="C29" s="514"/>
      <c r="D29" s="514"/>
      <c r="F29" s="117">
        <f>'Schedule 2D Adjustments'!H28</f>
        <v>0</v>
      </c>
      <c r="G29" s="68">
        <f>'Schedule 2D Adjustments'!J28</f>
        <v>0</v>
      </c>
      <c r="H29" s="68">
        <f t="shared" si="0"/>
        <v>0</v>
      </c>
      <c r="J29" s="117">
        <f>'Schedule 2D Adjustments'!P28</f>
        <v>0</v>
      </c>
      <c r="K29" s="68">
        <f>'Schedule 2D Adjustments'!R28</f>
        <v>0</v>
      </c>
      <c r="L29" s="68">
        <f t="shared" si="1"/>
        <v>0</v>
      </c>
      <c r="N29" s="119">
        <f>'Schedule 2D Adjustments'!X28</f>
        <v>0</v>
      </c>
      <c r="O29" s="119">
        <f>'Schedule 2D Adjustments'!AA28</f>
        <v>0</v>
      </c>
    </row>
    <row r="30" spans="1:15" x14ac:dyDescent="0.35">
      <c r="A30" s="24">
        <v>15</v>
      </c>
      <c r="B30" s="514" t="str">
        <f>'Schedule 2D Adjustments'!B29:D29</f>
        <v/>
      </c>
      <c r="C30" s="514"/>
      <c r="D30" s="514"/>
      <c r="F30" s="117">
        <f>'Schedule 2D Adjustments'!H29</f>
        <v>0</v>
      </c>
      <c r="G30" s="68">
        <f>'Schedule 2D Adjustments'!J29</f>
        <v>0</v>
      </c>
      <c r="H30" s="68">
        <f t="shared" si="0"/>
        <v>0</v>
      </c>
      <c r="J30" s="117">
        <f>'Schedule 2D Adjustments'!P29</f>
        <v>0</v>
      </c>
      <c r="K30" s="68">
        <f>'Schedule 2D Adjustments'!R29</f>
        <v>0</v>
      </c>
      <c r="L30" s="68">
        <f t="shared" si="1"/>
        <v>0</v>
      </c>
      <c r="N30" s="119">
        <f>'Schedule 2D Adjustments'!X29</f>
        <v>0</v>
      </c>
      <c r="O30" s="119">
        <f>'Schedule 2D Adjustments'!AA29</f>
        <v>0</v>
      </c>
    </row>
    <row r="31" spans="1:15" x14ac:dyDescent="0.35">
      <c r="A31" s="24">
        <v>16</v>
      </c>
      <c r="B31" s="514" t="str">
        <f>'Schedule 2D Adjustments'!B30:D30</f>
        <v/>
      </c>
      <c r="C31" s="514"/>
      <c r="D31" s="514"/>
      <c r="F31" s="117">
        <f>'Schedule 2D Adjustments'!H30</f>
        <v>0</v>
      </c>
      <c r="G31" s="68">
        <f>'Schedule 2D Adjustments'!J30</f>
        <v>0</v>
      </c>
      <c r="H31" s="68">
        <f t="shared" si="0"/>
        <v>0</v>
      </c>
      <c r="J31" s="117">
        <f>'Schedule 2D Adjustments'!P30</f>
        <v>0</v>
      </c>
      <c r="K31" s="68">
        <f>'Schedule 2D Adjustments'!R30</f>
        <v>0</v>
      </c>
      <c r="L31" s="68">
        <f t="shared" si="1"/>
        <v>0</v>
      </c>
      <c r="N31" s="119">
        <f>'Schedule 2D Adjustments'!X30</f>
        <v>0</v>
      </c>
      <c r="O31" s="119">
        <f>'Schedule 2D Adjustments'!AA30</f>
        <v>0</v>
      </c>
    </row>
    <row r="32" spans="1:15" x14ac:dyDescent="0.35">
      <c r="A32" s="24">
        <v>17</v>
      </c>
      <c r="B32" s="514" t="str">
        <f>'Schedule 2D Adjustments'!B31:D31</f>
        <v/>
      </c>
      <c r="C32" s="514"/>
      <c r="D32" s="514"/>
      <c r="F32" s="117">
        <f>'Schedule 2D Adjustments'!H31</f>
        <v>0</v>
      </c>
      <c r="G32" s="68">
        <f>'Schedule 2D Adjustments'!J31</f>
        <v>0</v>
      </c>
      <c r="H32" s="68">
        <f t="shared" si="0"/>
        <v>0</v>
      </c>
      <c r="J32" s="117">
        <f>'Schedule 2D Adjustments'!P31</f>
        <v>0</v>
      </c>
      <c r="K32" s="68">
        <f>'Schedule 2D Adjustments'!R31</f>
        <v>0</v>
      </c>
      <c r="L32" s="68">
        <f t="shared" si="1"/>
        <v>0</v>
      </c>
      <c r="N32" s="119">
        <f>'Schedule 2D Adjustments'!X31</f>
        <v>0</v>
      </c>
      <c r="O32" s="119">
        <f>'Schedule 2D Adjustments'!AA31</f>
        <v>0</v>
      </c>
    </row>
    <row r="33" spans="1:15" x14ac:dyDescent="0.35">
      <c r="A33" s="24">
        <v>18</v>
      </c>
      <c r="B33" s="514" t="str">
        <f>'Schedule 2D Adjustments'!B32:D32</f>
        <v/>
      </c>
      <c r="C33" s="514"/>
      <c r="D33" s="514"/>
      <c r="F33" s="117">
        <f>'Schedule 2D Adjustments'!H32</f>
        <v>0</v>
      </c>
      <c r="G33" s="68">
        <f>'Schedule 2D Adjustments'!J32</f>
        <v>0</v>
      </c>
      <c r="H33" s="68">
        <f t="shared" si="0"/>
        <v>0</v>
      </c>
      <c r="J33" s="117">
        <f>'Schedule 2D Adjustments'!P32</f>
        <v>0</v>
      </c>
      <c r="K33" s="68">
        <f>'Schedule 2D Adjustments'!R32</f>
        <v>0</v>
      </c>
      <c r="L33" s="68">
        <f t="shared" si="1"/>
        <v>0</v>
      </c>
      <c r="N33" s="119">
        <f>'Schedule 2D Adjustments'!X32</f>
        <v>0</v>
      </c>
      <c r="O33" s="119">
        <f>'Schedule 2D Adjustments'!AA32</f>
        <v>0</v>
      </c>
    </row>
    <row r="34" spans="1:15" x14ac:dyDescent="0.35">
      <c r="A34" s="24">
        <v>19</v>
      </c>
      <c r="B34" s="514" t="str">
        <f>'Schedule 2D Adjustments'!B33:D33</f>
        <v/>
      </c>
      <c r="C34" s="514"/>
      <c r="D34" s="514"/>
      <c r="F34" s="117">
        <f>'Schedule 2D Adjustments'!H33</f>
        <v>0</v>
      </c>
      <c r="G34" s="68">
        <f>'Schedule 2D Adjustments'!J33</f>
        <v>0</v>
      </c>
      <c r="H34" s="68">
        <f t="shared" si="0"/>
        <v>0</v>
      </c>
      <c r="J34" s="117">
        <f>'Schedule 2D Adjustments'!P33</f>
        <v>0</v>
      </c>
      <c r="K34" s="68">
        <f>'Schedule 2D Adjustments'!R33</f>
        <v>0</v>
      </c>
      <c r="L34" s="68">
        <f t="shared" si="1"/>
        <v>0</v>
      </c>
      <c r="N34" s="119">
        <f>'Schedule 2D Adjustments'!X33</f>
        <v>0</v>
      </c>
      <c r="O34" s="119">
        <f>'Schedule 2D Adjustments'!AA33</f>
        <v>0</v>
      </c>
    </row>
    <row r="35" spans="1:15" x14ac:dyDescent="0.35">
      <c r="A35" s="24">
        <v>20</v>
      </c>
      <c r="B35" s="514" t="str">
        <f>'Schedule 2D Adjustments'!B34:D34</f>
        <v/>
      </c>
      <c r="C35" s="514"/>
      <c r="D35" s="514"/>
      <c r="F35" s="117">
        <f>'Schedule 2D Adjustments'!H34</f>
        <v>0</v>
      </c>
      <c r="G35" s="68">
        <f>'Schedule 2D Adjustments'!J34</f>
        <v>0</v>
      </c>
      <c r="H35" s="68">
        <f t="shared" si="0"/>
        <v>0</v>
      </c>
      <c r="J35" s="117">
        <f>'Schedule 2D Adjustments'!P34</f>
        <v>0</v>
      </c>
      <c r="K35" s="68">
        <f>'Schedule 2D Adjustments'!R34</f>
        <v>0</v>
      </c>
      <c r="L35" s="68">
        <f t="shared" si="1"/>
        <v>0</v>
      </c>
      <c r="N35" s="119">
        <f>'Schedule 2D Adjustments'!X34</f>
        <v>0</v>
      </c>
      <c r="O35" s="119">
        <f>'Schedule 2D Adjustments'!AA34</f>
        <v>0</v>
      </c>
    </row>
    <row r="36" spans="1:15" x14ac:dyDescent="0.35">
      <c r="A36" s="24">
        <v>21</v>
      </c>
      <c r="B36" s="514" t="str">
        <f>'Schedule 2D Adjustments'!B35:D35</f>
        <v/>
      </c>
      <c r="C36" s="514"/>
      <c r="D36" s="514"/>
      <c r="F36" s="117">
        <f>'Schedule 2D Adjustments'!H35</f>
        <v>0</v>
      </c>
      <c r="G36" s="68">
        <f>'Schedule 2D Adjustments'!J35</f>
        <v>0</v>
      </c>
      <c r="H36" s="68">
        <f t="shared" si="0"/>
        <v>0</v>
      </c>
      <c r="J36" s="117">
        <f>'Schedule 2D Adjustments'!P35</f>
        <v>0</v>
      </c>
      <c r="K36" s="68">
        <f>'Schedule 2D Adjustments'!R35</f>
        <v>0</v>
      </c>
      <c r="L36" s="68">
        <f t="shared" si="1"/>
        <v>0</v>
      </c>
      <c r="N36" s="119">
        <f>'Schedule 2D Adjustments'!X35</f>
        <v>0</v>
      </c>
      <c r="O36" s="119">
        <f>'Schedule 2D Adjustments'!AA35</f>
        <v>0</v>
      </c>
    </row>
    <row r="37" spans="1:15" x14ac:dyDescent="0.35">
      <c r="A37" s="24">
        <v>22</v>
      </c>
      <c r="B37" s="514" t="str">
        <f>'Schedule 2D Adjustments'!B36:D36</f>
        <v/>
      </c>
      <c r="C37" s="514"/>
      <c r="D37" s="514"/>
      <c r="F37" s="117">
        <f>'Schedule 2D Adjustments'!H36</f>
        <v>0</v>
      </c>
      <c r="G37" s="68">
        <f>'Schedule 2D Adjustments'!J36</f>
        <v>0</v>
      </c>
      <c r="H37" s="68">
        <f t="shared" si="0"/>
        <v>0</v>
      </c>
      <c r="J37" s="117">
        <f>'Schedule 2D Adjustments'!P36</f>
        <v>0</v>
      </c>
      <c r="K37" s="68">
        <f>'Schedule 2D Adjustments'!R36</f>
        <v>0</v>
      </c>
      <c r="L37" s="68">
        <f t="shared" si="1"/>
        <v>0</v>
      </c>
      <c r="N37" s="119">
        <f>'Schedule 2D Adjustments'!X36</f>
        <v>0</v>
      </c>
      <c r="O37" s="119">
        <f>'Schedule 2D Adjustments'!AA36</f>
        <v>0</v>
      </c>
    </row>
    <row r="38" spans="1:15" x14ac:dyDescent="0.35">
      <c r="A38" s="24">
        <v>23</v>
      </c>
      <c r="B38" s="514" t="str">
        <f>'Schedule 2D Adjustments'!B37:D37</f>
        <v/>
      </c>
      <c r="C38" s="514"/>
      <c r="D38" s="514"/>
      <c r="F38" s="117">
        <f>'Schedule 2D Adjustments'!H37</f>
        <v>0</v>
      </c>
      <c r="G38" s="68">
        <f>'Schedule 2D Adjustments'!J37</f>
        <v>0</v>
      </c>
      <c r="H38" s="68">
        <f t="shared" si="0"/>
        <v>0</v>
      </c>
      <c r="J38" s="117">
        <f>'Schedule 2D Adjustments'!P37</f>
        <v>0</v>
      </c>
      <c r="K38" s="68">
        <f>'Schedule 2D Adjustments'!R37</f>
        <v>0</v>
      </c>
      <c r="L38" s="68">
        <f t="shared" si="1"/>
        <v>0</v>
      </c>
      <c r="N38" s="119">
        <f>'Schedule 2D Adjustments'!X37</f>
        <v>0</v>
      </c>
      <c r="O38" s="119">
        <f>'Schedule 2D Adjustments'!AA37</f>
        <v>0</v>
      </c>
    </row>
    <row r="39" spans="1:15" x14ac:dyDescent="0.35">
      <c r="A39" s="24">
        <v>24</v>
      </c>
      <c r="B39" s="514" t="str">
        <f>'Schedule 2D Adjustments'!B38:D38</f>
        <v/>
      </c>
      <c r="C39" s="514"/>
      <c r="D39" s="514"/>
      <c r="F39" s="117">
        <f>'Schedule 2D Adjustments'!H38</f>
        <v>0</v>
      </c>
      <c r="G39" s="68">
        <f>'Schedule 2D Adjustments'!J38</f>
        <v>0</v>
      </c>
      <c r="H39" s="68">
        <f t="shared" si="0"/>
        <v>0</v>
      </c>
      <c r="J39" s="117">
        <f>'Schedule 2D Adjustments'!P38</f>
        <v>0</v>
      </c>
      <c r="K39" s="68">
        <f>'Schedule 2D Adjustments'!R38</f>
        <v>0</v>
      </c>
      <c r="L39" s="68">
        <f t="shared" si="1"/>
        <v>0</v>
      </c>
      <c r="N39" s="119">
        <f>'Schedule 2D Adjustments'!X38</f>
        <v>0</v>
      </c>
      <c r="O39" s="119">
        <f>'Schedule 2D Adjustments'!AA38</f>
        <v>0</v>
      </c>
    </row>
    <row r="40" spans="1:15" x14ac:dyDescent="0.35">
      <c r="A40" s="24">
        <v>25</v>
      </c>
      <c r="B40" s="514" t="str">
        <f>'Schedule 2D Adjustments'!B39:D39</f>
        <v/>
      </c>
      <c r="C40" s="514"/>
      <c r="D40" s="514"/>
      <c r="F40" s="117">
        <f>'Schedule 2D Adjustments'!H39</f>
        <v>0</v>
      </c>
      <c r="G40" s="68">
        <f>'Schedule 2D Adjustments'!J39</f>
        <v>0</v>
      </c>
      <c r="H40" s="68">
        <f t="shared" si="0"/>
        <v>0</v>
      </c>
      <c r="J40" s="117">
        <f>'Schedule 2D Adjustments'!P39</f>
        <v>0</v>
      </c>
      <c r="K40" s="68">
        <f>'Schedule 2D Adjustments'!R39</f>
        <v>0</v>
      </c>
      <c r="L40" s="68">
        <f t="shared" si="1"/>
        <v>0</v>
      </c>
      <c r="N40" s="119">
        <f>'Schedule 2D Adjustments'!X39</f>
        <v>0</v>
      </c>
      <c r="O40" s="119">
        <f>'Schedule 2D Adjustments'!AA39</f>
        <v>0</v>
      </c>
    </row>
    <row r="41" spans="1:15" x14ac:dyDescent="0.35">
      <c r="A41" s="24">
        <v>26</v>
      </c>
      <c r="B41" s="514" t="str">
        <f>'Schedule 2D Adjustments'!B40:D40</f>
        <v/>
      </c>
      <c r="C41" s="514"/>
      <c r="D41" s="514"/>
      <c r="F41" s="117">
        <f>'Schedule 2D Adjustments'!H40</f>
        <v>0</v>
      </c>
      <c r="G41" s="68">
        <f>'Schedule 2D Adjustments'!J40</f>
        <v>0</v>
      </c>
      <c r="H41" s="68">
        <f t="shared" si="0"/>
        <v>0</v>
      </c>
      <c r="J41" s="117">
        <f>'Schedule 2D Adjustments'!P40</f>
        <v>0</v>
      </c>
      <c r="K41" s="68">
        <f>'Schedule 2D Adjustments'!R40</f>
        <v>0</v>
      </c>
      <c r="L41" s="68">
        <f t="shared" si="1"/>
        <v>0</v>
      </c>
      <c r="N41" s="119">
        <f>'Schedule 2D Adjustments'!X40</f>
        <v>0</v>
      </c>
      <c r="O41" s="119">
        <f>'Schedule 2D Adjustments'!AA40</f>
        <v>0</v>
      </c>
    </row>
    <row r="42" spans="1:15" x14ac:dyDescent="0.35">
      <c r="A42" s="24">
        <v>27</v>
      </c>
      <c r="B42" s="514" t="str">
        <f>'Schedule 2D Adjustments'!B41:D41</f>
        <v/>
      </c>
      <c r="C42" s="514"/>
      <c r="D42" s="514"/>
      <c r="F42" s="117">
        <f>'Schedule 2D Adjustments'!H41</f>
        <v>0</v>
      </c>
      <c r="G42" s="68">
        <f>'Schedule 2D Adjustments'!J41</f>
        <v>0</v>
      </c>
      <c r="H42" s="68">
        <f t="shared" si="0"/>
        <v>0</v>
      </c>
      <c r="J42" s="117">
        <f>'Schedule 2D Adjustments'!P41</f>
        <v>0</v>
      </c>
      <c r="K42" s="68">
        <f>'Schedule 2D Adjustments'!R41</f>
        <v>0</v>
      </c>
      <c r="L42" s="68">
        <f t="shared" si="1"/>
        <v>0</v>
      </c>
      <c r="N42" s="119">
        <f>'Schedule 2D Adjustments'!X41</f>
        <v>0</v>
      </c>
      <c r="O42" s="119">
        <f>'Schedule 2D Adjustments'!AA41</f>
        <v>0</v>
      </c>
    </row>
    <row r="43" spans="1:15" x14ac:dyDescent="0.35">
      <c r="A43" s="24">
        <v>28</v>
      </c>
      <c r="B43" s="514" t="str">
        <f>'Schedule 2D Adjustments'!B42:D42</f>
        <v/>
      </c>
      <c r="C43" s="514"/>
      <c r="D43" s="514"/>
      <c r="F43" s="117">
        <f>'Schedule 2D Adjustments'!H42</f>
        <v>0</v>
      </c>
      <c r="G43" s="68">
        <f>'Schedule 2D Adjustments'!J42</f>
        <v>0</v>
      </c>
      <c r="H43" s="68">
        <f t="shared" si="0"/>
        <v>0</v>
      </c>
      <c r="J43" s="117">
        <f>'Schedule 2D Adjustments'!P42</f>
        <v>0</v>
      </c>
      <c r="K43" s="68">
        <f>'Schedule 2D Adjustments'!R42</f>
        <v>0</v>
      </c>
      <c r="L43" s="68">
        <f t="shared" si="1"/>
        <v>0</v>
      </c>
      <c r="N43" s="119">
        <f>'Schedule 2D Adjustments'!X42</f>
        <v>0</v>
      </c>
      <c r="O43" s="119">
        <f>'Schedule 2D Adjustments'!AA42</f>
        <v>0</v>
      </c>
    </row>
    <row r="44" spans="1:15" x14ac:dyDescent="0.35">
      <c r="A44" s="24">
        <v>29</v>
      </c>
      <c r="B44" s="514" t="str">
        <f>'Schedule 2D Adjustments'!B43:D43</f>
        <v/>
      </c>
      <c r="C44" s="514"/>
      <c r="D44" s="514"/>
      <c r="F44" s="117">
        <f>'Schedule 2D Adjustments'!H43</f>
        <v>0</v>
      </c>
      <c r="G44" s="68">
        <f>'Schedule 2D Adjustments'!J43</f>
        <v>0</v>
      </c>
      <c r="H44" s="68">
        <f t="shared" si="0"/>
        <v>0</v>
      </c>
      <c r="J44" s="117">
        <f>'Schedule 2D Adjustments'!P43</f>
        <v>0</v>
      </c>
      <c r="K44" s="68">
        <f>'Schedule 2D Adjustments'!R43</f>
        <v>0</v>
      </c>
      <c r="L44" s="68">
        <f t="shared" si="1"/>
        <v>0</v>
      </c>
      <c r="N44" s="119">
        <f>'Schedule 2D Adjustments'!X43</f>
        <v>0</v>
      </c>
      <c r="O44" s="119">
        <f>'Schedule 2D Adjustments'!AA43</f>
        <v>0</v>
      </c>
    </row>
    <row r="45" spans="1:15" x14ac:dyDescent="0.35">
      <c r="A45" s="24">
        <v>30</v>
      </c>
      <c r="B45" s="514" t="str">
        <f>'Schedule 2D Adjustments'!B44:D44</f>
        <v/>
      </c>
      <c r="C45" s="514"/>
      <c r="D45" s="514"/>
      <c r="F45" s="117">
        <f>'Schedule 2D Adjustments'!H44</f>
        <v>0</v>
      </c>
      <c r="G45" s="68">
        <f>'Schedule 2D Adjustments'!J44</f>
        <v>0</v>
      </c>
      <c r="H45" s="68">
        <f t="shared" si="0"/>
        <v>0</v>
      </c>
      <c r="J45" s="117">
        <f>'Schedule 2D Adjustments'!P44</f>
        <v>0</v>
      </c>
      <c r="K45" s="68">
        <f>'Schedule 2D Adjustments'!R44</f>
        <v>0</v>
      </c>
      <c r="L45" s="68">
        <f t="shared" si="1"/>
        <v>0</v>
      </c>
      <c r="N45" s="119">
        <f>'Schedule 2D Adjustments'!X44</f>
        <v>0</v>
      </c>
      <c r="O45" s="119">
        <f>'Schedule 2D Adjustments'!AA44</f>
        <v>0</v>
      </c>
    </row>
    <row r="46" spans="1:15" x14ac:dyDescent="0.35">
      <c r="A46" s="24">
        <v>31</v>
      </c>
      <c r="B46" s="514" t="str">
        <f>'Schedule 2D Adjustments'!B45:D45</f>
        <v/>
      </c>
      <c r="C46" s="514"/>
      <c r="D46" s="514"/>
      <c r="F46" s="117">
        <f>'Schedule 2D Adjustments'!H45</f>
        <v>0</v>
      </c>
      <c r="G46" s="68">
        <f>'Schedule 2D Adjustments'!J45</f>
        <v>0</v>
      </c>
      <c r="H46" s="68">
        <f t="shared" si="0"/>
        <v>0</v>
      </c>
      <c r="J46" s="117">
        <f>'Schedule 2D Adjustments'!P45</f>
        <v>0</v>
      </c>
      <c r="K46" s="68">
        <f>'Schedule 2D Adjustments'!R45</f>
        <v>0</v>
      </c>
      <c r="L46" s="68">
        <f t="shared" si="1"/>
        <v>0</v>
      </c>
      <c r="N46" s="119">
        <f>'Schedule 2D Adjustments'!X45</f>
        <v>0</v>
      </c>
      <c r="O46" s="119">
        <f>'Schedule 2D Adjustments'!AA45</f>
        <v>0</v>
      </c>
    </row>
    <row r="47" spans="1:15" x14ac:dyDescent="0.35">
      <c r="A47" s="24">
        <v>32</v>
      </c>
      <c r="B47" s="514" t="str">
        <f>'Schedule 2D Adjustments'!B46:D46</f>
        <v/>
      </c>
      <c r="C47" s="514"/>
      <c r="D47" s="514"/>
      <c r="F47" s="117">
        <f>'Schedule 2D Adjustments'!H46</f>
        <v>0</v>
      </c>
      <c r="G47" s="68">
        <f>'Schedule 2D Adjustments'!J46</f>
        <v>0</v>
      </c>
      <c r="H47" s="68">
        <f t="shared" si="0"/>
        <v>0</v>
      </c>
      <c r="J47" s="117">
        <f>'Schedule 2D Adjustments'!P46</f>
        <v>0</v>
      </c>
      <c r="K47" s="68">
        <f>'Schedule 2D Adjustments'!R46</f>
        <v>0</v>
      </c>
      <c r="L47" s="68">
        <f t="shared" si="1"/>
        <v>0</v>
      </c>
      <c r="N47" s="119">
        <f>'Schedule 2D Adjustments'!X46</f>
        <v>0</v>
      </c>
      <c r="O47" s="119">
        <f>'Schedule 2D Adjustments'!AA46</f>
        <v>0</v>
      </c>
    </row>
    <row r="48" spans="1:15" x14ac:dyDescent="0.35">
      <c r="A48" s="24">
        <v>33</v>
      </c>
      <c r="B48" s="514" t="str">
        <f>'Schedule 2D Adjustments'!B47:D47</f>
        <v/>
      </c>
      <c r="C48" s="514"/>
      <c r="D48" s="514"/>
      <c r="F48" s="117">
        <f>'Schedule 2D Adjustments'!H47</f>
        <v>0</v>
      </c>
      <c r="G48" s="68">
        <f>'Schedule 2D Adjustments'!J47</f>
        <v>0</v>
      </c>
      <c r="H48" s="68">
        <f t="shared" si="0"/>
        <v>0</v>
      </c>
      <c r="J48" s="117">
        <f>'Schedule 2D Adjustments'!P47</f>
        <v>0</v>
      </c>
      <c r="K48" s="68">
        <f>'Schedule 2D Adjustments'!R47</f>
        <v>0</v>
      </c>
      <c r="L48" s="68">
        <f t="shared" si="1"/>
        <v>0</v>
      </c>
      <c r="N48" s="119">
        <f>'Schedule 2D Adjustments'!X47</f>
        <v>0</v>
      </c>
      <c r="O48" s="119">
        <f>'Schedule 2D Adjustments'!AA47</f>
        <v>0</v>
      </c>
    </row>
    <row r="49" spans="1:15" x14ac:dyDescent="0.35">
      <c r="A49" s="24">
        <v>34</v>
      </c>
      <c r="B49" s="514" t="str">
        <f>'Schedule 2D Adjustments'!B48:D48</f>
        <v/>
      </c>
      <c r="C49" s="514"/>
      <c r="D49" s="514"/>
      <c r="F49" s="117">
        <f>'Schedule 2D Adjustments'!H48</f>
        <v>0</v>
      </c>
      <c r="G49" s="68">
        <f>'Schedule 2D Adjustments'!J48</f>
        <v>0</v>
      </c>
      <c r="H49" s="68">
        <f t="shared" si="0"/>
        <v>0</v>
      </c>
      <c r="J49" s="117">
        <f>'Schedule 2D Adjustments'!P48</f>
        <v>0</v>
      </c>
      <c r="K49" s="68">
        <f>'Schedule 2D Adjustments'!R48</f>
        <v>0</v>
      </c>
      <c r="L49" s="68">
        <f t="shared" si="1"/>
        <v>0</v>
      </c>
      <c r="N49" s="119">
        <f>'Schedule 2D Adjustments'!X48</f>
        <v>0</v>
      </c>
      <c r="O49" s="119">
        <f>'Schedule 2D Adjustments'!AA48</f>
        <v>0</v>
      </c>
    </row>
    <row r="50" spans="1:15" x14ac:dyDescent="0.35">
      <c r="A50" s="24">
        <v>35</v>
      </c>
      <c r="B50" s="514" t="str">
        <f>'Schedule 2D Adjustments'!B49:D49</f>
        <v/>
      </c>
      <c r="C50" s="514"/>
      <c r="D50" s="514"/>
      <c r="F50" s="117">
        <f>'Schedule 2D Adjustments'!H49</f>
        <v>0</v>
      </c>
      <c r="G50" s="68">
        <f>'Schedule 2D Adjustments'!J49</f>
        <v>0</v>
      </c>
      <c r="H50" s="68">
        <f t="shared" si="0"/>
        <v>0</v>
      </c>
      <c r="J50" s="117">
        <f>'Schedule 2D Adjustments'!P49</f>
        <v>0</v>
      </c>
      <c r="K50" s="68">
        <f>'Schedule 2D Adjustments'!R49</f>
        <v>0</v>
      </c>
      <c r="L50" s="68">
        <f t="shared" si="1"/>
        <v>0</v>
      </c>
      <c r="N50" s="119">
        <f>'Schedule 2D Adjustments'!X49</f>
        <v>0</v>
      </c>
      <c r="O50" s="119">
        <f>'Schedule 2D Adjustments'!AA49</f>
        <v>0</v>
      </c>
    </row>
    <row r="51" spans="1:15" x14ac:dyDescent="0.35">
      <c r="A51" s="24">
        <v>36</v>
      </c>
      <c r="B51" s="514" t="str">
        <f>'Schedule 2D Adjustments'!B50:D50</f>
        <v/>
      </c>
      <c r="C51" s="514"/>
      <c r="D51" s="514"/>
      <c r="F51" s="117">
        <f>'Schedule 2D Adjustments'!H50</f>
        <v>0</v>
      </c>
      <c r="G51" s="68">
        <f>'Schedule 2D Adjustments'!J50</f>
        <v>0</v>
      </c>
      <c r="H51" s="68">
        <f t="shared" si="0"/>
        <v>0</v>
      </c>
      <c r="J51" s="117">
        <f>'Schedule 2D Adjustments'!P50</f>
        <v>0</v>
      </c>
      <c r="K51" s="68">
        <f>'Schedule 2D Adjustments'!R50</f>
        <v>0</v>
      </c>
      <c r="L51" s="68">
        <f t="shared" si="1"/>
        <v>0</v>
      </c>
      <c r="N51" s="119">
        <f>'Schedule 2D Adjustments'!X50</f>
        <v>0</v>
      </c>
      <c r="O51" s="119">
        <f>'Schedule 2D Adjustments'!AA50</f>
        <v>0</v>
      </c>
    </row>
    <row r="52" spans="1:15" x14ac:dyDescent="0.35">
      <c r="A52" s="24">
        <v>37</v>
      </c>
      <c r="B52" s="514" t="str">
        <f>'Schedule 2D Adjustments'!B51:D51</f>
        <v/>
      </c>
      <c r="C52" s="514"/>
      <c r="D52" s="514"/>
      <c r="F52" s="117">
        <f>'Schedule 2D Adjustments'!H51</f>
        <v>0</v>
      </c>
      <c r="G52" s="68">
        <f>'Schedule 2D Adjustments'!J51</f>
        <v>0</v>
      </c>
      <c r="H52" s="68">
        <f t="shared" si="0"/>
        <v>0</v>
      </c>
      <c r="J52" s="117">
        <f>'Schedule 2D Adjustments'!P51</f>
        <v>0</v>
      </c>
      <c r="K52" s="68">
        <f>'Schedule 2D Adjustments'!R51</f>
        <v>0</v>
      </c>
      <c r="L52" s="68">
        <f t="shared" si="1"/>
        <v>0</v>
      </c>
      <c r="N52" s="119">
        <f>'Schedule 2D Adjustments'!X51</f>
        <v>0</v>
      </c>
      <c r="O52" s="119">
        <f>'Schedule 2D Adjustments'!AA51</f>
        <v>0</v>
      </c>
    </row>
    <row r="53" spans="1:15" x14ac:dyDescent="0.35">
      <c r="A53" s="24">
        <v>38</v>
      </c>
      <c r="B53" s="514" t="str">
        <f>'Schedule 2D Adjustments'!B52:D52</f>
        <v/>
      </c>
      <c r="C53" s="514"/>
      <c r="D53" s="514"/>
      <c r="F53" s="117">
        <f>'Schedule 2D Adjustments'!H52</f>
        <v>0</v>
      </c>
      <c r="G53" s="68">
        <f>'Schedule 2D Adjustments'!J52</f>
        <v>0</v>
      </c>
      <c r="H53" s="68">
        <f t="shared" si="0"/>
        <v>0</v>
      </c>
      <c r="J53" s="117">
        <f>'Schedule 2D Adjustments'!P52</f>
        <v>0</v>
      </c>
      <c r="K53" s="68">
        <f>'Schedule 2D Adjustments'!R52</f>
        <v>0</v>
      </c>
      <c r="L53" s="68">
        <f t="shared" si="1"/>
        <v>0</v>
      </c>
      <c r="N53" s="119">
        <f>'Schedule 2D Adjustments'!X52</f>
        <v>0</v>
      </c>
      <c r="O53" s="119">
        <f>'Schedule 2D Adjustments'!AA52</f>
        <v>0</v>
      </c>
    </row>
    <row r="54" spans="1:15" x14ac:dyDescent="0.35">
      <c r="A54" s="24">
        <v>39</v>
      </c>
      <c r="B54" s="514" t="str">
        <f>'Schedule 2D Adjustments'!B53:D53</f>
        <v/>
      </c>
      <c r="C54" s="514"/>
      <c r="D54" s="514"/>
      <c r="F54" s="117">
        <f>'Schedule 2D Adjustments'!H53</f>
        <v>0</v>
      </c>
      <c r="G54" s="68">
        <f>'Schedule 2D Adjustments'!J53</f>
        <v>0</v>
      </c>
      <c r="H54" s="68">
        <f t="shared" si="0"/>
        <v>0</v>
      </c>
      <c r="J54" s="117">
        <f>'Schedule 2D Adjustments'!P53</f>
        <v>0</v>
      </c>
      <c r="K54" s="68">
        <f>'Schedule 2D Adjustments'!R53</f>
        <v>0</v>
      </c>
      <c r="L54" s="68">
        <f t="shared" si="1"/>
        <v>0</v>
      </c>
      <c r="N54" s="119">
        <f>'Schedule 2D Adjustments'!X53</f>
        <v>0</v>
      </c>
      <c r="O54" s="119">
        <f>'Schedule 2D Adjustments'!AA53</f>
        <v>0</v>
      </c>
    </row>
    <row r="55" spans="1:15" x14ac:dyDescent="0.35">
      <c r="A55" s="24">
        <v>40</v>
      </c>
      <c r="B55" s="514" t="str">
        <f>'Schedule 2D Adjustments'!B54:D54</f>
        <v/>
      </c>
      <c r="C55" s="514"/>
      <c r="D55" s="514"/>
      <c r="F55" s="117">
        <f>'Schedule 2D Adjustments'!H54</f>
        <v>0</v>
      </c>
      <c r="G55" s="68">
        <f>'Schedule 2D Adjustments'!J54</f>
        <v>0</v>
      </c>
      <c r="H55" s="68">
        <f t="shared" si="0"/>
        <v>0</v>
      </c>
      <c r="J55" s="117">
        <f>'Schedule 2D Adjustments'!P54</f>
        <v>0</v>
      </c>
      <c r="K55" s="68">
        <f>'Schedule 2D Adjustments'!R54</f>
        <v>0</v>
      </c>
      <c r="L55" s="68">
        <f t="shared" si="1"/>
        <v>0</v>
      </c>
      <c r="N55" s="119">
        <f>'Schedule 2D Adjustments'!X54</f>
        <v>0</v>
      </c>
      <c r="O55" s="119">
        <f>'Schedule 2D Adjustments'!AA54</f>
        <v>0</v>
      </c>
    </row>
    <row r="56" spans="1:15" x14ac:dyDescent="0.35">
      <c r="A56" s="24">
        <v>41</v>
      </c>
      <c r="B56" s="514" t="str">
        <f>'Schedule 2D Adjustments'!B55:D55</f>
        <v/>
      </c>
      <c r="C56" s="514"/>
      <c r="D56" s="514"/>
      <c r="F56" s="117">
        <f>'Schedule 2D Adjustments'!H55</f>
        <v>0</v>
      </c>
      <c r="G56" s="68">
        <f>'Schedule 2D Adjustments'!J55</f>
        <v>0</v>
      </c>
      <c r="H56" s="68">
        <f t="shared" si="0"/>
        <v>0</v>
      </c>
      <c r="J56" s="117">
        <f>'Schedule 2D Adjustments'!P55</f>
        <v>0</v>
      </c>
      <c r="K56" s="68">
        <f>'Schedule 2D Adjustments'!R55</f>
        <v>0</v>
      </c>
      <c r="L56" s="68">
        <f t="shared" si="1"/>
        <v>0</v>
      </c>
      <c r="N56" s="119">
        <f>'Schedule 2D Adjustments'!X55</f>
        <v>0</v>
      </c>
      <c r="O56" s="119">
        <f>'Schedule 2D Adjustments'!AA55</f>
        <v>0</v>
      </c>
    </row>
    <row r="57" spans="1:15" x14ac:dyDescent="0.35">
      <c r="A57" s="24">
        <v>42</v>
      </c>
      <c r="B57" s="514" t="str">
        <f>'Schedule 2D Adjustments'!B56:D56</f>
        <v/>
      </c>
      <c r="C57" s="514"/>
      <c r="D57" s="514"/>
      <c r="F57" s="117">
        <f>'Schedule 2D Adjustments'!H56</f>
        <v>0</v>
      </c>
      <c r="G57" s="68">
        <f>'Schedule 2D Adjustments'!J56</f>
        <v>0</v>
      </c>
      <c r="H57" s="68">
        <f t="shared" si="0"/>
        <v>0</v>
      </c>
      <c r="J57" s="117">
        <f>'Schedule 2D Adjustments'!P56</f>
        <v>0</v>
      </c>
      <c r="K57" s="68">
        <f>'Schedule 2D Adjustments'!R56</f>
        <v>0</v>
      </c>
      <c r="L57" s="68">
        <f t="shared" si="1"/>
        <v>0</v>
      </c>
      <c r="N57" s="119">
        <f>'Schedule 2D Adjustments'!X56</f>
        <v>0</v>
      </c>
      <c r="O57" s="119">
        <f>'Schedule 2D Adjustments'!AA56</f>
        <v>0</v>
      </c>
    </row>
    <row r="58" spans="1:15" x14ac:dyDescent="0.35">
      <c r="A58" s="24">
        <v>43</v>
      </c>
      <c r="B58" s="514" t="str">
        <f>'Schedule 2D Adjustments'!B57:D57</f>
        <v/>
      </c>
      <c r="C58" s="514"/>
      <c r="D58" s="514"/>
      <c r="F58" s="117">
        <f>'Schedule 2D Adjustments'!H57</f>
        <v>0</v>
      </c>
      <c r="G58" s="68">
        <f>'Schedule 2D Adjustments'!J57</f>
        <v>0</v>
      </c>
      <c r="H58" s="68">
        <f t="shared" si="0"/>
        <v>0</v>
      </c>
      <c r="J58" s="117">
        <f>'Schedule 2D Adjustments'!P57</f>
        <v>0</v>
      </c>
      <c r="K58" s="68">
        <f>'Schedule 2D Adjustments'!R57</f>
        <v>0</v>
      </c>
      <c r="L58" s="68">
        <f t="shared" si="1"/>
        <v>0</v>
      </c>
      <c r="N58" s="119">
        <f>'Schedule 2D Adjustments'!X57</f>
        <v>0</v>
      </c>
      <c r="O58" s="119">
        <f>'Schedule 2D Adjustments'!AA57</f>
        <v>0</v>
      </c>
    </row>
    <row r="59" spans="1:15" x14ac:dyDescent="0.35">
      <c r="A59" s="24">
        <v>44</v>
      </c>
      <c r="B59" s="514" t="str">
        <f>'Schedule 2D Adjustments'!B58:D58</f>
        <v/>
      </c>
      <c r="C59" s="514"/>
      <c r="D59" s="514"/>
      <c r="F59" s="117">
        <f>'Schedule 2D Adjustments'!H58</f>
        <v>0</v>
      </c>
      <c r="G59" s="68">
        <f>'Schedule 2D Adjustments'!J58</f>
        <v>0</v>
      </c>
      <c r="H59" s="68">
        <f t="shared" si="0"/>
        <v>0</v>
      </c>
      <c r="J59" s="117">
        <f>'Schedule 2D Adjustments'!P58</f>
        <v>0</v>
      </c>
      <c r="K59" s="68">
        <f>'Schedule 2D Adjustments'!R58</f>
        <v>0</v>
      </c>
      <c r="L59" s="68">
        <f t="shared" si="1"/>
        <v>0</v>
      </c>
      <c r="N59" s="119">
        <f>'Schedule 2D Adjustments'!X58</f>
        <v>0</v>
      </c>
      <c r="O59" s="119">
        <f>'Schedule 2D Adjustments'!AA58</f>
        <v>0</v>
      </c>
    </row>
    <row r="60" spans="1:15" x14ac:dyDescent="0.35">
      <c r="A60" s="24">
        <v>45</v>
      </c>
      <c r="B60" s="514" t="str">
        <f>'Schedule 2D Adjustments'!B59:D59</f>
        <v/>
      </c>
      <c r="C60" s="514"/>
      <c r="D60" s="514"/>
      <c r="F60" s="117">
        <f>'Schedule 2D Adjustments'!H59</f>
        <v>0</v>
      </c>
      <c r="G60" s="68">
        <f>'Schedule 2D Adjustments'!J59</f>
        <v>0</v>
      </c>
      <c r="H60" s="68">
        <f t="shared" si="0"/>
        <v>0</v>
      </c>
      <c r="J60" s="117">
        <f>'Schedule 2D Adjustments'!P59</f>
        <v>0</v>
      </c>
      <c r="K60" s="68">
        <f>'Schedule 2D Adjustments'!R59</f>
        <v>0</v>
      </c>
      <c r="L60" s="68">
        <f t="shared" si="1"/>
        <v>0</v>
      </c>
      <c r="N60" s="119">
        <f>'Schedule 2D Adjustments'!X59</f>
        <v>0</v>
      </c>
      <c r="O60" s="119">
        <f>'Schedule 2D Adjustments'!AA59</f>
        <v>0</v>
      </c>
    </row>
    <row r="61" spans="1:15" x14ac:dyDescent="0.35">
      <c r="A61" s="24">
        <v>46</v>
      </c>
      <c r="B61" s="514" t="str">
        <f>'Schedule 2D Adjustments'!B60:D60</f>
        <v/>
      </c>
      <c r="C61" s="514"/>
      <c r="D61" s="514"/>
      <c r="F61" s="117">
        <f>'Schedule 2D Adjustments'!H60</f>
        <v>0</v>
      </c>
      <c r="G61" s="68">
        <f>'Schedule 2D Adjustments'!J60</f>
        <v>0</v>
      </c>
      <c r="H61" s="68">
        <f t="shared" si="0"/>
        <v>0</v>
      </c>
      <c r="J61" s="117">
        <f>'Schedule 2D Adjustments'!P60</f>
        <v>0</v>
      </c>
      <c r="K61" s="68">
        <f>'Schedule 2D Adjustments'!R60</f>
        <v>0</v>
      </c>
      <c r="L61" s="68">
        <f t="shared" si="1"/>
        <v>0</v>
      </c>
      <c r="N61" s="119">
        <f>'Schedule 2D Adjustments'!X60</f>
        <v>0</v>
      </c>
      <c r="O61" s="119">
        <f>'Schedule 2D Adjustments'!AA60</f>
        <v>0</v>
      </c>
    </row>
    <row r="62" spans="1:15" x14ac:dyDescent="0.35">
      <c r="A62" s="24">
        <v>47</v>
      </c>
      <c r="B62" s="514" t="str">
        <f>'Schedule 2D Adjustments'!B61:D61</f>
        <v/>
      </c>
      <c r="C62" s="514"/>
      <c r="D62" s="514"/>
      <c r="F62" s="117">
        <f>'Schedule 2D Adjustments'!H61</f>
        <v>0</v>
      </c>
      <c r="G62" s="68">
        <f>'Schedule 2D Adjustments'!J61</f>
        <v>0</v>
      </c>
      <c r="H62" s="68">
        <f t="shared" si="0"/>
        <v>0</v>
      </c>
      <c r="J62" s="117">
        <f>'Schedule 2D Adjustments'!P61</f>
        <v>0</v>
      </c>
      <c r="K62" s="68">
        <f>'Schedule 2D Adjustments'!R61</f>
        <v>0</v>
      </c>
      <c r="L62" s="68">
        <f t="shared" si="1"/>
        <v>0</v>
      </c>
      <c r="N62" s="119">
        <f>'Schedule 2D Adjustments'!X61</f>
        <v>0</v>
      </c>
      <c r="O62" s="119">
        <f>'Schedule 2D Adjustments'!AA61</f>
        <v>0</v>
      </c>
    </row>
    <row r="63" spans="1:15" x14ac:dyDescent="0.35">
      <c r="A63" s="24">
        <v>48</v>
      </c>
      <c r="B63" s="514" t="str">
        <f>'Schedule 2D Adjustments'!B62:D62</f>
        <v/>
      </c>
      <c r="C63" s="514"/>
      <c r="D63" s="514"/>
      <c r="F63" s="117">
        <f>'Schedule 2D Adjustments'!H62</f>
        <v>0</v>
      </c>
      <c r="G63" s="68">
        <f>'Schedule 2D Adjustments'!J62</f>
        <v>0</v>
      </c>
      <c r="H63" s="68">
        <f t="shared" si="0"/>
        <v>0</v>
      </c>
      <c r="J63" s="117">
        <f>'Schedule 2D Adjustments'!P62</f>
        <v>0</v>
      </c>
      <c r="K63" s="68">
        <f>'Schedule 2D Adjustments'!R62</f>
        <v>0</v>
      </c>
      <c r="L63" s="68">
        <f t="shared" si="1"/>
        <v>0</v>
      </c>
      <c r="N63" s="119">
        <f>'Schedule 2D Adjustments'!X62</f>
        <v>0</v>
      </c>
      <c r="O63" s="119">
        <f>'Schedule 2D Adjustments'!AA62</f>
        <v>0</v>
      </c>
    </row>
    <row r="64" spans="1:15" x14ac:dyDescent="0.35">
      <c r="A64" s="24">
        <v>49</v>
      </c>
      <c r="B64" s="514" t="str">
        <f>'Schedule 2D Adjustments'!B63:D63</f>
        <v/>
      </c>
      <c r="C64" s="514"/>
      <c r="D64" s="514"/>
      <c r="F64" s="117">
        <f>'Schedule 2D Adjustments'!H63</f>
        <v>0</v>
      </c>
      <c r="G64" s="68">
        <f>'Schedule 2D Adjustments'!J63</f>
        <v>0</v>
      </c>
      <c r="H64" s="68">
        <f t="shared" si="0"/>
        <v>0</v>
      </c>
      <c r="J64" s="117">
        <f>'Schedule 2D Adjustments'!P63</f>
        <v>0</v>
      </c>
      <c r="K64" s="68">
        <f>'Schedule 2D Adjustments'!R63</f>
        <v>0</v>
      </c>
      <c r="L64" s="68">
        <f t="shared" si="1"/>
        <v>0</v>
      </c>
      <c r="N64" s="119">
        <f>'Schedule 2D Adjustments'!X63</f>
        <v>0</v>
      </c>
      <c r="O64" s="119">
        <f>'Schedule 2D Adjustments'!AA63</f>
        <v>0</v>
      </c>
    </row>
    <row r="65" spans="1:15" x14ac:dyDescent="0.35">
      <c r="A65" s="24">
        <v>50</v>
      </c>
      <c r="B65" s="514" t="str">
        <f>'Schedule 2D Adjustments'!B64:D64</f>
        <v/>
      </c>
      <c r="C65" s="514"/>
      <c r="D65" s="514"/>
      <c r="F65" s="117">
        <f>'Schedule 2D Adjustments'!H64</f>
        <v>0</v>
      </c>
      <c r="G65" s="68">
        <f>'Schedule 2D Adjustments'!J64</f>
        <v>0</v>
      </c>
      <c r="H65" s="68">
        <f t="shared" si="0"/>
        <v>0</v>
      </c>
      <c r="J65" s="117">
        <f>'Schedule 2D Adjustments'!P64</f>
        <v>0</v>
      </c>
      <c r="K65" s="68">
        <f>'Schedule 2D Adjustments'!R64</f>
        <v>0</v>
      </c>
      <c r="L65" s="68">
        <f t="shared" si="1"/>
        <v>0</v>
      </c>
      <c r="N65" s="119">
        <f>'Schedule 2D Adjustments'!X64</f>
        <v>0</v>
      </c>
      <c r="O65" s="119">
        <f>'Schedule 2D Adjustments'!AA64</f>
        <v>0</v>
      </c>
    </row>
    <row r="66" spans="1:15" x14ac:dyDescent="0.35">
      <c r="A66" s="24">
        <v>51</v>
      </c>
      <c r="B66" s="514" t="str">
        <f>'Schedule 2D Adjustments'!B65:D65</f>
        <v/>
      </c>
      <c r="C66" s="514"/>
      <c r="D66" s="514"/>
      <c r="F66" s="117">
        <f>'Schedule 2D Adjustments'!H65</f>
        <v>0</v>
      </c>
      <c r="G66" s="68">
        <f>'Schedule 2D Adjustments'!J65</f>
        <v>0</v>
      </c>
      <c r="H66" s="68">
        <f t="shared" si="0"/>
        <v>0</v>
      </c>
      <c r="J66" s="117">
        <f>'Schedule 2D Adjustments'!P65</f>
        <v>0</v>
      </c>
      <c r="K66" s="68">
        <f>'Schedule 2D Adjustments'!R65</f>
        <v>0</v>
      </c>
      <c r="L66" s="68">
        <f t="shared" si="1"/>
        <v>0</v>
      </c>
      <c r="N66" s="119">
        <f>'Schedule 2D Adjustments'!X65</f>
        <v>0</v>
      </c>
      <c r="O66" s="119">
        <f>'Schedule 2D Adjustments'!AA65</f>
        <v>0</v>
      </c>
    </row>
    <row r="67" spans="1:15" x14ac:dyDescent="0.35">
      <c r="A67" s="24">
        <v>52</v>
      </c>
      <c r="B67" s="514" t="str">
        <f>'Schedule 2D Adjustments'!B66:D66</f>
        <v/>
      </c>
      <c r="C67" s="514"/>
      <c r="D67" s="514"/>
      <c r="F67" s="117">
        <f>'Schedule 2D Adjustments'!H66</f>
        <v>0</v>
      </c>
      <c r="G67" s="68">
        <f>'Schedule 2D Adjustments'!J66</f>
        <v>0</v>
      </c>
      <c r="H67" s="68">
        <f t="shared" si="0"/>
        <v>0</v>
      </c>
      <c r="J67" s="117">
        <f>'Schedule 2D Adjustments'!P66</f>
        <v>0</v>
      </c>
      <c r="K67" s="68">
        <f>'Schedule 2D Adjustments'!R66</f>
        <v>0</v>
      </c>
      <c r="L67" s="68">
        <f t="shared" si="1"/>
        <v>0</v>
      </c>
      <c r="N67" s="119">
        <f>'Schedule 2D Adjustments'!X66</f>
        <v>0</v>
      </c>
      <c r="O67" s="119">
        <f>'Schedule 2D Adjustments'!AA66</f>
        <v>0</v>
      </c>
    </row>
    <row r="68" spans="1:15" x14ac:dyDescent="0.35">
      <c r="A68" s="24">
        <v>53</v>
      </c>
      <c r="B68" s="514" t="str">
        <f>'Schedule 2D Adjustments'!B67:D67</f>
        <v/>
      </c>
      <c r="C68" s="514"/>
      <c r="D68" s="514"/>
      <c r="F68" s="117">
        <f>'Schedule 2D Adjustments'!H67</f>
        <v>0</v>
      </c>
      <c r="G68" s="68">
        <f>'Schedule 2D Adjustments'!J67</f>
        <v>0</v>
      </c>
      <c r="H68" s="68">
        <f t="shared" si="0"/>
        <v>0</v>
      </c>
      <c r="J68" s="117">
        <f>'Schedule 2D Adjustments'!P67</f>
        <v>0</v>
      </c>
      <c r="K68" s="68">
        <f>'Schedule 2D Adjustments'!R67</f>
        <v>0</v>
      </c>
      <c r="L68" s="68">
        <f t="shared" si="1"/>
        <v>0</v>
      </c>
      <c r="N68" s="119">
        <f>'Schedule 2D Adjustments'!X67</f>
        <v>0</v>
      </c>
      <c r="O68" s="119">
        <f>'Schedule 2D Adjustments'!AA67</f>
        <v>0</v>
      </c>
    </row>
    <row r="69" spans="1:15" x14ac:dyDescent="0.35">
      <c r="A69" s="24">
        <v>54</v>
      </c>
      <c r="B69" s="514" t="str">
        <f>'Schedule 2D Adjustments'!B68:D68</f>
        <v/>
      </c>
      <c r="C69" s="514"/>
      <c r="D69" s="514"/>
      <c r="F69" s="117">
        <f>'Schedule 2D Adjustments'!H68</f>
        <v>0</v>
      </c>
      <c r="G69" s="68">
        <f>'Schedule 2D Adjustments'!J68</f>
        <v>0</v>
      </c>
      <c r="H69" s="68">
        <f t="shared" si="0"/>
        <v>0</v>
      </c>
      <c r="J69" s="117">
        <f>'Schedule 2D Adjustments'!P68</f>
        <v>0</v>
      </c>
      <c r="K69" s="68">
        <f>'Schedule 2D Adjustments'!R68</f>
        <v>0</v>
      </c>
      <c r="L69" s="68">
        <f t="shared" si="1"/>
        <v>0</v>
      </c>
      <c r="N69" s="119">
        <f>'Schedule 2D Adjustments'!X68</f>
        <v>0</v>
      </c>
      <c r="O69" s="119">
        <f>'Schedule 2D Adjustments'!AA68</f>
        <v>0</v>
      </c>
    </row>
    <row r="70" spans="1:15" x14ac:dyDescent="0.35">
      <c r="A70" s="24">
        <v>55</v>
      </c>
      <c r="B70" s="514" t="str">
        <f>'Schedule 2D Adjustments'!B69:D69</f>
        <v/>
      </c>
      <c r="C70" s="514"/>
      <c r="D70" s="514"/>
      <c r="F70" s="117">
        <f>'Schedule 2D Adjustments'!H69</f>
        <v>0</v>
      </c>
      <c r="G70" s="68">
        <f>'Schedule 2D Adjustments'!J69</f>
        <v>0</v>
      </c>
      <c r="H70" s="68">
        <f t="shared" si="0"/>
        <v>0</v>
      </c>
      <c r="J70" s="117">
        <f>'Schedule 2D Adjustments'!P69</f>
        <v>0</v>
      </c>
      <c r="K70" s="68">
        <f>'Schedule 2D Adjustments'!R69</f>
        <v>0</v>
      </c>
      <c r="L70" s="68">
        <f t="shared" si="1"/>
        <v>0</v>
      </c>
      <c r="N70" s="119">
        <f>'Schedule 2D Adjustments'!X69</f>
        <v>0</v>
      </c>
      <c r="O70" s="119">
        <f>'Schedule 2D Adjustments'!AA69</f>
        <v>0</v>
      </c>
    </row>
    <row r="71" spans="1:15" x14ac:dyDescent="0.35">
      <c r="A71" s="24">
        <v>56</v>
      </c>
      <c r="B71" s="514" t="str">
        <f>'Schedule 2D Adjustments'!B70:D70</f>
        <v/>
      </c>
      <c r="C71" s="514"/>
      <c r="D71" s="514"/>
      <c r="F71" s="117">
        <f>'Schedule 2D Adjustments'!H70</f>
        <v>0</v>
      </c>
      <c r="G71" s="68">
        <f>'Schedule 2D Adjustments'!J70</f>
        <v>0</v>
      </c>
      <c r="H71" s="68">
        <f t="shared" si="0"/>
        <v>0</v>
      </c>
      <c r="J71" s="117">
        <f>'Schedule 2D Adjustments'!P70</f>
        <v>0</v>
      </c>
      <c r="K71" s="68">
        <f>'Schedule 2D Adjustments'!R70</f>
        <v>0</v>
      </c>
      <c r="L71" s="68">
        <f t="shared" si="1"/>
        <v>0</v>
      </c>
      <c r="N71" s="119">
        <f>'Schedule 2D Adjustments'!X70</f>
        <v>0</v>
      </c>
      <c r="O71" s="119">
        <f>'Schedule 2D Adjustments'!AA70</f>
        <v>0</v>
      </c>
    </row>
    <row r="72" spans="1:15" x14ac:dyDescent="0.35">
      <c r="A72" s="24">
        <v>57</v>
      </c>
      <c r="B72" s="514" t="str">
        <f>'Schedule 2D Adjustments'!B71:D71</f>
        <v/>
      </c>
      <c r="C72" s="514"/>
      <c r="D72" s="514"/>
      <c r="F72" s="117">
        <f>'Schedule 2D Adjustments'!H71</f>
        <v>0</v>
      </c>
      <c r="G72" s="68">
        <f>'Schedule 2D Adjustments'!J71</f>
        <v>0</v>
      </c>
      <c r="H72" s="68">
        <f t="shared" si="0"/>
        <v>0</v>
      </c>
      <c r="J72" s="117">
        <f>'Schedule 2D Adjustments'!P71</f>
        <v>0</v>
      </c>
      <c r="K72" s="68">
        <f>'Schedule 2D Adjustments'!R71</f>
        <v>0</v>
      </c>
      <c r="L72" s="68">
        <f t="shared" si="1"/>
        <v>0</v>
      </c>
      <c r="N72" s="119">
        <f>'Schedule 2D Adjustments'!X71</f>
        <v>0</v>
      </c>
      <c r="O72" s="119">
        <f>'Schedule 2D Adjustments'!AA71</f>
        <v>0</v>
      </c>
    </row>
    <row r="73" spans="1:15" x14ac:dyDescent="0.35">
      <c r="A73" s="24">
        <v>58</v>
      </c>
      <c r="B73" s="514" t="str">
        <f>'Schedule 2D Adjustments'!B72:D72</f>
        <v/>
      </c>
      <c r="C73" s="514"/>
      <c r="D73" s="514"/>
      <c r="F73" s="117">
        <f>'Schedule 2D Adjustments'!H72</f>
        <v>0</v>
      </c>
      <c r="G73" s="68">
        <f>'Schedule 2D Adjustments'!J72</f>
        <v>0</v>
      </c>
      <c r="H73" s="68">
        <f t="shared" si="0"/>
        <v>0</v>
      </c>
      <c r="J73" s="117">
        <f>'Schedule 2D Adjustments'!P72</f>
        <v>0</v>
      </c>
      <c r="K73" s="68">
        <f>'Schedule 2D Adjustments'!R72</f>
        <v>0</v>
      </c>
      <c r="L73" s="68">
        <f t="shared" si="1"/>
        <v>0</v>
      </c>
      <c r="N73" s="119">
        <f>'Schedule 2D Adjustments'!X72</f>
        <v>0</v>
      </c>
      <c r="O73" s="119">
        <f>'Schedule 2D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5">
    <mergeCell ref="B69:D69"/>
    <mergeCell ref="B70:D70"/>
    <mergeCell ref="B71:D71"/>
    <mergeCell ref="B72:D72"/>
    <mergeCell ref="B73:D73"/>
    <mergeCell ref="B68:D68"/>
    <mergeCell ref="B57:D57"/>
    <mergeCell ref="B58:D58"/>
    <mergeCell ref="B59:D59"/>
    <mergeCell ref="B60:D60"/>
    <mergeCell ref="B61:D61"/>
    <mergeCell ref="B62:D62"/>
    <mergeCell ref="B63:D63"/>
    <mergeCell ref="B64:D64"/>
    <mergeCell ref="B65:D65"/>
    <mergeCell ref="B66:D66"/>
    <mergeCell ref="B67:D67"/>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O14:O15"/>
    <mergeCell ref="B16:D16"/>
    <mergeCell ref="B17:D17"/>
    <mergeCell ref="B18:D18"/>
    <mergeCell ref="B19:D19"/>
    <mergeCell ref="J14:L14"/>
    <mergeCell ref="N14:N15"/>
    <mergeCell ref="B20:D20"/>
    <mergeCell ref="A3:H3"/>
    <mergeCell ref="B13:D13"/>
    <mergeCell ref="B14:D15"/>
    <mergeCell ref="F14:H14"/>
  </mergeCells>
  <pageMargins left="0.7" right="0.7" top="0.75" bottom="0.75" header="0.3" footer="0.3"/>
  <pageSetup orientation="portrait" horizontalDpi="1200" verticalDpi="1200"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18.453125" customWidth="1"/>
    <col min="3" max="3" width="19.453125" customWidth="1"/>
    <col min="4" max="4" width="17.17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848</v>
      </c>
      <c r="B3" s="5"/>
      <c r="C3" s="5"/>
      <c r="D3" s="5"/>
      <c r="E3" s="5"/>
      <c r="F3" s="5"/>
      <c r="G3" s="5"/>
      <c r="H3" s="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810</v>
      </c>
      <c r="C9" s="1"/>
      <c r="F9" s="472" t="s">
        <v>1041</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2E Adjustments'!B15:D15</f>
        <v/>
      </c>
      <c r="C16" s="514"/>
      <c r="D16" s="514"/>
      <c r="F16" s="117">
        <f>'Schedule 2E Adjustments'!H15</f>
        <v>0</v>
      </c>
      <c r="G16" s="68">
        <f>'Schedule 2E Adjustments'!J15</f>
        <v>0</v>
      </c>
      <c r="H16" s="68">
        <f>SUM(F16:G16)</f>
        <v>0</v>
      </c>
      <c r="J16" s="117">
        <f>'Schedule 2E Adjustments'!P15</f>
        <v>0</v>
      </c>
      <c r="K16" s="68">
        <f>'Schedule 2E Adjustments'!R15</f>
        <v>0</v>
      </c>
      <c r="L16" s="68">
        <f>SUM(J16:K16)</f>
        <v>0</v>
      </c>
      <c r="N16" s="119">
        <f>'Schedule 2E Adjustments'!X15</f>
        <v>0</v>
      </c>
      <c r="O16" s="119">
        <f>'Schedule 2E Adjustments'!AA15</f>
        <v>0</v>
      </c>
    </row>
    <row r="17" spans="1:15" x14ac:dyDescent="0.35">
      <c r="A17" s="24">
        <v>2</v>
      </c>
      <c r="B17" s="514" t="str">
        <f>'Schedule 2E Adjustments'!B16:D16</f>
        <v/>
      </c>
      <c r="C17" s="514"/>
      <c r="D17" s="514"/>
      <c r="F17" s="117">
        <f>'Schedule 2E Adjustments'!H16</f>
        <v>0</v>
      </c>
      <c r="G17" s="68">
        <f>'Schedule 2E Adjustments'!J16</f>
        <v>0</v>
      </c>
      <c r="H17" s="68">
        <f t="shared" ref="H17:H73" si="0">SUM(F17:G17)</f>
        <v>0</v>
      </c>
      <c r="J17" s="117">
        <f>'Schedule 2E Adjustments'!P16</f>
        <v>0</v>
      </c>
      <c r="K17" s="68">
        <f>'Schedule 2E Adjustments'!R16</f>
        <v>0</v>
      </c>
      <c r="L17" s="68">
        <f t="shared" ref="L17:L73" si="1">SUM(J17:K17)</f>
        <v>0</v>
      </c>
      <c r="N17" s="119">
        <f>'Schedule 2E Adjustments'!X16</f>
        <v>0</v>
      </c>
      <c r="O17" s="119">
        <f>'Schedule 2E Adjustments'!AA16</f>
        <v>0</v>
      </c>
    </row>
    <row r="18" spans="1:15" x14ac:dyDescent="0.35">
      <c r="A18" s="24">
        <v>3</v>
      </c>
      <c r="B18" s="514" t="str">
        <f>'Schedule 2E Adjustments'!B17:D17</f>
        <v/>
      </c>
      <c r="C18" s="514"/>
      <c r="D18" s="514"/>
      <c r="F18" s="117">
        <f>'Schedule 2E Adjustments'!H17</f>
        <v>0</v>
      </c>
      <c r="G18" s="68">
        <f>'Schedule 2E Adjustments'!J17</f>
        <v>0</v>
      </c>
      <c r="H18" s="68">
        <f t="shared" si="0"/>
        <v>0</v>
      </c>
      <c r="J18" s="117">
        <f>'Schedule 2E Adjustments'!P17</f>
        <v>0</v>
      </c>
      <c r="K18" s="68">
        <f>'Schedule 2E Adjustments'!R17</f>
        <v>0</v>
      </c>
      <c r="L18" s="68">
        <f t="shared" si="1"/>
        <v>0</v>
      </c>
      <c r="N18" s="119">
        <f>'Schedule 2E Adjustments'!X17</f>
        <v>0</v>
      </c>
      <c r="O18" s="119">
        <f>'Schedule 2E Adjustments'!AA17</f>
        <v>0</v>
      </c>
    </row>
    <row r="19" spans="1:15" x14ac:dyDescent="0.35">
      <c r="A19" s="24">
        <v>4</v>
      </c>
      <c r="B19" s="514" t="str">
        <f>'Schedule 2E Adjustments'!B18:D18</f>
        <v/>
      </c>
      <c r="C19" s="514"/>
      <c r="D19" s="514"/>
      <c r="F19" s="117">
        <f>'Schedule 2E Adjustments'!H18</f>
        <v>0</v>
      </c>
      <c r="G19" s="68">
        <f>'Schedule 2E Adjustments'!J18</f>
        <v>0</v>
      </c>
      <c r="H19" s="68">
        <f t="shared" si="0"/>
        <v>0</v>
      </c>
      <c r="J19" s="117">
        <f>'Schedule 2E Adjustments'!P18</f>
        <v>0</v>
      </c>
      <c r="K19" s="68">
        <f>'Schedule 2E Adjustments'!R18</f>
        <v>0</v>
      </c>
      <c r="L19" s="68">
        <f t="shared" si="1"/>
        <v>0</v>
      </c>
      <c r="N19" s="119">
        <f>'Schedule 2E Adjustments'!X18</f>
        <v>0</v>
      </c>
      <c r="O19" s="119">
        <f>'Schedule 2E Adjustments'!AA18</f>
        <v>0</v>
      </c>
    </row>
    <row r="20" spans="1:15" x14ac:dyDescent="0.35">
      <c r="A20" s="24">
        <v>5</v>
      </c>
      <c r="B20" s="514" t="str">
        <f>'Schedule 2E Adjustments'!B19:D19</f>
        <v/>
      </c>
      <c r="C20" s="514"/>
      <c r="D20" s="514"/>
      <c r="F20" s="117">
        <f>'Schedule 2E Adjustments'!H19</f>
        <v>0</v>
      </c>
      <c r="G20" s="68">
        <f>'Schedule 2E Adjustments'!J19</f>
        <v>0</v>
      </c>
      <c r="H20" s="68">
        <f t="shared" si="0"/>
        <v>0</v>
      </c>
      <c r="J20" s="117">
        <f>'Schedule 2E Adjustments'!P19</f>
        <v>0</v>
      </c>
      <c r="K20" s="68">
        <f>'Schedule 2E Adjustments'!R19</f>
        <v>0</v>
      </c>
      <c r="L20" s="68">
        <f t="shared" si="1"/>
        <v>0</v>
      </c>
      <c r="N20" s="119">
        <f>'Schedule 2E Adjustments'!X19</f>
        <v>0</v>
      </c>
      <c r="O20" s="119">
        <f>'Schedule 2E Adjustments'!AA19</f>
        <v>0</v>
      </c>
    </row>
    <row r="21" spans="1:15" x14ac:dyDescent="0.35">
      <c r="A21" s="24">
        <v>6</v>
      </c>
      <c r="B21" s="514" t="str">
        <f>'Schedule 2E Adjustments'!B20:D20</f>
        <v/>
      </c>
      <c r="C21" s="514"/>
      <c r="D21" s="514"/>
      <c r="F21" s="117">
        <f>'Schedule 2E Adjustments'!H20</f>
        <v>0</v>
      </c>
      <c r="G21" s="68">
        <f>'Schedule 2E Adjustments'!J20</f>
        <v>0</v>
      </c>
      <c r="H21" s="68">
        <f t="shared" si="0"/>
        <v>0</v>
      </c>
      <c r="J21" s="117">
        <f>'Schedule 2E Adjustments'!P20</f>
        <v>0</v>
      </c>
      <c r="K21" s="68">
        <f>'Schedule 2E Adjustments'!R20</f>
        <v>0</v>
      </c>
      <c r="L21" s="68">
        <f t="shared" si="1"/>
        <v>0</v>
      </c>
      <c r="N21" s="119">
        <f>'Schedule 2E Adjustments'!X20</f>
        <v>0</v>
      </c>
      <c r="O21" s="119">
        <f>'Schedule 2E Adjustments'!AA20</f>
        <v>0</v>
      </c>
    </row>
    <row r="22" spans="1:15" x14ac:dyDescent="0.35">
      <c r="A22" s="24">
        <v>7</v>
      </c>
      <c r="B22" s="514" t="str">
        <f>'Schedule 2E Adjustments'!B21:D21</f>
        <v/>
      </c>
      <c r="C22" s="514"/>
      <c r="D22" s="514"/>
      <c r="F22" s="117">
        <f>'Schedule 2E Adjustments'!H21</f>
        <v>0</v>
      </c>
      <c r="G22" s="68">
        <f>'Schedule 2E Adjustments'!J21</f>
        <v>0</v>
      </c>
      <c r="H22" s="68">
        <f t="shared" si="0"/>
        <v>0</v>
      </c>
      <c r="J22" s="117">
        <f>'Schedule 2E Adjustments'!P21</f>
        <v>0</v>
      </c>
      <c r="K22" s="68">
        <f>'Schedule 2E Adjustments'!R21</f>
        <v>0</v>
      </c>
      <c r="L22" s="68">
        <f t="shared" si="1"/>
        <v>0</v>
      </c>
      <c r="N22" s="119">
        <f>'Schedule 2E Adjustments'!X21</f>
        <v>0</v>
      </c>
      <c r="O22" s="119">
        <f>'Schedule 2E Adjustments'!AA21</f>
        <v>0</v>
      </c>
    </row>
    <row r="23" spans="1:15" x14ac:dyDescent="0.35">
      <c r="A23" s="24">
        <v>8</v>
      </c>
      <c r="B23" s="514" t="str">
        <f>'Schedule 2E Adjustments'!B22:D22</f>
        <v/>
      </c>
      <c r="C23" s="514"/>
      <c r="D23" s="514"/>
      <c r="F23" s="117">
        <f>'Schedule 2E Adjustments'!H22</f>
        <v>0</v>
      </c>
      <c r="G23" s="68">
        <f>'Schedule 2E Adjustments'!J22</f>
        <v>0</v>
      </c>
      <c r="H23" s="68">
        <f t="shared" si="0"/>
        <v>0</v>
      </c>
      <c r="J23" s="117">
        <f>'Schedule 2E Adjustments'!P22</f>
        <v>0</v>
      </c>
      <c r="K23" s="68">
        <f>'Schedule 2E Adjustments'!R22</f>
        <v>0</v>
      </c>
      <c r="L23" s="68">
        <f t="shared" si="1"/>
        <v>0</v>
      </c>
      <c r="N23" s="119">
        <f>'Schedule 2E Adjustments'!X22</f>
        <v>0</v>
      </c>
      <c r="O23" s="119">
        <f>'Schedule 2E Adjustments'!AA22</f>
        <v>0</v>
      </c>
    </row>
    <row r="24" spans="1:15" x14ac:dyDescent="0.35">
      <c r="A24" s="24">
        <v>9</v>
      </c>
      <c r="B24" s="514" t="str">
        <f>'Schedule 2E Adjustments'!B23:D23</f>
        <v/>
      </c>
      <c r="C24" s="514"/>
      <c r="D24" s="514"/>
      <c r="F24" s="117">
        <f>'Schedule 2E Adjustments'!H23</f>
        <v>0</v>
      </c>
      <c r="G24" s="68">
        <f>'Schedule 2E Adjustments'!J23</f>
        <v>0</v>
      </c>
      <c r="H24" s="68">
        <f t="shared" si="0"/>
        <v>0</v>
      </c>
      <c r="J24" s="117">
        <f>'Schedule 2E Adjustments'!P23</f>
        <v>0</v>
      </c>
      <c r="K24" s="68">
        <f>'Schedule 2E Adjustments'!R23</f>
        <v>0</v>
      </c>
      <c r="L24" s="68">
        <f t="shared" si="1"/>
        <v>0</v>
      </c>
      <c r="N24" s="119">
        <f>'Schedule 2E Adjustments'!X23</f>
        <v>0</v>
      </c>
      <c r="O24" s="119">
        <f>'Schedule 2E Adjustments'!AA23</f>
        <v>0</v>
      </c>
    </row>
    <row r="25" spans="1:15" x14ac:dyDescent="0.35">
      <c r="A25" s="24">
        <v>10</v>
      </c>
      <c r="B25" s="514" t="str">
        <f>'Schedule 2E Adjustments'!B24:D24</f>
        <v/>
      </c>
      <c r="C25" s="514"/>
      <c r="D25" s="514"/>
      <c r="F25" s="117">
        <f>'Schedule 2E Adjustments'!H24</f>
        <v>0</v>
      </c>
      <c r="G25" s="68">
        <f>'Schedule 2E Adjustments'!J24</f>
        <v>0</v>
      </c>
      <c r="H25" s="68">
        <f t="shared" si="0"/>
        <v>0</v>
      </c>
      <c r="J25" s="117">
        <f>'Schedule 2E Adjustments'!P24</f>
        <v>0</v>
      </c>
      <c r="K25" s="68">
        <f>'Schedule 2E Adjustments'!R24</f>
        <v>0</v>
      </c>
      <c r="L25" s="68">
        <f t="shared" si="1"/>
        <v>0</v>
      </c>
      <c r="N25" s="119">
        <f>'Schedule 2E Adjustments'!X24</f>
        <v>0</v>
      </c>
      <c r="O25" s="119">
        <f>'Schedule 2E Adjustments'!AA24</f>
        <v>0</v>
      </c>
    </row>
    <row r="26" spans="1:15" x14ac:dyDescent="0.35">
      <c r="A26" s="24">
        <v>11</v>
      </c>
      <c r="B26" s="514" t="str">
        <f>'Schedule 2E Adjustments'!B25:D25</f>
        <v/>
      </c>
      <c r="C26" s="514"/>
      <c r="D26" s="514"/>
      <c r="F26" s="117">
        <f>'Schedule 2E Adjustments'!H25</f>
        <v>0</v>
      </c>
      <c r="G26" s="68">
        <f>'Schedule 2E Adjustments'!J25</f>
        <v>0</v>
      </c>
      <c r="H26" s="68">
        <f t="shared" si="0"/>
        <v>0</v>
      </c>
      <c r="J26" s="117">
        <f>'Schedule 2E Adjustments'!P25</f>
        <v>0</v>
      </c>
      <c r="K26" s="68">
        <f>'Schedule 2E Adjustments'!R25</f>
        <v>0</v>
      </c>
      <c r="L26" s="68">
        <f t="shared" si="1"/>
        <v>0</v>
      </c>
      <c r="N26" s="119">
        <f>'Schedule 2E Adjustments'!X25</f>
        <v>0</v>
      </c>
      <c r="O26" s="119">
        <f>'Schedule 2E Adjustments'!AA25</f>
        <v>0</v>
      </c>
    </row>
    <row r="27" spans="1:15" x14ac:dyDescent="0.35">
      <c r="A27" s="24">
        <v>12</v>
      </c>
      <c r="B27" s="514" t="str">
        <f>'Schedule 2E Adjustments'!B26:D26</f>
        <v/>
      </c>
      <c r="C27" s="514"/>
      <c r="D27" s="514"/>
      <c r="F27" s="117">
        <f>'Schedule 2E Adjustments'!H26</f>
        <v>0</v>
      </c>
      <c r="G27" s="68">
        <f>'Schedule 2E Adjustments'!J26</f>
        <v>0</v>
      </c>
      <c r="H27" s="68">
        <f t="shared" si="0"/>
        <v>0</v>
      </c>
      <c r="J27" s="117">
        <f>'Schedule 2E Adjustments'!P26</f>
        <v>0</v>
      </c>
      <c r="K27" s="68">
        <f>'Schedule 2E Adjustments'!R26</f>
        <v>0</v>
      </c>
      <c r="L27" s="68">
        <f t="shared" si="1"/>
        <v>0</v>
      </c>
      <c r="N27" s="119">
        <f>'Schedule 2E Adjustments'!X26</f>
        <v>0</v>
      </c>
      <c r="O27" s="119">
        <f>'Schedule 2E Adjustments'!AA26</f>
        <v>0</v>
      </c>
    </row>
    <row r="28" spans="1:15" x14ac:dyDescent="0.35">
      <c r="A28" s="24">
        <v>13</v>
      </c>
      <c r="B28" s="514" t="str">
        <f>'Schedule 2E Adjustments'!B27:D27</f>
        <v/>
      </c>
      <c r="C28" s="514"/>
      <c r="D28" s="514"/>
      <c r="F28" s="117">
        <f>'Schedule 2E Adjustments'!H27</f>
        <v>0</v>
      </c>
      <c r="G28" s="68">
        <f>'Schedule 2E Adjustments'!J27</f>
        <v>0</v>
      </c>
      <c r="H28" s="68">
        <f t="shared" si="0"/>
        <v>0</v>
      </c>
      <c r="J28" s="117">
        <f>'Schedule 2E Adjustments'!P27</f>
        <v>0</v>
      </c>
      <c r="K28" s="68">
        <f>'Schedule 2E Adjustments'!R27</f>
        <v>0</v>
      </c>
      <c r="L28" s="68">
        <f t="shared" si="1"/>
        <v>0</v>
      </c>
      <c r="N28" s="119">
        <f>'Schedule 2E Adjustments'!X27</f>
        <v>0</v>
      </c>
      <c r="O28" s="119">
        <f>'Schedule 2E Adjustments'!AA27</f>
        <v>0</v>
      </c>
    </row>
    <row r="29" spans="1:15" x14ac:dyDescent="0.35">
      <c r="A29" s="24">
        <v>14</v>
      </c>
      <c r="B29" s="514" t="str">
        <f>'Schedule 2E Adjustments'!B28:D28</f>
        <v/>
      </c>
      <c r="C29" s="514"/>
      <c r="D29" s="514"/>
      <c r="F29" s="117">
        <f>'Schedule 2E Adjustments'!H28</f>
        <v>0</v>
      </c>
      <c r="G29" s="68">
        <f>'Schedule 2E Adjustments'!J28</f>
        <v>0</v>
      </c>
      <c r="H29" s="68">
        <f t="shared" si="0"/>
        <v>0</v>
      </c>
      <c r="J29" s="117">
        <f>'Schedule 2E Adjustments'!P28</f>
        <v>0</v>
      </c>
      <c r="K29" s="68">
        <f>'Schedule 2E Adjustments'!R28</f>
        <v>0</v>
      </c>
      <c r="L29" s="68">
        <f t="shared" si="1"/>
        <v>0</v>
      </c>
      <c r="N29" s="119">
        <f>'Schedule 2E Adjustments'!X28</f>
        <v>0</v>
      </c>
      <c r="O29" s="119">
        <f>'Schedule 2E Adjustments'!AA28</f>
        <v>0</v>
      </c>
    </row>
    <row r="30" spans="1:15" x14ac:dyDescent="0.35">
      <c r="A30" s="24">
        <v>15</v>
      </c>
      <c r="B30" s="514" t="str">
        <f>'Schedule 2E Adjustments'!B29:D29</f>
        <v/>
      </c>
      <c r="C30" s="514"/>
      <c r="D30" s="514"/>
      <c r="F30" s="117">
        <f>'Schedule 2E Adjustments'!H29</f>
        <v>0</v>
      </c>
      <c r="G30" s="68">
        <f>'Schedule 2E Adjustments'!J29</f>
        <v>0</v>
      </c>
      <c r="H30" s="68">
        <f t="shared" si="0"/>
        <v>0</v>
      </c>
      <c r="J30" s="117">
        <f>'Schedule 2E Adjustments'!P29</f>
        <v>0</v>
      </c>
      <c r="K30" s="68">
        <f>'Schedule 2E Adjustments'!R29</f>
        <v>0</v>
      </c>
      <c r="L30" s="68">
        <f t="shared" si="1"/>
        <v>0</v>
      </c>
      <c r="N30" s="119">
        <f>'Schedule 2E Adjustments'!X29</f>
        <v>0</v>
      </c>
      <c r="O30" s="119">
        <f>'Schedule 2E Adjustments'!AA29</f>
        <v>0</v>
      </c>
    </row>
    <row r="31" spans="1:15" x14ac:dyDescent="0.35">
      <c r="A31" s="24">
        <v>16</v>
      </c>
      <c r="B31" s="514" t="str">
        <f>'Schedule 2E Adjustments'!B30:D30</f>
        <v/>
      </c>
      <c r="C31" s="514"/>
      <c r="D31" s="514"/>
      <c r="F31" s="117">
        <f>'Schedule 2E Adjustments'!H30</f>
        <v>0</v>
      </c>
      <c r="G31" s="68">
        <f>'Schedule 2E Adjustments'!J30</f>
        <v>0</v>
      </c>
      <c r="H31" s="68">
        <f t="shared" si="0"/>
        <v>0</v>
      </c>
      <c r="J31" s="117">
        <f>'Schedule 2E Adjustments'!P30</f>
        <v>0</v>
      </c>
      <c r="K31" s="68">
        <f>'Schedule 2E Adjustments'!R30</f>
        <v>0</v>
      </c>
      <c r="L31" s="68">
        <f t="shared" si="1"/>
        <v>0</v>
      </c>
      <c r="N31" s="119">
        <f>'Schedule 2E Adjustments'!X30</f>
        <v>0</v>
      </c>
      <c r="O31" s="119">
        <f>'Schedule 2E Adjustments'!AA30</f>
        <v>0</v>
      </c>
    </row>
    <row r="32" spans="1:15" x14ac:dyDescent="0.35">
      <c r="A32" s="24">
        <v>17</v>
      </c>
      <c r="B32" s="514" t="str">
        <f>'Schedule 2E Adjustments'!B31:D31</f>
        <v/>
      </c>
      <c r="C32" s="514"/>
      <c r="D32" s="514"/>
      <c r="F32" s="117">
        <f>'Schedule 2E Adjustments'!H31</f>
        <v>0</v>
      </c>
      <c r="G32" s="68">
        <f>'Schedule 2E Adjustments'!J31</f>
        <v>0</v>
      </c>
      <c r="H32" s="68">
        <f t="shared" si="0"/>
        <v>0</v>
      </c>
      <c r="J32" s="117">
        <f>'Schedule 2E Adjustments'!P31</f>
        <v>0</v>
      </c>
      <c r="K32" s="68">
        <f>'Schedule 2E Adjustments'!R31</f>
        <v>0</v>
      </c>
      <c r="L32" s="68">
        <f t="shared" si="1"/>
        <v>0</v>
      </c>
      <c r="N32" s="119">
        <f>'Schedule 2E Adjustments'!X31</f>
        <v>0</v>
      </c>
      <c r="O32" s="119">
        <f>'Schedule 2E Adjustments'!AA31</f>
        <v>0</v>
      </c>
    </row>
    <row r="33" spans="1:15" x14ac:dyDescent="0.35">
      <c r="A33" s="24">
        <v>18</v>
      </c>
      <c r="B33" s="514" t="str">
        <f>'Schedule 2E Adjustments'!B32:D32</f>
        <v/>
      </c>
      <c r="C33" s="514"/>
      <c r="D33" s="514"/>
      <c r="F33" s="117">
        <f>'Schedule 2E Adjustments'!H32</f>
        <v>0</v>
      </c>
      <c r="G33" s="68">
        <f>'Schedule 2E Adjustments'!J32</f>
        <v>0</v>
      </c>
      <c r="H33" s="68">
        <f t="shared" si="0"/>
        <v>0</v>
      </c>
      <c r="J33" s="117">
        <f>'Schedule 2E Adjustments'!P32</f>
        <v>0</v>
      </c>
      <c r="K33" s="68">
        <f>'Schedule 2E Adjustments'!R32</f>
        <v>0</v>
      </c>
      <c r="L33" s="68">
        <f t="shared" si="1"/>
        <v>0</v>
      </c>
      <c r="N33" s="119">
        <f>'Schedule 2E Adjustments'!X32</f>
        <v>0</v>
      </c>
      <c r="O33" s="119">
        <f>'Schedule 2E Adjustments'!AA32</f>
        <v>0</v>
      </c>
    </row>
    <row r="34" spans="1:15" x14ac:dyDescent="0.35">
      <c r="A34" s="24">
        <v>19</v>
      </c>
      <c r="B34" s="514" t="str">
        <f>'Schedule 2E Adjustments'!B33:D33</f>
        <v/>
      </c>
      <c r="C34" s="514"/>
      <c r="D34" s="514"/>
      <c r="F34" s="117">
        <f>'Schedule 2E Adjustments'!H33</f>
        <v>0</v>
      </c>
      <c r="G34" s="68">
        <f>'Schedule 2E Adjustments'!J33</f>
        <v>0</v>
      </c>
      <c r="H34" s="68">
        <f t="shared" si="0"/>
        <v>0</v>
      </c>
      <c r="J34" s="117">
        <f>'Schedule 2E Adjustments'!P33</f>
        <v>0</v>
      </c>
      <c r="K34" s="68">
        <f>'Schedule 2E Adjustments'!R33</f>
        <v>0</v>
      </c>
      <c r="L34" s="68">
        <f t="shared" si="1"/>
        <v>0</v>
      </c>
      <c r="N34" s="119">
        <f>'Schedule 2E Adjustments'!X33</f>
        <v>0</v>
      </c>
      <c r="O34" s="119">
        <f>'Schedule 2E Adjustments'!AA33</f>
        <v>0</v>
      </c>
    </row>
    <row r="35" spans="1:15" x14ac:dyDescent="0.35">
      <c r="A35" s="24">
        <v>20</v>
      </c>
      <c r="B35" s="514" t="str">
        <f>'Schedule 2E Adjustments'!B34:D34</f>
        <v/>
      </c>
      <c r="C35" s="514"/>
      <c r="D35" s="514"/>
      <c r="F35" s="117">
        <f>'Schedule 2E Adjustments'!H34</f>
        <v>0</v>
      </c>
      <c r="G35" s="68">
        <f>'Schedule 2E Adjustments'!J34</f>
        <v>0</v>
      </c>
      <c r="H35" s="68">
        <f t="shared" si="0"/>
        <v>0</v>
      </c>
      <c r="J35" s="117">
        <f>'Schedule 2E Adjustments'!P34</f>
        <v>0</v>
      </c>
      <c r="K35" s="68">
        <f>'Schedule 2E Adjustments'!R34</f>
        <v>0</v>
      </c>
      <c r="L35" s="68">
        <f t="shared" si="1"/>
        <v>0</v>
      </c>
      <c r="N35" s="119">
        <f>'Schedule 2E Adjustments'!X34</f>
        <v>0</v>
      </c>
      <c r="O35" s="119">
        <f>'Schedule 2E Adjustments'!AA34</f>
        <v>0</v>
      </c>
    </row>
    <row r="36" spans="1:15" x14ac:dyDescent="0.35">
      <c r="A36" s="24">
        <v>21</v>
      </c>
      <c r="B36" s="514" t="str">
        <f>'Schedule 2E Adjustments'!B35:D35</f>
        <v/>
      </c>
      <c r="C36" s="514"/>
      <c r="D36" s="514"/>
      <c r="F36" s="117">
        <f>'Schedule 2E Adjustments'!H35</f>
        <v>0</v>
      </c>
      <c r="G36" s="68">
        <f>'Schedule 2E Adjustments'!J35</f>
        <v>0</v>
      </c>
      <c r="H36" s="68">
        <f t="shared" si="0"/>
        <v>0</v>
      </c>
      <c r="J36" s="117">
        <f>'Schedule 2E Adjustments'!P35</f>
        <v>0</v>
      </c>
      <c r="K36" s="68">
        <f>'Schedule 2E Adjustments'!R35</f>
        <v>0</v>
      </c>
      <c r="L36" s="68">
        <f t="shared" si="1"/>
        <v>0</v>
      </c>
      <c r="N36" s="119">
        <f>'Schedule 2E Adjustments'!X35</f>
        <v>0</v>
      </c>
      <c r="O36" s="119">
        <f>'Schedule 2E Adjustments'!AA35</f>
        <v>0</v>
      </c>
    </row>
    <row r="37" spans="1:15" x14ac:dyDescent="0.35">
      <c r="A37" s="24">
        <v>22</v>
      </c>
      <c r="B37" s="514" t="str">
        <f>'Schedule 2E Adjustments'!B36:D36</f>
        <v/>
      </c>
      <c r="C37" s="514"/>
      <c r="D37" s="514"/>
      <c r="F37" s="117">
        <f>'Schedule 2E Adjustments'!H36</f>
        <v>0</v>
      </c>
      <c r="G37" s="68">
        <f>'Schedule 2E Adjustments'!J36</f>
        <v>0</v>
      </c>
      <c r="H37" s="68">
        <f t="shared" si="0"/>
        <v>0</v>
      </c>
      <c r="J37" s="117">
        <f>'Schedule 2E Adjustments'!P36</f>
        <v>0</v>
      </c>
      <c r="K37" s="68">
        <f>'Schedule 2E Adjustments'!R36</f>
        <v>0</v>
      </c>
      <c r="L37" s="68">
        <f t="shared" si="1"/>
        <v>0</v>
      </c>
      <c r="N37" s="119">
        <f>'Schedule 2E Adjustments'!X36</f>
        <v>0</v>
      </c>
      <c r="O37" s="119">
        <f>'Schedule 2E Adjustments'!AA36</f>
        <v>0</v>
      </c>
    </row>
    <row r="38" spans="1:15" x14ac:dyDescent="0.35">
      <c r="A38" s="24">
        <v>23</v>
      </c>
      <c r="B38" s="514" t="str">
        <f>'Schedule 2E Adjustments'!B37:D37</f>
        <v/>
      </c>
      <c r="C38" s="514"/>
      <c r="D38" s="514"/>
      <c r="F38" s="117">
        <f>'Schedule 2E Adjustments'!H37</f>
        <v>0</v>
      </c>
      <c r="G38" s="68">
        <f>'Schedule 2E Adjustments'!J37</f>
        <v>0</v>
      </c>
      <c r="H38" s="68">
        <f t="shared" si="0"/>
        <v>0</v>
      </c>
      <c r="J38" s="117">
        <f>'Schedule 2E Adjustments'!P37</f>
        <v>0</v>
      </c>
      <c r="K38" s="68">
        <f>'Schedule 2E Adjustments'!R37</f>
        <v>0</v>
      </c>
      <c r="L38" s="68">
        <f t="shared" si="1"/>
        <v>0</v>
      </c>
      <c r="N38" s="119">
        <f>'Schedule 2E Adjustments'!X37</f>
        <v>0</v>
      </c>
      <c r="O38" s="119">
        <f>'Schedule 2E Adjustments'!AA37</f>
        <v>0</v>
      </c>
    </row>
    <row r="39" spans="1:15" x14ac:dyDescent="0.35">
      <c r="A39" s="24">
        <v>24</v>
      </c>
      <c r="B39" s="514" t="str">
        <f>'Schedule 2E Adjustments'!B38:D38</f>
        <v/>
      </c>
      <c r="C39" s="514"/>
      <c r="D39" s="514"/>
      <c r="F39" s="117">
        <f>'Schedule 2E Adjustments'!H38</f>
        <v>0</v>
      </c>
      <c r="G39" s="68">
        <f>'Schedule 2E Adjustments'!J38</f>
        <v>0</v>
      </c>
      <c r="H39" s="68">
        <f t="shared" si="0"/>
        <v>0</v>
      </c>
      <c r="J39" s="117">
        <f>'Schedule 2E Adjustments'!P38</f>
        <v>0</v>
      </c>
      <c r="K39" s="68">
        <f>'Schedule 2E Adjustments'!R38</f>
        <v>0</v>
      </c>
      <c r="L39" s="68">
        <f t="shared" si="1"/>
        <v>0</v>
      </c>
      <c r="N39" s="119">
        <f>'Schedule 2E Adjustments'!X38</f>
        <v>0</v>
      </c>
      <c r="O39" s="119">
        <f>'Schedule 2E Adjustments'!AA38</f>
        <v>0</v>
      </c>
    </row>
    <row r="40" spans="1:15" x14ac:dyDescent="0.35">
      <c r="A40" s="24">
        <v>25</v>
      </c>
      <c r="B40" s="514" t="str">
        <f>'Schedule 2E Adjustments'!B39:D39</f>
        <v/>
      </c>
      <c r="C40" s="514"/>
      <c r="D40" s="514"/>
      <c r="F40" s="117">
        <f>'Schedule 2E Adjustments'!H39</f>
        <v>0</v>
      </c>
      <c r="G40" s="68">
        <f>'Schedule 2E Adjustments'!J39</f>
        <v>0</v>
      </c>
      <c r="H40" s="68">
        <f t="shared" si="0"/>
        <v>0</v>
      </c>
      <c r="J40" s="117">
        <f>'Schedule 2E Adjustments'!P39</f>
        <v>0</v>
      </c>
      <c r="K40" s="68">
        <f>'Schedule 2E Adjustments'!R39</f>
        <v>0</v>
      </c>
      <c r="L40" s="68">
        <f t="shared" si="1"/>
        <v>0</v>
      </c>
      <c r="N40" s="119">
        <f>'Schedule 2E Adjustments'!X39</f>
        <v>0</v>
      </c>
      <c r="O40" s="119">
        <f>'Schedule 2E Adjustments'!AA39</f>
        <v>0</v>
      </c>
    </row>
    <row r="41" spans="1:15" x14ac:dyDescent="0.35">
      <c r="A41" s="24">
        <v>26</v>
      </c>
      <c r="B41" s="514" t="str">
        <f>'Schedule 2E Adjustments'!B40:D40</f>
        <v/>
      </c>
      <c r="C41" s="514"/>
      <c r="D41" s="514"/>
      <c r="F41" s="117">
        <f>'Schedule 2E Adjustments'!H40</f>
        <v>0</v>
      </c>
      <c r="G41" s="68">
        <f>'Schedule 2E Adjustments'!J40</f>
        <v>0</v>
      </c>
      <c r="H41" s="68">
        <f t="shared" si="0"/>
        <v>0</v>
      </c>
      <c r="J41" s="117">
        <f>'Schedule 2E Adjustments'!P40</f>
        <v>0</v>
      </c>
      <c r="K41" s="68">
        <f>'Schedule 2E Adjustments'!R40</f>
        <v>0</v>
      </c>
      <c r="L41" s="68">
        <f t="shared" si="1"/>
        <v>0</v>
      </c>
      <c r="N41" s="119">
        <f>'Schedule 2E Adjustments'!X40</f>
        <v>0</v>
      </c>
      <c r="O41" s="119">
        <f>'Schedule 2E Adjustments'!AA40</f>
        <v>0</v>
      </c>
    </row>
    <row r="42" spans="1:15" x14ac:dyDescent="0.35">
      <c r="A42" s="24">
        <v>27</v>
      </c>
      <c r="B42" s="514" t="str">
        <f>'Schedule 2E Adjustments'!B41:D41</f>
        <v/>
      </c>
      <c r="C42" s="514"/>
      <c r="D42" s="514"/>
      <c r="F42" s="117">
        <f>'Schedule 2E Adjustments'!H41</f>
        <v>0</v>
      </c>
      <c r="G42" s="68">
        <f>'Schedule 2E Adjustments'!J41</f>
        <v>0</v>
      </c>
      <c r="H42" s="68">
        <f t="shared" si="0"/>
        <v>0</v>
      </c>
      <c r="J42" s="117">
        <f>'Schedule 2E Adjustments'!P41</f>
        <v>0</v>
      </c>
      <c r="K42" s="68">
        <f>'Schedule 2E Adjustments'!R41</f>
        <v>0</v>
      </c>
      <c r="L42" s="68">
        <f t="shared" si="1"/>
        <v>0</v>
      </c>
      <c r="N42" s="119">
        <f>'Schedule 2E Adjustments'!X41</f>
        <v>0</v>
      </c>
      <c r="O42" s="119">
        <f>'Schedule 2E Adjustments'!AA41</f>
        <v>0</v>
      </c>
    </row>
    <row r="43" spans="1:15" x14ac:dyDescent="0.35">
      <c r="A43" s="24">
        <v>28</v>
      </c>
      <c r="B43" s="514" t="str">
        <f>'Schedule 2E Adjustments'!B42:D42</f>
        <v/>
      </c>
      <c r="C43" s="514"/>
      <c r="D43" s="514"/>
      <c r="F43" s="117">
        <f>'Schedule 2E Adjustments'!H42</f>
        <v>0</v>
      </c>
      <c r="G43" s="68">
        <f>'Schedule 2E Adjustments'!J42</f>
        <v>0</v>
      </c>
      <c r="H43" s="68">
        <f t="shared" si="0"/>
        <v>0</v>
      </c>
      <c r="J43" s="117">
        <f>'Schedule 2E Adjustments'!P42</f>
        <v>0</v>
      </c>
      <c r="K43" s="68">
        <f>'Schedule 2E Adjustments'!R42</f>
        <v>0</v>
      </c>
      <c r="L43" s="68">
        <f t="shared" si="1"/>
        <v>0</v>
      </c>
      <c r="N43" s="119">
        <f>'Schedule 2E Adjustments'!X42</f>
        <v>0</v>
      </c>
      <c r="O43" s="119">
        <f>'Schedule 2E Adjustments'!AA42</f>
        <v>0</v>
      </c>
    </row>
    <row r="44" spans="1:15" x14ac:dyDescent="0.35">
      <c r="A44" s="24">
        <v>29</v>
      </c>
      <c r="B44" s="514" t="str">
        <f>'Schedule 2E Adjustments'!B43:D43</f>
        <v/>
      </c>
      <c r="C44" s="514"/>
      <c r="D44" s="514"/>
      <c r="F44" s="117">
        <f>'Schedule 2E Adjustments'!H43</f>
        <v>0</v>
      </c>
      <c r="G44" s="68">
        <f>'Schedule 2E Adjustments'!J43</f>
        <v>0</v>
      </c>
      <c r="H44" s="68">
        <f t="shared" si="0"/>
        <v>0</v>
      </c>
      <c r="J44" s="117">
        <f>'Schedule 2E Adjustments'!P43</f>
        <v>0</v>
      </c>
      <c r="K44" s="68">
        <f>'Schedule 2E Adjustments'!R43</f>
        <v>0</v>
      </c>
      <c r="L44" s="68">
        <f t="shared" si="1"/>
        <v>0</v>
      </c>
      <c r="N44" s="119">
        <f>'Schedule 2E Adjustments'!X43</f>
        <v>0</v>
      </c>
      <c r="O44" s="119">
        <f>'Schedule 2E Adjustments'!AA43</f>
        <v>0</v>
      </c>
    </row>
    <row r="45" spans="1:15" x14ac:dyDescent="0.35">
      <c r="A45" s="24">
        <v>30</v>
      </c>
      <c r="B45" s="514" t="str">
        <f>'Schedule 2E Adjustments'!B44:D44</f>
        <v/>
      </c>
      <c r="C45" s="514"/>
      <c r="D45" s="514"/>
      <c r="F45" s="117">
        <f>'Schedule 2E Adjustments'!H44</f>
        <v>0</v>
      </c>
      <c r="G45" s="68">
        <f>'Schedule 2E Adjustments'!J44</f>
        <v>0</v>
      </c>
      <c r="H45" s="68">
        <f t="shared" si="0"/>
        <v>0</v>
      </c>
      <c r="J45" s="117">
        <f>'Schedule 2E Adjustments'!P44</f>
        <v>0</v>
      </c>
      <c r="K45" s="68">
        <f>'Schedule 2E Adjustments'!R44</f>
        <v>0</v>
      </c>
      <c r="L45" s="68">
        <f t="shared" si="1"/>
        <v>0</v>
      </c>
      <c r="N45" s="119">
        <f>'Schedule 2E Adjustments'!X44</f>
        <v>0</v>
      </c>
      <c r="O45" s="119">
        <f>'Schedule 2E Adjustments'!AA44</f>
        <v>0</v>
      </c>
    </row>
    <row r="46" spans="1:15" x14ac:dyDescent="0.35">
      <c r="A46" s="24">
        <v>31</v>
      </c>
      <c r="B46" s="514" t="str">
        <f>'Schedule 2E Adjustments'!B45:D45</f>
        <v/>
      </c>
      <c r="C46" s="514"/>
      <c r="D46" s="514"/>
      <c r="F46" s="117">
        <f>'Schedule 2E Adjustments'!H45</f>
        <v>0</v>
      </c>
      <c r="G46" s="68">
        <f>'Schedule 2E Adjustments'!J45</f>
        <v>0</v>
      </c>
      <c r="H46" s="68">
        <f t="shared" si="0"/>
        <v>0</v>
      </c>
      <c r="J46" s="117">
        <f>'Schedule 2E Adjustments'!P45</f>
        <v>0</v>
      </c>
      <c r="K46" s="68">
        <f>'Schedule 2E Adjustments'!R45</f>
        <v>0</v>
      </c>
      <c r="L46" s="68">
        <f t="shared" si="1"/>
        <v>0</v>
      </c>
      <c r="N46" s="119">
        <f>'Schedule 2E Adjustments'!X45</f>
        <v>0</v>
      </c>
      <c r="O46" s="119">
        <f>'Schedule 2E Adjustments'!AA45</f>
        <v>0</v>
      </c>
    </row>
    <row r="47" spans="1:15" x14ac:dyDescent="0.35">
      <c r="A47" s="24">
        <v>32</v>
      </c>
      <c r="B47" s="514" t="str">
        <f>'Schedule 2E Adjustments'!B46:D46</f>
        <v/>
      </c>
      <c r="C47" s="514"/>
      <c r="D47" s="514"/>
      <c r="F47" s="117">
        <f>'Schedule 2E Adjustments'!H46</f>
        <v>0</v>
      </c>
      <c r="G47" s="68">
        <f>'Schedule 2E Adjustments'!J46</f>
        <v>0</v>
      </c>
      <c r="H47" s="68">
        <f t="shared" si="0"/>
        <v>0</v>
      </c>
      <c r="J47" s="117">
        <f>'Schedule 2E Adjustments'!P46</f>
        <v>0</v>
      </c>
      <c r="K47" s="68">
        <f>'Schedule 2E Adjustments'!R46</f>
        <v>0</v>
      </c>
      <c r="L47" s="68">
        <f t="shared" si="1"/>
        <v>0</v>
      </c>
      <c r="N47" s="119">
        <f>'Schedule 2E Adjustments'!X46</f>
        <v>0</v>
      </c>
      <c r="O47" s="119">
        <f>'Schedule 2E Adjustments'!AA46</f>
        <v>0</v>
      </c>
    </row>
    <row r="48" spans="1:15" x14ac:dyDescent="0.35">
      <c r="A48" s="24">
        <v>33</v>
      </c>
      <c r="B48" s="514" t="str">
        <f>'Schedule 2E Adjustments'!B47:D47</f>
        <v/>
      </c>
      <c r="C48" s="514"/>
      <c r="D48" s="514"/>
      <c r="F48" s="117">
        <f>'Schedule 2E Adjustments'!H47</f>
        <v>0</v>
      </c>
      <c r="G48" s="68">
        <f>'Schedule 2E Adjustments'!J47</f>
        <v>0</v>
      </c>
      <c r="H48" s="68">
        <f t="shared" si="0"/>
        <v>0</v>
      </c>
      <c r="J48" s="117">
        <f>'Schedule 2E Adjustments'!P47</f>
        <v>0</v>
      </c>
      <c r="K48" s="68">
        <f>'Schedule 2E Adjustments'!R47</f>
        <v>0</v>
      </c>
      <c r="L48" s="68">
        <f t="shared" si="1"/>
        <v>0</v>
      </c>
      <c r="N48" s="119">
        <f>'Schedule 2E Adjustments'!X47</f>
        <v>0</v>
      </c>
      <c r="O48" s="119">
        <f>'Schedule 2E Adjustments'!AA47</f>
        <v>0</v>
      </c>
    </row>
    <row r="49" spans="1:15" x14ac:dyDescent="0.35">
      <c r="A49" s="24">
        <v>34</v>
      </c>
      <c r="B49" s="514" t="str">
        <f>'Schedule 2E Adjustments'!B48:D48</f>
        <v/>
      </c>
      <c r="C49" s="514"/>
      <c r="D49" s="514"/>
      <c r="F49" s="117">
        <f>'Schedule 2E Adjustments'!H48</f>
        <v>0</v>
      </c>
      <c r="G49" s="68">
        <f>'Schedule 2E Adjustments'!J48</f>
        <v>0</v>
      </c>
      <c r="H49" s="68">
        <f t="shared" si="0"/>
        <v>0</v>
      </c>
      <c r="J49" s="117">
        <f>'Schedule 2E Adjustments'!P48</f>
        <v>0</v>
      </c>
      <c r="K49" s="68">
        <f>'Schedule 2E Adjustments'!R48</f>
        <v>0</v>
      </c>
      <c r="L49" s="68">
        <f t="shared" si="1"/>
        <v>0</v>
      </c>
      <c r="N49" s="119">
        <f>'Schedule 2E Adjustments'!X48</f>
        <v>0</v>
      </c>
      <c r="O49" s="119">
        <f>'Schedule 2E Adjustments'!AA48</f>
        <v>0</v>
      </c>
    </row>
    <row r="50" spans="1:15" x14ac:dyDescent="0.35">
      <c r="A50" s="24">
        <v>35</v>
      </c>
      <c r="B50" s="514" t="str">
        <f>'Schedule 2E Adjustments'!B49:D49</f>
        <v/>
      </c>
      <c r="C50" s="514"/>
      <c r="D50" s="514"/>
      <c r="F50" s="117">
        <f>'Schedule 2E Adjustments'!H49</f>
        <v>0</v>
      </c>
      <c r="G50" s="68">
        <f>'Schedule 2E Adjustments'!J49</f>
        <v>0</v>
      </c>
      <c r="H50" s="68">
        <f t="shared" si="0"/>
        <v>0</v>
      </c>
      <c r="J50" s="117">
        <f>'Schedule 2E Adjustments'!P49</f>
        <v>0</v>
      </c>
      <c r="K50" s="68">
        <f>'Schedule 2E Adjustments'!R49</f>
        <v>0</v>
      </c>
      <c r="L50" s="68">
        <f t="shared" si="1"/>
        <v>0</v>
      </c>
      <c r="N50" s="119">
        <f>'Schedule 2E Adjustments'!X49</f>
        <v>0</v>
      </c>
      <c r="O50" s="119">
        <f>'Schedule 2E Adjustments'!AA49</f>
        <v>0</v>
      </c>
    </row>
    <row r="51" spans="1:15" x14ac:dyDescent="0.35">
      <c r="A51" s="24">
        <v>36</v>
      </c>
      <c r="B51" s="514" t="str">
        <f>'Schedule 2E Adjustments'!B50:D50</f>
        <v/>
      </c>
      <c r="C51" s="514"/>
      <c r="D51" s="514"/>
      <c r="F51" s="117">
        <f>'Schedule 2E Adjustments'!H50</f>
        <v>0</v>
      </c>
      <c r="G51" s="68">
        <f>'Schedule 2E Adjustments'!J50</f>
        <v>0</v>
      </c>
      <c r="H51" s="68">
        <f t="shared" si="0"/>
        <v>0</v>
      </c>
      <c r="J51" s="117">
        <f>'Schedule 2E Adjustments'!P50</f>
        <v>0</v>
      </c>
      <c r="K51" s="68">
        <f>'Schedule 2E Adjustments'!R50</f>
        <v>0</v>
      </c>
      <c r="L51" s="68">
        <f t="shared" si="1"/>
        <v>0</v>
      </c>
      <c r="N51" s="119">
        <f>'Schedule 2E Adjustments'!X50</f>
        <v>0</v>
      </c>
      <c r="O51" s="119">
        <f>'Schedule 2E Adjustments'!AA50</f>
        <v>0</v>
      </c>
    </row>
    <row r="52" spans="1:15" x14ac:dyDescent="0.35">
      <c r="A52" s="24">
        <v>37</v>
      </c>
      <c r="B52" s="514" t="str">
        <f>'Schedule 2E Adjustments'!B51:D51</f>
        <v/>
      </c>
      <c r="C52" s="514"/>
      <c r="D52" s="514"/>
      <c r="F52" s="117">
        <f>'Schedule 2E Adjustments'!H51</f>
        <v>0</v>
      </c>
      <c r="G52" s="68">
        <f>'Schedule 2E Adjustments'!J51</f>
        <v>0</v>
      </c>
      <c r="H52" s="68">
        <f t="shared" si="0"/>
        <v>0</v>
      </c>
      <c r="J52" s="117">
        <f>'Schedule 2E Adjustments'!P51</f>
        <v>0</v>
      </c>
      <c r="K52" s="68">
        <f>'Schedule 2E Adjustments'!R51</f>
        <v>0</v>
      </c>
      <c r="L52" s="68">
        <f t="shared" si="1"/>
        <v>0</v>
      </c>
      <c r="N52" s="119">
        <f>'Schedule 2E Adjustments'!X51</f>
        <v>0</v>
      </c>
      <c r="O52" s="119">
        <f>'Schedule 2E Adjustments'!AA51</f>
        <v>0</v>
      </c>
    </row>
    <row r="53" spans="1:15" x14ac:dyDescent="0.35">
      <c r="A53" s="24">
        <v>38</v>
      </c>
      <c r="B53" s="514" t="str">
        <f>'Schedule 2E Adjustments'!B52:D52</f>
        <v/>
      </c>
      <c r="C53" s="514"/>
      <c r="D53" s="514"/>
      <c r="F53" s="117">
        <f>'Schedule 2E Adjustments'!H52</f>
        <v>0</v>
      </c>
      <c r="G53" s="68">
        <f>'Schedule 2E Adjustments'!J52</f>
        <v>0</v>
      </c>
      <c r="H53" s="68">
        <f t="shared" si="0"/>
        <v>0</v>
      </c>
      <c r="J53" s="117">
        <f>'Schedule 2E Adjustments'!P52</f>
        <v>0</v>
      </c>
      <c r="K53" s="68">
        <f>'Schedule 2E Adjustments'!R52</f>
        <v>0</v>
      </c>
      <c r="L53" s="68">
        <f t="shared" si="1"/>
        <v>0</v>
      </c>
      <c r="N53" s="119">
        <f>'Schedule 2E Adjustments'!X52</f>
        <v>0</v>
      </c>
      <c r="O53" s="119">
        <f>'Schedule 2E Adjustments'!AA52</f>
        <v>0</v>
      </c>
    </row>
    <row r="54" spans="1:15" x14ac:dyDescent="0.35">
      <c r="A54" s="24">
        <v>39</v>
      </c>
      <c r="B54" s="514" t="str">
        <f>'Schedule 2E Adjustments'!B53:D53</f>
        <v/>
      </c>
      <c r="C54" s="514"/>
      <c r="D54" s="514"/>
      <c r="F54" s="117">
        <f>'Schedule 2E Adjustments'!H53</f>
        <v>0</v>
      </c>
      <c r="G54" s="68">
        <f>'Schedule 2E Adjustments'!J53</f>
        <v>0</v>
      </c>
      <c r="H54" s="68">
        <f t="shared" si="0"/>
        <v>0</v>
      </c>
      <c r="J54" s="117">
        <f>'Schedule 2E Adjustments'!P53</f>
        <v>0</v>
      </c>
      <c r="K54" s="68">
        <f>'Schedule 2E Adjustments'!R53</f>
        <v>0</v>
      </c>
      <c r="L54" s="68">
        <f t="shared" si="1"/>
        <v>0</v>
      </c>
      <c r="N54" s="119">
        <f>'Schedule 2E Adjustments'!X53</f>
        <v>0</v>
      </c>
      <c r="O54" s="119">
        <f>'Schedule 2E Adjustments'!AA53</f>
        <v>0</v>
      </c>
    </row>
    <row r="55" spans="1:15" x14ac:dyDescent="0.35">
      <c r="A55" s="24">
        <v>40</v>
      </c>
      <c r="B55" s="514" t="str">
        <f>'Schedule 2E Adjustments'!B54:D54</f>
        <v/>
      </c>
      <c r="C55" s="514"/>
      <c r="D55" s="514"/>
      <c r="F55" s="117">
        <f>'Schedule 2E Adjustments'!H54</f>
        <v>0</v>
      </c>
      <c r="G55" s="68">
        <f>'Schedule 2E Adjustments'!J54</f>
        <v>0</v>
      </c>
      <c r="H55" s="68">
        <f t="shared" si="0"/>
        <v>0</v>
      </c>
      <c r="J55" s="117">
        <f>'Schedule 2E Adjustments'!P54</f>
        <v>0</v>
      </c>
      <c r="K55" s="68">
        <f>'Schedule 2E Adjustments'!R54</f>
        <v>0</v>
      </c>
      <c r="L55" s="68">
        <f t="shared" si="1"/>
        <v>0</v>
      </c>
      <c r="N55" s="119">
        <f>'Schedule 2E Adjustments'!X54</f>
        <v>0</v>
      </c>
      <c r="O55" s="119">
        <f>'Schedule 2E Adjustments'!AA54</f>
        <v>0</v>
      </c>
    </row>
    <row r="56" spans="1:15" x14ac:dyDescent="0.35">
      <c r="A56" s="24">
        <v>41</v>
      </c>
      <c r="B56" s="514" t="str">
        <f>'Schedule 2E Adjustments'!B55:D55</f>
        <v/>
      </c>
      <c r="C56" s="514"/>
      <c r="D56" s="514"/>
      <c r="F56" s="117">
        <f>'Schedule 2E Adjustments'!H55</f>
        <v>0</v>
      </c>
      <c r="G56" s="68">
        <f>'Schedule 2E Adjustments'!J55</f>
        <v>0</v>
      </c>
      <c r="H56" s="68">
        <f t="shared" si="0"/>
        <v>0</v>
      </c>
      <c r="J56" s="117">
        <f>'Schedule 2E Adjustments'!P55</f>
        <v>0</v>
      </c>
      <c r="K56" s="68">
        <f>'Schedule 2E Adjustments'!R55</f>
        <v>0</v>
      </c>
      <c r="L56" s="68">
        <f t="shared" si="1"/>
        <v>0</v>
      </c>
      <c r="N56" s="119">
        <f>'Schedule 2E Adjustments'!X55</f>
        <v>0</v>
      </c>
      <c r="O56" s="119">
        <f>'Schedule 2E Adjustments'!AA55</f>
        <v>0</v>
      </c>
    </row>
    <row r="57" spans="1:15" x14ac:dyDescent="0.35">
      <c r="A57" s="24">
        <v>42</v>
      </c>
      <c r="B57" s="514" t="str">
        <f>'Schedule 2E Adjustments'!B56:D56</f>
        <v/>
      </c>
      <c r="C57" s="514"/>
      <c r="D57" s="514"/>
      <c r="F57" s="117">
        <f>'Schedule 2E Adjustments'!H56</f>
        <v>0</v>
      </c>
      <c r="G57" s="68">
        <f>'Schedule 2E Adjustments'!J56</f>
        <v>0</v>
      </c>
      <c r="H57" s="68">
        <f t="shared" si="0"/>
        <v>0</v>
      </c>
      <c r="J57" s="117">
        <f>'Schedule 2E Adjustments'!P56</f>
        <v>0</v>
      </c>
      <c r="K57" s="68">
        <f>'Schedule 2E Adjustments'!R56</f>
        <v>0</v>
      </c>
      <c r="L57" s="68">
        <f t="shared" si="1"/>
        <v>0</v>
      </c>
      <c r="N57" s="119">
        <f>'Schedule 2E Adjustments'!X56</f>
        <v>0</v>
      </c>
      <c r="O57" s="119">
        <f>'Schedule 2E Adjustments'!AA56</f>
        <v>0</v>
      </c>
    </row>
    <row r="58" spans="1:15" x14ac:dyDescent="0.35">
      <c r="A58" s="24">
        <v>43</v>
      </c>
      <c r="B58" s="514" t="str">
        <f>'Schedule 2E Adjustments'!B57:D57</f>
        <v/>
      </c>
      <c r="C58" s="514"/>
      <c r="D58" s="514"/>
      <c r="F58" s="117">
        <f>'Schedule 2E Adjustments'!H57</f>
        <v>0</v>
      </c>
      <c r="G58" s="68">
        <f>'Schedule 2E Adjustments'!J57</f>
        <v>0</v>
      </c>
      <c r="H58" s="68">
        <f t="shared" si="0"/>
        <v>0</v>
      </c>
      <c r="J58" s="117">
        <f>'Schedule 2E Adjustments'!P57</f>
        <v>0</v>
      </c>
      <c r="K58" s="68">
        <f>'Schedule 2E Adjustments'!R57</f>
        <v>0</v>
      </c>
      <c r="L58" s="68">
        <f t="shared" si="1"/>
        <v>0</v>
      </c>
      <c r="N58" s="119">
        <f>'Schedule 2E Adjustments'!X57</f>
        <v>0</v>
      </c>
      <c r="O58" s="119">
        <f>'Schedule 2E Adjustments'!AA57</f>
        <v>0</v>
      </c>
    </row>
    <row r="59" spans="1:15" x14ac:dyDescent="0.35">
      <c r="A59" s="24">
        <v>44</v>
      </c>
      <c r="B59" s="514" t="str">
        <f>'Schedule 2E Adjustments'!B58:D58</f>
        <v/>
      </c>
      <c r="C59" s="514"/>
      <c r="D59" s="514"/>
      <c r="F59" s="117">
        <f>'Schedule 2E Adjustments'!H58</f>
        <v>0</v>
      </c>
      <c r="G59" s="68">
        <f>'Schedule 2E Adjustments'!J58</f>
        <v>0</v>
      </c>
      <c r="H59" s="68">
        <f t="shared" si="0"/>
        <v>0</v>
      </c>
      <c r="J59" s="117">
        <f>'Schedule 2E Adjustments'!P58</f>
        <v>0</v>
      </c>
      <c r="K59" s="68">
        <f>'Schedule 2E Adjustments'!R58</f>
        <v>0</v>
      </c>
      <c r="L59" s="68">
        <f t="shared" si="1"/>
        <v>0</v>
      </c>
      <c r="N59" s="119">
        <f>'Schedule 2E Adjustments'!X58</f>
        <v>0</v>
      </c>
      <c r="O59" s="119">
        <f>'Schedule 2E Adjustments'!AA58</f>
        <v>0</v>
      </c>
    </row>
    <row r="60" spans="1:15" x14ac:dyDescent="0.35">
      <c r="A60" s="24">
        <v>45</v>
      </c>
      <c r="B60" s="514" t="str">
        <f>'Schedule 2E Adjustments'!B59:D59</f>
        <v/>
      </c>
      <c r="C60" s="514"/>
      <c r="D60" s="514"/>
      <c r="F60" s="117">
        <f>'Schedule 2E Adjustments'!H59</f>
        <v>0</v>
      </c>
      <c r="G60" s="68">
        <f>'Schedule 2E Adjustments'!J59</f>
        <v>0</v>
      </c>
      <c r="H60" s="68">
        <f t="shared" si="0"/>
        <v>0</v>
      </c>
      <c r="J60" s="117">
        <f>'Schedule 2E Adjustments'!P59</f>
        <v>0</v>
      </c>
      <c r="K60" s="68">
        <f>'Schedule 2E Adjustments'!R59</f>
        <v>0</v>
      </c>
      <c r="L60" s="68">
        <f t="shared" si="1"/>
        <v>0</v>
      </c>
      <c r="N60" s="119">
        <f>'Schedule 2E Adjustments'!X59</f>
        <v>0</v>
      </c>
      <c r="O60" s="119">
        <f>'Schedule 2E Adjustments'!AA59</f>
        <v>0</v>
      </c>
    </row>
    <row r="61" spans="1:15" x14ac:dyDescent="0.35">
      <c r="A61" s="24">
        <v>46</v>
      </c>
      <c r="B61" s="514" t="str">
        <f>'Schedule 2E Adjustments'!B60:D60</f>
        <v/>
      </c>
      <c r="C61" s="514"/>
      <c r="D61" s="514"/>
      <c r="F61" s="117">
        <f>'Schedule 2E Adjustments'!H60</f>
        <v>0</v>
      </c>
      <c r="G61" s="68">
        <f>'Schedule 2E Adjustments'!J60</f>
        <v>0</v>
      </c>
      <c r="H61" s="68">
        <f t="shared" si="0"/>
        <v>0</v>
      </c>
      <c r="J61" s="117">
        <f>'Schedule 2E Adjustments'!P60</f>
        <v>0</v>
      </c>
      <c r="K61" s="68">
        <f>'Schedule 2E Adjustments'!R60</f>
        <v>0</v>
      </c>
      <c r="L61" s="68">
        <f t="shared" si="1"/>
        <v>0</v>
      </c>
      <c r="N61" s="119">
        <f>'Schedule 2E Adjustments'!X60</f>
        <v>0</v>
      </c>
      <c r="O61" s="119">
        <f>'Schedule 2E Adjustments'!AA60</f>
        <v>0</v>
      </c>
    </row>
    <row r="62" spans="1:15" x14ac:dyDescent="0.35">
      <c r="A62" s="24">
        <v>47</v>
      </c>
      <c r="B62" s="514" t="str">
        <f>'Schedule 2E Adjustments'!B61:D61</f>
        <v/>
      </c>
      <c r="C62" s="514"/>
      <c r="D62" s="514"/>
      <c r="F62" s="117">
        <f>'Schedule 2E Adjustments'!H61</f>
        <v>0</v>
      </c>
      <c r="G62" s="68">
        <f>'Schedule 2E Adjustments'!J61</f>
        <v>0</v>
      </c>
      <c r="H62" s="68">
        <f t="shared" si="0"/>
        <v>0</v>
      </c>
      <c r="J62" s="117">
        <f>'Schedule 2E Adjustments'!P61</f>
        <v>0</v>
      </c>
      <c r="K62" s="68">
        <f>'Schedule 2E Adjustments'!R61</f>
        <v>0</v>
      </c>
      <c r="L62" s="68">
        <f t="shared" si="1"/>
        <v>0</v>
      </c>
      <c r="N62" s="119">
        <f>'Schedule 2E Adjustments'!X61</f>
        <v>0</v>
      </c>
      <c r="O62" s="119">
        <f>'Schedule 2E Adjustments'!AA61</f>
        <v>0</v>
      </c>
    </row>
    <row r="63" spans="1:15" x14ac:dyDescent="0.35">
      <c r="A63" s="24">
        <v>48</v>
      </c>
      <c r="B63" s="514" t="str">
        <f>'Schedule 2E Adjustments'!B62:D62</f>
        <v/>
      </c>
      <c r="C63" s="514"/>
      <c r="D63" s="514"/>
      <c r="F63" s="117">
        <f>'Schedule 2E Adjustments'!H62</f>
        <v>0</v>
      </c>
      <c r="G63" s="68">
        <f>'Schedule 2E Adjustments'!J62</f>
        <v>0</v>
      </c>
      <c r="H63" s="68">
        <f t="shared" si="0"/>
        <v>0</v>
      </c>
      <c r="J63" s="117">
        <f>'Schedule 2E Adjustments'!P62</f>
        <v>0</v>
      </c>
      <c r="K63" s="68">
        <f>'Schedule 2E Adjustments'!R62</f>
        <v>0</v>
      </c>
      <c r="L63" s="68">
        <f t="shared" si="1"/>
        <v>0</v>
      </c>
      <c r="N63" s="119">
        <f>'Schedule 2E Adjustments'!X62</f>
        <v>0</v>
      </c>
      <c r="O63" s="119">
        <f>'Schedule 2E Adjustments'!AA62</f>
        <v>0</v>
      </c>
    </row>
    <row r="64" spans="1:15" x14ac:dyDescent="0.35">
      <c r="A64" s="24">
        <v>49</v>
      </c>
      <c r="B64" s="514" t="str">
        <f>'Schedule 2E Adjustments'!B63:D63</f>
        <v/>
      </c>
      <c r="C64" s="514"/>
      <c r="D64" s="514"/>
      <c r="F64" s="117">
        <f>'Schedule 2E Adjustments'!H63</f>
        <v>0</v>
      </c>
      <c r="G64" s="68">
        <f>'Schedule 2E Adjustments'!J63</f>
        <v>0</v>
      </c>
      <c r="H64" s="68">
        <f t="shared" si="0"/>
        <v>0</v>
      </c>
      <c r="J64" s="117">
        <f>'Schedule 2E Adjustments'!P63</f>
        <v>0</v>
      </c>
      <c r="K64" s="68">
        <f>'Schedule 2E Adjustments'!R63</f>
        <v>0</v>
      </c>
      <c r="L64" s="68">
        <f t="shared" si="1"/>
        <v>0</v>
      </c>
      <c r="N64" s="119">
        <f>'Schedule 2E Adjustments'!X63</f>
        <v>0</v>
      </c>
      <c r="O64" s="119">
        <f>'Schedule 2E Adjustments'!AA63</f>
        <v>0</v>
      </c>
    </row>
    <row r="65" spans="1:15" x14ac:dyDescent="0.35">
      <c r="A65" s="24">
        <v>50</v>
      </c>
      <c r="B65" s="514" t="str">
        <f>'Schedule 2E Adjustments'!B64:D64</f>
        <v/>
      </c>
      <c r="C65" s="514"/>
      <c r="D65" s="514"/>
      <c r="F65" s="117">
        <f>'Schedule 2E Adjustments'!H64</f>
        <v>0</v>
      </c>
      <c r="G65" s="68">
        <f>'Schedule 2E Adjustments'!J64</f>
        <v>0</v>
      </c>
      <c r="H65" s="68">
        <f t="shared" si="0"/>
        <v>0</v>
      </c>
      <c r="J65" s="117">
        <f>'Schedule 2E Adjustments'!P64</f>
        <v>0</v>
      </c>
      <c r="K65" s="68">
        <f>'Schedule 2E Adjustments'!R64</f>
        <v>0</v>
      </c>
      <c r="L65" s="68">
        <f t="shared" si="1"/>
        <v>0</v>
      </c>
      <c r="N65" s="119">
        <f>'Schedule 2E Adjustments'!X64</f>
        <v>0</v>
      </c>
      <c r="O65" s="119">
        <f>'Schedule 2E Adjustments'!AA64</f>
        <v>0</v>
      </c>
    </row>
    <row r="66" spans="1:15" x14ac:dyDescent="0.35">
      <c r="A66" s="24">
        <v>51</v>
      </c>
      <c r="B66" s="514" t="str">
        <f>'Schedule 2E Adjustments'!B65:D65</f>
        <v/>
      </c>
      <c r="C66" s="514"/>
      <c r="D66" s="514"/>
      <c r="F66" s="117">
        <f>'Schedule 2E Adjustments'!H65</f>
        <v>0</v>
      </c>
      <c r="G66" s="68">
        <f>'Schedule 2E Adjustments'!J65</f>
        <v>0</v>
      </c>
      <c r="H66" s="68">
        <f t="shared" si="0"/>
        <v>0</v>
      </c>
      <c r="J66" s="117">
        <f>'Schedule 2E Adjustments'!P65</f>
        <v>0</v>
      </c>
      <c r="K66" s="68">
        <f>'Schedule 2E Adjustments'!R65</f>
        <v>0</v>
      </c>
      <c r="L66" s="68">
        <f t="shared" si="1"/>
        <v>0</v>
      </c>
      <c r="N66" s="119">
        <f>'Schedule 2E Adjustments'!X65</f>
        <v>0</v>
      </c>
      <c r="O66" s="119">
        <f>'Schedule 2E Adjustments'!AA65</f>
        <v>0</v>
      </c>
    </row>
    <row r="67" spans="1:15" x14ac:dyDescent="0.35">
      <c r="A67" s="24">
        <v>52</v>
      </c>
      <c r="B67" s="514" t="str">
        <f>'Schedule 2E Adjustments'!B66:D66</f>
        <v/>
      </c>
      <c r="C67" s="514"/>
      <c r="D67" s="514"/>
      <c r="F67" s="117">
        <f>'Schedule 2E Adjustments'!H66</f>
        <v>0</v>
      </c>
      <c r="G67" s="68">
        <f>'Schedule 2E Adjustments'!J66</f>
        <v>0</v>
      </c>
      <c r="H67" s="68">
        <f t="shared" si="0"/>
        <v>0</v>
      </c>
      <c r="J67" s="117">
        <f>'Schedule 2E Adjustments'!P66</f>
        <v>0</v>
      </c>
      <c r="K67" s="68">
        <f>'Schedule 2E Adjustments'!R66</f>
        <v>0</v>
      </c>
      <c r="L67" s="68">
        <f t="shared" si="1"/>
        <v>0</v>
      </c>
      <c r="N67" s="119">
        <f>'Schedule 2E Adjustments'!X66</f>
        <v>0</v>
      </c>
      <c r="O67" s="119">
        <f>'Schedule 2E Adjustments'!AA66</f>
        <v>0</v>
      </c>
    </row>
    <row r="68" spans="1:15" x14ac:dyDescent="0.35">
      <c r="A68" s="24">
        <v>53</v>
      </c>
      <c r="B68" s="514" t="str">
        <f>'Schedule 2E Adjustments'!B67:D67</f>
        <v/>
      </c>
      <c r="C68" s="514"/>
      <c r="D68" s="514"/>
      <c r="F68" s="117">
        <f>'Schedule 2E Adjustments'!H67</f>
        <v>0</v>
      </c>
      <c r="G68" s="68">
        <f>'Schedule 2E Adjustments'!J67</f>
        <v>0</v>
      </c>
      <c r="H68" s="68">
        <f t="shared" si="0"/>
        <v>0</v>
      </c>
      <c r="J68" s="117">
        <f>'Schedule 2E Adjustments'!P67</f>
        <v>0</v>
      </c>
      <c r="K68" s="68">
        <f>'Schedule 2E Adjustments'!R67</f>
        <v>0</v>
      </c>
      <c r="L68" s="68">
        <f t="shared" si="1"/>
        <v>0</v>
      </c>
      <c r="N68" s="119">
        <f>'Schedule 2E Adjustments'!X67</f>
        <v>0</v>
      </c>
      <c r="O68" s="119">
        <f>'Schedule 2E Adjustments'!AA67</f>
        <v>0</v>
      </c>
    </row>
    <row r="69" spans="1:15" x14ac:dyDescent="0.35">
      <c r="A69" s="24">
        <v>54</v>
      </c>
      <c r="B69" s="514" t="str">
        <f>'Schedule 2E Adjustments'!B68:D68</f>
        <v/>
      </c>
      <c r="C69" s="514"/>
      <c r="D69" s="514"/>
      <c r="F69" s="117">
        <f>'Schedule 2E Adjustments'!H68</f>
        <v>0</v>
      </c>
      <c r="G69" s="68">
        <f>'Schedule 2E Adjustments'!J68</f>
        <v>0</v>
      </c>
      <c r="H69" s="68">
        <f t="shared" si="0"/>
        <v>0</v>
      </c>
      <c r="J69" s="117">
        <f>'Schedule 2E Adjustments'!P68</f>
        <v>0</v>
      </c>
      <c r="K69" s="68">
        <f>'Schedule 2E Adjustments'!R68</f>
        <v>0</v>
      </c>
      <c r="L69" s="68">
        <f t="shared" si="1"/>
        <v>0</v>
      </c>
      <c r="N69" s="119">
        <f>'Schedule 2E Adjustments'!X68</f>
        <v>0</v>
      </c>
      <c r="O69" s="119">
        <f>'Schedule 2E Adjustments'!AA68</f>
        <v>0</v>
      </c>
    </row>
    <row r="70" spans="1:15" x14ac:dyDescent="0.35">
      <c r="A70" s="24">
        <v>55</v>
      </c>
      <c r="B70" s="514" t="str">
        <f>'Schedule 2E Adjustments'!B69:D69</f>
        <v/>
      </c>
      <c r="C70" s="514"/>
      <c r="D70" s="514"/>
      <c r="F70" s="117">
        <f>'Schedule 2E Adjustments'!H69</f>
        <v>0</v>
      </c>
      <c r="G70" s="68">
        <f>'Schedule 2E Adjustments'!J69</f>
        <v>0</v>
      </c>
      <c r="H70" s="68">
        <f t="shared" si="0"/>
        <v>0</v>
      </c>
      <c r="J70" s="117">
        <f>'Schedule 2E Adjustments'!P69</f>
        <v>0</v>
      </c>
      <c r="K70" s="68">
        <f>'Schedule 2E Adjustments'!R69</f>
        <v>0</v>
      </c>
      <c r="L70" s="68">
        <f t="shared" si="1"/>
        <v>0</v>
      </c>
      <c r="N70" s="119">
        <f>'Schedule 2E Adjustments'!X69</f>
        <v>0</v>
      </c>
      <c r="O70" s="119">
        <f>'Schedule 2E Adjustments'!AA69</f>
        <v>0</v>
      </c>
    </row>
    <row r="71" spans="1:15" x14ac:dyDescent="0.35">
      <c r="A71" s="24">
        <v>56</v>
      </c>
      <c r="B71" s="514" t="str">
        <f>'Schedule 2E Adjustments'!B70:D70</f>
        <v/>
      </c>
      <c r="C71" s="514"/>
      <c r="D71" s="514"/>
      <c r="F71" s="117">
        <f>'Schedule 2E Adjustments'!H70</f>
        <v>0</v>
      </c>
      <c r="G71" s="68">
        <f>'Schedule 2E Adjustments'!J70</f>
        <v>0</v>
      </c>
      <c r="H71" s="68">
        <f t="shared" si="0"/>
        <v>0</v>
      </c>
      <c r="J71" s="117">
        <f>'Schedule 2E Adjustments'!P70</f>
        <v>0</v>
      </c>
      <c r="K71" s="68">
        <f>'Schedule 2E Adjustments'!R70</f>
        <v>0</v>
      </c>
      <c r="L71" s="68">
        <f t="shared" si="1"/>
        <v>0</v>
      </c>
      <c r="N71" s="119">
        <f>'Schedule 2E Adjustments'!X70</f>
        <v>0</v>
      </c>
      <c r="O71" s="119">
        <f>'Schedule 2E Adjustments'!AA70</f>
        <v>0</v>
      </c>
    </row>
    <row r="72" spans="1:15" x14ac:dyDescent="0.35">
      <c r="A72" s="24">
        <v>57</v>
      </c>
      <c r="B72" s="514" t="str">
        <f>'Schedule 2E Adjustments'!B71:D71</f>
        <v/>
      </c>
      <c r="C72" s="514"/>
      <c r="D72" s="514"/>
      <c r="F72" s="117">
        <f>'Schedule 2E Adjustments'!H71</f>
        <v>0</v>
      </c>
      <c r="G72" s="68">
        <f>'Schedule 2E Adjustments'!J71</f>
        <v>0</v>
      </c>
      <c r="H72" s="68">
        <f t="shared" si="0"/>
        <v>0</v>
      </c>
      <c r="J72" s="117">
        <f>'Schedule 2E Adjustments'!P71</f>
        <v>0</v>
      </c>
      <c r="K72" s="68">
        <f>'Schedule 2E Adjustments'!R71</f>
        <v>0</v>
      </c>
      <c r="L72" s="68">
        <f t="shared" si="1"/>
        <v>0</v>
      </c>
      <c r="N72" s="119">
        <f>'Schedule 2E Adjustments'!X71</f>
        <v>0</v>
      </c>
      <c r="O72" s="119">
        <f>'Schedule 2E Adjustments'!AA71</f>
        <v>0</v>
      </c>
    </row>
    <row r="73" spans="1:15" x14ac:dyDescent="0.35">
      <c r="A73" s="24">
        <v>58</v>
      </c>
      <c r="B73" s="514" t="str">
        <f>'Schedule 2E Adjustments'!B72:D72</f>
        <v/>
      </c>
      <c r="C73" s="514"/>
      <c r="D73" s="514"/>
      <c r="F73" s="117">
        <f>'Schedule 2E Adjustments'!H72</f>
        <v>0</v>
      </c>
      <c r="G73" s="68">
        <f>'Schedule 2E Adjustments'!J72</f>
        <v>0</v>
      </c>
      <c r="H73" s="68">
        <f t="shared" si="0"/>
        <v>0</v>
      </c>
      <c r="J73" s="117">
        <f>'Schedule 2E Adjustments'!P72</f>
        <v>0</v>
      </c>
      <c r="K73" s="68">
        <f>'Schedule 2E Adjustments'!R72</f>
        <v>0</v>
      </c>
      <c r="L73" s="68">
        <f t="shared" si="1"/>
        <v>0</v>
      </c>
      <c r="N73" s="119">
        <f>'Schedule 2E Adjustments'!X72</f>
        <v>0</v>
      </c>
      <c r="O73" s="119">
        <f>'Schedule 2E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B20:D20"/>
    <mergeCell ref="B13:D13"/>
    <mergeCell ref="B14:D15"/>
    <mergeCell ref="F14:H14"/>
    <mergeCell ref="J14:L14"/>
    <mergeCell ref="O14:O15"/>
    <mergeCell ref="B16:D16"/>
    <mergeCell ref="B17:D17"/>
    <mergeCell ref="B18:D18"/>
    <mergeCell ref="B19:D19"/>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6">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849</v>
      </c>
      <c r="B3" s="5"/>
      <c r="C3" s="5"/>
      <c r="D3" s="5"/>
      <c r="E3" s="5"/>
      <c r="F3" s="5"/>
      <c r="G3" s="5"/>
      <c r="H3" s="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813</v>
      </c>
      <c r="C9" s="1"/>
      <c r="F9" s="472" t="s">
        <v>1041</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2F Adjustments'!B15:D15</f>
        <v/>
      </c>
      <c r="C16" s="514"/>
      <c r="D16" s="514"/>
      <c r="F16" s="117">
        <f>'Schedule 2F Adjustments'!H15</f>
        <v>0</v>
      </c>
      <c r="G16" s="68">
        <f>'Schedule 2F Adjustments'!J15</f>
        <v>0</v>
      </c>
      <c r="H16" s="68">
        <f>SUM(F16:G16)</f>
        <v>0</v>
      </c>
      <c r="J16" s="117">
        <f>'Schedule 2F Adjustments'!P15</f>
        <v>0</v>
      </c>
      <c r="K16" s="68">
        <f>'Schedule 2F Adjustments'!R15</f>
        <v>0</v>
      </c>
      <c r="L16" s="68">
        <f>SUM(J16:K16)</f>
        <v>0</v>
      </c>
      <c r="N16" s="119">
        <f>'Schedule 2F Adjustments'!X15</f>
        <v>0</v>
      </c>
      <c r="O16" s="119">
        <f>'Schedule 2F Adjustments'!AA15</f>
        <v>0</v>
      </c>
    </row>
    <row r="17" spans="1:15" x14ac:dyDescent="0.35">
      <c r="A17" s="24">
        <v>2</v>
      </c>
      <c r="B17" s="514" t="str">
        <f>'Schedule 2F Adjustments'!B16:D16</f>
        <v/>
      </c>
      <c r="C17" s="514"/>
      <c r="D17" s="514"/>
      <c r="F17" s="117">
        <f>'Schedule 2F Adjustments'!H16</f>
        <v>0</v>
      </c>
      <c r="G17" s="68">
        <f>'Schedule 2F Adjustments'!J16</f>
        <v>0</v>
      </c>
      <c r="H17" s="68">
        <f t="shared" ref="H17:H73" si="0">SUM(F17:G17)</f>
        <v>0</v>
      </c>
      <c r="J17" s="117">
        <f>'Schedule 2F Adjustments'!P16</f>
        <v>0</v>
      </c>
      <c r="K17" s="68">
        <f>'Schedule 2F Adjustments'!R16</f>
        <v>0</v>
      </c>
      <c r="L17" s="68">
        <f t="shared" ref="L17:L73" si="1">SUM(J17:K17)</f>
        <v>0</v>
      </c>
      <c r="N17" s="119">
        <f>'Schedule 2F Adjustments'!X16</f>
        <v>0</v>
      </c>
      <c r="O17" s="119">
        <f>'Schedule 2F Adjustments'!AA16</f>
        <v>0</v>
      </c>
    </row>
    <row r="18" spans="1:15" x14ac:dyDescent="0.35">
      <c r="A18" s="24">
        <v>3</v>
      </c>
      <c r="B18" s="514" t="str">
        <f>'Schedule 2F Adjustments'!B17:D17</f>
        <v/>
      </c>
      <c r="C18" s="514"/>
      <c r="D18" s="514"/>
      <c r="F18" s="117">
        <f>'Schedule 2F Adjustments'!H17</f>
        <v>0</v>
      </c>
      <c r="G18" s="68">
        <f>'Schedule 2F Adjustments'!J17</f>
        <v>0</v>
      </c>
      <c r="H18" s="68">
        <f t="shared" si="0"/>
        <v>0</v>
      </c>
      <c r="J18" s="117">
        <f>'Schedule 2F Adjustments'!P17</f>
        <v>0</v>
      </c>
      <c r="K18" s="68">
        <f>'Schedule 2F Adjustments'!R17</f>
        <v>0</v>
      </c>
      <c r="L18" s="68">
        <f t="shared" si="1"/>
        <v>0</v>
      </c>
      <c r="N18" s="119">
        <f>'Schedule 2F Adjustments'!X17</f>
        <v>0</v>
      </c>
      <c r="O18" s="119">
        <f>'Schedule 2F Adjustments'!AA17</f>
        <v>0</v>
      </c>
    </row>
    <row r="19" spans="1:15" x14ac:dyDescent="0.35">
      <c r="A19" s="24">
        <v>4</v>
      </c>
      <c r="B19" s="514" t="str">
        <f>'Schedule 2F Adjustments'!B18:D18</f>
        <v/>
      </c>
      <c r="C19" s="514"/>
      <c r="D19" s="514"/>
      <c r="F19" s="117">
        <f>'Schedule 2F Adjustments'!H18</f>
        <v>0</v>
      </c>
      <c r="G19" s="68">
        <f>'Schedule 2F Adjustments'!J18</f>
        <v>0</v>
      </c>
      <c r="H19" s="68">
        <f t="shared" si="0"/>
        <v>0</v>
      </c>
      <c r="J19" s="117">
        <f>'Schedule 2F Adjustments'!P18</f>
        <v>0</v>
      </c>
      <c r="K19" s="68">
        <f>'Schedule 2F Adjustments'!R18</f>
        <v>0</v>
      </c>
      <c r="L19" s="68">
        <f t="shared" si="1"/>
        <v>0</v>
      </c>
      <c r="N19" s="119">
        <f>'Schedule 2F Adjustments'!X18</f>
        <v>0</v>
      </c>
      <c r="O19" s="119">
        <f>'Schedule 2F Adjustments'!AA18</f>
        <v>0</v>
      </c>
    </row>
    <row r="20" spans="1:15" x14ac:dyDescent="0.35">
      <c r="A20" s="24">
        <v>5</v>
      </c>
      <c r="B20" s="514" t="str">
        <f>'Schedule 2F Adjustments'!B19:D19</f>
        <v/>
      </c>
      <c r="C20" s="514"/>
      <c r="D20" s="514"/>
      <c r="F20" s="117">
        <f>'Schedule 2F Adjustments'!H19</f>
        <v>0</v>
      </c>
      <c r="G20" s="68">
        <f>'Schedule 2F Adjustments'!J19</f>
        <v>0</v>
      </c>
      <c r="H20" s="68">
        <f t="shared" si="0"/>
        <v>0</v>
      </c>
      <c r="J20" s="117">
        <f>'Schedule 2F Adjustments'!P19</f>
        <v>0</v>
      </c>
      <c r="K20" s="68">
        <f>'Schedule 2F Adjustments'!R19</f>
        <v>0</v>
      </c>
      <c r="L20" s="68">
        <f t="shared" si="1"/>
        <v>0</v>
      </c>
      <c r="N20" s="119">
        <f>'Schedule 2F Adjustments'!X19</f>
        <v>0</v>
      </c>
      <c r="O20" s="119">
        <f>'Schedule 2F Adjustments'!AA19</f>
        <v>0</v>
      </c>
    </row>
    <row r="21" spans="1:15" x14ac:dyDescent="0.35">
      <c r="A21" s="24">
        <v>6</v>
      </c>
      <c r="B21" s="514" t="str">
        <f>'Schedule 2F Adjustments'!B20:D20</f>
        <v/>
      </c>
      <c r="C21" s="514"/>
      <c r="D21" s="514"/>
      <c r="F21" s="117">
        <f>'Schedule 2F Adjustments'!H20</f>
        <v>0</v>
      </c>
      <c r="G21" s="68">
        <f>'Schedule 2F Adjustments'!J20</f>
        <v>0</v>
      </c>
      <c r="H21" s="68">
        <f t="shared" si="0"/>
        <v>0</v>
      </c>
      <c r="J21" s="117">
        <f>'Schedule 2F Adjustments'!P20</f>
        <v>0</v>
      </c>
      <c r="K21" s="68">
        <f>'Schedule 2F Adjustments'!R20</f>
        <v>0</v>
      </c>
      <c r="L21" s="68">
        <f t="shared" si="1"/>
        <v>0</v>
      </c>
      <c r="N21" s="119">
        <f>'Schedule 2F Adjustments'!X20</f>
        <v>0</v>
      </c>
      <c r="O21" s="119">
        <f>'Schedule 2F Adjustments'!AA20</f>
        <v>0</v>
      </c>
    </row>
    <row r="22" spans="1:15" x14ac:dyDescent="0.35">
      <c r="A22" s="24">
        <v>7</v>
      </c>
      <c r="B22" s="514" t="str">
        <f>'Schedule 2F Adjustments'!B21:D21</f>
        <v/>
      </c>
      <c r="C22" s="514"/>
      <c r="D22" s="514"/>
      <c r="F22" s="117">
        <f>'Schedule 2F Adjustments'!H21</f>
        <v>0</v>
      </c>
      <c r="G22" s="68">
        <f>'Schedule 2F Adjustments'!J21</f>
        <v>0</v>
      </c>
      <c r="H22" s="68">
        <f t="shared" si="0"/>
        <v>0</v>
      </c>
      <c r="J22" s="117">
        <f>'Schedule 2F Adjustments'!P21</f>
        <v>0</v>
      </c>
      <c r="K22" s="68">
        <f>'Schedule 2F Adjustments'!R21</f>
        <v>0</v>
      </c>
      <c r="L22" s="68">
        <f t="shared" si="1"/>
        <v>0</v>
      </c>
      <c r="N22" s="119">
        <f>'Schedule 2F Adjustments'!X21</f>
        <v>0</v>
      </c>
      <c r="O22" s="119">
        <f>'Schedule 2F Adjustments'!AA21</f>
        <v>0</v>
      </c>
    </row>
    <row r="23" spans="1:15" x14ac:dyDescent="0.35">
      <c r="A23" s="24">
        <v>8</v>
      </c>
      <c r="B23" s="514" t="str">
        <f>'Schedule 2F Adjustments'!B22:D22</f>
        <v/>
      </c>
      <c r="C23" s="514"/>
      <c r="D23" s="514"/>
      <c r="F23" s="117">
        <f>'Schedule 2F Adjustments'!H22</f>
        <v>0</v>
      </c>
      <c r="G23" s="68">
        <f>'Schedule 2F Adjustments'!J22</f>
        <v>0</v>
      </c>
      <c r="H23" s="68">
        <f t="shared" si="0"/>
        <v>0</v>
      </c>
      <c r="J23" s="117">
        <f>'Schedule 2F Adjustments'!P22</f>
        <v>0</v>
      </c>
      <c r="K23" s="68">
        <f>'Schedule 2F Adjustments'!R22</f>
        <v>0</v>
      </c>
      <c r="L23" s="68">
        <f t="shared" si="1"/>
        <v>0</v>
      </c>
      <c r="N23" s="119">
        <f>'Schedule 2F Adjustments'!X22</f>
        <v>0</v>
      </c>
      <c r="O23" s="119">
        <f>'Schedule 2F Adjustments'!AA22</f>
        <v>0</v>
      </c>
    </row>
    <row r="24" spans="1:15" x14ac:dyDescent="0.35">
      <c r="A24" s="24">
        <v>9</v>
      </c>
      <c r="B24" s="514" t="str">
        <f>'Schedule 2F Adjustments'!B23:D23</f>
        <v/>
      </c>
      <c r="C24" s="514"/>
      <c r="D24" s="514"/>
      <c r="F24" s="117">
        <f>'Schedule 2F Adjustments'!H23</f>
        <v>0</v>
      </c>
      <c r="G24" s="68">
        <f>'Schedule 2F Adjustments'!J23</f>
        <v>0</v>
      </c>
      <c r="H24" s="68">
        <f t="shared" si="0"/>
        <v>0</v>
      </c>
      <c r="J24" s="117">
        <f>'Schedule 2F Adjustments'!P23</f>
        <v>0</v>
      </c>
      <c r="K24" s="68">
        <f>'Schedule 2F Adjustments'!R23</f>
        <v>0</v>
      </c>
      <c r="L24" s="68">
        <f t="shared" si="1"/>
        <v>0</v>
      </c>
      <c r="N24" s="119">
        <f>'Schedule 2F Adjustments'!X23</f>
        <v>0</v>
      </c>
      <c r="O24" s="119">
        <f>'Schedule 2F Adjustments'!AA23</f>
        <v>0</v>
      </c>
    </row>
    <row r="25" spans="1:15" x14ac:dyDescent="0.35">
      <c r="A25" s="24">
        <v>10</v>
      </c>
      <c r="B25" s="514" t="str">
        <f>'Schedule 2F Adjustments'!B24:D24</f>
        <v/>
      </c>
      <c r="C25" s="514"/>
      <c r="D25" s="514"/>
      <c r="F25" s="117">
        <f>'Schedule 2F Adjustments'!H24</f>
        <v>0</v>
      </c>
      <c r="G25" s="68">
        <f>'Schedule 2F Adjustments'!J24</f>
        <v>0</v>
      </c>
      <c r="H25" s="68">
        <f t="shared" si="0"/>
        <v>0</v>
      </c>
      <c r="J25" s="117">
        <f>'Schedule 2F Adjustments'!P24</f>
        <v>0</v>
      </c>
      <c r="K25" s="68">
        <f>'Schedule 2F Adjustments'!R24</f>
        <v>0</v>
      </c>
      <c r="L25" s="68">
        <f t="shared" si="1"/>
        <v>0</v>
      </c>
      <c r="N25" s="119">
        <f>'Schedule 2F Adjustments'!X24</f>
        <v>0</v>
      </c>
      <c r="O25" s="119">
        <f>'Schedule 2F Adjustments'!AA24</f>
        <v>0</v>
      </c>
    </row>
    <row r="26" spans="1:15" x14ac:dyDescent="0.35">
      <c r="A26" s="24">
        <v>11</v>
      </c>
      <c r="B26" s="514" t="str">
        <f>'Schedule 2F Adjustments'!B25:D25</f>
        <v/>
      </c>
      <c r="C26" s="514"/>
      <c r="D26" s="514"/>
      <c r="F26" s="117">
        <f>'Schedule 2F Adjustments'!H25</f>
        <v>0</v>
      </c>
      <c r="G26" s="68">
        <f>'Schedule 2F Adjustments'!J25</f>
        <v>0</v>
      </c>
      <c r="H26" s="68">
        <f t="shared" si="0"/>
        <v>0</v>
      </c>
      <c r="J26" s="117">
        <f>'Schedule 2F Adjustments'!P25</f>
        <v>0</v>
      </c>
      <c r="K26" s="68">
        <f>'Schedule 2F Adjustments'!R25</f>
        <v>0</v>
      </c>
      <c r="L26" s="68">
        <f t="shared" si="1"/>
        <v>0</v>
      </c>
      <c r="N26" s="119">
        <f>'Schedule 2F Adjustments'!X25</f>
        <v>0</v>
      </c>
      <c r="O26" s="119">
        <f>'Schedule 2F Adjustments'!AA25</f>
        <v>0</v>
      </c>
    </row>
    <row r="27" spans="1:15" x14ac:dyDescent="0.35">
      <c r="A27" s="24">
        <v>12</v>
      </c>
      <c r="B27" s="514" t="str">
        <f>'Schedule 2F Adjustments'!B26:D26</f>
        <v/>
      </c>
      <c r="C27" s="514"/>
      <c r="D27" s="514"/>
      <c r="F27" s="117">
        <f>'Schedule 2F Adjustments'!H26</f>
        <v>0</v>
      </c>
      <c r="G27" s="68">
        <f>'Schedule 2F Adjustments'!J26</f>
        <v>0</v>
      </c>
      <c r="H27" s="68">
        <f t="shared" si="0"/>
        <v>0</v>
      </c>
      <c r="J27" s="117">
        <f>'Schedule 2F Adjustments'!P26</f>
        <v>0</v>
      </c>
      <c r="K27" s="68">
        <f>'Schedule 2F Adjustments'!R26</f>
        <v>0</v>
      </c>
      <c r="L27" s="68">
        <f t="shared" si="1"/>
        <v>0</v>
      </c>
      <c r="N27" s="119">
        <f>'Schedule 2F Adjustments'!X26</f>
        <v>0</v>
      </c>
      <c r="O27" s="119">
        <f>'Schedule 2F Adjustments'!AA26</f>
        <v>0</v>
      </c>
    </row>
    <row r="28" spans="1:15" x14ac:dyDescent="0.35">
      <c r="A28" s="24">
        <v>13</v>
      </c>
      <c r="B28" s="514" t="str">
        <f>'Schedule 2F Adjustments'!B27:D27</f>
        <v/>
      </c>
      <c r="C28" s="514"/>
      <c r="D28" s="514"/>
      <c r="F28" s="117">
        <f>'Schedule 2F Adjustments'!H27</f>
        <v>0</v>
      </c>
      <c r="G28" s="68">
        <f>'Schedule 2F Adjustments'!J27</f>
        <v>0</v>
      </c>
      <c r="H28" s="68">
        <f t="shared" si="0"/>
        <v>0</v>
      </c>
      <c r="J28" s="117">
        <f>'Schedule 2F Adjustments'!P27</f>
        <v>0</v>
      </c>
      <c r="K28" s="68">
        <f>'Schedule 2F Adjustments'!R27</f>
        <v>0</v>
      </c>
      <c r="L28" s="68">
        <f t="shared" si="1"/>
        <v>0</v>
      </c>
      <c r="N28" s="119">
        <f>'Schedule 2F Adjustments'!X27</f>
        <v>0</v>
      </c>
      <c r="O28" s="119">
        <f>'Schedule 2F Adjustments'!AA27</f>
        <v>0</v>
      </c>
    </row>
    <row r="29" spans="1:15" x14ac:dyDescent="0.35">
      <c r="A29" s="24">
        <v>14</v>
      </c>
      <c r="B29" s="514" t="str">
        <f>'Schedule 2F Adjustments'!B28:D28</f>
        <v/>
      </c>
      <c r="C29" s="514"/>
      <c r="D29" s="514"/>
      <c r="F29" s="117">
        <f>'Schedule 2F Adjustments'!H28</f>
        <v>0</v>
      </c>
      <c r="G29" s="68">
        <f>'Schedule 2F Adjustments'!J28</f>
        <v>0</v>
      </c>
      <c r="H29" s="68">
        <f t="shared" si="0"/>
        <v>0</v>
      </c>
      <c r="J29" s="117">
        <f>'Schedule 2F Adjustments'!P28</f>
        <v>0</v>
      </c>
      <c r="K29" s="68">
        <f>'Schedule 2F Adjustments'!R28</f>
        <v>0</v>
      </c>
      <c r="L29" s="68">
        <f t="shared" si="1"/>
        <v>0</v>
      </c>
      <c r="N29" s="119">
        <f>'Schedule 2F Adjustments'!X28</f>
        <v>0</v>
      </c>
      <c r="O29" s="119">
        <f>'Schedule 2F Adjustments'!AA28</f>
        <v>0</v>
      </c>
    </row>
    <row r="30" spans="1:15" x14ac:dyDescent="0.35">
      <c r="A30" s="24">
        <v>15</v>
      </c>
      <c r="B30" s="514" t="str">
        <f>'Schedule 2F Adjustments'!B29:D29</f>
        <v/>
      </c>
      <c r="C30" s="514"/>
      <c r="D30" s="514"/>
      <c r="F30" s="117">
        <f>'Schedule 2F Adjustments'!H29</f>
        <v>0</v>
      </c>
      <c r="G30" s="68">
        <f>'Schedule 2F Adjustments'!J29</f>
        <v>0</v>
      </c>
      <c r="H30" s="68">
        <f t="shared" si="0"/>
        <v>0</v>
      </c>
      <c r="J30" s="117">
        <f>'Schedule 2F Adjustments'!P29</f>
        <v>0</v>
      </c>
      <c r="K30" s="68">
        <f>'Schedule 2F Adjustments'!R29</f>
        <v>0</v>
      </c>
      <c r="L30" s="68">
        <f t="shared" si="1"/>
        <v>0</v>
      </c>
      <c r="N30" s="119">
        <f>'Schedule 2F Adjustments'!X29</f>
        <v>0</v>
      </c>
      <c r="O30" s="119">
        <f>'Schedule 2F Adjustments'!AA29</f>
        <v>0</v>
      </c>
    </row>
    <row r="31" spans="1:15" x14ac:dyDescent="0.35">
      <c r="A31" s="24">
        <v>16</v>
      </c>
      <c r="B31" s="514" t="str">
        <f>'Schedule 2F Adjustments'!B30:D30</f>
        <v/>
      </c>
      <c r="C31" s="514"/>
      <c r="D31" s="514"/>
      <c r="F31" s="117">
        <f>'Schedule 2F Adjustments'!H30</f>
        <v>0</v>
      </c>
      <c r="G31" s="68">
        <f>'Schedule 2F Adjustments'!J30</f>
        <v>0</v>
      </c>
      <c r="H31" s="68">
        <f t="shared" si="0"/>
        <v>0</v>
      </c>
      <c r="J31" s="117">
        <f>'Schedule 2F Adjustments'!P30</f>
        <v>0</v>
      </c>
      <c r="K31" s="68">
        <f>'Schedule 2F Adjustments'!R30</f>
        <v>0</v>
      </c>
      <c r="L31" s="68">
        <f t="shared" si="1"/>
        <v>0</v>
      </c>
      <c r="N31" s="119">
        <f>'Schedule 2F Adjustments'!X30</f>
        <v>0</v>
      </c>
      <c r="O31" s="119">
        <f>'Schedule 2F Adjustments'!AA30</f>
        <v>0</v>
      </c>
    </row>
    <row r="32" spans="1:15" x14ac:dyDescent="0.35">
      <c r="A32" s="24">
        <v>17</v>
      </c>
      <c r="B32" s="514" t="str">
        <f>'Schedule 2F Adjustments'!B31:D31</f>
        <v/>
      </c>
      <c r="C32" s="514"/>
      <c r="D32" s="514"/>
      <c r="F32" s="117">
        <f>'Schedule 2F Adjustments'!H31</f>
        <v>0</v>
      </c>
      <c r="G32" s="68">
        <f>'Schedule 2F Adjustments'!J31</f>
        <v>0</v>
      </c>
      <c r="H32" s="68">
        <f t="shared" si="0"/>
        <v>0</v>
      </c>
      <c r="J32" s="117">
        <f>'Schedule 2F Adjustments'!P31</f>
        <v>0</v>
      </c>
      <c r="K32" s="68">
        <f>'Schedule 2F Adjustments'!R31</f>
        <v>0</v>
      </c>
      <c r="L32" s="68">
        <f t="shared" si="1"/>
        <v>0</v>
      </c>
      <c r="N32" s="119">
        <f>'Schedule 2F Adjustments'!X31</f>
        <v>0</v>
      </c>
      <c r="O32" s="119">
        <f>'Schedule 2F Adjustments'!AA31</f>
        <v>0</v>
      </c>
    </row>
    <row r="33" spans="1:15" x14ac:dyDescent="0.35">
      <c r="A33" s="24">
        <v>18</v>
      </c>
      <c r="B33" s="514" t="str">
        <f>'Schedule 2F Adjustments'!B32:D32</f>
        <v/>
      </c>
      <c r="C33" s="514"/>
      <c r="D33" s="514"/>
      <c r="F33" s="117">
        <f>'Schedule 2F Adjustments'!H32</f>
        <v>0</v>
      </c>
      <c r="G33" s="68">
        <f>'Schedule 2F Adjustments'!J32</f>
        <v>0</v>
      </c>
      <c r="H33" s="68">
        <f t="shared" si="0"/>
        <v>0</v>
      </c>
      <c r="J33" s="117">
        <f>'Schedule 2F Adjustments'!P32</f>
        <v>0</v>
      </c>
      <c r="K33" s="68">
        <f>'Schedule 2F Adjustments'!R32</f>
        <v>0</v>
      </c>
      <c r="L33" s="68">
        <f t="shared" si="1"/>
        <v>0</v>
      </c>
      <c r="N33" s="119">
        <f>'Schedule 2F Adjustments'!X32</f>
        <v>0</v>
      </c>
      <c r="O33" s="119">
        <f>'Schedule 2F Adjustments'!AA32</f>
        <v>0</v>
      </c>
    </row>
    <row r="34" spans="1:15" x14ac:dyDescent="0.35">
      <c r="A34" s="24">
        <v>19</v>
      </c>
      <c r="B34" s="514" t="str">
        <f>'Schedule 2F Adjustments'!B33:D33</f>
        <v/>
      </c>
      <c r="C34" s="514"/>
      <c r="D34" s="514"/>
      <c r="F34" s="117">
        <f>'Schedule 2F Adjustments'!H33</f>
        <v>0</v>
      </c>
      <c r="G34" s="68">
        <f>'Schedule 2F Adjustments'!J33</f>
        <v>0</v>
      </c>
      <c r="H34" s="68">
        <f t="shared" si="0"/>
        <v>0</v>
      </c>
      <c r="J34" s="117">
        <f>'Schedule 2F Adjustments'!P33</f>
        <v>0</v>
      </c>
      <c r="K34" s="68">
        <f>'Schedule 2F Adjustments'!R33</f>
        <v>0</v>
      </c>
      <c r="L34" s="68">
        <f t="shared" si="1"/>
        <v>0</v>
      </c>
      <c r="N34" s="119">
        <f>'Schedule 2F Adjustments'!X33</f>
        <v>0</v>
      </c>
      <c r="O34" s="119">
        <f>'Schedule 2F Adjustments'!AA33</f>
        <v>0</v>
      </c>
    </row>
    <row r="35" spans="1:15" x14ac:dyDescent="0.35">
      <c r="A35" s="24">
        <v>20</v>
      </c>
      <c r="B35" s="514" t="str">
        <f>'Schedule 2F Adjustments'!B34:D34</f>
        <v/>
      </c>
      <c r="C35" s="514"/>
      <c r="D35" s="514"/>
      <c r="F35" s="117">
        <f>'Schedule 2F Adjustments'!H34</f>
        <v>0</v>
      </c>
      <c r="G35" s="68">
        <f>'Schedule 2F Adjustments'!J34</f>
        <v>0</v>
      </c>
      <c r="H35" s="68">
        <f t="shared" si="0"/>
        <v>0</v>
      </c>
      <c r="J35" s="117">
        <f>'Schedule 2F Adjustments'!P34</f>
        <v>0</v>
      </c>
      <c r="K35" s="68">
        <f>'Schedule 2F Adjustments'!R34</f>
        <v>0</v>
      </c>
      <c r="L35" s="68">
        <f t="shared" si="1"/>
        <v>0</v>
      </c>
      <c r="N35" s="119">
        <f>'Schedule 2F Adjustments'!X34</f>
        <v>0</v>
      </c>
      <c r="O35" s="119">
        <f>'Schedule 2F Adjustments'!AA34</f>
        <v>0</v>
      </c>
    </row>
    <row r="36" spans="1:15" x14ac:dyDescent="0.35">
      <c r="A36" s="24">
        <v>21</v>
      </c>
      <c r="B36" s="514" t="str">
        <f>'Schedule 2F Adjustments'!B35:D35</f>
        <v/>
      </c>
      <c r="C36" s="514"/>
      <c r="D36" s="514"/>
      <c r="F36" s="117">
        <f>'Schedule 2F Adjustments'!H35</f>
        <v>0</v>
      </c>
      <c r="G36" s="68">
        <f>'Schedule 2F Adjustments'!J35</f>
        <v>0</v>
      </c>
      <c r="H36" s="68">
        <f t="shared" si="0"/>
        <v>0</v>
      </c>
      <c r="J36" s="117">
        <f>'Schedule 2F Adjustments'!P35</f>
        <v>0</v>
      </c>
      <c r="K36" s="68">
        <f>'Schedule 2F Adjustments'!R35</f>
        <v>0</v>
      </c>
      <c r="L36" s="68">
        <f t="shared" si="1"/>
        <v>0</v>
      </c>
      <c r="N36" s="119">
        <f>'Schedule 2F Adjustments'!X35</f>
        <v>0</v>
      </c>
      <c r="O36" s="119">
        <f>'Schedule 2F Adjustments'!AA35</f>
        <v>0</v>
      </c>
    </row>
    <row r="37" spans="1:15" x14ac:dyDescent="0.35">
      <c r="A37" s="24">
        <v>22</v>
      </c>
      <c r="B37" s="514" t="str">
        <f>'Schedule 2F Adjustments'!B36:D36</f>
        <v/>
      </c>
      <c r="C37" s="514"/>
      <c r="D37" s="514"/>
      <c r="F37" s="117">
        <f>'Schedule 2F Adjustments'!H36</f>
        <v>0</v>
      </c>
      <c r="G37" s="68">
        <f>'Schedule 2F Adjustments'!J36</f>
        <v>0</v>
      </c>
      <c r="H37" s="68">
        <f t="shared" si="0"/>
        <v>0</v>
      </c>
      <c r="J37" s="117">
        <f>'Schedule 2F Adjustments'!P36</f>
        <v>0</v>
      </c>
      <c r="K37" s="68">
        <f>'Schedule 2F Adjustments'!R36</f>
        <v>0</v>
      </c>
      <c r="L37" s="68">
        <f t="shared" si="1"/>
        <v>0</v>
      </c>
      <c r="N37" s="119">
        <f>'Schedule 2F Adjustments'!X36</f>
        <v>0</v>
      </c>
      <c r="O37" s="119">
        <f>'Schedule 2F Adjustments'!AA36</f>
        <v>0</v>
      </c>
    </row>
    <row r="38" spans="1:15" x14ac:dyDescent="0.35">
      <c r="A38" s="24">
        <v>23</v>
      </c>
      <c r="B38" s="514" t="str">
        <f>'Schedule 2F Adjustments'!B37:D37</f>
        <v/>
      </c>
      <c r="C38" s="514"/>
      <c r="D38" s="514"/>
      <c r="F38" s="117">
        <f>'Schedule 2F Adjustments'!H37</f>
        <v>0</v>
      </c>
      <c r="G38" s="68">
        <f>'Schedule 2F Adjustments'!J37</f>
        <v>0</v>
      </c>
      <c r="H38" s="68">
        <f t="shared" si="0"/>
        <v>0</v>
      </c>
      <c r="J38" s="117">
        <f>'Schedule 2F Adjustments'!P37</f>
        <v>0</v>
      </c>
      <c r="K38" s="68">
        <f>'Schedule 2F Adjustments'!R37</f>
        <v>0</v>
      </c>
      <c r="L38" s="68">
        <f t="shared" si="1"/>
        <v>0</v>
      </c>
      <c r="N38" s="119">
        <f>'Schedule 2F Adjustments'!X37</f>
        <v>0</v>
      </c>
      <c r="O38" s="119">
        <f>'Schedule 2F Adjustments'!AA37</f>
        <v>0</v>
      </c>
    </row>
    <row r="39" spans="1:15" x14ac:dyDescent="0.35">
      <c r="A39" s="24">
        <v>24</v>
      </c>
      <c r="B39" s="514" t="str">
        <f>'Schedule 2F Adjustments'!B38:D38</f>
        <v/>
      </c>
      <c r="C39" s="514"/>
      <c r="D39" s="514"/>
      <c r="F39" s="117">
        <f>'Schedule 2F Adjustments'!H38</f>
        <v>0</v>
      </c>
      <c r="G39" s="68">
        <f>'Schedule 2F Adjustments'!J38</f>
        <v>0</v>
      </c>
      <c r="H39" s="68">
        <f t="shared" si="0"/>
        <v>0</v>
      </c>
      <c r="J39" s="117">
        <f>'Schedule 2F Adjustments'!P38</f>
        <v>0</v>
      </c>
      <c r="K39" s="68">
        <f>'Schedule 2F Adjustments'!R38</f>
        <v>0</v>
      </c>
      <c r="L39" s="68">
        <f t="shared" si="1"/>
        <v>0</v>
      </c>
      <c r="N39" s="119">
        <f>'Schedule 2F Adjustments'!X38</f>
        <v>0</v>
      </c>
      <c r="O39" s="119">
        <f>'Schedule 2F Adjustments'!AA38</f>
        <v>0</v>
      </c>
    </row>
    <row r="40" spans="1:15" x14ac:dyDescent="0.35">
      <c r="A40" s="24">
        <v>25</v>
      </c>
      <c r="B40" s="514" t="str">
        <f>'Schedule 2F Adjustments'!B39:D39</f>
        <v/>
      </c>
      <c r="C40" s="514"/>
      <c r="D40" s="514"/>
      <c r="F40" s="117">
        <f>'Schedule 2F Adjustments'!H39</f>
        <v>0</v>
      </c>
      <c r="G40" s="68">
        <f>'Schedule 2F Adjustments'!J39</f>
        <v>0</v>
      </c>
      <c r="H40" s="68">
        <f t="shared" si="0"/>
        <v>0</v>
      </c>
      <c r="J40" s="117">
        <f>'Schedule 2F Adjustments'!P39</f>
        <v>0</v>
      </c>
      <c r="K40" s="68">
        <f>'Schedule 2F Adjustments'!R39</f>
        <v>0</v>
      </c>
      <c r="L40" s="68">
        <f t="shared" si="1"/>
        <v>0</v>
      </c>
      <c r="N40" s="119">
        <f>'Schedule 2F Adjustments'!X39</f>
        <v>0</v>
      </c>
      <c r="O40" s="119">
        <f>'Schedule 2F Adjustments'!AA39</f>
        <v>0</v>
      </c>
    </row>
    <row r="41" spans="1:15" x14ac:dyDescent="0.35">
      <c r="A41" s="24">
        <v>26</v>
      </c>
      <c r="B41" s="514" t="str">
        <f>'Schedule 2F Adjustments'!B40:D40</f>
        <v/>
      </c>
      <c r="C41" s="514"/>
      <c r="D41" s="514"/>
      <c r="F41" s="117">
        <f>'Schedule 2F Adjustments'!H40</f>
        <v>0</v>
      </c>
      <c r="G41" s="68">
        <f>'Schedule 2F Adjustments'!J40</f>
        <v>0</v>
      </c>
      <c r="H41" s="68">
        <f t="shared" si="0"/>
        <v>0</v>
      </c>
      <c r="J41" s="117">
        <f>'Schedule 2F Adjustments'!P40</f>
        <v>0</v>
      </c>
      <c r="K41" s="68">
        <f>'Schedule 2F Adjustments'!R40</f>
        <v>0</v>
      </c>
      <c r="L41" s="68">
        <f t="shared" si="1"/>
        <v>0</v>
      </c>
      <c r="N41" s="119">
        <f>'Schedule 2F Adjustments'!X40</f>
        <v>0</v>
      </c>
      <c r="O41" s="119">
        <f>'Schedule 2F Adjustments'!AA40</f>
        <v>0</v>
      </c>
    </row>
    <row r="42" spans="1:15" x14ac:dyDescent="0.35">
      <c r="A42" s="24">
        <v>27</v>
      </c>
      <c r="B42" s="514" t="str">
        <f>'Schedule 2F Adjustments'!B41:D41</f>
        <v/>
      </c>
      <c r="C42" s="514"/>
      <c r="D42" s="514"/>
      <c r="F42" s="117">
        <f>'Schedule 2F Adjustments'!H41</f>
        <v>0</v>
      </c>
      <c r="G42" s="68">
        <f>'Schedule 2F Adjustments'!J41</f>
        <v>0</v>
      </c>
      <c r="H42" s="68">
        <f t="shared" si="0"/>
        <v>0</v>
      </c>
      <c r="J42" s="117">
        <f>'Schedule 2F Adjustments'!P41</f>
        <v>0</v>
      </c>
      <c r="K42" s="68">
        <f>'Schedule 2F Adjustments'!R41</f>
        <v>0</v>
      </c>
      <c r="L42" s="68">
        <f t="shared" si="1"/>
        <v>0</v>
      </c>
      <c r="N42" s="119">
        <f>'Schedule 2F Adjustments'!X41</f>
        <v>0</v>
      </c>
      <c r="O42" s="119">
        <f>'Schedule 2F Adjustments'!AA41</f>
        <v>0</v>
      </c>
    </row>
    <row r="43" spans="1:15" x14ac:dyDescent="0.35">
      <c r="A43" s="24">
        <v>28</v>
      </c>
      <c r="B43" s="514" t="str">
        <f>'Schedule 2F Adjustments'!B42:D42</f>
        <v/>
      </c>
      <c r="C43" s="514"/>
      <c r="D43" s="514"/>
      <c r="F43" s="117">
        <f>'Schedule 2F Adjustments'!H42</f>
        <v>0</v>
      </c>
      <c r="G43" s="68">
        <f>'Schedule 2F Adjustments'!J42</f>
        <v>0</v>
      </c>
      <c r="H43" s="68">
        <f t="shared" si="0"/>
        <v>0</v>
      </c>
      <c r="J43" s="117">
        <f>'Schedule 2F Adjustments'!P42</f>
        <v>0</v>
      </c>
      <c r="K43" s="68">
        <f>'Schedule 2F Adjustments'!R42</f>
        <v>0</v>
      </c>
      <c r="L43" s="68">
        <f t="shared" si="1"/>
        <v>0</v>
      </c>
      <c r="N43" s="119">
        <f>'Schedule 2F Adjustments'!X42</f>
        <v>0</v>
      </c>
      <c r="O43" s="119">
        <f>'Schedule 2F Adjustments'!AA42</f>
        <v>0</v>
      </c>
    </row>
    <row r="44" spans="1:15" x14ac:dyDescent="0.35">
      <c r="A44" s="24">
        <v>29</v>
      </c>
      <c r="B44" s="514" t="str">
        <f>'Schedule 2F Adjustments'!B43:D43</f>
        <v/>
      </c>
      <c r="C44" s="514"/>
      <c r="D44" s="514"/>
      <c r="F44" s="117">
        <f>'Schedule 2F Adjustments'!H43</f>
        <v>0</v>
      </c>
      <c r="G44" s="68">
        <f>'Schedule 2F Adjustments'!J43</f>
        <v>0</v>
      </c>
      <c r="H44" s="68">
        <f t="shared" si="0"/>
        <v>0</v>
      </c>
      <c r="J44" s="117">
        <f>'Schedule 2F Adjustments'!P43</f>
        <v>0</v>
      </c>
      <c r="K44" s="68">
        <f>'Schedule 2F Adjustments'!R43</f>
        <v>0</v>
      </c>
      <c r="L44" s="68">
        <f t="shared" si="1"/>
        <v>0</v>
      </c>
      <c r="N44" s="119">
        <f>'Schedule 2F Adjustments'!X43</f>
        <v>0</v>
      </c>
      <c r="O44" s="119">
        <f>'Schedule 2F Adjustments'!AA43</f>
        <v>0</v>
      </c>
    </row>
    <row r="45" spans="1:15" x14ac:dyDescent="0.35">
      <c r="A45" s="24">
        <v>30</v>
      </c>
      <c r="B45" s="514" t="str">
        <f>'Schedule 2F Adjustments'!B44:D44</f>
        <v/>
      </c>
      <c r="C45" s="514"/>
      <c r="D45" s="514"/>
      <c r="F45" s="117">
        <f>'Schedule 2F Adjustments'!H44</f>
        <v>0</v>
      </c>
      <c r="G45" s="68">
        <f>'Schedule 2F Adjustments'!J44</f>
        <v>0</v>
      </c>
      <c r="H45" s="68">
        <f t="shared" si="0"/>
        <v>0</v>
      </c>
      <c r="J45" s="117">
        <f>'Schedule 2F Adjustments'!P44</f>
        <v>0</v>
      </c>
      <c r="K45" s="68">
        <f>'Schedule 2F Adjustments'!R44</f>
        <v>0</v>
      </c>
      <c r="L45" s="68">
        <f t="shared" si="1"/>
        <v>0</v>
      </c>
      <c r="N45" s="119">
        <f>'Schedule 2F Adjustments'!X44</f>
        <v>0</v>
      </c>
      <c r="O45" s="119">
        <f>'Schedule 2F Adjustments'!AA44</f>
        <v>0</v>
      </c>
    </row>
    <row r="46" spans="1:15" x14ac:dyDescent="0.35">
      <c r="A46" s="24">
        <v>31</v>
      </c>
      <c r="B46" s="514" t="str">
        <f>'Schedule 2F Adjustments'!B45:D45</f>
        <v/>
      </c>
      <c r="C46" s="514"/>
      <c r="D46" s="514"/>
      <c r="F46" s="117">
        <f>'Schedule 2F Adjustments'!H45</f>
        <v>0</v>
      </c>
      <c r="G46" s="68">
        <f>'Schedule 2F Adjustments'!J45</f>
        <v>0</v>
      </c>
      <c r="H46" s="68">
        <f t="shared" si="0"/>
        <v>0</v>
      </c>
      <c r="J46" s="117">
        <f>'Schedule 2F Adjustments'!P45</f>
        <v>0</v>
      </c>
      <c r="K46" s="68">
        <f>'Schedule 2F Adjustments'!R45</f>
        <v>0</v>
      </c>
      <c r="L46" s="68">
        <f t="shared" si="1"/>
        <v>0</v>
      </c>
      <c r="N46" s="119">
        <f>'Schedule 2F Adjustments'!X45</f>
        <v>0</v>
      </c>
      <c r="O46" s="119">
        <f>'Schedule 2F Adjustments'!AA45</f>
        <v>0</v>
      </c>
    </row>
    <row r="47" spans="1:15" x14ac:dyDescent="0.35">
      <c r="A47" s="24">
        <v>32</v>
      </c>
      <c r="B47" s="514" t="str">
        <f>'Schedule 2F Adjustments'!B46:D46</f>
        <v/>
      </c>
      <c r="C47" s="514"/>
      <c r="D47" s="514"/>
      <c r="F47" s="117">
        <f>'Schedule 2F Adjustments'!H46</f>
        <v>0</v>
      </c>
      <c r="G47" s="68">
        <f>'Schedule 2F Adjustments'!J46</f>
        <v>0</v>
      </c>
      <c r="H47" s="68">
        <f t="shared" si="0"/>
        <v>0</v>
      </c>
      <c r="J47" s="117">
        <f>'Schedule 2F Adjustments'!P46</f>
        <v>0</v>
      </c>
      <c r="K47" s="68">
        <f>'Schedule 2F Adjustments'!R46</f>
        <v>0</v>
      </c>
      <c r="L47" s="68">
        <f t="shared" si="1"/>
        <v>0</v>
      </c>
      <c r="N47" s="119">
        <f>'Schedule 2F Adjustments'!X46</f>
        <v>0</v>
      </c>
      <c r="O47" s="119">
        <f>'Schedule 2F Adjustments'!AA46</f>
        <v>0</v>
      </c>
    </row>
    <row r="48" spans="1:15" x14ac:dyDescent="0.35">
      <c r="A48" s="24">
        <v>33</v>
      </c>
      <c r="B48" s="514" t="str">
        <f>'Schedule 2F Adjustments'!B47:D47</f>
        <v/>
      </c>
      <c r="C48" s="514"/>
      <c r="D48" s="514"/>
      <c r="F48" s="117">
        <f>'Schedule 2F Adjustments'!H47</f>
        <v>0</v>
      </c>
      <c r="G48" s="68">
        <f>'Schedule 2F Adjustments'!J47</f>
        <v>0</v>
      </c>
      <c r="H48" s="68">
        <f t="shared" si="0"/>
        <v>0</v>
      </c>
      <c r="J48" s="117">
        <f>'Schedule 2F Adjustments'!P47</f>
        <v>0</v>
      </c>
      <c r="K48" s="68">
        <f>'Schedule 2F Adjustments'!R47</f>
        <v>0</v>
      </c>
      <c r="L48" s="68">
        <f t="shared" si="1"/>
        <v>0</v>
      </c>
      <c r="N48" s="119">
        <f>'Schedule 2F Adjustments'!X47</f>
        <v>0</v>
      </c>
      <c r="O48" s="119">
        <f>'Schedule 2F Adjustments'!AA47</f>
        <v>0</v>
      </c>
    </row>
    <row r="49" spans="1:15" x14ac:dyDescent="0.35">
      <c r="A49" s="24">
        <v>34</v>
      </c>
      <c r="B49" s="514" t="str">
        <f>'Schedule 2F Adjustments'!B48:D48</f>
        <v/>
      </c>
      <c r="C49" s="514"/>
      <c r="D49" s="514"/>
      <c r="F49" s="117">
        <f>'Schedule 2F Adjustments'!H48</f>
        <v>0</v>
      </c>
      <c r="G49" s="68">
        <f>'Schedule 2F Adjustments'!J48</f>
        <v>0</v>
      </c>
      <c r="H49" s="68">
        <f t="shared" si="0"/>
        <v>0</v>
      </c>
      <c r="J49" s="117">
        <f>'Schedule 2F Adjustments'!P48</f>
        <v>0</v>
      </c>
      <c r="K49" s="68">
        <f>'Schedule 2F Adjustments'!R48</f>
        <v>0</v>
      </c>
      <c r="L49" s="68">
        <f t="shared" si="1"/>
        <v>0</v>
      </c>
      <c r="N49" s="119">
        <f>'Schedule 2F Adjustments'!X48</f>
        <v>0</v>
      </c>
      <c r="O49" s="119">
        <f>'Schedule 2F Adjustments'!AA48</f>
        <v>0</v>
      </c>
    </row>
    <row r="50" spans="1:15" x14ac:dyDescent="0.35">
      <c r="A50" s="24">
        <v>35</v>
      </c>
      <c r="B50" s="514" t="str">
        <f>'Schedule 2F Adjustments'!B49:D49</f>
        <v/>
      </c>
      <c r="C50" s="514"/>
      <c r="D50" s="514"/>
      <c r="F50" s="117">
        <f>'Schedule 2F Adjustments'!H49</f>
        <v>0</v>
      </c>
      <c r="G50" s="68">
        <f>'Schedule 2F Adjustments'!J49</f>
        <v>0</v>
      </c>
      <c r="H50" s="68">
        <f t="shared" si="0"/>
        <v>0</v>
      </c>
      <c r="J50" s="117">
        <f>'Schedule 2F Adjustments'!P49</f>
        <v>0</v>
      </c>
      <c r="K50" s="68">
        <f>'Schedule 2F Adjustments'!R49</f>
        <v>0</v>
      </c>
      <c r="L50" s="68">
        <f t="shared" si="1"/>
        <v>0</v>
      </c>
      <c r="N50" s="119">
        <f>'Schedule 2F Adjustments'!X49</f>
        <v>0</v>
      </c>
      <c r="O50" s="119">
        <f>'Schedule 2F Adjustments'!AA49</f>
        <v>0</v>
      </c>
    </row>
    <row r="51" spans="1:15" x14ac:dyDescent="0.35">
      <c r="A51" s="24">
        <v>36</v>
      </c>
      <c r="B51" s="514" t="str">
        <f>'Schedule 2F Adjustments'!B50:D50</f>
        <v/>
      </c>
      <c r="C51" s="514"/>
      <c r="D51" s="514"/>
      <c r="F51" s="117">
        <f>'Schedule 2F Adjustments'!H50</f>
        <v>0</v>
      </c>
      <c r="G51" s="68">
        <f>'Schedule 2F Adjustments'!J50</f>
        <v>0</v>
      </c>
      <c r="H51" s="68">
        <f t="shared" si="0"/>
        <v>0</v>
      </c>
      <c r="J51" s="117">
        <f>'Schedule 2F Adjustments'!P50</f>
        <v>0</v>
      </c>
      <c r="K51" s="68">
        <f>'Schedule 2F Adjustments'!R50</f>
        <v>0</v>
      </c>
      <c r="L51" s="68">
        <f t="shared" si="1"/>
        <v>0</v>
      </c>
      <c r="N51" s="119">
        <f>'Schedule 2F Adjustments'!X50</f>
        <v>0</v>
      </c>
      <c r="O51" s="119">
        <f>'Schedule 2F Adjustments'!AA50</f>
        <v>0</v>
      </c>
    </row>
    <row r="52" spans="1:15" x14ac:dyDescent="0.35">
      <c r="A52" s="24">
        <v>37</v>
      </c>
      <c r="B52" s="514" t="str">
        <f>'Schedule 2F Adjustments'!B51:D51</f>
        <v/>
      </c>
      <c r="C52" s="514"/>
      <c r="D52" s="514"/>
      <c r="F52" s="117">
        <f>'Schedule 2F Adjustments'!H51</f>
        <v>0</v>
      </c>
      <c r="G52" s="68">
        <f>'Schedule 2F Adjustments'!J51</f>
        <v>0</v>
      </c>
      <c r="H52" s="68">
        <f t="shared" si="0"/>
        <v>0</v>
      </c>
      <c r="J52" s="117">
        <f>'Schedule 2F Adjustments'!P51</f>
        <v>0</v>
      </c>
      <c r="K52" s="68">
        <f>'Schedule 2F Adjustments'!R51</f>
        <v>0</v>
      </c>
      <c r="L52" s="68">
        <f t="shared" si="1"/>
        <v>0</v>
      </c>
      <c r="N52" s="119">
        <f>'Schedule 2F Adjustments'!X51</f>
        <v>0</v>
      </c>
      <c r="O52" s="119">
        <f>'Schedule 2F Adjustments'!AA51</f>
        <v>0</v>
      </c>
    </row>
    <row r="53" spans="1:15" x14ac:dyDescent="0.35">
      <c r="A53" s="24">
        <v>38</v>
      </c>
      <c r="B53" s="514" t="str">
        <f>'Schedule 2F Adjustments'!B52:D52</f>
        <v/>
      </c>
      <c r="C53" s="514"/>
      <c r="D53" s="514"/>
      <c r="F53" s="117">
        <f>'Schedule 2F Adjustments'!H52</f>
        <v>0</v>
      </c>
      <c r="G53" s="68">
        <f>'Schedule 2F Adjustments'!J52</f>
        <v>0</v>
      </c>
      <c r="H53" s="68">
        <f t="shared" si="0"/>
        <v>0</v>
      </c>
      <c r="J53" s="117">
        <f>'Schedule 2F Adjustments'!P52</f>
        <v>0</v>
      </c>
      <c r="K53" s="68">
        <f>'Schedule 2F Adjustments'!R52</f>
        <v>0</v>
      </c>
      <c r="L53" s="68">
        <f t="shared" si="1"/>
        <v>0</v>
      </c>
      <c r="N53" s="119">
        <f>'Schedule 2F Adjustments'!X52</f>
        <v>0</v>
      </c>
      <c r="O53" s="119">
        <f>'Schedule 2F Adjustments'!AA52</f>
        <v>0</v>
      </c>
    </row>
    <row r="54" spans="1:15" x14ac:dyDescent="0.35">
      <c r="A54" s="24">
        <v>39</v>
      </c>
      <c r="B54" s="514" t="str">
        <f>'Schedule 2F Adjustments'!B53:D53</f>
        <v/>
      </c>
      <c r="C54" s="514"/>
      <c r="D54" s="514"/>
      <c r="F54" s="117">
        <f>'Schedule 2F Adjustments'!H53</f>
        <v>0</v>
      </c>
      <c r="G54" s="68">
        <f>'Schedule 2F Adjustments'!J53</f>
        <v>0</v>
      </c>
      <c r="H54" s="68">
        <f t="shared" si="0"/>
        <v>0</v>
      </c>
      <c r="J54" s="117">
        <f>'Schedule 2F Adjustments'!P53</f>
        <v>0</v>
      </c>
      <c r="K54" s="68">
        <f>'Schedule 2F Adjustments'!R53</f>
        <v>0</v>
      </c>
      <c r="L54" s="68">
        <f t="shared" si="1"/>
        <v>0</v>
      </c>
      <c r="N54" s="119">
        <f>'Schedule 2F Adjustments'!X53</f>
        <v>0</v>
      </c>
      <c r="O54" s="119">
        <f>'Schedule 2F Adjustments'!AA53</f>
        <v>0</v>
      </c>
    </row>
    <row r="55" spans="1:15" x14ac:dyDescent="0.35">
      <c r="A55" s="24">
        <v>40</v>
      </c>
      <c r="B55" s="514" t="str">
        <f>'Schedule 2F Adjustments'!B54:D54</f>
        <v/>
      </c>
      <c r="C55" s="514"/>
      <c r="D55" s="514"/>
      <c r="F55" s="117">
        <f>'Schedule 2F Adjustments'!H54</f>
        <v>0</v>
      </c>
      <c r="G55" s="68">
        <f>'Schedule 2F Adjustments'!J54</f>
        <v>0</v>
      </c>
      <c r="H55" s="68">
        <f t="shared" si="0"/>
        <v>0</v>
      </c>
      <c r="J55" s="117">
        <f>'Schedule 2F Adjustments'!P54</f>
        <v>0</v>
      </c>
      <c r="K55" s="68">
        <f>'Schedule 2F Adjustments'!R54</f>
        <v>0</v>
      </c>
      <c r="L55" s="68">
        <f t="shared" si="1"/>
        <v>0</v>
      </c>
      <c r="N55" s="119">
        <f>'Schedule 2F Adjustments'!X54</f>
        <v>0</v>
      </c>
      <c r="O55" s="119">
        <f>'Schedule 2F Adjustments'!AA54</f>
        <v>0</v>
      </c>
    </row>
    <row r="56" spans="1:15" x14ac:dyDescent="0.35">
      <c r="A56" s="24">
        <v>41</v>
      </c>
      <c r="B56" s="514" t="str">
        <f>'Schedule 2F Adjustments'!B55:D55</f>
        <v/>
      </c>
      <c r="C56" s="514"/>
      <c r="D56" s="514"/>
      <c r="F56" s="117">
        <f>'Schedule 2F Adjustments'!H55</f>
        <v>0</v>
      </c>
      <c r="G56" s="68">
        <f>'Schedule 2F Adjustments'!J55</f>
        <v>0</v>
      </c>
      <c r="H56" s="68">
        <f t="shared" si="0"/>
        <v>0</v>
      </c>
      <c r="J56" s="117">
        <f>'Schedule 2F Adjustments'!P55</f>
        <v>0</v>
      </c>
      <c r="K56" s="68">
        <f>'Schedule 2F Adjustments'!R55</f>
        <v>0</v>
      </c>
      <c r="L56" s="68">
        <f t="shared" si="1"/>
        <v>0</v>
      </c>
      <c r="N56" s="119">
        <f>'Schedule 2F Adjustments'!X55</f>
        <v>0</v>
      </c>
      <c r="O56" s="119">
        <f>'Schedule 2F Adjustments'!AA55</f>
        <v>0</v>
      </c>
    </row>
    <row r="57" spans="1:15" x14ac:dyDescent="0.35">
      <c r="A57" s="24">
        <v>42</v>
      </c>
      <c r="B57" s="514" t="str">
        <f>'Schedule 2F Adjustments'!B56:D56</f>
        <v/>
      </c>
      <c r="C57" s="514"/>
      <c r="D57" s="514"/>
      <c r="F57" s="117">
        <f>'Schedule 2F Adjustments'!H56</f>
        <v>0</v>
      </c>
      <c r="G57" s="68">
        <f>'Schedule 2F Adjustments'!J56</f>
        <v>0</v>
      </c>
      <c r="H57" s="68">
        <f t="shared" si="0"/>
        <v>0</v>
      </c>
      <c r="J57" s="117">
        <f>'Schedule 2F Adjustments'!P56</f>
        <v>0</v>
      </c>
      <c r="K57" s="68">
        <f>'Schedule 2F Adjustments'!R56</f>
        <v>0</v>
      </c>
      <c r="L57" s="68">
        <f t="shared" si="1"/>
        <v>0</v>
      </c>
      <c r="N57" s="119">
        <f>'Schedule 2F Adjustments'!X56</f>
        <v>0</v>
      </c>
      <c r="O57" s="119">
        <f>'Schedule 2F Adjustments'!AA56</f>
        <v>0</v>
      </c>
    </row>
    <row r="58" spans="1:15" x14ac:dyDescent="0.35">
      <c r="A58" s="24">
        <v>43</v>
      </c>
      <c r="B58" s="514" t="str">
        <f>'Schedule 2F Adjustments'!B57:D57</f>
        <v/>
      </c>
      <c r="C58" s="514"/>
      <c r="D58" s="514"/>
      <c r="F58" s="117">
        <f>'Schedule 2F Adjustments'!H57</f>
        <v>0</v>
      </c>
      <c r="G58" s="68">
        <f>'Schedule 2F Adjustments'!J57</f>
        <v>0</v>
      </c>
      <c r="H58" s="68">
        <f t="shared" si="0"/>
        <v>0</v>
      </c>
      <c r="J58" s="117">
        <f>'Schedule 2F Adjustments'!P57</f>
        <v>0</v>
      </c>
      <c r="K58" s="68">
        <f>'Schedule 2F Adjustments'!R57</f>
        <v>0</v>
      </c>
      <c r="L58" s="68">
        <f t="shared" si="1"/>
        <v>0</v>
      </c>
      <c r="N58" s="119">
        <f>'Schedule 2F Adjustments'!X57</f>
        <v>0</v>
      </c>
      <c r="O58" s="119">
        <f>'Schedule 2F Adjustments'!AA57</f>
        <v>0</v>
      </c>
    </row>
    <row r="59" spans="1:15" x14ac:dyDescent="0.35">
      <c r="A59" s="24">
        <v>44</v>
      </c>
      <c r="B59" s="514" t="str">
        <f>'Schedule 2F Adjustments'!B58:D58</f>
        <v/>
      </c>
      <c r="C59" s="514"/>
      <c r="D59" s="514"/>
      <c r="F59" s="117">
        <f>'Schedule 2F Adjustments'!H58</f>
        <v>0</v>
      </c>
      <c r="G59" s="68">
        <f>'Schedule 2F Adjustments'!J58</f>
        <v>0</v>
      </c>
      <c r="H59" s="68">
        <f t="shared" si="0"/>
        <v>0</v>
      </c>
      <c r="J59" s="117">
        <f>'Schedule 2F Adjustments'!P58</f>
        <v>0</v>
      </c>
      <c r="K59" s="68">
        <f>'Schedule 2F Adjustments'!R58</f>
        <v>0</v>
      </c>
      <c r="L59" s="68">
        <f t="shared" si="1"/>
        <v>0</v>
      </c>
      <c r="N59" s="119">
        <f>'Schedule 2F Adjustments'!X58</f>
        <v>0</v>
      </c>
      <c r="O59" s="119">
        <f>'Schedule 2F Adjustments'!AA58</f>
        <v>0</v>
      </c>
    </row>
    <row r="60" spans="1:15" x14ac:dyDescent="0.35">
      <c r="A60" s="24">
        <v>45</v>
      </c>
      <c r="B60" s="514" t="str">
        <f>'Schedule 2F Adjustments'!B59:D59</f>
        <v/>
      </c>
      <c r="C60" s="514"/>
      <c r="D60" s="514"/>
      <c r="F60" s="117">
        <f>'Schedule 2F Adjustments'!H59</f>
        <v>0</v>
      </c>
      <c r="G60" s="68">
        <f>'Schedule 2F Adjustments'!J59</f>
        <v>0</v>
      </c>
      <c r="H60" s="68">
        <f t="shared" si="0"/>
        <v>0</v>
      </c>
      <c r="J60" s="117">
        <f>'Schedule 2F Adjustments'!P59</f>
        <v>0</v>
      </c>
      <c r="K60" s="68">
        <f>'Schedule 2F Adjustments'!R59</f>
        <v>0</v>
      </c>
      <c r="L60" s="68">
        <f t="shared" si="1"/>
        <v>0</v>
      </c>
      <c r="N60" s="119">
        <f>'Schedule 2F Adjustments'!X59</f>
        <v>0</v>
      </c>
      <c r="O60" s="119">
        <f>'Schedule 2F Adjustments'!AA59</f>
        <v>0</v>
      </c>
    </row>
    <row r="61" spans="1:15" x14ac:dyDescent="0.35">
      <c r="A61" s="24">
        <v>46</v>
      </c>
      <c r="B61" s="514" t="str">
        <f>'Schedule 2F Adjustments'!B60:D60</f>
        <v/>
      </c>
      <c r="C61" s="514"/>
      <c r="D61" s="514"/>
      <c r="F61" s="117">
        <f>'Schedule 2F Adjustments'!H60</f>
        <v>0</v>
      </c>
      <c r="G61" s="68">
        <f>'Schedule 2F Adjustments'!J60</f>
        <v>0</v>
      </c>
      <c r="H61" s="68">
        <f t="shared" si="0"/>
        <v>0</v>
      </c>
      <c r="J61" s="117">
        <f>'Schedule 2F Adjustments'!P60</f>
        <v>0</v>
      </c>
      <c r="K61" s="68">
        <f>'Schedule 2F Adjustments'!R60</f>
        <v>0</v>
      </c>
      <c r="L61" s="68">
        <f t="shared" si="1"/>
        <v>0</v>
      </c>
      <c r="N61" s="119">
        <f>'Schedule 2F Adjustments'!X60</f>
        <v>0</v>
      </c>
      <c r="O61" s="119">
        <f>'Schedule 2F Adjustments'!AA60</f>
        <v>0</v>
      </c>
    </row>
    <row r="62" spans="1:15" x14ac:dyDescent="0.35">
      <c r="A62" s="24">
        <v>47</v>
      </c>
      <c r="B62" s="514" t="str">
        <f>'Schedule 2F Adjustments'!B61:D61</f>
        <v/>
      </c>
      <c r="C62" s="514"/>
      <c r="D62" s="514"/>
      <c r="F62" s="117">
        <f>'Schedule 2F Adjustments'!H61</f>
        <v>0</v>
      </c>
      <c r="G62" s="68">
        <f>'Schedule 2F Adjustments'!J61</f>
        <v>0</v>
      </c>
      <c r="H62" s="68">
        <f t="shared" si="0"/>
        <v>0</v>
      </c>
      <c r="J62" s="117">
        <f>'Schedule 2F Adjustments'!P61</f>
        <v>0</v>
      </c>
      <c r="K62" s="68">
        <f>'Schedule 2F Adjustments'!R61</f>
        <v>0</v>
      </c>
      <c r="L62" s="68">
        <f t="shared" si="1"/>
        <v>0</v>
      </c>
      <c r="N62" s="119">
        <f>'Schedule 2F Adjustments'!X61</f>
        <v>0</v>
      </c>
      <c r="O62" s="119">
        <f>'Schedule 2F Adjustments'!AA61</f>
        <v>0</v>
      </c>
    </row>
    <row r="63" spans="1:15" x14ac:dyDescent="0.35">
      <c r="A63" s="24">
        <v>48</v>
      </c>
      <c r="B63" s="514" t="str">
        <f>'Schedule 2F Adjustments'!B62:D62</f>
        <v/>
      </c>
      <c r="C63" s="514"/>
      <c r="D63" s="514"/>
      <c r="F63" s="117">
        <f>'Schedule 2F Adjustments'!H62</f>
        <v>0</v>
      </c>
      <c r="G63" s="68">
        <f>'Schedule 2F Adjustments'!J62</f>
        <v>0</v>
      </c>
      <c r="H63" s="68">
        <f t="shared" si="0"/>
        <v>0</v>
      </c>
      <c r="J63" s="117">
        <f>'Schedule 2F Adjustments'!P62</f>
        <v>0</v>
      </c>
      <c r="K63" s="68">
        <f>'Schedule 2F Adjustments'!R62</f>
        <v>0</v>
      </c>
      <c r="L63" s="68">
        <f t="shared" si="1"/>
        <v>0</v>
      </c>
      <c r="N63" s="119">
        <f>'Schedule 2F Adjustments'!X62</f>
        <v>0</v>
      </c>
      <c r="O63" s="119">
        <f>'Schedule 2F Adjustments'!AA62</f>
        <v>0</v>
      </c>
    </row>
    <row r="64" spans="1:15" x14ac:dyDescent="0.35">
      <c r="A64" s="24">
        <v>49</v>
      </c>
      <c r="B64" s="514" t="str">
        <f>'Schedule 2F Adjustments'!B63:D63</f>
        <v/>
      </c>
      <c r="C64" s="514"/>
      <c r="D64" s="514"/>
      <c r="F64" s="117">
        <f>'Schedule 2F Adjustments'!H63</f>
        <v>0</v>
      </c>
      <c r="G64" s="68">
        <f>'Schedule 2F Adjustments'!J63</f>
        <v>0</v>
      </c>
      <c r="H64" s="68">
        <f t="shared" si="0"/>
        <v>0</v>
      </c>
      <c r="J64" s="117">
        <f>'Schedule 2F Adjustments'!P63</f>
        <v>0</v>
      </c>
      <c r="K64" s="68">
        <f>'Schedule 2F Adjustments'!R63</f>
        <v>0</v>
      </c>
      <c r="L64" s="68">
        <f t="shared" si="1"/>
        <v>0</v>
      </c>
      <c r="N64" s="119">
        <f>'Schedule 2F Adjustments'!X63</f>
        <v>0</v>
      </c>
      <c r="O64" s="119">
        <f>'Schedule 2F Adjustments'!AA63</f>
        <v>0</v>
      </c>
    </row>
    <row r="65" spans="1:15" x14ac:dyDescent="0.35">
      <c r="A65" s="24">
        <v>50</v>
      </c>
      <c r="B65" s="514" t="str">
        <f>'Schedule 2F Adjustments'!B64:D64</f>
        <v/>
      </c>
      <c r="C65" s="514"/>
      <c r="D65" s="514"/>
      <c r="F65" s="117">
        <f>'Schedule 2F Adjustments'!H64</f>
        <v>0</v>
      </c>
      <c r="G65" s="68">
        <f>'Schedule 2F Adjustments'!J64</f>
        <v>0</v>
      </c>
      <c r="H65" s="68">
        <f t="shared" si="0"/>
        <v>0</v>
      </c>
      <c r="J65" s="117">
        <f>'Schedule 2F Adjustments'!P64</f>
        <v>0</v>
      </c>
      <c r="K65" s="68">
        <f>'Schedule 2F Adjustments'!R64</f>
        <v>0</v>
      </c>
      <c r="L65" s="68">
        <f t="shared" si="1"/>
        <v>0</v>
      </c>
      <c r="N65" s="119">
        <f>'Schedule 2F Adjustments'!X64</f>
        <v>0</v>
      </c>
      <c r="O65" s="119">
        <f>'Schedule 2F Adjustments'!AA64</f>
        <v>0</v>
      </c>
    </row>
    <row r="66" spans="1:15" x14ac:dyDescent="0.35">
      <c r="A66" s="24">
        <v>51</v>
      </c>
      <c r="B66" s="514" t="str">
        <f>'Schedule 2F Adjustments'!B65:D65</f>
        <v/>
      </c>
      <c r="C66" s="514"/>
      <c r="D66" s="514"/>
      <c r="F66" s="117">
        <f>'Schedule 2F Adjustments'!H65</f>
        <v>0</v>
      </c>
      <c r="G66" s="68">
        <f>'Schedule 2F Adjustments'!J65</f>
        <v>0</v>
      </c>
      <c r="H66" s="68">
        <f t="shared" si="0"/>
        <v>0</v>
      </c>
      <c r="J66" s="117">
        <f>'Schedule 2F Adjustments'!P65</f>
        <v>0</v>
      </c>
      <c r="K66" s="68">
        <f>'Schedule 2F Adjustments'!R65</f>
        <v>0</v>
      </c>
      <c r="L66" s="68">
        <f t="shared" si="1"/>
        <v>0</v>
      </c>
      <c r="N66" s="119">
        <f>'Schedule 2F Adjustments'!X65</f>
        <v>0</v>
      </c>
      <c r="O66" s="119">
        <f>'Schedule 2F Adjustments'!AA65</f>
        <v>0</v>
      </c>
    </row>
    <row r="67" spans="1:15" x14ac:dyDescent="0.35">
      <c r="A67" s="24">
        <v>52</v>
      </c>
      <c r="B67" s="514" t="str">
        <f>'Schedule 2F Adjustments'!B66:D66</f>
        <v/>
      </c>
      <c r="C67" s="514"/>
      <c r="D67" s="514"/>
      <c r="F67" s="117">
        <f>'Schedule 2F Adjustments'!H66</f>
        <v>0</v>
      </c>
      <c r="G67" s="68">
        <f>'Schedule 2F Adjustments'!J66</f>
        <v>0</v>
      </c>
      <c r="H67" s="68">
        <f t="shared" si="0"/>
        <v>0</v>
      </c>
      <c r="J67" s="117">
        <f>'Schedule 2F Adjustments'!P66</f>
        <v>0</v>
      </c>
      <c r="K67" s="68">
        <f>'Schedule 2F Adjustments'!R66</f>
        <v>0</v>
      </c>
      <c r="L67" s="68">
        <f t="shared" si="1"/>
        <v>0</v>
      </c>
      <c r="N67" s="119">
        <f>'Schedule 2F Adjustments'!X66</f>
        <v>0</v>
      </c>
      <c r="O67" s="119">
        <f>'Schedule 2F Adjustments'!AA66</f>
        <v>0</v>
      </c>
    </row>
    <row r="68" spans="1:15" x14ac:dyDescent="0.35">
      <c r="A68" s="24">
        <v>53</v>
      </c>
      <c r="B68" s="514" t="str">
        <f>'Schedule 2F Adjustments'!B67:D67</f>
        <v/>
      </c>
      <c r="C68" s="514"/>
      <c r="D68" s="514"/>
      <c r="F68" s="117">
        <f>'Schedule 2F Adjustments'!H67</f>
        <v>0</v>
      </c>
      <c r="G68" s="68">
        <f>'Schedule 2F Adjustments'!J67</f>
        <v>0</v>
      </c>
      <c r="H68" s="68">
        <f t="shared" si="0"/>
        <v>0</v>
      </c>
      <c r="J68" s="117">
        <f>'Schedule 2F Adjustments'!P67</f>
        <v>0</v>
      </c>
      <c r="K68" s="68">
        <f>'Schedule 2F Adjustments'!R67</f>
        <v>0</v>
      </c>
      <c r="L68" s="68">
        <f t="shared" si="1"/>
        <v>0</v>
      </c>
      <c r="N68" s="119">
        <f>'Schedule 2F Adjustments'!X67</f>
        <v>0</v>
      </c>
      <c r="O68" s="119">
        <f>'Schedule 2F Adjustments'!AA67</f>
        <v>0</v>
      </c>
    </row>
    <row r="69" spans="1:15" x14ac:dyDescent="0.35">
      <c r="A69" s="24">
        <v>54</v>
      </c>
      <c r="B69" s="514" t="str">
        <f>'Schedule 2F Adjustments'!B68:D68</f>
        <v/>
      </c>
      <c r="C69" s="514"/>
      <c r="D69" s="514"/>
      <c r="F69" s="117">
        <f>'Schedule 2F Adjustments'!H68</f>
        <v>0</v>
      </c>
      <c r="G69" s="68">
        <f>'Schedule 2F Adjustments'!J68</f>
        <v>0</v>
      </c>
      <c r="H69" s="68">
        <f t="shared" si="0"/>
        <v>0</v>
      </c>
      <c r="J69" s="117">
        <f>'Schedule 2F Adjustments'!P68</f>
        <v>0</v>
      </c>
      <c r="K69" s="68">
        <f>'Schedule 2F Adjustments'!R68</f>
        <v>0</v>
      </c>
      <c r="L69" s="68">
        <f t="shared" si="1"/>
        <v>0</v>
      </c>
      <c r="N69" s="119">
        <f>'Schedule 2F Adjustments'!X68</f>
        <v>0</v>
      </c>
      <c r="O69" s="119">
        <f>'Schedule 2F Adjustments'!AA68</f>
        <v>0</v>
      </c>
    </row>
    <row r="70" spans="1:15" x14ac:dyDescent="0.35">
      <c r="A70" s="24">
        <v>55</v>
      </c>
      <c r="B70" s="514" t="str">
        <f>'Schedule 2F Adjustments'!B69:D69</f>
        <v/>
      </c>
      <c r="C70" s="514"/>
      <c r="D70" s="514"/>
      <c r="F70" s="117">
        <f>'Schedule 2F Adjustments'!H69</f>
        <v>0</v>
      </c>
      <c r="G70" s="68">
        <f>'Schedule 2F Adjustments'!J69</f>
        <v>0</v>
      </c>
      <c r="H70" s="68">
        <f t="shared" si="0"/>
        <v>0</v>
      </c>
      <c r="J70" s="117">
        <f>'Schedule 2F Adjustments'!P69</f>
        <v>0</v>
      </c>
      <c r="K70" s="68">
        <f>'Schedule 2F Adjustments'!R69</f>
        <v>0</v>
      </c>
      <c r="L70" s="68">
        <f t="shared" si="1"/>
        <v>0</v>
      </c>
      <c r="N70" s="119">
        <f>'Schedule 2F Adjustments'!X69</f>
        <v>0</v>
      </c>
      <c r="O70" s="119">
        <f>'Schedule 2F Adjustments'!AA69</f>
        <v>0</v>
      </c>
    </row>
    <row r="71" spans="1:15" x14ac:dyDescent="0.35">
      <c r="A71" s="24">
        <v>56</v>
      </c>
      <c r="B71" s="514" t="str">
        <f>'Schedule 2F Adjustments'!B70:D70</f>
        <v/>
      </c>
      <c r="C71" s="514"/>
      <c r="D71" s="514"/>
      <c r="F71" s="117">
        <f>'Schedule 2F Adjustments'!H70</f>
        <v>0</v>
      </c>
      <c r="G71" s="68">
        <f>'Schedule 2F Adjustments'!J70</f>
        <v>0</v>
      </c>
      <c r="H71" s="68">
        <f t="shared" si="0"/>
        <v>0</v>
      </c>
      <c r="J71" s="117">
        <f>'Schedule 2F Adjustments'!P70</f>
        <v>0</v>
      </c>
      <c r="K71" s="68">
        <f>'Schedule 2F Adjustments'!R70</f>
        <v>0</v>
      </c>
      <c r="L71" s="68">
        <f t="shared" si="1"/>
        <v>0</v>
      </c>
      <c r="N71" s="119">
        <f>'Schedule 2F Adjustments'!X70</f>
        <v>0</v>
      </c>
      <c r="O71" s="119">
        <f>'Schedule 2F Adjustments'!AA70</f>
        <v>0</v>
      </c>
    </row>
    <row r="72" spans="1:15" x14ac:dyDescent="0.35">
      <c r="A72" s="24">
        <v>57</v>
      </c>
      <c r="B72" s="514" t="str">
        <f>'Schedule 2F Adjustments'!B71:D71</f>
        <v/>
      </c>
      <c r="C72" s="514"/>
      <c r="D72" s="514"/>
      <c r="F72" s="117">
        <f>'Schedule 2F Adjustments'!H71</f>
        <v>0</v>
      </c>
      <c r="G72" s="68">
        <f>'Schedule 2F Adjustments'!J71</f>
        <v>0</v>
      </c>
      <c r="H72" s="68">
        <f t="shared" si="0"/>
        <v>0</v>
      </c>
      <c r="J72" s="117">
        <f>'Schedule 2F Adjustments'!P71</f>
        <v>0</v>
      </c>
      <c r="K72" s="68">
        <f>'Schedule 2F Adjustments'!R71</f>
        <v>0</v>
      </c>
      <c r="L72" s="68">
        <f t="shared" si="1"/>
        <v>0</v>
      </c>
      <c r="N72" s="119">
        <f>'Schedule 2F Adjustments'!X71</f>
        <v>0</v>
      </c>
      <c r="O72" s="119">
        <f>'Schedule 2F Adjustments'!AA71</f>
        <v>0</v>
      </c>
    </row>
    <row r="73" spans="1:15" x14ac:dyDescent="0.35">
      <c r="A73" s="24">
        <v>58</v>
      </c>
      <c r="B73" s="514" t="str">
        <f>'Schedule 2F Adjustments'!B72:D72</f>
        <v/>
      </c>
      <c r="C73" s="514"/>
      <c r="D73" s="514"/>
      <c r="F73" s="117">
        <f>'Schedule 2F Adjustments'!H72</f>
        <v>0</v>
      </c>
      <c r="G73" s="68">
        <f>'Schedule 2F Adjustments'!J72</f>
        <v>0</v>
      </c>
      <c r="H73" s="68">
        <f t="shared" si="0"/>
        <v>0</v>
      </c>
      <c r="J73" s="117">
        <f>'Schedule 2F Adjustments'!P72</f>
        <v>0</v>
      </c>
      <c r="K73" s="68">
        <f>'Schedule 2F Adjustments'!R72</f>
        <v>0</v>
      </c>
      <c r="L73" s="68">
        <f t="shared" si="1"/>
        <v>0</v>
      </c>
      <c r="N73" s="119">
        <f>'Schedule 2F Adjustments'!X72</f>
        <v>0</v>
      </c>
      <c r="O73" s="119">
        <f>'Schedule 2F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850</v>
      </c>
      <c r="B3" s="5"/>
      <c r="C3" s="5"/>
      <c r="D3" s="5"/>
      <c r="E3" s="5"/>
      <c r="F3" s="5"/>
      <c r="G3" s="5"/>
      <c r="H3" s="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816</v>
      </c>
      <c r="C9" s="1"/>
      <c r="F9" s="472" t="s">
        <v>1041</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2G Adjustments'!B15:D15</f>
        <v/>
      </c>
      <c r="C16" s="514"/>
      <c r="D16" s="514"/>
      <c r="F16" s="117">
        <f>'Schedule 2G Adjustments'!H15</f>
        <v>0</v>
      </c>
      <c r="G16" s="68">
        <f>'Schedule 2G Adjustments'!J15</f>
        <v>0</v>
      </c>
      <c r="H16" s="68">
        <f>SUM(F16:G16)</f>
        <v>0</v>
      </c>
      <c r="J16" s="117">
        <f>'Schedule 2G Adjustments'!P15</f>
        <v>0</v>
      </c>
      <c r="K16" s="68">
        <f>'Schedule 2G Adjustments'!R15</f>
        <v>0</v>
      </c>
      <c r="L16" s="68">
        <f>SUM(J16:K16)</f>
        <v>0</v>
      </c>
      <c r="N16" s="119">
        <f>'Schedule 2G Adjustments'!X15</f>
        <v>0</v>
      </c>
      <c r="O16" s="119">
        <f>'Schedule 2G Adjustments'!AA15</f>
        <v>0</v>
      </c>
    </row>
    <row r="17" spans="1:15" x14ac:dyDescent="0.35">
      <c r="A17" s="24">
        <v>2</v>
      </c>
      <c r="B17" s="514" t="str">
        <f>'Schedule 2G Adjustments'!B16:D16</f>
        <v/>
      </c>
      <c r="C17" s="514"/>
      <c r="D17" s="514"/>
      <c r="F17" s="117">
        <f>'Schedule 2G Adjustments'!H16</f>
        <v>0</v>
      </c>
      <c r="G17" s="68">
        <f>'Schedule 2G Adjustments'!J16</f>
        <v>0</v>
      </c>
      <c r="H17" s="68">
        <f t="shared" ref="H17:H73" si="0">SUM(F17:G17)</f>
        <v>0</v>
      </c>
      <c r="J17" s="117">
        <f>'Schedule 2G Adjustments'!P16</f>
        <v>0</v>
      </c>
      <c r="K17" s="68">
        <f>'Schedule 2G Adjustments'!R16</f>
        <v>0</v>
      </c>
      <c r="L17" s="68">
        <f t="shared" ref="L17:L73" si="1">SUM(J17:K17)</f>
        <v>0</v>
      </c>
      <c r="N17" s="119">
        <f>'Schedule 2G Adjustments'!X16</f>
        <v>0</v>
      </c>
      <c r="O17" s="119">
        <f>'Schedule 2G Adjustments'!AA16</f>
        <v>0</v>
      </c>
    </row>
    <row r="18" spans="1:15" x14ac:dyDescent="0.35">
      <c r="A18" s="24">
        <v>3</v>
      </c>
      <c r="B18" s="514" t="str">
        <f>'Schedule 2G Adjustments'!B17:D17</f>
        <v/>
      </c>
      <c r="C18" s="514"/>
      <c r="D18" s="514"/>
      <c r="F18" s="117">
        <f>'Schedule 2G Adjustments'!H17</f>
        <v>0</v>
      </c>
      <c r="G18" s="68">
        <f>'Schedule 2G Adjustments'!J17</f>
        <v>0</v>
      </c>
      <c r="H18" s="68">
        <f t="shared" si="0"/>
        <v>0</v>
      </c>
      <c r="J18" s="117">
        <f>'Schedule 2G Adjustments'!P17</f>
        <v>0</v>
      </c>
      <c r="K18" s="68">
        <f>'Schedule 2G Adjustments'!R17</f>
        <v>0</v>
      </c>
      <c r="L18" s="68">
        <f t="shared" si="1"/>
        <v>0</v>
      </c>
      <c r="N18" s="119">
        <f>'Schedule 2G Adjustments'!X17</f>
        <v>0</v>
      </c>
      <c r="O18" s="119">
        <f>'Schedule 2G Adjustments'!AA17</f>
        <v>0</v>
      </c>
    </row>
    <row r="19" spans="1:15" x14ac:dyDescent="0.35">
      <c r="A19" s="24">
        <v>4</v>
      </c>
      <c r="B19" s="514" t="str">
        <f>'Schedule 2G Adjustments'!B18:D18</f>
        <v/>
      </c>
      <c r="C19" s="514"/>
      <c r="D19" s="514"/>
      <c r="F19" s="117">
        <f>'Schedule 2G Adjustments'!H18</f>
        <v>0</v>
      </c>
      <c r="G19" s="68">
        <f>'Schedule 2G Adjustments'!J18</f>
        <v>0</v>
      </c>
      <c r="H19" s="68">
        <f t="shared" si="0"/>
        <v>0</v>
      </c>
      <c r="J19" s="117">
        <f>'Schedule 2G Adjustments'!P18</f>
        <v>0</v>
      </c>
      <c r="K19" s="68">
        <f>'Schedule 2G Adjustments'!R18</f>
        <v>0</v>
      </c>
      <c r="L19" s="68">
        <f t="shared" si="1"/>
        <v>0</v>
      </c>
      <c r="N19" s="119">
        <f>'Schedule 2G Adjustments'!X18</f>
        <v>0</v>
      </c>
      <c r="O19" s="119">
        <f>'Schedule 2G Adjustments'!AA18</f>
        <v>0</v>
      </c>
    </row>
    <row r="20" spans="1:15" x14ac:dyDescent="0.35">
      <c r="A20" s="24">
        <v>5</v>
      </c>
      <c r="B20" s="514" t="str">
        <f>'Schedule 2G Adjustments'!B19:D19</f>
        <v/>
      </c>
      <c r="C20" s="514"/>
      <c r="D20" s="514"/>
      <c r="F20" s="117">
        <f>'Schedule 2G Adjustments'!H19</f>
        <v>0</v>
      </c>
      <c r="G20" s="68">
        <f>'Schedule 2G Adjustments'!J19</f>
        <v>0</v>
      </c>
      <c r="H20" s="68">
        <f t="shared" si="0"/>
        <v>0</v>
      </c>
      <c r="J20" s="117">
        <f>'Schedule 2G Adjustments'!P19</f>
        <v>0</v>
      </c>
      <c r="K20" s="68">
        <f>'Schedule 2G Adjustments'!R19</f>
        <v>0</v>
      </c>
      <c r="L20" s="68">
        <f t="shared" si="1"/>
        <v>0</v>
      </c>
      <c r="N20" s="119">
        <f>'Schedule 2G Adjustments'!X19</f>
        <v>0</v>
      </c>
      <c r="O20" s="119">
        <f>'Schedule 2G Adjustments'!AA19</f>
        <v>0</v>
      </c>
    </row>
    <row r="21" spans="1:15" x14ac:dyDescent="0.35">
      <c r="A21" s="24">
        <v>6</v>
      </c>
      <c r="B21" s="514" t="str">
        <f>'Schedule 2G Adjustments'!B20:D20</f>
        <v/>
      </c>
      <c r="C21" s="514"/>
      <c r="D21" s="514"/>
      <c r="F21" s="117">
        <f>'Schedule 2G Adjustments'!H20</f>
        <v>0</v>
      </c>
      <c r="G21" s="68">
        <f>'Schedule 2G Adjustments'!J20</f>
        <v>0</v>
      </c>
      <c r="H21" s="68">
        <f t="shared" si="0"/>
        <v>0</v>
      </c>
      <c r="J21" s="117">
        <f>'Schedule 2G Adjustments'!P20</f>
        <v>0</v>
      </c>
      <c r="K21" s="68">
        <f>'Schedule 2G Adjustments'!R20</f>
        <v>0</v>
      </c>
      <c r="L21" s="68">
        <f t="shared" si="1"/>
        <v>0</v>
      </c>
      <c r="N21" s="119">
        <f>'Schedule 2G Adjustments'!X20</f>
        <v>0</v>
      </c>
      <c r="O21" s="119">
        <f>'Schedule 2G Adjustments'!AA20</f>
        <v>0</v>
      </c>
    </row>
    <row r="22" spans="1:15" x14ac:dyDescent="0.35">
      <c r="A22" s="24">
        <v>7</v>
      </c>
      <c r="B22" s="514" t="str">
        <f>'Schedule 2G Adjustments'!B21:D21</f>
        <v/>
      </c>
      <c r="C22" s="514"/>
      <c r="D22" s="514"/>
      <c r="F22" s="117">
        <f>'Schedule 2G Adjustments'!H21</f>
        <v>0</v>
      </c>
      <c r="G22" s="68">
        <f>'Schedule 2G Adjustments'!J21</f>
        <v>0</v>
      </c>
      <c r="H22" s="68">
        <f t="shared" si="0"/>
        <v>0</v>
      </c>
      <c r="J22" s="117">
        <f>'Schedule 2G Adjustments'!P21</f>
        <v>0</v>
      </c>
      <c r="K22" s="68">
        <f>'Schedule 2G Adjustments'!R21</f>
        <v>0</v>
      </c>
      <c r="L22" s="68">
        <f t="shared" si="1"/>
        <v>0</v>
      </c>
      <c r="N22" s="119">
        <f>'Schedule 2G Adjustments'!X21</f>
        <v>0</v>
      </c>
      <c r="O22" s="119">
        <f>'Schedule 2G Adjustments'!AA21</f>
        <v>0</v>
      </c>
    </row>
    <row r="23" spans="1:15" x14ac:dyDescent="0.35">
      <c r="A23" s="24">
        <v>8</v>
      </c>
      <c r="B23" s="514" t="str">
        <f>'Schedule 2G Adjustments'!B22:D22</f>
        <v/>
      </c>
      <c r="C23" s="514"/>
      <c r="D23" s="514"/>
      <c r="F23" s="117">
        <f>'Schedule 2G Adjustments'!H22</f>
        <v>0</v>
      </c>
      <c r="G23" s="68">
        <f>'Schedule 2G Adjustments'!J22</f>
        <v>0</v>
      </c>
      <c r="H23" s="68">
        <f t="shared" si="0"/>
        <v>0</v>
      </c>
      <c r="J23" s="117">
        <f>'Schedule 2G Adjustments'!P22</f>
        <v>0</v>
      </c>
      <c r="K23" s="68">
        <f>'Schedule 2G Adjustments'!R22</f>
        <v>0</v>
      </c>
      <c r="L23" s="68">
        <f t="shared" si="1"/>
        <v>0</v>
      </c>
      <c r="N23" s="119">
        <f>'Schedule 2G Adjustments'!X22</f>
        <v>0</v>
      </c>
      <c r="O23" s="119">
        <f>'Schedule 2G Adjustments'!AA22</f>
        <v>0</v>
      </c>
    </row>
    <row r="24" spans="1:15" x14ac:dyDescent="0.35">
      <c r="A24" s="24">
        <v>9</v>
      </c>
      <c r="B24" s="514" t="str">
        <f>'Schedule 2G Adjustments'!B23:D23</f>
        <v/>
      </c>
      <c r="C24" s="514"/>
      <c r="D24" s="514"/>
      <c r="F24" s="117">
        <f>'Schedule 2G Adjustments'!H23</f>
        <v>0</v>
      </c>
      <c r="G24" s="68">
        <f>'Schedule 2G Adjustments'!J23</f>
        <v>0</v>
      </c>
      <c r="H24" s="68">
        <f t="shared" si="0"/>
        <v>0</v>
      </c>
      <c r="J24" s="117">
        <f>'Schedule 2G Adjustments'!P23</f>
        <v>0</v>
      </c>
      <c r="K24" s="68">
        <f>'Schedule 2G Adjustments'!R23</f>
        <v>0</v>
      </c>
      <c r="L24" s="68">
        <f t="shared" si="1"/>
        <v>0</v>
      </c>
      <c r="N24" s="119">
        <f>'Schedule 2G Adjustments'!X23</f>
        <v>0</v>
      </c>
      <c r="O24" s="119">
        <f>'Schedule 2G Adjustments'!AA23</f>
        <v>0</v>
      </c>
    </row>
    <row r="25" spans="1:15" x14ac:dyDescent="0.35">
      <c r="A25" s="24">
        <v>10</v>
      </c>
      <c r="B25" s="514" t="str">
        <f>'Schedule 2G Adjustments'!B24:D24</f>
        <v/>
      </c>
      <c r="C25" s="514"/>
      <c r="D25" s="514"/>
      <c r="F25" s="117">
        <f>'Schedule 2G Adjustments'!H24</f>
        <v>0</v>
      </c>
      <c r="G25" s="68">
        <f>'Schedule 2G Adjustments'!J24</f>
        <v>0</v>
      </c>
      <c r="H25" s="68">
        <f t="shared" si="0"/>
        <v>0</v>
      </c>
      <c r="J25" s="117">
        <f>'Schedule 2G Adjustments'!P24</f>
        <v>0</v>
      </c>
      <c r="K25" s="68">
        <f>'Schedule 2G Adjustments'!R24</f>
        <v>0</v>
      </c>
      <c r="L25" s="68">
        <f t="shared" si="1"/>
        <v>0</v>
      </c>
      <c r="N25" s="119">
        <f>'Schedule 2G Adjustments'!X24</f>
        <v>0</v>
      </c>
      <c r="O25" s="119">
        <f>'Schedule 2G Adjustments'!AA24</f>
        <v>0</v>
      </c>
    </row>
    <row r="26" spans="1:15" x14ac:dyDescent="0.35">
      <c r="A26" s="24">
        <v>11</v>
      </c>
      <c r="B26" s="514" t="str">
        <f>'Schedule 2G Adjustments'!B25:D25</f>
        <v/>
      </c>
      <c r="C26" s="514"/>
      <c r="D26" s="514"/>
      <c r="F26" s="117">
        <f>'Schedule 2G Adjustments'!H25</f>
        <v>0</v>
      </c>
      <c r="G26" s="68">
        <f>'Schedule 2G Adjustments'!J25</f>
        <v>0</v>
      </c>
      <c r="H26" s="68">
        <f t="shared" si="0"/>
        <v>0</v>
      </c>
      <c r="J26" s="117">
        <f>'Schedule 2G Adjustments'!P25</f>
        <v>0</v>
      </c>
      <c r="K26" s="68">
        <f>'Schedule 2G Adjustments'!R25</f>
        <v>0</v>
      </c>
      <c r="L26" s="68">
        <f t="shared" si="1"/>
        <v>0</v>
      </c>
      <c r="N26" s="119">
        <f>'Schedule 2G Adjustments'!X25</f>
        <v>0</v>
      </c>
      <c r="O26" s="119">
        <f>'Schedule 2G Adjustments'!AA25</f>
        <v>0</v>
      </c>
    </row>
    <row r="27" spans="1:15" x14ac:dyDescent="0.35">
      <c r="A27" s="24">
        <v>12</v>
      </c>
      <c r="B27" s="514" t="str">
        <f>'Schedule 2G Adjustments'!B26:D26</f>
        <v/>
      </c>
      <c r="C27" s="514"/>
      <c r="D27" s="514"/>
      <c r="F27" s="117">
        <f>'Schedule 2G Adjustments'!H26</f>
        <v>0</v>
      </c>
      <c r="G27" s="68">
        <f>'Schedule 2G Adjustments'!J26</f>
        <v>0</v>
      </c>
      <c r="H27" s="68">
        <f t="shared" si="0"/>
        <v>0</v>
      </c>
      <c r="J27" s="117">
        <f>'Schedule 2G Adjustments'!P26</f>
        <v>0</v>
      </c>
      <c r="K27" s="68">
        <f>'Schedule 2G Adjustments'!R26</f>
        <v>0</v>
      </c>
      <c r="L27" s="68">
        <f t="shared" si="1"/>
        <v>0</v>
      </c>
      <c r="N27" s="119">
        <f>'Schedule 2G Adjustments'!X26</f>
        <v>0</v>
      </c>
      <c r="O27" s="119">
        <f>'Schedule 2G Adjustments'!AA26</f>
        <v>0</v>
      </c>
    </row>
    <row r="28" spans="1:15" x14ac:dyDescent="0.35">
      <c r="A28" s="24">
        <v>13</v>
      </c>
      <c r="B28" s="514" t="str">
        <f>'Schedule 2G Adjustments'!B27:D27</f>
        <v/>
      </c>
      <c r="C28" s="514"/>
      <c r="D28" s="514"/>
      <c r="F28" s="117">
        <f>'Schedule 2G Adjustments'!H27</f>
        <v>0</v>
      </c>
      <c r="G28" s="68">
        <f>'Schedule 2G Adjustments'!J27</f>
        <v>0</v>
      </c>
      <c r="H28" s="68">
        <f t="shared" si="0"/>
        <v>0</v>
      </c>
      <c r="J28" s="117">
        <f>'Schedule 2G Adjustments'!P27</f>
        <v>0</v>
      </c>
      <c r="K28" s="68">
        <f>'Schedule 2G Adjustments'!R27</f>
        <v>0</v>
      </c>
      <c r="L28" s="68">
        <f t="shared" si="1"/>
        <v>0</v>
      </c>
      <c r="N28" s="119">
        <f>'Schedule 2G Adjustments'!X27</f>
        <v>0</v>
      </c>
      <c r="O28" s="119">
        <f>'Schedule 2G Adjustments'!AA27</f>
        <v>0</v>
      </c>
    </row>
    <row r="29" spans="1:15" x14ac:dyDescent="0.35">
      <c r="A29" s="24">
        <v>14</v>
      </c>
      <c r="B29" s="514" t="str">
        <f>'Schedule 2G Adjustments'!B28:D28</f>
        <v/>
      </c>
      <c r="C29" s="514"/>
      <c r="D29" s="514"/>
      <c r="F29" s="117">
        <f>'Schedule 2G Adjustments'!H28</f>
        <v>0</v>
      </c>
      <c r="G29" s="68">
        <f>'Schedule 2G Adjustments'!J28</f>
        <v>0</v>
      </c>
      <c r="H29" s="68">
        <f t="shared" si="0"/>
        <v>0</v>
      </c>
      <c r="J29" s="117">
        <f>'Schedule 2G Adjustments'!P28</f>
        <v>0</v>
      </c>
      <c r="K29" s="68">
        <f>'Schedule 2G Adjustments'!R28</f>
        <v>0</v>
      </c>
      <c r="L29" s="68">
        <f t="shared" si="1"/>
        <v>0</v>
      </c>
      <c r="N29" s="119">
        <f>'Schedule 2G Adjustments'!X28</f>
        <v>0</v>
      </c>
      <c r="O29" s="119">
        <f>'Schedule 2G Adjustments'!AA28</f>
        <v>0</v>
      </c>
    </row>
    <row r="30" spans="1:15" x14ac:dyDescent="0.35">
      <c r="A30" s="24">
        <v>15</v>
      </c>
      <c r="B30" s="514" t="str">
        <f>'Schedule 2G Adjustments'!B29:D29</f>
        <v/>
      </c>
      <c r="C30" s="514"/>
      <c r="D30" s="514"/>
      <c r="F30" s="117">
        <f>'Schedule 2G Adjustments'!H29</f>
        <v>0</v>
      </c>
      <c r="G30" s="68">
        <f>'Schedule 2G Adjustments'!J29</f>
        <v>0</v>
      </c>
      <c r="H30" s="68">
        <f t="shared" si="0"/>
        <v>0</v>
      </c>
      <c r="J30" s="117">
        <f>'Schedule 2G Adjustments'!P29</f>
        <v>0</v>
      </c>
      <c r="K30" s="68">
        <f>'Schedule 2G Adjustments'!R29</f>
        <v>0</v>
      </c>
      <c r="L30" s="68">
        <f t="shared" si="1"/>
        <v>0</v>
      </c>
      <c r="N30" s="119">
        <f>'Schedule 2G Adjustments'!X29</f>
        <v>0</v>
      </c>
      <c r="O30" s="119">
        <f>'Schedule 2G Adjustments'!AA29</f>
        <v>0</v>
      </c>
    </row>
    <row r="31" spans="1:15" x14ac:dyDescent="0.35">
      <c r="A31" s="24">
        <v>16</v>
      </c>
      <c r="B31" s="514" t="str">
        <f>'Schedule 2G Adjustments'!B30:D30</f>
        <v/>
      </c>
      <c r="C31" s="514"/>
      <c r="D31" s="514"/>
      <c r="F31" s="117">
        <f>'Schedule 2G Adjustments'!H30</f>
        <v>0</v>
      </c>
      <c r="G31" s="68">
        <f>'Schedule 2G Adjustments'!J30</f>
        <v>0</v>
      </c>
      <c r="H31" s="68">
        <f t="shared" si="0"/>
        <v>0</v>
      </c>
      <c r="J31" s="117">
        <f>'Schedule 2G Adjustments'!P30</f>
        <v>0</v>
      </c>
      <c r="K31" s="68">
        <f>'Schedule 2G Adjustments'!R30</f>
        <v>0</v>
      </c>
      <c r="L31" s="68">
        <f t="shared" si="1"/>
        <v>0</v>
      </c>
      <c r="N31" s="119">
        <f>'Schedule 2G Adjustments'!X30</f>
        <v>0</v>
      </c>
      <c r="O31" s="119">
        <f>'Schedule 2G Adjustments'!AA30</f>
        <v>0</v>
      </c>
    </row>
    <row r="32" spans="1:15" x14ac:dyDescent="0.35">
      <c r="A32" s="24">
        <v>17</v>
      </c>
      <c r="B32" s="514" t="str">
        <f>'Schedule 2G Adjustments'!B31:D31</f>
        <v/>
      </c>
      <c r="C32" s="514"/>
      <c r="D32" s="514"/>
      <c r="F32" s="117">
        <f>'Schedule 2G Adjustments'!H31</f>
        <v>0</v>
      </c>
      <c r="G32" s="68">
        <f>'Schedule 2G Adjustments'!J31</f>
        <v>0</v>
      </c>
      <c r="H32" s="68">
        <f t="shared" si="0"/>
        <v>0</v>
      </c>
      <c r="J32" s="117">
        <f>'Schedule 2G Adjustments'!P31</f>
        <v>0</v>
      </c>
      <c r="K32" s="68">
        <f>'Schedule 2G Adjustments'!R31</f>
        <v>0</v>
      </c>
      <c r="L32" s="68">
        <f t="shared" si="1"/>
        <v>0</v>
      </c>
      <c r="N32" s="119">
        <f>'Schedule 2G Adjustments'!X31</f>
        <v>0</v>
      </c>
      <c r="O32" s="119">
        <f>'Schedule 2G Adjustments'!AA31</f>
        <v>0</v>
      </c>
    </row>
    <row r="33" spans="1:15" x14ac:dyDescent="0.35">
      <c r="A33" s="24">
        <v>18</v>
      </c>
      <c r="B33" s="514" t="str">
        <f>'Schedule 2G Adjustments'!B32:D32</f>
        <v/>
      </c>
      <c r="C33" s="514"/>
      <c r="D33" s="514"/>
      <c r="F33" s="117">
        <f>'Schedule 2G Adjustments'!H32</f>
        <v>0</v>
      </c>
      <c r="G33" s="68">
        <f>'Schedule 2G Adjustments'!J32</f>
        <v>0</v>
      </c>
      <c r="H33" s="68">
        <f t="shared" si="0"/>
        <v>0</v>
      </c>
      <c r="J33" s="117">
        <f>'Schedule 2G Adjustments'!P32</f>
        <v>0</v>
      </c>
      <c r="K33" s="68">
        <f>'Schedule 2G Adjustments'!R32</f>
        <v>0</v>
      </c>
      <c r="L33" s="68">
        <f t="shared" si="1"/>
        <v>0</v>
      </c>
      <c r="N33" s="119">
        <f>'Schedule 2G Adjustments'!X32</f>
        <v>0</v>
      </c>
      <c r="O33" s="119">
        <f>'Schedule 2G Adjustments'!AA32</f>
        <v>0</v>
      </c>
    </row>
    <row r="34" spans="1:15" x14ac:dyDescent="0.35">
      <c r="A34" s="24">
        <v>19</v>
      </c>
      <c r="B34" s="514" t="str">
        <f>'Schedule 2G Adjustments'!B33:D33</f>
        <v/>
      </c>
      <c r="C34" s="514"/>
      <c r="D34" s="514"/>
      <c r="F34" s="117">
        <f>'Schedule 2G Adjustments'!H33</f>
        <v>0</v>
      </c>
      <c r="G34" s="68">
        <f>'Schedule 2G Adjustments'!J33</f>
        <v>0</v>
      </c>
      <c r="H34" s="68">
        <f t="shared" si="0"/>
        <v>0</v>
      </c>
      <c r="J34" s="117">
        <f>'Schedule 2G Adjustments'!P33</f>
        <v>0</v>
      </c>
      <c r="K34" s="68">
        <f>'Schedule 2G Adjustments'!R33</f>
        <v>0</v>
      </c>
      <c r="L34" s="68">
        <f t="shared" si="1"/>
        <v>0</v>
      </c>
      <c r="N34" s="119">
        <f>'Schedule 2G Adjustments'!X33</f>
        <v>0</v>
      </c>
      <c r="O34" s="119">
        <f>'Schedule 2G Adjustments'!AA33</f>
        <v>0</v>
      </c>
    </row>
    <row r="35" spans="1:15" x14ac:dyDescent="0.35">
      <c r="A35" s="24">
        <v>20</v>
      </c>
      <c r="B35" s="514" t="str">
        <f>'Schedule 2G Adjustments'!B34:D34</f>
        <v/>
      </c>
      <c r="C35" s="514"/>
      <c r="D35" s="514"/>
      <c r="F35" s="117">
        <f>'Schedule 2G Adjustments'!H34</f>
        <v>0</v>
      </c>
      <c r="G35" s="68">
        <f>'Schedule 2G Adjustments'!J34</f>
        <v>0</v>
      </c>
      <c r="H35" s="68">
        <f t="shared" si="0"/>
        <v>0</v>
      </c>
      <c r="J35" s="117">
        <f>'Schedule 2G Adjustments'!P34</f>
        <v>0</v>
      </c>
      <c r="K35" s="68">
        <f>'Schedule 2G Adjustments'!R34</f>
        <v>0</v>
      </c>
      <c r="L35" s="68">
        <f t="shared" si="1"/>
        <v>0</v>
      </c>
      <c r="N35" s="119">
        <f>'Schedule 2G Adjustments'!X34</f>
        <v>0</v>
      </c>
      <c r="O35" s="119">
        <f>'Schedule 2G Adjustments'!AA34</f>
        <v>0</v>
      </c>
    </row>
    <row r="36" spans="1:15" x14ac:dyDescent="0.35">
      <c r="A36" s="24">
        <v>21</v>
      </c>
      <c r="B36" s="514" t="str">
        <f>'Schedule 2G Adjustments'!B35:D35</f>
        <v/>
      </c>
      <c r="C36" s="514"/>
      <c r="D36" s="514"/>
      <c r="F36" s="117">
        <f>'Schedule 2G Adjustments'!H35</f>
        <v>0</v>
      </c>
      <c r="G36" s="68">
        <f>'Schedule 2G Adjustments'!J35</f>
        <v>0</v>
      </c>
      <c r="H36" s="68">
        <f t="shared" si="0"/>
        <v>0</v>
      </c>
      <c r="J36" s="117">
        <f>'Schedule 2G Adjustments'!P35</f>
        <v>0</v>
      </c>
      <c r="K36" s="68">
        <f>'Schedule 2G Adjustments'!R35</f>
        <v>0</v>
      </c>
      <c r="L36" s="68">
        <f t="shared" si="1"/>
        <v>0</v>
      </c>
      <c r="N36" s="119">
        <f>'Schedule 2G Adjustments'!X35</f>
        <v>0</v>
      </c>
      <c r="O36" s="119">
        <f>'Schedule 2G Adjustments'!AA35</f>
        <v>0</v>
      </c>
    </row>
    <row r="37" spans="1:15" x14ac:dyDescent="0.35">
      <c r="A37" s="24">
        <v>22</v>
      </c>
      <c r="B37" s="514" t="str">
        <f>'Schedule 2G Adjustments'!B36:D36</f>
        <v/>
      </c>
      <c r="C37" s="514"/>
      <c r="D37" s="514"/>
      <c r="F37" s="117">
        <f>'Schedule 2G Adjustments'!H36</f>
        <v>0</v>
      </c>
      <c r="G37" s="68">
        <f>'Schedule 2G Adjustments'!J36</f>
        <v>0</v>
      </c>
      <c r="H37" s="68">
        <f t="shared" si="0"/>
        <v>0</v>
      </c>
      <c r="J37" s="117">
        <f>'Schedule 2G Adjustments'!P36</f>
        <v>0</v>
      </c>
      <c r="K37" s="68">
        <f>'Schedule 2G Adjustments'!R36</f>
        <v>0</v>
      </c>
      <c r="L37" s="68">
        <f t="shared" si="1"/>
        <v>0</v>
      </c>
      <c r="N37" s="119">
        <f>'Schedule 2G Adjustments'!X36</f>
        <v>0</v>
      </c>
      <c r="O37" s="119">
        <f>'Schedule 2G Adjustments'!AA36</f>
        <v>0</v>
      </c>
    </row>
    <row r="38" spans="1:15" x14ac:dyDescent="0.35">
      <c r="A38" s="24">
        <v>23</v>
      </c>
      <c r="B38" s="514" t="str">
        <f>'Schedule 2G Adjustments'!B37:D37</f>
        <v/>
      </c>
      <c r="C38" s="514"/>
      <c r="D38" s="514"/>
      <c r="F38" s="117">
        <f>'Schedule 2G Adjustments'!H37</f>
        <v>0</v>
      </c>
      <c r="G38" s="68">
        <f>'Schedule 2G Adjustments'!J37</f>
        <v>0</v>
      </c>
      <c r="H38" s="68">
        <f t="shared" si="0"/>
        <v>0</v>
      </c>
      <c r="J38" s="117">
        <f>'Schedule 2G Adjustments'!P37</f>
        <v>0</v>
      </c>
      <c r="K38" s="68">
        <f>'Schedule 2G Adjustments'!R37</f>
        <v>0</v>
      </c>
      <c r="L38" s="68">
        <f t="shared" si="1"/>
        <v>0</v>
      </c>
      <c r="N38" s="119">
        <f>'Schedule 2G Adjustments'!X37</f>
        <v>0</v>
      </c>
      <c r="O38" s="119">
        <f>'Schedule 2G Adjustments'!AA37</f>
        <v>0</v>
      </c>
    </row>
    <row r="39" spans="1:15" x14ac:dyDescent="0.35">
      <c r="A39" s="24">
        <v>24</v>
      </c>
      <c r="B39" s="514" t="str">
        <f>'Schedule 2G Adjustments'!B38:D38</f>
        <v/>
      </c>
      <c r="C39" s="514"/>
      <c r="D39" s="514"/>
      <c r="F39" s="117">
        <f>'Schedule 2G Adjustments'!H38</f>
        <v>0</v>
      </c>
      <c r="G39" s="68">
        <f>'Schedule 2G Adjustments'!J38</f>
        <v>0</v>
      </c>
      <c r="H39" s="68">
        <f t="shared" si="0"/>
        <v>0</v>
      </c>
      <c r="J39" s="117">
        <f>'Schedule 2G Adjustments'!P38</f>
        <v>0</v>
      </c>
      <c r="K39" s="68">
        <f>'Schedule 2G Adjustments'!R38</f>
        <v>0</v>
      </c>
      <c r="L39" s="68">
        <f t="shared" si="1"/>
        <v>0</v>
      </c>
      <c r="N39" s="119">
        <f>'Schedule 2G Adjustments'!X38</f>
        <v>0</v>
      </c>
      <c r="O39" s="119">
        <f>'Schedule 2G Adjustments'!AA38</f>
        <v>0</v>
      </c>
    </row>
    <row r="40" spans="1:15" x14ac:dyDescent="0.35">
      <c r="A40" s="24">
        <v>25</v>
      </c>
      <c r="B40" s="514" t="str">
        <f>'Schedule 2G Adjustments'!B39:D39</f>
        <v/>
      </c>
      <c r="C40" s="514"/>
      <c r="D40" s="514"/>
      <c r="F40" s="117">
        <f>'Schedule 2G Adjustments'!H39</f>
        <v>0</v>
      </c>
      <c r="G40" s="68">
        <f>'Schedule 2G Adjustments'!J39</f>
        <v>0</v>
      </c>
      <c r="H40" s="68">
        <f t="shared" si="0"/>
        <v>0</v>
      </c>
      <c r="J40" s="117">
        <f>'Schedule 2G Adjustments'!P39</f>
        <v>0</v>
      </c>
      <c r="K40" s="68">
        <f>'Schedule 2G Adjustments'!R39</f>
        <v>0</v>
      </c>
      <c r="L40" s="68">
        <f t="shared" si="1"/>
        <v>0</v>
      </c>
      <c r="N40" s="119">
        <f>'Schedule 2G Adjustments'!X39</f>
        <v>0</v>
      </c>
      <c r="O40" s="119">
        <f>'Schedule 2G Adjustments'!AA39</f>
        <v>0</v>
      </c>
    </row>
    <row r="41" spans="1:15" x14ac:dyDescent="0.35">
      <c r="A41" s="24">
        <v>26</v>
      </c>
      <c r="B41" s="514" t="str">
        <f>'Schedule 2G Adjustments'!B40:D40</f>
        <v/>
      </c>
      <c r="C41" s="514"/>
      <c r="D41" s="514"/>
      <c r="F41" s="117">
        <f>'Schedule 2G Adjustments'!H40</f>
        <v>0</v>
      </c>
      <c r="G41" s="68">
        <f>'Schedule 2G Adjustments'!J40</f>
        <v>0</v>
      </c>
      <c r="H41" s="68">
        <f t="shared" si="0"/>
        <v>0</v>
      </c>
      <c r="J41" s="117">
        <f>'Schedule 2G Adjustments'!P40</f>
        <v>0</v>
      </c>
      <c r="K41" s="68">
        <f>'Schedule 2G Adjustments'!R40</f>
        <v>0</v>
      </c>
      <c r="L41" s="68">
        <f t="shared" si="1"/>
        <v>0</v>
      </c>
      <c r="N41" s="119">
        <f>'Schedule 2G Adjustments'!X40</f>
        <v>0</v>
      </c>
      <c r="O41" s="119">
        <f>'Schedule 2G Adjustments'!AA40</f>
        <v>0</v>
      </c>
    </row>
    <row r="42" spans="1:15" x14ac:dyDescent="0.35">
      <c r="A42" s="24">
        <v>27</v>
      </c>
      <c r="B42" s="514" t="str">
        <f>'Schedule 2G Adjustments'!B41:D41</f>
        <v/>
      </c>
      <c r="C42" s="514"/>
      <c r="D42" s="514"/>
      <c r="F42" s="117">
        <f>'Schedule 2G Adjustments'!H41</f>
        <v>0</v>
      </c>
      <c r="G42" s="68">
        <f>'Schedule 2G Adjustments'!J41</f>
        <v>0</v>
      </c>
      <c r="H42" s="68">
        <f t="shared" si="0"/>
        <v>0</v>
      </c>
      <c r="J42" s="117">
        <f>'Schedule 2G Adjustments'!P41</f>
        <v>0</v>
      </c>
      <c r="K42" s="68">
        <f>'Schedule 2G Adjustments'!R41</f>
        <v>0</v>
      </c>
      <c r="L42" s="68">
        <f t="shared" si="1"/>
        <v>0</v>
      </c>
      <c r="N42" s="119">
        <f>'Schedule 2G Adjustments'!X41</f>
        <v>0</v>
      </c>
      <c r="O42" s="119">
        <f>'Schedule 2G Adjustments'!AA41</f>
        <v>0</v>
      </c>
    </row>
    <row r="43" spans="1:15" x14ac:dyDescent="0.35">
      <c r="A43" s="24">
        <v>28</v>
      </c>
      <c r="B43" s="514" t="str">
        <f>'Schedule 2G Adjustments'!B42:D42</f>
        <v/>
      </c>
      <c r="C43" s="514"/>
      <c r="D43" s="514"/>
      <c r="F43" s="117">
        <f>'Schedule 2G Adjustments'!H42</f>
        <v>0</v>
      </c>
      <c r="G43" s="68">
        <f>'Schedule 2G Adjustments'!J42</f>
        <v>0</v>
      </c>
      <c r="H43" s="68">
        <f t="shared" si="0"/>
        <v>0</v>
      </c>
      <c r="J43" s="117">
        <f>'Schedule 2G Adjustments'!P42</f>
        <v>0</v>
      </c>
      <c r="K43" s="68">
        <f>'Schedule 2G Adjustments'!R42</f>
        <v>0</v>
      </c>
      <c r="L43" s="68">
        <f t="shared" si="1"/>
        <v>0</v>
      </c>
      <c r="N43" s="119">
        <f>'Schedule 2G Adjustments'!X42</f>
        <v>0</v>
      </c>
      <c r="O43" s="119">
        <f>'Schedule 2G Adjustments'!AA42</f>
        <v>0</v>
      </c>
    </row>
    <row r="44" spans="1:15" x14ac:dyDescent="0.35">
      <c r="A44" s="24">
        <v>29</v>
      </c>
      <c r="B44" s="514" t="str">
        <f>'Schedule 2G Adjustments'!B43:D43</f>
        <v/>
      </c>
      <c r="C44" s="514"/>
      <c r="D44" s="514"/>
      <c r="F44" s="117">
        <f>'Schedule 2G Adjustments'!H43</f>
        <v>0</v>
      </c>
      <c r="G44" s="68">
        <f>'Schedule 2G Adjustments'!J43</f>
        <v>0</v>
      </c>
      <c r="H44" s="68">
        <f t="shared" si="0"/>
        <v>0</v>
      </c>
      <c r="J44" s="117">
        <f>'Schedule 2G Adjustments'!P43</f>
        <v>0</v>
      </c>
      <c r="K44" s="68">
        <f>'Schedule 2G Adjustments'!R43</f>
        <v>0</v>
      </c>
      <c r="L44" s="68">
        <f t="shared" si="1"/>
        <v>0</v>
      </c>
      <c r="N44" s="119">
        <f>'Schedule 2G Adjustments'!X43</f>
        <v>0</v>
      </c>
      <c r="O44" s="119">
        <f>'Schedule 2G Adjustments'!AA43</f>
        <v>0</v>
      </c>
    </row>
    <row r="45" spans="1:15" x14ac:dyDescent="0.35">
      <c r="A45" s="24">
        <v>30</v>
      </c>
      <c r="B45" s="514" t="str">
        <f>'Schedule 2G Adjustments'!B44:D44</f>
        <v/>
      </c>
      <c r="C45" s="514"/>
      <c r="D45" s="514"/>
      <c r="F45" s="117">
        <f>'Schedule 2G Adjustments'!H44</f>
        <v>0</v>
      </c>
      <c r="G45" s="68">
        <f>'Schedule 2G Adjustments'!J44</f>
        <v>0</v>
      </c>
      <c r="H45" s="68">
        <f t="shared" si="0"/>
        <v>0</v>
      </c>
      <c r="J45" s="117">
        <f>'Schedule 2G Adjustments'!P44</f>
        <v>0</v>
      </c>
      <c r="K45" s="68">
        <f>'Schedule 2G Adjustments'!R44</f>
        <v>0</v>
      </c>
      <c r="L45" s="68">
        <f t="shared" si="1"/>
        <v>0</v>
      </c>
      <c r="N45" s="119">
        <f>'Schedule 2G Adjustments'!X44</f>
        <v>0</v>
      </c>
      <c r="O45" s="119">
        <f>'Schedule 2G Adjustments'!AA44</f>
        <v>0</v>
      </c>
    </row>
    <row r="46" spans="1:15" x14ac:dyDescent="0.35">
      <c r="A46" s="24">
        <v>31</v>
      </c>
      <c r="B46" s="514" t="str">
        <f>'Schedule 2G Adjustments'!B45:D45</f>
        <v/>
      </c>
      <c r="C46" s="514"/>
      <c r="D46" s="514"/>
      <c r="F46" s="117">
        <f>'Schedule 2G Adjustments'!H45</f>
        <v>0</v>
      </c>
      <c r="G46" s="68">
        <f>'Schedule 2G Adjustments'!J45</f>
        <v>0</v>
      </c>
      <c r="H46" s="68">
        <f t="shared" si="0"/>
        <v>0</v>
      </c>
      <c r="J46" s="117">
        <f>'Schedule 2G Adjustments'!P45</f>
        <v>0</v>
      </c>
      <c r="K46" s="68">
        <f>'Schedule 2G Adjustments'!R45</f>
        <v>0</v>
      </c>
      <c r="L46" s="68">
        <f t="shared" si="1"/>
        <v>0</v>
      </c>
      <c r="N46" s="119">
        <f>'Schedule 2G Adjustments'!X45</f>
        <v>0</v>
      </c>
      <c r="O46" s="119">
        <f>'Schedule 2G Adjustments'!AA45</f>
        <v>0</v>
      </c>
    </row>
    <row r="47" spans="1:15" x14ac:dyDescent="0.35">
      <c r="A47" s="24">
        <v>32</v>
      </c>
      <c r="B47" s="514" t="str">
        <f>'Schedule 2G Adjustments'!B46:D46</f>
        <v/>
      </c>
      <c r="C47" s="514"/>
      <c r="D47" s="514"/>
      <c r="F47" s="117">
        <f>'Schedule 2G Adjustments'!H46</f>
        <v>0</v>
      </c>
      <c r="G47" s="68">
        <f>'Schedule 2G Adjustments'!J46</f>
        <v>0</v>
      </c>
      <c r="H47" s="68">
        <f t="shared" si="0"/>
        <v>0</v>
      </c>
      <c r="J47" s="117">
        <f>'Schedule 2G Adjustments'!P46</f>
        <v>0</v>
      </c>
      <c r="K47" s="68">
        <f>'Schedule 2G Adjustments'!R46</f>
        <v>0</v>
      </c>
      <c r="L47" s="68">
        <f t="shared" si="1"/>
        <v>0</v>
      </c>
      <c r="N47" s="119">
        <f>'Schedule 2G Adjustments'!X46</f>
        <v>0</v>
      </c>
      <c r="O47" s="119">
        <f>'Schedule 2G Adjustments'!AA46</f>
        <v>0</v>
      </c>
    </row>
    <row r="48" spans="1:15" x14ac:dyDescent="0.35">
      <c r="A48" s="24">
        <v>33</v>
      </c>
      <c r="B48" s="514" t="str">
        <f>'Schedule 2G Adjustments'!B47:D47</f>
        <v/>
      </c>
      <c r="C48" s="514"/>
      <c r="D48" s="514"/>
      <c r="F48" s="117">
        <f>'Schedule 2G Adjustments'!H47</f>
        <v>0</v>
      </c>
      <c r="G48" s="68">
        <f>'Schedule 2G Adjustments'!J47</f>
        <v>0</v>
      </c>
      <c r="H48" s="68">
        <f t="shared" si="0"/>
        <v>0</v>
      </c>
      <c r="J48" s="117">
        <f>'Schedule 2G Adjustments'!P47</f>
        <v>0</v>
      </c>
      <c r="K48" s="68">
        <f>'Schedule 2G Adjustments'!R47</f>
        <v>0</v>
      </c>
      <c r="L48" s="68">
        <f t="shared" si="1"/>
        <v>0</v>
      </c>
      <c r="N48" s="119">
        <f>'Schedule 2G Adjustments'!X47</f>
        <v>0</v>
      </c>
      <c r="O48" s="119">
        <f>'Schedule 2G Adjustments'!AA47</f>
        <v>0</v>
      </c>
    </row>
    <row r="49" spans="1:15" x14ac:dyDescent="0.35">
      <c r="A49" s="24">
        <v>34</v>
      </c>
      <c r="B49" s="514" t="str">
        <f>'Schedule 2G Adjustments'!B48:D48</f>
        <v/>
      </c>
      <c r="C49" s="514"/>
      <c r="D49" s="514"/>
      <c r="F49" s="117">
        <f>'Schedule 2G Adjustments'!H48</f>
        <v>0</v>
      </c>
      <c r="G49" s="68">
        <f>'Schedule 2G Adjustments'!J48</f>
        <v>0</v>
      </c>
      <c r="H49" s="68">
        <f t="shared" si="0"/>
        <v>0</v>
      </c>
      <c r="J49" s="117">
        <f>'Schedule 2G Adjustments'!P48</f>
        <v>0</v>
      </c>
      <c r="K49" s="68">
        <f>'Schedule 2G Adjustments'!R48</f>
        <v>0</v>
      </c>
      <c r="L49" s="68">
        <f t="shared" si="1"/>
        <v>0</v>
      </c>
      <c r="N49" s="119">
        <f>'Schedule 2G Adjustments'!X48</f>
        <v>0</v>
      </c>
      <c r="O49" s="119">
        <f>'Schedule 2G Adjustments'!AA48</f>
        <v>0</v>
      </c>
    </row>
    <row r="50" spans="1:15" x14ac:dyDescent="0.35">
      <c r="A50" s="24">
        <v>35</v>
      </c>
      <c r="B50" s="514" t="str">
        <f>'Schedule 2G Adjustments'!B49:D49</f>
        <v/>
      </c>
      <c r="C50" s="514"/>
      <c r="D50" s="514"/>
      <c r="F50" s="117">
        <f>'Schedule 2G Adjustments'!H49</f>
        <v>0</v>
      </c>
      <c r="G50" s="68">
        <f>'Schedule 2G Adjustments'!J49</f>
        <v>0</v>
      </c>
      <c r="H50" s="68">
        <f t="shared" si="0"/>
        <v>0</v>
      </c>
      <c r="J50" s="117">
        <f>'Schedule 2G Adjustments'!P49</f>
        <v>0</v>
      </c>
      <c r="K50" s="68">
        <f>'Schedule 2G Adjustments'!R49</f>
        <v>0</v>
      </c>
      <c r="L50" s="68">
        <f t="shared" si="1"/>
        <v>0</v>
      </c>
      <c r="N50" s="119">
        <f>'Schedule 2G Adjustments'!X49</f>
        <v>0</v>
      </c>
      <c r="O50" s="119">
        <f>'Schedule 2G Adjustments'!AA49</f>
        <v>0</v>
      </c>
    </row>
    <row r="51" spans="1:15" x14ac:dyDescent="0.35">
      <c r="A51" s="24">
        <v>36</v>
      </c>
      <c r="B51" s="514" t="str">
        <f>'Schedule 2G Adjustments'!B50:D50</f>
        <v/>
      </c>
      <c r="C51" s="514"/>
      <c r="D51" s="514"/>
      <c r="F51" s="117">
        <f>'Schedule 2G Adjustments'!H50</f>
        <v>0</v>
      </c>
      <c r="G51" s="68">
        <f>'Schedule 2G Adjustments'!J50</f>
        <v>0</v>
      </c>
      <c r="H51" s="68">
        <f t="shared" si="0"/>
        <v>0</v>
      </c>
      <c r="J51" s="117">
        <f>'Schedule 2G Adjustments'!P50</f>
        <v>0</v>
      </c>
      <c r="K51" s="68">
        <f>'Schedule 2G Adjustments'!R50</f>
        <v>0</v>
      </c>
      <c r="L51" s="68">
        <f t="shared" si="1"/>
        <v>0</v>
      </c>
      <c r="N51" s="119">
        <f>'Schedule 2G Adjustments'!X50</f>
        <v>0</v>
      </c>
      <c r="O51" s="119">
        <f>'Schedule 2G Adjustments'!AA50</f>
        <v>0</v>
      </c>
    </row>
    <row r="52" spans="1:15" x14ac:dyDescent="0.35">
      <c r="A52" s="24">
        <v>37</v>
      </c>
      <c r="B52" s="514" t="str">
        <f>'Schedule 2G Adjustments'!B51:D51</f>
        <v/>
      </c>
      <c r="C52" s="514"/>
      <c r="D52" s="514"/>
      <c r="F52" s="117">
        <f>'Schedule 2G Adjustments'!H51</f>
        <v>0</v>
      </c>
      <c r="G52" s="68">
        <f>'Schedule 2G Adjustments'!J51</f>
        <v>0</v>
      </c>
      <c r="H52" s="68">
        <f t="shared" si="0"/>
        <v>0</v>
      </c>
      <c r="J52" s="117">
        <f>'Schedule 2G Adjustments'!P51</f>
        <v>0</v>
      </c>
      <c r="K52" s="68">
        <f>'Schedule 2G Adjustments'!R51</f>
        <v>0</v>
      </c>
      <c r="L52" s="68">
        <f t="shared" si="1"/>
        <v>0</v>
      </c>
      <c r="N52" s="119">
        <f>'Schedule 2G Adjustments'!X51</f>
        <v>0</v>
      </c>
      <c r="O52" s="119">
        <f>'Schedule 2G Adjustments'!AA51</f>
        <v>0</v>
      </c>
    </row>
    <row r="53" spans="1:15" x14ac:dyDescent="0.35">
      <c r="A53" s="24">
        <v>38</v>
      </c>
      <c r="B53" s="514" t="str">
        <f>'Schedule 2G Adjustments'!B52:D52</f>
        <v/>
      </c>
      <c r="C53" s="514"/>
      <c r="D53" s="514"/>
      <c r="F53" s="117">
        <f>'Schedule 2G Adjustments'!H52</f>
        <v>0</v>
      </c>
      <c r="G53" s="68">
        <f>'Schedule 2G Adjustments'!J52</f>
        <v>0</v>
      </c>
      <c r="H53" s="68">
        <f t="shared" si="0"/>
        <v>0</v>
      </c>
      <c r="J53" s="117">
        <f>'Schedule 2G Adjustments'!P52</f>
        <v>0</v>
      </c>
      <c r="K53" s="68">
        <f>'Schedule 2G Adjustments'!R52</f>
        <v>0</v>
      </c>
      <c r="L53" s="68">
        <f t="shared" si="1"/>
        <v>0</v>
      </c>
      <c r="N53" s="119">
        <f>'Schedule 2G Adjustments'!X52</f>
        <v>0</v>
      </c>
      <c r="O53" s="119">
        <f>'Schedule 2G Adjustments'!AA52</f>
        <v>0</v>
      </c>
    </row>
    <row r="54" spans="1:15" x14ac:dyDescent="0.35">
      <c r="A54" s="24">
        <v>39</v>
      </c>
      <c r="B54" s="514" t="str">
        <f>'Schedule 2G Adjustments'!B53:D53</f>
        <v/>
      </c>
      <c r="C54" s="514"/>
      <c r="D54" s="514"/>
      <c r="F54" s="117">
        <f>'Schedule 2G Adjustments'!H53</f>
        <v>0</v>
      </c>
      <c r="G54" s="68">
        <f>'Schedule 2G Adjustments'!J53</f>
        <v>0</v>
      </c>
      <c r="H54" s="68">
        <f t="shared" si="0"/>
        <v>0</v>
      </c>
      <c r="J54" s="117">
        <f>'Schedule 2G Adjustments'!P53</f>
        <v>0</v>
      </c>
      <c r="K54" s="68">
        <f>'Schedule 2G Adjustments'!R53</f>
        <v>0</v>
      </c>
      <c r="L54" s="68">
        <f t="shared" si="1"/>
        <v>0</v>
      </c>
      <c r="N54" s="119">
        <f>'Schedule 2G Adjustments'!X53</f>
        <v>0</v>
      </c>
      <c r="O54" s="119">
        <f>'Schedule 2G Adjustments'!AA53</f>
        <v>0</v>
      </c>
    </row>
    <row r="55" spans="1:15" x14ac:dyDescent="0.35">
      <c r="A55" s="24">
        <v>40</v>
      </c>
      <c r="B55" s="514" t="str">
        <f>'Schedule 2G Adjustments'!B54:D54</f>
        <v/>
      </c>
      <c r="C55" s="514"/>
      <c r="D55" s="514"/>
      <c r="F55" s="117">
        <f>'Schedule 2G Adjustments'!H54</f>
        <v>0</v>
      </c>
      <c r="G55" s="68">
        <f>'Schedule 2G Adjustments'!J54</f>
        <v>0</v>
      </c>
      <c r="H55" s="68">
        <f t="shared" si="0"/>
        <v>0</v>
      </c>
      <c r="J55" s="117">
        <f>'Schedule 2G Adjustments'!P54</f>
        <v>0</v>
      </c>
      <c r="K55" s="68">
        <f>'Schedule 2G Adjustments'!R54</f>
        <v>0</v>
      </c>
      <c r="L55" s="68">
        <f t="shared" si="1"/>
        <v>0</v>
      </c>
      <c r="N55" s="119">
        <f>'Schedule 2G Adjustments'!X54</f>
        <v>0</v>
      </c>
      <c r="O55" s="119">
        <f>'Schedule 2G Adjustments'!AA54</f>
        <v>0</v>
      </c>
    </row>
    <row r="56" spans="1:15" x14ac:dyDescent="0.35">
      <c r="A56" s="24">
        <v>41</v>
      </c>
      <c r="B56" s="514" t="str">
        <f>'Schedule 2G Adjustments'!B55:D55</f>
        <v/>
      </c>
      <c r="C56" s="514"/>
      <c r="D56" s="514"/>
      <c r="F56" s="117">
        <f>'Schedule 2G Adjustments'!H55</f>
        <v>0</v>
      </c>
      <c r="G56" s="68">
        <f>'Schedule 2G Adjustments'!J55</f>
        <v>0</v>
      </c>
      <c r="H56" s="68">
        <f t="shared" si="0"/>
        <v>0</v>
      </c>
      <c r="J56" s="117">
        <f>'Schedule 2G Adjustments'!P55</f>
        <v>0</v>
      </c>
      <c r="K56" s="68">
        <f>'Schedule 2G Adjustments'!R55</f>
        <v>0</v>
      </c>
      <c r="L56" s="68">
        <f t="shared" si="1"/>
        <v>0</v>
      </c>
      <c r="N56" s="119">
        <f>'Schedule 2G Adjustments'!X55</f>
        <v>0</v>
      </c>
      <c r="O56" s="119">
        <f>'Schedule 2G Adjustments'!AA55</f>
        <v>0</v>
      </c>
    </row>
    <row r="57" spans="1:15" x14ac:dyDescent="0.35">
      <c r="A57" s="24">
        <v>42</v>
      </c>
      <c r="B57" s="514" t="str">
        <f>'Schedule 2G Adjustments'!B56:D56</f>
        <v/>
      </c>
      <c r="C57" s="514"/>
      <c r="D57" s="514"/>
      <c r="F57" s="117">
        <f>'Schedule 2G Adjustments'!H56</f>
        <v>0</v>
      </c>
      <c r="G57" s="68">
        <f>'Schedule 2G Adjustments'!J56</f>
        <v>0</v>
      </c>
      <c r="H57" s="68">
        <f t="shared" si="0"/>
        <v>0</v>
      </c>
      <c r="J57" s="117">
        <f>'Schedule 2G Adjustments'!P56</f>
        <v>0</v>
      </c>
      <c r="K57" s="68">
        <f>'Schedule 2G Adjustments'!R56</f>
        <v>0</v>
      </c>
      <c r="L57" s="68">
        <f t="shared" si="1"/>
        <v>0</v>
      </c>
      <c r="N57" s="119">
        <f>'Schedule 2G Adjustments'!X56</f>
        <v>0</v>
      </c>
      <c r="O57" s="119">
        <f>'Schedule 2G Adjustments'!AA56</f>
        <v>0</v>
      </c>
    </row>
    <row r="58" spans="1:15" x14ac:dyDescent="0.35">
      <c r="A58" s="24">
        <v>43</v>
      </c>
      <c r="B58" s="514" t="str">
        <f>'Schedule 2G Adjustments'!B57:D57</f>
        <v/>
      </c>
      <c r="C58" s="514"/>
      <c r="D58" s="514"/>
      <c r="F58" s="117">
        <f>'Schedule 2G Adjustments'!H57</f>
        <v>0</v>
      </c>
      <c r="G58" s="68">
        <f>'Schedule 2G Adjustments'!J57</f>
        <v>0</v>
      </c>
      <c r="H58" s="68">
        <f t="shared" si="0"/>
        <v>0</v>
      </c>
      <c r="J58" s="117">
        <f>'Schedule 2G Adjustments'!P57</f>
        <v>0</v>
      </c>
      <c r="K58" s="68">
        <f>'Schedule 2G Adjustments'!R57</f>
        <v>0</v>
      </c>
      <c r="L58" s="68">
        <f t="shared" si="1"/>
        <v>0</v>
      </c>
      <c r="N58" s="119">
        <f>'Schedule 2G Adjustments'!X57</f>
        <v>0</v>
      </c>
      <c r="O58" s="119">
        <f>'Schedule 2G Adjustments'!AA57</f>
        <v>0</v>
      </c>
    </row>
    <row r="59" spans="1:15" x14ac:dyDescent="0.35">
      <c r="A59" s="24">
        <v>44</v>
      </c>
      <c r="B59" s="514" t="str">
        <f>'Schedule 2G Adjustments'!B58:D58</f>
        <v/>
      </c>
      <c r="C59" s="514"/>
      <c r="D59" s="514"/>
      <c r="F59" s="117">
        <f>'Schedule 2G Adjustments'!H58</f>
        <v>0</v>
      </c>
      <c r="G59" s="68">
        <f>'Schedule 2G Adjustments'!J58</f>
        <v>0</v>
      </c>
      <c r="H59" s="68">
        <f t="shared" si="0"/>
        <v>0</v>
      </c>
      <c r="J59" s="117">
        <f>'Schedule 2G Adjustments'!P58</f>
        <v>0</v>
      </c>
      <c r="K59" s="68">
        <f>'Schedule 2G Adjustments'!R58</f>
        <v>0</v>
      </c>
      <c r="L59" s="68">
        <f t="shared" si="1"/>
        <v>0</v>
      </c>
      <c r="N59" s="119">
        <f>'Schedule 2G Adjustments'!X58</f>
        <v>0</v>
      </c>
      <c r="O59" s="119">
        <f>'Schedule 2G Adjustments'!AA58</f>
        <v>0</v>
      </c>
    </row>
    <row r="60" spans="1:15" x14ac:dyDescent="0.35">
      <c r="A60" s="24">
        <v>45</v>
      </c>
      <c r="B60" s="514" t="str">
        <f>'Schedule 2G Adjustments'!B59:D59</f>
        <v/>
      </c>
      <c r="C60" s="514"/>
      <c r="D60" s="514"/>
      <c r="F60" s="117">
        <f>'Schedule 2G Adjustments'!H59</f>
        <v>0</v>
      </c>
      <c r="G60" s="68">
        <f>'Schedule 2G Adjustments'!J59</f>
        <v>0</v>
      </c>
      <c r="H60" s="68">
        <f t="shared" si="0"/>
        <v>0</v>
      </c>
      <c r="J60" s="117">
        <f>'Schedule 2G Adjustments'!P59</f>
        <v>0</v>
      </c>
      <c r="K60" s="68">
        <f>'Schedule 2G Adjustments'!R59</f>
        <v>0</v>
      </c>
      <c r="L60" s="68">
        <f t="shared" si="1"/>
        <v>0</v>
      </c>
      <c r="N60" s="119">
        <f>'Schedule 2G Adjustments'!X59</f>
        <v>0</v>
      </c>
      <c r="O60" s="119">
        <f>'Schedule 2G Adjustments'!AA59</f>
        <v>0</v>
      </c>
    </row>
    <row r="61" spans="1:15" x14ac:dyDescent="0.35">
      <c r="A61" s="24">
        <v>46</v>
      </c>
      <c r="B61" s="514" t="str">
        <f>'Schedule 2G Adjustments'!B60:D60</f>
        <v/>
      </c>
      <c r="C61" s="514"/>
      <c r="D61" s="514"/>
      <c r="F61" s="117">
        <f>'Schedule 2G Adjustments'!H60</f>
        <v>0</v>
      </c>
      <c r="G61" s="68">
        <f>'Schedule 2G Adjustments'!J60</f>
        <v>0</v>
      </c>
      <c r="H61" s="68">
        <f t="shared" si="0"/>
        <v>0</v>
      </c>
      <c r="J61" s="117">
        <f>'Schedule 2G Adjustments'!P60</f>
        <v>0</v>
      </c>
      <c r="K61" s="68">
        <f>'Schedule 2G Adjustments'!R60</f>
        <v>0</v>
      </c>
      <c r="L61" s="68">
        <f t="shared" si="1"/>
        <v>0</v>
      </c>
      <c r="N61" s="119">
        <f>'Schedule 2G Adjustments'!X60</f>
        <v>0</v>
      </c>
      <c r="O61" s="119">
        <f>'Schedule 2G Adjustments'!AA60</f>
        <v>0</v>
      </c>
    </row>
    <row r="62" spans="1:15" x14ac:dyDescent="0.35">
      <c r="A62" s="24">
        <v>47</v>
      </c>
      <c r="B62" s="514" t="str">
        <f>'Schedule 2G Adjustments'!B61:D61</f>
        <v/>
      </c>
      <c r="C62" s="514"/>
      <c r="D62" s="514"/>
      <c r="F62" s="117">
        <f>'Schedule 2G Adjustments'!H61</f>
        <v>0</v>
      </c>
      <c r="G62" s="68">
        <f>'Schedule 2G Adjustments'!J61</f>
        <v>0</v>
      </c>
      <c r="H62" s="68">
        <f t="shared" si="0"/>
        <v>0</v>
      </c>
      <c r="J62" s="117">
        <f>'Schedule 2G Adjustments'!P61</f>
        <v>0</v>
      </c>
      <c r="K62" s="68">
        <f>'Schedule 2G Adjustments'!R61</f>
        <v>0</v>
      </c>
      <c r="L62" s="68">
        <f t="shared" si="1"/>
        <v>0</v>
      </c>
      <c r="N62" s="119">
        <f>'Schedule 2G Adjustments'!X61</f>
        <v>0</v>
      </c>
      <c r="O62" s="119">
        <f>'Schedule 2G Adjustments'!AA61</f>
        <v>0</v>
      </c>
    </row>
    <row r="63" spans="1:15" x14ac:dyDescent="0.35">
      <c r="A63" s="24">
        <v>48</v>
      </c>
      <c r="B63" s="514" t="str">
        <f>'Schedule 2G Adjustments'!B62:D62</f>
        <v/>
      </c>
      <c r="C63" s="514"/>
      <c r="D63" s="514"/>
      <c r="F63" s="117">
        <f>'Schedule 2G Adjustments'!H62</f>
        <v>0</v>
      </c>
      <c r="G63" s="68">
        <f>'Schedule 2G Adjustments'!J62</f>
        <v>0</v>
      </c>
      <c r="H63" s="68">
        <f t="shared" si="0"/>
        <v>0</v>
      </c>
      <c r="J63" s="117">
        <f>'Schedule 2G Adjustments'!P62</f>
        <v>0</v>
      </c>
      <c r="K63" s="68">
        <f>'Schedule 2G Adjustments'!R62</f>
        <v>0</v>
      </c>
      <c r="L63" s="68">
        <f t="shared" si="1"/>
        <v>0</v>
      </c>
      <c r="N63" s="119">
        <f>'Schedule 2G Adjustments'!X62</f>
        <v>0</v>
      </c>
      <c r="O63" s="119">
        <f>'Schedule 2G Adjustments'!AA62</f>
        <v>0</v>
      </c>
    </row>
    <row r="64" spans="1:15" x14ac:dyDescent="0.35">
      <c r="A64" s="24">
        <v>49</v>
      </c>
      <c r="B64" s="514" t="str">
        <f>'Schedule 2G Adjustments'!B63:D63</f>
        <v/>
      </c>
      <c r="C64" s="514"/>
      <c r="D64" s="514"/>
      <c r="F64" s="117">
        <f>'Schedule 2G Adjustments'!H63</f>
        <v>0</v>
      </c>
      <c r="G64" s="68">
        <f>'Schedule 2G Adjustments'!J63</f>
        <v>0</v>
      </c>
      <c r="H64" s="68">
        <f t="shared" si="0"/>
        <v>0</v>
      </c>
      <c r="J64" s="117">
        <f>'Schedule 2G Adjustments'!P63</f>
        <v>0</v>
      </c>
      <c r="K64" s="68">
        <f>'Schedule 2G Adjustments'!R63</f>
        <v>0</v>
      </c>
      <c r="L64" s="68">
        <f t="shared" si="1"/>
        <v>0</v>
      </c>
      <c r="N64" s="119">
        <f>'Schedule 2G Adjustments'!X63</f>
        <v>0</v>
      </c>
      <c r="O64" s="119">
        <f>'Schedule 2G Adjustments'!AA63</f>
        <v>0</v>
      </c>
    </row>
    <row r="65" spans="1:15" x14ac:dyDescent="0.35">
      <c r="A65" s="24">
        <v>50</v>
      </c>
      <c r="B65" s="514" t="str">
        <f>'Schedule 2G Adjustments'!B64:D64</f>
        <v/>
      </c>
      <c r="C65" s="514"/>
      <c r="D65" s="514"/>
      <c r="F65" s="117">
        <f>'Schedule 2G Adjustments'!H64</f>
        <v>0</v>
      </c>
      <c r="G65" s="68">
        <f>'Schedule 2G Adjustments'!J64</f>
        <v>0</v>
      </c>
      <c r="H65" s="68">
        <f t="shared" si="0"/>
        <v>0</v>
      </c>
      <c r="J65" s="117">
        <f>'Schedule 2G Adjustments'!P64</f>
        <v>0</v>
      </c>
      <c r="K65" s="68">
        <f>'Schedule 2G Adjustments'!R64</f>
        <v>0</v>
      </c>
      <c r="L65" s="68">
        <f t="shared" si="1"/>
        <v>0</v>
      </c>
      <c r="N65" s="119">
        <f>'Schedule 2G Adjustments'!X64</f>
        <v>0</v>
      </c>
      <c r="O65" s="119">
        <f>'Schedule 2G Adjustments'!AA64</f>
        <v>0</v>
      </c>
    </row>
    <row r="66" spans="1:15" x14ac:dyDescent="0.35">
      <c r="A66" s="24">
        <v>51</v>
      </c>
      <c r="B66" s="514" t="str">
        <f>'Schedule 2G Adjustments'!B65:D65</f>
        <v/>
      </c>
      <c r="C66" s="514"/>
      <c r="D66" s="514"/>
      <c r="F66" s="117">
        <f>'Schedule 2G Adjustments'!H65</f>
        <v>0</v>
      </c>
      <c r="G66" s="68">
        <f>'Schedule 2G Adjustments'!J65</f>
        <v>0</v>
      </c>
      <c r="H66" s="68">
        <f t="shared" si="0"/>
        <v>0</v>
      </c>
      <c r="J66" s="117">
        <f>'Schedule 2G Adjustments'!P65</f>
        <v>0</v>
      </c>
      <c r="K66" s="68">
        <f>'Schedule 2G Adjustments'!R65</f>
        <v>0</v>
      </c>
      <c r="L66" s="68">
        <f t="shared" si="1"/>
        <v>0</v>
      </c>
      <c r="N66" s="119">
        <f>'Schedule 2G Adjustments'!X65</f>
        <v>0</v>
      </c>
      <c r="O66" s="119">
        <f>'Schedule 2G Adjustments'!AA65</f>
        <v>0</v>
      </c>
    </row>
    <row r="67" spans="1:15" x14ac:dyDescent="0.35">
      <c r="A67" s="24">
        <v>52</v>
      </c>
      <c r="B67" s="514" t="str">
        <f>'Schedule 2G Adjustments'!B66:D66</f>
        <v/>
      </c>
      <c r="C67" s="514"/>
      <c r="D67" s="514"/>
      <c r="F67" s="117">
        <f>'Schedule 2G Adjustments'!H66</f>
        <v>0</v>
      </c>
      <c r="G67" s="68">
        <f>'Schedule 2G Adjustments'!J66</f>
        <v>0</v>
      </c>
      <c r="H67" s="68">
        <f t="shared" si="0"/>
        <v>0</v>
      </c>
      <c r="J67" s="117">
        <f>'Schedule 2G Adjustments'!P66</f>
        <v>0</v>
      </c>
      <c r="K67" s="68">
        <f>'Schedule 2G Adjustments'!R66</f>
        <v>0</v>
      </c>
      <c r="L67" s="68">
        <f t="shared" si="1"/>
        <v>0</v>
      </c>
      <c r="N67" s="119">
        <f>'Schedule 2G Adjustments'!X66</f>
        <v>0</v>
      </c>
      <c r="O67" s="119">
        <f>'Schedule 2G Adjustments'!AA66</f>
        <v>0</v>
      </c>
    </row>
    <row r="68" spans="1:15" x14ac:dyDescent="0.35">
      <c r="A68" s="24">
        <v>53</v>
      </c>
      <c r="B68" s="514" t="str">
        <f>'Schedule 2G Adjustments'!B67:D67</f>
        <v/>
      </c>
      <c r="C68" s="514"/>
      <c r="D68" s="514"/>
      <c r="F68" s="117">
        <f>'Schedule 2G Adjustments'!H67</f>
        <v>0</v>
      </c>
      <c r="G68" s="68">
        <f>'Schedule 2G Adjustments'!J67</f>
        <v>0</v>
      </c>
      <c r="H68" s="68">
        <f t="shared" si="0"/>
        <v>0</v>
      </c>
      <c r="J68" s="117">
        <f>'Schedule 2G Adjustments'!P67</f>
        <v>0</v>
      </c>
      <c r="K68" s="68">
        <f>'Schedule 2G Adjustments'!R67</f>
        <v>0</v>
      </c>
      <c r="L68" s="68">
        <f t="shared" si="1"/>
        <v>0</v>
      </c>
      <c r="N68" s="119">
        <f>'Schedule 2G Adjustments'!X67</f>
        <v>0</v>
      </c>
      <c r="O68" s="119">
        <f>'Schedule 2G Adjustments'!AA67</f>
        <v>0</v>
      </c>
    </row>
    <row r="69" spans="1:15" x14ac:dyDescent="0.35">
      <c r="A69" s="24">
        <v>54</v>
      </c>
      <c r="B69" s="514" t="str">
        <f>'Schedule 2G Adjustments'!B68:D68</f>
        <v/>
      </c>
      <c r="C69" s="514"/>
      <c r="D69" s="514"/>
      <c r="F69" s="117">
        <f>'Schedule 2G Adjustments'!H68</f>
        <v>0</v>
      </c>
      <c r="G69" s="68">
        <f>'Schedule 2G Adjustments'!J68</f>
        <v>0</v>
      </c>
      <c r="H69" s="68">
        <f t="shared" si="0"/>
        <v>0</v>
      </c>
      <c r="J69" s="117">
        <f>'Schedule 2G Adjustments'!P68</f>
        <v>0</v>
      </c>
      <c r="K69" s="68">
        <f>'Schedule 2G Adjustments'!R68</f>
        <v>0</v>
      </c>
      <c r="L69" s="68">
        <f t="shared" si="1"/>
        <v>0</v>
      </c>
      <c r="N69" s="119">
        <f>'Schedule 2G Adjustments'!X68</f>
        <v>0</v>
      </c>
      <c r="O69" s="119">
        <f>'Schedule 2G Adjustments'!AA68</f>
        <v>0</v>
      </c>
    </row>
    <row r="70" spans="1:15" x14ac:dyDescent="0.35">
      <c r="A70" s="24">
        <v>55</v>
      </c>
      <c r="B70" s="514" t="str">
        <f>'Schedule 2G Adjustments'!B69:D69</f>
        <v/>
      </c>
      <c r="C70" s="514"/>
      <c r="D70" s="514"/>
      <c r="F70" s="117">
        <f>'Schedule 2G Adjustments'!H69</f>
        <v>0</v>
      </c>
      <c r="G70" s="68">
        <f>'Schedule 2G Adjustments'!J69</f>
        <v>0</v>
      </c>
      <c r="H70" s="68">
        <f t="shared" si="0"/>
        <v>0</v>
      </c>
      <c r="J70" s="117">
        <f>'Schedule 2G Adjustments'!P69</f>
        <v>0</v>
      </c>
      <c r="K70" s="68">
        <f>'Schedule 2G Adjustments'!R69</f>
        <v>0</v>
      </c>
      <c r="L70" s="68">
        <f t="shared" si="1"/>
        <v>0</v>
      </c>
      <c r="N70" s="119">
        <f>'Schedule 2G Adjustments'!X69</f>
        <v>0</v>
      </c>
      <c r="O70" s="119">
        <f>'Schedule 2G Adjustments'!AA69</f>
        <v>0</v>
      </c>
    </row>
    <row r="71" spans="1:15" x14ac:dyDescent="0.35">
      <c r="A71" s="24">
        <v>56</v>
      </c>
      <c r="B71" s="514" t="str">
        <f>'Schedule 2G Adjustments'!B70:D70</f>
        <v/>
      </c>
      <c r="C71" s="514"/>
      <c r="D71" s="514"/>
      <c r="F71" s="117">
        <f>'Schedule 2G Adjustments'!H70</f>
        <v>0</v>
      </c>
      <c r="G71" s="68">
        <f>'Schedule 2G Adjustments'!J70</f>
        <v>0</v>
      </c>
      <c r="H71" s="68">
        <f t="shared" si="0"/>
        <v>0</v>
      </c>
      <c r="J71" s="117">
        <f>'Schedule 2G Adjustments'!P70</f>
        <v>0</v>
      </c>
      <c r="K71" s="68">
        <f>'Schedule 2G Adjustments'!R70</f>
        <v>0</v>
      </c>
      <c r="L71" s="68">
        <f t="shared" si="1"/>
        <v>0</v>
      </c>
      <c r="N71" s="119">
        <f>'Schedule 2G Adjustments'!X70</f>
        <v>0</v>
      </c>
      <c r="O71" s="119">
        <f>'Schedule 2G Adjustments'!AA70</f>
        <v>0</v>
      </c>
    </row>
    <row r="72" spans="1:15" x14ac:dyDescent="0.35">
      <c r="A72" s="24">
        <v>57</v>
      </c>
      <c r="B72" s="514" t="str">
        <f>'Schedule 2G Adjustments'!B71:D71</f>
        <v/>
      </c>
      <c r="C72" s="514"/>
      <c r="D72" s="514"/>
      <c r="F72" s="117">
        <f>'Schedule 2G Adjustments'!H71</f>
        <v>0</v>
      </c>
      <c r="G72" s="68">
        <f>'Schedule 2G Adjustments'!J71</f>
        <v>0</v>
      </c>
      <c r="H72" s="68">
        <f t="shared" si="0"/>
        <v>0</v>
      </c>
      <c r="J72" s="117">
        <f>'Schedule 2G Adjustments'!P71</f>
        <v>0</v>
      </c>
      <c r="K72" s="68">
        <f>'Schedule 2G Adjustments'!R71</f>
        <v>0</v>
      </c>
      <c r="L72" s="68">
        <f t="shared" si="1"/>
        <v>0</v>
      </c>
      <c r="N72" s="119">
        <f>'Schedule 2G Adjustments'!X71</f>
        <v>0</v>
      </c>
      <c r="O72" s="119">
        <f>'Schedule 2G Adjustments'!AA71</f>
        <v>0</v>
      </c>
    </row>
    <row r="73" spans="1:15" x14ac:dyDescent="0.35">
      <c r="A73" s="24">
        <v>58</v>
      </c>
      <c r="B73" s="514" t="str">
        <f>'Schedule 2G Adjustments'!B72:D72</f>
        <v/>
      </c>
      <c r="C73" s="514"/>
      <c r="D73" s="514"/>
      <c r="F73" s="117">
        <f>'Schedule 2G Adjustments'!H72</f>
        <v>0</v>
      </c>
      <c r="G73" s="68">
        <f>'Schedule 2G Adjustments'!J72</f>
        <v>0</v>
      </c>
      <c r="H73" s="68">
        <f t="shared" si="0"/>
        <v>0</v>
      </c>
      <c r="J73" s="117">
        <f>'Schedule 2G Adjustments'!P72</f>
        <v>0</v>
      </c>
      <c r="K73" s="68">
        <f>'Schedule 2G Adjustments'!R72</f>
        <v>0</v>
      </c>
      <c r="L73" s="68">
        <f t="shared" si="1"/>
        <v>0</v>
      </c>
      <c r="N73" s="119">
        <f>'Schedule 2G Adjustments'!X72</f>
        <v>0</v>
      </c>
      <c r="O73" s="119">
        <f>'Schedule 2G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8">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851</v>
      </c>
      <c r="B3" s="5"/>
      <c r="C3" s="5"/>
      <c r="D3" s="5"/>
      <c r="E3" s="5"/>
      <c r="F3" s="5"/>
      <c r="G3" s="5"/>
      <c r="H3" s="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819</v>
      </c>
      <c r="C9" s="1"/>
      <c r="F9" s="472" t="s">
        <v>1041</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2H Adjustments'!B15:D15</f>
        <v/>
      </c>
      <c r="C16" s="514"/>
      <c r="D16" s="514"/>
      <c r="F16" s="117">
        <f>'Schedule 2H Adjustments'!H15</f>
        <v>0</v>
      </c>
      <c r="G16" s="68">
        <f>'Schedule 2H Adjustments'!J15</f>
        <v>0</v>
      </c>
      <c r="H16" s="68">
        <f>SUM(F16:G16)</f>
        <v>0</v>
      </c>
      <c r="J16" s="117">
        <f>'Schedule 2H Adjustments'!P15</f>
        <v>0</v>
      </c>
      <c r="K16" s="68">
        <f>'Schedule 2H Adjustments'!R15</f>
        <v>0</v>
      </c>
      <c r="L16" s="68">
        <f>SUM(J16:K16)</f>
        <v>0</v>
      </c>
      <c r="N16" s="119">
        <f>'Schedule 2H Adjustments'!X15</f>
        <v>0</v>
      </c>
      <c r="O16" s="119">
        <f>'Schedule 2H Adjustments'!AA15</f>
        <v>0</v>
      </c>
    </row>
    <row r="17" spans="1:15" x14ac:dyDescent="0.35">
      <c r="A17" s="24">
        <v>2</v>
      </c>
      <c r="B17" s="514" t="str">
        <f>'Schedule 2H Adjustments'!B16:D16</f>
        <v/>
      </c>
      <c r="C17" s="514"/>
      <c r="D17" s="514"/>
      <c r="F17" s="117">
        <f>'Schedule 2H Adjustments'!H16</f>
        <v>0</v>
      </c>
      <c r="G17" s="68">
        <f>'Schedule 2H Adjustments'!J16</f>
        <v>0</v>
      </c>
      <c r="H17" s="68">
        <f t="shared" ref="H17:H73" si="0">SUM(F17:G17)</f>
        <v>0</v>
      </c>
      <c r="J17" s="117">
        <f>'Schedule 2H Adjustments'!P16</f>
        <v>0</v>
      </c>
      <c r="K17" s="68">
        <f>'Schedule 2H Adjustments'!R16</f>
        <v>0</v>
      </c>
      <c r="L17" s="68">
        <f t="shared" ref="L17:L73" si="1">SUM(J17:K17)</f>
        <v>0</v>
      </c>
      <c r="N17" s="119">
        <f>'Schedule 2H Adjustments'!X16</f>
        <v>0</v>
      </c>
      <c r="O17" s="119">
        <f>'Schedule 2H Adjustments'!AA16</f>
        <v>0</v>
      </c>
    </row>
    <row r="18" spans="1:15" x14ac:dyDescent="0.35">
      <c r="A18" s="24">
        <v>3</v>
      </c>
      <c r="B18" s="514" t="str">
        <f>'Schedule 2H Adjustments'!B17:D17</f>
        <v/>
      </c>
      <c r="C18" s="514"/>
      <c r="D18" s="514"/>
      <c r="F18" s="117">
        <f>'Schedule 2H Adjustments'!H17</f>
        <v>0</v>
      </c>
      <c r="G18" s="68">
        <f>'Schedule 2H Adjustments'!J17</f>
        <v>0</v>
      </c>
      <c r="H18" s="68">
        <f t="shared" si="0"/>
        <v>0</v>
      </c>
      <c r="J18" s="117">
        <f>'Schedule 2H Adjustments'!P17</f>
        <v>0</v>
      </c>
      <c r="K18" s="68">
        <f>'Schedule 2H Adjustments'!R17</f>
        <v>0</v>
      </c>
      <c r="L18" s="68">
        <f t="shared" si="1"/>
        <v>0</v>
      </c>
      <c r="N18" s="119">
        <f>'Schedule 2H Adjustments'!X17</f>
        <v>0</v>
      </c>
      <c r="O18" s="119">
        <f>'Schedule 2H Adjustments'!AA17</f>
        <v>0</v>
      </c>
    </row>
    <row r="19" spans="1:15" x14ac:dyDescent="0.35">
      <c r="A19" s="24">
        <v>4</v>
      </c>
      <c r="B19" s="514" t="str">
        <f>'Schedule 2H Adjustments'!B18:D18</f>
        <v/>
      </c>
      <c r="C19" s="514"/>
      <c r="D19" s="514"/>
      <c r="F19" s="117">
        <f>'Schedule 2H Adjustments'!H18</f>
        <v>0</v>
      </c>
      <c r="G19" s="68">
        <f>'Schedule 2H Adjustments'!J18</f>
        <v>0</v>
      </c>
      <c r="H19" s="68">
        <f t="shared" si="0"/>
        <v>0</v>
      </c>
      <c r="J19" s="117">
        <f>'Schedule 2H Adjustments'!P18</f>
        <v>0</v>
      </c>
      <c r="K19" s="68">
        <f>'Schedule 2H Adjustments'!R18</f>
        <v>0</v>
      </c>
      <c r="L19" s="68">
        <f t="shared" si="1"/>
        <v>0</v>
      </c>
      <c r="N19" s="119">
        <f>'Schedule 2H Adjustments'!X18</f>
        <v>0</v>
      </c>
      <c r="O19" s="119">
        <f>'Schedule 2H Adjustments'!AA18</f>
        <v>0</v>
      </c>
    </row>
    <row r="20" spans="1:15" x14ac:dyDescent="0.35">
      <c r="A20" s="24">
        <v>5</v>
      </c>
      <c r="B20" s="514" t="str">
        <f>'Schedule 2H Adjustments'!B19:D19</f>
        <v/>
      </c>
      <c r="C20" s="514"/>
      <c r="D20" s="514"/>
      <c r="F20" s="117">
        <f>'Schedule 2H Adjustments'!H19</f>
        <v>0</v>
      </c>
      <c r="G20" s="68">
        <f>'Schedule 2H Adjustments'!J19</f>
        <v>0</v>
      </c>
      <c r="H20" s="68">
        <f t="shared" si="0"/>
        <v>0</v>
      </c>
      <c r="J20" s="117">
        <f>'Schedule 2H Adjustments'!P19</f>
        <v>0</v>
      </c>
      <c r="K20" s="68">
        <f>'Schedule 2H Adjustments'!R19</f>
        <v>0</v>
      </c>
      <c r="L20" s="68">
        <f t="shared" si="1"/>
        <v>0</v>
      </c>
      <c r="N20" s="119">
        <f>'Schedule 2H Adjustments'!X19</f>
        <v>0</v>
      </c>
      <c r="O20" s="119">
        <f>'Schedule 2H Adjustments'!AA19</f>
        <v>0</v>
      </c>
    </row>
    <row r="21" spans="1:15" x14ac:dyDescent="0.35">
      <c r="A21" s="24">
        <v>6</v>
      </c>
      <c r="B21" s="514" t="str">
        <f>'Schedule 2H Adjustments'!B20:D20</f>
        <v/>
      </c>
      <c r="C21" s="514"/>
      <c r="D21" s="514"/>
      <c r="F21" s="117">
        <f>'Schedule 2H Adjustments'!H20</f>
        <v>0</v>
      </c>
      <c r="G21" s="68">
        <f>'Schedule 2H Adjustments'!J20</f>
        <v>0</v>
      </c>
      <c r="H21" s="68">
        <f t="shared" si="0"/>
        <v>0</v>
      </c>
      <c r="J21" s="117">
        <f>'Schedule 2H Adjustments'!P20</f>
        <v>0</v>
      </c>
      <c r="K21" s="68">
        <f>'Schedule 2H Adjustments'!R20</f>
        <v>0</v>
      </c>
      <c r="L21" s="68">
        <f t="shared" si="1"/>
        <v>0</v>
      </c>
      <c r="N21" s="119">
        <f>'Schedule 2H Adjustments'!X20</f>
        <v>0</v>
      </c>
      <c r="O21" s="119">
        <f>'Schedule 2H Adjustments'!AA20</f>
        <v>0</v>
      </c>
    </row>
    <row r="22" spans="1:15" x14ac:dyDescent="0.35">
      <c r="A22" s="24">
        <v>7</v>
      </c>
      <c r="B22" s="514" t="str">
        <f>'Schedule 2H Adjustments'!B21:D21</f>
        <v/>
      </c>
      <c r="C22" s="514"/>
      <c r="D22" s="514"/>
      <c r="F22" s="117">
        <f>'Schedule 2H Adjustments'!H21</f>
        <v>0</v>
      </c>
      <c r="G22" s="68">
        <f>'Schedule 2H Adjustments'!J21</f>
        <v>0</v>
      </c>
      <c r="H22" s="68">
        <f t="shared" si="0"/>
        <v>0</v>
      </c>
      <c r="J22" s="117">
        <f>'Schedule 2H Adjustments'!P21</f>
        <v>0</v>
      </c>
      <c r="K22" s="68">
        <f>'Schedule 2H Adjustments'!R21</f>
        <v>0</v>
      </c>
      <c r="L22" s="68">
        <f t="shared" si="1"/>
        <v>0</v>
      </c>
      <c r="N22" s="119">
        <f>'Schedule 2H Adjustments'!X21</f>
        <v>0</v>
      </c>
      <c r="O22" s="119">
        <f>'Schedule 2H Adjustments'!AA21</f>
        <v>0</v>
      </c>
    </row>
    <row r="23" spans="1:15" x14ac:dyDescent="0.35">
      <c r="A23" s="24">
        <v>8</v>
      </c>
      <c r="B23" s="514" t="str">
        <f>'Schedule 2H Adjustments'!B22:D22</f>
        <v/>
      </c>
      <c r="C23" s="514"/>
      <c r="D23" s="514"/>
      <c r="F23" s="117">
        <f>'Schedule 2H Adjustments'!H22</f>
        <v>0</v>
      </c>
      <c r="G23" s="68">
        <f>'Schedule 2H Adjustments'!J22</f>
        <v>0</v>
      </c>
      <c r="H23" s="68">
        <f t="shared" si="0"/>
        <v>0</v>
      </c>
      <c r="J23" s="117">
        <f>'Schedule 2H Adjustments'!P22</f>
        <v>0</v>
      </c>
      <c r="K23" s="68">
        <f>'Schedule 2H Adjustments'!R22</f>
        <v>0</v>
      </c>
      <c r="L23" s="68">
        <f t="shared" si="1"/>
        <v>0</v>
      </c>
      <c r="N23" s="119">
        <f>'Schedule 2H Adjustments'!X22</f>
        <v>0</v>
      </c>
      <c r="O23" s="119">
        <f>'Schedule 2H Adjustments'!AA22</f>
        <v>0</v>
      </c>
    </row>
    <row r="24" spans="1:15" x14ac:dyDescent="0.35">
      <c r="A24" s="24">
        <v>9</v>
      </c>
      <c r="B24" s="514" t="str">
        <f>'Schedule 2H Adjustments'!B23:D23</f>
        <v/>
      </c>
      <c r="C24" s="514"/>
      <c r="D24" s="514"/>
      <c r="F24" s="117">
        <f>'Schedule 2H Adjustments'!H23</f>
        <v>0</v>
      </c>
      <c r="G24" s="68">
        <f>'Schedule 2H Adjustments'!J23</f>
        <v>0</v>
      </c>
      <c r="H24" s="68">
        <f t="shared" si="0"/>
        <v>0</v>
      </c>
      <c r="J24" s="117">
        <f>'Schedule 2H Adjustments'!P23</f>
        <v>0</v>
      </c>
      <c r="K24" s="68">
        <f>'Schedule 2H Adjustments'!R23</f>
        <v>0</v>
      </c>
      <c r="L24" s="68">
        <f t="shared" si="1"/>
        <v>0</v>
      </c>
      <c r="N24" s="119">
        <f>'Schedule 2H Adjustments'!X23</f>
        <v>0</v>
      </c>
      <c r="O24" s="119">
        <f>'Schedule 2H Adjustments'!AA23</f>
        <v>0</v>
      </c>
    </row>
    <row r="25" spans="1:15" x14ac:dyDescent="0.35">
      <c r="A25" s="24">
        <v>10</v>
      </c>
      <c r="B25" s="514" t="str">
        <f>'Schedule 2H Adjustments'!B24:D24</f>
        <v/>
      </c>
      <c r="C25" s="514"/>
      <c r="D25" s="514"/>
      <c r="F25" s="117">
        <f>'Schedule 2H Adjustments'!H24</f>
        <v>0</v>
      </c>
      <c r="G25" s="68">
        <f>'Schedule 2H Adjustments'!J24</f>
        <v>0</v>
      </c>
      <c r="H25" s="68">
        <f t="shared" si="0"/>
        <v>0</v>
      </c>
      <c r="J25" s="117">
        <f>'Schedule 2H Adjustments'!P24</f>
        <v>0</v>
      </c>
      <c r="K25" s="68">
        <f>'Schedule 2H Adjustments'!R24</f>
        <v>0</v>
      </c>
      <c r="L25" s="68">
        <f t="shared" si="1"/>
        <v>0</v>
      </c>
      <c r="N25" s="119">
        <f>'Schedule 2H Adjustments'!X24</f>
        <v>0</v>
      </c>
      <c r="O25" s="119">
        <f>'Schedule 2H Adjustments'!AA24</f>
        <v>0</v>
      </c>
    </row>
    <row r="26" spans="1:15" x14ac:dyDescent="0.35">
      <c r="A26" s="24">
        <v>11</v>
      </c>
      <c r="B26" s="514" t="str">
        <f>'Schedule 2H Adjustments'!B25:D25</f>
        <v/>
      </c>
      <c r="C26" s="514"/>
      <c r="D26" s="514"/>
      <c r="F26" s="117">
        <f>'Schedule 2H Adjustments'!H25</f>
        <v>0</v>
      </c>
      <c r="G26" s="68">
        <f>'Schedule 2H Adjustments'!J25</f>
        <v>0</v>
      </c>
      <c r="H26" s="68">
        <f t="shared" si="0"/>
        <v>0</v>
      </c>
      <c r="J26" s="117">
        <f>'Schedule 2H Adjustments'!P25</f>
        <v>0</v>
      </c>
      <c r="K26" s="68">
        <f>'Schedule 2H Adjustments'!R25</f>
        <v>0</v>
      </c>
      <c r="L26" s="68">
        <f t="shared" si="1"/>
        <v>0</v>
      </c>
      <c r="N26" s="119">
        <f>'Schedule 2H Adjustments'!X25</f>
        <v>0</v>
      </c>
      <c r="O26" s="119">
        <f>'Schedule 2H Adjustments'!AA25</f>
        <v>0</v>
      </c>
    </row>
    <row r="27" spans="1:15" x14ac:dyDescent="0.35">
      <c r="A27" s="24">
        <v>12</v>
      </c>
      <c r="B27" s="514" t="str">
        <f>'Schedule 2H Adjustments'!B26:D26</f>
        <v/>
      </c>
      <c r="C27" s="514"/>
      <c r="D27" s="514"/>
      <c r="F27" s="117">
        <f>'Schedule 2H Adjustments'!H26</f>
        <v>0</v>
      </c>
      <c r="G27" s="68">
        <f>'Schedule 2H Adjustments'!J26</f>
        <v>0</v>
      </c>
      <c r="H27" s="68">
        <f t="shared" si="0"/>
        <v>0</v>
      </c>
      <c r="J27" s="117">
        <f>'Schedule 2H Adjustments'!P26</f>
        <v>0</v>
      </c>
      <c r="K27" s="68">
        <f>'Schedule 2H Adjustments'!R26</f>
        <v>0</v>
      </c>
      <c r="L27" s="68">
        <f t="shared" si="1"/>
        <v>0</v>
      </c>
      <c r="N27" s="119">
        <f>'Schedule 2H Adjustments'!X26</f>
        <v>0</v>
      </c>
      <c r="O27" s="119">
        <f>'Schedule 2H Adjustments'!AA26</f>
        <v>0</v>
      </c>
    </row>
    <row r="28" spans="1:15" x14ac:dyDescent="0.35">
      <c r="A28" s="24">
        <v>13</v>
      </c>
      <c r="B28" s="514" t="str">
        <f>'Schedule 2H Adjustments'!B27:D27</f>
        <v/>
      </c>
      <c r="C28" s="514"/>
      <c r="D28" s="514"/>
      <c r="F28" s="117">
        <f>'Schedule 2H Adjustments'!H27</f>
        <v>0</v>
      </c>
      <c r="G28" s="68">
        <f>'Schedule 2H Adjustments'!J27</f>
        <v>0</v>
      </c>
      <c r="H28" s="68">
        <f t="shared" si="0"/>
        <v>0</v>
      </c>
      <c r="J28" s="117">
        <f>'Schedule 2H Adjustments'!P27</f>
        <v>0</v>
      </c>
      <c r="K28" s="68">
        <f>'Schedule 2H Adjustments'!R27</f>
        <v>0</v>
      </c>
      <c r="L28" s="68">
        <f t="shared" si="1"/>
        <v>0</v>
      </c>
      <c r="N28" s="119">
        <f>'Schedule 2H Adjustments'!X27</f>
        <v>0</v>
      </c>
      <c r="O28" s="119">
        <f>'Schedule 2H Adjustments'!AA27</f>
        <v>0</v>
      </c>
    </row>
    <row r="29" spans="1:15" x14ac:dyDescent="0.35">
      <c r="A29" s="24">
        <v>14</v>
      </c>
      <c r="B29" s="514" t="str">
        <f>'Schedule 2H Adjustments'!B28:D28</f>
        <v/>
      </c>
      <c r="C29" s="514"/>
      <c r="D29" s="514"/>
      <c r="F29" s="117">
        <f>'Schedule 2H Adjustments'!H28</f>
        <v>0</v>
      </c>
      <c r="G29" s="68">
        <f>'Schedule 2H Adjustments'!J28</f>
        <v>0</v>
      </c>
      <c r="H29" s="68">
        <f t="shared" si="0"/>
        <v>0</v>
      </c>
      <c r="J29" s="117">
        <f>'Schedule 2H Adjustments'!P28</f>
        <v>0</v>
      </c>
      <c r="K29" s="68">
        <f>'Schedule 2H Adjustments'!R28</f>
        <v>0</v>
      </c>
      <c r="L29" s="68">
        <f t="shared" si="1"/>
        <v>0</v>
      </c>
      <c r="N29" s="119">
        <f>'Schedule 2H Adjustments'!X28</f>
        <v>0</v>
      </c>
      <c r="O29" s="119">
        <f>'Schedule 2H Adjustments'!AA28</f>
        <v>0</v>
      </c>
    </row>
    <row r="30" spans="1:15" x14ac:dyDescent="0.35">
      <c r="A30" s="24">
        <v>15</v>
      </c>
      <c r="B30" s="514" t="str">
        <f>'Schedule 2H Adjustments'!B29:D29</f>
        <v/>
      </c>
      <c r="C30" s="514"/>
      <c r="D30" s="514"/>
      <c r="F30" s="117">
        <f>'Schedule 2H Adjustments'!H29</f>
        <v>0</v>
      </c>
      <c r="G30" s="68">
        <f>'Schedule 2H Adjustments'!J29</f>
        <v>0</v>
      </c>
      <c r="H30" s="68">
        <f t="shared" si="0"/>
        <v>0</v>
      </c>
      <c r="J30" s="117">
        <f>'Schedule 2H Adjustments'!P29</f>
        <v>0</v>
      </c>
      <c r="K30" s="68">
        <f>'Schedule 2H Adjustments'!R29</f>
        <v>0</v>
      </c>
      <c r="L30" s="68">
        <f t="shared" si="1"/>
        <v>0</v>
      </c>
      <c r="N30" s="119">
        <f>'Schedule 2H Adjustments'!X29</f>
        <v>0</v>
      </c>
      <c r="O30" s="119">
        <f>'Schedule 2H Adjustments'!AA29</f>
        <v>0</v>
      </c>
    </row>
    <row r="31" spans="1:15" x14ac:dyDescent="0.35">
      <c r="A31" s="24">
        <v>16</v>
      </c>
      <c r="B31" s="514" t="str">
        <f>'Schedule 2H Adjustments'!B30:D30</f>
        <v/>
      </c>
      <c r="C31" s="514"/>
      <c r="D31" s="514"/>
      <c r="F31" s="117">
        <f>'Schedule 2H Adjustments'!H30</f>
        <v>0</v>
      </c>
      <c r="G31" s="68">
        <f>'Schedule 2H Adjustments'!J30</f>
        <v>0</v>
      </c>
      <c r="H31" s="68">
        <f t="shared" si="0"/>
        <v>0</v>
      </c>
      <c r="J31" s="117">
        <f>'Schedule 2H Adjustments'!P30</f>
        <v>0</v>
      </c>
      <c r="K31" s="68">
        <f>'Schedule 2H Adjustments'!R30</f>
        <v>0</v>
      </c>
      <c r="L31" s="68">
        <f t="shared" si="1"/>
        <v>0</v>
      </c>
      <c r="N31" s="119">
        <f>'Schedule 2H Adjustments'!X30</f>
        <v>0</v>
      </c>
      <c r="O31" s="119">
        <f>'Schedule 2H Adjustments'!AA30</f>
        <v>0</v>
      </c>
    </row>
    <row r="32" spans="1:15" x14ac:dyDescent="0.35">
      <c r="A32" s="24">
        <v>17</v>
      </c>
      <c r="B32" s="514" t="str">
        <f>'Schedule 2H Adjustments'!B31:D31</f>
        <v/>
      </c>
      <c r="C32" s="514"/>
      <c r="D32" s="514"/>
      <c r="F32" s="117">
        <f>'Schedule 2H Adjustments'!H31</f>
        <v>0</v>
      </c>
      <c r="G32" s="68">
        <f>'Schedule 2H Adjustments'!J31</f>
        <v>0</v>
      </c>
      <c r="H32" s="68">
        <f t="shared" si="0"/>
        <v>0</v>
      </c>
      <c r="J32" s="117">
        <f>'Schedule 2H Adjustments'!P31</f>
        <v>0</v>
      </c>
      <c r="K32" s="68">
        <f>'Schedule 2H Adjustments'!R31</f>
        <v>0</v>
      </c>
      <c r="L32" s="68">
        <f t="shared" si="1"/>
        <v>0</v>
      </c>
      <c r="N32" s="119">
        <f>'Schedule 2H Adjustments'!X31</f>
        <v>0</v>
      </c>
      <c r="O32" s="119">
        <f>'Schedule 2H Adjustments'!AA31</f>
        <v>0</v>
      </c>
    </row>
    <row r="33" spans="1:15" x14ac:dyDescent="0.35">
      <c r="A33" s="24">
        <v>18</v>
      </c>
      <c r="B33" s="514" t="str">
        <f>'Schedule 2H Adjustments'!B32:D32</f>
        <v/>
      </c>
      <c r="C33" s="514"/>
      <c r="D33" s="514"/>
      <c r="F33" s="117">
        <f>'Schedule 2H Adjustments'!H32</f>
        <v>0</v>
      </c>
      <c r="G33" s="68">
        <f>'Schedule 2H Adjustments'!J32</f>
        <v>0</v>
      </c>
      <c r="H33" s="68">
        <f t="shared" si="0"/>
        <v>0</v>
      </c>
      <c r="J33" s="117">
        <f>'Schedule 2H Adjustments'!P32</f>
        <v>0</v>
      </c>
      <c r="K33" s="68">
        <f>'Schedule 2H Adjustments'!R32</f>
        <v>0</v>
      </c>
      <c r="L33" s="68">
        <f t="shared" si="1"/>
        <v>0</v>
      </c>
      <c r="N33" s="119">
        <f>'Schedule 2H Adjustments'!X32</f>
        <v>0</v>
      </c>
      <c r="O33" s="119">
        <f>'Schedule 2H Adjustments'!AA32</f>
        <v>0</v>
      </c>
    </row>
    <row r="34" spans="1:15" x14ac:dyDescent="0.35">
      <c r="A34" s="24">
        <v>19</v>
      </c>
      <c r="B34" s="514" t="str">
        <f>'Schedule 2H Adjustments'!B33:D33</f>
        <v/>
      </c>
      <c r="C34" s="514"/>
      <c r="D34" s="514"/>
      <c r="F34" s="117">
        <f>'Schedule 2H Adjustments'!H33</f>
        <v>0</v>
      </c>
      <c r="G34" s="68">
        <f>'Schedule 2H Adjustments'!J33</f>
        <v>0</v>
      </c>
      <c r="H34" s="68">
        <f t="shared" si="0"/>
        <v>0</v>
      </c>
      <c r="J34" s="117">
        <f>'Schedule 2H Adjustments'!P33</f>
        <v>0</v>
      </c>
      <c r="K34" s="68">
        <f>'Schedule 2H Adjustments'!R33</f>
        <v>0</v>
      </c>
      <c r="L34" s="68">
        <f t="shared" si="1"/>
        <v>0</v>
      </c>
      <c r="N34" s="119">
        <f>'Schedule 2H Adjustments'!X33</f>
        <v>0</v>
      </c>
      <c r="O34" s="119">
        <f>'Schedule 2H Adjustments'!AA33</f>
        <v>0</v>
      </c>
    </row>
    <row r="35" spans="1:15" x14ac:dyDescent="0.35">
      <c r="A35" s="24">
        <v>20</v>
      </c>
      <c r="B35" s="514" t="str">
        <f>'Schedule 2H Adjustments'!B34:D34</f>
        <v/>
      </c>
      <c r="C35" s="514"/>
      <c r="D35" s="514"/>
      <c r="F35" s="117">
        <f>'Schedule 2H Adjustments'!H34</f>
        <v>0</v>
      </c>
      <c r="G35" s="68">
        <f>'Schedule 2H Adjustments'!J34</f>
        <v>0</v>
      </c>
      <c r="H35" s="68">
        <f t="shared" si="0"/>
        <v>0</v>
      </c>
      <c r="J35" s="117">
        <f>'Schedule 2H Adjustments'!P34</f>
        <v>0</v>
      </c>
      <c r="K35" s="68">
        <f>'Schedule 2H Adjustments'!R34</f>
        <v>0</v>
      </c>
      <c r="L35" s="68">
        <f t="shared" si="1"/>
        <v>0</v>
      </c>
      <c r="N35" s="119">
        <f>'Schedule 2H Adjustments'!X34</f>
        <v>0</v>
      </c>
      <c r="O35" s="119">
        <f>'Schedule 2H Adjustments'!AA34</f>
        <v>0</v>
      </c>
    </row>
    <row r="36" spans="1:15" x14ac:dyDescent="0.35">
      <c r="A36" s="24">
        <v>21</v>
      </c>
      <c r="B36" s="514" t="str">
        <f>'Schedule 2H Adjustments'!B35:D35</f>
        <v/>
      </c>
      <c r="C36" s="514"/>
      <c r="D36" s="514"/>
      <c r="F36" s="117">
        <f>'Schedule 2H Adjustments'!H35</f>
        <v>0</v>
      </c>
      <c r="G36" s="68">
        <f>'Schedule 2H Adjustments'!J35</f>
        <v>0</v>
      </c>
      <c r="H36" s="68">
        <f t="shared" si="0"/>
        <v>0</v>
      </c>
      <c r="J36" s="117">
        <f>'Schedule 2H Adjustments'!P35</f>
        <v>0</v>
      </c>
      <c r="K36" s="68">
        <f>'Schedule 2H Adjustments'!R35</f>
        <v>0</v>
      </c>
      <c r="L36" s="68">
        <f t="shared" si="1"/>
        <v>0</v>
      </c>
      <c r="N36" s="119">
        <f>'Schedule 2H Adjustments'!X35</f>
        <v>0</v>
      </c>
      <c r="O36" s="119">
        <f>'Schedule 2H Adjustments'!AA35</f>
        <v>0</v>
      </c>
    </row>
    <row r="37" spans="1:15" x14ac:dyDescent="0.35">
      <c r="A37" s="24">
        <v>22</v>
      </c>
      <c r="B37" s="514" t="str">
        <f>'Schedule 2H Adjustments'!B36:D36</f>
        <v/>
      </c>
      <c r="C37" s="514"/>
      <c r="D37" s="514"/>
      <c r="F37" s="117">
        <f>'Schedule 2H Adjustments'!H36</f>
        <v>0</v>
      </c>
      <c r="G37" s="68">
        <f>'Schedule 2H Adjustments'!J36</f>
        <v>0</v>
      </c>
      <c r="H37" s="68">
        <f t="shared" si="0"/>
        <v>0</v>
      </c>
      <c r="J37" s="117">
        <f>'Schedule 2H Adjustments'!P36</f>
        <v>0</v>
      </c>
      <c r="K37" s="68">
        <f>'Schedule 2H Adjustments'!R36</f>
        <v>0</v>
      </c>
      <c r="L37" s="68">
        <f t="shared" si="1"/>
        <v>0</v>
      </c>
      <c r="N37" s="119">
        <f>'Schedule 2H Adjustments'!X36</f>
        <v>0</v>
      </c>
      <c r="O37" s="119">
        <f>'Schedule 2H Adjustments'!AA36</f>
        <v>0</v>
      </c>
    </row>
    <row r="38" spans="1:15" x14ac:dyDescent="0.35">
      <c r="A38" s="24">
        <v>23</v>
      </c>
      <c r="B38" s="514" t="str">
        <f>'Schedule 2H Adjustments'!B37:D37</f>
        <v/>
      </c>
      <c r="C38" s="514"/>
      <c r="D38" s="514"/>
      <c r="F38" s="117">
        <f>'Schedule 2H Adjustments'!H37</f>
        <v>0</v>
      </c>
      <c r="G38" s="68">
        <f>'Schedule 2H Adjustments'!J37</f>
        <v>0</v>
      </c>
      <c r="H38" s="68">
        <f t="shared" si="0"/>
        <v>0</v>
      </c>
      <c r="J38" s="117">
        <f>'Schedule 2H Adjustments'!P37</f>
        <v>0</v>
      </c>
      <c r="K38" s="68">
        <f>'Schedule 2H Adjustments'!R37</f>
        <v>0</v>
      </c>
      <c r="L38" s="68">
        <f t="shared" si="1"/>
        <v>0</v>
      </c>
      <c r="N38" s="119">
        <f>'Schedule 2H Adjustments'!X37</f>
        <v>0</v>
      </c>
      <c r="O38" s="119">
        <f>'Schedule 2H Adjustments'!AA37</f>
        <v>0</v>
      </c>
    </row>
    <row r="39" spans="1:15" x14ac:dyDescent="0.35">
      <c r="A39" s="24">
        <v>24</v>
      </c>
      <c r="B39" s="514" t="str">
        <f>'Schedule 2H Adjustments'!B38:D38</f>
        <v/>
      </c>
      <c r="C39" s="514"/>
      <c r="D39" s="514"/>
      <c r="F39" s="117">
        <f>'Schedule 2H Adjustments'!H38</f>
        <v>0</v>
      </c>
      <c r="G39" s="68">
        <f>'Schedule 2H Adjustments'!J38</f>
        <v>0</v>
      </c>
      <c r="H39" s="68">
        <f t="shared" si="0"/>
        <v>0</v>
      </c>
      <c r="J39" s="117">
        <f>'Schedule 2H Adjustments'!P38</f>
        <v>0</v>
      </c>
      <c r="K39" s="68">
        <f>'Schedule 2H Adjustments'!R38</f>
        <v>0</v>
      </c>
      <c r="L39" s="68">
        <f t="shared" si="1"/>
        <v>0</v>
      </c>
      <c r="N39" s="119">
        <f>'Schedule 2H Adjustments'!X38</f>
        <v>0</v>
      </c>
      <c r="O39" s="119">
        <f>'Schedule 2H Adjustments'!AA38</f>
        <v>0</v>
      </c>
    </row>
    <row r="40" spans="1:15" x14ac:dyDescent="0.35">
      <c r="A40" s="24">
        <v>25</v>
      </c>
      <c r="B40" s="514" t="str">
        <f>'Schedule 2H Adjustments'!B39:D39</f>
        <v/>
      </c>
      <c r="C40" s="514"/>
      <c r="D40" s="514"/>
      <c r="F40" s="117">
        <f>'Schedule 2H Adjustments'!H39</f>
        <v>0</v>
      </c>
      <c r="G40" s="68">
        <f>'Schedule 2H Adjustments'!J39</f>
        <v>0</v>
      </c>
      <c r="H40" s="68">
        <f t="shared" si="0"/>
        <v>0</v>
      </c>
      <c r="J40" s="117">
        <f>'Schedule 2H Adjustments'!P39</f>
        <v>0</v>
      </c>
      <c r="K40" s="68">
        <f>'Schedule 2H Adjustments'!R39</f>
        <v>0</v>
      </c>
      <c r="L40" s="68">
        <f t="shared" si="1"/>
        <v>0</v>
      </c>
      <c r="N40" s="119">
        <f>'Schedule 2H Adjustments'!X39</f>
        <v>0</v>
      </c>
      <c r="O40" s="119">
        <f>'Schedule 2H Adjustments'!AA39</f>
        <v>0</v>
      </c>
    </row>
    <row r="41" spans="1:15" x14ac:dyDescent="0.35">
      <c r="A41" s="24">
        <v>26</v>
      </c>
      <c r="B41" s="514" t="str">
        <f>'Schedule 2H Adjustments'!B40:D40</f>
        <v/>
      </c>
      <c r="C41" s="514"/>
      <c r="D41" s="514"/>
      <c r="F41" s="117">
        <f>'Schedule 2H Adjustments'!H40</f>
        <v>0</v>
      </c>
      <c r="G41" s="68">
        <f>'Schedule 2H Adjustments'!J40</f>
        <v>0</v>
      </c>
      <c r="H41" s="68">
        <f t="shared" si="0"/>
        <v>0</v>
      </c>
      <c r="J41" s="117">
        <f>'Schedule 2H Adjustments'!P40</f>
        <v>0</v>
      </c>
      <c r="K41" s="68">
        <f>'Schedule 2H Adjustments'!R40</f>
        <v>0</v>
      </c>
      <c r="L41" s="68">
        <f t="shared" si="1"/>
        <v>0</v>
      </c>
      <c r="N41" s="119">
        <f>'Schedule 2H Adjustments'!X40</f>
        <v>0</v>
      </c>
      <c r="O41" s="119">
        <f>'Schedule 2H Adjustments'!AA40</f>
        <v>0</v>
      </c>
    </row>
    <row r="42" spans="1:15" x14ac:dyDescent="0.35">
      <c r="A42" s="24">
        <v>27</v>
      </c>
      <c r="B42" s="514" t="str">
        <f>'Schedule 2H Adjustments'!B41:D41</f>
        <v/>
      </c>
      <c r="C42" s="514"/>
      <c r="D42" s="514"/>
      <c r="F42" s="117">
        <f>'Schedule 2H Adjustments'!H41</f>
        <v>0</v>
      </c>
      <c r="G42" s="68">
        <f>'Schedule 2H Adjustments'!J41</f>
        <v>0</v>
      </c>
      <c r="H42" s="68">
        <f t="shared" si="0"/>
        <v>0</v>
      </c>
      <c r="J42" s="117">
        <f>'Schedule 2H Adjustments'!P41</f>
        <v>0</v>
      </c>
      <c r="K42" s="68">
        <f>'Schedule 2H Adjustments'!R41</f>
        <v>0</v>
      </c>
      <c r="L42" s="68">
        <f t="shared" si="1"/>
        <v>0</v>
      </c>
      <c r="N42" s="119">
        <f>'Schedule 2H Adjustments'!X41</f>
        <v>0</v>
      </c>
      <c r="O42" s="119">
        <f>'Schedule 2H Adjustments'!AA41</f>
        <v>0</v>
      </c>
    </row>
    <row r="43" spans="1:15" x14ac:dyDescent="0.35">
      <c r="A43" s="24">
        <v>28</v>
      </c>
      <c r="B43" s="514" t="str">
        <f>'Schedule 2H Adjustments'!B42:D42</f>
        <v/>
      </c>
      <c r="C43" s="514"/>
      <c r="D43" s="514"/>
      <c r="F43" s="117">
        <f>'Schedule 2H Adjustments'!H42</f>
        <v>0</v>
      </c>
      <c r="G43" s="68">
        <f>'Schedule 2H Adjustments'!J42</f>
        <v>0</v>
      </c>
      <c r="H43" s="68">
        <f t="shared" si="0"/>
        <v>0</v>
      </c>
      <c r="J43" s="117">
        <f>'Schedule 2H Adjustments'!P42</f>
        <v>0</v>
      </c>
      <c r="K43" s="68">
        <f>'Schedule 2H Adjustments'!R42</f>
        <v>0</v>
      </c>
      <c r="L43" s="68">
        <f t="shared" si="1"/>
        <v>0</v>
      </c>
      <c r="N43" s="119">
        <f>'Schedule 2H Adjustments'!X42</f>
        <v>0</v>
      </c>
      <c r="O43" s="119">
        <f>'Schedule 2H Adjustments'!AA42</f>
        <v>0</v>
      </c>
    </row>
    <row r="44" spans="1:15" x14ac:dyDescent="0.35">
      <c r="A44" s="24">
        <v>29</v>
      </c>
      <c r="B44" s="514" t="str">
        <f>'Schedule 2H Adjustments'!B43:D43</f>
        <v/>
      </c>
      <c r="C44" s="514"/>
      <c r="D44" s="514"/>
      <c r="F44" s="117">
        <f>'Schedule 2H Adjustments'!H43</f>
        <v>0</v>
      </c>
      <c r="G44" s="68">
        <f>'Schedule 2H Adjustments'!J43</f>
        <v>0</v>
      </c>
      <c r="H44" s="68">
        <f t="shared" si="0"/>
        <v>0</v>
      </c>
      <c r="J44" s="117">
        <f>'Schedule 2H Adjustments'!P43</f>
        <v>0</v>
      </c>
      <c r="K44" s="68">
        <f>'Schedule 2H Adjustments'!R43</f>
        <v>0</v>
      </c>
      <c r="L44" s="68">
        <f t="shared" si="1"/>
        <v>0</v>
      </c>
      <c r="N44" s="119">
        <f>'Schedule 2H Adjustments'!X43</f>
        <v>0</v>
      </c>
      <c r="O44" s="119">
        <f>'Schedule 2H Adjustments'!AA43</f>
        <v>0</v>
      </c>
    </row>
    <row r="45" spans="1:15" x14ac:dyDescent="0.35">
      <c r="A45" s="24">
        <v>30</v>
      </c>
      <c r="B45" s="514" t="str">
        <f>'Schedule 2H Adjustments'!B44:D44</f>
        <v/>
      </c>
      <c r="C45" s="514"/>
      <c r="D45" s="514"/>
      <c r="F45" s="117">
        <f>'Schedule 2H Adjustments'!H44</f>
        <v>0</v>
      </c>
      <c r="G45" s="68">
        <f>'Schedule 2H Adjustments'!J44</f>
        <v>0</v>
      </c>
      <c r="H45" s="68">
        <f t="shared" si="0"/>
        <v>0</v>
      </c>
      <c r="J45" s="117">
        <f>'Schedule 2H Adjustments'!P44</f>
        <v>0</v>
      </c>
      <c r="K45" s="68">
        <f>'Schedule 2H Adjustments'!R44</f>
        <v>0</v>
      </c>
      <c r="L45" s="68">
        <f t="shared" si="1"/>
        <v>0</v>
      </c>
      <c r="N45" s="119">
        <f>'Schedule 2H Adjustments'!X44</f>
        <v>0</v>
      </c>
      <c r="O45" s="119">
        <f>'Schedule 2H Adjustments'!AA44</f>
        <v>0</v>
      </c>
    </row>
    <row r="46" spans="1:15" x14ac:dyDescent="0.35">
      <c r="A46" s="24">
        <v>31</v>
      </c>
      <c r="B46" s="514" t="str">
        <f>'Schedule 2H Adjustments'!B45:D45</f>
        <v/>
      </c>
      <c r="C46" s="514"/>
      <c r="D46" s="514"/>
      <c r="F46" s="117">
        <f>'Schedule 2H Adjustments'!H45</f>
        <v>0</v>
      </c>
      <c r="G46" s="68">
        <f>'Schedule 2H Adjustments'!J45</f>
        <v>0</v>
      </c>
      <c r="H46" s="68">
        <f t="shared" si="0"/>
        <v>0</v>
      </c>
      <c r="J46" s="117">
        <f>'Schedule 2H Adjustments'!P45</f>
        <v>0</v>
      </c>
      <c r="K46" s="68">
        <f>'Schedule 2H Adjustments'!R45</f>
        <v>0</v>
      </c>
      <c r="L46" s="68">
        <f t="shared" si="1"/>
        <v>0</v>
      </c>
      <c r="N46" s="119">
        <f>'Schedule 2H Adjustments'!X45</f>
        <v>0</v>
      </c>
      <c r="O46" s="119">
        <f>'Schedule 2H Adjustments'!AA45</f>
        <v>0</v>
      </c>
    </row>
    <row r="47" spans="1:15" x14ac:dyDescent="0.35">
      <c r="A47" s="24">
        <v>32</v>
      </c>
      <c r="B47" s="514" t="str">
        <f>'Schedule 2H Adjustments'!B46:D46</f>
        <v/>
      </c>
      <c r="C47" s="514"/>
      <c r="D47" s="514"/>
      <c r="F47" s="117">
        <f>'Schedule 2H Adjustments'!H46</f>
        <v>0</v>
      </c>
      <c r="G47" s="68">
        <f>'Schedule 2H Adjustments'!J46</f>
        <v>0</v>
      </c>
      <c r="H47" s="68">
        <f t="shared" si="0"/>
        <v>0</v>
      </c>
      <c r="J47" s="117">
        <f>'Schedule 2H Adjustments'!P46</f>
        <v>0</v>
      </c>
      <c r="K47" s="68">
        <f>'Schedule 2H Adjustments'!R46</f>
        <v>0</v>
      </c>
      <c r="L47" s="68">
        <f t="shared" si="1"/>
        <v>0</v>
      </c>
      <c r="N47" s="119">
        <f>'Schedule 2H Adjustments'!X46</f>
        <v>0</v>
      </c>
      <c r="O47" s="119">
        <f>'Schedule 2H Adjustments'!AA46</f>
        <v>0</v>
      </c>
    </row>
    <row r="48" spans="1:15" x14ac:dyDescent="0.35">
      <c r="A48" s="24">
        <v>33</v>
      </c>
      <c r="B48" s="514" t="str">
        <f>'Schedule 2H Adjustments'!B47:D47</f>
        <v/>
      </c>
      <c r="C48" s="514"/>
      <c r="D48" s="514"/>
      <c r="F48" s="117">
        <f>'Schedule 2H Adjustments'!H47</f>
        <v>0</v>
      </c>
      <c r="G48" s="68">
        <f>'Schedule 2H Adjustments'!J47</f>
        <v>0</v>
      </c>
      <c r="H48" s="68">
        <f t="shared" si="0"/>
        <v>0</v>
      </c>
      <c r="J48" s="117">
        <f>'Schedule 2H Adjustments'!P47</f>
        <v>0</v>
      </c>
      <c r="K48" s="68">
        <f>'Schedule 2H Adjustments'!R47</f>
        <v>0</v>
      </c>
      <c r="L48" s="68">
        <f t="shared" si="1"/>
        <v>0</v>
      </c>
      <c r="N48" s="119">
        <f>'Schedule 2H Adjustments'!X47</f>
        <v>0</v>
      </c>
      <c r="O48" s="119">
        <f>'Schedule 2H Adjustments'!AA47</f>
        <v>0</v>
      </c>
    </row>
    <row r="49" spans="1:15" x14ac:dyDescent="0.35">
      <c r="A49" s="24">
        <v>34</v>
      </c>
      <c r="B49" s="514" t="str">
        <f>'Schedule 2H Adjustments'!B48:D48</f>
        <v/>
      </c>
      <c r="C49" s="514"/>
      <c r="D49" s="514"/>
      <c r="F49" s="117">
        <f>'Schedule 2H Adjustments'!H48</f>
        <v>0</v>
      </c>
      <c r="G49" s="68">
        <f>'Schedule 2H Adjustments'!J48</f>
        <v>0</v>
      </c>
      <c r="H49" s="68">
        <f t="shared" si="0"/>
        <v>0</v>
      </c>
      <c r="J49" s="117">
        <f>'Schedule 2H Adjustments'!P48</f>
        <v>0</v>
      </c>
      <c r="K49" s="68">
        <f>'Schedule 2H Adjustments'!R48</f>
        <v>0</v>
      </c>
      <c r="L49" s="68">
        <f t="shared" si="1"/>
        <v>0</v>
      </c>
      <c r="N49" s="119">
        <f>'Schedule 2H Adjustments'!X48</f>
        <v>0</v>
      </c>
      <c r="O49" s="119">
        <f>'Schedule 2H Adjustments'!AA48</f>
        <v>0</v>
      </c>
    </row>
    <row r="50" spans="1:15" x14ac:dyDescent="0.35">
      <c r="A50" s="24">
        <v>35</v>
      </c>
      <c r="B50" s="514" t="str">
        <f>'Schedule 2H Adjustments'!B49:D49</f>
        <v/>
      </c>
      <c r="C50" s="514"/>
      <c r="D50" s="514"/>
      <c r="F50" s="117">
        <f>'Schedule 2H Adjustments'!H49</f>
        <v>0</v>
      </c>
      <c r="G50" s="68">
        <f>'Schedule 2H Adjustments'!J49</f>
        <v>0</v>
      </c>
      <c r="H50" s="68">
        <f t="shared" si="0"/>
        <v>0</v>
      </c>
      <c r="J50" s="117">
        <f>'Schedule 2H Adjustments'!P49</f>
        <v>0</v>
      </c>
      <c r="K50" s="68">
        <f>'Schedule 2H Adjustments'!R49</f>
        <v>0</v>
      </c>
      <c r="L50" s="68">
        <f t="shared" si="1"/>
        <v>0</v>
      </c>
      <c r="N50" s="119">
        <f>'Schedule 2H Adjustments'!X49</f>
        <v>0</v>
      </c>
      <c r="O50" s="119">
        <f>'Schedule 2H Adjustments'!AA49</f>
        <v>0</v>
      </c>
    </row>
    <row r="51" spans="1:15" x14ac:dyDescent="0.35">
      <c r="A51" s="24">
        <v>36</v>
      </c>
      <c r="B51" s="514" t="str">
        <f>'Schedule 2H Adjustments'!B50:D50</f>
        <v/>
      </c>
      <c r="C51" s="514"/>
      <c r="D51" s="514"/>
      <c r="F51" s="117">
        <f>'Schedule 2H Adjustments'!H50</f>
        <v>0</v>
      </c>
      <c r="G51" s="68">
        <f>'Schedule 2H Adjustments'!J50</f>
        <v>0</v>
      </c>
      <c r="H51" s="68">
        <f t="shared" si="0"/>
        <v>0</v>
      </c>
      <c r="J51" s="117">
        <f>'Schedule 2H Adjustments'!P50</f>
        <v>0</v>
      </c>
      <c r="K51" s="68">
        <f>'Schedule 2H Adjustments'!R50</f>
        <v>0</v>
      </c>
      <c r="L51" s="68">
        <f t="shared" si="1"/>
        <v>0</v>
      </c>
      <c r="N51" s="119">
        <f>'Schedule 2H Adjustments'!X50</f>
        <v>0</v>
      </c>
      <c r="O51" s="119">
        <f>'Schedule 2H Adjustments'!AA50</f>
        <v>0</v>
      </c>
    </row>
    <row r="52" spans="1:15" x14ac:dyDescent="0.35">
      <c r="A52" s="24">
        <v>37</v>
      </c>
      <c r="B52" s="514" t="str">
        <f>'Schedule 2H Adjustments'!B51:D51</f>
        <v/>
      </c>
      <c r="C52" s="514"/>
      <c r="D52" s="514"/>
      <c r="F52" s="117">
        <f>'Schedule 2H Adjustments'!H51</f>
        <v>0</v>
      </c>
      <c r="G52" s="68">
        <f>'Schedule 2H Adjustments'!J51</f>
        <v>0</v>
      </c>
      <c r="H52" s="68">
        <f t="shared" si="0"/>
        <v>0</v>
      </c>
      <c r="J52" s="117">
        <f>'Schedule 2H Adjustments'!P51</f>
        <v>0</v>
      </c>
      <c r="K52" s="68">
        <f>'Schedule 2H Adjustments'!R51</f>
        <v>0</v>
      </c>
      <c r="L52" s="68">
        <f t="shared" si="1"/>
        <v>0</v>
      </c>
      <c r="N52" s="119">
        <f>'Schedule 2H Adjustments'!X51</f>
        <v>0</v>
      </c>
      <c r="O52" s="119">
        <f>'Schedule 2H Adjustments'!AA51</f>
        <v>0</v>
      </c>
    </row>
    <row r="53" spans="1:15" x14ac:dyDescent="0.35">
      <c r="A53" s="24">
        <v>38</v>
      </c>
      <c r="B53" s="514" t="str">
        <f>'Schedule 2H Adjustments'!B52:D52</f>
        <v/>
      </c>
      <c r="C53" s="514"/>
      <c r="D53" s="514"/>
      <c r="F53" s="117">
        <f>'Schedule 2H Adjustments'!H52</f>
        <v>0</v>
      </c>
      <c r="G53" s="68">
        <f>'Schedule 2H Adjustments'!J52</f>
        <v>0</v>
      </c>
      <c r="H53" s="68">
        <f t="shared" si="0"/>
        <v>0</v>
      </c>
      <c r="J53" s="117">
        <f>'Schedule 2H Adjustments'!P52</f>
        <v>0</v>
      </c>
      <c r="K53" s="68">
        <f>'Schedule 2H Adjustments'!R52</f>
        <v>0</v>
      </c>
      <c r="L53" s="68">
        <f t="shared" si="1"/>
        <v>0</v>
      </c>
      <c r="N53" s="119">
        <f>'Schedule 2H Adjustments'!X52</f>
        <v>0</v>
      </c>
      <c r="O53" s="119">
        <f>'Schedule 2H Adjustments'!AA52</f>
        <v>0</v>
      </c>
    </row>
    <row r="54" spans="1:15" x14ac:dyDescent="0.35">
      <c r="A54" s="24">
        <v>39</v>
      </c>
      <c r="B54" s="514" t="str">
        <f>'Schedule 2H Adjustments'!B53:D53</f>
        <v/>
      </c>
      <c r="C54" s="514"/>
      <c r="D54" s="514"/>
      <c r="F54" s="117">
        <f>'Schedule 2H Adjustments'!H53</f>
        <v>0</v>
      </c>
      <c r="G54" s="68">
        <f>'Schedule 2H Adjustments'!J53</f>
        <v>0</v>
      </c>
      <c r="H54" s="68">
        <f t="shared" si="0"/>
        <v>0</v>
      </c>
      <c r="J54" s="117">
        <f>'Schedule 2H Adjustments'!P53</f>
        <v>0</v>
      </c>
      <c r="K54" s="68">
        <f>'Schedule 2H Adjustments'!R53</f>
        <v>0</v>
      </c>
      <c r="L54" s="68">
        <f t="shared" si="1"/>
        <v>0</v>
      </c>
      <c r="N54" s="119">
        <f>'Schedule 2H Adjustments'!X53</f>
        <v>0</v>
      </c>
      <c r="O54" s="119">
        <f>'Schedule 2H Adjustments'!AA53</f>
        <v>0</v>
      </c>
    </row>
    <row r="55" spans="1:15" x14ac:dyDescent="0.35">
      <c r="A55" s="24">
        <v>40</v>
      </c>
      <c r="B55" s="514" t="str">
        <f>'Schedule 2H Adjustments'!B54:D54</f>
        <v/>
      </c>
      <c r="C55" s="514"/>
      <c r="D55" s="514"/>
      <c r="F55" s="117">
        <f>'Schedule 2H Adjustments'!H54</f>
        <v>0</v>
      </c>
      <c r="G55" s="68">
        <f>'Schedule 2H Adjustments'!J54</f>
        <v>0</v>
      </c>
      <c r="H55" s="68">
        <f t="shared" si="0"/>
        <v>0</v>
      </c>
      <c r="J55" s="117">
        <f>'Schedule 2H Adjustments'!P54</f>
        <v>0</v>
      </c>
      <c r="K55" s="68">
        <f>'Schedule 2H Adjustments'!R54</f>
        <v>0</v>
      </c>
      <c r="L55" s="68">
        <f t="shared" si="1"/>
        <v>0</v>
      </c>
      <c r="N55" s="119">
        <f>'Schedule 2H Adjustments'!X54</f>
        <v>0</v>
      </c>
      <c r="O55" s="119">
        <f>'Schedule 2H Adjustments'!AA54</f>
        <v>0</v>
      </c>
    </row>
    <row r="56" spans="1:15" x14ac:dyDescent="0.35">
      <c r="A56" s="24">
        <v>41</v>
      </c>
      <c r="B56" s="514" t="str">
        <f>'Schedule 2H Adjustments'!B55:D55</f>
        <v/>
      </c>
      <c r="C56" s="514"/>
      <c r="D56" s="514"/>
      <c r="F56" s="117">
        <f>'Schedule 2H Adjustments'!H55</f>
        <v>0</v>
      </c>
      <c r="G56" s="68">
        <f>'Schedule 2H Adjustments'!J55</f>
        <v>0</v>
      </c>
      <c r="H56" s="68">
        <f t="shared" si="0"/>
        <v>0</v>
      </c>
      <c r="J56" s="117">
        <f>'Schedule 2H Adjustments'!P55</f>
        <v>0</v>
      </c>
      <c r="K56" s="68">
        <f>'Schedule 2H Adjustments'!R55</f>
        <v>0</v>
      </c>
      <c r="L56" s="68">
        <f t="shared" si="1"/>
        <v>0</v>
      </c>
      <c r="N56" s="119">
        <f>'Schedule 2H Adjustments'!X55</f>
        <v>0</v>
      </c>
      <c r="O56" s="119">
        <f>'Schedule 2H Adjustments'!AA55</f>
        <v>0</v>
      </c>
    </row>
    <row r="57" spans="1:15" x14ac:dyDescent="0.35">
      <c r="A57" s="24">
        <v>42</v>
      </c>
      <c r="B57" s="514" t="str">
        <f>'Schedule 2H Adjustments'!B56:D56</f>
        <v/>
      </c>
      <c r="C57" s="514"/>
      <c r="D57" s="514"/>
      <c r="F57" s="117">
        <f>'Schedule 2H Adjustments'!H56</f>
        <v>0</v>
      </c>
      <c r="G57" s="68">
        <f>'Schedule 2H Adjustments'!J56</f>
        <v>0</v>
      </c>
      <c r="H57" s="68">
        <f t="shared" si="0"/>
        <v>0</v>
      </c>
      <c r="J57" s="117">
        <f>'Schedule 2H Adjustments'!P56</f>
        <v>0</v>
      </c>
      <c r="K57" s="68">
        <f>'Schedule 2H Adjustments'!R56</f>
        <v>0</v>
      </c>
      <c r="L57" s="68">
        <f t="shared" si="1"/>
        <v>0</v>
      </c>
      <c r="N57" s="119">
        <f>'Schedule 2H Adjustments'!X56</f>
        <v>0</v>
      </c>
      <c r="O57" s="119">
        <f>'Schedule 2H Adjustments'!AA56</f>
        <v>0</v>
      </c>
    </row>
    <row r="58" spans="1:15" x14ac:dyDescent="0.35">
      <c r="A58" s="24">
        <v>43</v>
      </c>
      <c r="B58" s="514" t="str">
        <f>'Schedule 2H Adjustments'!B57:D57</f>
        <v/>
      </c>
      <c r="C58" s="514"/>
      <c r="D58" s="514"/>
      <c r="F58" s="117">
        <f>'Schedule 2H Adjustments'!H57</f>
        <v>0</v>
      </c>
      <c r="G58" s="68">
        <f>'Schedule 2H Adjustments'!J57</f>
        <v>0</v>
      </c>
      <c r="H58" s="68">
        <f t="shared" si="0"/>
        <v>0</v>
      </c>
      <c r="J58" s="117">
        <f>'Schedule 2H Adjustments'!P57</f>
        <v>0</v>
      </c>
      <c r="K58" s="68">
        <f>'Schedule 2H Adjustments'!R57</f>
        <v>0</v>
      </c>
      <c r="L58" s="68">
        <f t="shared" si="1"/>
        <v>0</v>
      </c>
      <c r="N58" s="119">
        <f>'Schedule 2H Adjustments'!X57</f>
        <v>0</v>
      </c>
      <c r="O58" s="119">
        <f>'Schedule 2H Adjustments'!AA57</f>
        <v>0</v>
      </c>
    </row>
    <row r="59" spans="1:15" x14ac:dyDescent="0.35">
      <c r="A59" s="24">
        <v>44</v>
      </c>
      <c r="B59" s="514" t="str">
        <f>'Schedule 2H Adjustments'!B58:D58</f>
        <v/>
      </c>
      <c r="C59" s="514"/>
      <c r="D59" s="514"/>
      <c r="F59" s="117">
        <f>'Schedule 2H Adjustments'!H58</f>
        <v>0</v>
      </c>
      <c r="G59" s="68">
        <f>'Schedule 2H Adjustments'!J58</f>
        <v>0</v>
      </c>
      <c r="H59" s="68">
        <f t="shared" si="0"/>
        <v>0</v>
      </c>
      <c r="J59" s="117">
        <f>'Schedule 2H Adjustments'!P58</f>
        <v>0</v>
      </c>
      <c r="K59" s="68">
        <f>'Schedule 2H Adjustments'!R58</f>
        <v>0</v>
      </c>
      <c r="L59" s="68">
        <f t="shared" si="1"/>
        <v>0</v>
      </c>
      <c r="N59" s="119">
        <f>'Schedule 2H Adjustments'!X58</f>
        <v>0</v>
      </c>
      <c r="O59" s="119">
        <f>'Schedule 2H Adjustments'!AA58</f>
        <v>0</v>
      </c>
    </row>
    <row r="60" spans="1:15" x14ac:dyDescent="0.35">
      <c r="A60" s="24">
        <v>45</v>
      </c>
      <c r="B60" s="514" t="str">
        <f>'Schedule 2H Adjustments'!B59:D59</f>
        <v/>
      </c>
      <c r="C60" s="514"/>
      <c r="D60" s="514"/>
      <c r="F60" s="117">
        <f>'Schedule 2H Adjustments'!H59</f>
        <v>0</v>
      </c>
      <c r="G60" s="68">
        <f>'Schedule 2H Adjustments'!J59</f>
        <v>0</v>
      </c>
      <c r="H60" s="68">
        <f t="shared" si="0"/>
        <v>0</v>
      </c>
      <c r="J60" s="117">
        <f>'Schedule 2H Adjustments'!P59</f>
        <v>0</v>
      </c>
      <c r="K60" s="68">
        <f>'Schedule 2H Adjustments'!R59</f>
        <v>0</v>
      </c>
      <c r="L60" s="68">
        <f t="shared" si="1"/>
        <v>0</v>
      </c>
      <c r="N60" s="119">
        <f>'Schedule 2H Adjustments'!X59</f>
        <v>0</v>
      </c>
      <c r="O60" s="119">
        <f>'Schedule 2H Adjustments'!AA59</f>
        <v>0</v>
      </c>
    </row>
    <row r="61" spans="1:15" x14ac:dyDescent="0.35">
      <c r="A61" s="24">
        <v>46</v>
      </c>
      <c r="B61" s="514" t="str">
        <f>'Schedule 2H Adjustments'!B60:D60</f>
        <v/>
      </c>
      <c r="C61" s="514"/>
      <c r="D61" s="514"/>
      <c r="F61" s="117">
        <f>'Schedule 2H Adjustments'!H60</f>
        <v>0</v>
      </c>
      <c r="G61" s="68">
        <f>'Schedule 2H Adjustments'!J60</f>
        <v>0</v>
      </c>
      <c r="H61" s="68">
        <f t="shared" si="0"/>
        <v>0</v>
      </c>
      <c r="J61" s="117">
        <f>'Schedule 2H Adjustments'!P60</f>
        <v>0</v>
      </c>
      <c r="K61" s="68">
        <f>'Schedule 2H Adjustments'!R60</f>
        <v>0</v>
      </c>
      <c r="L61" s="68">
        <f t="shared" si="1"/>
        <v>0</v>
      </c>
      <c r="N61" s="119">
        <f>'Schedule 2H Adjustments'!X60</f>
        <v>0</v>
      </c>
      <c r="O61" s="119">
        <f>'Schedule 2H Adjustments'!AA60</f>
        <v>0</v>
      </c>
    </row>
    <row r="62" spans="1:15" x14ac:dyDescent="0.35">
      <c r="A62" s="24">
        <v>47</v>
      </c>
      <c r="B62" s="514" t="str">
        <f>'Schedule 2H Adjustments'!B61:D61</f>
        <v/>
      </c>
      <c r="C62" s="514"/>
      <c r="D62" s="514"/>
      <c r="F62" s="117">
        <f>'Schedule 2H Adjustments'!H61</f>
        <v>0</v>
      </c>
      <c r="G62" s="68">
        <f>'Schedule 2H Adjustments'!J61</f>
        <v>0</v>
      </c>
      <c r="H62" s="68">
        <f t="shared" si="0"/>
        <v>0</v>
      </c>
      <c r="J62" s="117">
        <f>'Schedule 2H Adjustments'!P61</f>
        <v>0</v>
      </c>
      <c r="K62" s="68">
        <f>'Schedule 2H Adjustments'!R61</f>
        <v>0</v>
      </c>
      <c r="L62" s="68">
        <f t="shared" si="1"/>
        <v>0</v>
      </c>
      <c r="N62" s="119">
        <f>'Schedule 2H Adjustments'!X61</f>
        <v>0</v>
      </c>
      <c r="O62" s="119">
        <f>'Schedule 2H Adjustments'!AA61</f>
        <v>0</v>
      </c>
    </row>
    <row r="63" spans="1:15" x14ac:dyDescent="0.35">
      <c r="A63" s="24">
        <v>48</v>
      </c>
      <c r="B63" s="514" t="str">
        <f>'Schedule 2H Adjustments'!B62:D62</f>
        <v/>
      </c>
      <c r="C63" s="514"/>
      <c r="D63" s="514"/>
      <c r="F63" s="117">
        <f>'Schedule 2H Adjustments'!H62</f>
        <v>0</v>
      </c>
      <c r="G63" s="68">
        <f>'Schedule 2H Adjustments'!J62</f>
        <v>0</v>
      </c>
      <c r="H63" s="68">
        <f t="shared" si="0"/>
        <v>0</v>
      </c>
      <c r="J63" s="117">
        <f>'Schedule 2H Adjustments'!P62</f>
        <v>0</v>
      </c>
      <c r="K63" s="68">
        <f>'Schedule 2H Adjustments'!R62</f>
        <v>0</v>
      </c>
      <c r="L63" s="68">
        <f t="shared" si="1"/>
        <v>0</v>
      </c>
      <c r="N63" s="119">
        <f>'Schedule 2H Adjustments'!X62</f>
        <v>0</v>
      </c>
      <c r="O63" s="119">
        <f>'Schedule 2H Adjustments'!AA62</f>
        <v>0</v>
      </c>
    </row>
    <row r="64" spans="1:15" x14ac:dyDescent="0.35">
      <c r="A64" s="24">
        <v>49</v>
      </c>
      <c r="B64" s="514" t="str">
        <f>'Schedule 2H Adjustments'!B63:D63</f>
        <v/>
      </c>
      <c r="C64" s="514"/>
      <c r="D64" s="514"/>
      <c r="F64" s="117">
        <f>'Schedule 2H Adjustments'!H63</f>
        <v>0</v>
      </c>
      <c r="G64" s="68">
        <f>'Schedule 2H Adjustments'!J63</f>
        <v>0</v>
      </c>
      <c r="H64" s="68">
        <f t="shared" si="0"/>
        <v>0</v>
      </c>
      <c r="J64" s="117">
        <f>'Schedule 2H Adjustments'!P63</f>
        <v>0</v>
      </c>
      <c r="K64" s="68">
        <f>'Schedule 2H Adjustments'!R63</f>
        <v>0</v>
      </c>
      <c r="L64" s="68">
        <f t="shared" si="1"/>
        <v>0</v>
      </c>
      <c r="N64" s="119">
        <f>'Schedule 2H Adjustments'!X63</f>
        <v>0</v>
      </c>
      <c r="O64" s="119">
        <f>'Schedule 2H Adjustments'!AA63</f>
        <v>0</v>
      </c>
    </row>
    <row r="65" spans="1:15" x14ac:dyDescent="0.35">
      <c r="A65" s="24">
        <v>50</v>
      </c>
      <c r="B65" s="514" t="str">
        <f>'Schedule 2H Adjustments'!B64:D64</f>
        <v/>
      </c>
      <c r="C65" s="514"/>
      <c r="D65" s="514"/>
      <c r="F65" s="117">
        <f>'Schedule 2H Adjustments'!H64</f>
        <v>0</v>
      </c>
      <c r="G65" s="68">
        <f>'Schedule 2H Adjustments'!J64</f>
        <v>0</v>
      </c>
      <c r="H65" s="68">
        <f t="shared" si="0"/>
        <v>0</v>
      </c>
      <c r="J65" s="117">
        <f>'Schedule 2H Adjustments'!P64</f>
        <v>0</v>
      </c>
      <c r="K65" s="68">
        <f>'Schedule 2H Adjustments'!R64</f>
        <v>0</v>
      </c>
      <c r="L65" s="68">
        <f t="shared" si="1"/>
        <v>0</v>
      </c>
      <c r="N65" s="119">
        <f>'Schedule 2H Adjustments'!X64</f>
        <v>0</v>
      </c>
      <c r="O65" s="119">
        <f>'Schedule 2H Adjustments'!AA64</f>
        <v>0</v>
      </c>
    </row>
    <row r="66" spans="1:15" x14ac:dyDescent="0.35">
      <c r="A66" s="24">
        <v>51</v>
      </c>
      <c r="B66" s="514" t="str">
        <f>'Schedule 2H Adjustments'!B65:D65</f>
        <v/>
      </c>
      <c r="C66" s="514"/>
      <c r="D66" s="514"/>
      <c r="F66" s="117">
        <f>'Schedule 2H Adjustments'!H65</f>
        <v>0</v>
      </c>
      <c r="G66" s="68">
        <f>'Schedule 2H Adjustments'!J65</f>
        <v>0</v>
      </c>
      <c r="H66" s="68">
        <f t="shared" si="0"/>
        <v>0</v>
      </c>
      <c r="J66" s="117">
        <f>'Schedule 2H Adjustments'!P65</f>
        <v>0</v>
      </c>
      <c r="K66" s="68">
        <f>'Schedule 2H Adjustments'!R65</f>
        <v>0</v>
      </c>
      <c r="L66" s="68">
        <f t="shared" si="1"/>
        <v>0</v>
      </c>
      <c r="N66" s="119">
        <f>'Schedule 2H Adjustments'!X65</f>
        <v>0</v>
      </c>
      <c r="O66" s="119">
        <f>'Schedule 2H Adjustments'!AA65</f>
        <v>0</v>
      </c>
    </row>
    <row r="67" spans="1:15" x14ac:dyDescent="0.35">
      <c r="A67" s="24">
        <v>52</v>
      </c>
      <c r="B67" s="514" t="str">
        <f>'Schedule 2H Adjustments'!B66:D66</f>
        <v/>
      </c>
      <c r="C67" s="514"/>
      <c r="D67" s="514"/>
      <c r="F67" s="117">
        <f>'Schedule 2H Adjustments'!H66</f>
        <v>0</v>
      </c>
      <c r="G67" s="68">
        <f>'Schedule 2H Adjustments'!J66</f>
        <v>0</v>
      </c>
      <c r="H67" s="68">
        <f t="shared" si="0"/>
        <v>0</v>
      </c>
      <c r="J67" s="117">
        <f>'Schedule 2H Adjustments'!P66</f>
        <v>0</v>
      </c>
      <c r="K67" s="68">
        <f>'Schedule 2H Adjustments'!R66</f>
        <v>0</v>
      </c>
      <c r="L67" s="68">
        <f t="shared" si="1"/>
        <v>0</v>
      </c>
      <c r="N67" s="119">
        <f>'Schedule 2H Adjustments'!X66</f>
        <v>0</v>
      </c>
      <c r="O67" s="119">
        <f>'Schedule 2H Adjustments'!AA66</f>
        <v>0</v>
      </c>
    </row>
    <row r="68" spans="1:15" x14ac:dyDescent="0.35">
      <c r="A68" s="24">
        <v>53</v>
      </c>
      <c r="B68" s="514" t="str">
        <f>'Schedule 2H Adjustments'!B67:D67</f>
        <v/>
      </c>
      <c r="C68" s="514"/>
      <c r="D68" s="514"/>
      <c r="F68" s="117">
        <f>'Schedule 2H Adjustments'!H67</f>
        <v>0</v>
      </c>
      <c r="G68" s="68">
        <f>'Schedule 2H Adjustments'!J67</f>
        <v>0</v>
      </c>
      <c r="H68" s="68">
        <f t="shared" si="0"/>
        <v>0</v>
      </c>
      <c r="J68" s="117">
        <f>'Schedule 2H Adjustments'!P67</f>
        <v>0</v>
      </c>
      <c r="K68" s="68">
        <f>'Schedule 2H Adjustments'!R67</f>
        <v>0</v>
      </c>
      <c r="L68" s="68">
        <f t="shared" si="1"/>
        <v>0</v>
      </c>
      <c r="N68" s="119">
        <f>'Schedule 2H Adjustments'!X67</f>
        <v>0</v>
      </c>
      <c r="O68" s="119">
        <f>'Schedule 2H Adjustments'!AA67</f>
        <v>0</v>
      </c>
    </row>
    <row r="69" spans="1:15" x14ac:dyDescent="0.35">
      <c r="A69" s="24">
        <v>54</v>
      </c>
      <c r="B69" s="514" t="str">
        <f>'Schedule 2H Adjustments'!B68:D68</f>
        <v/>
      </c>
      <c r="C69" s="514"/>
      <c r="D69" s="514"/>
      <c r="F69" s="117">
        <f>'Schedule 2H Adjustments'!H68</f>
        <v>0</v>
      </c>
      <c r="G69" s="68">
        <f>'Schedule 2H Adjustments'!J68</f>
        <v>0</v>
      </c>
      <c r="H69" s="68">
        <f t="shared" si="0"/>
        <v>0</v>
      </c>
      <c r="J69" s="117">
        <f>'Schedule 2H Adjustments'!P68</f>
        <v>0</v>
      </c>
      <c r="K69" s="68">
        <f>'Schedule 2H Adjustments'!R68</f>
        <v>0</v>
      </c>
      <c r="L69" s="68">
        <f t="shared" si="1"/>
        <v>0</v>
      </c>
      <c r="N69" s="119">
        <f>'Schedule 2H Adjustments'!X68</f>
        <v>0</v>
      </c>
      <c r="O69" s="119">
        <f>'Schedule 2H Adjustments'!AA68</f>
        <v>0</v>
      </c>
    </row>
    <row r="70" spans="1:15" x14ac:dyDescent="0.35">
      <c r="A70" s="24">
        <v>55</v>
      </c>
      <c r="B70" s="514" t="str">
        <f>'Schedule 2H Adjustments'!B69:D69</f>
        <v/>
      </c>
      <c r="C70" s="514"/>
      <c r="D70" s="514"/>
      <c r="F70" s="117">
        <f>'Schedule 2H Adjustments'!H69</f>
        <v>0</v>
      </c>
      <c r="G70" s="68">
        <f>'Schedule 2H Adjustments'!J69</f>
        <v>0</v>
      </c>
      <c r="H70" s="68">
        <f t="shared" si="0"/>
        <v>0</v>
      </c>
      <c r="J70" s="117">
        <f>'Schedule 2H Adjustments'!P69</f>
        <v>0</v>
      </c>
      <c r="K70" s="68">
        <f>'Schedule 2H Adjustments'!R69</f>
        <v>0</v>
      </c>
      <c r="L70" s="68">
        <f t="shared" si="1"/>
        <v>0</v>
      </c>
      <c r="N70" s="119">
        <f>'Schedule 2H Adjustments'!X69</f>
        <v>0</v>
      </c>
      <c r="O70" s="119">
        <f>'Schedule 2H Adjustments'!AA69</f>
        <v>0</v>
      </c>
    </row>
    <row r="71" spans="1:15" x14ac:dyDescent="0.35">
      <c r="A71" s="24">
        <v>56</v>
      </c>
      <c r="B71" s="514" t="str">
        <f>'Schedule 2H Adjustments'!B70:D70</f>
        <v/>
      </c>
      <c r="C71" s="514"/>
      <c r="D71" s="514"/>
      <c r="F71" s="117">
        <f>'Schedule 2H Adjustments'!H70</f>
        <v>0</v>
      </c>
      <c r="G71" s="68">
        <f>'Schedule 2H Adjustments'!J70</f>
        <v>0</v>
      </c>
      <c r="H71" s="68">
        <f t="shared" si="0"/>
        <v>0</v>
      </c>
      <c r="J71" s="117">
        <f>'Schedule 2H Adjustments'!P70</f>
        <v>0</v>
      </c>
      <c r="K71" s="68">
        <f>'Schedule 2H Adjustments'!R70</f>
        <v>0</v>
      </c>
      <c r="L71" s="68">
        <f t="shared" si="1"/>
        <v>0</v>
      </c>
      <c r="N71" s="119">
        <f>'Schedule 2H Adjustments'!X70</f>
        <v>0</v>
      </c>
      <c r="O71" s="119">
        <f>'Schedule 2H Adjustments'!AA70</f>
        <v>0</v>
      </c>
    </row>
    <row r="72" spans="1:15" x14ac:dyDescent="0.35">
      <c r="A72" s="24">
        <v>57</v>
      </c>
      <c r="B72" s="514" t="str">
        <f>'Schedule 2H Adjustments'!B71:D71</f>
        <v/>
      </c>
      <c r="C72" s="514"/>
      <c r="D72" s="514"/>
      <c r="F72" s="117">
        <f>'Schedule 2H Adjustments'!H71</f>
        <v>0</v>
      </c>
      <c r="G72" s="68">
        <f>'Schedule 2H Adjustments'!J71</f>
        <v>0</v>
      </c>
      <c r="H72" s="68">
        <f t="shared" si="0"/>
        <v>0</v>
      </c>
      <c r="J72" s="117">
        <f>'Schedule 2H Adjustments'!P71</f>
        <v>0</v>
      </c>
      <c r="K72" s="68">
        <f>'Schedule 2H Adjustments'!R71</f>
        <v>0</v>
      </c>
      <c r="L72" s="68">
        <f t="shared" si="1"/>
        <v>0</v>
      </c>
      <c r="N72" s="119">
        <f>'Schedule 2H Adjustments'!X71</f>
        <v>0</v>
      </c>
      <c r="O72" s="119">
        <f>'Schedule 2H Adjustments'!AA71</f>
        <v>0</v>
      </c>
    </row>
    <row r="73" spans="1:15" x14ac:dyDescent="0.35">
      <c r="A73" s="24">
        <v>58</v>
      </c>
      <c r="B73" s="514" t="str">
        <f>'Schedule 2H Adjustments'!B72:D72</f>
        <v/>
      </c>
      <c r="C73" s="514"/>
      <c r="D73" s="514"/>
      <c r="F73" s="117">
        <f>'Schedule 2H Adjustments'!H72</f>
        <v>0</v>
      </c>
      <c r="G73" s="68">
        <f>'Schedule 2H Adjustments'!J72</f>
        <v>0</v>
      </c>
      <c r="H73" s="68">
        <f t="shared" si="0"/>
        <v>0</v>
      </c>
      <c r="J73" s="117">
        <f>'Schedule 2H Adjustments'!P72</f>
        <v>0</v>
      </c>
      <c r="K73" s="68">
        <f>'Schedule 2H Adjustments'!R72</f>
        <v>0</v>
      </c>
      <c r="L73" s="68">
        <f t="shared" si="1"/>
        <v>0</v>
      </c>
      <c r="N73" s="119">
        <f>'Schedule 2H Adjustments'!X72</f>
        <v>0</v>
      </c>
      <c r="O73" s="119">
        <f>'Schedule 2H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9">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852</v>
      </c>
      <c r="B3" s="5"/>
      <c r="C3" s="5"/>
      <c r="D3" s="5"/>
      <c r="E3" s="5"/>
      <c r="F3" s="5"/>
      <c r="G3" s="5"/>
      <c r="H3" s="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822</v>
      </c>
      <c r="C9" s="1"/>
      <c r="F9" s="472" t="s">
        <v>1041</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2I Adjustments'!B15:D15</f>
        <v/>
      </c>
      <c r="C16" s="514"/>
      <c r="D16" s="514"/>
      <c r="F16" s="117">
        <f>'Schedule 2I Adjustments'!H15</f>
        <v>0</v>
      </c>
      <c r="G16" s="68">
        <f>'Schedule 2I Adjustments'!J15</f>
        <v>0</v>
      </c>
      <c r="H16" s="68">
        <f>SUM(F16:G16)</f>
        <v>0</v>
      </c>
      <c r="J16" s="117">
        <f>'Schedule 2I Adjustments'!P15</f>
        <v>0</v>
      </c>
      <c r="K16" s="68">
        <f>'Schedule 2I Adjustments'!R15</f>
        <v>0</v>
      </c>
      <c r="L16" s="68">
        <f>SUM(J16:K16)</f>
        <v>0</v>
      </c>
      <c r="N16" s="119">
        <f>'Schedule 2I Adjustments'!X15</f>
        <v>0</v>
      </c>
      <c r="O16" s="119">
        <f>'Schedule 2I Adjustments'!AA15</f>
        <v>0</v>
      </c>
    </row>
    <row r="17" spans="1:15" x14ac:dyDescent="0.35">
      <c r="A17" s="24">
        <v>2</v>
      </c>
      <c r="B17" s="514" t="str">
        <f>'Schedule 2I Adjustments'!B16:D16</f>
        <v/>
      </c>
      <c r="C17" s="514"/>
      <c r="D17" s="514"/>
      <c r="F17" s="117">
        <f>'Schedule 2I Adjustments'!H16</f>
        <v>0</v>
      </c>
      <c r="G17" s="68">
        <f>'Schedule 2I Adjustments'!J16</f>
        <v>0</v>
      </c>
      <c r="H17" s="68">
        <f t="shared" ref="H17:H73" si="0">SUM(F17:G17)</f>
        <v>0</v>
      </c>
      <c r="J17" s="117">
        <f>'Schedule 2I Adjustments'!P16</f>
        <v>0</v>
      </c>
      <c r="K17" s="68">
        <f>'Schedule 2I Adjustments'!R16</f>
        <v>0</v>
      </c>
      <c r="L17" s="68">
        <f t="shared" ref="L17:L73" si="1">SUM(J17:K17)</f>
        <v>0</v>
      </c>
      <c r="N17" s="119">
        <f>'Schedule 2I Adjustments'!X16</f>
        <v>0</v>
      </c>
      <c r="O17" s="119">
        <f>'Schedule 2I Adjustments'!AA16</f>
        <v>0</v>
      </c>
    </row>
    <row r="18" spans="1:15" x14ac:dyDescent="0.35">
      <c r="A18" s="24">
        <v>3</v>
      </c>
      <c r="B18" s="514" t="str">
        <f>'Schedule 2I Adjustments'!B17:D17</f>
        <v/>
      </c>
      <c r="C18" s="514"/>
      <c r="D18" s="514"/>
      <c r="F18" s="117">
        <f>'Schedule 2I Adjustments'!H17</f>
        <v>0</v>
      </c>
      <c r="G18" s="68">
        <f>'Schedule 2I Adjustments'!J17</f>
        <v>0</v>
      </c>
      <c r="H18" s="68">
        <f t="shared" si="0"/>
        <v>0</v>
      </c>
      <c r="J18" s="117">
        <f>'Schedule 2I Adjustments'!P17</f>
        <v>0</v>
      </c>
      <c r="K18" s="68">
        <f>'Schedule 2I Adjustments'!R17</f>
        <v>0</v>
      </c>
      <c r="L18" s="68">
        <f t="shared" si="1"/>
        <v>0</v>
      </c>
      <c r="N18" s="119">
        <f>'Schedule 2I Adjustments'!X17</f>
        <v>0</v>
      </c>
      <c r="O18" s="119">
        <f>'Schedule 2I Adjustments'!AA17</f>
        <v>0</v>
      </c>
    </row>
    <row r="19" spans="1:15" x14ac:dyDescent="0.35">
      <c r="A19" s="24">
        <v>4</v>
      </c>
      <c r="B19" s="514" t="str">
        <f>'Schedule 2I Adjustments'!B18:D18</f>
        <v/>
      </c>
      <c r="C19" s="514"/>
      <c r="D19" s="514"/>
      <c r="F19" s="117">
        <f>'Schedule 2I Adjustments'!H18</f>
        <v>0</v>
      </c>
      <c r="G19" s="68">
        <f>'Schedule 2I Adjustments'!J18</f>
        <v>0</v>
      </c>
      <c r="H19" s="68">
        <f t="shared" si="0"/>
        <v>0</v>
      </c>
      <c r="J19" s="117">
        <f>'Schedule 2I Adjustments'!P18</f>
        <v>0</v>
      </c>
      <c r="K19" s="68">
        <f>'Schedule 2I Adjustments'!R18</f>
        <v>0</v>
      </c>
      <c r="L19" s="68">
        <f t="shared" si="1"/>
        <v>0</v>
      </c>
      <c r="N19" s="119">
        <f>'Schedule 2I Adjustments'!X18</f>
        <v>0</v>
      </c>
      <c r="O19" s="119">
        <f>'Schedule 2I Adjustments'!AA18</f>
        <v>0</v>
      </c>
    </row>
    <row r="20" spans="1:15" x14ac:dyDescent="0.35">
      <c r="A20" s="24">
        <v>5</v>
      </c>
      <c r="B20" s="514" t="str">
        <f>'Schedule 2I Adjustments'!B19:D19</f>
        <v/>
      </c>
      <c r="C20" s="514"/>
      <c r="D20" s="514"/>
      <c r="F20" s="117">
        <f>'Schedule 2I Adjustments'!H19</f>
        <v>0</v>
      </c>
      <c r="G20" s="68">
        <f>'Schedule 2I Adjustments'!J19</f>
        <v>0</v>
      </c>
      <c r="H20" s="68">
        <f t="shared" si="0"/>
        <v>0</v>
      </c>
      <c r="J20" s="117">
        <f>'Schedule 2I Adjustments'!P19</f>
        <v>0</v>
      </c>
      <c r="K20" s="68">
        <f>'Schedule 2I Adjustments'!R19</f>
        <v>0</v>
      </c>
      <c r="L20" s="68">
        <f t="shared" si="1"/>
        <v>0</v>
      </c>
      <c r="N20" s="119">
        <f>'Schedule 2I Adjustments'!X19</f>
        <v>0</v>
      </c>
      <c r="O20" s="119">
        <f>'Schedule 2I Adjustments'!AA19</f>
        <v>0</v>
      </c>
    </row>
    <row r="21" spans="1:15" x14ac:dyDescent="0.35">
      <c r="A21" s="24">
        <v>6</v>
      </c>
      <c r="B21" s="514" t="str">
        <f>'Schedule 2I Adjustments'!B20:D20</f>
        <v/>
      </c>
      <c r="C21" s="514"/>
      <c r="D21" s="514"/>
      <c r="F21" s="117">
        <f>'Schedule 2I Adjustments'!H20</f>
        <v>0</v>
      </c>
      <c r="G21" s="68">
        <f>'Schedule 2I Adjustments'!J20</f>
        <v>0</v>
      </c>
      <c r="H21" s="68">
        <f t="shared" si="0"/>
        <v>0</v>
      </c>
      <c r="J21" s="117">
        <f>'Schedule 2I Adjustments'!P20</f>
        <v>0</v>
      </c>
      <c r="K21" s="68">
        <f>'Schedule 2I Adjustments'!R20</f>
        <v>0</v>
      </c>
      <c r="L21" s="68">
        <f t="shared" si="1"/>
        <v>0</v>
      </c>
      <c r="N21" s="119">
        <f>'Schedule 2I Adjustments'!X20</f>
        <v>0</v>
      </c>
      <c r="O21" s="119">
        <f>'Schedule 2I Adjustments'!AA20</f>
        <v>0</v>
      </c>
    </row>
    <row r="22" spans="1:15" x14ac:dyDescent="0.35">
      <c r="A22" s="24">
        <v>7</v>
      </c>
      <c r="B22" s="514" t="str">
        <f>'Schedule 2I Adjustments'!B21:D21</f>
        <v/>
      </c>
      <c r="C22" s="514"/>
      <c r="D22" s="514"/>
      <c r="F22" s="117">
        <f>'Schedule 2I Adjustments'!H21</f>
        <v>0</v>
      </c>
      <c r="G22" s="68">
        <f>'Schedule 2I Adjustments'!J21</f>
        <v>0</v>
      </c>
      <c r="H22" s="68">
        <f t="shared" si="0"/>
        <v>0</v>
      </c>
      <c r="J22" s="117">
        <f>'Schedule 2I Adjustments'!P21</f>
        <v>0</v>
      </c>
      <c r="K22" s="68">
        <f>'Schedule 2I Adjustments'!R21</f>
        <v>0</v>
      </c>
      <c r="L22" s="68">
        <f t="shared" si="1"/>
        <v>0</v>
      </c>
      <c r="N22" s="119">
        <f>'Schedule 2I Adjustments'!X21</f>
        <v>0</v>
      </c>
      <c r="O22" s="119">
        <f>'Schedule 2I Adjustments'!AA21</f>
        <v>0</v>
      </c>
    </row>
    <row r="23" spans="1:15" x14ac:dyDescent="0.35">
      <c r="A23" s="24">
        <v>8</v>
      </c>
      <c r="B23" s="514" t="str">
        <f>'Schedule 2I Adjustments'!B22:D22</f>
        <v/>
      </c>
      <c r="C23" s="514"/>
      <c r="D23" s="514"/>
      <c r="F23" s="117">
        <f>'Schedule 2I Adjustments'!H22</f>
        <v>0</v>
      </c>
      <c r="G23" s="68">
        <f>'Schedule 2I Adjustments'!J22</f>
        <v>0</v>
      </c>
      <c r="H23" s="68">
        <f t="shared" si="0"/>
        <v>0</v>
      </c>
      <c r="J23" s="117">
        <f>'Schedule 2I Adjustments'!P22</f>
        <v>0</v>
      </c>
      <c r="K23" s="68">
        <f>'Schedule 2I Adjustments'!R22</f>
        <v>0</v>
      </c>
      <c r="L23" s="68">
        <f t="shared" si="1"/>
        <v>0</v>
      </c>
      <c r="N23" s="119">
        <f>'Schedule 2I Adjustments'!X22</f>
        <v>0</v>
      </c>
      <c r="O23" s="119">
        <f>'Schedule 2I Adjustments'!AA22</f>
        <v>0</v>
      </c>
    </row>
    <row r="24" spans="1:15" x14ac:dyDescent="0.35">
      <c r="A24" s="24">
        <v>9</v>
      </c>
      <c r="B24" s="514" t="str">
        <f>'Schedule 2I Adjustments'!B23:D23</f>
        <v/>
      </c>
      <c r="C24" s="514"/>
      <c r="D24" s="514"/>
      <c r="F24" s="117">
        <f>'Schedule 2I Adjustments'!H23</f>
        <v>0</v>
      </c>
      <c r="G24" s="68">
        <f>'Schedule 2I Adjustments'!J23</f>
        <v>0</v>
      </c>
      <c r="H24" s="68">
        <f t="shared" si="0"/>
        <v>0</v>
      </c>
      <c r="J24" s="117">
        <f>'Schedule 2I Adjustments'!P23</f>
        <v>0</v>
      </c>
      <c r="K24" s="68">
        <f>'Schedule 2I Adjustments'!R23</f>
        <v>0</v>
      </c>
      <c r="L24" s="68">
        <f t="shared" si="1"/>
        <v>0</v>
      </c>
      <c r="N24" s="119">
        <f>'Schedule 2I Adjustments'!X23</f>
        <v>0</v>
      </c>
      <c r="O24" s="119">
        <f>'Schedule 2I Adjustments'!AA23</f>
        <v>0</v>
      </c>
    </row>
    <row r="25" spans="1:15" x14ac:dyDescent="0.35">
      <c r="A25" s="24">
        <v>10</v>
      </c>
      <c r="B25" s="514" t="str">
        <f>'Schedule 2I Adjustments'!B24:D24</f>
        <v/>
      </c>
      <c r="C25" s="514"/>
      <c r="D25" s="514"/>
      <c r="F25" s="117">
        <f>'Schedule 2I Adjustments'!H24</f>
        <v>0</v>
      </c>
      <c r="G25" s="68">
        <f>'Schedule 2I Adjustments'!J24</f>
        <v>0</v>
      </c>
      <c r="H25" s="68">
        <f t="shared" si="0"/>
        <v>0</v>
      </c>
      <c r="J25" s="117">
        <f>'Schedule 2I Adjustments'!P24</f>
        <v>0</v>
      </c>
      <c r="K25" s="68">
        <f>'Schedule 2I Adjustments'!R24</f>
        <v>0</v>
      </c>
      <c r="L25" s="68">
        <f t="shared" si="1"/>
        <v>0</v>
      </c>
      <c r="N25" s="119">
        <f>'Schedule 2I Adjustments'!X24</f>
        <v>0</v>
      </c>
      <c r="O25" s="119">
        <f>'Schedule 2I Adjustments'!AA24</f>
        <v>0</v>
      </c>
    </row>
    <row r="26" spans="1:15" x14ac:dyDescent="0.35">
      <c r="A26" s="24">
        <v>11</v>
      </c>
      <c r="B26" s="514" t="str">
        <f>'Schedule 2I Adjustments'!B25:D25</f>
        <v/>
      </c>
      <c r="C26" s="514"/>
      <c r="D26" s="514"/>
      <c r="F26" s="117">
        <f>'Schedule 2I Adjustments'!H25</f>
        <v>0</v>
      </c>
      <c r="G26" s="68">
        <f>'Schedule 2I Adjustments'!J25</f>
        <v>0</v>
      </c>
      <c r="H26" s="68">
        <f t="shared" si="0"/>
        <v>0</v>
      </c>
      <c r="J26" s="117">
        <f>'Schedule 2I Adjustments'!P25</f>
        <v>0</v>
      </c>
      <c r="K26" s="68">
        <f>'Schedule 2I Adjustments'!R25</f>
        <v>0</v>
      </c>
      <c r="L26" s="68">
        <f t="shared" si="1"/>
        <v>0</v>
      </c>
      <c r="N26" s="119">
        <f>'Schedule 2I Adjustments'!X25</f>
        <v>0</v>
      </c>
      <c r="O26" s="119">
        <f>'Schedule 2I Adjustments'!AA25</f>
        <v>0</v>
      </c>
    </row>
    <row r="27" spans="1:15" x14ac:dyDescent="0.35">
      <c r="A27" s="24">
        <v>12</v>
      </c>
      <c r="B27" s="514" t="str">
        <f>'Schedule 2I Adjustments'!B26:D26</f>
        <v/>
      </c>
      <c r="C27" s="514"/>
      <c r="D27" s="514"/>
      <c r="F27" s="117">
        <f>'Schedule 2I Adjustments'!H26</f>
        <v>0</v>
      </c>
      <c r="G27" s="68">
        <f>'Schedule 2I Adjustments'!J26</f>
        <v>0</v>
      </c>
      <c r="H27" s="68">
        <f t="shared" si="0"/>
        <v>0</v>
      </c>
      <c r="J27" s="117">
        <f>'Schedule 2I Adjustments'!P26</f>
        <v>0</v>
      </c>
      <c r="K27" s="68">
        <f>'Schedule 2I Adjustments'!R26</f>
        <v>0</v>
      </c>
      <c r="L27" s="68">
        <f t="shared" si="1"/>
        <v>0</v>
      </c>
      <c r="N27" s="119">
        <f>'Schedule 2I Adjustments'!X26</f>
        <v>0</v>
      </c>
      <c r="O27" s="119">
        <f>'Schedule 2I Adjustments'!AA26</f>
        <v>0</v>
      </c>
    </row>
    <row r="28" spans="1:15" x14ac:dyDescent="0.35">
      <c r="A28" s="24">
        <v>13</v>
      </c>
      <c r="B28" s="514" t="str">
        <f>'Schedule 2I Adjustments'!B27:D27</f>
        <v/>
      </c>
      <c r="C28" s="514"/>
      <c r="D28" s="514"/>
      <c r="F28" s="117">
        <f>'Schedule 2I Adjustments'!H27</f>
        <v>0</v>
      </c>
      <c r="G28" s="68">
        <f>'Schedule 2I Adjustments'!J27</f>
        <v>0</v>
      </c>
      <c r="H28" s="68">
        <f t="shared" si="0"/>
        <v>0</v>
      </c>
      <c r="J28" s="117">
        <f>'Schedule 2I Adjustments'!P27</f>
        <v>0</v>
      </c>
      <c r="K28" s="68">
        <f>'Schedule 2I Adjustments'!R27</f>
        <v>0</v>
      </c>
      <c r="L28" s="68">
        <f t="shared" si="1"/>
        <v>0</v>
      </c>
      <c r="N28" s="119">
        <f>'Schedule 2I Adjustments'!X27</f>
        <v>0</v>
      </c>
      <c r="O28" s="119">
        <f>'Schedule 2I Adjustments'!AA27</f>
        <v>0</v>
      </c>
    </row>
    <row r="29" spans="1:15" x14ac:dyDescent="0.35">
      <c r="A29" s="24">
        <v>14</v>
      </c>
      <c r="B29" s="514" t="str">
        <f>'Schedule 2I Adjustments'!B28:D28</f>
        <v/>
      </c>
      <c r="C29" s="514"/>
      <c r="D29" s="514"/>
      <c r="F29" s="117">
        <f>'Schedule 2I Adjustments'!H28</f>
        <v>0</v>
      </c>
      <c r="G29" s="68">
        <f>'Schedule 2I Adjustments'!J28</f>
        <v>0</v>
      </c>
      <c r="H29" s="68">
        <f t="shared" si="0"/>
        <v>0</v>
      </c>
      <c r="J29" s="117">
        <f>'Schedule 2I Adjustments'!P28</f>
        <v>0</v>
      </c>
      <c r="K29" s="68">
        <f>'Schedule 2I Adjustments'!R28</f>
        <v>0</v>
      </c>
      <c r="L29" s="68">
        <f t="shared" si="1"/>
        <v>0</v>
      </c>
      <c r="N29" s="119">
        <f>'Schedule 2I Adjustments'!X28</f>
        <v>0</v>
      </c>
      <c r="O29" s="119">
        <f>'Schedule 2I Adjustments'!AA28</f>
        <v>0</v>
      </c>
    </row>
    <row r="30" spans="1:15" x14ac:dyDescent="0.35">
      <c r="A30" s="24">
        <v>15</v>
      </c>
      <c r="B30" s="514" t="str">
        <f>'Schedule 2I Adjustments'!B29:D29</f>
        <v/>
      </c>
      <c r="C30" s="514"/>
      <c r="D30" s="514"/>
      <c r="F30" s="117">
        <f>'Schedule 2I Adjustments'!H29</f>
        <v>0</v>
      </c>
      <c r="G30" s="68">
        <f>'Schedule 2I Adjustments'!J29</f>
        <v>0</v>
      </c>
      <c r="H30" s="68">
        <f t="shared" si="0"/>
        <v>0</v>
      </c>
      <c r="J30" s="117">
        <f>'Schedule 2I Adjustments'!P29</f>
        <v>0</v>
      </c>
      <c r="K30" s="68">
        <f>'Schedule 2I Adjustments'!R29</f>
        <v>0</v>
      </c>
      <c r="L30" s="68">
        <f t="shared" si="1"/>
        <v>0</v>
      </c>
      <c r="N30" s="119">
        <f>'Schedule 2I Adjustments'!X29</f>
        <v>0</v>
      </c>
      <c r="O30" s="119">
        <f>'Schedule 2I Adjustments'!AA29</f>
        <v>0</v>
      </c>
    </row>
    <row r="31" spans="1:15" x14ac:dyDescent="0.35">
      <c r="A31" s="24">
        <v>16</v>
      </c>
      <c r="B31" s="514" t="str">
        <f>'Schedule 2I Adjustments'!B30:D30</f>
        <v/>
      </c>
      <c r="C31" s="514"/>
      <c r="D31" s="514"/>
      <c r="F31" s="117">
        <f>'Schedule 2I Adjustments'!H30</f>
        <v>0</v>
      </c>
      <c r="G31" s="68">
        <f>'Schedule 2I Adjustments'!J30</f>
        <v>0</v>
      </c>
      <c r="H31" s="68">
        <f t="shared" si="0"/>
        <v>0</v>
      </c>
      <c r="J31" s="117">
        <f>'Schedule 2I Adjustments'!P30</f>
        <v>0</v>
      </c>
      <c r="K31" s="68">
        <f>'Schedule 2I Adjustments'!R30</f>
        <v>0</v>
      </c>
      <c r="L31" s="68">
        <f t="shared" si="1"/>
        <v>0</v>
      </c>
      <c r="N31" s="119">
        <f>'Schedule 2I Adjustments'!X30</f>
        <v>0</v>
      </c>
      <c r="O31" s="119">
        <f>'Schedule 2I Adjustments'!AA30</f>
        <v>0</v>
      </c>
    </row>
    <row r="32" spans="1:15" x14ac:dyDescent="0.35">
      <c r="A32" s="24">
        <v>17</v>
      </c>
      <c r="B32" s="514" t="str">
        <f>'Schedule 2I Adjustments'!B31:D31</f>
        <v/>
      </c>
      <c r="C32" s="514"/>
      <c r="D32" s="514"/>
      <c r="F32" s="117">
        <f>'Schedule 2I Adjustments'!H31</f>
        <v>0</v>
      </c>
      <c r="G32" s="68">
        <f>'Schedule 2I Adjustments'!J31</f>
        <v>0</v>
      </c>
      <c r="H32" s="68">
        <f t="shared" si="0"/>
        <v>0</v>
      </c>
      <c r="J32" s="117">
        <f>'Schedule 2I Adjustments'!P31</f>
        <v>0</v>
      </c>
      <c r="K32" s="68">
        <f>'Schedule 2I Adjustments'!R31</f>
        <v>0</v>
      </c>
      <c r="L32" s="68">
        <f t="shared" si="1"/>
        <v>0</v>
      </c>
      <c r="N32" s="119">
        <f>'Schedule 2I Adjustments'!X31</f>
        <v>0</v>
      </c>
      <c r="O32" s="119">
        <f>'Schedule 2I Adjustments'!AA31</f>
        <v>0</v>
      </c>
    </row>
    <row r="33" spans="1:15" x14ac:dyDescent="0.35">
      <c r="A33" s="24">
        <v>18</v>
      </c>
      <c r="B33" s="514" t="str">
        <f>'Schedule 2I Adjustments'!B32:D32</f>
        <v/>
      </c>
      <c r="C33" s="514"/>
      <c r="D33" s="514"/>
      <c r="F33" s="117">
        <f>'Schedule 2I Adjustments'!H32</f>
        <v>0</v>
      </c>
      <c r="G33" s="68">
        <f>'Schedule 2I Adjustments'!J32</f>
        <v>0</v>
      </c>
      <c r="H33" s="68">
        <f t="shared" si="0"/>
        <v>0</v>
      </c>
      <c r="J33" s="117">
        <f>'Schedule 2I Adjustments'!P32</f>
        <v>0</v>
      </c>
      <c r="K33" s="68">
        <f>'Schedule 2I Adjustments'!R32</f>
        <v>0</v>
      </c>
      <c r="L33" s="68">
        <f t="shared" si="1"/>
        <v>0</v>
      </c>
      <c r="N33" s="119">
        <f>'Schedule 2I Adjustments'!X32</f>
        <v>0</v>
      </c>
      <c r="O33" s="119">
        <f>'Schedule 2I Adjustments'!AA32</f>
        <v>0</v>
      </c>
    </row>
    <row r="34" spans="1:15" x14ac:dyDescent="0.35">
      <c r="A34" s="24">
        <v>19</v>
      </c>
      <c r="B34" s="514" t="str">
        <f>'Schedule 2I Adjustments'!B33:D33</f>
        <v/>
      </c>
      <c r="C34" s="514"/>
      <c r="D34" s="514"/>
      <c r="F34" s="117">
        <f>'Schedule 2I Adjustments'!H33</f>
        <v>0</v>
      </c>
      <c r="G34" s="68">
        <f>'Schedule 2I Adjustments'!J33</f>
        <v>0</v>
      </c>
      <c r="H34" s="68">
        <f t="shared" si="0"/>
        <v>0</v>
      </c>
      <c r="J34" s="117">
        <f>'Schedule 2I Adjustments'!P33</f>
        <v>0</v>
      </c>
      <c r="K34" s="68">
        <f>'Schedule 2I Adjustments'!R33</f>
        <v>0</v>
      </c>
      <c r="L34" s="68">
        <f t="shared" si="1"/>
        <v>0</v>
      </c>
      <c r="N34" s="119">
        <f>'Schedule 2I Adjustments'!X33</f>
        <v>0</v>
      </c>
      <c r="O34" s="119">
        <f>'Schedule 2I Adjustments'!AA33</f>
        <v>0</v>
      </c>
    </row>
    <row r="35" spans="1:15" x14ac:dyDescent="0.35">
      <c r="A35" s="24">
        <v>20</v>
      </c>
      <c r="B35" s="514" t="str">
        <f>'Schedule 2I Adjustments'!B34:D34</f>
        <v/>
      </c>
      <c r="C35" s="514"/>
      <c r="D35" s="514"/>
      <c r="F35" s="117">
        <f>'Schedule 2I Adjustments'!H34</f>
        <v>0</v>
      </c>
      <c r="G35" s="68">
        <f>'Schedule 2I Adjustments'!J34</f>
        <v>0</v>
      </c>
      <c r="H35" s="68">
        <f t="shared" si="0"/>
        <v>0</v>
      </c>
      <c r="J35" s="117">
        <f>'Schedule 2I Adjustments'!P34</f>
        <v>0</v>
      </c>
      <c r="K35" s="68">
        <f>'Schedule 2I Adjustments'!R34</f>
        <v>0</v>
      </c>
      <c r="L35" s="68">
        <f t="shared" si="1"/>
        <v>0</v>
      </c>
      <c r="N35" s="119">
        <f>'Schedule 2I Adjustments'!X34</f>
        <v>0</v>
      </c>
      <c r="O35" s="119">
        <f>'Schedule 2I Adjustments'!AA34</f>
        <v>0</v>
      </c>
    </row>
    <row r="36" spans="1:15" x14ac:dyDescent="0.35">
      <c r="A36" s="24">
        <v>21</v>
      </c>
      <c r="B36" s="514" t="str">
        <f>'Schedule 2I Adjustments'!B35:D35</f>
        <v/>
      </c>
      <c r="C36" s="514"/>
      <c r="D36" s="514"/>
      <c r="F36" s="117">
        <f>'Schedule 2I Adjustments'!H35</f>
        <v>0</v>
      </c>
      <c r="G36" s="68">
        <f>'Schedule 2I Adjustments'!J35</f>
        <v>0</v>
      </c>
      <c r="H36" s="68">
        <f t="shared" si="0"/>
        <v>0</v>
      </c>
      <c r="J36" s="117">
        <f>'Schedule 2I Adjustments'!P35</f>
        <v>0</v>
      </c>
      <c r="K36" s="68">
        <f>'Schedule 2I Adjustments'!R35</f>
        <v>0</v>
      </c>
      <c r="L36" s="68">
        <f t="shared" si="1"/>
        <v>0</v>
      </c>
      <c r="N36" s="119">
        <f>'Schedule 2I Adjustments'!X35</f>
        <v>0</v>
      </c>
      <c r="O36" s="119">
        <f>'Schedule 2I Adjustments'!AA35</f>
        <v>0</v>
      </c>
    </row>
    <row r="37" spans="1:15" x14ac:dyDescent="0.35">
      <c r="A37" s="24">
        <v>22</v>
      </c>
      <c r="B37" s="514" t="str">
        <f>'Schedule 2I Adjustments'!B36:D36</f>
        <v/>
      </c>
      <c r="C37" s="514"/>
      <c r="D37" s="514"/>
      <c r="F37" s="117">
        <f>'Schedule 2I Adjustments'!H36</f>
        <v>0</v>
      </c>
      <c r="G37" s="68">
        <f>'Schedule 2I Adjustments'!J36</f>
        <v>0</v>
      </c>
      <c r="H37" s="68">
        <f t="shared" si="0"/>
        <v>0</v>
      </c>
      <c r="J37" s="117">
        <f>'Schedule 2I Adjustments'!P36</f>
        <v>0</v>
      </c>
      <c r="K37" s="68">
        <f>'Schedule 2I Adjustments'!R36</f>
        <v>0</v>
      </c>
      <c r="L37" s="68">
        <f t="shared" si="1"/>
        <v>0</v>
      </c>
      <c r="N37" s="119">
        <f>'Schedule 2I Adjustments'!X36</f>
        <v>0</v>
      </c>
      <c r="O37" s="119">
        <f>'Schedule 2I Adjustments'!AA36</f>
        <v>0</v>
      </c>
    </row>
    <row r="38" spans="1:15" x14ac:dyDescent="0.35">
      <c r="A38" s="24">
        <v>23</v>
      </c>
      <c r="B38" s="514" t="str">
        <f>'Schedule 2I Adjustments'!B37:D37</f>
        <v/>
      </c>
      <c r="C38" s="514"/>
      <c r="D38" s="514"/>
      <c r="F38" s="117">
        <f>'Schedule 2I Adjustments'!H37</f>
        <v>0</v>
      </c>
      <c r="G38" s="68">
        <f>'Schedule 2I Adjustments'!J37</f>
        <v>0</v>
      </c>
      <c r="H38" s="68">
        <f t="shared" si="0"/>
        <v>0</v>
      </c>
      <c r="J38" s="117">
        <f>'Schedule 2I Adjustments'!P37</f>
        <v>0</v>
      </c>
      <c r="K38" s="68">
        <f>'Schedule 2I Adjustments'!R37</f>
        <v>0</v>
      </c>
      <c r="L38" s="68">
        <f t="shared" si="1"/>
        <v>0</v>
      </c>
      <c r="N38" s="119">
        <f>'Schedule 2I Adjustments'!X37</f>
        <v>0</v>
      </c>
      <c r="O38" s="119">
        <f>'Schedule 2I Adjustments'!AA37</f>
        <v>0</v>
      </c>
    </row>
    <row r="39" spans="1:15" x14ac:dyDescent="0.35">
      <c r="A39" s="24">
        <v>24</v>
      </c>
      <c r="B39" s="514" t="str">
        <f>'Schedule 2I Adjustments'!B38:D38</f>
        <v/>
      </c>
      <c r="C39" s="514"/>
      <c r="D39" s="514"/>
      <c r="F39" s="117">
        <f>'Schedule 2I Adjustments'!H38</f>
        <v>0</v>
      </c>
      <c r="G39" s="68">
        <f>'Schedule 2I Adjustments'!J38</f>
        <v>0</v>
      </c>
      <c r="H39" s="68">
        <f t="shared" si="0"/>
        <v>0</v>
      </c>
      <c r="J39" s="117">
        <f>'Schedule 2I Adjustments'!P38</f>
        <v>0</v>
      </c>
      <c r="K39" s="68">
        <f>'Schedule 2I Adjustments'!R38</f>
        <v>0</v>
      </c>
      <c r="L39" s="68">
        <f t="shared" si="1"/>
        <v>0</v>
      </c>
      <c r="N39" s="119">
        <f>'Schedule 2I Adjustments'!X38</f>
        <v>0</v>
      </c>
      <c r="O39" s="119">
        <f>'Schedule 2I Adjustments'!AA38</f>
        <v>0</v>
      </c>
    </row>
    <row r="40" spans="1:15" x14ac:dyDescent="0.35">
      <c r="A40" s="24">
        <v>25</v>
      </c>
      <c r="B40" s="514" t="str">
        <f>'Schedule 2I Adjustments'!B39:D39</f>
        <v/>
      </c>
      <c r="C40" s="514"/>
      <c r="D40" s="514"/>
      <c r="F40" s="117">
        <f>'Schedule 2I Adjustments'!H39</f>
        <v>0</v>
      </c>
      <c r="G40" s="68">
        <f>'Schedule 2I Adjustments'!J39</f>
        <v>0</v>
      </c>
      <c r="H40" s="68">
        <f t="shared" si="0"/>
        <v>0</v>
      </c>
      <c r="J40" s="117">
        <f>'Schedule 2I Adjustments'!P39</f>
        <v>0</v>
      </c>
      <c r="K40" s="68">
        <f>'Schedule 2I Adjustments'!R39</f>
        <v>0</v>
      </c>
      <c r="L40" s="68">
        <f t="shared" si="1"/>
        <v>0</v>
      </c>
      <c r="N40" s="119">
        <f>'Schedule 2I Adjustments'!X39</f>
        <v>0</v>
      </c>
      <c r="O40" s="119">
        <f>'Schedule 2I Adjustments'!AA39</f>
        <v>0</v>
      </c>
    </row>
    <row r="41" spans="1:15" x14ac:dyDescent="0.35">
      <c r="A41" s="24">
        <v>26</v>
      </c>
      <c r="B41" s="514" t="str">
        <f>'Schedule 2I Adjustments'!B40:D40</f>
        <v/>
      </c>
      <c r="C41" s="514"/>
      <c r="D41" s="514"/>
      <c r="F41" s="117">
        <f>'Schedule 2I Adjustments'!H40</f>
        <v>0</v>
      </c>
      <c r="G41" s="68">
        <f>'Schedule 2I Adjustments'!J40</f>
        <v>0</v>
      </c>
      <c r="H41" s="68">
        <f t="shared" si="0"/>
        <v>0</v>
      </c>
      <c r="J41" s="117">
        <f>'Schedule 2I Adjustments'!P40</f>
        <v>0</v>
      </c>
      <c r="K41" s="68">
        <f>'Schedule 2I Adjustments'!R40</f>
        <v>0</v>
      </c>
      <c r="L41" s="68">
        <f t="shared" si="1"/>
        <v>0</v>
      </c>
      <c r="N41" s="119">
        <f>'Schedule 2I Adjustments'!X40</f>
        <v>0</v>
      </c>
      <c r="O41" s="119">
        <f>'Schedule 2I Adjustments'!AA40</f>
        <v>0</v>
      </c>
    </row>
    <row r="42" spans="1:15" x14ac:dyDescent="0.35">
      <c r="A42" s="24">
        <v>27</v>
      </c>
      <c r="B42" s="514" t="str">
        <f>'Schedule 2I Adjustments'!B41:D41</f>
        <v/>
      </c>
      <c r="C42" s="514"/>
      <c r="D42" s="514"/>
      <c r="F42" s="117">
        <f>'Schedule 2I Adjustments'!H41</f>
        <v>0</v>
      </c>
      <c r="G42" s="68">
        <f>'Schedule 2I Adjustments'!J41</f>
        <v>0</v>
      </c>
      <c r="H42" s="68">
        <f t="shared" si="0"/>
        <v>0</v>
      </c>
      <c r="J42" s="117">
        <f>'Schedule 2I Adjustments'!P41</f>
        <v>0</v>
      </c>
      <c r="K42" s="68">
        <f>'Schedule 2I Adjustments'!R41</f>
        <v>0</v>
      </c>
      <c r="L42" s="68">
        <f t="shared" si="1"/>
        <v>0</v>
      </c>
      <c r="N42" s="119">
        <f>'Schedule 2I Adjustments'!X41</f>
        <v>0</v>
      </c>
      <c r="O42" s="119">
        <f>'Schedule 2I Adjustments'!AA41</f>
        <v>0</v>
      </c>
    </row>
    <row r="43" spans="1:15" x14ac:dyDescent="0.35">
      <c r="A43" s="24">
        <v>28</v>
      </c>
      <c r="B43" s="514" t="str">
        <f>'Schedule 2I Adjustments'!B42:D42</f>
        <v/>
      </c>
      <c r="C43" s="514"/>
      <c r="D43" s="514"/>
      <c r="F43" s="117">
        <f>'Schedule 2I Adjustments'!H42</f>
        <v>0</v>
      </c>
      <c r="G43" s="68">
        <f>'Schedule 2I Adjustments'!J42</f>
        <v>0</v>
      </c>
      <c r="H43" s="68">
        <f t="shared" si="0"/>
        <v>0</v>
      </c>
      <c r="J43" s="117">
        <f>'Schedule 2I Adjustments'!P42</f>
        <v>0</v>
      </c>
      <c r="K43" s="68">
        <f>'Schedule 2I Adjustments'!R42</f>
        <v>0</v>
      </c>
      <c r="L43" s="68">
        <f t="shared" si="1"/>
        <v>0</v>
      </c>
      <c r="N43" s="119">
        <f>'Schedule 2I Adjustments'!X42</f>
        <v>0</v>
      </c>
      <c r="O43" s="119">
        <f>'Schedule 2I Adjustments'!AA42</f>
        <v>0</v>
      </c>
    </row>
    <row r="44" spans="1:15" x14ac:dyDescent="0.35">
      <c r="A44" s="24">
        <v>29</v>
      </c>
      <c r="B44" s="514" t="str">
        <f>'Schedule 2I Adjustments'!B43:D43</f>
        <v/>
      </c>
      <c r="C44" s="514"/>
      <c r="D44" s="514"/>
      <c r="F44" s="117">
        <f>'Schedule 2I Adjustments'!H43</f>
        <v>0</v>
      </c>
      <c r="G44" s="68">
        <f>'Schedule 2I Adjustments'!J43</f>
        <v>0</v>
      </c>
      <c r="H44" s="68">
        <f t="shared" si="0"/>
        <v>0</v>
      </c>
      <c r="J44" s="117">
        <f>'Schedule 2I Adjustments'!P43</f>
        <v>0</v>
      </c>
      <c r="K44" s="68">
        <f>'Schedule 2I Adjustments'!R43</f>
        <v>0</v>
      </c>
      <c r="L44" s="68">
        <f t="shared" si="1"/>
        <v>0</v>
      </c>
      <c r="N44" s="119">
        <f>'Schedule 2I Adjustments'!X43</f>
        <v>0</v>
      </c>
      <c r="O44" s="119">
        <f>'Schedule 2I Adjustments'!AA43</f>
        <v>0</v>
      </c>
    </row>
    <row r="45" spans="1:15" x14ac:dyDescent="0.35">
      <c r="A45" s="24">
        <v>30</v>
      </c>
      <c r="B45" s="514" t="str">
        <f>'Schedule 2I Adjustments'!B44:D44</f>
        <v/>
      </c>
      <c r="C45" s="514"/>
      <c r="D45" s="514"/>
      <c r="F45" s="117">
        <f>'Schedule 2I Adjustments'!H44</f>
        <v>0</v>
      </c>
      <c r="G45" s="68">
        <f>'Schedule 2I Adjustments'!J44</f>
        <v>0</v>
      </c>
      <c r="H45" s="68">
        <f t="shared" si="0"/>
        <v>0</v>
      </c>
      <c r="J45" s="117">
        <f>'Schedule 2I Adjustments'!P44</f>
        <v>0</v>
      </c>
      <c r="K45" s="68">
        <f>'Schedule 2I Adjustments'!R44</f>
        <v>0</v>
      </c>
      <c r="L45" s="68">
        <f t="shared" si="1"/>
        <v>0</v>
      </c>
      <c r="N45" s="119">
        <f>'Schedule 2I Adjustments'!X44</f>
        <v>0</v>
      </c>
      <c r="O45" s="119">
        <f>'Schedule 2I Adjustments'!AA44</f>
        <v>0</v>
      </c>
    </row>
    <row r="46" spans="1:15" x14ac:dyDescent="0.35">
      <c r="A46" s="24">
        <v>31</v>
      </c>
      <c r="B46" s="514" t="str">
        <f>'Schedule 2I Adjustments'!B45:D45</f>
        <v/>
      </c>
      <c r="C46" s="514"/>
      <c r="D46" s="514"/>
      <c r="F46" s="117">
        <f>'Schedule 2I Adjustments'!H45</f>
        <v>0</v>
      </c>
      <c r="G46" s="68">
        <f>'Schedule 2I Adjustments'!J45</f>
        <v>0</v>
      </c>
      <c r="H46" s="68">
        <f t="shared" si="0"/>
        <v>0</v>
      </c>
      <c r="J46" s="117">
        <f>'Schedule 2I Adjustments'!P45</f>
        <v>0</v>
      </c>
      <c r="K46" s="68">
        <f>'Schedule 2I Adjustments'!R45</f>
        <v>0</v>
      </c>
      <c r="L46" s="68">
        <f t="shared" si="1"/>
        <v>0</v>
      </c>
      <c r="N46" s="119">
        <f>'Schedule 2I Adjustments'!X45</f>
        <v>0</v>
      </c>
      <c r="O46" s="119">
        <f>'Schedule 2I Adjustments'!AA45</f>
        <v>0</v>
      </c>
    </row>
    <row r="47" spans="1:15" x14ac:dyDescent="0.35">
      <c r="A47" s="24">
        <v>32</v>
      </c>
      <c r="B47" s="514" t="str">
        <f>'Schedule 2I Adjustments'!B46:D46</f>
        <v/>
      </c>
      <c r="C47" s="514"/>
      <c r="D47" s="514"/>
      <c r="F47" s="117">
        <f>'Schedule 2I Adjustments'!H46</f>
        <v>0</v>
      </c>
      <c r="G47" s="68">
        <f>'Schedule 2I Adjustments'!J46</f>
        <v>0</v>
      </c>
      <c r="H47" s="68">
        <f t="shared" si="0"/>
        <v>0</v>
      </c>
      <c r="J47" s="117">
        <f>'Schedule 2I Adjustments'!P46</f>
        <v>0</v>
      </c>
      <c r="K47" s="68">
        <f>'Schedule 2I Adjustments'!R46</f>
        <v>0</v>
      </c>
      <c r="L47" s="68">
        <f t="shared" si="1"/>
        <v>0</v>
      </c>
      <c r="N47" s="119">
        <f>'Schedule 2I Adjustments'!X46</f>
        <v>0</v>
      </c>
      <c r="O47" s="119">
        <f>'Schedule 2I Adjustments'!AA46</f>
        <v>0</v>
      </c>
    </row>
    <row r="48" spans="1:15" x14ac:dyDescent="0.35">
      <c r="A48" s="24">
        <v>33</v>
      </c>
      <c r="B48" s="514" t="str">
        <f>'Schedule 2I Adjustments'!B47:D47</f>
        <v/>
      </c>
      <c r="C48" s="514"/>
      <c r="D48" s="514"/>
      <c r="F48" s="117">
        <f>'Schedule 2I Adjustments'!H47</f>
        <v>0</v>
      </c>
      <c r="G48" s="68">
        <f>'Schedule 2I Adjustments'!J47</f>
        <v>0</v>
      </c>
      <c r="H48" s="68">
        <f t="shared" si="0"/>
        <v>0</v>
      </c>
      <c r="J48" s="117">
        <f>'Schedule 2I Adjustments'!P47</f>
        <v>0</v>
      </c>
      <c r="K48" s="68">
        <f>'Schedule 2I Adjustments'!R47</f>
        <v>0</v>
      </c>
      <c r="L48" s="68">
        <f t="shared" si="1"/>
        <v>0</v>
      </c>
      <c r="N48" s="119">
        <f>'Schedule 2I Adjustments'!X47</f>
        <v>0</v>
      </c>
      <c r="O48" s="119">
        <f>'Schedule 2I Adjustments'!AA47</f>
        <v>0</v>
      </c>
    </row>
    <row r="49" spans="1:15" x14ac:dyDescent="0.35">
      <c r="A49" s="24">
        <v>34</v>
      </c>
      <c r="B49" s="514" t="str">
        <f>'Schedule 2I Adjustments'!B48:D48</f>
        <v/>
      </c>
      <c r="C49" s="514"/>
      <c r="D49" s="514"/>
      <c r="F49" s="117">
        <f>'Schedule 2I Adjustments'!H48</f>
        <v>0</v>
      </c>
      <c r="G49" s="68">
        <f>'Schedule 2I Adjustments'!J48</f>
        <v>0</v>
      </c>
      <c r="H49" s="68">
        <f t="shared" si="0"/>
        <v>0</v>
      </c>
      <c r="J49" s="117">
        <f>'Schedule 2I Adjustments'!P48</f>
        <v>0</v>
      </c>
      <c r="K49" s="68">
        <f>'Schedule 2I Adjustments'!R48</f>
        <v>0</v>
      </c>
      <c r="L49" s="68">
        <f t="shared" si="1"/>
        <v>0</v>
      </c>
      <c r="N49" s="119">
        <f>'Schedule 2I Adjustments'!X48</f>
        <v>0</v>
      </c>
      <c r="O49" s="119">
        <f>'Schedule 2I Adjustments'!AA48</f>
        <v>0</v>
      </c>
    </row>
    <row r="50" spans="1:15" x14ac:dyDescent="0.35">
      <c r="A50" s="24">
        <v>35</v>
      </c>
      <c r="B50" s="514" t="str">
        <f>'Schedule 2I Adjustments'!B49:D49</f>
        <v/>
      </c>
      <c r="C50" s="514"/>
      <c r="D50" s="514"/>
      <c r="F50" s="117">
        <f>'Schedule 2I Adjustments'!H49</f>
        <v>0</v>
      </c>
      <c r="G50" s="68">
        <f>'Schedule 2I Adjustments'!J49</f>
        <v>0</v>
      </c>
      <c r="H50" s="68">
        <f t="shared" si="0"/>
        <v>0</v>
      </c>
      <c r="J50" s="117">
        <f>'Schedule 2I Adjustments'!P49</f>
        <v>0</v>
      </c>
      <c r="K50" s="68">
        <f>'Schedule 2I Adjustments'!R49</f>
        <v>0</v>
      </c>
      <c r="L50" s="68">
        <f t="shared" si="1"/>
        <v>0</v>
      </c>
      <c r="N50" s="119">
        <f>'Schedule 2I Adjustments'!X49</f>
        <v>0</v>
      </c>
      <c r="O50" s="119">
        <f>'Schedule 2I Adjustments'!AA49</f>
        <v>0</v>
      </c>
    </row>
    <row r="51" spans="1:15" x14ac:dyDescent="0.35">
      <c r="A51" s="24">
        <v>36</v>
      </c>
      <c r="B51" s="514" t="str">
        <f>'Schedule 2I Adjustments'!B50:D50</f>
        <v/>
      </c>
      <c r="C51" s="514"/>
      <c r="D51" s="514"/>
      <c r="F51" s="117">
        <f>'Schedule 2I Adjustments'!H50</f>
        <v>0</v>
      </c>
      <c r="G51" s="68">
        <f>'Schedule 2I Adjustments'!J50</f>
        <v>0</v>
      </c>
      <c r="H51" s="68">
        <f t="shared" si="0"/>
        <v>0</v>
      </c>
      <c r="J51" s="117">
        <f>'Schedule 2I Adjustments'!P50</f>
        <v>0</v>
      </c>
      <c r="K51" s="68">
        <f>'Schedule 2I Adjustments'!R50</f>
        <v>0</v>
      </c>
      <c r="L51" s="68">
        <f t="shared" si="1"/>
        <v>0</v>
      </c>
      <c r="N51" s="119">
        <f>'Schedule 2I Adjustments'!X50</f>
        <v>0</v>
      </c>
      <c r="O51" s="119">
        <f>'Schedule 2I Adjustments'!AA50</f>
        <v>0</v>
      </c>
    </row>
    <row r="52" spans="1:15" x14ac:dyDescent="0.35">
      <c r="A52" s="24">
        <v>37</v>
      </c>
      <c r="B52" s="514" t="str">
        <f>'Schedule 2I Adjustments'!B51:D51</f>
        <v/>
      </c>
      <c r="C52" s="514"/>
      <c r="D52" s="514"/>
      <c r="F52" s="117">
        <f>'Schedule 2I Adjustments'!H51</f>
        <v>0</v>
      </c>
      <c r="G52" s="68">
        <f>'Schedule 2I Adjustments'!J51</f>
        <v>0</v>
      </c>
      <c r="H52" s="68">
        <f t="shared" si="0"/>
        <v>0</v>
      </c>
      <c r="J52" s="117">
        <f>'Schedule 2I Adjustments'!P51</f>
        <v>0</v>
      </c>
      <c r="K52" s="68">
        <f>'Schedule 2I Adjustments'!R51</f>
        <v>0</v>
      </c>
      <c r="L52" s="68">
        <f t="shared" si="1"/>
        <v>0</v>
      </c>
      <c r="N52" s="119">
        <f>'Schedule 2I Adjustments'!X51</f>
        <v>0</v>
      </c>
      <c r="O52" s="119">
        <f>'Schedule 2I Adjustments'!AA51</f>
        <v>0</v>
      </c>
    </row>
    <row r="53" spans="1:15" x14ac:dyDescent="0.35">
      <c r="A53" s="24">
        <v>38</v>
      </c>
      <c r="B53" s="514" t="str">
        <f>'Schedule 2I Adjustments'!B52:D52</f>
        <v/>
      </c>
      <c r="C53" s="514"/>
      <c r="D53" s="514"/>
      <c r="F53" s="117">
        <f>'Schedule 2I Adjustments'!H52</f>
        <v>0</v>
      </c>
      <c r="G53" s="68">
        <f>'Schedule 2I Adjustments'!J52</f>
        <v>0</v>
      </c>
      <c r="H53" s="68">
        <f t="shared" si="0"/>
        <v>0</v>
      </c>
      <c r="J53" s="117">
        <f>'Schedule 2I Adjustments'!P52</f>
        <v>0</v>
      </c>
      <c r="K53" s="68">
        <f>'Schedule 2I Adjustments'!R52</f>
        <v>0</v>
      </c>
      <c r="L53" s="68">
        <f t="shared" si="1"/>
        <v>0</v>
      </c>
      <c r="N53" s="119">
        <f>'Schedule 2I Adjustments'!X52</f>
        <v>0</v>
      </c>
      <c r="O53" s="119">
        <f>'Schedule 2I Adjustments'!AA52</f>
        <v>0</v>
      </c>
    </row>
    <row r="54" spans="1:15" x14ac:dyDescent="0.35">
      <c r="A54" s="24">
        <v>39</v>
      </c>
      <c r="B54" s="514" t="str">
        <f>'Schedule 2I Adjustments'!B53:D53</f>
        <v/>
      </c>
      <c r="C54" s="514"/>
      <c r="D54" s="514"/>
      <c r="F54" s="117">
        <f>'Schedule 2I Adjustments'!H53</f>
        <v>0</v>
      </c>
      <c r="G54" s="68">
        <f>'Schedule 2I Adjustments'!J53</f>
        <v>0</v>
      </c>
      <c r="H54" s="68">
        <f t="shared" si="0"/>
        <v>0</v>
      </c>
      <c r="J54" s="117">
        <f>'Schedule 2I Adjustments'!P53</f>
        <v>0</v>
      </c>
      <c r="K54" s="68">
        <f>'Schedule 2I Adjustments'!R53</f>
        <v>0</v>
      </c>
      <c r="L54" s="68">
        <f t="shared" si="1"/>
        <v>0</v>
      </c>
      <c r="N54" s="119">
        <f>'Schedule 2I Adjustments'!X53</f>
        <v>0</v>
      </c>
      <c r="O54" s="119">
        <f>'Schedule 2I Adjustments'!AA53</f>
        <v>0</v>
      </c>
    </row>
    <row r="55" spans="1:15" x14ac:dyDescent="0.35">
      <c r="A55" s="24">
        <v>40</v>
      </c>
      <c r="B55" s="514" t="str">
        <f>'Schedule 2I Adjustments'!B54:D54</f>
        <v/>
      </c>
      <c r="C55" s="514"/>
      <c r="D55" s="514"/>
      <c r="F55" s="117">
        <f>'Schedule 2I Adjustments'!H54</f>
        <v>0</v>
      </c>
      <c r="G55" s="68">
        <f>'Schedule 2I Adjustments'!J54</f>
        <v>0</v>
      </c>
      <c r="H55" s="68">
        <f t="shared" si="0"/>
        <v>0</v>
      </c>
      <c r="J55" s="117">
        <f>'Schedule 2I Adjustments'!P54</f>
        <v>0</v>
      </c>
      <c r="K55" s="68">
        <f>'Schedule 2I Adjustments'!R54</f>
        <v>0</v>
      </c>
      <c r="L55" s="68">
        <f t="shared" si="1"/>
        <v>0</v>
      </c>
      <c r="N55" s="119">
        <f>'Schedule 2I Adjustments'!X54</f>
        <v>0</v>
      </c>
      <c r="O55" s="119">
        <f>'Schedule 2I Adjustments'!AA54</f>
        <v>0</v>
      </c>
    </row>
    <row r="56" spans="1:15" x14ac:dyDescent="0.35">
      <c r="A56" s="24">
        <v>41</v>
      </c>
      <c r="B56" s="514" t="str">
        <f>'Schedule 2I Adjustments'!B55:D55</f>
        <v/>
      </c>
      <c r="C56" s="514"/>
      <c r="D56" s="514"/>
      <c r="F56" s="117">
        <f>'Schedule 2I Adjustments'!H55</f>
        <v>0</v>
      </c>
      <c r="G56" s="68">
        <f>'Schedule 2I Adjustments'!J55</f>
        <v>0</v>
      </c>
      <c r="H56" s="68">
        <f t="shared" si="0"/>
        <v>0</v>
      </c>
      <c r="J56" s="117">
        <f>'Schedule 2I Adjustments'!P55</f>
        <v>0</v>
      </c>
      <c r="K56" s="68">
        <f>'Schedule 2I Adjustments'!R55</f>
        <v>0</v>
      </c>
      <c r="L56" s="68">
        <f t="shared" si="1"/>
        <v>0</v>
      </c>
      <c r="N56" s="119">
        <f>'Schedule 2I Adjustments'!X55</f>
        <v>0</v>
      </c>
      <c r="O56" s="119">
        <f>'Schedule 2I Adjustments'!AA55</f>
        <v>0</v>
      </c>
    </row>
    <row r="57" spans="1:15" x14ac:dyDescent="0.35">
      <c r="A57" s="24">
        <v>42</v>
      </c>
      <c r="B57" s="514" t="str">
        <f>'Schedule 2I Adjustments'!B56:D56</f>
        <v/>
      </c>
      <c r="C57" s="514"/>
      <c r="D57" s="514"/>
      <c r="F57" s="117">
        <f>'Schedule 2I Adjustments'!H56</f>
        <v>0</v>
      </c>
      <c r="G57" s="68">
        <f>'Schedule 2I Adjustments'!J56</f>
        <v>0</v>
      </c>
      <c r="H57" s="68">
        <f t="shared" si="0"/>
        <v>0</v>
      </c>
      <c r="J57" s="117">
        <f>'Schedule 2I Adjustments'!P56</f>
        <v>0</v>
      </c>
      <c r="K57" s="68">
        <f>'Schedule 2I Adjustments'!R56</f>
        <v>0</v>
      </c>
      <c r="L57" s="68">
        <f t="shared" si="1"/>
        <v>0</v>
      </c>
      <c r="N57" s="119">
        <f>'Schedule 2I Adjustments'!X56</f>
        <v>0</v>
      </c>
      <c r="O57" s="119">
        <f>'Schedule 2I Adjustments'!AA56</f>
        <v>0</v>
      </c>
    </row>
    <row r="58" spans="1:15" x14ac:dyDescent="0.35">
      <c r="A58" s="24">
        <v>43</v>
      </c>
      <c r="B58" s="514" t="str">
        <f>'Schedule 2I Adjustments'!B57:D57</f>
        <v/>
      </c>
      <c r="C58" s="514"/>
      <c r="D58" s="514"/>
      <c r="F58" s="117">
        <f>'Schedule 2I Adjustments'!H57</f>
        <v>0</v>
      </c>
      <c r="G58" s="68">
        <f>'Schedule 2I Adjustments'!J57</f>
        <v>0</v>
      </c>
      <c r="H58" s="68">
        <f t="shared" si="0"/>
        <v>0</v>
      </c>
      <c r="J58" s="117">
        <f>'Schedule 2I Adjustments'!P57</f>
        <v>0</v>
      </c>
      <c r="K58" s="68">
        <f>'Schedule 2I Adjustments'!R57</f>
        <v>0</v>
      </c>
      <c r="L58" s="68">
        <f t="shared" si="1"/>
        <v>0</v>
      </c>
      <c r="N58" s="119">
        <f>'Schedule 2I Adjustments'!X57</f>
        <v>0</v>
      </c>
      <c r="O58" s="119">
        <f>'Schedule 2I Adjustments'!AA57</f>
        <v>0</v>
      </c>
    </row>
    <row r="59" spans="1:15" x14ac:dyDescent="0.35">
      <c r="A59" s="24">
        <v>44</v>
      </c>
      <c r="B59" s="514" t="str">
        <f>'Schedule 2I Adjustments'!B58:D58</f>
        <v/>
      </c>
      <c r="C59" s="514"/>
      <c r="D59" s="514"/>
      <c r="F59" s="117">
        <f>'Schedule 2I Adjustments'!H58</f>
        <v>0</v>
      </c>
      <c r="G59" s="68">
        <f>'Schedule 2I Adjustments'!J58</f>
        <v>0</v>
      </c>
      <c r="H59" s="68">
        <f t="shared" si="0"/>
        <v>0</v>
      </c>
      <c r="J59" s="117">
        <f>'Schedule 2I Adjustments'!P58</f>
        <v>0</v>
      </c>
      <c r="K59" s="68">
        <f>'Schedule 2I Adjustments'!R58</f>
        <v>0</v>
      </c>
      <c r="L59" s="68">
        <f t="shared" si="1"/>
        <v>0</v>
      </c>
      <c r="N59" s="119">
        <f>'Schedule 2I Adjustments'!X58</f>
        <v>0</v>
      </c>
      <c r="O59" s="119">
        <f>'Schedule 2I Adjustments'!AA58</f>
        <v>0</v>
      </c>
    </row>
    <row r="60" spans="1:15" x14ac:dyDescent="0.35">
      <c r="A60" s="24">
        <v>45</v>
      </c>
      <c r="B60" s="514" t="str">
        <f>'Schedule 2I Adjustments'!B59:D59</f>
        <v/>
      </c>
      <c r="C60" s="514"/>
      <c r="D60" s="514"/>
      <c r="F60" s="117">
        <f>'Schedule 2I Adjustments'!H59</f>
        <v>0</v>
      </c>
      <c r="G60" s="68">
        <f>'Schedule 2I Adjustments'!J59</f>
        <v>0</v>
      </c>
      <c r="H60" s="68">
        <f t="shared" si="0"/>
        <v>0</v>
      </c>
      <c r="J60" s="117">
        <f>'Schedule 2I Adjustments'!P59</f>
        <v>0</v>
      </c>
      <c r="K60" s="68">
        <f>'Schedule 2I Adjustments'!R59</f>
        <v>0</v>
      </c>
      <c r="L60" s="68">
        <f t="shared" si="1"/>
        <v>0</v>
      </c>
      <c r="N60" s="119">
        <f>'Schedule 2I Adjustments'!X59</f>
        <v>0</v>
      </c>
      <c r="O60" s="119">
        <f>'Schedule 2I Adjustments'!AA59</f>
        <v>0</v>
      </c>
    </row>
    <row r="61" spans="1:15" x14ac:dyDescent="0.35">
      <c r="A61" s="24">
        <v>46</v>
      </c>
      <c r="B61" s="514" t="str">
        <f>'Schedule 2I Adjustments'!B60:D60</f>
        <v/>
      </c>
      <c r="C61" s="514"/>
      <c r="D61" s="514"/>
      <c r="F61" s="117">
        <f>'Schedule 2I Adjustments'!H60</f>
        <v>0</v>
      </c>
      <c r="G61" s="68">
        <f>'Schedule 2I Adjustments'!J60</f>
        <v>0</v>
      </c>
      <c r="H61" s="68">
        <f t="shared" si="0"/>
        <v>0</v>
      </c>
      <c r="J61" s="117">
        <f>'Schedule 2I Adjustments'!P60</f>
        <v>0</v>
      </c>
      <c r="K61" s="68">
        <f>'Schedule 2I Adjustments'!R60</f>
        <v>0</v>
      </c>
      <c r="L61" s="68">
        <f t="shared" si="1"/>
        <v>0</v>
      </c>
      <c r="N61" s="119">
        <f>'Schedule 2I Adjustments'!X60</f>
        <v>0</v>
      </c>
      <c r="O61" s="119">
        <f>'Schedule 2I Adjustments'!AA60</f>
        <v>0</v>
      </c>
    </row>
    <row r="62" spans="1:15" x14ac:dyDescent="0.35">
      <c r="A62" s="24">
        <v>47</v>
      </c>
      <c r="B62" s="514" t="str">
        <f>'Schedule 2I Adjustments'!B61:D61</f>
        <v/>
      </c>
      <c r="C62" s="514"/>
      <c r="D62" s="514"/>
      <c r="F62" s="117">
        <f>'Schedule 2I Adjustments'!H61</f>
        <v>0</v>
      </c>
      <c r="G62" s="68">
        <f>'Schedule 2I Adjustments'!J61</f>
        <v>0</v>
      </c>
      <c r="H62" s="68">
        <f t="shared" si="0"/>
        <v>0</v>
      </c>
      <c r="J62" s="117">
        <f>'Schedule 2I Adjustments'!P61</f>
        <v>0</v>
      </c>
      <c r="K62" s="68">
        <f>'Schedule 2I Adjustments'!R61</f>
        <v>0</v>
      </c>
      <c r="L62" s="68">
        <f t="shared" si="1"/>
        <v>0</v>
      </c>
      <c r="N62" s="119">
        <f>'Schedule 2I Adjustments'!X61</f>
        <v>0</v>
      </c>
      <c r="O62" s="119">
        <f>'Schedule 2I Adjustments'!AA61</f>
        <v>0</v>
      </c>
    </row>
    <row r="63" spans="1:15" x14ac:dyDescent="0.35">
      <c r="A63" s="24">
        <v>48</v>
      </c>
      <c r="B63" s="514" t="str">
        <f>'Schedule 2I Adjustments'!B62:D62</f>
        <v/>
      </c>
      <c r="C63" s="514"/>
      <c r="D63" s="514"/>
      <c r="F63" s="117">
        <f>'Schedule 2I Adjustments'!H62</f>
        <v>0</v>
      </c>
      <c r="G63" s="68">
        <f>'Schedule 2I Adjustments'!J62</f>
        <v>0</v>
      </c>
      <c r="H63" s="68">
        <f t="shared" si="0"/>
        <v>0</v>
      </c>
      <c r="J63" s="117">
        <f>'Schedule 2I Adjustments'!P62</f>
        <v>0</v>
      </c>
      <c r="K63" s="68">
        <f>'Schedule 2I Adjustments'!R62</f>
        <v>0</v>
      </c>
      <c r="L63" s="68">
        <f t="shared" si="1"/>
        <v>0</v>
      </c>
      <c r="N63" s="119">
        <f>'Schedule 2I Adjustments'!X62</f>
        <v>0</v>
      </c>
      <c r="O63" s="119">
        <f>'Schedule 2I Adjustments'!AA62</f>
        <v>0</v>
      </c>
    </row>
    <row r="64" spans="1:15" x14ac:dyDescent="0.35">
      <c r="A64" s="24">
        <v>49</v>
      </c>
      <c r="B64" s="514" t="str">
        <f>'Schedule 2I Adjustments'!B63:D63</f>
        <v/>
      </c>
      <c r="C64" s="514"/>
      <c r="D64" s="514"/>
      <c r="F64" s="117">
        <f>'Schedule 2I Adjustments'!H63</f>
        <v>0</v>
      </c>
      <c r="G64" s="68">
        <f>'Schedule 2I Adjustments'!J63</f>
        <v>0</v>
      </c>
      <c r="H64" s="68">
        <f t="shared" si="0"/>
        <v>0</v>
      </c>
      <c r="J64" s="117">
        <f>'Schedule 2I Adjustments'!P63</f>
        <v>0</v>
      </c>
      <c r="K64" s="68">
        <f>'Schedule 2I Adjustments'!R63</f>
        <v>0</v>
      </c>
      <c r="L64" s="68">
        <f t="shared" si="1"/>
        <v>0</v>
      </c>
      <c r="N64" s="119">
        <f>'Schedule 2I Adjustments'!X63</f>
        <v>0</v>
      </c>
      <c r="O64" s="119">
        <f>'Schedule 2I Adjustments'!AA63</f>
        <v>0</v>
      </c>
    </row>
    <row r="65" spans="1:15" x14ac:dyDescent="0.35">
      <c r="A65" s="24">
        <v>50</v>
      </c>
      <c r="B65" s="514" t="str">
        <f>'Schedule 2I Adjustments'!B64:D64</f>
        <v/>
      </c>
      <c r="C65" s="514"/>
      <c r="D65" s="514"/>
      <c r="F65" s="117">
        <f>'Schedule 2I Adjustments'!H64</f>
        <v>0</v>
      </c>
      <c r="G65" s="68">
        <f>'Schedule 2I Adjustments'!J64</f>
        <v>0</v>
      </c>
      <c r="H65" s="68">
        <f t="shared" si="0"/>
        <v>0</v>
      </c>
      <c r="J65" s="117">
        <f>'Schedule 2I Adjustments'!P64</f>
        <v>0</v>
      </c>
      <c r="K65" s="68">
        <f>'Schedule 2I Adjustments'!R64</f>
        <v>0</v>
      </c>
      <c r="L65" s="68">
        <f t="shared" si="1"/>
        <v>0</v>
      </c>
      <c r="N65" s="119">
        <f>'Schedule 2I Adjustments'!X64</f>
        <v>0</v>
      </c>
      <c r="O65" s="119">
        <f>'Schedule 2I Adjustments'!AA64</f>
        <v>0</v>
      </c>
    </row>
    <row r="66" spans="1:15" x14ac:dyDescent="0.35">
      <c r="A66" s="24">
        <v>51</v>
      </c>
      <c r="B66" s="514" t="str">
        <f>'Schedule 2I Adjustments'!B65:D65</f>
        <v/>
      </c>
      <c r="C66" s="514"/>
      <c r="D66" s="514"/>
      <c r="F66" s="117">
        <f>'Schedule 2I Adjustments'!H65</f>
        <v>0</v>
      </c>
      <c r="G66" s="68">
        <f>'Schedule 2I Adjustments'!J65</f>
        <v>0</v>
      </c>
      <c r="H66" s="68">
        <f t="shared" si="0"/>
        <v>0</v>
      </c>
      <c r="J66" s="117">
        <f>'Schedule 2I Adjustments'!P65</f>
        <v>0</v>
      </c>
      <c r="K66" s="68">
        <f>'Schedule 2I Adjustments'!R65</f>
        <v>0</v>
      </c>
      <c r="L66" s="68">
        <f t="shared" si="1"/>
        <v>0</v>
      </c>
      <c r="N66" s="119">
        <f>'Schedule 2I Adjustments'!X65</f>
        <v>0</v>
      </c>
      <c r="O66" s="119">
        <f>'Schedule 2I Adjustments'!AA65</f>
        <v>0</v>
      </c>
    </row>
    <row r="67" spans="1:15" x14ac:dyDescent="0.35">
      <c r="A67" s="24">
        <v>52</v>
      </c>
      <c r="B67" s="514" t="str">
        <f>'Schedule 2I Adjustments'!B66:D66</f>
        <v/>
      </c>
      <c r="C67" s="514"/>
      <c r="D67" s="514"/>
      <c r="F67" s="117">
        <f>'Schedule 2I Adjustments'!H66</f>
        <v>0</v>
      </c>
      <c r="G67" s="68">
        <f>'Schedule 2I Adjustments'!J66</f>
        <v>0</v>
      </c>
      <c r="H67" s="68">
        <f t="shared" si="0"/>
        <v>0</v>
      </c>
      <c r="J67" s="117">
        <f>'Schedule 2I Adjustments'!P66</f>
        <v>0</v>
      </c>
      <c r="K67" s="68">
        <f>'Schedule 2I Adjustments'!R66</f>
        <v>0</v>
      </c>
      <c r="L67" s="68">
        <f t="shared" si="1"/>
        <v>0</v>
      </c>
      <c r="N67" s="119">
        <f>'Schedule 2I Adjustments'!X66</f>
        <v>0</v>
      </c>
      <c r="O67" s="119">
        <f>'Schedule 2I Adjustments'!AA66</f>
        <v>0</v>
      </c>
    </row>
    <row r="68" spans="1:15" x14ac:dyDescent="0.35">
      <c r="A68" s="24">
        <v>53</v>
      </c>
      <c r="B68" s="514" t="str">
        <f>'Schedule 2I Adjustments'!B67:D67</f>
        <v/>
      </c>
      <c r="C68" s="514"/>
      <c r="D68" s="514"/>
      <c r="F68" s="117">
        <f>'Schedule 2I Adjustments'!H67</f>
        <v>0</v>
      </c>
      <c r="G68" s="68">
        <f>'Schedule 2I Adjustments'!J67</f>
        <v>0</v>
      </c>
      <c r="H68" s="68">
        <f t="shared" si="0"/>
        <v>0</v>
      </c>
      <c r="J68" s="117">
        <f>'Schedule 2I Adjustments'!P67</f>
        <v>0</v>
      </c>
      <c r="K68" s="68">
        <f>'Schedule 2I Adjustments'!R67</f>
        <v>0</v>
      </c>
      <c r="L68" s="68">
        <f t="shared" si="1"/>
        <v>0</v>
      </c>
      <c r="N68" s="119">
        <f>'Schedule 2I Adjustments'!X67</f>
        <v>0</v>
      </c>
      <c r="O68" s="119">
        <f>'Schedule 2I Adjustments'!AA67</f>
        <v>0</v>
      </c>
    </row>
    <row r="69" spans="1:15" x14ac:dyDescent="0.35">
      <c r="A69" s="24">
        <v>54</v>
      </c>
      <c r="B69" s="514" t="str">
        <f>'Schedule 2I Adjustments'!B68:D68</f>
        <v/>
      </c>
      <c r="C69" s="514"/>
      <c r="D69" s="514"/>
      <c r="F69" s="117">
        <f>'Schedule 2I Adjustments'!H68</f>
        <v>0</v>
      </c>
      <c r="G69" s="68">
        <f>'Schedule 2I Adjustments'!J68</f>
        <v>0</v>
      </c>
      <c r="H69" s="68">
        <f t="shared" si="0"/>
        <v>0</v>
      </c>
      <c r="J69" s="117">
        <f>'Schedule 2I Adjustments'!P68</f>
        <v>0</v>
      </c>
      <c r="K69" s="68">
        <f>'Schedule 2I Adjustments'!R68</f>
        <v>0</v>
      </c>
      <c r="L69" s="68">
        <f t="shared" si="1"/>
        <v>0</v>
      </c>
      <c r="N69" s="119">
        <f>'Schedule 2I Adjustments'!X68</f>
        <v>0</v>
      </c>
      <c r="O69" s="119">
        <f>'Schedule 2I Adjustments'!AA68</f>
        <v>0</v>
      </c>
    </row>
    <row r="70" spans="1:15" x14ac:dyDescent="0.35">
      <c r="A70" s="24">
        <v>55</v>
      </c>
      <c r="B70" s="514" t="str">
        <f>'Schedule 2I Adjustments'!B69:D69</f>
        <v/>
      </c>
      <c r="C70" s="514"/>
      <c r="D70" s="514"/>
      <c r="F70" s="117">
        <f>'Schedule 2I Adjustments'!H69</f>
        <v>0</v>
      </c>
      <c r="G70" s="68">
        <f>'Schedule 2I Adjustments'!J69</f>
        <v>0</v>
      </c>
      <c r="H70" s="68">
        <f t="shared" si="0"/>
        <v>0</v>
      </c>
      <c r="J70" s="117">
        <f>'Schedule 2I Adjustments'!P69</f>
        <v>0</v>
      </c>
      <c r="K70" s="68">
        <f>'Schedule 2I Adjustments'!R69</f>
        <v>0</v>
      </c>
      <c r="L70" s="68">
        <f t="shared" si="1"/>
        <v>0</v>
      </c>
      <c r="N70" s="119">
        <f>'Schedule 2I Adjustments'!X69</f>
        <v>0</v>
      </c>
      <c r="O70" s="119">
        <f>'Schedule 2I Adjustments'!AA69</f>
        <v>0</v>
      </c>
    </row>
    <row r="71" spans="1:15" x14ac:dyDescent="0.35">
      <c r="A71" s="24">
        <v>56</v>
      </c>
      <c r="B71" s="514" t="str">
        <f>'Schedule 2I Adjustments'!B70:D70</f>
        <v/>
      </c>
      <c r="C71" s="514"/>
      <c r="D71" s="514"/>
      <c r="F71" s="117">
        <f>'Schedule 2I Adjustments'!H70</f>
        <v>0</v>
      </c>
      <c r="G71" s="68">
        <f>'Schedule 2I Adjustments'!J70</f>
        <v>0</v>
      </c>
      <c r="H71" s="68">
        <f t="shared" si="0"/>
        <v>0</v>
      </c>
      <c r="J71" s="117">
        <f>'Schedule 2I Adjustments'!P70</f>
        <v>0</v>
      </c>
      <c r="K71" s="68">
        <f>'Schedule 2I Adjustments'!R70</f>
        <v>0</v>
      </c>
      <c r="L71" s="68">
        <f t="shared" si="1"/>
        <v>0</v>
      </c>
      <c r="N71" s="119">
        <f>'Schedule 2I Adjustments'!X70</f>
        <v>0</v>
      </c>
      <c r="O71" s="119">
        <f>'Schedule 2I Adjustments'!AA70</f>
        <v>0</v>
      </c>
    </row>
    <row r="72" spans="1:15" x14ac:dyDescent="0.35">
      <c r="A72" s="24">
        <v>57</v>
      </c>
      <c r="B72" s="514" t="str">
        <f>'Schedule 2I Adjustments'!B71:D71</f>
        <v/>
      </c>
      <c r="C72" s="514"/>
      <c r="D72" s="514"/>
      <c r="F72" s="117">
        <f>'Schedule 2I Adjustments'!H71</f>
        <v>0</v>
      </c>
      <c r="G72" s="68">
        <f>'Schedule 2I Adjustments'!J71</f>
        <v>0</v>
      </c>
      <c r="H72" s="68">
        <f t="shared" si="0"/>
        <v>0</v>
      </c>
      <c r="J72" s="117">
        <f>'Schedule 2I Adjustments'!P71</f>
        <v>0</v>
      </c>
      <c r="K72" s="68">
        <f>'Schedule 2I Adjustments'!R71</f>
        <v>0</v>
      </c>
      <c r="L72" s="68">
        <f t="shared" si="1"/>
        <v>0</v>
      </c>
      <c r="N72" s="119">
        <f>'Schedule 2I Adjustments'!X71</f>
        <v>0</v>
      </c>
      <c r="O72" s="119">
        <f>'Schedule 2I Adjustments'!AA71</f>
        <v>0</v>
      </c>
    </row>
    <row r="73" spans="1:15" x14ac:dyDescent="0.35">
      <c r="A73" s="24">
        <v>58</v>
      </c>
      <c r="B73" s="514" t="str">
        <f>'Schedule 2I Adjustments'!B72:D72</f>
        <v/>
      </c>
      <c r="C73" s="514"/>
      <c r="D73" s="514"/>
      <c r="F73" s="117">
        <f>'Schedule 2I Adjustments'!H72</f>
        <v>0</v>
      </c>
      <c r="G73" s="68">
        <f>'Schedule 2I Adjustments'!J72</f>
        <v>0</v>
      </c>
      <c r="H73" s="68">
        <f t="shared" si="0"/>
        <v>0</v>
      </c>
      <c r="J73" s="117">
        <f>'Schedule 2I Adjustments'!P72</f>
        <v>0</v>
      </c>
      <c r="K73" s="68">
        <f>'Schedule 2I Adjustments'!R72</f>
        <v>0</v>
      </c>
      <c r="L73" s="68">
        <f t="shared" si="1"/>
        <v>0</v>
      </c>
      <c r="N73" s="119">
        <f>'Schedule 2I Adjustments'!X72</f>
        <v>0</v>
      </c>
      <c r="O73" s="119">
        <f>'Schedule 2I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0">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853</v>
      </c>
      <c r="B3" s="5"/>
      <c r="C3" s="5"/>
      <c r="D3" s="5"/>
      <c r="E3" s="5"/>
      <c r="F3" s="5"/>
      <c r="G3" s="5"/>
      <c r="H3" s="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825</v>
      </c>
      <c r="C9" s="1"/>
      <c r="F9" s="472" t="s">
        <v>1041</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2J Adjustments'!B15:D15</f>
        <v/>
      </c>
      <c r="C16" s="514"/>
      <c r="D16" s="514"/>
      <c r="F16" s="117">
        <f>'Schedule 2J Adjustments'!H15</f>
        <v>0</v>
      </c>
      <c r="G16" s="68">
        <f>'Schedule 2J Adjustments'!J15</f>
        <v>0</v>
      </c>
      <c r="H16" s="68">
        <f>SUM(F16:G16)</f>
        <v>0</v>
      </c>
      <c r="J16" s="117">
        <f>'Schedule 2J Adjustments'!P15</f>
        <v>0</v>
      </c>
      <c r="K16" s="68">
        <f>'Schedule 2J Adjustments'!R15</f>
        <v>0</v>
      </c>
      <c r="L16" s="68">
        <f>SUM(J16:K16)</f>
        <v>0</v>
      </c>
      <c r="N16" s="119">
        <f>'Schedule 2J Adjustments'!X15</f>
        <v>0</v>
      </c>
      <c r="O16" s="119">
        <f>'Schedule 2J Adjustments'!AA15</f>
        <v>0</v>
      </c>
    </row>
    <row r="17" spans="1:15" x14ac:dyDescent="0.35">
      <c r="A17" s="24">
        <v>2</v>
      </c>
      <c r="B17" s="514" t="str">
        <f>'Schedule 2J Adjustments'!B16:D16</f>
        <v/>
      </c>
      <c r="C17" s="514"/>
      <c r="D17" s="514"/>
      <c r="F17" s="117">
        <f>'Schedule 2J Adjustments'!H16</f>
        <v>0</v>
      </c>
      <c r="G17" s="68">
        <f>'Schedule 2J Adjustments'!J16</f>
        <v>0</v>
      </c>
      <c r="H17" s="68">
        <f t="shared" ref="H17:H73" si="0">SUM(F17:G17)</f>
        <v>0</v>
      </c>
      <c r="J17" s="117">
        <f>'Schedule 2J Adjustments'!P16</f>
        <v>0</v>
      </c>
      <c r="K17" s="68">
        <f>'Schedule 2J Adjustments'!R16</f>
        <v>0</v>
      </c>
      <c r="L17" s="68">
        <f t="shared" ref="L17:L73" si="1">SUM(J17:K17)</f>
        <v>0</v>
      </c>
      <c r="N17" s="119">
        <f>'Schedule 2J Adjustments'!X16</f>
        <v>0</v>
      </c>
      <c r="O17" s="119">
        <f>'Schedule 2J Adjustments'!AA16</f>
        <v>0</v>
      </c>
    </row>
    <row r="18" spans="1:15" x14ac:dyDescent="0.35">
      <c r="A18" s="24">
        <v>3</v>
      </c>
      <c r="B18" s="514" t="str">
        <f>'Schedule 2J Adjustments'!B17:D17</f>
        <v/>
      </c>
      <c r="C18" s="514"/>
      <c r="D18" s="514"/>
      <c r="F18" s="117">
        <f>'Schedule 2J Adjustments'!H17</f>
        <v>0</v>
      </c>
      <c r="G18" s="68">
        <f>'Schedule 2J Adjustments'!J17</f>
        <v>0</v>
      </c>
      <c r="H18" s="68">
        <f t="shared" si="0"/>
        <v>0</v>
      </c>
      <c r="J18" s="117">
        <f>'Schedule 2J Adjustments'!P17</f>
        <v>0</v>
      </c>
      <c r="K18" s="68">
        <f>'Schedule 2J Adjustments'!R17</f>
        <v>0</v>
      </c>
      <c r="L18" s="68">
        <f t="shared" si="1"/>
        <v>0</v>
      </c>
      <c r="N18" s="119">
        <f>'Schedule 2J Adjustments'!X17</f>
        <v>0</v>
      </c>
      <c r="O18" s="119">
        <f>'Schedule 2J Adjustments'!AA17</f>
        <v>0</v>
      </c>
    </row>
    <row r="19" spans="1:15" x14ac:dyDescent="0.35">
      <c r="A19" s="24">
        <v>4</v>
      </c>
      <c r="B19" s="514" t="str">
        <f>'Schedule 2J Adjustments'!B18:D18</f>
        <v/>
      </c>
      <c r="C19" s="514"/>
      <c r="D19" s="514"/>
      <c r="F19" s="117">
        <f>'Schedule 2J Adjustments'!H18</f>
        <v>0</v>
      </c>
      <c r="G19" s="68">
        <f>'Schedule 2J Adjustments'!J18</f>
        <v>0</v>
      </c>
      <c r="H19" s="68">
        <f t="shared" si="0"/>
        <v>0</v>
      </c>
      <c r="J19" s="117">
        <f>'Schedule 2J Adjustments'!P18</f>
        <v>0</v>
      </c>
      <c r="K19" s="68">
        <f>'Schedule 2J Adjustments'!R18</f>
        <v>0</v>
      </c>
      <c r="L19" s="68">
        <f t="shared" si="1"/>
        <v>0</v>
      </c>
      <c r="N19" s="119">
        <f>'Schedule 2J Adjustments'!X18</f>
        <v>0</v>
      </c>
      <c r="O19" s="119">
        <f>'Schedule 2J Adjustments'!AA18</f>
        <v>0</v>
      </c>
    </row>
    <row r="20" spans="1:15" x14ac:dyDescent="0.35">
      <c r="A20" s="24">
        <v>5</v>
      </c>
      <c r="B20" s="514" t="str">
        <f>'Schedule 2J Adjustments'!B19:D19</f>
        <v/>
      </c>
      <c r="C20" s="514"/>
      <c r="D20" s="514"/>
      <c r="F20" s="117">
        <f>'Schedule 2J Adjustments'!H19</f>
        <v>0</v>
      </c>
      <c r="G20" s="68">
        <f>'Schedule 2J Adjustments'!J19</f>
        <v>0</v>
      </c>
      <c r="H20" s="68">
        <f t="shared" si="0"/>
        <v>0</v>
      </c>
      <c r="J20" s="117">
        <f>'Schedule 2J Adjustments'!P19</f>
        <v>0</v>
      </c>
      <c r="K20" s="68">
        <f>'Schedule 2J Adjustments'!R19</f>
        <v>0</v>
      </c>
      <c r="L20" s="68">
        <f t="shared" si="1"/>
        <v>0</v>
      </c>
      <c r="N20" s="119">
        <f>'Schedule 2J Adjustments'!X19</f>
        <v>0</v>
      </c>
      <c r="O20" s="119">
        <f>'Schedule 2J Adjustments'!AA19</f>
        <v>0</v>
      </c>
    </row>
    <row r="21" spans="1:15" x14ac:dyDescent="0.35">
      <c r="A21" s="24">
        <v>6</v>
      </c>
      <c r="B21" s="514" t="str">
        <f>'Schedule 2J Adjustments'!B20:D20</f>
        <v/>
      </c>
      <c r="C21" s="514"/>
      <c r="D21" s="514"/>
      <c r="F21" s="117">
        <f>'Schedule 2J Adjustments'!H20</f>
        <v>0</v>
      </c>
      <c r="G21" s="68">
        <f>'Schedule 2J Adjustments'!J20</f>
        <v>0</v>
      </c>
      <c r="H21" s="68">
        <f t="shared" si="0"/>
        <v>0</v>
      </c>
      <c r="J21" s="117">
        <f>'Schedule 2J Adjustments'!P20</f>
        <v>0</v>
      </c>
      <c r="K21" s="68">
        <f>'Schedule 2J Adjustments'!R20</f>
        <v>0</v>
      </c>
      <c r="L21" s="68">
        <f t="shared" si="1"/>
        <v>0</v>
      </c>
      <c r="N21" s="119">
        <f>'Schedule 2J Adjustments'!X20</f>
        <v>0</v>
      </c>
      <c r="O21" s="119">
        <f>'Schedule 2J Adjustments'!AA20</f>
        <v>0</v>
      </c>
    </row>
    <row r="22" spans="1:15" x14ac:dyDescent="0.35">
      <c r="A22" s="24">
        <v>7</v>
      </c>
      <c r="B22" s="514" t="str">
        <f>'Schedule 2J Adjustments'!B21:D21</f>
        <v/>
      </c>
      <c r="C22" s="514"/>
      <c r="D22" s="514"/>
      <c r="F22" s="117">
        <f>'Schedule 2J Adjustments'!H21</f>
        <v>0</v>
      </c>
      <c r="G22" s="68">
        <f>'Schedule 2J Adjustments'!J21</f>
        <v>0</v>
      </c>
      <c r="H22" s="68">
        <f t="shared" si="0"/>
        <v>0</v>
      </c>
      <c r="J22" s="117">
        <f>'Schedule 2J Adjustments'!P21</f>
        <v>0</v>
      </c>
      <c r="K22" s="68">
        <f>'Schedule 2J Adjustments'!R21</f>
        <v>0</v>
      </c>
      <c r="L22" s="68">
        <f t="shared" si="1"/>
        <v>0</v>
      </c>
      <c r="N22" s="119">
        <f>'Schedule 2J Adjustments'!X21</f>
        <v>0</v>
      </c>
      <c r="O22" s="119">
        <f>'Schedule 2J Adjustments'!AA21</f>
        <v>0</v>
      </c>
    </row>
    <row r="23" spans="1:15" x14ac:dyDescent="0.35">
      <c r="A23" s="24">
        <v>8</v>
      </c>
      <c r="B23" s="514" t="str">
        <f>'Schedule 2J Adjustments'!B22:D22</f>
        <v/>
      </c>
      <c r="C23" s="514"/>
      <c r="D23" s="514"/>
      <c r="F23" s="117">
        <f>'Schedule 2J Adjustments'!H22</f>
        <v>0</v>
      </c>
      <c r="G23" s="68">
        <f>'Schedule 2J Adjustments'!J22</f>
        <v>0</v>
      </c>
      <c r="H23" s="68">
        <f t="shared" si="0"/>
        <v>0</v>
      </c>
      <c r="J23" s="117">
        <f>'Schedule 2J Adjustments'!P22</f>
        <v>0</v>
      </c>
      <c r="K23" s="68">
        <f>'Schedule 2J Adjustments'!R22</f>
        <v>0</v>
      </c>
      <c r="L23" s="68">
        <f t="shared" si="1"/>
        <v>0</v>
      </c>
      <c r="N23" s="119">
        <f>'Schedule 2J Adjustments'!X22</f>
        <v>0</v>
      </c>
      <c r="O23" s="119">
        <f>'Schedule 2J Adjustments'!AA22</f>
        <v>0</v>
      </c>
    </row>
    <row r="24" spans="1:15" x14ac:dyDescent="0.35">
      <c r="A24" s="24">
        <v>9</v>
      </c>
      <c r="B24" s="514" t="str">
        <f>'Schedule 2J Adjustments'!B23:D23</f>
        <v/>
      </c>
      <c r="C24" s="514"/>
      <c r="D24" s="514"/>
      <c r="F24" s="117">
        <f>'Schedule 2J Adjustments'!H23</f>
        <v>0</v>
      </c>
      <c r="G24" s="68">
        <f>'Schedule 2J Adjustments'!J23</f>
        <v>0</v>
      </c>
      <c r="H24" s="68">
        <f t="shared" si="0"/>
        <v>0</v>
      </c>
      <c r="J24" s="117">
        <f>'Schedule 2J Adjustments'!P23</f>
        <v>0</v>
      </c>
      <c r="K24" s="68">
        <f>'Schedule 2J Adjustments'!R23</f>
        <v>0</v>
      </c>
      <c r="L24" s="68">
        <f t="shared" si="1"/>
        <v>0</v>
      </c>
      <c r="N24" s="119">
        <f>'Schedule 2J Adjustments'!X23</f>
        <v>0</v>
      </c>
      <c r="O24" s="119">
        <f>'Schedule 2J Adjustments'!AA23</f>
        <v>0</v>
      </c>
    </row>
    <row r="25" spans="1:15" x14ac:dyDescent="0.35">
      <c r="A25" s="24">
        <v>10</v>
      </c>
      <c r="B25" s="514" t="str">
        <f>'Schedule 2J Adjustments'!B24:D24</f>
        <v/>
      </c>
      <c r="C25" s="514"/>
      <c r="D25" s="514"/>
      <c r="F25" s="117">
        <f>'Schedule 2J Adjustments'!H24</f>
        <v>0</v>
      </c>
      <c r="G25" s="68">
        <f>'Schedule 2J Adjustments'!J24</f>
        <v>0</v>
      </c>
      <c r="H25" s="68">
        <f t="shared" si="0"/>
        <v>0</v>
      </c>
      <c r="J25" s="117">
        <f>'Schedule 2J Adjustments'!P24</f>
        <v>0</v>
      </c>
      <c r="K25" s="68">
        <f>'Schedule 2J Adjustments'!R24</f>
        <v>0</v>
      </c>
      <c r="L25" s="68">
        <f t="shared" si="1"/>
        <v>0</v>
      </c>
      <c r="N25" s="119">
        <f>'Schedule 2J Adjustments'!X24</f>
        <v>0</v>
      </c>
      <c r="O25" s="119">
        <f>'Schedule 2J Adjustments'!AA24</f>
        <v>0</v>
      </c>
    </row>
    <row r="26" spans="1:15" x14ac:dyDescent="0.35">
      <c r="A26" s="24">
        <v>11</v>
      </c>
      <c r="B26" s="514" t="str">
        <f>'Schedule 2J Adjustments'!B25:D25</f>
        <v/>
      </c>
      <c r="C26" s="514"/>
      <c r="D26" s="514"/>
      <c r="F26" s="117">
        <f>'Schedule 2J Adjustments'!H25</f>
        <v>0</v>
      </c>
      <c r="G26" s="68">
        <f>'Schedule 2J Adjustments'!J25</f>
        <v>0</v>
      </c>
      <c r="H26" s="68">
        <f t="shared" si="0"/>
        <v>0</v>
      </c>
      <c r="J26" s="117">
        <f>'Schedule 2J Adjustments'!P25</f>
        <v>0</v>
      </c>
      <c r="K26" s="68">
        <f>'Schedule 2J Adjustments'!R25</f>
        <v>0</v>
      </c>
      <c r="L26" s="68">
        <f t="shared" si="1"/>
        <v>0</v>
      </c>
      <c r="N26" s="119">
        <f>'Schedule 2J Adjustments'!X25</f>
        <v>0</v>
      </c>
      <c r="O26" s="119">
        <f>'Schedule 2J Adjustments'!AA25</f>
        <v>0</v>
      </c>
    </row>
    <row r="27" spans="1:15" x14ac:dyDescent="0.35">
      <c r="A27" s="24">
        <v>12</v>
      </c>
      <c r="B27" s="514" t="str">
        <f>'Schedule 2J Adjustments'!B26:D26</f>
        <v/>
      </c>
      <c r="C27" s="514"/>
      <c r="D27" s="514"/>
      <c r="F27" s="117">
        <f>'Schedule 2J Adjustments'!H26</f>
        <v>0</v>
      </c>
      <c r="G27" s="68">
        <f>'Schedule 2J Adjustments'!J26</f>
        <v>0</v>
      </c>
      <c r="H27" s="68">
        <f t="shared" si="0"/>
        <v>0</v>
      </c>
      <c r="J27" s="117">
        <f>'Schedule 2J Adjustments'!P26</f>
        <v>0</v>
      </c>
      <c r="K27" s="68">
        <f>'Schedule 2J Adjustments'!R26</f>
        <v>0</v>
      </c>
      <c r="L27" s="68">
        <f t="shared" si="1"/>
        <v>0</v>
      </c>
      <c r="N27" s="119">
        <f>'Schedule 2J Adjustments'!X26</f>
        <v>0</v>
      </c>
      <c r="O27" s="119">
        <f>'Schedule 2J Adjustments'!AA26</f>
        <v>0</v>
      </c>
    </row>
    <row r="28" spans="1:15" x14ac:dyDescent="0.35">
      <c r="A28" s="24">
        <v>13</v>
      </c>
      <c r="B28" s="514" t="str">
        <f>'Schedule 2J Adjustments'!B27:D27</f>
        <v/>
      </c>
      <c r="C28" s="514"/>
      <c r="D28" s="514"/>
      <c r="F28" s="117">
        <f>'Schedule 2J Adjustments'!H27</f>
        <v>0</v>
      </c>
      <c r="G28" s="68">
        <f>'Schedule 2J Adjustments'!J27</f>
        <v>0</v>
      </c>
      <c r="H28" s="68">
        <f t="shared" si="0"/>
        <v>0</v>
      </c>
      <c r="J28" s="117">
        <f>'Schedule 2J Adjustments'!P27</f>
        <v>0</v>
      </c>
      <c r="K28" s="68">
        <f>'Schedule 2J Adjustments'!R27</f>
        <v>0</v>
      </c>
      <c r="L28" s="68">
        <f t="shared" si="1"/>
        <v>0</v>
      </c>
      <c r="N28" s="119">
        <f>'Schedule 2J Adjustments'!X27</f>
        <v>0</v>
      </c>
      <c r="O28" s="119">
        <f>'Schedule 2J Adjustments'!AA27</f>
        <v>0</v>
      </c>
    </row>
    <row r="29" spans="1:15" x14ac:dyDescent="0.35">
      <c r="A29" s="24">
        <v>14</v>
      </c>
      <c r="B29" s="514" t="str">
        <f>'Schedule 2J Adjustments'!B28:D28</f>
        <v/>
      </c>
      <c r="C29" s="514"/>
      <c r="D29" s="514"/>
      <c r="F29" s="117">
        <f>'Schedule 2J Adjustments'!H28</f>
        <v>0</v>
      </c>
      <c r="G29" s="68">
        <f>'Schedule 2J Adjustments'!J28</f>
        <v>0</v>
      </c>
      <c r="H29" s="68">
        <f t="shared" si="0"/>
        <v>0</v>
      </c>
      <c r="J29" s="117">
        <f>'Schedule 2J Adjustments'!P28</f>
        <v>0</v>
      </c>
      <c r="K29" s="68">
        <f>'Schedule 2J Adjustments'!R28</f>
        <v>0</v>
      </c>
      <c r="L29" s="68">
        <f t="shared" si="1"/>
        <v>0</v>
      </c>
      <c r="N29" s="119">
        <f>'Schedule 2J Adjustments'!X28</f>
        <v>0</v>
      </c>
      <c r="O29" s="119">
        <f>'Schedule 2J Adjustments'!AA28</f>
        <v>0</v>
      </c>
    </row>
    <row r="30" spans="1:15" x14ac:dyDescent="0.35">
      <c r="A30" s="24">
        <v>15</v>
      </c>
      <c r="B30" s="514" t="str">
        <f>'Schedule 2J Adjustments'!B29:D29</f>
        <v/>
      </c>
      <c r="C30" s="514"/>
      <c r="D30" s="514"/>
      <c r="F30" s="117">
        <f>'Schedule 2J Adjustments'!H29</f>
        <v>0</v>
      </c>
      <c r="G30" s="68">
        <f>'Schedule 2J Adjustments'!J29</f>
        <v>0</v>
      </c>
      <c r="H30" s="68">
        <f t="shared" si="0"/>
        <v>0</v>
      </c>
      <c r="J30" s="117">
        <f>'Schedule 2J Adjustments'!P29</f>
        <v>0</v>
      </c>
      <c r="K30" s="68">
        <f>'Schedule 2J Adjustments'!R29</f>
        <v>0</v>
      </c>
      <c r="L30" s="68">
        <f t="shared" si="1"/>
        <v>0</v>
      </c>
      <c r="N30" s="119">
        <f>'Schedule 2J Adjustments'!X29</f>
        <v>0</v>
      </c>
      <c r="O30" s="119">
        <f>'Schedule 2J Adjustments'!AA29</f>
        <v>0</v>
      </c>
    </row>
    <row r="31" spans="1:15" x14ac:dyDescent="0.35">
      <c r="A31" s="24">
        <v>16</v>
      </c>
      <c r="B31" s="514" t="str">
        <f>'Schedule 2J Adjustments'!B30:D30</f>
        <v/>
      </c>
      <c r="C31" s="514"/>
      <c r="D31" s="514"/>
      <c r="F31" s="117">
        <f>'Schedule 2J Adjustments'!H30</f>
        <v>0</v>
      </c>
      <c r="G31" s="68">
        <f>'Schedule 2J Adjustments'!J30</f>
        <v>0</v>
      </c>
      <c r="H31" s="68">
        <f t="shared" si="0"/>
        <v>0</v>
      </c>
      <c r="J31" s="117">
        <f>'Schedule 2J Adjustments'!P30</f>
        <v>0</v>
      </c>
      <c r="K31" s="68">
        <f>'Schedule 2J Adjustments'!R30</f>
        <v>0</v>
      </c>
      <c r="L31" s="68">
        <f t="shared" si="1"/>
        <v>0</v>
      </c>
      <c r="N31" s="119">
        <f>'Schedule 2J Adjustments'!X30</f>
        <v>0</v>
      </c>
      <c r="O31" s="119">
        <f>'Schedule 2J Adjustments'!AA30</f>
        <v>0</v>
      </c>
    </row>
    <row r="32" spans="1:15" x14ac:dyDescent="0.35">
      <c r="A32" s="24">
        <v>17</v>
      </c>
      <c r="B32" s="514" t="str">
        <f>'Schedule 2J Adjustments'!B31:D31</f>
        <v/>
      </c>
      <c r="C32" s="514"/>
      <c r="D32" s="514"/>
      <c r="F32" s="117">
        <f>'Schedule 2J Adjustments'!H31</f>
        <v>0</v>
      </c>
      <c r="G32" s="68">
        <f>'Schedule 2J Adjustments'!J31</f>
        <v>0</v>
      </c>
      <c r="H32" s="68">
        <f t="shared" si="0"/>
        <v>0</v>
      </c>
      <c r="J32" s="117">
        <f>'Schedule 2J Adjustments'!P31</f>
        <v>0</v>
      </c>
      <c r="K32" s="68">
        <f>'Schedule 2J Adjustments'!R31</f>
        <v>0</v>
      </c>
      <c r="L32" s="68">
        <f t="shared" si="1"/>
        <v>0</v>
      </c>
      <c r="N32" s="119">
        <f>'Schedule 2J Adjustments'!X31</f>
        <v>0</v>
      </c>
      <c r="O32" s="119">
        <f>'Schedule 2J Adjustments'!AA31</f>
        <v>0</v>
      </c>
    </row>
    <row r="33" spans="1:15" x14ac:dyDescent="0.35">
      <c r="A33" s="24">
        <v>18</v>
      </c>
      <c r="B33" s="514" t="str">
        <f>'Schedule 2J Adjustments'!B32:D32</f>
        <v/>
      </c>
      <c r="C33" s="514"/>
      <c r="D33" s="514"/>
      <c r="F33" s="117">
        <f>'Schedule 2J Adjustments'!H32</f>
        <v>0</v>
      </c>
      <c r="G33" s="68">
        <f>'Schedule 2J Adjustments'!J32</f>
        <v>0</v>
      </c>
      <c r="H33" s="68">
        <f t="shared" si="0"/>
        <v>0</v>
      </c>
      <c r="J33" s="117">
        <f>'Schedule 2J Adjustments'!P32</f>
        <v>0</v>
      </c>
      <c r="K33" s="68">
        <f>'Schedule 2J Adjustments'!R32</f>
        <v>0</v>
      </c>
      <c r="L33" s="68">
        <f t="shared" si="1"/>
        <v>0</v>
      </c>
      <c r="N33" s="119">
        <f>'Schedule 2J Adjustments'!X32</f>
        <v>0</v>
      </c>
      <c r="O33" s="119">
        <f>'Schedule 2J Adjustments'!AA32</f>
        <v>0</v>
      </c>
    </row>
    <row r="34" spans="1:15" x14ac:dyDescent="0.35">
      <c r="A34" s="24">
        <v>19</v>
      </c>
      <c r="B34" s="514" t="str">
        <f>'Schedule 2J Adjustments'!B33:D33</f>
        <v/>
      </c>
      <c r="C34" s="514"/>
      <c r="D34" s="514"/>
      <c r="F34" s="117">
        <f>'Schedule 2J Adjustments'!H33</f>
        <v>0</v>
      </c>
      <c r="G34" s="68">
        <f>'Schedule 2J Adjustments'!J33</f>
        <v>0</v>
      </c>
      <c r="H34" s="68">
        <f t="shared" si="0"/>
        <v>0</v>
      </c>
      <c r="J34" s="117">
        <f>'Schedule 2J Adjustments'!P33</f>
        <v>0</v>
      </c>
      <c r="K34" s="68">
        <f>'Schedule 2J Adjustments'!R33</f>
        <v>0</v>
      </c>
      <c r="L34" s="68">
        <f t="shared" si="1"/>
        <v>0</v>
      </c>
      <c r="N34" s="119">
        <f>'Schedule 2J Adjustments'!X33</f>
        <v>0</v>
      </c>
      <c r="O34" s="119">
        <f>'Schedule 2J Adjustments'!AA33</f>
        <v>0</v>
      </c>
    </row>
    <row r="35" spans="1:15" x14ac:dyDescent="0.35">
      <c r="A35" s="24">
        <v>20</v>
      </c>
      <c r="B35" s="514" t="str">
        <f>'Schedule 2J Adjustments'!B34:D34</f>
        <v/>
      </c>
      <c r="C35" s="514"/>
      <c r="D35" s="514"/>
      <c r="F35" s="117">
        <f>'Schedule 2J Adjustments'!H34</f>
        <v>0</v>
      </c>
      <c r="G35" s="68">
        <f>'Schedule 2J Adjustments'!J34</f>
        <v>0</v>
      </c>
      <c r="H35" s="68">
        <f t="shared" si="0"/>
        <v>0</v>
      </c>
      <c r="J35" s="117">
        <f>'Schedule 2J Adjustments'!P34</f>
        <v>0</v>
      </c>
      <c r="K35" s="68">
        <f>'Schedule 2J Adjustments'!R34</f>
        <v>0</v>
      </c>
      <c r="L35" s="68">
        <f t="shared" si="1"/>
        <v>0</v>
      </c>
      <c r="N35" s="119">
        <f>'Schedule 2J Adjustments'!X34</f>
        <v>0</v>
      </c>
      <c r="O35" s="119">
        <f>'Schedule 2J Adjustments'!AA34</f>
        <v>0</v>
      </c>
    </row>
    <row r="36" spans="1:15" x14ac:dyDescent="0.35">
      <c r="A36" s="24">
        <v>21</v>
      </c>
      <c r="B36" s="514" t="str">
        <f>'Schedule 2J Adjustments'!B35:D35</f>
        <v/>
      </c>
      <c r="C36" s="514"/>
      <c r="D36" s="514"/>
      <c r="F36" s="117">
        <f>'Schedule 2J Adjustments'!H35</f>
        <v>0</v>
      </c>
      <c r="G36" s="68">
        <f>'Schedule 2J Adjustments'!J35</f>
        <v>0</v>
      </c>
      <c r="H36" s="68">
        <f t="shared" si="0"/>
        <v>0</v>
      </c>
      <c r="J36" s="117">
        <f>'Schedule 2J Adjustments'!P35</f>
        <v>0</v>
      </c>
      <c r="K36" s="68">
        <f>'Schedule 2J Adjustments'!R35</f>
        <v>0</v>
      </c>
      <c r="L36" s="68">
        <f t="shared" si="1"/>
        <v>0</v>
      </c>
      <c r="N36" s="119">
        <f>'Schedule 2J Adjustments'!X35</f>
        <v>0</v>
      </c>
      <c r="O36" s="119">
        <f>'Schedule 2J Adjustments'!AA35</f>
        <v>0</v>
      </c>
    </row>
    <row r="37" spans="1:15" x14ac:dyDescent="0.35">
      <c r="A37" s="24">
        <v>22</v>
      </c>
      <c r="B37" s="514" t="str">
        <f>'Schedule 2J Adjustments'!B36:D36</f>
        <v/>
      </c>
      <c r="C37" s="514"/>
      <c r="D37" s="514"/>
      <c r="F37" s="117">
        <f>'Schedule 2J Adjustments'!H36</f>
        <v>0</v>
      </c>
      <c r="G37" s="68">
        <f>'Schedule 2J Adjustments'!J36</f>
        <v>0</v>
      </c>
      <c r="H37" s="68">
        <f t="shared" si="0"/>
        <v>0</v>
      </c>
      <c r="J37" s="117">
        <f>'Schedule 2J Adjustments'!P36</f>
        <v>0</v>
      </c>
      <c r="K37" s="68">
        <f>'Schedule 2J Adjustments'!R36</f>
        <v>0</v>
      </c>
      <c r="L37" s="68">
        <f t="shared" si="1"/>
        <v>0</v>
      </c>
      <c r="N37" s="119">
        <f>'Schedule 2J Adjustments'!X36</f>
        <v>0</v>
      </c>
      <c r="O37" s="119">
        <f>'Schedule 2J Adjustments'!AA36</f>
        <v>0</v>
      </c>
    </row>
    <row r="38" spans="1:15" x14ac:dyDescent="0.35">
      <c r="A38" s="24">
        <v>23</v>
      </c>
      <c r="B38" s="514" t="str">
        <f>'Schedule 2J Adjustments'!B37:D37</f>
        <v/>
      </c>
      <c r="C38" s="514"/>
      <c r="D38" s="514"/>
      <c r="F38" s="117">
        <f>'Schedule 2J Adjustments'!H37</f>
        <v>0</v>
      </c>
      <c r="G38" s="68">
        <f>'Schedule 2J Adjustments'!J37</f>
        <v>0</v>
      </c>
      <c r="H38" s="68">
        <f t="shared" si="0"/>
        <v>0</v>
      </c>
      <c r="J38" s="117">
        <f>'Schedule 2J Adjustments'!P37</f>
        <v>0</v>
      </c>
      <c r="K38" s="68">
        <f>'Schedule 2J Adjustments'!R37</f>
        <v>0</v>
      </c>
      <c r="L38" s="68">
        <f t="shared" si="1"/>
        <v>0</v>
      </c>
      <c r="N38" s="119">
        <f>'Schedule 2J Adjustments'!X37</f>
        <v>0</v>
      </c>
      <c r="O38" s="119">
        <f>'Schedule 2J Adjustments'!AA37</f>
        <v>0</v>
      </c>
    </row>
    <row r="39" spans="1:15" x14ac:dyDescent="0.35">
      <c r="A39" s="24">
        <v>24</v>
      </c>
      <c r="B39" s="514" t="str">
        <f>'Schedule 2J Adjustments'!B38:D38</f>
        <v/>
      </c>
      <c r="C39" s="514"/>
      <c r="D39" s="514"/>
      <c r="F39" s="117">
        <f>'Schedule 2J Adjustments'!H38</f>
        <v>0</v>
      </c>
      <c r="G39" s="68">
        <f>'Schedule 2J Adjustments'!J38</f>
        <v>0</v>
      </c>
      <c r="H39" s="68">
        <f t="shared" si="0"/>
        <v>0</v>
      </c>
      <c r="J39" s="117">
        <f>'Schedule 2J Adjustments'!P38</f>
        <v>0</v>
      </c>
      <c r="K39" s="68">
        <f>'Schedule 2J Adjustments'!R38</f>
        <v>0</v>
      </c>
      <c r="L39" s="68">
        <f t="shared" si="1"/>
        <v>0</v>
      </c>
      <c r="N39" s="119">
        <f>'Schedule 2J Adjustments'!X38</f>
        <v>0</v>
      </c>
      <c r="O39" s="119">
        <f>'Schedule 2J Adjustments'!AA38</f>
        <v>0</v>
      </c>
    </row>
    <row r="40" spans="1:15" x14ac:dyDescent="0.35">
      <c r="A40" s="24">
        <v>25</v>
      </c>
      <c r="B40" s="514" t="str">
        <f>'Schedule 2J Adjustments'!B39:D39</f>
        <v/>
      </c>
      <c r="C40" s="514"/>
      <c r="D40" s="514"/>
      <c r="F40" s="117">
        <f>'Schedule 2J Adjustments'!H39</f>
        <v>0</v>
      </c>
      <c r="G40" s="68">
        <f>'Schedule 2J Adjustments'!J39</f>
        <v>0</v>
      </c>
      <c r="H40" s="68">
        <f t="shared" si="0"/>
        <v>0</v>
      </c>
      <c r="J40" s="117">
        <f>'Schedule 2J Adjustments'!P39</f>
        <v>0</v>
      </c>
      <c r="K40" s="68">
        <f>'Schedule 2J Adjustments'!R39</f>
        <v>0</v>
      </c>
      <c r="L40" s="68">
        <f t="shared" si="1"/>
        <v>0</v>
      </c>
      <c r="N40" s="119">
        <f>'Schedule 2J Adjustments'!X39</f>
        <v>0</v>
      </c>
      <c r="O40" s="119">
        <f>'Schedule 2J Adjustments'!AA39</f>
        <v>0</v>
      </c>
    </row>
    <row r="41" spans="1:15" x14ac:dyDescent="0.35">
      <c r="A41" s="24">
        <v>26</v>
      </c>
      <c r="B41" s="514" t="str">
        <f>'Schedule 2J Adjustments'!B40:D40</f>
        <v/>
      </c>
      <c r="C41" s="514"/>
      <c r="D41" s="514"/>
      <c r="F41" s="117">
        <f>'Schedule 2J Adjustments'!H40</f>
        <v>0</v>
      </c>
      <c r="G41" s="68">
        <f>'Schedule 2J Adjustments'!J40</f>
        <v>0</v>
      </c>
      <c r="H41" s="68">
        <f t="shared" si="0"/>
        <v>0</v>
      </c>
      <c r="J41" s="117">
        <f>'Schedule 2J Adjustments'!P40</f>
        <v>0</v>
      </c>
      <c r="K41" s="68">
        <f>'Schedule 2J Adjustments'!R40</f>
        <v>0</v>
      </c>
      <c r="L41" s="68">
        <f t="shared" si="1"/>
        <v>0</v>
      </c>
      <c r="N41" s="119">
        <f>'Schedule 2J Adjustments'!X40</f>
        <v>0</v>
      </c>
      <c r="O41" s="119">
        <f>'Schedule 2J Adjustments'!AA40</f>
        <v>0</v>
      </c>
    </row>
    <row r="42" spans="1:15" x14ac:dyDescent="0.35">
      <c r="A42" s="24">
        <v>27</v>
      </c>
      <c r="B42" s="514" t="str">
        <f>'Schedule 2J Adjustments'!B41:D41</f>
        <v/>
      </c>
      <c r="C42" s="514"/>
      <c r="D42" s="514"/>
      <c r="F42" s="117">
        <f>'Schedule 2J Adjustments'!H41</f>
        <v>0</v>
      </c>
      <c r="G42" s="68">
        <f>'Schedule 2J Adjustments'!J41</f>
        <v>0</v>
      </c>
      <c r="H42" s="68">
        <f t="shared" si="0"/>
        <v>0</v>
      </c>
      <c r="J42" s="117">
        <f>'Schedule 2J Adjustments'!P41</f>
        <v>0</v>
      </c>
      <c r="K42" s="68">
        <f>'Schedule 2J Adjustments'!R41</f>
        <v>0</v>
      </c>
      <c r="L42" s="68">
        <f t="shared" si="1"/>
        <v>0</v>
      </c>
      <c r="N42" s="119">
        <f>'Schedule 2J Adjustments'!X41</f>
        <v>0</v>
      </c>
      <c r="O42" s="119">
        <f>'Schedule 2J Adjustments'!AA41</f>
        <v>0</v>
      </c>
    </row>
    <row r="43" spans="1:15" x14ac:dyDescent="0.35">
      <c r="A43" s="24">
        <v>28</v>
      </c>
      <c r="B43" s="514" t="str">
        <f>'Schedule 2J Adjustments'!B42:D42</f>
        <v/>
      </c>
      <c r="C43" s="514"/>
      <c r="D43" s="514"/>
      <c r="F43" s="117">
        <f>'Schedule 2J Adjustments'!H42</f>
        <v>0</v>
      </c>
      <c r="G43" s="68">
        <f>'Schedule 2J Adjustments'!J42</f>
        <v>0</v>
      </c>
      <c r="H43" s="68">
        <f t="shared" si="0"/>
        <v>0</v>
      </c>
      <c r="J43" s="117">
        <f>'Schedule 2J Adjustments'!P42</f>
        <v>0</v>
      </c>
      <c r="K43" s="68">
        <f>'Schedule 2J Adjustments'!R42</f>
        <v>0</v>
      </c>
      <c r="L43" s="68">
        <f t="shared" si="1"/>
        <v>0</v>
      </c>
      <c r="N43" s="119">
        <f>'Schedule 2J Adjustments'!X42</f>
        <v>0</v>
      </c>
      <c r="O43" s="119">
        <f>'Schedule 2J Adjustments'!AA42</f>
        <v>0</v>
      </c>
    </row>
    <row r="44" spans="1:15" x14ac:dyDescent="0.35">
      <c r="A44" s="24">
        <v>29</v>
      </c>
      <c r="B44" s="514" t="str">
        <f>'Schedule 2J Adjustments'!B43:D43</f>
        <v/>
      </c>
      <c r="C44" s="514"/>
      <c r="D44" s="514"/>
      <c r="F44" s="117">
        <f>'Schedule 2J Adjustments'!H43</f>
        <v>0</v>
      </c>
      <c r="G44" s="68">
        <f>'Schedule 2J Adjustments'!J43</f>
        <v>0</v>
      </c>
      <c r="H44" s="68">
        <f t="shared" si="0"/>
        <v>0</v>
      </c>
      <c r="J44" s="117">
        <f>'Schedule 2J Adjustments'!P43</f>
        <v>0</v>
      </c>
      <c r="K44" s="68">
        <f>'Schedule 2J Adjustments'!R43</f>
        <v>0</v>
      </c>
      <c r="L44" s="68">
        <f t="shared" si="1"/>
        <v>0</v>
      </c>
      <c r="N44" s="119">
        <f>'Schedule 2J Adjustments'!X43</f>
        <v>0</v>
      </c>
      <c r="O44" s="119">
        <f>'Schedule 2J Adjustments'!AA43</f>
        <v>0</v>
      </c>
    </row>
    <row r="45" spans="1:15" x14ac:dyDescent="0.35">
      <c r="A45" s="24">
        <v>30</v>
      </c>
      <c r="B45" s="514" t="str">
        <f>'Schedule 2J Adjustments'!B44:D44</f>
        <v/>
      </c>
      <c r="C45" s="514"/>
      <c r="D45" s="514"/>
      <c r="F45" s="117">
        <f>'Schedule 2J Adjustments'!H44</f>
        <v>0</v>
      </c>
      <c r="G45" s="68">
        <f>'Schedule 2J Adjustments'!J44</f>
        <v>0</v>
      </c>
      <c r="H45" s="68">
        <f t="shared" si="0"/>
        <v>0</v>
      </c>
      <c r="J45" s="117">
        <f>'Schedule 2J Adjustments'!P44</f>
        <v>0</v>
      </c>
      <c r="K45" s="68">
        <f>'Schedule 2J Adjustments'!R44</f>
        <v>0</v>
      </c>
      <c r="L45" s="68">
        <f t="shared" si="1"/>
        <v>0</v>
      </c>
      <c r="N45" s="119">
        <f>'Schedule 2J Adjustments'!X44</f>
        <v>0</v>
      </c>
      <c r="O45" s="119">
        <f>'Schedule 2J Adjustments'!AA44</f>
        <v>0</v>
      </c>
    </row>
    <row r="46" spans="1:15" x14ac:dyDescent="0.35">
      <c r="A46" s="24">
        <v>31</v>
      </c>
      <c r="B46" s="514" t="str">
        <f>'Schedule 2J Adjustments'!B45:D45</f>
        <v/>
      </c>
      <c r="C46" s="514"/>
      <c r="D46" s="514"/>
      <c r="F46" s="117">
        <f>'Schedule 2J Adjustments'!H45</f>
        <v>0</v>
      </c>
      <c r="G46" s="68">
        <f>'Schedule 2J Adjustments'!J45</f>
        <v>0</v>
      </c>
      <c r="H46" s="68">
        <f t="shared" si="0"/>
        <v>0</v>
      </c>
      <c r="J46" s="117">
        <f>'Schedule 2J Adjustments'!P45</f>
        <v>0</v>
      </c>
      <c r="K46" s="68">
        <f>'Schedule 2J Adjustments'!R45</f>
        <v>0</v>
      </c>
      <c r="L46" s="68">
        <f t="shared" si="1"/>
        <v>0</v>
      </c>
      <c r="N46" s="119">
        <f>'Schedule 2J Adjustments'!X45</f>
        <v>0</v>
      </c>
      <c r="O46" s="119">
        <f>'Schedule 2J Adjustments'!AA45</f>
        <v>0</v>
      </c>
    </row>
    <row r="47" spans="1:15" x14ac:dyDescent="0.35">
      <c r="A47" s="24">
        <v>32</v>
      </c>
      <c r="B47" s="514" t="str">
        <f>'Schedule 2J Adjustments'!B46:D46</f>
        <v/>
      </c>
      <c r="C47" s="514"/>
      <c r="D47" s="514"/>
      <c r="F47" s="117">
        <f>'Schedule 2J Adjustments'!H46</f>
        <v>0</v>
      </c>
      <c r="G47" s="68">
        <f>'Schedule 2J Adjustments'!J46</f>
        <v>0</v>
      </c>
      <c r="H47" s="68">
        <f t="shared" si="0"/>
        <v>0</v>
      </c>
      <c r="J47" s="117">
        <f>'Schedule 2J Adjustments'!P46</f>
        <v>0</v>
      </c>
      <c r="K47" s="68">
        <f>'Schedule 2J Adjustments'!R46</f>
        <v>0</v>
      </c>
      <c r="L47" s="68">
        <f t="shared" si="1"/>
        <v>0</v>
      </c>
      <c r="N47" s="119">
        <f>'Schedule 2J Adjustments'!X46</f>
        <v>0</v>
      </c>
      <c r="O47" s="119">
        <f>'Schedule 2J Adjustments'!AA46</f>
        <v>0</v>
      </c>
    </row>
    <row r="48" spans="1:15" x14ac:dyDescent="0.35">
      <c r="A48" s="24">
        <v>33</v>
      </c>
      <c r="B48" s="514" t="str">
        <f>'Schedule 2J Adjustments'!B47:D47</f>
        <v/>
      </c>
      <c r="C48" s="514"/>
      <c r="D48" s="514"/>
      <c r="F48" s="117">
        <f>'Schedule 2J Adjustments'!H47</f>
        <v>0</v>
      </c>
      <c r="G48" s="68">
        <f>'Schedule 2J Adjustments'!J47</f>
        <v>0</v>
      </c>
      <c r="H48" s="68">
        <f t="shared" si="0"/>
        <v>0</v>
      </c>
      <c r="J48" s="117">
        <f>'Schedule 2J Adjustments'!P47</f>
        <v>0</v>
      </c>
      <c r="K48" s="68">
        <f>'Schedule 2J Adjustments'!R47</f>
        <v>0</v>
      </c>
      <c r="L48" s="68">
        <f t="shared" si="1"/>
        <v>0</v>
      </c>
      <c r="N48" s="119">
        <f>'Schedule 2J Adjustments'!X47</f>
        <v>0</v>
      </c>
      <c r="O48" s="119">
        <f>'Schedule 2J Adjustments'!AA47</f>
        <v>0</v>
      </c>
    </row>
    <row r="49" spans="1:15" x14ac:dyDescent="0.35">
      <c r="A49" s="24">
        <v>34</v>
      </c>
      <c r="B49" s="514" t="str">
        <f>'Schedule 2J Adjustments'!B48:D48</f>
        <v/>
      </c>
      <c r="C49" s="514"/>
      <c r="D49" s="514"/>
      <c r="F49" s="117">
        <f>'Schedule 2J Adjustments'!H48</f>
        <v>0</v>
      </c>
      <c r="G49" s="68">
        <f>'Schedule 2J Adjustments'!J48</f>
        <v>0</v>
      </c>
      <c r="H49" s="68">
        <f t="shared" si="0"/>
        <v>0</v>
      </c>
      <c r="J49" s="117">
        <f>'Schedule 2J Adjustments'!P48</f>
        <v>0</v>
      </c>
      <c r="K49" s="68">
        <f>'Schedule 2J Adjustments'!R48</f>
        <v>0</v>
      </c>
      <c r="L49" s="68">
        <f t="shared" si="1"/>
        <v>0</v>
      </c>
      <c r="N49" s="119">
        <f>'Schedule 2J Adjustments'!X48</f>
        <v>0</v>
      </c>
      <c r="O49" s="119">
        <f>'Schedule 2J Adjustments'!AA48</f>
        <v>0</v>
      </c>
    </row>
    <row r="50" spans="1:15" x14ac:dyDescent="0.35">
      <c r="A50" s="24">
        <v>35</v>
      </c>
      <c r="B50" s="514" t="str">
        <f>'Schedule 2J Adjustments'!B49:D49</f>
        <v/>
      </c>
      <c r="C50" s="514"/>
      <c r="D50" s="514"/>
      <c r="F50" s="117">
        <f>'Schedule 2J Adjustments'!H49</f>
        <v>0</v>
      </c>
      <c r="G50" s="68">
        <f>'Schedule 2J Adjustments'!J49</f>
        <v>0</v>
      </c>
      <c r="H50" s="68">
        <f t="shared" si="0"/>
        <v>0</v>
      </c>
      <c r="J50" s="117">
        <f>'Schedule 2J Adjustments'!P49</f>
        <v>0</v>
      </c>
      <c r="K50" s="68">
        <f>'Schedule 2J Adjustments'!R49</f>
        <v>0</v>
      </c>
      <c r="L50" s="68">
        <f t="shared" si="1"/>
        <v>0</v>
      </c>
      <c r="N50" s="119">
        <f>'Schedule 2J Adjustments'!X49</f>
        <v>0</v>
      </c>
      <c r="O50" s="119">
        <f>'Schedule 2J Adjustments'!AA49</f>
        <v>0</v>
      </c>
    </row>
    <row r="51" spans="1:15" x14ac:dyDescent="0.35">
      <c r="A51" s="24">
        <v>36</v>
      </c>
      <c r="B51" s="514" t="str">
        <f>'Schedule 2J Adjustments'!B50:D50</f>
        <v/>
      </c>
      <c r="C51" s="514"/>
      <c r="D51" s="514"/>
      <c r="F51" s="117">
        <f>'Schedule 2J Adjustments'!H50</f>
        <v>0</v>
      </c>
      <c r="G51" s="68">
        <f>'Schedule 2J Adjustments'!J50</f>
        <v>0</v>
      </c>
      <c r="H51" s="68">
        <f t="shared" si="0"/>
        <v>0</v>
      </c>
      <c r="J51" s="117">
        <f>'Schedule 2J Adjustments'!P50</f>
        <v>0</v>
      </c>
      <c r="K51" s="68">
        <f>'Schedule 2J Adjustments'!R50</f>
        <v>0</v>
      </c>
      <c r="L51" s="68">
        <f t="shared" si="1"/>
        <v>0</v>
      </c>
      <c r="N51" s="119">
        <f>'Schedule 2J Adjustments'!X50</f>
        <v>0</v>
      </c>
      <c r="O51" s="119">
        <f>'Schedule 2J Adjustments'!AA50</f>
        <v>0</v>
      </c>
    </row>
    <row r="52" spans="1:15" x14ac:dyDescent="0.35">
      <c r="A52" s="24">
        <v>37</v>
      </c>
      <c r="B52" s="514" t="str">
        <f>'Schedule 2J Adjustments'!B51:D51</f>
        <v/>
      </c>
      <c r="C52" s="514"/>
      <c r="D52" s="514"/>
      <c r="F52" s="117">
        <f>'Schedule 2J Adjustments'!H51</f>
        <v>0</v>
      </c>
      <c r="G52" s="68">
        <f>'Schedule 2J Adjustments'!J51</f>
        <v>0</v>
      </c>
      <c r="H52" s="68">
        <f t="shared" si="0"/>
        <v>0</v>
      </c>
      <c r="J52" s="117">
        <f>'Schedule 2J Adjustments'!P51</f>
        <v>0</v>
      </c>
      <c r="K52" s="68">
        <f>'Schedule 2J Adjustments'!R51</f>
        <v>0</v>
      </c>
      <c r="L52" s="68">
        <f t="shared" si="1"/>
        <v>0</v>
      </c>
      <c r="N52" s="119">
        <f>'Schedule 2J Adjustments'!X51</f>
        <v>0</v>
      </c>
      <c r="O52" s="119">
        <f>'Schedule 2J Adjustments'!AA51</f>
        <v>0</v>
      </c>
    </row>
    <row r="53" spans="1:15" x14ac:dyDescent="0.35">
      <c r="A53" s="24">
        <v>38</v>
      </c>
      <c r="B53" s="514" t="str">
        <f>'Schedule 2J Adjustments'!B52:D52</f>
        <v/>
      </c>
      <c r="C53" s="514"/>
      <c r="D53" s="514"/>
      <c r="F53" s="117">
        <f>'Schedule 2J Adjustments'!H52</f>
        <v>0</v>
      </c>
      <c r="G53" s="68">
        <f>'Schedule 2J Adjustments'!J52</f>
        <v>0</v>
      </c>
      <c r="H53" s="68">
        <f t="shared" si="0"/>
        <v>0</v>
      </c>
      <c r="J53" s="117">
        <f>'Schedule 2J Adjustments'!P52</f>
        <v>0</v>
      </c>
      <c r="K53" s="68">
        <f>'Schedule 2J Adjustments'!R52</f>
        <v>0</v>
      </c>
      <c r="L53" s="68">
        <f t="shared" si="1"/>
        <v>0</v>
      </c>
      <c r="N53" s="119">
        <f>'Schedule 2J Adjustments'!X52</f>
        <v>0</v>
      </c>
      <c r="O53" s="119">
        <f>'Schedule 2J Adjustments'!AA52</f>
        <v>0</v>
      </c>
    </row>
    <row r="54" spans="1:15" x14ac:dyDescent="0.35">
      <c r="A54" s="24">
        <v>39</v>
      </c>
      <c r="B54" s="514" t="str">
        <f>'Schedule 2J Adjustments'!B53:D53</f>
        <v/>
      </c>
      <c r="C54" s="514"/>
      <c r="D54" s="514"/>
      <c r="F54" s="117">
        <f>'Schedule 2J Adjustments'!H53</f>
        <v>0</v>
      </c>
      <c r="G54" s="68">
        <f>'Schedule 2J Adjustments'!J53</f>
        <v>0</v>
      </c>
      <c r="H54" s="68">
        <f t="shared" si="0"/>
        <v>0</v>
      </c>
      <c r="J54" s="117">
        <f>'Schedule 2J Adjustments'!P53</f>
        <v>0</v>
      </c>
      <c r="K54" s="68">
        <f>'Schedule 2J Adjustments'!R53</f>
        <v>0</v>
      </c>
      <c r="L54" s="68">
        <f t="shared" si="1"/>
        <v>0</v>
      </c>
      <c r="N54" s="119">
        <f>'Schedule 2J Adjustments'!X53</f>
        <v>0</v>
      </c>
      <c r="O54" s="119">
        <f>'Schedule 2J Adjustments'!AA53</f>
        <v>0</v>
      </c>
    </row>
    <row r="55" spans="1:15" x14ac:dyDescent="0.35">
      <c r="A55" s="24">
        <v>40</v>
      </c>
      <c r="B55" s="514" t="str">
        <f>'Schedule 2J Adjustments'!B54:D54</f>
        <v/>
      </c>
      <c r="C55" s="514"/>
      <c r="D55" s="514"/>
      <c r="F55" s="117">
        <f>'Schedule 2J Adjustments'!H54</f>
        <v>0</v>
      </c>
      <c r="G55" s="68">
        <f>'Schedule 2J Adjustments'!J54</f>
        <v>0</v>
      </c>
      <c r="H55" s="68">
        <f t="shared" si="0"/>
        <v>0</v>
      </c>
      <c r="J55" s="117">
        <f>'Schedule 2J Adjustments'!P54</f>
        <v>0</v>
      </c>
      <c r="K55" s="68">
        <f>'Schedule 2J Adjustments'!R54</f>
        <v>0</v>
      </c>
      <c r="L55" s="68">
        <f t="shared" si="1"/>
        <v>0</v>
      </c>
      <c r="N55" s="119">
        <f>'Schedule 2J Adjustments'!X54</f>
        <v>0</v>
      </c>
      <c r="O55" s="119">
        <f>'Schedule 2J Adjustments'!AA54</f>
        <v>0</v>
      </c>
    </row>
    <row r="56" spans="1:15" x14ac:dyDescent="0.35">
      <c r="A56" s="24">
        <v>41</v>
      </c>
      <c r="B56" s="514" t="str">
        <f>'Schedule 2J Adjustments'!B55:D55</f>
        <v/>
      </c>
      <c r="C56" s="514"/>
      <c r="D56" s="514"/>
      <c r="F56" s="117">
        <f>'Schedule 2J Adjustments'!H55</f>
        <v>0</v>
      </c>
      <c r="G56" s="68">
        <f>'Schedule 2J Adjustments'!J55</f>
        <v>0</v>
      </c>
      <c r="H56" s="68">
        <f t="shared" si="0"/>
        <v>0</v>
      </c>
      <c r="J56" s="117">
        <f>'Schedule 2J Adjustments'!P55</f>
        <v>0</v>
      </c>
      <c r="K56" s="68">
        <f>'Schedule 2J Adjustments'!R55</f>
        <v>0</v>
      </c>
      <c r="L56" s="68">
        <f t="shared" si="1"/>
        <v>0</v>
      </c>
      <c r="N56" s="119">
        <f>'Schedule 2J Adjustments'!X55</f>
        <v>0</v>
      </c>
      <c r="O56" s="119">
        <f>'Schedule 2J Adjustments'!AA55</f>
        <v>0</v>
      </c>
    </row>
    <row r="57" spans="1:15" x14ac:dyDescent="0.35">
      <c r="A57" s="24">
        <v>42</v>
      </c>
      <c r="B57" s="514" t="str">
        <f>'Schedule 2J Adjustments'!B56:D56</f>
        <v/>
      </c>
      <c r="C57" s="514"/>
      <c r="D57" s="514"/>
      <c r="F57" s="117">
        <f>'Schedule 2J Adjustments'!H56</f>
        <v>0</v>
      </c>
      <c r="G57" s="68">
        <f>'Schedule 2J Adjustments'!J56</f>
        <v>0</v>
      </c>
      <c r="H57" s="68">
        <f t="shared" si="0"/>
        <v>0</v>
      </c>
      <c r="J57" s="117">
        <f>'Schedule 2J Adjustments'!P56</f>
        <v>0</v>
      </c>
      <c r="K57" s="68">
        <f>'Schedule 2J Adjustments'!R56</f>
        <v>0</v>
      </c>
      <c r="L57" s="68">
        <f t="shared" si="1"/>
        <v>0</v>
      </c>
      <c r="N57" s="119">
        <f>'Schedule 2J Adjustments'!X56</f>
        <v>0</v>
      </c>
      <c r="O57" s="119">
        <f>'Schedule 2J Adjustments'!AA56</f>
        <v>0</v>
      </c>
    </row>
    <row r="58" spans="1:15" x14ac:dyDescent="0.35">
      <c r="A58" s="24">
        <v>43</v>
      </c>
      <c r="B58" s="514" t="str">
        <f>'Schedule 2J Adjustments'!B57:D57</f>
        <v/>
      </c>
      <c r="C58" s="514"/>
      <c r="D58" s="514"/>
      <c r="F58" s="117">
        <f>'Schedule 2J Adjustments'!H57</f>
        <v>0</v>
      </c>
      <c r="G58" s="68">
        <f>'Schedule 2J Adjustments'!J57</f>
        <v>0</v>
      </c>
      <c r="H58" s="68">
        <f t="shared" si="0"/>
        <v>0</v>
      </c>
      <c r="J58" s="117">
        <f>'Schedule 2J Adjustments'!P57</f>
        <v>0</v>
      </c>
      <c r="K58" s="68">
        <f>'Schedule 2J Adjustments'!R57</f>
        <v>0</v>
      </c>
      <c r="L58" s="68">
        <f t="shared" si="1"/>
        <v>0</v>
      </c>
      <c r="N58" s="119">
        <f>'Schedule 2J Adjustments'!X57</f>
        <v>0</v>
      </c>
      <c r="O58" s="119">
        <f>'Schedule 2J Adjustments'!AA57</f>
        <v>0</v>
      </c>
    </row>
    <row r="59" spans="1:15" x14ac:dyDescent="0.35">
      <c r="A59" s="24">
        <v>44</v>
      </c>
      <c r="B59" s="514" t="str">
        <f>'Schedule 2J Adjustments'!B58:D58</f>
        <v/>
      </c>
      <c r="C59" s="514"/>
      <c r="D59" s="514"/>
      <c r="F59" s="117">
        <f>'Schedule 2J Adjustments'!H58</f>
        <v>0</v>
      </c>
      <c r="G59" s="68">
        <f>'Schedule 2J Adjustments'!J58</f>
        <v>0</v>
      </c>
      <c r="H59" s="68">
        <f t="shared" si="0"/>
        <v>0</v>
      </c>
      <c r="J59" s="117">
        <f>'Schedule 2J Adjustments'!P58</f>
        <v>0</v>
      </c>
      <c r="K59" s="68">
        <f>'Schedule 2J Adjustments'!R58</f>
        <v>0</v>
      </c>
      <c r="L59" s="68">
        <f t="shared" si="1"/>
        <v>0</v>
      </c>
      <c r="N59" s="119">
        <f>'Schedule 2J Adjustments'!X58</f>
        <v>0</v>
      </c>
      <c r="O59" s="119">
        <f>'Schedule 2J Adjustments'!AA58</f>
        <v>0</v>
      </c>
    </row>
    <row r="60" spans="1:15" x14ac:dyDescent="0.35">
      <c r="A60" s="24">
        <v>45</v>
      </c>
      <c r="B60" s="514" t="str">
        <f>'Schedule 2J Adjustments'!B59:D59</f>
        <v/>
      </c>
      <c r="C60" s="514"/>
      <c r="D60" s="514"/>
      <c r="F60" s="117">
        <f>'Schedule 2J Adjustments'!H59</f>
        <v>0</v>
      </c>
      <c r="G60" s="68">
        <f>'Schedule 2J Adjustments'!J59</f>
        <v>0</v>
      </c>
      <c r="H60" s="68">
        <f t="shared" si="0"/>
        <v>0</v>
      </c>
      <c r="J60" s="117">
        <f>'Schedule 2J Adjustments'!P59</f>
        <v>0</v>
      </c>
      <c r="K60" s="68">
        <f>'Schedule 2J Adjustments'!R59</f>
        <v>0</v>
      </c>
      <c r="L60" s="68">
        <f t="shared" si="1"/>
        <v>0</v>
      </c>
      <c r="N60" s="119">
        <f>'Schedule 2J Adjustments'!X59</f>
        <v>0</v>
      </c>
      <c r="O60" s="119">
        <f>'Schedule 2J Adjustments'!AA59</f>
        <v>0</v>
      </c>
    </row>
    <row r="61" spans="1:15" x14ac:dyDescent="0.35">
      <c r="A61" s="24">
        <v>46</v>
      </c>
      <c r="B61" s="514" t="str">
        <f>'Schedule 2J Adjustments'!B60:D60</f>
        <v/>
      </c>
      <c r="C61" s="514"/>
      <c r="D61" s="514"/>
      <c r="F61" s="117">
        <f>'Schedule 2J Adjustments'!H60</f>
        <v>0</v>
      </c>
      <c r="G61" s="68">
        <f>'Schedule 2J Adjustments'!J60</f>
        <v>0</v>
      </c>
      <c r="H61" s="68">
        <f t="shared" si="0"/>
        <v>0</v>
      </c>
      <c r="J61" s="117">
        <f>'Schedule 2J Adjustments'!P60</f>
        <v>0</v>
      </c>
      <c r="K61" s="68">
        <f>'Schedule 2J Adjustments'!R60</f>
        <v>0</v>
      </c>
      <c r="L61" s="68">
        <f t="shared" si="1"/>
        <v>0</v>
      </c>
      <c r="N61" s="119">
        <f>'Schedule 2J Adjustments'!X60</f>
        <v>0</v>
      </c>
      <c r="O61" s="119">
        <f>'Schedule 2J Adjustments'!AA60</f>
        <v>0</v>
      </c>
    </row>
    <row r="62" spans="1:15" x14ac:dyDescent="0.35">
      <c r="A62" s="24">
        <v>47</v>
      </c>
      <c r="B62" s="514" t="str">
        <f>'Schedule 2J Adjustments'!B61:D61</f>
        <v/>
      </c>
      <c r="C62" s="514"/>
      <c r="D62" s="514"/>
      <c r="F62" s="117">
        <f>'Schedule 2J Adjustments'!H61</f>
        <v>0</v>
      </c>
      <c r="G62" s="68">
        <f>'Schedule 2J Adjustments'!J61</f>
        <v>0</v>
      </c>
      <c r="H62" s="68">
        <f t="shared" si="0"/>
        <v>0</v>
      </c>
      <c r="J62" s="117">
        <f>'Schedule 2J Adjustments'!P61</f>
        <v>0</v>
      </c>
      <c r="K62" s="68">
        <f>'Schedule 2J Adjustments'!R61</f>
        <v>0</v>
      </c>
      <c r="L62" s="68">
        <f t="shared" si="1"/>
        <v>0</v>
      </c>
      <c r="N62" s="119">
        <f>'Schedule 2J Adjustments'!X61</f>
        <v>0</v>
      </c>
      <c r="O62" s="119">
        <f>'Schedule 2J Adjustments'!AA61</f>
        <v>0</v>
      </c>
    </row>
    <row r="63" spans="1:15" x14ac:dyDescent="0.35">
      <c r="A63" s="24">
        <v>48</v>
      </c>
      <c r="B63" s="514" t="str">
        <f>'Schedule 2J Adjustments'!B62:D62</f>
        <v/>
      </c>
      <c r="C63" s="514"/>
      <c r="D63" s="514"/>
      <c r="F63" s="117">
        <f>'Schedule 2J Adjustments'!H62</f>
        <v>0</v>
      </c>
      <c r="G63" s="68">
        <f>'Schedule 2J Adjustments'!J62</f>
        <v>0</v>
      </c>
      <c r="H63" s="68">
        <f t="shared" si="0"/>
        <v>0</v>
      </c>
      <c r="J63" s="117">
        <f>'Schedule 2J Adjustments'!P62</f>
        <v>0</v>
      </c>
      <c r="K63" s="68">
        <f>'Schedule 2J Adjustments'!R62</f>
        <v>0</v>
      </c>
      <c r="L63" s="68">
        <f t="shared" si="1"/>
        <v>0</v>
      </c>
      <c r="N63" s="119">
        <f>'Schedule 2J Adjustments'!X62</f>
        <v>0</v>
      </c>
      <c r="O63" s="119">
        <f>'Schedule 2J Adjustments'!AA62</f>
        <v>0</v>
      </c>
    </row>
    <row r="64" spans="1:15" x14ac:dyDescent="0.35">
      <c r="A64" s="24">
        <v>49</v>
      </c>
      <c r="B64" s="514" t="str">
        <f>'Schedule 2J Adjustments'!B63:D63</f>
        <v/>
      </c>
      <c r="C64" s="514"/>
      <c r="D64" s="514"/>
      <c r="F64" s="117">
        <f>'Schedule 2J Adjustments'!H63</f>
        <v>0</v>
      </c>
      <c r="G64" s="68">
        <f>'Schedule 2J Adjustments'!J63</f>
        <v>0</v>
      </c>
      <c r="H64" s="68">
        <f t="shared" si="0"/>
        <v>0</v>
      </c>
      <c r="J64" s="117">
        <f>'Schedule 2J Adjustments'!P63</f>
        <v>0</v>
      </c>
      <c r="K64" s="68">
        <f>'Schedule 2J Adjustments'!R63</f>
        <v>0</v>
      </c>
      <c r="L64" s="68">
        <f t="shared" si="1"/>
        <v>0</v>
      </c>
      <c r="N64" s="119">
        <f>'Schedule 2J Adjustments'!X63</f>
        <v>0</v>
      </c>
      <c r="O64" s="119">
        <f>'Schedule 2J Adjustments'!AA63</f>
        <v>0</v>
      </c>
    </row>
    <row r="65" spans="1:15" x14ac:dyDescent="0.35">
      <c r="A65" s="24">
        <v>50</v>
      </c>
      <c r="B65" s="514" t="str">
        <f>'Schedule 2J Adjustments'!B64:D64</f>
        <v/>
      </c>
      <c r="C65" s="514"/>
      <c r="D65" s="514"/>
      <c r="F65" s="117">
        <f>'Schedule 2J Adjustments'!H64</f>
        <v>0</v>
      </c>
      <c r="G65" s="68">
        <f>'Schedule 2J Adjustments'!J64</f>
        <v>0</v>
      </c>
      <c r="H65" s="68">
        <f t="shared" si="0"/>
        <v>0</v>
      </c>
      <c r="J65" s="117">
        <f>'Schedule 2J Adjustments'!P64</f>
        <v>0</v>
      </c>
      <c r="K65" s="68">
        <f>'Schedule 2J Adjustments'!R64</f>
        <v>0</v>
      </c>
      <c r="L65" s="68">
        <f t="shared" si="1"/>
        <v>0</v>
      </c>
      <c r="N65" s="119">
        <f>'Schedule 2J Adjustments'!X64</f>
        <v>0</v>
      </c>
      <c r="O65" s="119">
        <f>'Schedule 2J Adjustments'!AA64</f>
        <v>0</v>
      </c>
    </row>
    <row r="66" spans="1:15" x14ac:dyDescent="0.35">
      <c r="A66" s="24">
        <v>51</v>
      </c>
      <c r="B66" s="514" t="str">
        <f>'Schedule 2J Adjustments'!B65:D65</f>
        <v/>
      </c>
      <c r="C66" s="514"/>
      <c r="D66" s="514"/>
      <c r="F66" s="117">
        <f>'Schedule 2J Adjustments'!H65</f>
        <v>0</v>
      </c>
      <c r="G66" s="68">
        <f>'Schedule 2J Adjustments'!J65</f>
        <v>0</v>
      </c>
      <c r="H66" s="68">
        <f t="shared" si="0"/>
        <v>0</v>
      </c>
      <c r="J66" s="117">
        <f>'Schedule 2J Adjustments'!P65</f>
        <v>0</v>
      </c>
      <c r="K66" s="68">
        <f>'Schedule 2J Adjustments'!R65</f>
        <v>0</v>
      </c>
      <c r="L66" s="68">
        <f t="shared" si="1"/>
        <v>0</v>
      </c>
      <c r="N66" s="119">
        <f>'Schedule 2J Adjustments'!X65</f>
        <v>0</v>
      </c>
      <c r="O66" s="119">
        <f>'Schedule 2J Adjustments'!AA65</f>
        <v>0</v>
      </c>
    </row>
    <row r="67" spans="1:15" x14ac:dyDescent="0.35">
      <c r="A67" s="24">
        <v>52</v>
      </c>
      <c r="B67" s="514" t="str">
        <f>'Schedule 2J Adjustments'!B66:D66</f>
        <v/>
      </c>
      <c r="C67" s="514"/>
      <c r="D67" s="514"/>
      <c r="F67" s="117">
        <f>'Schedule 2J Adjustments'!H66</f>
        <v>0</v>
      </c>
      <c r="G67" s="68">
        <f>'Schedule 2J Adjustments'!J66</f>
        <v>0</v>
      </c>
      <c r="H67" s="68">
        <f t="shared" si="0"/>
        <v>0</v>
      </c>
      <c r="J67" s="117">
        <f>'Schedule 2J Adjustments'!P66</f>
        <v>0</v>
      </c>
      <c r="K67" s="68">
        <f>'Schedule 2J Adjustments'!R66</f>
        <v>0</v>
      </c>
      <c r="L67" s="68">
        <f t="shared" si="1"/>
        <v>0</v>
      </c>
      <c r="N67" s="119">
        <f>'Schedule 2J Adjustments'!X66</f>
        <v>0</v>
      </c>
      <c r="O67" s="119">
        <f>'Schedule 2J Adjustments'!AA66</f>
        <v>0</v>
      </c>
    </row>
    <row r="68" spans="1:15" x14ac:dyDescent="0.35">
      <c r="A68" s="24">
        <v>53</v>
      </c>
      <c r="B68" s="514" t="str">
        <f>'Schedule 2J Adjustments'!B67:D67</f>
        <v/>
      </c>
      <c r="C68" s="514"/>
      <c r="D68" s="514"/>
      <c r="F68" s="117">
        <f>'Schedule 2J Adjustments'!H67</f>
        <v>0</v>
      </c>
      <c r="G68" s="68">
        <f>'Schedule 2J Adjustments'!J67</f>
        <v>0</v>
      </c>
      <c r="H68" s="68">
        <f t="shared" si="0"/>
        <v>0</v>
      </c>
      <c r="J68" s="117">
        <f>'Schedule 2J Adjustments'!P67</f>
        <v>0</v>
      </c>
      <c r="K68" s="68">
        <f>'Schedule 2J Adjustments'!R67</f>
        <v>0</v>
      </c>
      <c r="L68" s="68">
        <f t="shared" si="1"/>
        <v>0</v>
      </c>
      <c r="N68" s="119">
        <f>'Schedule 2J Adjustments'!X67</f>
        <v>0</v>
      </c>
      <c r="O68" s="119">
        <f>'Schedule 2J Adjustments'!AA67</f>
        <v>0</v>
      </c>
    </row>
    <row r="69" spans="1:15" x14ac:dyDescent="0.35">
      <c r="A69" s="24">
        <v>54</v>
      </c>
      <c r="B69" s="514" t="str">
        <f>'Schedule 2J Adjustments'!B68:D68</f>
        <v/>
      </c>
      <c r="C69" s="514"/>
      <c r="D69" s="514"/>
      <c r="F69" s="117">
        <f>'Schedule 2J Adjustments'!H68</f>
        <v>0</v>
      </c>
      <c r="G69" s="68">
        <f>'Schedule 2J Adjustments'!J68</f>
        <v>0</v>
      </c>
      <c r="H69" s="68">
        <f t="shared" si="0"/>
        <v>0</v>
      </c>
      <c r="J69" s="117">
        <f>'Schedule 2J Adjustments'!P68</f>
        <v>0</v>
      </c>
      <c r="K69" s="68">
        <f>'Schedule 2J Adjustments'!R68</f>
        <v>0</v>
      </c>
      <c r="L69" s="68">
        <f t="shared" si="1"/>
        <v>0</v>
      </c>
      <c r="N69" s="119">
        <f>'Schedule 2J Adjustments'!X68</f>
        <v>0</v>
      </c>
      <c r="O69" s="119">
        <f>'Schedule 2J Adjustments'!AA68</f>
        <v>0</v>
      </c>
    </row>
    <row r="70" spans="1:15" x14ac:dyDescent="0.35">
      <c r="A70" s="24">
        <v>55</v>
      </c>
      <c r="B70" s="514" t="str">
        <f>'Schedule 2J Adjustments'!B69:D69</f>
        <v/>
      </c>
      <c r="C70" s="514"/>
      <c r="D70" s="514"/>
      <c r="F70" s="117">
        <f>'Schedule 2J Adjustments'!H69</f>
        <v>0</v>
      </c>
      <c r="G70" s="68">
        <f>'Schedule 2J Adjustments'!J69</f>
        <v>0</v>
      </c>
      <c r="H70" s="68">
        <f t="shared" si="0"/>
        <v>0</v>
      </c>
      <c r="J70" s="117">
        <f>'Schedule 2J Adjustments'!P69</f>
        <v>0</v>
      </c>
      <c r="K70" s="68">
        <f>'Schedule 2J Adjustments'!R69</f>
        <v>0</v>
      </c>
      <c r="L70" s="68">
        <f t="shared" si="1"/>
        <v>0</v>
      </c>
      <c r="N70" s="119">
        <f>'Schedule 2J Adjustments'!X69</f>
        <v>0</v>
      </c>
      <c r="O70" s="119">
        <f>'Schedule 2J Adjustments'!AA69</f>
        <v>0</v>
      </c>
    </row>
    <row r="71" spans="1:15" x14ac:dyDescent="0.35">
      <c r="A71" s="24">
        <v>56</v>
      </c>
      <c r="B71" s="514" t="str">
        <f>'Schedule 2J Adjustments'!B70:D70</f>
        <v/>
      </c>
      <c r="C71" s="514"/>
      <c r="D71" s="514"/>
      <c r="F71" s="117">
        <f>'Schedule 2J Adjustments'!H70</f>
        <v>0</v>
      </c>
      <c r="G71" s="68">
        <f>'Schedule 2J Adjustments'!J70</f>
        <v>0</v>
      </c>
      <c r="H71" s="68">
        <f t="shared" si="0"/>
        <v>0</v>
      </c>
      <c r="J71" s="117">
        <f>'Schedule 2J Adjustments'!P70</f>
        <v>0</v>
      </c>
      <c r="K71" s="68">
        <f>'Schedule 2J Adjustments'!R70</f>
        <v>0</v>
      </c>
      <c r="L71" s="68">
        <f t="shared" si="1"/>
        <v>0</v>
      </c>
      <c r="N71" s="119">
        <f>'Schedule 2J Adjustments'!X70</f>
        <v>0</v>
      </c>
      <c r="O71" s="119">
        <f>'Schedule 2J Adjustments'!AA70</f>
        <v>0</v>
      </c>
    </row>
    <row r="72" spans="1:15" x14ac:dyDescent="0.35">
      <c r="A72" s="24">
        <v>57</v>
      </c>
      <c r="B72" s="514" t="str">
        <f>'Schedule 2J Adjustments'!B71:D71</f>
        <v/>
      </c>
      <c r="C72" s="514"/>
      <c r="D72" s="514"/>
      <c r="F72" s="117">
        <f>'Schedule 2J Adjustments'!H71</f>
        <v>0</v>
      </c>
      <c r="G72" s="68">
        <f>'Schedule 2J Adjustments'!J71</f>
        <v>0</v>
      </c>
      <c r="H72" s="68">
        <f t="shared" si="0"/>
        <v>0</v>
      </c>
      <c r="J72" s="117">
        <f>'Schedule 2J Adjustments'!P71</f>
        <v>0</v>
      </c>
      <c r="K72" s="68">
        <f>'Schedule 2J Adjustments'!R71</f>
        <v>0</v>
      </c>
      <c r="L72" s="68">
        <f t="shared" si="1"/>
        <v>0</v>
      </c>
      <c r="N72" s="119">
        <f>'Schedule 2J Adjustments'!X71</f>
        <v>0</v>
      </c>
      <c r="O72" s="119">
        <f>'Schedule 2J Adjustments'!AA71</f>
        <v>0</v>
      </c>
    </row>
    <row r="73" spans="1:15" x14ac:dyDescent="0.35">
      <c r="A73" s="24">
        <v>58</v>
      </c>
      <c r="B73" s="514" t="str">
        <f>'Schedule 2J Adjustments'!B72:D72</f>
        <v/>
      </c>
      <c r="C73" s="514"/>
      <c r="D73" s="514"/>
      <c r="F73" s="117">
        <f>'Schedule 2J Adjustments'!H72</f>
        <v>0</v>
      </c>
      <c r="G73" s="68">
        <f>'Schedule 2J Adjustments'!J72</f>
        <v>0</v>
      </c>
      <c r="H73" s="68">
        <f t="shared" si="0"/>
        <v>0</v>
      </c>
      <c r="J73" s="117">
        <f>'Schedule 2J Adjustments'!P72</f>
        <v>0</v>
      </c>
      <c r="K73" s="68">
        <f>'Schedule 2J Adjustments'!R72</f>
        <v>0</v>
      </c>
      <c r="L73" s="68">
        <f t="shared" si="1"/>
        <v>0</v>
      </c>
      <c r="N73" s="119">
        <f>'Schedule 2J Adjustments'!X72</f>
        <v>0</v>
      </c>
      <c r="O73" s="119">
        <f>'Schedule 2J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1">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854</v>
      </c>
      <c r="B3" s="5"/>
      <c r="C3" s="5"/>
      <c r="D3" s="5"/>
      <c r="E3" s="5"/>
      <c r="F3" s="5"/>
      <c r="G3" s="5"/>
      <c r="H3" s="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828</v>
      </c>
      <c r="C9" s="1"/>
      <c r="F9" s="472" t="s">
        <v>1041</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2K Adjustments'!B15:D15</f>
        <v/>
      </c>
      <c r="C16" s="514"/>
      <c r="D16" s="514"/>
      <c r="F16" s="117">
        <f>'Schedule 2K Adjustments'!H15</f>
        <v>0</v>
      </c>
      <c r="G16" s="68">
        <f>'Schedule 2K Adjustments'!J15</f>
        <v>0</v>
      </c>
      <c r="H16" s="68">
        <f>SUM(F16:G16)</f>
        <v>0</v>
      </c>
      <c r="J16" s="117">
        <f>'Schedule 2K Adjustments'!P15</f>
        <v>0</v>
      </c>
      <c r="K16" s="68">
        <f>'Schedule 2K Adjustments'!R15</f>
        <v>0</v>
      </c>
      <c r="L16" s="68">
        <f>SUM(J16:K16)</f>
        <v>0</v>
      </c>
      <c r="N16" s="119">
        <f>'Schedule 2K Adjustments'!X15</f>
        <v>0</v>
      </c>
      <c r="O16" s="119">
        <f>'Schedule 2K Adjustments'!AA15</f>
        <v>0</v>
      </c>
    </row>
    <row r="17" spans="1:15" x14ac:dyDescent="0.35">
      <c r="A17" s="24">
        <v>2</v>
      </c>
      <c r="B17" s="514" t="str">
        <f>'Schedule 2K Adjustments'!B16:D16</f>
        <v/>
      </c>
      <c r="C17" s="514"/>
      <c r="D17" s="514"/>
      <c r="F17" s="117">
        <f>'Schedule 2K Adjustments'!H16</f>
        <v>0</v>
      </c>
      <c r="G17" s="68">
        <f>'Schedule 2K Adjustments'!J16</f>
        <v>0</v>
      </c>
      <c r="H17" s="68">
        <f t="shared" ref="H17:H73" si="0">SUM(F17:G17)</f>
        <v>0</v>
      </c>
      <c r="J17" s="117">
        <f>'Schedule 2K Adjustments'!P16</f>
        <v>0</v>
      </c>
      <c r="K17" s="68">
        <f>'Schedule 2K Adjustments'!R16</f>
        <v>0</v>
      </c>
      <c r="L17" s="68">
        <f t="shared" ref="L17:L73" si="1">SUM(J17:K17)</f>
        <v>0</v>
      </c>
      <c r="N17" s="119">
        <f>'Schedule 2K Adjustments'!X16</f>
        <v>0</v>
      </c>
      <c r="O17" s="119">
        <f>'Schedule 2K Adjustments'!AA16</f>
        <v>0</v>
      </c>
    </row>
    <row r="18" spans="1:15" x14ac:dyDescent="0.35">
      <c r="A18" s="24">
        <v>3</v>
      </c>
      <c r="B18" s="514" t="str">
        <f>'Schedule 2K Adjustments'!B17:D17</f>
        <v/>
      </c>
      <c r="C18" s="514"/>
      <c r="D18" s="514"/>
      <c r="F18" s="117">
        <f>'Schedule 2K Adjustments'!H17</f>
        <v>0</v>
      </c>
      <c r="G18" s="68">
        <f>'Schedule 2K Adjustments'!J17</f>
        <v>0</v>
      </c>
      <c r="H18" s="68">
        <f t="shared" si="0"/>
        <v>0</v>
      </c>
      <c r="J18" s="117">
        <f>'Schedule 2K Adjustments'!P17</f>
        <v>0</v>
      </c>
      <c r="K18" s="68">
        <f>'Schedule 2K Adjustments'!R17</f>
        <v>0</v>
      </c>
      <c r="L18" s="68">
        <f t="shared" si="1"/>
        <v>0</v>
      </c>
      <c r="N18" s="119">
        <f>'Schedule 2K Adjustments'!X17</f>
        <v>0</v>
      </c>
      <c r="O18" s="119">
        <f>'Schedule 2K Adjustments'!AA17</f>
        <v>0</v>
      </c>
    </row>
    <row r="19" spans="1:15" x14ac:dyDescent="0.35">
      <c r="A19" s="24">
        <v>4</v>
      </c>
      <c r="B19" s="514" t="str">
        <f>'Schedule 2K Adjustments'!B18:D18</f>
        <v/>
      </c>
      <c r="C19" s="514"/>
      <c r="D19" s="514"/>
      <c r="F19" s="117">
        <f>'Schedule 2K Adjustments'!H18</f>
        <v>0</v>
      </c>
      <c r="G19" s="68">
        <f>'Schedule 2K Adjustments'!J18</f>
        <v>0</v>
      </c>
      <c r="H19" s="68">
        <f t="shared" si="0"/>
        <v>0</v>
      </c>
      <c r="J19" s="117">
        <f>'Schedule 2K Adjustments'!P18</f>
        <v>0</v>
      </c>
      <c r="K19" s="68">
        <f>'Schedule 2K Adjustments'!R18</f>
        <v>0</v>
      </c>
      <c r="L19" s="68">
        <f t="shared" si="1"/>
        <v>0</v>
      </c>
      <c r="N19" s="119">
        <f>'Schedule 2K Adjustments'!X18</f>
        <v>0</v>
      </c>
      <c r="O19" s="119">
        <f>'Schedule 2K Adjustments'!AA18</f>
        <v>0</v>
      </c>
    </row>
    <row r="20" spans="1:15" x14ac:dyDescent="0.35">
      <c r="A20" s="24">
        <v>5</v>
      </c>
      <c r="B20" s="514" t="str">
        <f>'Schedule 2K Adjustments'!B19:D19</f>
        <v/>
      </c>
      <c r="C20" s="514"/>
      <c r="D20" s="514"/>
      <c r="F20" s="117">
        <f>'Schedule 2K Adjustments'!H19</f>
        <v>0</v>
      </c>
      <c r="G20" s="68">
        <f>'Schedule 2K Adjustments'!J19</f>
        <v>0</v>
      </c>
      <c r="H20" s="68">
        <f t="shared" si="0"/>
        <v>0</v>
      </c>
      <c r="J20" s="117">
        <f>'Schedule 2K Adjustments'!P19</f>
        <v>0</v>
      </c>
      <c r="K20" s="68">
        <f>'Schedule 2K Adjustments'!R19</f>
        <v>0</v>
      </c>
      <c r="L20" s="68">
        <f t="shared" si="1"/>
        <v>0</v>
      </c>
      <c r="N20" s="119">
        <f>'Schedule 2K Adjustments'!X19</f>
        <v>0</v>
      </c>
      <c r="O20" s="119">
        <f>'Schedule 2K Adjustments'!AA19</f>
        <v>0</v>
      </c>
    </row>
    <row r="21" spans="1:15" x14ac:dyDescent="0.35">
      <c r="A21" s="24">
        <v>6</v>
      </c>
      <c r="B21" s="514" t="str">
        <f>'Schedule 2K Adjustments'!B20:D20</f>
        <v/>
      </c>
      <c r="C21" s="514"/>
      <c r="D21" s="514"/>
      <c r="F21" s="117">
        <f>'Schedule 2K Adjustments'!H20</f>
        <v>0</v>
      </c>
      <c r="G21" s="68">
        <f>'Schedule 2K Adjustments'!J20</f>
        <v>0</v>
      </c>
      <c r="H21" s="68">
        <f t="shared" si="0"/>
        <v>0</v>
      </c>
      <c r="J21" s="117">
        <f>'Schedule 2K Adjustments'!P20</f>
        <v>0</v>
      </c>
      <c r="K21" s="68">
        <f>'Schedule 2K Adjustments'!R20</f>
        <v>0</v>
      </c>
      <c r="L21" s="68">
        <f t="shared" si="1"/>
        <v>0</v>
      </c>
      <c r="N21" s="119">
        <f>'Schedule 2K Adjustments'!X20</f>
        <v>0</v>
      </c>
      <c r="O21" s="119">
        <f>'Schedule 2K Adjustments'!AA20</f>
        <v>0</v>
      </c>
    </row>
    <row r="22" spans="1:15" x14ac:dyDescent="0.35">
      <c r="A22" s="24">
        <v>7</v>
      </c>
      <c r="B22" s="514" t="str">
        <f>'Schedule 2K Adjustments'!B21:D21</f>
        <v/>
      </c>
      <c r="C22" s="514"/>
      <c r="D22" s="514"/>
      <c r="F22" s="117">
        <f>'Schedule 2K Adjustments'!H21</f>
        <v>0</v>
      </c>
      <c r="G22" s="68">
        <f>'Schedule 2K Adjustments'!J21</f>
        <v>0</v>
      </c>
      <c r="H22" s="68">
        <f t="shared" si="0"/>
        <v>0</v>
      </c>
      <c r="J22" s="117">
        <f>'Schedule 2K Adjustments'!P21</f>
        <v>0</v>
      </c>
      <c r="K22" s="68">
        <f>'Schedule 2K Adjustments'!R21</f>
        <v>0</v>
      </c>
      <c r="L22" s="68">
        <f t="shared" si="1"/>
        <v>0</v>
      </c>
      <c r="N22" s="119">
        <f>'Schedule 2K Adjustments'!X21</f>
        <v>0</v>
      </c>
      <c r="O22" s="119">
        <f>'Schedule 2K Adjustments'!AA21</f>
        <v>0</v>
      </c>
    </row>
    <row r="23" spans="1:15" x14ac:dyDescent="0.35">
      <c r="A23" s="24">
        <v>8</v>
      </c>
      <c r="B23" s="514" t="str">
        <f>'Schedule 2K Adjustments'!B22:D22</f>
        <v/>
      </c>
      <c r="C23" s="514"/>
      <c r="D23" s="514"/>
      <c r="F23" s="117">
        <f>'Schedule 2K Adjustments'!H22</f>
        <v>0</v>
      </c>
      <c r="G23" s="68">
        <f>'Schedule 2K Adjustments'!J22</f>
        <v>0</v>
      </c>
      <c r="H23" s="68">
        <f t="shared" si="0"/>
        <v>0</v>
      </c>
      <c r="J23" s="117">
        <f>'Schedule 2K Adjustments'!P22</f>
        <v>0</v>
      </c>
      <c r="K23" s="68">
        <f>'Schedule 2K Adjustments'!R22</f>
        <v>0</v>
      </c>
      <c r="L23" s="68">
        <f t="shared" si="1"/>
        <v>0</v>
      </c>
      <c r="N23" s="119">
        <f>'Schedule 2K Adjustments'!X22</f>
        <v>0</v>
      </c>
      <c r="O23" s="119">
        <f>'Schedule 2K Adjustments'!AA22</f>
        <v>0</v>
      </c>
    </row>
    <row r="24" spans="1:15" x14ac:dyDescent="0.35">
      <c r="A24" s="24">
        <v>9</v>
      </c>
      <c r="B24" s="514" t="str">
        <f>'Schedule 2K Adjustments'!B23:D23</f>
        <v/>
      </c>
      <c r="C24" s="514"/>
      <c r="D24" s="514"/>
      <c r="F24" s="117">
        <f>'Schedule 2K Adjustments'!H23</f>
        <v>0</v>
      </c>
      <c r="G24" s="68">
        <f>'Schedule 2K Adjustments'!J23</f>
        <v>0</v>
      </c>
      <c r="H24" s="68">
        <f t="shared" si="0"/>
        <v>0</v>
      </c>
      <c r="J24" s="117">
        <f>'Schedule 2K Adjustments'!P23</f>
        <v>0</v>
      </c>
      <c r="K24" s="68">
        <f>'Schedule 2K Adjustments'!R23</f>
        <v>0</v>
      </c>
      <c r="L24" s="68">
        <f t="shared" si="1"/>
        <v>0</v>
      </c>
      <c r="N24" s="119">
        <f>'Schedule 2K Adjustments'!X23</f>
        <v>0</v>
      </c>
      <c r="O24" s="119">
        <f>'Schedule 2K Adjustments'!AA23</f>
        <v>0</v>
      </c>
    </row>
    <row r="25" spans="1:15" x14ac:dyDescent="0.35">
      <c r="A25" s="24">
        <v>10</v>
      </c>
      <c r="B25" s="514" t="str">
        <f>'Schedule 2K Adjustments'!B24:D24</f>
        <v/>
      </c>
      <c r="C25" s="514"/>
      <c r="D25" s="514"/>
      <c r="F25" s="117">
        <f>'Schedule 2K Adjustments'!H24</f>
        <v>0</v>
      </c>
      <c r="G25" s="68">
        <f>'Schedule 2K Adjustments'!J24</f>
        <v>0</v>
      </c>
      <c r="H25" s="68">
        <f t="shared" si="0"/>
        <v>0</v>
      </c>
      <c r="J25" s="117">
        <f>'Schedule 2K Adjustments'!P24</f>
        <v>0</v>
      </c>
      <c r="K25" s="68">
        <f>'Schedule 2K Adjustments'!R24</f>
        <v>0</v>
      </c>
      <c r="L25" s="68">
        <f t="shared" si="1"/>
        <v>0</v>
      </c>
      <c r="N25" s="119">
        <f>'Schedule 2K Adjustments'!X24</f>
        <v>0</v>
      </c>
      <c r="O25" s="119">
        <f>'Schedule 2K Adjustments'!AA24</f>
        <v>0</v>
      </c>
    </row>
    <row r="26" spans="1:15" x14ac:dyDescent="0.35">
      <c r="A26" s="24">
        <v>11</v>
      </c>
      <c r="B26" s="514" t="str">
        <f>'Schedule 2K Adjustments'!B25:D25</f>
        <v/>
      </c>
      <c r="C26" s="514"/>
      <c r="D26" s="514"/>
      <c r="F26" s="117">
        <f>'Schedule 2K Adjustments'!H25</f>
        <v>0</v>
      </c>
      <c r="G26" s="68">
        <f>'Schedule 2K Adjustments'!J25</f>
        <v>0</v>
      </c>
      <c r="H26" s="68">
        <f t="shared" si="0"/>
        <v>0</v>
      </c>
      <c r="J26" s="117">
        <f>'Schedule 2K Adjustments'!P25</f>
        <v>0</v>
      </c>
      <c r="K26" s="68">
        <f>'Schedule 2K Adjustments'!R25</f>
        <v>0</v>
      </c>
      <c r="L26" s="68">
        <f t="shared" si="1"/>
        <v>0</v>
      </c>
      <c r="N26" s="119">
        <f>'Schedule 2K Adjustments'!X25</f>
        <v>0</v>
      </c>
      <c r="O26" s="119">
        <f>'Schedule 2K Adjustments'!AA25</f>
        <v>0</v>
      </c>
    </row>
    <row r="27" spans="1:15" x14ac:dyDescent="0.35">
      <c r="A27" s="24">
        <v>12</v>
      </c>
      <c r="B27" s="514" t="str">
        <f>'Schedule 2K Adjustments'!B26:D26</f>
        <v/>
      </c>
      <c r="C27" s="514"/>
      <c r="D27" s="514"/>
      <c r="F27" s="117">
        <f>'Schedule 2K Adjustments'!H26</f>
        <v>0</v>
      </c>
      <c r="G27" s="68">
        <f>'Schedule 2K Adjustments'!J26</f>
        <v>0</v>
      </c>
      <c r="H27" s="68">
        <f t="shared" si="0"/>
        <v>0</v>
      </c>
      <c r="J27" s="117">
        <f>'Schedule 2K Adjustments'!P26</f>
        <v>0</v>
      </c>
      <c r="K27" s="68">
        <f>'Schedule 2K Adjustments'!R26</f>
        <v>0</v>
      </c>
      <c r="L27" s="68">
        <f t="shared" si="1"/>
        <v>0</v>
      </c>
      <c r="N27" s="119">
        <f>'Schedule 2K Adjustments'!X26</f>
        <v>0</v>
      </c>
      <c r="O27" s="119">
        <f>'Schedule 2K Adjustments'!AA26</f>
        <v>0</v>
      </c>
    </row>
    <row r="28" spans="1:15" x14ac:dyDescent="0.35">
      <c r="A28" s="24">
        <v>13</v>
      </c>
      <c r="B28" s="514" t="str">
        <f>'Schedule 2K Adjustments'!B27:D27</f>
        <v/>
      </c>
      <c r="C28" s="514"/>
      <c r="D28" s="514"/>
      <c r="F28" s="117">
        <f>'Schedule 2K Adjustments'!H27</f>
        <v>0</v>
      </c>
      <c r="G28" s="68">
        <f>'Schedule 2K Adjustments'!J27</f>
        <v>0</v>
      </c>
      <c r="H28" s="68">
        <f t="shared" si="0"/>
        <v>0</v>
      </c>
      <c r="J28" s="117">
        <f>'Schedule 2K Adjustments'!P27</f>
        <v>0</v>
      </c>
      <c r="K28" s="68">
        <f>'Schedule 2K Adjustments'!R27</f>
        <v>0</v>
      </c>
      <c r="L28" s="68">
        <f t="shared" si="1"/>
        <v>0</v>
      </c>
      <c r="N28" s="119">
        <f>'Schedule 2K Adjustments'!X27</f>
        <v>0</v>
      </c>
      <c r="O28" s="119">
        <f>'Schedule 2K Adjustments'!AA27</f>
        <v>0</v>
      </c>
    </row>
    <row r="29" spans="1:15" x14ac:dyDescent="0.35">
      <c r="A29" s="24">
        <v>14</v>
      </c>
      <c r="B29" s="514" t="str">
        <f>'Schedule 2K Adjustments'!B28:D28</f>
        <v/>
      </c>
      <c r="C29" s="514"/>
      <c r="D29" s="514"/>
      <c r="F29" s="117">
        <f>'Schedule 2K Adjustments'!H28</f>
        <v>0</v>
      </c>
      <c r="G29" s="68">
        <f>'Schedule 2K Adjustments'!J28</f>
        <v>0</v>
      </c>
      <c r="H29" s="68">
        <f t="shared" si="0"/>
        <v>0</v>
      </c>
      <c r="J29" s="117">
        <f>'Schedule 2K Adjustments'!P28</f>
        <v>0</v>
      </c>
      <c r="K29" s="68">
        <f>'Schedule 2K Adjustments'!R28</f>
        <v>0</v>
      </c>
      <c r="L29" s="68">
        <f t="shared" si="1"/>
        <v>0</v>
      </c>
      <c r="N29" s="119">
        <f>'Schedule 2K Adjustments'!X28</f>
        <v>0</v>
      </c>
      <c r="O29" s="119">
        <f>'Schedule 2K Adjustments'!AA28</f>
        <v>0</v>
      </c>
    </row>
    <row r="30" spans="1:15" x14ac:dyDescent="0.35">
      <c r="A30" s="24">
        <v>15</v>
      </c>
      <c r="B30" s="514" t="str">
        <f>'Schedule 2K Adjustments'!B29:D29</f>
        <v/>
      </c>
      <c r="C30" s="514"/>
      <c r="D30" s="514"/>
      <c r="F30" s="117">
        <f>'Schedule 2K Adjustments'!H29</f>
        <v>0</v>
      </c>
      <c r="G30" s="68">
        <f>'Schedule 2K Adjustments'!J29</f>
        <v>0</v>
      </c>
      <c r="H30" s="68">
        <f t="shared" si="0"/>
        <v>0</v>
      </c>
      <c r="J30" s="117">
        <f>'Schedule 2K Adjustments'!P29</f>
        <v>0</v>
      </c>
      <c r="K30" s="68">
        <f>'Schedule 2K Adjustments'!R29</f>
        <v>0</v>
      </c>
      <c r="L30" s="68">
        <f t="shared" si="1"/>
        <v>0</v>
      </c>
      <c r="N30" s="119">
        <f>'Schedule 2K Adjustments'!X29</f>
        <v>0</v>
      </c>
      <c r="O30" s="119">
        <f>'Schedule 2K Adjustments'!AA29</f>
        <v>0</v>
      </c>
    </row>
    <row r="31" spans="1:15" x14ac:dyDescent="0.35">
      <c r="A31" s="24">
        <v>16</v>
      </c>
      <c r="B31" s="514" t="str">
        <f>'Schedule 2K Adjustments'!B30:D30</f>
        <v/>
      </c>
      <c r="C31" s="514"/>
      <c r="D31" s="514"/>
      <c r="F31" s="117">
        <f>'Schedule 2K Adjustments'!H30</f>
        <v>0</v>
      </c>
      <c r="G31" s="68">
        <f>'Schedule 2K Adjustments'!J30</f>
        <v>0</v>
      </c>
      <c r="H31" s="68">
        <f t="shared" si="0"/>
        <v>0</v>
      </c>
      <c r="J31" s="117">
        <f>'Schedule 2K Adjustments'!P30</f>
        <v>0</v>
      </c>
      <c r="K31" s="68">
        <f>'Schedule 2K Adjustments'!R30</f>
        <v>0</v>
      </c>
      <c r="L31" s="68">
        <f t="shared" si="1"/>
        <v>0</v>
      </c>
      <c r="N31" s="119">
        <f>'Schedule 2K Adjustments'!X30</f>
        <v>0</v>
      </c>
      <c r="O31" s="119">
        <f>'Schedule 2K Adjustments'!AA30</f>
        <v>0</v>
      </c>
    </row>
    <row r="32" spans="1:15" x14ac:dyDescent="0.35">
      <c r="A32" s="24">
        <v>17</v>
      </c>
      <c r="B32" s="514" t="str">
        <f>'Schedule 2K Adjustments'!B31:D31</f>
        <v/>
      </c>
      <c r="C32" s="514"/>
      <c r="D32" s="514"/>
      <c r="F32" s="117">
        <f>'Schedule 2K Adjustments'!H31</f>
        <v>0</v>
      </c>
      <c r="G32" s="68">
        <f>'Schedule 2K Adjustments'!J31</f>
        <v>0</v>
      </c>
      <c r="H32" s="68">
        <f t="shared" si="0"/>
        <v>0</v>
      </c>
      <c r="J32" s="117">
        <f>'Schedule 2K Adjustments'!P31</f>
        <v>0</v>
      </c>
      <c r="K32" s="68">
        <f>'Schedule 2K Adjustments'!R31</f>
        <v>0</v>
      </c>
      <c r="L32" s="68">
        <f t="shared" si="1"/>
        <v>0</v>
      </c>
      <c r="N32" s="119">
        <f>'Schedule 2K Adjustments'!X31</f>
        <v>0</v>
      </c>
      <c r="O32" s="119">
        <f>'Schedule 2K Adjustments'!AA31</f>
        <v>0</v>
      </c>
    </row>
    <row r="33" spans="1:15" x14ac:dyDescent="0.35">
      <c r="A33" s="24">
        <v>18</v>
      </c>
      <c r="B33" s="514" t="str">
        <f>'Schedule 2K Adjustments'!B32:D32</f>
        <v/>
      </c>
      <c r="C33" s="514"/>
      <c r="D33" s="514"/>
      <c r="F33" s="117">
        <f>'Schedule 2K Adjustments'!H32</f>
        <v>0</v>
      </c>
      <c r="G33" s="68">
        <f>'Schedule 2K Adjustments'!J32</f>
        <v>0</v>
      </c>
      <c r="H33" s="68">
        <f t="shared" si="0"/>
        <v>0</v>
      </c>
      <c r="J33" s="117">
        <f>'Schedule 2K Adjustments'!P32</f>
        <v>0</v>
      </c>
      <c r="K33" s="68">
        <f>'Schedule 2K Adjustments'!R32</f>
        <v>0</v>
      </c>
      <c r="L33" s="68">
        <f t="shared" si="1"/>
        <v>0</v>
      </c>
      <c r="N33" s="119">
        <f>'Schedule 2K Adjustments'!X32</f>
        <v>0</v>
      </c>
      <c r="O33" s="119">
        <f>'Schedule 2K Adjustments'!AA32</f>
        <v>0</v>
      </c>
    </row>
    <row r="34" spans="1:15" x14ac:dyDescent="0.35">
      <c r="A34" s="24">
        <v>19</v>
      </c>
      <c r="B34" s="514" t="str">
        <f>'Schedule 2K Adjustments'!B33:D33</f>
        <v/>
      </c>
      <c r="C34" s="514"/>
      <c r="D34" s="514"/>
      <c r="F34" s="117">
        <f>'Schedule 2K Adjustments'!H33</f>
        <v>0</v>
      </c>
      <c r="G34" s="68">
        <f>'Schedule 2K Adjustments'!J33</f>
        <v>0</v>
      </c>
      <c r="H34" s="68">
        <f t="shared" si="0"/>
        <v>0</v>
      </c>
      <c r="J34" s="117">
        <f>'Schedule 2K Adjustments'!P33</f>
        <v>0</v>
      </c>
      <c r="K34" s="68">
        <f>'Schedule 2K Adjustments'!R33</f>
        <v>0</v>
      </c>
      <c r="L34" s="68">
        <f t="shared" si="1"/>
        <v>0</v>
      </c>
      <c r="N34" s="119">
        <f>'Schedule 2K Adjustments'!X33</f>
        <v>0</v>
      </c>
      <c r="O34" s="119">
        <f>'Schedule 2K Adjustments'!AA33</f>
        <v>0</v>
      </c>
    </row>
    <row r="35" spans="1:15" x14ac:dyDescent="0.35">
      <c r="A35" s="24">
        <v>20</v>
      </c>
      <c r="B35" s="514" t="str">
        <f>'Schedule 2K Adjustments'!B34:D34</f>
        <v/>
      </c>
      <c r="C35" s="514"/>
      <c r="D35" s="514"/>
      <c r="F35" s="117">
        <f>'Schedule 2K Adjustments'!H34</f>
        <v>0</v>
      </c>
      <c r="G35" s="68">
        <f>'Schedule 2K Adjustments'!J34</f>
        <v>0</v>
      </c>
      <c r="H35" s="68">
        <f t="shared" si="0"/>
        <v>0</v>
      </c>
      <c r="J35" s="117">
        <f>'Schedule 2K Adjustments'!P34</f>
        <v>0</v>
      </c>
      <c r="K35" s="68">
        <f>'Schedule 2K Adjustments'!R34</f>
        <v>0</v>
      </c>
      <c r="L35" s="68">
        <f t="shared" si="1"/>
        <v>0</v>
      </c>
      <c r="N35" s="119">
        <f>'Schedule 2K Adjustments'!X34</f>
        <v>0</v>
      </c>
      <c r="O35" s="119">
        <f>'Schedule 2K Adjustments'!AA34</f>
        <v>0</v>
      </c>
    </row>
    <row r="36" spans="1:15" x14ac:dyDescent="0.35">
      <c r="A36" s="24">
        <v>21</v>
      </c>
      <c r="B36" s="514" t="str">
        <f>'Schedule 2K Adjustments'!B35:D35</f>
        <v/>
      </c>
      <c r="C36" s="514"/>
      <c r="D36" s="514"/>
      <c r="F36" s="117">
        <f>'Schedule 2K Adjustments'!H35</f>
        <v>0</v>
      </c>
      <c r="G36" s="68">
        <f>'Schedule 2K Adjustments'!J35</f>
        <v>0</v>
      </c>
      <c r="H36" s="68">
        <f t="shared" si="0"/>
        <v>0</v>
      </c>
      <c r="J36" s="117">
        <f>'Schedule 2K Adjustments'!P35</f>
        <v>0</v>
      </c>
      <c r="K36" s="68">
        <f>'Schedule 2K Adjustments'!R35</f>
        <v>0</v>
      </c>
      <c r="L36" s="68">
        <f t="shared" si="1"/>
        <v>0</v>
      </c>
      <c r="N36" s="119">
        <f>'Schedule 2K Adjustments'!X35</f>
        <v>0</v>
      </c>
      <c r="O36" s="119">
        <f>'Schedule 2K Adjustments'!AA35</f>
        <v>0</v>
      </c>
    </row>
    <row r="37" spans="1:15" x14ac:dyDescent="0.35">
      <c r="A37" s="24">
        <v>22</v>
      </c>
      <c r="B37" s="514" t="str">
        <f>'Schedule 2K Adjustments'!B36:D36</f>
        <v/>
      </c>
      <c r="C37" s="514"/>
      <c r="D37" s="514"/>
      <c r="F37" s="117">
        <f>'Schedule 2K Adjustments'!H36</f>
        <v>0</v>
      </c>
      <c r="G37" s="68">
        <f>'Schedule 2K Adjustments'!J36</f>
        <v>0</v>
      </c>
      <c r="H37" s="68">
        <f t="shared" si="0"/>
        <v>0</v>
      </c>
      <c r="J37" s="117">
        <f>'Schedule 2K Adjustments'!P36</f>
        <v>0</v>
      </c>
      <c r="K37" s="68">
        <f>'Schedule 2K Adjustments'!R36</f>
        <v>0</v>
      </c>
      <c r="L37" s="68">
        <f t="shared" si="1"/>
        <v>0</v>
      </c>
      <c r="N37" s="119">
        <f>'Schedule 2K Adjustments'!X36</f>
        <v>0</v>
      </c>
      <c r="O37" s="119">
        <f>'Schedule 2K Adjustments'!AA36</f>
        <v>0</v>
      </c>
    </row>
    <row r="38" spans="1:15" x14ac:dyDescent="0.35">
      <c r="A38" s="24">
        <v>23</v>
      </c>
      <c r="B38" s="514" t="str">
        <f>'Schedule 2K Adjustments'!B37:D37</f>
        <v/>
      </c>
      <c r="C38" s="514"/>
      <c r="D38" s="514"/>
      <c r="F38" s="117">
        <f>'Schedule 2K Adjustments'!H37</f>
        <v>0</v>
      </c>
      <c r="G38" s="68">
        <f>'Schedule 2K Adjustments'!J37</f>
        <v>0</v>
      </c>
      <c r="H38" s="68">
        <f t="shared" si="0"/>
        <v>0</v>
      </c>
      <c r="J38" s="117">
        <f>'Schedule 2K Adjustments'!P37</f>
        <v>0</v>
      </c>
      <c r="K38" s="68">
        <f>'Schedule 2K Adjustments'!R37</f>
        <v>0</v>
      </c>
      <c r="L38" s="68">
        <f t="shared" si="1"/>
        <v>0</v>
      </c>
      <c r="N38" s="119">
        <f>'Schedule 2K Adjustments'!X37</f>
        <v>0</v>
      </c>
      <c r="O38" s="119">
        <f>'Schedule 2K Adjustments'!AA37</f>
        <v>0</v>
      </c>
    </row>
    <row r="39" spans="1:15" x14ac:dyDescent="0.35">
      <c r="A39" s="24">
        <v>24</v>
      </c>
      <c r="B39" s="514" t="str">
        <f>'Schedule 2K Adjustments'!B38:D38</f>
        <v/>
      </c>
      <c r="C39" s="514"/>
      <c r="D39" s="514"/>
      <c r="F39" s="117">
        <f>'Schedule 2K Adjustments'!H38</f>
        <v>0</v>
      </c>
      <c r="G39" s="68">
        <f>'Schedule 2K Adjustments'!J38</f>
        <v>0</v>
      </c>
      <c r="H39" s="68">
        <f t="shared" si="0"/>
        <v>0</v>
      </c>
      <c r="J39" s="117">
        <f>'Schedule 2K Adjustments'!P38</f>
        <v>0</v>
      </c>
      <c r="K39" s="68">
        <f>'Schedule 2K Adjustments'!R38</f>
        <v>0</v>
      </c>
      <c r="L39" s="68">
        <f t="shared" si="1"/>
        <v>0</v>
      </c>
      <c r="N39" s="119">
        <f>'Schedule 2K Adjustments'!X38</f>
        <v>0</v>
      </c>
      <c r="O39" s="119">
        <f>'Schedule 2K Adjustments'!AA38</f>
        <v>0</v>
      </c>
    </row>
    <row r="40" spans="1:15" x14ac:dyDescent="0.35">
      <c r="A40" s="24">
        <v>25</v>
      </c>
      <c r="B40" s="514" t="str">
        <f>'Schedule 2K Adjustments'!B39:D39</f>
        <v/>
      </c>
      <c r="C40" s="514"/>
      <c r="D40" s="514"/>
      <c r="F40" s="117">
        <f>'Schedule 2K Adjustments'!H39</f>
        <v>0</v>
      </c>
      <c r="G40" s="68">
        <f>'Schedule 2K Adjustments'!J39</f>
        <v>0</v>
      </c>
      <c r="H40" s="68">
        <f t="shared" si="0"/>
        <v>0</v>
      </c>
      <c r="J40" s="117">
        <f>'Schedule 2K Adjustments'!P39</f>
        <v>0</v>
      </c>
      <c r="K40" s="68">
        <f>'Schedule 2K Adjustments'!R39</f>
        <v>0</v>
      </c>
      <c r="L40" s="68">
        <f t="shared" si="1"/>
        <v>0</v>
      </c>
      <c r="N40" s="119">
        <f>'Schedule 2K Adjustments'!X39</f>
        <v>0</v>
      </c>
      <c r="O40" s="119">
        <f>'Schedule 2K Adjustments'!AA39</f>
        <v>0</v>
      </c>
    </row>
    <row r="41" spans="1:15" x14ac:dyDescent="0.35">
      <c r="A41" s="24">
        <v>26</v>
      </c>
      <c r="B41" s="514" t="str">
        <f>'Schedule 2K Adjustments'!B40:D40</f>
        <v/>
      </c>
      <c r="C41" s="514"/>
      <c r="D41" s="514"/>
      <c r="F41" s="117">
        <f>'Schedule 2K Adjustments'!H40</f>
        <v>0</v>
      </c>
      <c r="G41" s="68">
        <f>'Schedule 2K Adjustments'!J40</f>
        <v>0</v>
      </c>
      <c r="H41" s="68">
        <f t="shared" si="0"/>
        <v>0</v>
      </c>
      <c r="J41" s="117">
        <f>'Schedule 2K Adjustments'!P40</f>
        <v>0</v>
      </c>
      <c r="K41" s="68">
        <f>'Schedule 2K Adjustments'!R40</f>
        <v>0</v>
      </c>
      <c r="L41" s="68">
        <f t="shared" si="1"/>
        <v>0</v>
      </c>
      <c r="N41" s="119">
        <f>'Schedule 2K Adjustments'!X40</f>
        <v>0</v>
      </c>
      <c r="O41" s="119">
        <f>'Schedule 2K Adjustments'!AA40</f>
        <v>0</v>
      </c>
    </row>
    <row r="42" spans="1:15" x14ac:dyDescent="0.35">
      <c r="A42" s="24">
        <v>27</v>
      </c>
      <c r="B42" s="514" t="str">
        <f>'Schedule 2K Adjustments'!B41:D41</f>
        <v/>
      </c>
      <c r="C42" s="514"/>
      <c r="D42" s="514"/>
      <c r="F42" s="117">
        <f>'Schedule 2K Adjustments'!H41</f>
        <v>0</v>
      </c>
      <c r="G42" s="68">
        <f>'Schedule 2K Adjustments'!J41</f>
        <v>0</v>
      </c>
      <c r="H42" s="68">
        <f t="shared" si="0"/>
        <v>0</v>
      </c>
      <c r="J42" s="117">
        <f>'Schedule 2K Adjustments'!P41</f>
        <v>0</v>
      </c>
      <c r="K42" s="68">
        <f>'Schedule 2K Adjustments'!R41</f>
        <v>0</v>
      </c>
      <c r="L42" s="68">
        <f t="shared" si="1"/>
        <v>0</v>
      </c>
      <c r="N42" s="119">
        <f>'Schedule 2K Adjustments'!X41</f>
        <v>0</v>
      </c>
      <c r="O42" s="119">
        <f>'Schedule 2K Adjustments'!AA41</f>
        <v>0</v>
      </c>
    </row>
    <row r="43" spans="1:15" x14ac:dyDescent="0.35">
      <c r="A43" s="24">
        <v>28</v>
      </c>
      <c r="B43" s="514" t="str">
        <f>'Schedule 2K Adjustments'!B42:D42</f>
        <v/>
      </c>
      <c r="C43" s="514"/>
      <c r="D43" s="514"/>
      <c r="F43" s="117">
        <f>'Schedule 2K Adjustments'!H42</f>
        <v>0</v>
      </c>
      <c r="G43" s="68">
        <f>'Schedule 2K Adjustments'!J42</f>
        <v>0</v>
      </c>
      <c r="H43" s="68">
        <f t="shared" si="0"/>
        <v>0</v>
      </c>
      <c r="J43" s="117">
        <f>'Schedule 2K Adjustments'!P42</f>
        <v>0</v>
      </c>
      <c r="K43" s="68">
        <f>'Schedule 2K Adjustments'!R42</f>
        <v>0</v>
      </c>
      <c r="L43" s="68">
        <f t="shared" si="1"/>
        <v>0</v>
      </c>
      <c r="N43" s="119">
        <f>'Schedule 2K Adjustments'!X42</f>
        <v>0</v>
      </c>
      <c r="O43" s="119">
        <f>'Schedule 2K Adjustments'!AA42</f>
        <v>0</v>
      </c>
    </row>
    <row r="44" spans="1:15" x14ac:dyDescent="0.35">
      <c r="A44" s="24">
        <v>29</v>
      </c>
      <c r="B44" s="514" t="str">
        <f>'Schedule 2K Adjustments'!B43:D43</f>
        <v/>
      </c>
      <c r="C44" s="514"/>
      <c r="D44" s="514"/>
      <c r="F44" s="117">
        <f>'Schedule 2K Adjustments'!H43</f>
        <v>0</v>
      </c>
      <c r="G44" s="68">
        <f>'Schedule 2K Adjustments'!J43</f>
        <v>0</v>
      </c>
      <c r="H44" s="68">
        <f t="shared" si="0"/>
        <v>0</v>
      </c>
      <c r="J44" s="117">
        <f>'Schedule 2K Adjustments'!P43</f>
        <v>0</v>
      </c>
      <c r="K44" s="68">
        <f>'Schedule 2K Adjustments'!R43</f>
        <v>0</v>
      </c>
      <c r="L44" s="68">
        <f t="shared" si="1"/>
        <v>0</v>
      </c>
      <c r="N44" s="119">
        <f>'Schedule 2K Adjustments'!X43</f>
        <v>0</v>
      </c>
      <c r="O44" s="119">
        <f>'Schedule 2K Adjustments'!AA43</f>
        <v>0</v>
      </c>
    </row>
    <row r="45" spans="1:15" x14ac:dyDescent="0.35">
      <c r="A45" s="24">
        <v>30</v>
      </c>
      <c r="B45" s="514" t="str">
        <f>'Schedule 2K Adjustments'!B44:D44</f>
        <v/>
      </c>
      <c r="C45" s="514"/>
      <c r="D45" s="514"/>
      <c r="F45" s="117">
        <f>'Schedule 2K Adjustments'!H44</f>
        <v>0</v>
      </c>
      <c r="G45" s="68">
        <f>'Schedule 2K Adjustments'!J44</f>
        <v>0</v>
      </c>
      <c r="H45" s="68">
        <f t="shared" si="0"/>
        <v>0</v>
      </c>
      <c r="J45" s="117">
        <f>'Schedule 2K Adjustments'!P44</f>
        <v>0</v>
      </c>
      <c r="K45" s="68">
        <f>'Schedule 2K Adjustments'!R44</f>
        <v>0</v>
      </c>
      <c r="L45" s="68">
        <f t="shared" si="1"/>
        <v>0</v>
      </c>
      <c r="N45" s="119">
        <f>'Schedule 2K Adjustments'!X44</f>
        <v>0</v>
      </c>
      <c r="O45" s="119">
        <f>'Schedule 2K Adjustments'!AA44</f>
        <v>0</v>
      </c>
    </row>
    <row r="46" spans="1:15" x14ac:dyDescent="0.35">
      <c r="A46" s="24">
        <v>31</v>
      </c>
      <c r="B46" s="514" t="str">
        <f>'Schedule 2K Adjustments'!B45:D45</f>
        <v/>
      </c>
      <c r="C46" s="514"/>
      <c r="D46" s="514"/>
      <c r="F46" s="117">
        <f>'Schedule 2K Adjustments'!H45</f>
        <v>0</v>
      </c>
      <c r="G46" s="68">
        <f>'Schedule 2K Adjustments'!J45</f>
        <v>0</v>
      </c>
      <c r="H46" s="68">
        <f t="shared" si="0"/>
        <v>0</v>
      </c>
      <c r="J46" s="117">
        <f>'Schedule 2K Adjustments'!P45</f>
        <v>0</v>
      </c>
      <c r="K46" s="68">
        <f>'Schedule 2K Adjustments'!R45</f>
        <v>0</v>
      </c>
      <c r="L46" s="68">
        <f t="shared" si="1"/>
        <v>0</v>
      </c>
      <c r="N46" s="119">
        <f>'Schedule 2K Adjustments'!X45</f>
        <v>0</v>
      </c>
      <c r="O46" s="119">
        <f>'Schedule 2K Adjustments'!AA45</f>
        <v>0</v>
      </c>
    </row>
    <row r="47" spans="1:15" x14ac:dyDescent="0.35">
      <c r="A47" s="24">
        <v>32</v>
      </c>
      <c r="B47" s="514" t="str">
        <f>'Schedule 2K Adjustments'!B46:D46</f>
        <v/>
      </c>
      <c r="C47" s="514"/>
      <c r="D47" s="514"/>
      <c r="F47" s="117">
        <f>'Schedule 2K Adjustments'!H46</f>
        <v>0</v>
      </c>
      <c r="G47" s="68">
        <f>'Schedule 2K Adjustments'!J46</f>
        <v>0</v>
      </c>
      <c r="H47" s="68">
        <f t="shared" si="0"/>
        <v>0</v>
      </c>
      <c r="J47" s="117">
        <f>'Schedule 2K Adjustments'!P46</f>
        <v>0</v>
      </c>
      <c r="K47" s="68">
        <f>'Schedule 2K Adjustments'!R46</f>
        <v>0</v>
      </c>
      <c r="L47" s="68">
        <f t="shared" si="1"/>
        <v>0</v>
      </c>
      <c r="N47" s="119">
        <f>'Schedule 2K Adjustments'!X46</f>
        <v>0</v>
      </c>
      <c r="O47" s="119">
        <f>'Schedule 2K Adjustments'!AA46</f>
        <v>0</v>
      </c>
    </row>
    <row r="48" spans="1:15" x14ac:dyDescent="0.35">
      <c r="A48" s="24">
        <v>33</v>
      </c>
      <c r="B48" s="514" t="str">
        <f>'Schedule 2K Adjustments'!B47:D47</f>
        <v/>
      </c>
      <c r="C48" s="514"/>
      <c r="D48" s="514"/>
      <c r="F48" s="117">
        <f>'Schedule 2K Adjustments'!H47</f>
        <v>0</v>
      </c>
      <c r="G48" s="68">
        <f>'Schedule 2K Adjustments'!J47</f>
        <v>0</v>
      </c>
      <c r="H48" s="68">
        <f t="shared" si="0"/>
        <v>0</v>
      </c>
      <c r="J48" s="117">
        <f>'Schedule 2K Adjustments'!P47</f>
        <v>0</v>
      </c>
      <c r="K48" s="68">
        <f>'Schedule 2K Adjustments'!R47</f>
        <v>0</v>
      </c>
      <c r="L48" s="68">
        <f t="shared" si="1"/>
        <v>0</v>
      </c>
      <c r="N48" s="119">
        <f>'Schedule 2K Adjustments'!X47</f>
        <v>0</v>
      </c>
      <c r="O48" s="119">
        <f>'Schedule 2K Adjustments'!AA47</f>
        <v>0</v>
      </c>
    </row>
    <row r="49" spans="1:15" x14ac:dyDescent="0.35">
      <c r="A49" s="24">
        <v>34</v>
      </c>
      <c r="B49" s="514" t="str">
        <f>'Schedule 2K Adjustments'!B48:D48</f>
        <v/>
      </c>
      <c r="C49" s="514"/>
      <c r="D49" s="514"/>
      <c r="F49" s="117">
        <f>'Schedule 2K Adjustments'!H48</f>
        <v>0</v>
      </c>
      <c r="G49" s="68">
        <f>'Schedule 2K Adjustments'!J48</f>
        <v>0</v>
      </c>
      <c r="H49" s="68">
        <f t="shared" si="0"/>
        <v>0</v>
      </c>
      <c r="J49" s="117">
        <f>'Schedule 2K Adjustments'!P48</f>
        <v>0</v>
      </c>
      <c r="K49" s="68">
        <f>'Schedule 2K Adjustments'!R48</f>
        <v>0</v>
      </c>
      <c r="L49" s="68">
        <f t="shared" si="1"/>
        <v>0</v>
      </c>
      <c r="N49" s="119">
        <f>'Schedule 2K Adjustments'!X48</f>
        <v>0</v>
      </c>
      <c r="O49" s="119">
        <f>'Schedule 2K Adjustments'!AA48</f>
        <v>0</v>
      </c>
    </row>
    <row r="50" spans="1:15" x14ac:dyDescent="0.35">
      <c r="A50" s="24">
        <v>35</v>
      </c>
      <c r="B50" s="514" t="str">
        <f>'Schedule 2K Adjustments'!B49:D49</f>
        <v/>
      </c>
      <c r="C50" s="514"/>
      <c r="D50" s="514"/>
      <c r="F50" s="117">
        <f>'Schedule 2K Adjustments'!H49</f>
        <v>0</v>
      </c>
      <c r="G50" s="68">
        <f>'Schedule 2K Adjustments'!J49</f>
        <v>0</v>
      </c>
      <c r="H50" s="68">
        <f t="shared" si="0"/>
        <v>0</v>
      </c>
      <c r="J50" s="117">
        <f>'Schedule 2K Adjustments'!P49</f>
        <v>0</v>
      </c>
      <c r="K50" s="68">
        <f>'Schedule 2K Adjustments'!R49</f>
        <v>0</v>
      </c>
      <c r="L50" s="68">
        <f t="shared" si="1"/>
        <v>0</v>
      </c>
      <c r="N50" s="119">
        <f>'Schedule 2K Adjustments'!X49</f>
        <v>0</v>
      </c>
      <c r="O50" s="119">
        <f>'Schedule 2K Adjustments'!AA49</f>
        <v>0</v>
      </c>
    </row>
    <row r="51" spans="1:15" x14ac:dyDescent="0.35">
      <c r="A51" s="24">
        <v>36</v>
      </c>
      <c r="B51" s="514" t="str">
        <f>'Schedule 2K Adjustments'!B50:D50</f>
        <v/>
      </c>
      <c r="C51" s="514"/>
      <c r="D51" s="514"/>
      <c r="F51" s="117">
        <f>'Schedule 2K Adjustments'!H50</f>
        <v>0</v>
      </c>
      <c r="G51" s="68">
        <f>'Schedule 2K Adjustments'!J50</f>
        <v>0</v>
      </c>
      <c r="H51" s="68">
        <f t="shared" si="0"/>
        <v>0</v>
      </c>
      <c r="J51" s="117">
        <f>'Schedule 2K Adjustments'!P50</f>
        <v>0</v>
      </c>
      <c r="K51" s="68">
        <f>'Schedule 2K Adjustments'!R50</f>
        <v>0</v>
      </c>
      <c r="L51" s="68">
        <f t="shared" si="1"/>
        <v>0</v>
      </c>
      <c r="N51" s="119">
        <f>'Schedule 2K Adjustments'!X50</f>
        <v>0</v>
      </c>
      <c r="O51" s="119">
        <f>'Schedule 2K Adjustments'!AA50</f>
        <v>0</v>
      </c>
    </row>
    <row r="52" spans="1:15" x14ac:dyDescent="0.35">
      <c r="A52" s="24">
        <v>37</v>
      </c>
      <c r="B52" s="514" t="str">
        <f>'Schedule 2K Adjustments'!B51:D51</f>
        <v/>
      </c>
      <c r="C52" s="514"/>
      <c r="D52" s="514"/>
      <c r="F52" s="117">
        <f>'Schedule 2K Adjustments'!H51</f>
        <v>0</v>
      </c>
      <c r="G52" s="68">
        <f>'Schedule 2K Adjustments'!J51</f>
        <v>0</v>
      </c>
      <c r="H52" s="68">
        <f t="shared" si="0"/>
        <v>0</v>
      </c>
      <c r="J52" s="117">
        <f>'Schedule 2K Adjustments'!P51</f>
        <v>0</v>
      </c>
      <c r="K52" s="68">
        <f>'Schedule 2K Adjustments'!R51</f>
        <v>0</v>
      </c>
      <c r="L52" s="68">
        <f t="shared" si="1"/>
        <v>0</v>
      </c>
      <c r="N52" s="119">
        <f>'Schedule 2K Adjustments'!X51</f>
        <v>0</v>
      </c>
      <c r="O52" s="119">
        <f>'Schedule 2K Adjustments'!AA51</f>
        <v>0</v>
      </c>
    </row>
    <row r="53" spans="1:15" x14ac:dyDescent="0.35">
      <c r="A53" s="24">
        <v>38</v>
      </c>
      <c r="B53" s="514" t="str">
        <f>'Schedule 2K Adjustments'!B52:D52</f>
        <v/>
      </c>
      <c r="C53" s="514"/>
      <c r="D53" s="514"/>
      <c r="F53" s="117">
        <f>'Schedule 2K Adjustments'!H52</f>
        <v>0</v>
      </c>
      <c r="G53" s="68">
        <f>'Schedule 2K Adjustments'!J52</f>
        <v>0</v>
      </c>
      <c r="H53" s="68">
        <f t="shared" si="0"/>
        <v>0</v>
      </c>
      <c r="J53" s="117">
        <f>'Schedule 2K Adjustments'!P52</f>
        <v>0</v>
      </c>
      <c r="K53" s="68">
        <f>'Schedule 2K Adjustments'!R52</f>
        <v>0</v>
      </c>
      <c r="L53" s="68">
        <f t="shared" si="1"/>
        <v>0</v>
      </c>
      <c r="N53" s="119">
        <f>'Schedule 2K Adjustments'!X52</f>
        <v>0</v>
      </c>
      <c r="O53" s="119">
        <f>'Schedule 2K Adjustments'!AA52</f>
        <v>0</v>
      </c>
    </row>
    <row r="54" spans="1:15" x14ac:dyDescent="0.35">
      <c r="A54" s="24">
        <v>39</v>
      </c>
      <c r="B54" s="514" t="str">
        <f>'Schedule 2K Adjustments'!B53:D53</f>
        <v/>
      </c>
      <c r="C54" s="514"/>
      <c r="D54" s="514"/>
      <c r="F54" s="117">
        <f>'Schedule 2K Adjustments'!H53</f>
        <v>0</v>
      </c>
      <c r="G54" s="68">
        <f>'Schedule 2K Adjustments'!J53</f>
        <v>0</v>
      </c>
      <c r="H54" s="68">
        <f t="shared" si="0"/>
        <v>0</v>
      </c>
      <c r="J54" s="117">
        <f>'Schedule 2K Adjustments'!P53</f>
        <v>0</v>
      </c>
      <c r="K54" s="68">
        <f>'Schedule 2K Adjustments'!R53</f>
        <v>0</v>
      </c>
      <c r="L54" s="68">
        <f t="shared" si="1"/>
        <v>0</v>
      </c>
      <c r="N54" s="119">
        <f>'Schedule 2K Adjustments'!X53</f>
        <v>0</v>
      </c>
      <c r="O54" s="119">
        <f>'Schedule 2K Adjustments'!AA53</f>
        <v>0</v>
      </c>
    </row>
    <row r="55" spans="1:15" x14ac:dyDescent="0.35">
      <c r="A55" s="24">
        <v>40</v>
      </c>
      <c r="B55" s="514" t="str">
        <f>'Schedule 2K Adjustments'!B54:D54</f>
        <v/>
      </c>
      <c r="C55" s="514"/>
      <c r="D55" s="514"/>
      <c r="F55" s="117">
        <f>'Schedule 2K Adjustments'!H54</f>
        <v>0</v>
      </c>
      <c r="G55" s="68">
        <f>'Schedule 2K Adjustments'!J54</f>
        <v>0</v>
      </c>
      <c r="H55" s="68">
        <f t="shared" si="0"/>
        <v>0</v>
      </c>
      <c r="J55" s="117">
        <f>'Schedule 2K Adjustments'!P54</f>
        <v>0</v>
      </c>
      <c r="K55" s="68">
        <f>'Schedule 2K Adjustments'!R54</f>
        <v>0</v>
      </c>
      <c r="L55" s="68">
        <f t="shared" si="1"/>
        <v>0</v>
      </c>
      <c r="N55" s="119">
        <f>'Schedule 2K Adjustments'!X54</f>
        <v>0</v>
      </c>
      <c r="O55" s="119">
        <f>'Schedule 2K Adjustments'!AA54</f>
        <v>0</v>
      </c>
    </row>
    <row r="56" spans="1:15" x14ac:dyDescent="0.35">
      <c r="A56" s="24">
        <v>41</v>
      </c>
      <c r="B56" s="514" t="str">
        <f>'Schedule 2K Adjustments'!B55:D55</f>
        <v/>
      </c>
      <c r="C56" s="514"/>
      <c r="D56" s="514"/>
      <c r="F56" s="117">
        <f>'Schedule 2K Adjustments'!H55</f>
        <v>0</v>
      </c>
      <c r="G56" s="68">
        <f>'Schedule 2K Adjustments'!J55</f>
        <v>0</v>
      </c>
      <c r="H56" s="68">
        <f t="shared" si="0"/>
        <v>0</v>
      </c>
      <c r="J56" s="117">
        <f>'Schedule 2K Adjustments'!P55</f>
        <v>0</v>
      </c>
      <c r="K56" s="68">
        <f>'Schedule 2K Adjustments'!R55</f>
        <v>0</v>
      </c>
      <c r="L56" s="68">
        <f t="shared" si="1"/>
        <v>0</v>
      </c>
      <c r="N56" s="119">
        <f>'Schedule 2K Adjustments'!X55</f>
        <v>0</v>
      </c>
      <c r="O56" s="119">
        <f>'Schedule 2K Adjustments'!AA55</f>
        <v>0</v>
      </c>
    </row>
    <row r="57" spans="1:15" x14ac:dyDescent="0.35">
      <c r="A57" s="24">
        <v>42</v>
      </c>
      <c r="B57" s="514" t="str">
        <f>'Schedule 2K Adjustments'!B56:D56</f>
        <v/>
      </c>
      <c r="C57" s="514"/>
      <c r="D57" s="514"/>
      <c r="F57" s="117">
        <f>'Schedule 2K Adjustments'!H56</f>
        <v>0</v>
      </c>
      <c r="G57" s="68">
        <f>'Schedule 2K Adjustments'!J56</f>
        <v>0</v>
      </c>
      <c r="H57" s="68">
        <f t="shared" si="0"/>
        <v>0</v>
      </c>
      <c r="J57" s="117">
        <f>'Schedule 2K Adjustments'!P56</f>
        <v>0</v>
      </c>
      <c r="K57" s="68">
        <f>'Schedule 2K Adjustments'!R56</f>
        <v>0</v>
      </c>
      <c r="L57" s="68">
        <f t="shared" si="1"/>
        <v>0</v>
      </c>
      <c r="N57" s="119">
        <f>'Schedule 2K Adjustments'!X56</f>
        <v>0</v>
      </c>
      <c r="O57" s="119">
        <f>'Schedule 2K Adjustments'!AA56</f>
        <v>0</v>
      </c>
    </row>
    <row r="58" spans="1:15" x14ac:dyDescent="0.35">
      <c r="A58" s="24">
        <v>43</v>
      </c>
      <c r="B58" s="514" t="str">
        <f>'Schedule 2K Adjustments'!B57:D57</f>
        <v/>
      </c>
      <c r="C58" s="514"/>
      <c r="D58" s="514"/>
      <c r="F58" s="117">
        <f>'Schedule 2K Adjustments'!H57</f>
        <v>0</v>
      </c>
      <c r="G58" s="68">
        <f>'Schedule 2K Adjustments'!J57</f>
        <v>0</v>
      </c>
      <c r="H58" s="68">
        <f t="shared" si="0"/>
        <v>0</v>
      </c>
      <c r="J58" s="117">
        <f>'Schedule 2K Adjustments'!P57</f>
        <v>0</v>
      </c>
      <c r="K58" s="68">
        <f>'Schedule 2K Adjustments'!R57</f>
        <v>0</v>
      </c>
      <c r="L58" s="68">
        <f t="shared" si="1"/>
        <v>0</v>
      </c>
      <c r="N58" s="119">
        <f>'Schedule 2K Adjustments'!X57</f>
        <v>0</v>
      </c>
      <c r="O58" s="119">
        <f>'Schedule 2K Adjustments'!AA57</f>
        <v>0</v>
      </c>
    </row>
    <row r="59" spans="1:15" x14ac:dyDescent="0.35">
      <c r="A59" s="24">
        <v>44</v>
      </c>
      <c r="B59" s="514" t="str">
        <f>'Schedule 2K Adjustments'!B58:D58</f>
        <v/>
      </c>
      <c r="C59" s="514"/>
      <c r="D59" s="514"/>
      <c r="F59" s="117">
        <f>'Schedule 2K Adjustments'!H58</f>
        <v>0</v>
      </c>
      <c r="G59" s="68">
        <f>'Schedule 2K Adjustments'!J58</f>
        <v>0</v>
      </c>
      <c r="H59" s="68">
        <f t="shared" si="0"/>
        <v>0</v>
      </c>
      <c r="J59" s="117">
        <f>'Schedule 2K Adjustments'!P58</f>
        <v>0</v>
      </c>
      <c r="K59" s="68">
        <f>'Schedule 2K Adjustments'!R58</f>
        <v>0</v>
      </c>
      <c r="L59" s="68">
        <f t="shared" si="1"/>
        <v>0</v>
      </c>
      <c r="N59" s="119">
        <f>'Schedule 2K Adjustments'!X58</f>
        <v>0</v>
      </c>
      <c r="O59" s="119">
        <f>'Schedule 2K Adjustments'!AA58</f>
        <v>0</v>
      </c>
    </row>
    <row r="60" spans="1:15" x14ac:dyDescent="0.35">
      <c r="A60" s="24">
        <v>45</v>
      </c>
      <c r="B60" s="514" t="str">
        <f>'Schedule 2K Adjustments'!B59:D59</f>
        <v/>
      </c>
      <c r="C60" s="514"/>
      <c r="D60" s="514"/>
      <c r="F60" s="117">
        <f>'Schedule 2K Adjustments'!H59</f>
        <v>0</v>
      </c>
      <c r="G60" s="68">
        <f>'Schedule 2K Adjustments'!J59</f>
        <v>0</v>
      </c>
      <c r="H60" s="68">
        <f t="shared" si="0"/>
        <v>0</v>
      </c>
      <c r="J60" s="117">
        <f>'Schedule 2K Adjustments'!P59</f>
        <v>0</v>
      </c>
      <c r="K60" s="68">
        <f>'Schedule 2K Adjustments'!R59</f>
        <v>0</v>
      </c>
      <c r="L60" s="68">
        <f t="shared" si="1"/>
        <v>0</v>
      </c>
      <c r="N60" s="119">
        <f>'Schedule 2K Adjustments'!X59</f>
        <v>0</v>
      </c>
      <c r="O60" s="119">
        <f>'Schedule 2K Adjustments'!AA59</f>
        <v>0</v>
      </c>
    </row>
    <row r="61" spans="1:15" x14ac:dyDescent="0.35">
      <c r="A61" s="24">
        <v>46</v>
      </c>
      <c r="B61" s="514" t="str">
        <f>'Schedule 2K Adjustments'!B60:D60</f>
        <v/>
      </c>
      <c r="C61" s="514"/>
      <c r="D61" s="514"/>
      <c r="F61" s="117">
        <f>'Schedule 2K Adjustments'!H60</f>
        <v>0</v>
      </c>
      <c r="G61" s="68">
        <f>'Schedule 2K Adjustments'!J60</f>
        <v>0</v>
      </c>
      <c r="H61" s="68">
        <f t="shared" si="0"/>
        <v>0</v>
      </c>
      <c r="J61" s="117">
        <f>'Schedule 2K Adjustments'!P60</f>
        <v>0</v>
      </c>
      <c r="K61" s="68">
        <f>'Schedule 2K Adjustments'!R60</f>
        <v>0</v>
      </c>
      <c r="L61" s="68">
        <f t="shared" si="1"/>
        <v>0</v>
      </c>
      <c r="N61" s="119">
        <f>'Schedule 2K Adjustments'!X60</f>
        <v>0</v>
      </c>
      <c r="O61" s="119">
        <f>'Schedule 2K Adjustments'!AA60</f>
        <v>0</v>
      </c>
    </row>
    <row r="62" spans="1:15" x14ac:dyDescent="0.35">
      <c r="A62" s="24">
        <v>47</v>
      </c>
      <c r="B62" s="514" t="str">
        <f>'Schedule 2K Adjustments'!B61:D61</f>
        <v/>
      </c>
      <c r="C62" s="514"/>
      <c r="D62" s="514"/>
      <c r="F62" s="117">
        <f>'Schedule 2K Adjustments'!H61</f>
        <v>0</v>
      </c>
      <c r="G62" s="68">
        <f>'Schedule 2K Adjustments'!J61</f>
        <v>0</v>
      </c>
      <c r="H62" s="68">
        <f t="shared" si="0"/>
        <v>0</v>
      </c>
      <c r="J62" s="117">
        <f>'Schedule 2K Adjustments'!P61</f>
        <v>0</v>
      </c>
      <c r="K62" s="68">
        <f>'Schedule 2K Adjustments'!R61</f>
        <v>0</v>
      </c>
      <c r="L62" s="68">
        <f t="shared" si="1"/>
        <v>0</v>
      </c>
      <c r="N62" s="119">
        <f>'Schedule 2K Adjustments'!X61</f>
        <v>0</v>
      </c>
      <c r="O62" s="119">
        <f>'Schedule 2K Adjustments'!AA61</f>
        <v>0</v>
      </c>
    </row>
    <row r="63" spans="1:15" x14ac:dyDescent="0.35">
      <c r="A63" s="24">
        <v>48</v>
      </c>
      <c r="B63" s="514" t="str">
        <f>'Schedule 2K Adjustments'!B62:D62</f>
        <v/>
      </c>
      <c r="C63" s="514"/>
      <c r="D63" s="514"/>
      <c r="F63" s="117">
        <f>'Schedule 2K Adjustments'!H62</f>
        <v>0</v>
      </c>
      <c r="G63" s="68">
        <f>'Schedule 2K Adjustments'!J62</f>
        <v>0</v>
      </c>
      <c r="H63" s="68">
        <f t="shared" si="0"/>
        <v>0</v>
      </c>
      <c r="J63" s="117">
        <f>'Schedule 2K Adjustments'!P62</f>
        <v>0</v>
      </c>
      <c r="K63" s="68">
        <f>'Schedule 2K Adjustments'!R62</f>
        <v>0</v>
      </c>
      <c r="L63" s="68">
        <f t="shared" si="1"/>
        <v>0</v>
      </c>
      <c r="N63" s="119">
        <f>'Schedule 2K Adjustments'!X62</f>
        <v>0</v>
      </c>
      <c r="O63" s="119">
        <f>'Schedule 2K Adjustments'!AA62</f>
        <v>0</v>
      </c>
    </row>
    <row r="64" spans="1:15" x14ac:dyDescent="0.35">
      <c r="A64" s="24">
        <v>49</v>
      </c>
      <c r="B64" s="514" t="str">
        <f>'Schedule 2K Adjustments'!B63:D63</f>
        <v/>
      </c>
      <c r="C64" s="514"/>
      <c r="D64" s="514"/>
      <c r="F64" s="117">
        <f>'Schedule 2K Adjustments'!H63</f>
        <v>0</v>
      </c>
      <c r="G64" s="68">
        <f>'Schedule 2K Adjustments'!J63</f>
        <v>0</v>
      </c>
      <c r="H64" s="68">
        <f t="shared" si="0"/>
        <v>0</v>
      </c>
      <c r="J64" s="117">
        <f>'Schedule 2K Adjustments'!P63</f>
        <v>0</v>
      </c>
      <c r="K64" s="68">
        <f>'Schedule 2K Adjustments'!R63</f>
        <v>0</v>
      </c>
      <c r="L64" s="68">
        <f t="shared" si="1"/>
        <v>0</v>
      </c>
      <c r="N64" s="119">
        <f>'Schedule 2K Adjustments'!X63</f>
        <v>0</v>
      </c>
      <c r="O64" s="119">
        <f>'Schedule 2K Adjustments'!AA63</f>
        <v>0</v>
      </c>
    </row>
    <row r="65" spans="1:15" x14ac:dyDescent="0.35">
      <c r="A65" s="24">
        <v>50</v>
      </c>
      <c r="B65" s="514" t="str">
        <f>'Schedule 2K Adjustments'!B64:D64</f>
        <v/>
      </c>
      <c r="C65" s="514"/>
      <c r="D65" s="514"/>
      <c r="F65" s="117">
        <f>'Schedule 2K Adjustments'!H64</f>
        <v>0</v>
      </c>
      <c r="G65" s="68">
        <f>'Schedule 2K Adjustments'!J64</f>
        <v>0</v>
      </c>
      <c r="H65" s="68">
        <f t="shared" si="0"/>
        <v>0</v>
      </c>
      <c r="J65" s="117">
        <f>'Schedule 2K Adjustments'!P64</f>
        <v>0</v>
      </c>
      <c r="K65" s="68">
        <f>'Schedule 2K Adjustments'!R64</f>
        <v>0</v>
      </c>
      <c r="L65" s="68">
        <f t="shared" si="1"/>
        <v>0</v>
      </c>
      <c r="N65" s="119">
        <f>'Schedule 2K Adjustments'!X64</f>
        <v>0</v>
      </c>
      <c r="O65" s="119">
        <f>'Schedule 2K Adjustments'!AA64</f>
        <v>0</v>
      </c>
    </row>
    <row r="66" spans="1:15" x14ac:dyDescent="0.35">
      <c r="A66" s="24">
        <v>51</v>
      </c>
      <c r="B66" s="514" t="str">
        <f>'Schedule 2K Adjustments'!B65:D65</f>
        <v/>
      </c>
      <c r="C66" s="514"/>
      <c r="D66" s="514"/>
      <c r="F66" s="117">
        <f>'Schedule 2K Adjustments'!H65</f>
        <v>0</v>
      </c>
      <c r="G66" s="68">
        <f>'Schedule 2K Adjustments'!J65</f>
        <v>0</v>
      </c>
      <c r="H66" s="68">
        <f t="shared" si="0"/>
        <v>0</v>
      </c>
      <c r="J66" s="117">
        <f>'Schedule 2K Adjustments'!P65</f>
        <v>0</v>
      </c>
      <c r="K66" s="68">
        <f>'Schedule 2K Adjustments'!R65</f>
        <v>0</v>
      </c>
      <c r="L66" s="68">
        <f t="shared" si="1"/>
        <v>0</v>
      </c>
      <c r="N66" s="119">
        <f>'Schedule 2K Adjustments'!X65</f>
        <v>0</v>
      </c>
      <c r="O66" s="119">
        <f>'Schedule 2K Adjustments'!AA65</f>
        <v>0</v>
      </c>
    </row>
    <row r="67" spans="1:15" x14ac:dyDescent="0.35">
      <c r="A67" s="24">
        <v>52</v>
      </c>
      <c r="B67" s="514" t="str">
        <f>'Schedule 2K Adjustments'!B66:D66</f>
        <v/>
      </c>
      <c r="C67" s="514"/>
      <c r="D67" s="514"/>
      <c r="F67" s="117">
        <f>'Schedule 2K Adjustments'!H66</f>
        <v>0</v>
      </c>
      <c r="G67" s="68">
        <f>'Schedule 2K Adjustments'!J66</f>
        <v>0</v>
      </c>
      <c r="H67" s="68">
        <f t="shared" si="0"/>
        <v>0</v>
      </c>
      <c r="J67" s="117">
        <f>'Schedule 2K Adjustments'!P66</f>
        <v>0</v>
      </c>
      <c r="K67" s="68">
        <f>'Schedule 2K Adjustments'!R66</f>
        <v>0</v>
      </c>
      <c r="L67" s="68">
        <f t="shared" si="1"/>
        <v>0</v>
      </c>
      <c r="N67" s="119">
        <f>'Schedule 2K Adjustments'!X66</f>
        <v>0</v>
      </c>
      <c r="O67" s="119">
        <f>'Schedule 2K Adjustments'!AA66</f>
        <v>0</v>
      </c>
    </row>
    <row r="68" spans="1:15" x14ac:dyDescent="0.35">
      <c r="A68" s="24">
        <v>53</v>
      </c>
      <c r="B68" s="514" t="str">
        <f>'Schedule 2K Adjustments'!B67:D67</f>
        <v/>
      </c>
      <c r="C68" s="514"/>
      <c r="D68" s="514"/>
      <c r="F68" s="117">
        <f>'Schedule 2K Adjustments'!H67</f>
        <v>0</v>
      </c>
      <c r="G68" s="68">
        <f>'Schedule 2K Adjustments'!J67</f>
        <v>0</v>
      </c>
      <c r="H68" s="68">
        <f t="shared" si="0"/>
        <v>0</v>
      </c>
      <c r="J68" s="117">
        <f>'Schedule 2K Adjustments'!P67</f>
        <v>0</v>
      </c>
      <c r="K68" s="68">
        <f>'Schedule 2K Adjustments'!R67</f>
        <v>0</v>
      </c>
      <c r="L68" s="68">
        <f t="shared" si="1"/>
        <v>0</v>
      </c>
      <c r="N68" s="119">
        <f>'Schedule 2K Adjustments'!X67</f>
        <v>0</v>
      </c>
      <c r="O68" s="119">
        <f>'Schedule 2K Adjustments'!AA67</f>
        <v>0</v>
      </c>
    </row>
    <row r="69" spans="1:15" x14ac:dyDescent="0.35">
      <c r="A69" s="24">
        <v>54</v>
      </c>
      <c r="B69" s="514" t="str">
        <f>'Schedule 2K Adjustments'!B68:D68</f>
        <v/>
      </c>
      <c r="C69" s="514"/>
      <c r="D69" s="514"/>
      <c r="F69" s="117">
        <f>'Schedule 2K Adjustments'!H68</f>
        <v>0</v>
      </c>
      <c r="G69" s="68">
        <f>'Schedule 2K Adjustments'!J68</f>
        <v>0</v>
      </c>
      <c r="H69" s="68">
        <f t="shared" si="0"/>
        <v>0</v>
      </c>
      <c r="J69" s="117">
        <f>'Schedule 2K Adjustments'!P68</f>
        <v>0</v>
      </c>
      <c r="K69" s="68">
        <f>'Schedule 2K Adjustments'!R68</f>
        <v>0</v>
      </c>
      <c r="L69" s="68">
        <f t="shared" si="1"/>
        <v>0</v>
      </c>
      <c r="N69" s="119">
        <f>'Schedule 2K Adjustments'!X68</f>
        <v>0</v>
      </c>
      <c r="O69" s="119">
        <f>'Schedule 2K Adjustments'!AA68</f>
        <v>0</v>
      </c>
    </row>
    <row r="70" spans="1:15" x14ac:dyDescent="0.35">
      <c r="A70" s="24">
        <v>55</v>
      </c>
      <c r="B70" s="514" t="str">
        <f>'Schedule 2K Adjustments'!B69:D69</f>
        <v/>
      </c>
      <c r="C70" s="514"/>
      <c r="D70" s="514"/>
      <c r="F70" s="117">
        <f>'Schedule 2K Adjustments'!H69</f>
        <v>0</v>
      </c>
      <c r="G70" s="68">
        <f>'Schedule 2K Adjustments'!J69</f>
        <v>0</v>
      </c>
      <c r="H70" s="68">
        <f t="shared" si="0"/>
        <v>0</v>
      </c>
      <c r="J70" s="117">
        <f>'Schedule 2K Adjustments'!P69</f>
        <v>0</v>
      </c>
      <c r="K70" s="68">
        <f>'Schedule 2K Adjustments'!R69</f>
        <v>0</v>
      </c>
      <c r="L70" s="68">
        <f t="shared" si="1"/>
        <v>0</v>
      </c>
      <c r="N70" s="119">
        <f>'Schedule 2K Adjustments'!X69</f>
        <v>0</v>
      </c>
      <c r="O70" s="119">
        <f>'Schedule 2K Adjustments'!AA69</f>
        <v>0</v>
      </c>
    </row>
    <row r="71" spans="1:15" x14ac:dyDescent="0.35">
      <c r="A71" s="24">
        <v>56</v>
      </c>
      <c r="B71" s="514" t="str">
        <f>'Schedule 2K Adjustments'!B70:D70</f>
        <v/>
      </c>
      <c r="C71" s="514"/>
      <c r="D71" s="514"/>
      <c r="F71" s="117">
        <f>'Schedule 2K Adjustments'!H70</f>
        <v>0</v>
      </c>
      <c r="G71" s="68">
        <f>'Schedule 2K Adjustments'!J70</f>
        <v>0</v>
      </c>
      <c r="H71" s="68">
        <f t="shared" si="0"/>
        <v>0</v>
      </c>
      <c r="J71" s="117">
        <f>'Schedule 2K Adjustments'!P70</f>
        <v>0</v>
      </c>
      <c r="K71" s="68">
        <f>'Schedule 2K Adjustments'!R70</f>
        <v>0</v>
      </c>
      <c r="L71" s="68">
        <f t="shared" si="1"/>
        <v>0</v>
      </c>
      <c r="N71" s="119">
        <f>'Schedule 2K Adjustments'!X70</f>
        <v>0</v>
      </c>
      <c r="O71" s="119">
        <f>'Schedule 2K Adjustments'!AA70</f>
        <v>0</v>
      </c>
    </row>
    <row r="72" spans="1:15" x14ac:dyDescent="0.35">
      <c r="A72" s="24">
        <v>57</v>
      </c>
      <c r="B72" s="514" t="str">
        <f>'Schedule 2K Adjustments'!B71:D71</f>
        <v/>
      </c>
      <c r="C72" s="514"/>
      <c r="D72" s="514"/>
      <c r="F72" s="117">
        <f>'Schedule 2K Adjustments'!H71</f>
        <v>0</v>
      </c>
      <c r="G72" s="68">
        <f>'Schedule 2K Adjustments'!J71</f>
        <v>0</v>
      </c>
      <c r="H72" s="68">
        <f t="shared" si="0"/>
        <v>0</v>
      </c>
      <c r="J72" s="117">
        <f>'Schedule 2K Adjustments'!P71</f>
        <v>0</v>
      </c>
      <c r="K72" s="68">
        <f>'Schedule 2K Adjustments'!R71</f>
        <v>0</v>
      </c>
      <c r="L72" s="68">
        <f t="shared" si="1"/>
        <v>0</v>
      </c>
      <c r="N72" s="119">
        <f>'Schedule 2K Adjustments'!X71</f>
        <v>0</v>
      </c>
      <c r="O72" s="119">
        <f>'Schedule 2K Adjustments'!AA71</f>
        <v>0</v>
      </c>
    </row>
    <row r="73" spans="1:15" x14ac:dyDescent="0.35">
      <c r="A73" s="24">
        <v>58</v>
      </c>
      <c r="B73" s="514" t="str">
        <f>'Schedule 2K Adjustments'!B72:D72</f>
        <v/>
      </c>
      <c r="C73" s="514"/>
      <c r="D73" s="514"/>
      <c r="F73" s="117">
        <f>'Schedule 2K Adjustments'!H72</f>
        <v>0</v>
      </c>
      <c r="G73" s="68">
        <f>'Schedule 2K Adjustments'!J72</f>
        <v>0</v>
      </c>
      <c r="H73" s="68">
        <f t="shared" si="0"/>
        <v>0</v>
      </c>
      <c r="J73" s="117">
        <f>'Schedule 2K Adjustments'!P72</f>
        <v>0</v>
      </c>
      <c r="K73" s="68">
        <f>'Schedule 2K Adjustments'!R72</f>
        <v>0</v>
      </c>
      <c r="L73" s="68">
        <f t="shared" si="1"/>
        <v>0</v>
      </c>
      <c r="N73" s="119">
        <f>'Schedule 2K Adjustments'!X72</f>
        <v>0</v>
      </c>
      <c r="O73" s="119">
        <f>'Schedule 2K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AA319"/>
  <sheetViews>
    <sheetView tabSelected="1" workbookViewId="0">
      <selection activeCell="I30" sqref="I30"/>
    </sheetView>
  </sheetViews>
  <sheetFormatPr defaultColWidth="9.1796875" defaultRowHeight="14.5" x14ac:dyDescent="0.35"/>
  <cols>
    <col min="1" max="1" width="16.1796875" customWidth="1"/>
    <col min="2" max="2" width="9.81640625" customWidth="1"/>
    <col min="3" max="3" width="61" customWidth="1"/>
    <col min="4" max="6" width="18.1796875" customWidth="1"/>
    <col min="7" max="7" width="5.1796875" customWidth="1"/>
    <col min="8" max="8" width="18.453125" customWidth="1"/>
    <col min="27" max="27" width="9.1796875" customWidth="1"/>
  </cols>
  <sheetData>
    <row r="1" spans="1:27" ht="26" x14ac:dyDescent="0.6">
      <c r="A1" s="3" t="s">
        <v>771</v>
      </c>
      <c r="B1" s="3"/>
    </row>
    <row r="2" spans="1:27" ht="21" x14ac:dyDescent="0.5">
      <c r="A2" s="2" t="s">
        <v>772</v>
      </c>
      <c r="B2" s="2"/>
    </row>
    <row r="3" spans="1:27" ht="21" x14ac:dyDescent="0.5">
      <c r="A3" s="241" t="s">
        <v>495</v>
      </c>
      <c r="B3" s="2"/>
    </row>
    <row r="4" spans="1:27" ht="21" x14ac:dyDescent="0.5">
      <c r="A4" s="242" t="s">
        <v>497</v>
      </c>
    </row>
    <row r="5" spans="1:27" x14ac:dyDescent="0.35">
      <c r="AA5" s="243" t="s">
        <v>496</v>
      </c>
    </row>
    <row r="6" spans="1:27" x14ac:dyDescent="0.35">
      <c r="A6" s="1" t="s">
        <v>773</v>
      </c>
      <c r="B6" s="1"/>
      <c r="C6" s="244" t="s">
        <v>933</v>
      </c>
      <c r="AA6" s="243" t="s">
        <v>497</v>
      </c>
    </row>
    <row r="7" spans="1:27" x14ac:dyDescent="0.35">
      <c r="A7" s="1" t="s">
        <v>0</v>
      </c>
      <c r="B7" s="1"/>
      <c r="C7" s="35">
        <v>45473</v>
      </c>
    </row>
    <row r="10" spans="1:27" x14ac:dyDescent="0.35">
      <c r="C10" t="s">
        <v>498</v>
      </c>
      <c r="D10" s="245" t="s">
        <v>499</v>
      </c>
      <c r="E10" s="245" t="s">
        <v>500</v>
      </c>
      <c r="F10" s="245" t="s">
        <v>501</v>
      </c>
    </row>
    <row r="11" spans="1:27" x14ac:dyDescent="0.35">
      <c r="A11" s="246" t="s">
        <v>502</v>
      </c>
      <c r="D11" s="78"/>
      <c r="E11" s="78"/>
      <c r="F11" s="78"/>
    </row>
    <row r="12" spans="1:27" x14ac:dyDescent="0.35">
      <c r="A12" t="s">
        <v>503</v>
      </c>
      <c r="D12" s="247">
        <f>'Adjusted Schedule 1'!J96</f>
        <v>75337322</v>
      </c>
      <c r="E12" s="247">
        <f>'As-Filed Schedule 1'!J95</f>
        <v>75619055</v>
      </c>
      <c r="F12" s="247">
        <f t="shared" ref="F12:F32" si="0">D12-E12</f>
        <v>-281733</v>
      </c>
    </row>
    <row r="13" spans="1:27" x14ac:dyDescent="0.35">
      <c r="A13" t="s">
        <v>504</v>
      </c>
      <c r="D13" s="247">
        <f>'Adjusted Schedule 1A'!H26</f>
        <v>181733</v>
      </c>
      <c r="E13" s="247">
        <f>'As-Filed Schedule 1A'!H25</f>
        <v>181733</v>
      </c>
      <c r="F13" s="247">
        <f t="shared" si="0"/>
        <v>0</v>
      </c>
    </row>
    <row r="14" spans="1:27" x14ac:dyDescent="0.35">
      <c r="A14" t="s">
        <v>505</v>
      </c>
      <c r="D14" s="247">
        <f>'Adjusted Schedule 1C'!F26</f>
        <v>0</v>
      </c>
      <c r="E14" s="247">
        <f>'As-Filed Schedule 1C'!F25</f>
        <v>0</v>
      </c>
      <c r="F14" s="247">
        <f t="shared" si="0"/>
        <v>0</v>
      </c>
    </row>
    <row r="15" spans="1:27" x14ac:dyDescent="0.35">
      <c r="A15" t="s">
        <v>506</v>
      </c>
      <c r="D15" s="247">
        <f>'Adjusted Schedule 2A'!F76</f>
        <v>4161908.6643740069</v>
      </c>
      <c r="E15" s="247">
        <f>'As-Filed Schedule 2A'!F75</f>
        <v>4170084.8957980517</v>
      </c>
      <c r="F15" s="247">
        <f t="shared" si="0"/>
        <v>-8176.2314240448177</v>
      </c>
    </row>
    <row r="16" spans="1:27" x14ac:dyDescent="0.35">
      <c r="A16" t="s">
        <v>507</v>
      </c>
      <c r="D16" s="247">
        <f>'Adjusted Schedule 2B'!F76</f>
        <v>1275073.6894816591</v>
      </c>
      <c r="E16" s="247">
        <f>'As-Filed Schedule 2B'!F75</f>
        <v>582665.76032950543</v>
      </c>
      <c r="F16" s="247">
        <f t="shared" si="0"/>
        <v>692407.92915215367</v>
      </c>
    </row>
    <row r="17" spans="1:6" x14ac:dyDescent="0.35">
      <c r="A17" t="s">
        <v>508</v>
      </c>
      <c r="D17" s="247">
        <f>'Adjusted Schedule 2C'!F76</f>
        <v>56709418.056425385</v>
      </c>
      <c r="E17" s="247">
        <f>'As-Filed Schedule 2C'!F75</f>
        <v>56517822.856328353</v>
      </c>
      <c r="F17" s="247">
        <f t="shared" si="0"/>
        <v>191595.20009703189</v>
      </c>
    </row>
    <row r="18" spans="1:6" x14ac:dyDescent="0.35">
      <c r="A18" t="s">
        <v>509</v>
      </c>
      <c r="D18" s="247">
        <f>'Adjusted Schedule 2D'!$F$76</f>
        <v>0</v>
      </c>
      <c r="E18" s="247">
        <f>'As-Filed Schedule 2D'!$F$75</f>
        <v>0</v>
      </c>
      <c r="F18" s="247">
        <f>D18-E18</f>
        <v>0</v>
      </c>
    </row>
    <row r="19" spans="1:6" hidden="1" x14ac:dyDescent="0.35">
      <c r="A19" t="s">
        <v>913</v>
      </c>
      <c r="D19" s="247">
        <f>'Adjusted Schedule 2E'!$F$76</f>
        <v>0</v>
      </c>
      <c r="E19" s="247">
        <f>'As-Filed Schedule 2E'!$F$75</f>
        <v>0</v>
      </c>
      <c r="F19" s="247">
        <f t="shared" ref="F19:F27" si="1">D19-E19</f>
        <v>0</v>
      </c>
    </row>
    <row r="20" spans="1:6" hidden="1" x14ac:dyDescent="0.35">
      <c r="A20" t="s">
        <v>912</v>
      </c>
      <c r="D20" s="247">
        <f>'Adjusted Schedule 2F'!$F$76</f>
        <v>0</v>
      </c>
      <c r="E20" s="247">
        <f>'As-Filed Schedule 2F'!$F$75</f>
        <v>0</v>
      </c>
      <c r="F20" s="247">
        <f t="shared" si="1"/>
        <v>0</v>
      </c>
    </row>
    <row r="21" spans="1:6" hidden="1" x14ac:dyDescent="0.35">
      <c r="A21" t="s">
        <v>911</v>
      </c>
      <c r="D21" s="247">
        <f>'Adjusted Schedule 2G'!$F$76</f>
        <v>0</v>
      </c>
      <c r="E21" s="247">
        <f>'As-Filed Schedule 2G'!$F$75</f>
        <v>0</v>
      </c>
      <c r="F21" s="247">
        <f t="shared" si="1"/>
        <v>0</v>
      </c>
    </row>
    <row r="22" spans="1:6" hidden="1" x14ac:dyDescent="0.35">
      <c r="A22" t="s">
        <v>910</v>
      </c>
      <c r="D22" s="247">
        <f>'Adjusted Schedule 2H'!$F$76</f>
        <v>0</v>
      </c>
      <c r="E22" s="247">
        <f>'As-Filed Schedule 2H'!$F$75</f>
        <v>0</v>
      </c>
      <c r="F22" s="247">
        <f t="shared" si="1"/>
        <v>0</v>
      </c>
    </row>
    <row r="23" spans="1:6" hidden="1" x14ac:dyDescent="0.35">
      <c r="A23" t="s">
        <v>909</v>
      </c>
      <c r="D23" s="247">
        <f>'Adjusted Schedule 2I'!$F$76</f>
        <v>0</v>
      </c>
      <c r="E23" s="247">
        <f>'As-Filed Schedule 2I'!$F$75</f>
        <v>0</v>
      </c>
      <c r="F23" s="247">
        <f t="shared" si="1"/>
        <v>0</v>
      </c>
    </row>
    <row r="24" spans="1:6" hidden="1" x14ac:dyDescent="0.35">
      <c r="A24" t="s">
        <v>908</v>
      </c>
      <c r="D24" s="247">
        <f>'Adjusted Schedule 2J'!$F$76</f>
        <v>0</v>
      </c>
      <c r="E24" s="247">
        <f>'As-Filed Schedule 2J'!$F$75</f>
        <v>0</v>
      </c>
      <c r="F24" s="247">
        <f t="shared" si="1"/>
        <v>0</v>
      </c>
    </row>
    <row r="25" spans="1:6" hidden="1" x14ac:dyDescent="0.35">
      <c r="A25" t="s">
        <v>907</v>
      </c>
      <c r="D25" s="247">
        <f>'Adjusted Schedule 2K'!$F$76</f>
        <v>0</v>
      </c>
      <c r="E25" s="247">
        <f>'As-Filed Schedule 2K'!$F$75</f>
        <v>0</v>
      </c>
      <c r="F25" s="247">
        <f t="shared" si="1"/>
        <v>0</v>
      </c>
    </row>
    <row r="26" spans="1:6" hidden="1" x14ac:dyDescent="0.35">
      <c r="A26" t="s">
        <v>906</v>
      </c>
      <c r="D26" s="247">
        <f>'Adjusted Schedule 2L'!$F$76</f>
        <v>0</v>
      </c>
      <c r="E26" s="247">
        <f>'As-Filed Schedule 2L'!$F$75</f>
        <v>0</v>
      </c>
      <c r="F26" s="247">
        <f t="shared" si="1"/>
        <v>0</v>
      </c>
    </row>
    <row r="27" spans="1:6" ht="27.75" hidden="1" customHeight="1" x14ac:dyDescent="0.35">
      <c r="A27" s="477" t="s">
        <v>905</v>
      </c>
      <c r="B27" s="477"/>
      <c r="C27" s="477"/>
      <c r="D27" s="247">
        <f>'Adjusted Schedule 2M'!$F$76</f>
        <v>0</v>
      </c>
      <c r="E27" s="247">
        <f>'As-Filed Schedule 2M'!$F$75</f>
        <v>0</v>
      </c>
      <c r="F27" s="247">
        <f t="shared" si="1"/>
        <v>0</v>
      </c>
    </row>
    <row r="28" spans="1:6" x14ac:dyDescent="0.35">
      <c r="A28" s="100" t="s">
        <v>510</v>
      </c>
      <c r="D28" s="13">
        <f>'Adjusted Schedule 3'!K168</f>
        <v>7086</v>
      </c>
      <c r="E28" s="13">
        <f>'As-Filed Schedule 3'!K167</f>
        <v>7086</v>
      </c>
      <c r="F28" s="13">
        <f t="shared" si="0"/>
        <v>0</v>
      </c>
    </row>
    <row r="29" spans="1:6" x14ac:dyDescent="0.35">
      <c r="A29" s="100" t="s">
        <v>511</v>
      </c>
      <c r="D29" s="247">
        <f>'Adjusted Schedule 3'!M168</f>
        <v>12038236</v>
      </c>
      <c r="E29" s="247">
        <f>'As-Filed Schedule 3'!M167</f>
        <v>8909516</v>
      </c>
      <c r="F29" s="247">
        <f t="shared" si="0"/>
        <v>3128720</v>
      </c>
    </row>
    <row r="30" spans="1:6" x14ac:dyDescent="0.35">
      <c r="A30" t="s">
        <v>512</v>
      </c>
      <c r="D30" s="13">
        <f>'Adjusted Schedule 4'!D198</f>
        <v>40652</v>
      </c>
      <c r="E30" s="13">
        <f>'As-Filed Schedule 4'!D197</f>
        <v>32677</v>
      </c>
      <c r="F30" s="13">
        <f t="shared" si="0"/>
        <v>7975</v>
      </c>
    </row>
    <row r="31" spans="1:6" x14ac:dyDescent="0.35">
      <c r="A31" t="s">
        <v>513</v>
      </c>
      <c r="D31" s="13">
        <f>'Adjusted Schedule 4'!H198</f>
        <v>250438</v>
      </c>
      <c r="E31" s="13">
        <f>'As-Filed Schedule 4'!H197</f>
        <v>233906</v>
      </c>
      <c r="F31" s="13">
        <f t="shared" si="0"/>
        <v>16532</v>
      </c>
    </row>
    <row r="32" spans="1:6" x14ac:dyDescent="0.35">
      <c r="A32" t="s">
        <v>927</v>
      </c>
      <c r="D32" s="460">
        <f>'Adjusted Schedule 4'!K9</f>
        <v>138510</v>
      </c>
      <c r="E32" s="460">
        <f>'As-Filed Schedule 4'!K8</f>
        <v>143182</v>
      </c>
      <c r="F32" s="13">
        <f t="shared" si="0"/>
        <v>-4672</v>
      </c>
    </row>
    <row r="33" spans="1:6" x14ac:dyDescent="0.35">
      <c r="D33" s="248"/>
      <c r="E33" s="248"/>
      <c r="F33" s="248"/>
    </row>
    <row r="34" spans="1:6" x14ac:dyDescent="0.35">
      <c r="A34" s="246" t="s">
        <v>514</v>
      </c>
      <c r="D34" s="248"/>
      <c r="E34" s="248"/>
      <c r="F34" s="248"/>
    </row>
    <row r="35" spans="1:6" x14ac:dyDescent="0.35">
      <c r="A35" t="s">
        <v>515</v>
      </c>
      <c r="D35" s="247">
        <f>'Adjusted Schedule 1'!F96</f>
        <v>44277755</v>
      </c>
      <c r="E35" s="247">
        <f>'As-Filed Schedule 1'!F95</f>
        <v>45153224</v>
      </c>
      <c r="F35" s="247">
        <f>D35-E35</f>
        <v>-875469</v>
      </c>
    </row>
    <row r="36" spans="1:6" x14ac:dyDescent="0.35">
      <c r="A36" s="100" t="s">
        <v>516</v>
      </c>
      <c r="D36" s="247">
        <f>'Adjusted Schedule 4'!D10</f>
        <v>0</v>
      </c>
      <c r="E36" s="247">
        <f>'As-Filed Schedule 4'!D9</f>
        <v>0</v>
      </c>
      <c r="F36" s="247">
        <f>D36-E36</f>
        <v>0</v>
      </c>
    </row>
    <row r="37" spans="1:6" x14ac:dyDescent="0.35">
      <c r="A37" t="s">
        <v>517</v>
      </c>
      <c r="D37" s="13">
        <f>'Adjusted Schedule 4'!F198</f>
        <v>64828.62</v>
      </c>
      <c r="E37" s="13">
        <f>'As-Filed Schedule 4'!F8</f>
        <v>59667.61</v>
      </c>
      <c r="F37" s="13">
        <f>D37-E37</f>
        <v>5161.010000000002</v>
      </c>
    </row>
    <row r="38" spans="1:6" x14ac:dyDescent="0.35">
      <c r="A38" t="s">
        <v>518</v>
      </c>
      <c r="D38" s="249">
        <f>'Adjusted Schedule 4'!J198</f>
        <v>400989.84999999992</v>
      </c>
      <c r="E38" s="249">
        <f>'As-Filed Schedule 4'!F9</f>
        <v>391070.84999999992</v>
      </c>
      <c r="F38" s="249">
        <f>D38-E38</f>
        <v>9919</v>
      </c>
    </row>
    <row r="39" spans="1:6" s="1" customFormat="1" x14ac:dyDescent="0.35">
      <c r="A39" s="1" t="s">
        <v>519</v>
      </c>
      <c r="D39" s="250">
        <f>'Adjusted Schedule 4'!F13</f>
        <v>95.053669726750016</v>
      </c>
      <c r="E39" s="250">
        <f>'As-Filed Schedule 4'!F12</f>
        <v>100.17610656077586</v>
      </c>
      <c r="F39" s="251">
        <f>D39-E39</f>
        <v>-5.1224368340258479</v>
      </c>
    </row>
    <row r="40" spans="1:6" s="1" customFormat="1" x14ac:dyDescent="0.35">
      <c r="D40" s="250"/>
      <c r="E40" s="250"/>
      <c r="F40" s="251"/>
    </row>
    <row r="41" spans="1:6" s="1" customFormat="1" x14ac:dyDescent="0.35">
      <c r="A41" s="246" t="s">
        <v>918</v>
      </c>
      <c r="D41" s="250"/>
      <c r="E41" s="250"/>
      <c r="F41" s="251"/>
    </row>
    <row r="42" spans="1:6" x14ac:dyDescent="0.35">
      <c r="A42" t="s">
        <v>515</v>
      </c>
      <c r="D42" s="247">
        <f>'Adjusted Schedule 1'!F96</f>
        <v>44277755</v>
      </c>
      <c r="E42" s="247">
        <f>'As-Filed Schedule 1'!F95</f>
        <v>45153224</v>
      </c>
      <c r="F42" s="247">
        <f>D42-E42</f>
        <v>-875469</v>
      </c>
    </row>
    <row r="43" spans="1:6" x14ac:dyDescent="0.35">
      <c r="A43" s="100" t="s">
        <v>919</v>
      </c>
      <c r="D43" s="247">
        <f>'Adjusted Schedule 4'!I10</f>
        <v>0</v>
      </c>
      <c r="E43" s="247">
        <f>'As-Filed Schedule 4'!I9</f>
        <v>0</v>
      </c>
      <c r="F43" s="247">
        <f>D43-E43</f>
        <v>0</v>
      </c>
    </row>
    <row r="44" spans="1:6" x14ac:dyDescent="0.35">
      <c r="A44" t="s">
        <v>920</v>
      </c>
      <c r="D44" s="249">
        <f>'Adjusted Schedule 4'!K9</f>
        <v>138510</v>
      </c>
      <c r="E44" s="249">
        <f>'As-Filed Schedule 4'!K8</f>
        <v>143182</v>
      </c>
      <c r="F44" s="249">
        <f>D44-E44</f>
        <v>-4672</v>
      </c>
    </row>
    <row r="45" spans="1:6" s="1" customFormat="1" x14ac:dyDescent="0.35">
      <c r="A45" s="1" t="s">
        <v>921</v>
      </c>
      <c r="D45" s="250">
        <f>'Adjusted Schedule 4'!K13</f>
        <v>319.67190094578007</v>
      </c>
      <c r="E45" s="250">
        <f>'As-Filed Schedule 4'!K12</f>
        <v>315.35544970736544</v>
      </c>
      <c r="F45" s="251">
        <f>D45-E45</f>
        <v>4.3164512384146292</v>
      </c>
    </row>
    <row r="46" spans="1:6" s="1" customFormat="1" x14ac:dyDescent="0.35">
      <c r="D46" s="250"/>
      <c r="E46" s="250"/>
      <c r="F46" s="251"/>
    </row>
    <row r="47" spans="1:6" x14ac:dyDescent="0.35">
      <c r="A47" s="246" t="s">
        <v>520</v>
      </c>
    </row>
    <row r="48" spans="1:6" x14ac:dyDescent="0.35">
      <c r="A48" s="246"/>
    </row>
    <row r="49" spans="1:6" x14ac:dyDescent="0.35">
      <c r="A49" s="253" t="s">
        <v>521</v>
      </c>
      <c r="B49" s="478" t="str">
        <f>'Adjusted Schedule 3'!B18:C18</f>
        <v>CSU</v>
      </c>
      <c r="C49" s="478"/>
    </row>
    <row r="50" spans="1:6" x14ac:dyDescent="0.35">
      <c r="A50" s="253"/>
      <c r="B50" t="str">
        <f>IF($B$49="N/A","","Census Days")</f>
        <v>Census Days</v>
      </c>
      <c r="D50" s="13">
        <f>'Adjusted Schedule 3'!K18</f>
        <v>3208</v>
      </c>
      <c r="E50" s="13">
        <f>'As-Filed Schedule 3'!K17</f>
        <v>3208</v>
      </c>
      <c r="F50" s="13">
        <f>D50-E50</f>
        <v>0</v>
      </c>
    </row>
    <row r="51" spans="1:6" x14ac:dyDescent="0.35">
      <c r="A51" s="253"/>
      <c r="B51" t="str">
        <f>IF($B$49="N/A","","Total Expense")</f>
        <v>Total Expense</v>
      </c>
      <c r="D51" s="247">
        <f>'Adjusted Schedule 3'!M18</f>
        <v>5246377</v>
      </c>
      <c r="E51" s="247">
        <f>'As-Filed Schedule 3'!M17</f>
        <v>3951730</v>
      </c>
      <c r="F51" s="247">
        <f t="shared" ref="F51:F52" si="2">D51-E51</f>
        <v>1294647</v>
      </c>
    </row>
    <row r="52" spans="1:6" x14ac:dyDescent="0.35">
      <c r="A52" s="253"/>
      <c r="B52" t="str">
        <f>IF($B$49="N/A","","Room and Board Expense")</f>
        <v>Room and Board Expense</v>
      </c>
      <c r="D52" s="247">
        <f>'Adjusted Schedule 3'!O18</f>
        <v>633198</v>
      </c>
      <c r="E52" s="247">
        <f>'As-Filed Schedule 3'!O17</f>
        <v>633198</v>
      </c>
      <c r="F52" s="247">
        <f t="shared" si="2"/>
        <v>0</v>
      </c>
    </row>
    <row r="53" spans="1:6" x14ac:dyDescent="0.35">
      <c r="A53" s="253"/>
      <c r="B53" t="str">
        <f>IF($B$49="N/A","","Services Expense")</f>
        <v>Services Expense</v>
      </c>
      <c r="D53" s="254">
        <f>'Adjusted Schedule 3'!Q18</f>
        <v>4613179</v>
      </c>
      <c r="E53" s="254">
        <f>'As-Filed Schedule 3'!Q17</f>
        <v>3318532</v>
      </c>
      <c r="F53" s="254">
        <f>IF(E53="","",D53-E53)</f>
        <v>1294647</v>
      </c>
    </row>
    <row r="54" spans="1:6" s="1" customFormat="1" x14ac:dyDescent="0.35">
      <c r="A54" s="253"/>
      <c r="B54" s="1" t="str">
        <f>IF($B$49="N/A","","Facility Total Cost Per Day")</f>
        <v>Facility Total Cost Per Day</v>
      </c>
      <c r="D54" s="250">
        <f>'Adjusted Schedule 3'!N18</f>
        <v>1635.4043017456358</v>
      </c>
      <c r="E54" s="250">
        <f>'As-Filed Schedule 3'!N17</f>
        <v>1231.8360349127181</v>
      </c>
      <c r="F54" s="250">
        <f>IF(E54="","",D54-E54)</f>
        <v>403.56826683291774</v>
      </c>
    </row>
    <row r="55" spans="1:6" x14ac:dyDescent="0.35">
      <c r="A55" s="253"/>
      <c r="B55" t="str">
        <f>IF($B$49="N/A","","Room and Board Cost Per Day")</f>
        <v>Room and Board Cost Per Day</v>
      </c>
      <c r="D55" s="252">
        <f>'Adjusted Schedule 3'!P18</f>
        <v>197.38092269326683</v>
      </c>
      <c r="E55" s="252">
        <f>'As-Filed Schedule 3'!P17</f>
        <v>197.38092269326683</v>
      </c>
      <c r="F55" s="252">
        <f>IF(E55="","",D55-E55)</f>
        <v>0</v>
      </c>
    </row>
    <row r="56" spans="1:6" x14ac:dyDescent="0.35">
      <c r="A56" s="253"/>
      <c r="B56" t="str">
        <f>IF($B$49="N/A","","Services Cost Per Day")</f>
        <v>Services Cost Per Day</v>
      </c>
      <c r="D56" s="252">
        <f>'Adjusted Schedule 3'!R18</f>
        <v>1438.0233790523691</v>
      </c>
      <c r="E56" s="252">
        <f>'As-Filed Schedule 3'!R17</f>
        <v>1034.4551122194514</v>
      </c>
      <c r="F56" s="252">
        <f>IF(E56="","",D56-E56)</f>
        <v>403.56826683291774</v>
      </c>
    </row>
    <row r="57" spans="1:6" x14ac:dyDescent="0.35">
      <c r="A57" s="253"/>
    </row>
    <row r="58" spans="1:6" x14ac:dyDescent="0.35">
      <c r="A58" s="253" t="s">
        <v>522</v>
      </c>
      <c r="B58" s="478" t="str">
        <f>'Adjusted Schedule 3'!B23:C23</f>
        <v>ATU</v>
      </c>
      <c r="C58" s="478"/>
    </row>
    <row r="59" spans="1:6" x14ac:dyDescent="0.35">
      <c r="A59" s="253"/>
      <c r="B59" t="str">
        <f>IF($B$49="N/A","","Census Days")</f>
        <v>Census Days</v>
      </c>
      <c r="D59" s="13">
        <f>'Adjusted Schedule 3'!K23</f>
        <v>3878</v>
      </c>
      <c r="E59" s="13">
        <f>'As-Filed Schedule 3'!K22</f>
        <v>3878</v>
      </c>
      <c r="F59" s="13">
        <f>D59-E59</f>
        <v>0</v>
      </c>
    </row>
    <row r="60" spans="1:6" x14ac:dyDescent="0.35">
      <c r="A60" s="253"/>
      <c r="B60" t="str">
        <f>IF($B$49="N/A","","Total Expense")</f>
        <v>Total Expense</v>
      </c>
      <c r="D60" s="247">
        <f>'Adjusted Schedule 3'!M23</f>
        <v>6791859</v>
      </c>
      <c r="E60" s="247">
        <f>'As-Filed Schedule 3'!M22</f>
        <v>4957786</v>
      </c>
      <c r="F60" s="247">
        <f t="shared" ref="F60:F61" si="3">D60-E60</f>
        <v>1834073</v>
      </c>
    </row>
    <row r="61" spans="1:6" x14ac:dyDescent="0.35">
      <c r="A61" s="253"/>
      <c r="B61" t="str">
        <f>IF($B$49="N/A","","Room and Board Expense")</f>
        <v>Room and Board Expense</v>
      </c>
      <c r="D61" s="247">
        <f>'Adjusted Schedule 3'!O23</f>
        <v>779895</v>
      </c>
      <c r="E61" s="247">
        <f>'As-Filed Schedule 3'!O22</f>
        <v>779895</v>
      </c>
      <c r="F61" s="247">
        <f t="shared" si="3"/>
        <v>0</v>
      </c>
    </row>
    <row r="62" spans="1:6" x14ac:dyDescent="0.35">
      <c r="A62" s="253"/>
      <c r="B62" t="str">
        <f>IF($B$49="N/A","","Services Expense")</f>
        <v>Services Expense</v>
      </c>
      <c r="D62" s="254">
        <f>'Adjusted Schedule 3'!Q23</f>
        <v>6011964</v>
      </c>
      <c r="E62" s="254">
        <f>'As-Filed Schedule 3'!Q22</f>
        <v>4177891</v>
      </c>
      <c r="F62" s="254">
        <f>IF(E62="","",D62-E62)</f>
        <v>1834073</v>
      </c>
    </row>
    <row r="63" spans="1:6" s="1" customFormat="1" x14ac:dyDescent="0.35">
      <c r="A63" s="253"/>
      <c r="B63" s="1" t="str">
        <f>IF($B$49="N/A","","Facility Total Cost Per Day")</f>
        <v>Facility Total Cost Per Day</v>
      </c>
      <c r="D63" s="250">
        <f>'Adjusted Schedule 3'!N23</f>
        <v>1751.3818978855079</v>
      </c>
      <c r="E63" s="250">
        <f>'As-Filed Schedule 3'!N22</f>
        <v>1278.4388860237236</v>
      </c>
      <c r="F63" s="250">
        <f t="shared" ref="F63:F65" si="4">IF(E63="","",D63-E63)</f>
        <v>472.94301186178427</v>
      </c>
    </row>
    <row r="64" spans="1:6" x14ac:dyDescent="0.35">
      <c r="A64" s="253"/>
      <c r="B64" t="str">
        <f>IF($B$49="N/A","","Room and Board Cost Per Day")</f>
        <v>Room and Board Cost Per Day</v>
      </c>
      <c r="D64" s="252">
        <f>'Adjusted Schedule 3'!P23</f>
        <v>201.10752965446108</v>
      </c>
      <c r="E64" s="252">
        <f>'As-Filed Schedule 3'!P22</f>
        <v>201.10752965446108</v>
      </c>
      <c r="F64" s="252">
        <f t="shared" si="4"/>
        <v>0</v>
      </c>
    </row>
    <row r="65" spans="1:6" x14ac:dyDescent="0.35">
      <c r="A65" s="253"/>
      <c r="B65" t="str">
        <f>IF($B$49="N/A","","Services Cost Per Day")</f>
        <v>Services Cost Per Day</v>
      </c>
      <c r="D65" s="252">
        <f>'Adjusted Schedule 3'!R23</f>
        <v>1550.274368231047</v>
      </c>
      <c r="E65" s="252">
        <f>'As-Filed Schedule 3'!R22</f>
        <v>1077.3313563692625</v>
      </c>
      <c r="F65" s="252">
        <f t="shared" si="4"/>
        <v>472.9430118617845</v>
      </c>
    </row>
    <row r="66" spans="1:6" x14ac:dyDescent="0.35">
      <c r="A66" s="253"/>
    </row>
    <row r="67" spans="1:6" hidden="1" x14ac:dyDescent="0.35">
      <c r="A67" s="253" t="s">
        <v>523</v>
      </c>
      <c r="B67" s="478">
        <f>'Adjusted Schedule 3'!B28:C28</f>
        <v>0</v>
      </c>
      <c r="C67" s="478"/>
    </row>
    <row r="68" spans="1:6" hidden="1" x14ac:dyDescent="0.35">
      <c r="A68" s="253"/>
      <c r="B68" t="str">
        <f>IF($B$49="N/A","","Census Days")</f>
        <v>Census Days</v>
      </c>
      <c r="D68" s="13">
        <f>'Adjusted Schedule 3'!K28</f>
        <v>0</v>
      </c>
      <c r="E68" s="13">
        <f>'As-Filed Schedule 3'!K27</f>
        <v>0</v>
      </c>
      <c r="F68" s="13">
        <f>D68-E68</f>
        <v>0</v>
      </c>
    </row>
    <row r="69" spans="1:6" hidden="1" x14ac:dyDescent="0.35">
      <c r="A69" s="253"/>
      <c r="B69" t="str">
        <f>IF($B$49="N/A","","Total Expense")</f>
        <v>Total Expense</v>
      </c>
      <c r="D69" s="247">
        <f>'Adjusted Schedule 3'!M28</f>
        <v>0</v>
      </c>
      <c r="E69" s="247">
        <f>'As-Filed Schedule 3'!M27</f>
        <v>0</v>
      </c>
      <c r="F69" s="247">
        <f t="shared" ref="F69:F70" si="5">D69-E69</f>
        <v>0</v>
      </c>
    </row>
    <row r="70" spans="1:6" hidden="1" x14ac:dyDescent="0.35">
      <c r="A70" s="253"/>
      <c r="B70" t="str">
        <f>IF($B$49="N/A","","Room and Board Expense")</f>
        <v>Room and Board Expense</v>
      </c>
      <c r="D70" s="247">
        <f>'Adjusted Schedule 3'!O28</f>
        <v>0</v>
      </c>
      <c r="E70" s="247">
        <f>'As-Filed Schedule 3'!O27</f>
        <v>0</v>
      </c>
      <c r="F70" s="247">
        <f t="shared" si="5"/>
        <v>0</v>
      </c>
    </row>
    <row r="71" spans="1:6" hidden="1" x14ac:dyDescent="0.35">
      <c r="A71" s="253"/>
      <c r="B71" t="str">
        <f>IF($B$49="N/A","","Services Expense")</f>
        <v>Services Expense</v>
      </c>
      <c r="D71" s="254" t="str">
        <f>'Adjusted Schedule 3'!Q28</f>
        <v/>
      </c>
      <c r="E71" s="254" t="str">
        <f>'As-Filed Schedule 3'!Q27</f>
        <v/>
      </c>
      <c r="F71" s="254" t="str">
        <f>IF(E71="","",D71-E71)</f>
        <v/>
      </c>
    </row>
    <row r="72" spans="1:6" s="1" customFormat="1" hidden="1" x14ac:dyDescent="0.35">
      <c r="A72" s="253"/>
      <c r="B72" s="1" t="str">
        <f>IF($B$49="N/A","","Facility Total Cost Per Day")</f>
        <v>Facility Total Cost Per Day</v>
      </c>
      <c r="D72" s="250" t="str">
        <f>'Adjusted Schedule 3'!N28</f>
        <v/>
      </c>
      <c r="E72" s="250" t="str">
        <f>'As-Filed Schedule 3'!N27</f>
        <v/>
      </c>
      <c r="F72" s="250" t="str">
        <f t="shared" ref="F72:F74" si="6">IF(E72="","",D72-E72)</f>
        <v/>
      </c>
    </row>
    <row r="73" spans="1:6" hidden="1" x14ac:dyDescent="0.35">
      <c r="A73" s="253"/>
      <c r="B73" t="str">
        <f>IF($B$49="N/A","","Room and Board Cost Per Day")</f>
        <v>Room and Board Cost Per Day</v>
      </c>
      <c r="D73" s="252" t="str">
        <f>'Adjusted Schedule 3'!P28</f>
        <v/>
      </c>
      <c r="E73" s="252" t="str">
        <f>'As-Filed Schedule 3'!P27</f>
        <v/>
      </c>
      <c r="F73" s="252" t="str">
        <f t="shared" si="6"/>
        <v/>
      </c>
    </row>
    <row r="74" spans="1:6" hidden="1" x14ac:dyDescent="0.35">
      <c r="A74" s="253"/>
      <c r="B74" t="str">
        <f>IF($B$49="N/A","","Services Cost Per Day")</f>
        <v>Services Cost Per Day</v>
      </c>
      <c r="D74" s="252" t="str">
        <f>'Adjusted Schedule 3'!R28</f>
        <v/>
      </c>
      <c r="E74" s="252" t="str">
        <f>'As-Filed Schedule 3'!R27</f>
        <v/>
      </c>
      <c r="F74" s="252" t="str">
        <f t="shared" si="6"/>
        <v/>
      </c>
    </row>
    <row r="75" spans="1:6" hidden="1" x14ac:dyDescent="0.35">
      <c r="A75" s="253"/>
    </row>
    <row r="76" spans="1:6" hidden="1" x14ac:dyDescent="0.35">
      <c r="A76" s="253" t="s">
        <v>524</v>
      </c>
      <c r="B76" s="478">
        <f>'Adjusted Schedule 3'!B33:C33</f>
        <v>0</v>
      </c>
      <c r="C76" s="478"/>
    </row>
    <row r="77" spans="1:6" hidden="1" x14ac:dyDescent="0.35">
      <c r="A77" s="253"/>
      <c r="B77" t="str">
        <f>IF($B$49="N/A","","Census Days")</f>
        <v>Census Days</v>
      </c>
      <c r="D77" s="13">
        <f>'Adjusted Schedule 3'!K33</f>
        <v>0</v>
      </c>
      <c r="E77" s="13">
        <f>'As-Filed Schedule 3'!K32</f>
        <v>0</v>
      </c>
      <c r="F77" s="13">
        <f>D77-E77</f>
        <v>0</v>
      </c>
    </row>
    <row r="78" spans="1:6" hidden="1" x14ac:dyDescent="0.35">
      <c r="A78" s="253"/>
      <c r="B78" t="str">
        <f>IF($B$49="N/A","","Total Expense")</f>
        <v>Total Expense</v>
      </c>
      <c r="D78" s="247">
        <f>'Adjusted Schedule 3'!M33</f>
        <v>0</v>
      </c>
      <c r="E78" s="247">
        <f>'As-Filed Schedule 3'!M32</f>
        <v>0</v>
      </c>
      <c r="F78" s="247">
        <f t="shared" ref="F78:F79" si="7">D78-E78</f>
        <v>0</v>
      </c>
    </row>
    <row r="79" spans="1:6" hidden="1" x14ac:dyDescent="0.35">
      <c r="A79" s="253"/>
      <c r="B79" t="str">
        <f>IF($B$49="N/A","","Room and Board Expense")</f>
        <v>Room and Board Expense</v>
      </c>
      <c r="D79" s="247">
        <f>'Adjusted Schedule 3'!O33</f>
        <v>0</v>
      </c>
      <c r="E79" s="247">
        <f>'As-Filed Schedule 3'!O32</f>
        <v>0</v>
      </c>
      <c r="F79" s="247">
        <f t="shared" si="7"/>
        <v>0</v>
      </c>
    </row>
    <row r="80" spans="1:6" hidden="1" x14ac:dyDescent="0.35">
      <c r="A80" s="253"/>
      <c r="B80" t="str">
        <f>IF($B$49="N/A","","Services Expense")</f>
        <v>Services Expense</v>
      </c>
      <c r="D80" s="254" t="str">
        <f>'Adjusted Schedule 3'!Q33</f>
        <v/>
      </c>
      <c r="E80" s="254" t="str">
        <f>'As-Filed Schedule 3'!Q32</f>
        <v/>
      </c>
      <c r="F80" s="254" t="str">
        <f>IF(E80="","",D80-E80)</f>
        <v/>
      </c>
    </row>
    <row r="81" spans="1:6" s="1" customFormat="1" hidden="1" x14ac:dyDescent="0.35">
      <c r="A81" s="253"/>
      <c r="B81" s="1" t="str">
        <f>IF($B$49="N/A","","Facility Total Cost Per Day")</f>
        <v>Facility Total Cost Per Day</v>
      </c>
      <c r="D81" s="250" t="str">
        <f>'Adjusted Schedule 3'!N33</f>
        <v/>
      </c>
      <c r="E81" s="250" t="str">
        <f>'As-Filed Schedule 3'!N32</f>
        <v/>
      </c>
      <c r="F81" s="250" t="str">
        <f t="shared" ref="F81:F83" si="8">IF(E81="","",D81-E81)</f>
        <v/>
      </c>
    </row>
    <row r="82" spans="1:6" hidden="1" x14ac:dyDescent="0.35">
      <c r="A82" s="253"/>
      <c r="B82" t="str">
        <f>IF($B$49="N/A","","Room and Board Cost Per Day")</f>
        <v>Room and Board Cost Per Day</v>
      </c>
      <c r="D82" s="252" t="str">
        <f>'Adjusted Schedule 3'!P33</f>
        <v/>
      </c>
      <c r="E82" s="252" t="str">
        <f>'As-Filed Schedule 3'!P32</f>
        <v/>
      </c>
      <c r="F82" s="252" t="str">
        <f t="shared" si="8"/>
        <v/>
      </c>
    </row>
    <row r="83" spans="1:6" hidden="1" x14ac:dyDescent="0.35">
      <c r="A83" s="253"/>
      <c r="B83" t="str">
        <f>IF($B$49="N/A","","Services Cost Per Day")</f>
        <v>Services Cost Per Day</v>
      </c>
      <c r="D83" s="252" t="str">
        <f>'Adjusted Schedule 3'!R33</f>
        <v/>
      </c>
      <c r="E83" s="252" t="str">
        <f>'As-Filed Schedule 3'!R32</f>
        <v/>
      </c>
      <c r="F83" s="252" t="str">
        <f t="shared" si="8"/>
        <v/>
      </c>
    </row>
    <row r="84" spans="1:6" hidden="1" x14ac:dyDescent="0.35">
      <c r="A84" s="253"/>
      <c r="B84" s="387"/>
    </row>
    <row r="85" spans="1:6" hidden="1" x14ac:dyDescent="0.35">
      <c r="A85" s="253" t="s">
        <v>525</v>
      </c>
      <c r="B85" s="478">
        <f>'Adjusted Schedule 3'!B38:C38</f>
        <v>0</v>
      </c>
      <c r="C85" s="478"/>
    </row>
    <row r="86" spans="1:6" hidden="1" x14ac:dyDescent="0.35">
      <c r="A86" s="253"/>
      <c r="B86" t="str">
        <f>IF($B$49="N/A","","Census Days")</f>
        <v>Census Days</v>
      </c>
      <c r="D86" s="13">
        <f>'Adjusted Schedule 3'!K38</f>
        <v>0</v>
      </c>
      <c r="E86" s="13">
        <f>'As-Filed Schedule 3'!K37</f>
        <v>0</v>
      </c>
      <c r="F86" s="13">
        <f>D86-E86</f>
        <v>0</v>
      </c>
    </row>
    <row r="87" spans="1:6" hidden="1" x14ac:dyDescent="0.35">
      <c r="A87" s="253"/>
      <c r="B87" t="str">
        <f>IF($B$49="N/A","","Total Expense")</f>
        <v>Total Expense</v>
      </c>
      <c r="D87" s="247">
        <f>'Adjusted Schedule 3'!M38</f>
        <v>0</v>
      </c>
      <c r="E87" s="247">
        <f>'As-Filed Schedule 3'!M37</f>
        <v>0</v>
      </c>
      <c r="F87" s="247">
        <f t="shared" ref="F87:F88" si="9">D87-E87</f>
        <v>0</v>
      </c>
    </row>
    <row r="88" spans="1:6" hidden="1" x14ac:dyDescent="0.35">
      <c r="A88" s="253"/>
      <c r="B88" t="str">
        <f>IF($B$49="N/A","","Room and Board Expense")</f>
        <v>Room and Board Expense</v>
      </c>
      <c r="D88" s="247">
        <f>'Adjusted Schedule 3'!O38</f>
        <v>0</v>
      </c>
      <c r="E88" s="247">
        <f>'As-Filed Schedule 3'!O37</f>
        <v>0</v>
      </c>
      <c r="F88" s="247">
        <f t="shared" si="9"/>
        <v>0</v>
      </c>
    </row>
    <row r="89" spans="1:6" hidden="1" x14ac:dyDescent="0.35">
      <c r="A89" s="253"/>
      <c r="B89" t="str">
        <f>IF($B$49="N/A","","Services Expense")</f>
        <v>Services Expense</v>
      </c>
      <c r="D89" s="254" t="str">
        <f>'Adjusted Schedule 3'!Q38</f>
        <v/>
      </c>
      <c r="E89" s="254" t="str">
        <f>'As-Filed Schedule 3'!Q37</f>
        <v/>
      </c>
      <c r="F89" s="254" t="str">
        <f>IF(E89="","",D89-E89)</f>
        <v/>
      </c>
    </row>
    <row r="90" spans="1:6" s="1" customFormat="1" hidden="1" x14ac:dyDescent="0.35">
      <c r="A90" s="253"/>
      <c r="B90" s="1" t="str">
        <f>IF($B$49="N/A","","Facility Total Cost Per Day")</f>
        <v>Facility Total Cost Per Day</v>
      </c>
      <c r="D90" s="250" t="str">
        <f>'Adjusted Schedule 3'!N38</f>
        <v/>
      </c>
      <c r="E90" s="250" t="str">
        <f>'As-Filed Schedule 3'!N37</f>
        <v/>
      </c>
      <c r="F90" s="250" t="str">
        <f t="shared" ref="F90:F92" si="10">IF(E90="","",D90-E90)</f>
        <v/>
      </c>
    </row>
    <row r="91" spans="1:6" hidden="1" x14ac:dyDescent="0.35">
      <c r="A91" s="253"/>
      <c r="B91" t="str">
        <f>IF($B$49="N/A","","Room and Board Cost Per Day")</f>
        <v>Room and Board Cost Per Day</v>
      </c>
      <c r="D91" s="252" t="str">
        <f>'Adjusted Schedule 3'!P38</f>
        <v/>
      </c>
      <c r="E91" s="252" t="str">
        <f>'As-Filed Schedule 3'!P37</f>
        <v/>
      </c>
      <c r="F91" s="252" t="str">
        <f t="shared" si="10"/>
        <v/>
      </c>
    </row>
    <row r="92" spans="1:6" hidden="1" x14ac:dyDescent="0.35">
      <c r="A92" s="253"/>
      <c r="B92" t="str">
        <f>IF($B$49="N/A","","Services Cost Per Day")</f>
        <v>Services Cost Per Day</v>
      </c>
      <c r="D92" s="252" t="str">
        <f>'Adjusted Schedule 3'!R38</f>
        <v/>
      </c>
      <c r="E92" s="252" t="str">
        <f>'As-Filed Schedule 3'!R37</f>
        <v/>
      </c>
      <c r="F92" s="252" t="str">
        <f t="shared" si="10"/>
        <v/>
      </c>
    </row>
    <row r="93" spans="1:6" hidden="1" x14ac:dyDescent="0.35">
      <c r="A93" s="253"/>
    </row>
    <row r="94" spans="1:6" hidden="1" x14ac:dyDescent="0.35">
      <c r="A94" s="253" t="s">
        <v>526</v>
      </c>
      <c r="B94" s="478">
        <f>'Adjusted Schedule 3'!B43:C43</f>
        <v>0</v>
      </c>
      <c r="C94" s="478"/>
    </row>
    <row r="95" spans="1:6" hidden="1" x14ac:dyDescent="0.35">
      <c r="A95" s="253"/>
      <c r="B95" t="str">
        <f>IF($B$49="N/A","","Census Days")</f>
        <v>Census Days</v>
      </c>
      <c r="D95" s="13">
        <f>'Adjusted Schedule 3'!K43</f>
        <v>0</v>
      </c>
      <c r="E95" s="13">
        <f>'As-Filed Schedule 3'!K42</f>
        <v>0</v>
      </c>
      <c r="F95" s="13">
        <f>D95-E95</f>
        <v>0</v>
      </c>
    </row>
    <row r="96" spans="1:6" hidden="1" x14ac:dyDescent="0.35">
      <c r="A96" s="253"/>
      <c r="B96" t="str">
        <f>IF($B$49="N/A","","Total Expense")</f>
        <v>Total Expense</v>
      </c>
      <c r="D96" s="247">
        <f>'Adjusted Schedule 3'!M43</f>
        <v>0</v>
      </c>
      <c r="E96" s="247">
        <f>'As-Filed Schedule 3'!M42</f>
        <v>0</v>
      </c>
      <c r="F96" s="247">
        <f t="shared" ref="F96:F97" si="11">D96-E96</f>
        <v>0</v>
      </c>
    </row>
    <row r="97" spans="1:6" hidden="1" x14ac:dyDescent="0.35">
      <c r="A97" s="253"/>
      <c r="B97" t="str">
        <f>IF($B$49="N/A","","Room and Board Expense")</f>
        <v>Room and Board Expense</v>
      </c>
      <c r="D97" s="247">
        <f>'Adjusted Schedule 3'!O43</f>
        <v>0</v>
      </c>
      <c r="E97" s="247">
        <f>'As-Filed Schedule 3'!O42</f>
        <v>0</v>
      </c>
      <c r="F97" s="247">
        <f t="shared" si="11"/>
        <v>0</v>
      </c>
    </row>
    <row r="98" spans="1:6" hidden="1" x14ac:dyDescent="0.35">
      <c r="A98" s="253"/>
      <c r="B98" t="str">
        <f>IF($B$49="N/A","","Services Expense")</f>
        <v>Services Expense</v>
      </c>
      <c r="D98" s="254" t="str">
        <f>'Adjusted Schedule 3'!Q43</f>
        <v/>
      </c>
      <c r="E98" s="254" t="str">
        <f>'As-Filed Schedule 3'!Q42</f>
        <v/>
      </c>
      <c r="F98" s="254" t="str">
        <f>IF(E98="","",D98-E98)</f>
        <v/>
      </c>
    </row>
    <row r="99" spans="1:6" s="1" customFormat="1" hidden="1" x14ac:dyDescent="0.35">
      <c r="A99" s="253"/>
      <c r="B99" s="1" t="str">
        <f>IF($B$49="N/A","","Facility Total Cost Per Day")</f>
        <v>Facility Total Cost Per Day</v>
      </c>
      <c r="D99" s="250" t="str">
        <f>'Adjusted Schedule 3'!N43</f>
        <v/>
      </c>
      <c r="E99" s="250" t="str">
        <f>'As-Filed Schedule 3'!N42</f>
        <v/>
      </c>
      <c r="F99" s="250" t="str">
        <f t="shared" ref="F99:F101" si="12">IF(E99="","",D99-E99)</f>
        <v/>
      </c>
    </row>
    <row r="100" spans="1:6" hidden="1" x14ac:dyDescent="0.35">
      <c r="A100" s="253"/>
      <c r="B100" t="str">
        <f>IF($B$49="N/A","","Room and Board Cost Per Day")</f>
        <v>Room and Board Cost Per Day</v>
      </c>
      <c r="D100" s="252" t="str">
        <f>'Adjusted Schedule 3'!P43</f>
        <v/>
      </c>
      <c r="E100" s="252" t="str">
        <f>'As-Filed Schedule 3'!P42</f>
        <v/>
      </c>
      <c r="F100" s="252" t="str">
        <f t="shared" si="12"/>
        <v/>
      </c>
    </row>
    <row r="101" spans="1:6" hidden="1" x14ac:dyDescent="0.35">
      <c r="A101" s="253"/>
      <c r="B101" t="str">
        <f>IF($B$49="N/A","","Services Cost Per Day")</f>
        <v>Services Cost Per Day</v>
      </c>
      <c r="D101" s="252" t="str">
        <f>'Adjusted Schedule 3'!R43</f>
        <v/>
      </c>
      <c r="E101" s="252" t="str">
        <f>'As-Filed Schedule 3'!R42</f>
        <v/>
      </c>
      <c r="F101" s="252" t="str">
        <f t="shared" si="12"/>
        <v/>
      </c>
    </row>
    <row r="102" spans="1:6" hidden="1" x14ac:dyDescent="0.35">
      <c r="A102" s="253"/>
    </row>
    <row r="103" spans="1:6" hidden="1" x14ac:dyDescent="0.35">
      <c r="A103" s="253" t="s">
        <v>527</v>
      </c>
      <c r="B103" s="478">
        <f>'Adjusted Schedule 3'!B48:C48</f>
        <v>0</v>
      </c>
      <c r="C103" s="478"/>
    </row>
    <row r="104" spans="1:6" hidden="1" x14ac:dyDescent="0.35">
      <c r="A104" s="253"/>
      <c r="B104" t="str">
        <f>IF($B$49="N/A","","Census Days")</f>
        <v>Census Days</v>
      </c>
      <c r="D104" s="13">
        <f>'Adjusted Schedule 3'!K48</f>
        <v>0</v>
      </c>
      <c r="E104" s="13">
        <f>'As-Filed Schedule 3'!K47</f>
        <v>0</v>
      </c>
      <c r="F104" s="13">
        <f>D104-E104</f>
        <v>0</v>
      </c>
    </row>
    <row r="105" spans="1:6" hidden="1" x14ac:dyDescent="0.35">
      <c r="A105" s="253"/>
      <c r="B105" t="str">
        <f>IF($B$49="N/A","","Total Expense")</f>
        <v>Total Expense</v>
      </c>
      <c r="D105" s="247">
        <f>'Adjusted Schedule 3'!M48</f>
        <v>0</v>
      </c>
      <c r="E105" s="247">
        <f>'As-Filed Schedule 3'!M47</f>
        <v>0</v>
      </c>
      <c r="F105" s="247">
        <f t="shared" ref="F105:F106" si="13">D105-E105</f>
        <v>0</v>
      </c>
    </row>
    <row r="106" spans="1:6" hidden="1" x14ac:dyDescent="0.35">
      <c r="A106" s="253"/>
      <c r="B106" t="str">
        <f>IF($B$49="N/A","","Room and Board Expense")</f>
        <v>Room and Board Expense</v>
      </c>
      <c r="D106" s="247">
        <f>'Adjusted Schedule 3'!O48</f>
        <v>0</v>
      </c>
      <c r="E106" s="247">
        <f>'As-Filed Schedule 3'!O47</f>
        <v>0</v>
      </c>
      <c r="F106" s="247">
        <f t="shared" si="13"/>
        <v>0</v>
      </c>
    </row>
    <row r="107" spans="1:6" hidden="1" x14ac:dyDescent="0.35">
      <c r="A107" s="253"/>
      <c r="B107" t="str">
        <f>IF($B$49="N/A","","Services Expense")</f>
        <v>Services Expense</v>
      </c>
      <c r="D107" s="254" t="str">
        <f>'Adjusted Schedule 3'!Q48</f>
        <v/>
      </c>
      <c r="E107" s="254" t="str">
        <f>'As-Filed Schedule 3'!Q47</f>
        <v/>
      </c>
      <c r="F107" s="254" t="str">
        <f>IF(E107="","",D107-E107)</f>
        <v/>
      </c>
    </row>
    <row r="108" spans="1:6" s="1" customFormat="1" hidden="1" x14ac:dyDescent="0.35">
      <c r="A108" s="253"/>
      <c r="B108" s="1" t="str">
        <f>IF($B$49="N/A","","Facility Total Cost Per Day")</f>
        <v>Facility Total Cost Per Day</v>
      </c>
      <c r="D108" s="250" t="str">
        <f>'Adjusted Schedule 3'!N48</f>
        <v/>
      </c>
      <c r="E108" s="250" t="str">
        <f>'As-Filed Schedule 3'!N47</f>
        <v/>
      </c>
      <c r="F108" s="250" t="str">
        <f t="shared" ref="F108:F110" si="14">IF(E108="","",D108-E108)</f>
        <v/>
      </c>
    </row>
    <row r="109" spans="1:6" hidden="1" x14ac:dyDescent="0.35">
      <c r="A109" s="253"/>
      <c r="B109" t="str">
        <f>IF($B$49="N/A","","Room and Board Cost Per Day")</f>
        <v>Room and Board Cost Per Day</v>
      </c>
      <c r="D109" s="252" t="str">
        <f>'Adjusted Schedule 3'!P48</f>
        <v/>
      </c>
      <c r="E109" s="252" t="str">
        <f>'As-Filed Schedule 3'!P47</f>
        <v/>
      </c>
      <c r="F109" s="252" t="str">
        <f t="shared" si="14"/>
        <v/>
      </c>
    </row>
    <row r="110" spans="1:6" hidden="1" x14ac:dyDescent="0.35">
      <c r="A110" s="253"/>
      <c r="B110" t="str">
        <f>IF($B$49="N/A","","Services Cost Per Day")</f>
        <v>Services Cost Per Day</v>
      </c>
      <c r="D110" s="252" t="str">
        <f>'Adjusted Schedule 3'!R48</f>
        <v/>
      </c>
      <c r="E110" s="252" t="str">
        <f>'As-Filed Schedule 3'!R47</f>
        <v/>
      </c>
      <c r="F110" s="252" t="str">
        <f t="shared" si="14"/>
        <v/>
      </c>
    </row>
    <row r="111" spans="1:6" hidden="1" x14ac:dyDescent="0.35">
      <c r="A111" s="253"/>
      <c r="B111" s="387"/>
    </row>
    <row r="112" spans="1:6" hidden="1" x14ac:dyDescent="0.35">
      <c r="A112" s="253" t="s">
        <v>528</v>
      </c>
      <c r="B112" s="478">
        <f>'Adjusted Schedule 3'!B53:C53</f>
        <v>0</v>
      </c>
      <c r="C112" s="478"/>
    </row>
    <row r="113" spans="1:6" hidden="1" x14ac:dyDescent="0.35">
      <c r="A113" s="253"/>
      <c r="B113" t="str">
        <f>IF($B$49="N/A","","Census Days")</f>
        <v>Census Days</v>
      </c>
      <c r="D113" s="13">
        <f>'Adjusted Schedule 3'!K53</f>
        <v>0</v>
      </c>
      <c r="E113" s="13">
        <f>'As-Filed Schedule 3'!K52</f>
        <v>0</v>
      </c>
      <c r="F113" s="13">
        <f>D113-E113</f>
        <v>0</v>
      </c>
    </row>
    <row r="114" spans="1:6" hidden="1" x14ac:dyDescent="0.35">
      <c r="A114" s="253"/>
      <c r="B114" t="str">
        <f>IF($B$49="N/A","","Total Expense")</f>
        <v>Total Expense</v>
      </c>
      <c r="D114" s="247">
        <f>'Adjusted Schedule 3'!M53</f>
        <v>0</v>
      </c>
      <c r="E114" s="247">
        <f>'As-Filed Schedule 3'!M52</f>
        <v>0</v>
      </c>
      <c r="F114" s="247">
        <f t="shared" ref="F114:F115" si="15">D114-E114</f>
        <v>0</v>
      </c>
    </row>
    <row r="115" spans="1:6" hidden="1" x14ac:dyDescent="0.35">
      <c r="A115" s="253"/>
      <c r="B115" t="str">
        <f>IF($B$49="N/A","","Room and Board Expense")</f>
        <v>Room and Board Expense</v>
      </c>
      <c r="D115" s="247">
        <f>'Adjusted Schedule 3'!O53</f>
        <v>0</v>
      </c>
      <c r="E115" s="247">
        <f>'As-Filed Schedule 3'!O52</f>
        <v>0</v>
      </c>
      <c r="F115" s="247">
        <f t="shared" si="15"/>
        <v>0</v>
      </c>
    </row>
    <row r="116" spans="1:6" hidden="1" x14ac:dyDescent="0.35">
      <c r="A116" s="253"/>
      <c r="B116" t="str">
        <f>IF($B$49="N/A","","Services Expense")</f>
        <v>Services Expense</v>
      </c>
      <c r="D116" s="254" t="str">
        <f>'Adjusted Schedule 3'!Q53</f>
        <v/>
      </c>
      <c r="E116" s="254" t="str">
        <f>'As-Filed Schedule 3'!Q52</f>
        <v/>
      </c>
      <c r="F116" s="254" t="str">
        <f>IF(E116="","",D116-E116)</f>
        <v/>
      </c>
    </row>
    <row r="117" spans="1:6" s="1" customFormat="1" hidden="1" x14ac:dyDescent="0.35">
      <c r="A117" s="253"/>
      <c r="B117" s="1" t="str">
        <f>IF($B$49="N/A","","Facility Total Cost Per Day")</f>
        <v>Facility Total Cost Per Day</v>
      </c>
      <c r="D117" s="250" t="str">
        <f>'Adjusted Schedule 3'!N53</f>
        <v/>
      </c>
      <c r="E117" s="250" t="str">
        <f>'As-Filed Schedule 3'!N52</f>
        <v/>
      </c>
      <c r="F117" s="250" t="str">
        <f t="shared" ref="F117:F119" si="16">IF(E117="","",D117-E117)</f>
        <v/>
      </c>
    </row>
    <row r="118" spans="1:6" hidden="1" x14ac:dyDescent="0.35">
      <c r="A118" s="253"/>
      <c r="B118" t="str">
        <f>IF($B$49="N/A","","Room and Board Cost Per Day")</f>
        <v>Room and Board Cost Per Day</v>
      </c>
      <c r="D118" s="252" t="str">
        <f>'Adjusted Schedule 3'!P53</f>
        <v/>
      </c>
      <c r="E118" s="252" t="str">
        <f>'As-Filed Schedule 3'!P52</f>
        <v/>
      </c>
      <c r="F118" s="252" t="str">
        <f t="shared" si="16"/>
        <v/>
      </c>
    </row>
    <row r="119" spans="1:6" hidden="1" x14ac:dyDescent="0.35">
      <c r="A119" s="253"/>
      <c r="B119" t="str">
        <f>IF($B$49="N/A","","Services Cost Per Day")</f>
        <v>Services Cost Per Day</v>
      </c>
      <c r="D119" s="252" t="str">
        <f>'Adjusted Schedule 3'!R53</f>
        <v/>
      </c>
      <c r="E119" s="252" t="str">
        <f>'As-Filed Schedule 3'!R52</f>
        <v/>
      </c>
      <c r="F119" s="252" t="str">
        <f t="shared" si="16"/>
        <v/>
      </c>
    </row>
    <row r="120" spans="1:6" hidden="1" x14ac:dyDescent="0.35">
      <c r="A120" s="253"/>
    </row>
    <row r="121" spans="1:6" hidden="1" x14ac:dyDescent="0.35">
      <c r="A121" s="253" t="s">
        <v>529</v>
      </c>
      <c r="B121" s="478">
        <f>'Adjusted Schedule 3'!B58:C58</f>
        <v>0</v>
      </c>
      <c r="C121" s="478"/>
    </row>
    <row r="122" spans="1:6" hidden="1" x14ac:dyDescent="0.35">
      <c r="A122" s="253"/>
      <c r="B122" t="str">
        <f>IF($B$49="N/A","","Census Days")</f>
        <v>Census Days</v>
      </c>
      <c r="D122" s="13">
        <f>'Adjusted Schedule 3'!K58</f>
        <v>0</v>
      </c>
      <c r="E122" s="13">
        <f>'As-Filed Schedule 3'!K57</f>
        <v>0</v>
      </c>
      <c r="F122" s="13">
        <f>D122-E122</f>
        <v>0</v>
      </c>
    </row>
    <row r="123" spans="1:6" hidden="1" x14ac:dyDescent="0.35">
      <c r="A123" s="253"/>
      <c r="B123" t="str">
        <f>IF($B$49="N/A","","Total Expense")</f>
        <v>Total Expense</v>
      </c>
      <c r="D123" s="247">
        <f>'Adjusted Schedule 3'!M58</f>
        <v>0</v>
      </c>
      <c r="E123" s="247">
        <f>'As-Filed Schedule 3'!M57</f>
        <v>0</v>
      </c>
      <c r="F123" s="247">
        <f t="shared" ref="F123:F124" si="17">D123-E123</f>
        <v>0</v>
      </c>
    </row>
    <row r="124" spans="1:6" hidden="1" x14ac:dyDescent="0.35">
      <c r="A124" s="253"/>
      <c r="B124" t="str">
        <f>IF($B$49="N/A","","Room and Board Expense")</f>
        <v>Room and Board Expense</v>
      </c>
      <c r="D124" s="247">
        <f>'Adjusted Schedule 3'!O58</f>
        <v>0</v>
      </c>
      <c r="E124" s="247">
        <f>'As-Filed Schedule 3'!O57</f>
        <v>0</v>
      </c>
      <c r="F124" s="247">
        <f t="shared" si="17"/>
        <v>0</v>
      </c>
    </row>
    <row r="125" spans="1:6" hidden="1" x14ac:dyDescent="0.35">
      <c r="A125" s="253"/>
      <c r="B125" t="str">
        <f>IF($B$49="N/A","","Services Expense")</f>
        <v>Services Expense</v>
      </c>
      <c r="D125" s="254" t="str">
        <f>'Adjusted Schedule 3'!Q58</f>
        <v/>
      </c>
      <c r="E125" s="254" t="str">
        <f>'As-Filed Schedule 3'!Q57</f>
        <v/>
      </c>
      <c r="F125" s="254" t="str">
        <f>IF(E125="","",D125-E125)</f>
        <v/>
      </c>
    </row>
    <row r="126" spans="1:6" s="1" customFormat="1" hidden="1" x14ac:dyDescent="0.35">
      <c r="A126" s="253"/>
      <c r="B126" s="1" t="str">
        <f>IF($B$49="N/A","","Facility Total Cost Per Day")</f>
        <v>Facility Total Cost Per Day</v>
      </c>
      <c r="D126" s="250" t="str">
        <f>'Adjusted Schedule 3'!N58</f>
        <v/>
      </c>
      <c r="E126" s="250" t="str">
        <f>'As-Filed Schedule 3'!N57</f>
        <v/>
      </c>
      <c r="F126" s="250" t="str">
        <f t="shared" ref="F126:F128" si="18">IF(E126="","",D126-E126)</f>
        <v/>
      </c>
    </row>
    <row r="127" spans="1:6" hidden="1" x14ac:dyDescent="0.35">
      <c r="A127" s="253"/>
      <c r="B127" t="str">
        <f>IF($B$49="N/A","","Room and Board Cost Per Day")</f>
        <v>Room and Board Cost Per Day</v>
      </c>
      <c r="D127" s="252" t="str">
        <f>'Adjusted Schedule 3'!P58</f>
        <v/>
      </c>
      <c r="E127" s="252" t="str">
        <f>'As-Filed Schedule 3'!P57</f>
        <v/>
      </c>
      <c r="F127" s="252" t="str">
        <f t="shared" si="18"/>
        <v/>
      </c>
    </row>
    <row r="128" spans="1:6" hidden="1" x14ac:dyDescent="0.35">
      <c r="A128" s="253"/>
      <c r="B128" t="str">
        <f>IF($B$49="N/A","","Services Cost Per Day")</f>
        <v>Services Cost Per Day</v>
      </c>
      <c r="D128" s="252" t="str">
        <f>'Adjusted Schedule 3'!R58</f>
        <v/>
      </c>
      <c r="E128" s="252" t="str">
        <f>'As-Filed Schedule 3'!R57</f>
        <v/>
      </c>
      <c r="F128" s="252" t="str">
        <f t="shared" si="18"/>
        <v/>
      </c>
    </row>
    <row r="129" spans="1:6" hidden="1" x14ac:dyDescent="0.35">
      <c r="A129" s="253"/>
    </row>
    <row r="130" spans="1:6" hidden="1" x14ac:dyDescent="0.35">
      <c r="A130" s="253" t="s">
        <v>530</v>
      </c>
      <c r="B130" s="478">
        <f>'Adjusted Schedule 3'!B63:C63</f>
        <v>0</v>
      </c>
      <c r="C130" s="478"/>
    </row>
    <row r="131" spans="1:6" hidden="1" x14ac:dyDescent="0.35">
      <c r="A131" s="253"/>
      <c r="B131" t="str">
        <f>IF($B$49="N/A","","Census Days")</f>
        <v>Census Days</v>
      </c>
      <c r="D131" s="13">
        <f>'Adjusted Schedule 3'!K63</f>
        <v>0</v>
      </c>
      <c r="E131" s="13">
        <f>'As-Filed Schedule 3'!K62</f>
        <v>0</v>
      </c>
      <c r="F131" s="13">
        <f>D131-E131</f>
        <v>0</v>
      </c>
    </row>
    <row r="132" spans="1:6" hidden="1" x14ac:dyDescent="0.35">
      <c r="A132" s="253"/>
      <c r="B132" t="str">
        <f>IF($B$49="N/A","","Total Expense")</f>
        <v>Total Expense</v>
      </c>
      <c r="D132" s="247">
        <f>'Adjusted Schedule 3'!M63</f>
        <v>0</v>
      </c>
      <c r="E132" s="247">
        <f>'As-Filed Schedule 3'!M62</f>
        <v>0</v>
      </c>
      <c r="F132" s="247">
        <f t="shared" ref="F132:F133" si="19">D132-E132</f>
        <v>0</v>
      </c>
    </row>
    <row r="133" spans="1:6" hidden="1" x14ac:dyDescent="0.35">
      <c r="A133" s="253"/>
      <c r="B133" t="str">
        <f>IF($B$49="N/A","","Room and Board Expense")</f>
        <v>Room and Board Expense</v>
      </c>
      <c r="D133" s="247">
        <f>'Adjusted Schedule 3'!O63</f>
        <v>0</v>
      </c>
      <c r="E133" s="247">
        <f>'As-Filed Schedule 3'!O62</f>
        <v>0</v>
      </c>
      <c r="F133" s="247">
        <f t="shared" si="19"/>
        <v>0</v>
      </c>
    </row>
    <row r="134" spans="1:6" hidden="1" x14ac:dyDescent="0.35">
      <c r="A134" s="253"/>
      <c r="B134" t="str">
        <f>IF($B$49="N/A","","Services Expense")</f>
        <v>Services Expense</v>
      </c>
      <c r="D134" s="254" t="str">
        <f>'Adjusted Schedule 3'!Q63</f>
        <v/>
      </c>
      <c r="E134" s="254" t="str">
        <f>'As-Filed Schedule 3'!Q62</f>
        <v/>
      </c>
      <c r="F134" s="254" t="str">
        <f>IF(E134="","",D134-E134)</f>
        <v/>
      </c>
    </row>
    <row r="135" spans="1:6" s="1" customFormat="1" hidden="1" x14ac:dyDescent="0.35">
      <c r="A135" s="253"/>
      <c r="B135" s="1" t="str">
        <f>IF($B$49="N/A","","Facility Total Cost Per Day")</f>
        <v>Facility Total Cost Per Day</v>
      </c>
      <c r="D135" s="250" t="str">
        <f>'Adjusted Schedule 3'!N63</f>
        <v/>
      </c>
      <c r="E135" s="250" t="str">
        <f>'As-Filed Schedule 3'!N62</f>
        <v/>
      </c>
      <c r="F135" s="250" t="str">
        <f t="shared" ref="F135:F137" si="20">IF(E135="","",D135-E135)</f>
        <v/>
      </c>
    </row>
    <row r="136" spans="1:6" hidden="1" x14ac:dyDescent="0.35">
      <c r="A136" s="253"/>
      <c r="B136" t="str">
        <f>IF($B$49="N/A","","Room and Board Cost Per Day")</f>
        <v>Room and Board Cost Per Day</v>
      </c>
      <c r="D136" s="252" t="str">
        <f>'Adjusted Schedule 3'!P63</f>
        <v/>
      </c>
      <c r="E136" s="252" t="str">
        <f>'As-Filed Schedule 3'!P62</f>
        <v/>
      </c>
      <c r="F136" s="252" t="str">
        <f t="shared" si="20"/>
        <v/>
      </c>
    </row>
    <row r="137" spans="1:6" hidden="1" x14ac:dyDescent="0.35">
      <c r="A137" s="253"/>
      <c r="B137" t="str">
        <f>IF($B$49="N/A","","Services Cost Per Day")</f>
        <v>Services Cost Per Day</v>
      </c>
      <c r="D137" s="252" t="str">
        <f>'Adjusted Schedule 3'!R63</f>
        <v/>
      </c>
      <c r="E137" s="252" t="str">
        <f>'As-Filed Schedule 3'!R62</f>
        <v/>
      </c>
      <c r="F137" s="252" t="str">
        <f t="shared" si="20"/>
        <v/>
      </c>
    </row>
    <row r="138" spans="1:6" hidden="1" x14ac:dyDescent="0.35">
      <c r="A138" s="253"/>
    </row>
    <row r="139" spans="1:6" hidden="1" x14ac:dyDescent="0.35">
      <c r="A139" s="253" t="s">
        <v>531</v>
      </c>
      <c r="B139" s="478">
        <f>'Adjusted Schedule 3'!B68:C68</f>
        <v>0</v>
      </c>
      <c r="C139" s="478"/>
    </row>
    <row r="140" spans="1:6" hidden="1" x14ac:dyDescent="0.35">
      <c r="A140" s="253"/>
      <c r="B140" t="str">
        <f>IF($B$49="N/A","","Census Days")</f>
        <v>Census Days</v>
      </c>
      <c r="D140" s="13">
        <f>'Adjusted Schedule 3'!K68</f>
        <v>0</v>
      </c>
      <c r="E140" s="13">
        <f>'As-Filed Schedule 3'!K67</f>
        <v>0</v>
      </c>
      <c r="F140" s="13">
        <f>D140-E140</f>
        <v>0</v>
      </c>
    </row>
    <row r="141" spans="1:6" hidden="1" x14ac:dyDescent="0.35">
      <c r="A141" s="253"/>
      <c r="B141" t="str">
        <f>IF($B$49="N/A","","Total Expense")</f>
        <v>Total Expense</v>
      </c>
      <c r="D141" s="247">
        <f>'Adjusted Schedule 3'!M68</f>
        <v>0</v>
      </c>
      <c r="E141" s="247">
        <f>'As-Filed Schedule 3'!M67</f>
        <v>0</v>
      </c>
      <c r="F141" s="247">
        <f t="shared" ref="F141:F142" si="21">D141-E141</f>
        <v>0</v>
      </c>
    </row>
    <row r="142" spans="1:6" hidden="1" x14ac:dyDescent="0.35">
      <c r="A142" s="253"/>
      <c r="B142" t="str">
        <f>IF($B$49="N/A","","Room and Board Expense")</f>
        <v>Room and Board Expense</v>
      </c>
      <c r="D142" s="247">
        <f>'Adjusted Schedule 3'!O68</f>
        <v>0</v>
      </c>
      <c r="E142" s="247">
        <f>'As-Filed Schedule 3'!O67</f>
        <v>0</v>
      </c>
      <c r="F142" s="247">
        <f t="shared" si="21"/>
        <v>0</v>
      </c>
    </row>
    <row r="143" spans="1:6" hidden="1" x14ac:dyDescent="0.35">
      <c r="A143" s="253"/>
      <c r="B143" t="str">
        <f>IF($B$49="N/A","","Services Expense")</f>
        <v>Services Expense</v>
      </c>
      <c r="D143" s="254" t="str">
        <f>'Adjusted Schedule 3'!Q68</f>
        <v/>
      </c>
      <c r="E143" s="254" t="str">
        <f>'As-Filed Schedule 3'!Q67</f>
        <v/>
      </c>
      <c r="F143" s="254" t="str">
        <f>IF(E143="","",D143-E143)</f>
        <v/>
      </c>
    </row>
    <row r="144" spans="1:6" s="1" customFormat="1" hidden="1" x14ac:dyDescent="0.35">
      <c r="A144" s="253"/>
      <c r="B144" s="1" t="str">
        <f>IF($B$49="N/A","","Facility Total Cost Per Day")</f>
        <v>Facility Total Cost Per Day</v>
      </c>
      <c r="D144" s="250" t="str">
        <f>'Adjusted Schedule 3'!N68</f>
        <v/>
      </c>
      <c r="E144" s="250" t="str">
        <f>'As-Filed Schedule 3'!N67</f>
        <v/>
      </c>
      <c r="F144" s="250" t="str">
        <f t="shared" ref="F144:F146" si="22">IF(E144="","",D144-E144)</f>
        <v/>
      </c>
    </row>
    <row r="145" spans="1:6" hidden="1" x14ac:dyDescent="0.35">
      <c r="A145" s="253"/>
      <c r="B145" t="str">
        <f>IF($B$49="N/A","","Room and Board Cost Per Day")</f>
        <v>Room and Board Cost Per Day</v>
      </c>
      <c r="D145" s="252" t="str">
        <f>'Adjusted Schedule 3'!P68</f>
        <v/>
      </c>
      <c r="E145" s="252" t="str">
        <f>'As-Filed Schedule 3'!P67</f>
        <v/>
      </c>
      <c r="F145" s="252" t="str">
        <f t="shared" si="22"/>
        <v/>
      </c>
    </row>
    <row r="146" spans="1:6" hidden="1" x14ac:dyDescent="0.35">
      <c r="A146" s="253"/>
      <c r="B146" t="str">
        <f>IF($B$49="N/A","","Services Cost Per Day")</f>
        <v>Services Cost Per Day</v>
      </c>
      <c r="D146" s="252" t="str">
        <f>'Adjusted Schedule 3'!R68</f>
        <v/>
      </c>
      <c r="E146" s="252" t="str">
        <f>'As-Filed Schedule 3'!R67</f>
        <v/>
      </c>
      <c r="F146" s="252" t="str">
        <f t="shared" si="22"/>
        <v/>
      </c>
    </row>
    <row r="147" spans="1:6" hidden="1" x14ac:dyDescent="0.35">
      <c r="A147" s="253"/>
    </row>
    <row r="148" spans="1:6" hidden="1" x14ac:dyDescent="0.35">
      <c r="A148" s="253" t="s">
        <v>532</v>
      </c>
      <c r="B148" s="478">
        <f>'Adjusted Schedule 3'!B73:C73</f>
        <v>0</v>
      </c>
      <c r="C148" s="478"/>
    </row>
    <row r="149" spans="1:6" hidden="1" x14ac:dyDescent="0.35">
      <c r="A149" s="253"/>
      <c r="B149" t="str">
        <f>IF($B$49="N/A","","Census Days")</f>
        <v>Census Days</v>
      </c>
      <c r="D149" s="13">
        <f>'Adjusted Schedule 3'!K73</f>
        <v>0</v>
      </c>
      <c r="E149" s="13">
        <f>'As-Filed Schedule 3'!K72</f>
        <v>0</v>
      </c>
      <c r="F149" s="13">
        <f>D149-E149</f>
        <v>0</v>
      </c>
    </row>
    <row r="150" spans="1:6" hidden="1" x14ac:dyDescent="0.35">
      <c r="A150" s="253"/>
      <c r="B150" t="str">
        <f>IF($B$49="N/A","","Total Expense")</f>
        <v>Total Expense</v>
      </c>
      <c r="D150" s="247">
        <f>'Adjusted Schedule 3'!M73</f>
        <v>0</v>
      </c>
      <c r="E150" s="247">
        <f>'As-Filed Schedule 3'!M72</f>
        <v>0</v>
      </c>
      <c r="F150" s="247">
        <f t="shared" ref="F150:F151" si="23">D150-E150</f>
        <v>0</v>
      </c>
    </row>
    <row r="151" spans="1:6" hidden="1" x14ac:dyDescent="0.35">
      <c r="A151" s="253"/>
      <c r="B151" t="str">
        <f>IF($B$49="N/A","","Room and Board Expense")</f>
        <v>Room and Board Expense</v>
      </c>
      <c r="D151" s="247">
        <f>'Adjusted Schedule 3'!O73</f>
        <v>0</v>
      </c>
      <c r="E151" s="247">
        <f>'As-Filed Schedule 3'!O72</f>
        <v>0</v>
      </c>
      <c r="F151" s="247">
        <f t="shared" si="23"/>
        <v>0</v>
      </c>
    </row>
    <row r="152" spans="1:6" hidden="1" x14ac:dyDescent="0.35">
      <c r="A152" s="253"/>
      <c r="B152" t="str">
        <f>IF($B$49="N/A","","Services Expense")</f>
        <v>Services Expense</v>
      </c>
      <c r="D152" s="254" t="str">
        <f>'Adjusted Schedule 3'!Q73</f>
        <v/>
      </c>
      <c r="E152" s="254" t="str">
        <f>'As-Filed Schedule 3'!Q72</f>
        <v/>
      </c>
      <c r="F152" s="254" t="str">
        <f>IF(E152="","",D152-E152)</f>
        <v/>
      </c>
    </row>
    <row r="153" spans="1:6" s="1" customFormat="1" hidden="1" x14ac:dyDescent="0.35">
      <c r="A153" s="253"/>
      <c r="B153" s="1" t="str">
        <f>IF($B$49="N/A","","Facility Total Cost Per Day")</f>
        <v>Facility Total Cost Per Day</v>
      </c>
      <c r="D153" s="250" t="str">
        <f>'Adjusted Schedule 3'!N73</f>
        <v/>
      </c>
      <c r="E153" s="250" t="str">
        <f>'As-Filed Schedule 3'!N72</f>
        <v/>
      </c>
      <c r="F153" s="250" t="str">
        <f t="shared" ref="F153:F155" si="24">IF(E153="","",D153-E153)</f>
        <v/>
      </c>
    </row>
    <row r="154" spans="1:6" hidden="1" x14ac:dyDescent="0.35">
      <c r="A154" s="253"/>
      <c r="B154" t="str">
        <f>IF($B$49="N/A","","Room and Board Cost Per Day")</f>
        <v>Room and Board Cost Per Day</v>
      </c>
      <c r="D154" s="252" t="str">
        <f>'Adjusted Schedule 3'!P73</f>
        <v/>
      </c>
      <c r="E154" s="252" t="str">
        <f>'As-Filed Schedule 3'!P72</f>
        <v/>
      </c>
      <c r="F154" s="252" t="str">
        <f t="shared" si="24"/>
        <v/>
      </c>
    </row>
    <row r="155" spans="1:6" hidden="1" x14ac:dyDescent="0.35">
      <c r="A155" s="253"/>
      <c r="B155" t="str">
        <f>IF($B$49="N/A","","Services Cost Per Day")</f>
        <v>Services Cost Per Day</v>
      </c>
      <c r="D155" s="252" t="str">
        <f>'Adjusted Schedule 3'!R73</f>
        <v/>
      </c>
      <c r="E155" s="252" t="str">
        <f>'As-Filed Schedule 3'!R72</f>
        <v/>
      </c>
      <c r="F155" s="252" t="str">
        <f t="shared" si="24"/>
        <v/>
      </c>
    </row>
    <row r="156" spans="1:6" hidden="1" x14ac:dyDescent="0.35">
      <c r="A156" s="253"/>
    </row>
    <row r="157" spans="1:6" hidden="1" x14ac:dyDescent="0.35">
      <c r="A157" s="253" t="s">
        <v>533</v>
      </c>
      <c r="B157" s="478">
        <f>'Adjusted Schedule 3'!B78:C78</f>
        <v>0</v>
      </c>
      <c r="C157" s="478"/>
    </row>
    <row r="158" spans="1:6" hidden="1" x14ac:dyDescent="0.35">
      <c r="A158" s="253"/>
      <c r="B158" t="str">
        <f>IF($B$49="N/A","","Census Days")</f>
        <v>Census Days</v>
      </c>
      <c r="D158" s="13">
        <f>'Adjusted Schedule 3'!K78</f>
        <v>0</v>
      </c>
      <c r="E158" s="13">
        <f>'As-Filed Schedule 3'!K77</f>
        <v>0</v>
      </c>
      <c r="F158" s="13">
        <f>D158-E158</f>
        <v>0</v>
      </c>
    </row>
    <row r="159" spans="1:6" hidden="1" x14ac:dyDescent="0.35">
      <c r="A159" s="253"/>
      <c r="B159" t="str">
        <f>IF($B$49="N/A","","Total Expense")</f>
        <v>Total Expense</v>
      </c>
      <c r="D159" s="247">
        <f>'Adjusted Schedule 3'!M78</f>
        <v>0</v>
      </c>
      <c r="E159" s="247">
        <f>'As-Filed Schedule 3'!M77</f>
        <v>0</v>
      </c>
      <c r="F159" s="247">
        <f t="shared" ref="F159:F160" si="25">D159-E159</f>
        <v>0</v>
      </c>
    </row>
    <row r="160" spans="1:6" hidden="1" x14ac:dyDescent="0.35">
      <c r="A160" s="253"/>
      <c r="B160" t="str">
        <f>IF($B$49="N/A","","Room and Board Expense")</f>
        <v>Room and Board Expense</v>
      </c>
      <c r="D160" s="247">
        <f>'Adjusted Schedule 3'!O78</f>
        <v>0</v>
      </c>
      <c r="E160" s="247">
        <f>'As-Filed Schedule 3'!O77</f>
        <v>0</v>
      </c>
      <c r="F160" s="247">
        <f t="shared" si="25"/>
        <v>0</v>
      </c>
    </row>
    <row r="161" spans="1:6" hidden="1" x14ac:dyDescent="0.35">
      <c r="A161" s="253"/>
      <c r="B161" t="str">
        <f>IF($B$49="N/A","","Services Expense")</f>
        <v>Services Expense</v>
      </c>
      <c r="D161" s="254" t="str">
        <f>'Adjusted Schedule 3'!Q78</f>
        <v/>
      </c>
      <c r="E161" s="254" t="str">
        <f>'As-Filed Schedule 3'!Q77</f>
        <v/>
      </c>
      <c r="F161" s="254" t="str">
        <f>IF(E161="","",D161-E161)</f>
        <v/>
      </c>
    </row>
    <row r="162" spans="1:6" s="1" customFormat="1" hidden="1" x14ac:dyDescent="0.35">
      <c r="A162" s="253"/>
      <c r="B162" s="1" t="str">
        <f>IF($B$49="N/A","","Facility Total Cost Per Day")</f>
        <v>Facility Total Cost Per Day</v>
      </c>
      <c r="D162" s="250" t="str">
        <f>'Adjusted Schedule 3'!N78</f>
        <v/>
      </c>
      <c r="E162" s="250" t="str">
        <f>'As-Filed Schedule 3'!N77</f>
        <v/>
      </c>
      <c r="F162" s="250" t="str">
        <f t="shared" ref="F162:F164" si="26">IF(E162="","",D162-E162)</f>
        <v/>
      </c>
    </row>
    <row r="163" spans="1:6" hidden="1" x14ac:dyDescent="0.35">
      <c r="A163" s="253"/>
      <c r="B163" t="str">
        <f>IF($B$49="N/A","","Room and Board Cost Per Day")</f>
        <v>Room and Board Cost Per Day</v>
      </c>
      <c r="D163" s="252" t="str">
        <f>'Adjusted Schedule 3'!P78</f>
        <v/>
      </c>
      <c r="E163" s="252" t="str">
        <f>'As-Filed Schedule 3'!P77</f>
        <v/>
      </c>
      <c r="F163" s="252" t="str">
        <f t="shared" si="26"/>
        <v/>
      </c>
    </row>
    <row r="164" spans="1:6" hidden="1" x14ac:dyDescent="0.35">
      <c r="A164" s="253"/>
      <c r="B164" t="str">
        <f>IF($B$49="N/A","","Services Cost Per Day")</f>
        <v>Services Cost Per Day</v>
      </c>
      <c r="D164" s="252" t="str">
        <f>'Adjusted Schedule 3'!R78</f>
        <v/>
      </c>
      <c r="E164" s="252" t="str">
        <f>'As-Filed Schedule 3'!R77</f>
        <v/>
      </c>
      <c r="F164" s="252" t="str">
        <f t="shared" si="26"/>
        <v/>
      </c>
    </row>
    <row r="165" spans="1:6" hidden="1" x14ac:dyDescent="0.35">
      <c r="A165" s="253"/>
    </row>
    <row r="166" spans="1:6" hidden="1" x14ac:dyDescent="0.35">
      <c r="A166" s="253" t="s">
        <v>534</v>
      </c>
      <c r="B166" s="478">
        <f>'Adjusted Schedule 3'!B83:C83</f>
        <v>0</v>
      </c>
      <c r="C166" s="478"/>
    </row>
    <row r="167" spans="1:6" hidden="1" x14ac:dyDescent="0.35">
      <c r="A167" s="253"/>
      <c r="B167" t="str">
        <f>IF($B$49="N/A","","Census Days")</f>
        <v>Census Days</v>
      </c>
      <c r="D167" s="13">
        <f>'Adjusted Schedule 3'!K83</f>
        <v>0</v>
      </c>
      <c r="E167" s="13">
        <f>'As-Filed Schedule 3'!K82</f>
        <v>0</v>
      </c>
      <c r="F167" s="13">
        <f>D167-E167</f>
        <v>0</v>
      </c>
    </row>
    <row r="168" spans="1:6" hidden="1" x14ac:dyDescent="0.35">
      <c r="A168" s="253"/>
      <c r="B168" t="str">
        <f>IF($B$49="N/A","","Total Expense")</f>
        <v>Total Expense</v>
      </c>
      <c r="D168" s="247">
        <f>'Adjusted Schedule 3'!M83</f>
        <v>0</v>
      </c>
      <c r="E168" s="247">
        <f>'As-Filed Schedule 3'!M82</f>
        <v>0</v>
      </c>
      <c r="F168" s="247">
        <f t="shared" ref="F168:F169" si="27">D168-E168</f>
        <v>0</v>
      </c>
    </row>
    <row r="169" spans="1:6" hidden="1" x14ac:dyDescent="0.35">
      <c r="A169" s="253"/>
      <c r="B169" t="str">
        <f>IF($B$49="N/A","","Room and Board Expense")</f>
        <v>Room and Board Expense</v>
      </c>
      <c r="D169" s="247">
        <f>'Adjusted Schedule 3'!O83</f>
        <v>0</v>
      </c>
      <c r="E169" s="247">
        <f>'As-Filed Schedule 3'!O82</f>
        <v>0</v>
      </c>
      <c r="F169" s="247">
        <f t="shared" si="27"/>
        <v>0</v>
      </c>
    </row>
    <row r="170" spans="1:6" hidden="1" x14ac:dyDescent="0.35">
      <c r="A170" s="253"/>
      <c r="B170" t="str">
        <f>IF($B$49="N/A","","Services Expense")</f>
        <v>Services Expense</v>
      </c>
      <c r="D170" s="254" t="str">
        <f>'Adjusted Schedule 3'!Q83</f>
        <v/>
      </c>
      <c r="E170" s="254" t="str">
        <f>'As-Filed Schedule 3'!Q82</f>
        <v/>
      </c>
      <c r="F170" s="254" t="str">
        <f>IF(E170="","",D170-E170)</f>
        <v/>
      </c>
    </row>
    <row r="171" spans="1:6" s="1" customFormat="1" hidden="1" x14ac:dyDescent="0.35">
      <c r="A171" s="253"/>
      <c r="B171" s="1" t="str">
        <f>IF($B$49="N/A","","Facility Total Cost Per Day")</f>
        <v>Facility Total Cost Per Day</v>
      </c>
      <c r="D171" s="250" t="str">
        <f>'Adjusted Schedule 3'!N83</f>
        <v/>
      </c>
      <c r="E171" s="250" t="str">
        <f>'As-Filed Schedule 3'!N82</f>
        <v/>
      </c>
      <c r="F171" s="250" t="str">
        <f t="shared" ref="F171:F173" si="28">IF(E171="","",D171-E171)</f>
        <v/>
      </c>
    </row>
    <row r="172" spans="1:6" hidden="1" x14ac:dyDescent="0.35">
      <c r="A172" s="253"/>
      <c r="B172" t="str">
        <f>IF($B$49="N/A","","Room and Board Cost Per Day")</f>
        <v>Room and Board Cost Per Day</v>
      </c>
      <c r="D172" s="252" t="str">
        <f>'Adjusted Schedule 3'!P83</f>
        <v/>
      </c>
      <c r="E172" s="252" t="str">
        <f>'As-Filed Schedule 3'!P82</f>
        <v/>
      </c>
      <c r="F172" s="252" t="str">
        <f t="shared" si="28"/>
        <v/>
      </c>
    </row>
    <row r="173" spans="1:6" hidden="1" x14ac:dyDescent="0.35">
      <c r="A173" s="253"/>
      <c r="B173" t="str">
        <f>IF($B$49="N/A","","Services Cost Per Day")</f>
        <v>Services Cost Per Day</v>
      </c>
      <c r="D173" s="252" t="str">
        <f>'Adjusted Schedule 3'!R83</f>
        <v/>
      </c>
      <c r="E173" s="252" t="str">
        <f>'As-Filed Schedule 3'!R82</f>
        <v/>
      </c>
      <c r="F173" s="252" t="str">
        <f t="shared" si="28"/>
        <v/>
      </c>
    </row>
    <row r="174" spans="1:6" hidden="1" x14ac:dyDescent="0.35">
      <c r="A174" s="253"/>
    </row>
    <row r="175" spans="1:6" hidden="1" x14ac:dyDescent="0.35">
      <c r="A175" s="253" t="s">
        <v>535</v>
      </c>
      <c r="B175" s="478">
        <f>'Adjusted Schedule 3'!B88:C88</f>
        <v>0</v>
      </c>
      <c r="C175" s="478"/>
    </row>
    <row r="176" spans="1:6" hidden="1" x14ac:dyDescent="0.35">
      <c r="A176" s="253"/>
      <c r="B176" t="str">
        <f>IF($B$49="N/A","","Census Days")</f>
        <v>Census Days</v>
      </c>
      <c r="D176" s="13">
        <f>'Adjusted Schedule 3'!K88</f>
        <v>0</v>
      </c>
      <c r="E176" s="13">
        <f>'As-Filed Schedule 3'!K87</f>
        <v>0</v>
      </c>
      <c r="F176" s="13">
        <f>D176-E176</f>
        <v>0</v>
      </c>
    </row>
    <row r="177" spans="1:6" hidden="1" x14ac:dyDescent="0.35">
      <c r="A177" s="253"/>
      <c r="B177" t="str">
        <f>IF($B$49="N/A","","Total Expense")</f>
        <v>Total Expense</v>
      </c>
      <c r="D177" s="247">
        <f>'Adjusted Schedule 3'!M88</f>
        <v>0</v>
      </c>
      <c r="E177" s="247">
        <f>'As-Filed Schedule 3'!M87</f>
        <v>0</v>
      </c>
      <c r="F177" s="247">
        <f t="shared" ref="F177:F178" si="29">D177-E177</f>
        <v>0</v>
      </c>
    </row>
    <row r="178" spans="1:6" hidden="1" x14ac:dyDescent="0.35">
      <c r="A178" s="253"/>
      <c r="B178" t="str">
        <f>IF($B$49="N/A","","Room and Board Expense")</f>
        <v>Room and Board Expense</v>
      </c>
      <c r="D178" s="247">
        <f>'Adjusted Schedule 3'!O88</f>
        <v>0</v>
      </c>
      <c r="E178" s="247">
        <f>'As-Filed Schedule 3'!O87</f>
        <v>0</v>
      </c>
      <c r="F178" s="247">
        <f t="shared" si="29"/>
        <v>0</v>
      </c>
    </row>
    <row r="179" spans="1:6" hidden="1" x14ac:dyDescent="0.35">
      <c r="A179" s="253"/>
      <c r="B179" t="str">
        <f>IF($B$49="N/A","","Services Expense")</f>
        <v>Services Expense</v>
      </c>
      <c r="D179" s="254" t="str">
        <f>'Adjusted Schedule 3'!Q88</f>
        <v/>
      </c>
      <c r="E179" s="254" t="str">
        <f>'As-Filed Schedule 3'!Q87</f>
        <v/>
      </c>
      <c r="F179" s="254" t="str">
        <f>IF(E179="","",D179-E179)</f>
        <v/>
      </c>
    </row>
    <row r="180" spans="1:6" s="1" customFormat="1" hidden="1" x14ac:dyDescent="0.35">
      <c r="A180" s="253"/>
      <c r="B180" s="1" t="str">
        <f>IF($B$49="N/A","","Facility Total Cost Per Day")</f>
        <v>Facility Total Cost Per Day</v>
      </c>
      <c r="D180" s="250" t="str">
        <f>'Adjusted Schedule 3'!N88</f>
        <v/>
      </c>
      <c r="E180" s="250" t="str">
        <f>'As-Filed Schedule 3'!N87</f>
        <v/>
      </c>
      <c r="F180" s="250" t="str">
        <f t="shared" ref="F180:F182" si="30">IF(E180="","",D180-E180)</f>
        <v/>
      </c>
    </row>
    <row r="181" spans="1:6" hidden="1" x14ac:dyDescent="0.35">
      <c r="A181" s="253"/>
      <c r="B181" t="str">
        <f>IF($B$49="N/A","","Room and Board Cost Per Day")</f>
        <v>Room and Board Cost Per Day</v>
      </c>
      <c r="D181" s="252" t="str">
        <f>'Adjusted Schedule 3'!P88</f>
        <v/>
      </c>
      <c r="E181" s="252" t="str">
        <f>'As-Filed Schedule 3'!P87</f>
        <v/>
      </c>
      <c r="F181" s="252" t="str">
        <f t="shared" si="30"/>
        <v/>
      </c>
    </row>
    <row r="182" spans="1:6" hidden="1" x14ac:dyDescent="0.35">
      <c r="A182" s="253"/>
      <c r="B182" t="str">
        <f>IF($B$49="N/A","","Services Cost Per Day")</f>
        <v>Services Cost Per Day</v>
      </c>
      <c r="D182" s="252" t="str">
        <f>'Adjusted Schedule 3'!R88</f>
        <v/>
      </c>
      <c r="E182" s="252" t="str">
        <f>'As-Filed Schedule 3'!R87</f>
        <v/>
      </c>
      <c r="F182" s="252" t="str">
        <f t="shared" si="30"/>
        <v/>
      </c>
    </row>
    <row r="183" spans="1:6" hidden="1" x14ac:dyDescent="0.35">
      <c r="A183" s="253"/>
    </row>
    <row r="184" spans="1:6" hidden="1" x14ac:dyDescent="0.35">
      <c r="A184" s="253" t="s">
        <v>536</v>
      </c>
      <c r="B184" s="478">
        <f>'Adjusted Schedule 3'!B93:C93</f>
        <v>0</v>
      </c>
      <c r="C184" s="478"/>
    </row>
    <row r="185" spans="1:6" hidden="1" x14ac:dyDescent="0.35">
      <c r="A185" s="253"/>
      <c r="B185" t="str">
        <f>IF($B$49="N/A","","Census Days")</f>
        <v>Census Days</v>
      </c>
      <c r="D185" s="13">
        <f>'Adjusted Schedule 3'!K93</f>
        <v>0</v>
      </c>
      <c r="E185" s="13">
        <f>'As-Filed Schedule 3'!K92</f>
        <v>0</v>
      </c>
      <c r="F185" s="13">
        <f>D185-E185</f>
        <v>0</v>
      </c>
    </row>
    <row r="186" spans="1:6" hidden="1" x14ac:dyDescent="0.35">
      <c r="A186" s="253"/>
      <c r="B186" t="str">
        <f>IF($B$49="N/A","","Total Expense")</f>
        <v>Total Expense</v>
      </c>
      <c r="D186" s="247">
        <f>'Adjusted Schedule 3'!M93</f>
        <v>0</v>
      </c>
      <c r="E186" s="247">
        <f>'As-Filed Schedule 3'!M92</f>
        <v>0</v>
      </c>
      <c r="F186" s="247">
        <f t="shared" ref="F186:F187" si="31">D186-E186</f>
        <v>0</v>
      </c>
    </row>
    <row r="187" spans="1:6" hidden="1" x14ac:dyDescent="0.35">
      <c r="A187" s="253"/>
      <c r="B187" t="str">
        <f>IF($B$49="N/A","","Room and Board Expense")</f>
        <v>Room and Board Expense</v>
      </c>
      <c r="D187" s="247">
        <f>'Adjusted Schedule 3'!O93</f>
        <v>0</v>
      </c>
      <c r="E187" s="247">
        <f>'As-Filed Schedule 3'!O92</f>
        <v>0</v>
      </c>
      <c r="F187" s="247">
        <f t="shared" si="31"/>
        <v>0</v>
      </c>
    </row>
    <row r="188" spans="1:6" hidden="1" x14ac:dyDescent="0.35">
      <c r="A188" s="253"/>
      <c r="B188" t="str">
        <f>IF($B$49="N/A","","Services Expense")</f>
        <v>Services Expense</v>
      </c>
      <c r="D188" s="254" t="str">
        <f>'Adjusted Schedule 3'!Q93</f>
        <v/>
      </c>
      <c r="E188" s="254" t="str">
        <f>'As-Filed Schedule 3'!Q92</f>
        <v/>
      </c>
      <c r="F188" s="254" t="str">
        <f>IF(E188="","",D188-E188)</f>
        <v/>
      </c>
    </row>
    <row r="189" spans="1:6" s="1" customFormat="1" hidden="1" x14ac:dyDescent="0.35">
      <c r="A189" s="253"/>
      <c r="B189" s="1" t="str">
        <f>IF($B$49="N/A","","Facility Total Cost Per Day")</f>
        <v>Facility Total Cost Per Day</v>
      </c>
      <c r="D189" s="250" t="str">
        <f>'Adjusted Schedule 3'!N93</f>
        <v/>
      </c>
      <c r="E189" s="250" t="str">
        <f>'As-Filed Schedule 3'!N92</f>
        <v/>
      </c>
      <c r="F189" s="250" t="str">
        <f t="shared" ref="F189:F191" si="32">IF(E189="","",D189-E189)</f>
        <v/>
      </c>
    </row>
    <row r="190" spans="1:6" hidden="1" x14ac:dyDescent="0.35">
      <c r="A190" s="253"/>
      <c r="B190" t="str">
        <f>IF($B$49="N/A","","Room and Board Cost Per Day")</f>
        <v>Room and Board Cost Per Day</v>
      </c>
      <c r="D190" s="252" t="str">
        <f>'Adjusted Schedule 3'!P93</f>
        <v/>
      </c>
      <c r="E190" s="252" t="str">
        <f>'As-Filed Schedule 3'!P92</f>
        <v/>
      </c>
      <c r="F190" s="252" t="str">
        <f t="shared" si="32"/>
        <v/>
      </c>
    </row>
    <row r="191" spans="1:6" hidden="1" x14ac:dyDescent="0.35">
      <c r="A191" s="253"/>
      <c r="B191" t="str">
        <f>IF($B$49="N/A","","Services Cost Per Day")</f>
        <v>Services Cost Per Day</v>
      </c>
      <c r="D191" s="252" t="str">
        <f>'Adjusted Schedule 3'!R93</f>
        <v/>
      </c>
      <c r="E191" s="252" t="str">
        <f>'As-Filed Schedule 3'!R92</f>
        <v/>
      </c>
      <c r="F191" s="252" t="str">
        <f t="shared" si="32"/>
        <v/>
      </c>
    </row>
    <row r="192" spans="1:6" hidden="1" x14ac:dyDescent="0.35">
      <c r="A192" s="253"/>
    </row>
    <row r="193" spans="1:6" hidden="1" x14ac:dyDescent="0.35">
      <c r="A193" s="253" t="s">
        <v>537</v>
      </c>
      <c r="B193" s="478">
        <f>'Adjusted Schedule 3'!B98:C98</f>
        <v>0</v>
      </c>
      <c r="C193" s="478"/>
    </row>
    <row r="194" spans="1:6" hidden="1" x14ac:dyDescent="0.35">
      <c r="A194" s="253"/>
      <c r="B194" t="str">
        <f>IF($B$49="N/A","","Census Days")</f>
        <v>Census Days</v>
      </c>
      <c r="D194" s="13">
        <f>'Adjusted Schedule 3'!K98</f>
        <v>0</v>
      </c>
      <c r="E194" s="13">
        <f>'As-Filed Schedule 3'!K97</f>
        <v>0</v>
      </c>
      <c r="F194" s="13">
        <f>D194-E194</f>
        <v>0</v>
      </c>
    </row>
    <row r="195" spans="1:6" hidden="1" x14ac:dyDescent="0.35">
      <c r="A195" s="253"/>
      <c r="B195" t="str">
        <f>IF($B$49="N/A","","Total Expense")</f>
        <v>Total Expense</v>
      </c>
      <c r="D195" s="247">
        <f>'Adjusted Schedule 3'!M98</f>
        <v>0</v>
      </c>
      <c r="E195" s="247">
        <f>'As-Filed Schedule 3'!M97</f>
        <v>0</v>
      </c>
      <c r="F195" s="247">
        <f t="shared" ref="F195:F196" si="33">D195-E195</f>
        <v>0</v>
      </c>
    </row>
    <row r="196" spans="1:6" hidden="1" x14ac:dyDescent="0.35">
      <c r="A196" s="253"/>
      <c r="B196" t="str">
        <f>IF($B$49="N/A","","Room and Board Expense")</f>
        <v>Room and Board Expense</v>
      </c>
      <c r="D196" s="247">
        <f>'Adjusted Schedule 3'!O98</f>
        <v>0</v>
      </c>
      <c r="E196" s="247">
        <f>'As-Filed Schedule 3'!O97</f>
        <v>0</v>
      </c>
      <c r="F196" s="247">
        <f t="shared" si="33"/>
        <v>0</v>
      </c>
    </row>
    <row r="197" spans="1:6" hidden="1" x14ac:dyDescent="0.35">
      <c r="A197" s="253"/>
      <c r="B197" t="str">
        <f>IF($B$49="N/A","","Services Expense")</f>
        <v>Services Expense</v>
      </c>
      <c r="D197" s="254" t="str">
        <f>'Adjusted Schedule 3'!Q98</f>
        <v/>
      </c>
      <c r="E197" s="254" t="str">
        <f>'As-Filed Schedule 3'!Q97</f>
        <v/>
      </c>
      <c r="F197" s="254" t="str">
        <f>IF(E197="","",D197-E197)</f>
        <v/>
      </c>
    </row>
    <row r="198" spans="1:6" s="1" customFormat="1" hidden="1" x14ac:dyDescent="0.35">
      <c r="A198" s="253"/>
      <c r="B198" s="1" t="str">
        <f>IF($B$49="N/A","","Facility Total Cost Per Day")</f>
        <v>Facility Total Cost Per Day</v>
      </c>
      <c r="D198" s="250" t="str">
        <f>'Adjusted Schedule 3'!N98</f>
        <v/>
      </c>
      <c r="E198" s="250" t="str">
        <f>'As-Filed Schedule 3'!N97</f>
        <v/>
      </c>
      <c r="F198" s="250" t="str">
        <f t="shared" ref="F198:F200" si="34">IF(E198="","",D198-E198)</f>
        <v/>
      </c>
    </row>
    <row r="199" spans="1:6" hidden="1" x14ac:dyDescent="0.35">
      <c r="A199" s="253"/>
      <c r="B199" t="str">
        <f>IF($B$49="N/A","","Room and Board Cost Per Day")</f>
        <v>Room and Board Cost Per Day</v>
      </c>
      <c r="D199" s="252" t="str">
        <f>'Adjusted Schedule 3'!P98</f>
        <v/>
      </c>
      <c r="E199" s="252" t="str">
        <f>'As-Filed Schedule 3'!P97</f>
        <v/>
      </c>
      <c r="F199" s="252" t="str">
        <f t="shared" si="34"/>
        <v/>
      </c>
    </row>
    <row r="200" spans="1:6" hidden="1" x14ac:dyDescent="0.35">
      <c r="A200" s="253"/>
      <c r="B200" t="str">
        <f>IF($B$49="N/A","","Services Cost Per Day")</f>
        <v>Services Cost Per Day</v>
      </c>
      <c r="D200" s="252" t="str">
        <f>'Adjusted Schedule 3'!R98</f>
        <v/>
      </c>
      <c r="E200" s="252" t="str">
        <f>'As-Filed Schedule 3'!R97</f>
        <v/>
      </c>
      <c r="F200" s="252" t="str">
        <f t="shared" si="34"/>
        <v/>
      </c>
    </row>
    <row r="201" spans="1:6" hidden="1" x14ac:dyDescent="0.35">
      <c r="A201" s="253"/>
    </row>
    <row r="202" spans="1:6" hidden="1" x14ac:dyDescent="0.35">
      <c r="A202" s="253" t="s">
        <v>538</v>
      </c>
      <c r="B202" s="478">
        <f>'Adjusted Schedule 3'!B103:C103</f>
        <v>0</v>
      </c>
      <c r="C202" s="478"/>
    </row>
    <row r="203" spans="1:6" hidden="1" x14ac:dyDescent="0.35">
      <c r="A203" s="253"/>
      <c r="B203" t="str">
        <f>IF($B$49="N/A","","Census Days")</f>
        <v>Census Days</v>
      </c>
      <c r="D203" s="13">
        <f>'Adjusted Schedule 3'!K103</f>
        <v>0</v>
      </c>
      <c r="E203" s="13">
        <f>'As-Filed Schedule 3'!K102</f>
        <v>0</v>
      </c>
      <c r="F203" s="13">
        <f>D203-E203</f>
        <v>0</v>
      </c>
    </row>
    <row r="204" spans="1:6" hidden="1" x14ac:dyDescent="0.35">
      <c r="A204" s="253"/>
      <c r="B204" t="str">
        <f>IF($B$49="N/A","","Total Expense")</f>
        <v>Total Expense</v>
      </c>
      <c r="D204" s="247">
        <f>'Adjusted Schedule 3'!M103</f>
        <v>0</v>
      </c>
      <c r="E204" s="247">
        <f>'As-Filed Schedule 3'!M102</f>
        <v>0</v>
      </c>
      <c r="F204" s="247">
        <f t="shared" ref="F204:F205" si="35">D204-E204</f>
        <v>0</v>
      </c>
    </row>
    <row r="205" spans="1:6" hidden="1" x14ac:dyDescent="0.35">
      <c r="A205" s="253"/>
      <c r="B205" t="str">
        <f>IF($B$49="N/A","","Room and Board Expense")</f>
        <v>Room and Board Expense</v>
      </c>
      <c r="D205" s="247">
        <f>'Adjusted Schedule 3'!O103</f>
        <v>0</v>
      </c>
      <c r="E205" s="247">
        <f>'As-Filed Schedule 3'!O102</f>
        <v>0</v>
      </c>
      <c r="F205" s="247">
        <f t="shared" si="35"/>
        <v>0</v>
      </c>
    </row>
    <row r="206" spans="1:6" hidden="1" x14ac:dyDescent="0.35">
      <c r="A206" s="253"/>
      <c r="B206" t="str">
        <f>IF($B$49="N/A","","Services Expense")</f>
        <v>Services Expense</v>
      </c>
      <c r="D206" s="254" t="str">
        <f>'Adjusted Schedule 3'!Q103</f>
        <v/>
      </c>
      <c r="E206" s="254" t="str">
        <f>'As-Filed Schedule 3'!Q102</f>
        <v/>
      </c>
      <c r="F206" s="254" t="str">
        <f>IF(E206="","",D206-E206)</f>
        <v/>
      </c>
    </row>
    <row r="207" spans="1:6" s="1" customFormat="1" hidden="1" x14ac:dyDescent="0.35">
      <c r="A207" s="253"/>
      <c r="B207" s="1" t="str">
        <f>IF($B$49="N/A","","Facility Total Cost Per Day")</f>
        <v>Facility Total Cost Per Day</v>
      </c>
      <c r="D207" s="250" t="str">
        <f>'Adjusted Schedule 3'!N103</f>
        <v/>
      </c>
      <c r="E207" s="250" t="str">
        <f>'As-Filed Schedule 3'!N102</f>
        <v/>
      </c>
      <c r="F207" s="250" t="str">
        <f t="shared" ref="F207:F209" si="36">IF(E207="","",D207-E207)</f>
        <v/>
      </c>
    </row>
    <row r="208" spans="1:6" hidden="1" x14ac:dyDescent="0.35">
      <c r="A208" s="253"/>
      <c r="B208" t="str">
        <f>IF($B$49="N/A","","Room and Board Cost Per Day")</f>
        <v>Room and Board Cost Per Day</v>
      </c>
      <c r="D208" s="252" t="str">
        <f>'Adjusted Schedule 3'!P103</f>
        <v/>
      </c>
      <c r="E208" s="252" t="str">
        <f>'As-Filed Schedule 3'!P102</f>
        <v/>
      </c>
      <c r="F208" s="252" t="str">
        <f t="shared" si="36"/>
        <v/>
      </c>
    </row>
    <row r="209" spans="1:6" hidden="1" x14ac:dyDescent="0.35">
      <c r="A209" s="253"/>
      <c r="B209" t="str">
        <f>IF($B$49="N/A","","Services Cost Per Day")</f>
        <v>Services Cost Per Day</v>
      </c>
      <c r="D209" s="252" t="str">
        <f>'Adjusted Schedule 3'!R103</f>
        <v/>
      </c>
      <c r="E209" s="252" t="str">
        <f>'As-Filed Schedule 3'!R102</f>
        <v/>
      </c>
      <c r="F209" s="252" t="str">
        <f t="shared" si="36"/>
        <v/>
      </c>
    </row>
    <row r="210" spans="1:6" hidden="1" x14ac:dyDescent="0.35">
      <c r="A210" s="253"/>
    </row>
    <row r="211" spans="1:6" hidden="1" x14ac:dyDescent="0.35">
      <c r="A211" s="253" t="s">
        <v>539</v>
      </c>
      <c r="B211" s="478">
        <f>'Adjusted Schedule 3'!B108:C108</f>
        <v>0</v>
      </c>
      <c r="C211" s="478"/>
    </row>
    <row r="212" spans="1:6" hidden="1" x14ac:dyDescent="0.35">
      <c r="A212" s="253"/>
      <c r="B212" t="str">
        <f>IF($B$49="N/A","","Census Days")</f>
        <v>Census Days</v>
      </c>
      <c r="D212" s="13">
        <f>'Adjusted Schedule 3'!K108</f>
        <v>0</v>
      </c>
      <c r="E212" s="13">
        <f>'As-Filed Schedule 3'!K107</f>
        <v>0</v>
      </c>
      <c r="F212" s="13">
        <f>D212-E212</f>
        <v>0</v>
      </c>
    </row>
    <row r="213" spans="1:6" hidden="1" x14ac:dyDescent="0.35">
      <c r="A213" s="253"/>
      <c r="B213" t="str">
        <f>IF($B$49="N/A","","Total Expense")</f>
        <v>Total Expense</v>
      </c>
      <c r="D213" s="247">
        <f>'Adjusted Schedule 3'!M108</f>
        <v>0</v>
      </c>
      <c r="E213" s="247">
        <f>'As-Filed Schedule 3'!M107</f>
        <v>0</v>
      </c>
      <c r="F213" s="247">
        <f t="shared" ref="F213:F214" si="37">D213-E213</f>
        <v>0</v>
      </c>
    </row>
    <row r="214" spans="1:6" hidden="1" x14ac:dyDescent="0.35">
      <c r="A214" s="253"/>
      <c r="B214" t="str">
        <f>IF($B$49="N/A","","Room and Board Expense")</f>
        <v>Room and Board Expense</v>
      </c>
      <c r="D214" s="247">
        <f>'Adjusted Schedule 3'!O108</f>
        <v>0</v>
      </c>
      <c r="E214" s="247">
        <f>'As-Filed Schedule 3'!O107</f>
        <v>0</v>
      </c>
      <c r="F214" s="247">
        <f t="shared" si="37"/>
        <v>0</v>
      </c>
    </row>
    <row r="215" spans="1:6" hidden="1" x14ac:dyDescent="0.35">
      <c r="A215" s="253"/>
      <c r="B215" t="str">
        <f>IF($B$49="N/A","","Services Expense")</f>
        <v>Services Expense</v>
      </c>
      <c r="D215" s="254" t="str">
        <f>'Adjusted Schedule 3'!Q108</f>
        <v/>
      </c>
      <c r="E215" s="254" t="str">
        <f>'As-Filed Schedule 3'!Q107</f>
        <v/>
      </c>
      <c r="F215" s="254" t="str">
        <f>IF(E215="","",D215-E215)</f>
        <v/>
      </c>
    </row>
    <row r="216" spans="1:6" s="1" customFormat="1" hidden="1" x14ac:dyDescent="0.35">
      <c r="A216" s="253"/>
      <c r="B216" s="1" t="str">
        <f>IF($B$49="N/A","","Facility Total Cost Per Day")</f>
        <v>Facility Total Cost Per Day</v>
      </c>
      <c r="D216" s="250" t="str">
        <f>'Adjusted Schedule 3'!N108</f>
        <v/>
      </c>
      <c r="E216" s="250" t="str">
        <f>'As-Filed Schedule 3'!N107</f>
        <v/>
      </c>
      <c r="F216" s="250" t="str">
        <f t="shared" ref="F216:F218" si="38">IF(E216="","",D216-E216)</f>
        <v/>
      </c>
    </row>
    <row r="217" spans="1:6" hidden="1" x14ac:dyDescent="0.35">
      <c r="A217" s="253"/>
      <c r="B217" t="str">
        <f>IF($B$49="N/A","","Room and Board Cost Per Day")</f>
        <v>Room and Board Cost Per Day</v>
      </c>
      <c r="D217" s="252" t="str">
        <f>'Adjusted Schedule 3'!P108</f>
        <v/>
      </c>
      <c r="E217" s="252" t="str">
        <f>'As-Filed Schedule 3'!P107</f>
        <v/>
      </c>
      <c r="F217" s="252" t="str">
        <f t="shared" si="38"/>
        <v/>
      </c>
    </row>
    <row r="218" spans="1:6" hidden="1" x14ac:dyDescent="0.35">
      <c r="A218" s="253"/>
      <c r="B218" t="str">
        <f>IF($B$49="N/A","","Services Cost Per Day")</f>
        <v>Services Cost Per Day</v>
      </c>
      <c r="D218" s="252" t="str">
        <f>'Adjusted Schedule 3'!R108</f>
        <v/>
      </c>
      <c r="E218" s="252" t="str">
        <f>'As-Filed Schedule 3'!R107</f>
        <v/>
      </c>
      <c r="F218" s="252" t="str">
        <f t="shared" si="38"/>
        <v/>
      </c>
    </row>
    <row r="219" spans="1:6" hidden="1" x14ac:dyDescent="0.35">
      <c r="A219" s="253"/>
    </row>
    <row r="220" spans="1:6" hidden="1" x14ac:dyDescent="0.35">
      <c r="A220" s="253" t="s">
        <v>540</v>
      </c>
      <c r="B220" s="478">
        <f>'Adjusted Schedule 3'!B113:C113</f>
        <v>0</v>
      </c>
      <c r="C220" s="478"/>
    </row>
    <row r="221" spans="1:6" hidden="1" x14ac:dyDescent="0.35">
      <c r="A221" s="253"/>
      <c r="B221" t="str">
        <f>IF($B$49="N/A","","Census Days")</f>
        <v>Census Days</v>
      </c>
      <c r="D221" s="13">
        <f>'Adjusted Schedule 3'!K113</f>
        <v>0</v>
      </c>
      <c r="E221" s="13">
        <f>'As-Filed Schedule 3'!K112</f>
        <v>0</v>
      </c>
      <c r="F221" s="13">
        <f>D221-E221</f>
        <v>0</v>
      </c>
    </row>
    <row r="222" spans="1:6" hidden="1" x14ac:dyDescent="0.35">
      <c r="A222" s="253"/>
      <c r="B222" t="str">
        <f>IF($B$49="N/A","","Total Expense")</f>
        <v>Total Expense</v>
      </c>
      <c r="D222" s="247">
        <f>'Adjusted Schedule 3'!M113</f>
        <v>0</v>
      </c>
      <c r="E222" s="247">
        <f>'As-Filed Schedule 3'!M112</f>
        <v>0</v>
      </c>
      <c r="F222" s="247">
        <f t="shared" ref="F222:F223" si="39">D222-E222</f>
        <v>0</v>
      </c>
    </row>
    <row r="223" spans="1:6" hidden="1" x14ac:dyDescent="0.35">
      <c r="A223" s="253"/>
      <c r="B223" t="str">
        <f>IF($B$49="N/A","","Room and Board Expense")</f>
        <v>Room and Board Expense</v>
      </c>
      <c r="D223" s="247">
        <f>'Adjusted Schedule 3'!O113</f>
        <v>0</v>
      </c>
      <c r="E223" s="247">
        <f>'As-Filed Schedule 3'!O112</f>
        <v>0</v>
      </c>
      <c r="F223" s="247">
        <f t="shared" si="39"/>
        <v>0</v>
      </c>
    </row>
    <row r="224" spans="1:6" hidden="1" x14ac:dyDescent="0.35">
      <c r="A224" s="253"/>
      <c r="B224" t="str">
        <f>IF($B$49="N/A","","Services Expense")</f>
        <v>Services Expense</v>
      </c>
      <c r="D224" s="254" t="str">
        <f>'Adjusted Schedule 3'!Q113</f>
        <v/>
      </c>
      <c r="E224" s="254" t="str">
        <f>'As-Filed Schedule 3'!Q112</f>
        <v/>
      </c>
      <c r="F224" s="254" t="str">
        <f>IF(E224="","",D224-E224)</f>
        <v/>
      </c>
    </row>
    <row r="225" spans="1:6" s="1" customFormat="1" hidden="1" x14ac:dyDescent="0.35">
      <c r="A225" s="253"/>
      <c r="B225" s="1" t="str">
        <f>IF($B$49="N/A","","Facility Total Cost Per Day")</f>
        <v>Facility Total Cost Per Day</v>
      </c>
      <c r="D225" s="250" t="str">
        <f>'Adjusted Schedule 3'!N113</f>
        <v/>
      </c>
      <c r="E225" s="250" t="str">
        <f>'As-Filed Schedule 3'!N112</f>
        <v/>
      </c>
      <c r="F225" s="250" t="str">
        <f t="shared" ref="F225:F227" si="40">IF(E225="","",D225-E225)</f>
        <v/>
      </c>
    </row>
    <row r="226" spans="1:6" hidden="1" x14ac:dyDescent="0.35">
      <c r="A226" s="253"/>
      <c r="B226" t="str">
        <f>IF($B$49="N/A","","Room and Board Cost Per Day")</f>
        <v>Room and Board Cost Per Day</v>
      </c>
      <c r="D226" s="252" t="str">
        <f>'Adjusted Schedule 3'!P113</f>
        <v/>
      </c>
      <c r="E226" s="252" t="str">
        <f>'As-Filed Schedule 3'!P112</f>
        <v/>
      </c>
      <c r="F226" s="252" t="str">
        <f t="shared" si="40"/>
        <v/>
      </c>
    </row>
    <row r="227" spans="1:6" hidden="1" x14ac:dyDescent="0.35">
      <c r="A227" s="253"/>
      <c r="B227" t="str">
        <f>IF($B$49="N/A","","Services Cost Per Day")</f>
        <v>Services Cost Per Day</v>
      </c>
      <c r="D227" s="252" t="str">
        <f>'Adjusted Schedule 3'!R113</f>
        <v/>
      </c>
      <c r="E227" s="252" t="str">
        <f>'As-Filed Schedule 3'!R112</f>
        <v/>
      </c>
      <c r="F227" s="252" t="str">
        <f t="shared" si="40"/>
        <v/>
      </c>
    </row>
    <row r="228" spans="1:6" hidden="1" x14ac:dyDescent="0.35">
      <c r="A228" s="253"/>
    </row>
    <row r="229" spans="1:6" hidden="1" x14ac:dyDescent="0.35">
      <c r="A229" s="253" t="s">
        <v>541</v>
      </c>
      <c r="B229" s="478">
        <f>'Adjusted Schedule 3'!B118:C118</f>
        <v>0</v>
      </c>
      <c r="C229" s="478"/>
    </row>
    <row r="230" spans="1:6" hidden="1" x14ac:dyDescent="0.35">
      <c r="A230" s="253"/>
      <c r="B230" t="str">
        <f>IF($B$49="N/A","","Census Days")</f>
        <v>Census Days</v>
      </c>
      <c r="D230" s="13">
        <f>'Adjusted Schedule 3'!K118</f>
        <v>0</v>
      </c>
      <c r="E230" s="13">
        <f>'As-Filed Schedule 3'!K117</f>
        <v>0</v>
      </c>
      <c r="F230" s="13">
        <f>D230-E230</f>
        <v>0</v>
      </c>
    </row>
    <row r="231" spans="1:6" hidden="1" x14ac:dyDescent="0.35">
      <c r="A231" s="253"/>
      <c r="B231" t="str">
        <f>IF($B$49="N/A","","Total Expense")</f>
        <v>Total Expense</v>
      </c>
      <c r="D231" s="247">
        <f>'Adjusted Schedule 3'!M118</f>
        <v>0</v>
      </c>
      <c r="E231" s="247">
        <f>'As-Filed Schedule 3'!M117</f>
        <v>0</v>
      </c>
      <c r="F231" s="247">
        <f t="shared" ref="F231:F232" si="41">D231-E231</f>
        <v>0</v>
      </c>
    </row>
    <row r="232" spans="1:6" hidden="1" x14ac:dyDescent="0.35">
      <c r="A232" s="253"/>
      <c r="B232" t="str">
        <f>IF($B$49="N/A","","Room and Board Expense")</f>
        <v>Room and Board Expense</v>
      </c>
      <c r="D232" s="247">
        <f>'Adjusted Schedule 3'!O118</f>
        <v>0</v>
      </c>
      <c r="E232" s="247">
        <f>'As-Filed Schedule 3'!O117</f>
        <v>0</v>
      </c>
      <c r="F232" s="247">
        <f t="shared" si="41"/>
        <v>0</v>
      </c>
    </row>
    <row r="233" spans="1:6" hidden="1" x14ac:dyDescent="0.35">
      <c r="A233" s="253"/>
      <c r="B233" t="str">
        <f>IF($B$49="N/A","","Services Expense")</f>
        <v>Services Expense</v>
      </c>
      <c r="D233" s="254" t="str">
        <f>'Adjusted Schedule 3'!Q118</f>
        <v/>
      </c>
      <c r="E233" s="254" t="str">
        <f>'As-Filed Schedule 3'!Q117</f>
        <v/>
      </c>
      <c r="F233" s="254" t="str">
        <f>IF(E233="","",D233-E233)</f>
        <v/>
      </c>
    </row>
    <row r="234" spans="1:6" s="1" customFormat="1" hidden="1" x14ac:dyDescent="0.35">
      <c r="A234" s="253"/>
      <c r="B234" s="1" t="str">
        <f>IF($B$49="N/A","","Facility Total Cost Per Day")</f>
        <v>Facility Total Cost Per Day</v>
      </c>
      <c r="D234" s="250" t="str">
        <f>'Adjusted Schedule 3'!N118</f>
        <v/>
      </c>
      <c r="E234" s="250" t="str">
        <f>'As-Filed Schedule 3'!N117</f>
        <v/>
      </c>
      <c r="F234" s="250" t="str">
        <f t="shared" ref="F234:F236" si="42">IF(E234="","",D234-E234)</f>
        <v/>
      </c>
    </row>
    <row r="235" spans="1:6" hidden="1" x14ac:dyDescent="0.35">
      <c r="A235" s="253"/>
      <c r="B235" t="str">
        <f>IF($B$49="N/A","","Room and Board Cost Per Day")</f>
        <v>Room and Board Cost Per Day</v>
      </c>
      <c r="D235" s="252" t="str">
        <f>'Adjusted Schedule 3'!P118</f>
        <v/>
      </c>
      <c r="E235" s="252" t="str">
        <f>'As-Filed Schedule 3'!P117</f>
        <v/>
      </c>
      <c r="F235" s="252" t="str">
        <f t="shared" si="42"/>
        <v/>
      </c>
    </row>
    <row r="236" spans="1:6" hidden="1" x14ac:dyDescent="0.35">
      <c r="A236" s="253"/>
      <c r="B236" t="str">
        <f>IF($B$49="N/A","","Services Cost Per Day")</f>
        <v>Services Cost Per Day</v>
      </c>
      <c r="D236" s="252" t="str">
        <f>'Adjusted Schedule 3'!R118</f>
        <v/>
      </c>
      <c r="E236" s="252" t="str">
        <f>'As-Filed Schedule 3'!R117</f>
        <v/>
      </c>
      <c r="F236" s="252" t="str">
        <f t="shared" si="42"/>
        <v/>
      </c>
    </row>
    <row r="237" spans="1:6" hidden="1" x14ac:dyDescent="0.35">
      <c r="A237" s="253"/>
    </row>
    <row r="238" spans="1:6" hidden="1" x14ac:dyDescent="0.35">
      <c r="A238" s="253" t="s">
        <v>542</v>
      </c>
      <c r="B238" s="478">
        <f>'Adjusted Schedule 3'!B123:C123</f>
        <v>0</v>
      </c>
      <c r="C238" s="478"/>
    </row>
    <row r="239" spans="1:6" hidden="1" x14ac:dyDescent="0.35">
      <c r="A239" s="253"/>
      <c r="B239" t="str">
        <f>IF($B$49="N/A","","Census Days")</f>
        <v>Census Days</v>
      </c>
      <c r="D239" s="13">
        <f>'Adjusted Schedule 3'!K123</f>
        <v>0</v>
      </c>
      <c r="E239" s="13">
        <f>'As-Filed Schedule 3'!K122</f>
        <v>0</v>
      </c>
      <c r="F239" s="13">
        <f>D239-E239</f>
        <v>0</v>
      </c>
    </row>
    <row r="240" spans="1:6" hidden="1" x14ac:dyDescent="0.35">
      <c r="A240" s="253"/>
      <c r="B240" t="str">
        <f>IF($B$49="N/A","","Total Expense")</f>
        <v>Total Expense</v>
      </c>
      <c r="D240" s="247">
        <f>'Adjusted Schedule 3'!M123</f>
        <v>0</v>
      </c>
      <c r="E240" s="247">
        <f>'As-Filed Schedule 3'!M122</f>
        <v>0</v>
      </c>
      <c r="F240" s="247">
        <f t="shared" ref="F240:F241" si="43">D240-E240</f>
        <v>0</v>
      </c>
    </row>
    <row r="241" spans="1:6" hidden="1" x14ac:dyDescent="0.35">
      <c r="A241" s="253"/>
      <c r="B241" t="str">
        <f>IF($B$49="N/A","","Room and Board Expense")</f>
        <v>Room and Board Expense</v>
      </c>
      <c r="D241" s="247">
        <f>'Adjusted Schedule 3'!O123</f>
        <v>0</v>
      </c>
      <c r="E241" s="247">
        <f>'As-Filed Schedule 3'!O122</f>
        <v>0</v>
      </c>
      <c r="F241" s="247">
        <f t="shared" si="43"/>
        <v>0</v>
      </c>
    </row>
    <row r="242" spans="1:6" hidden="1" x14ac:dyDescent="0.35">
      <c r="A242" s="253"/>
      <c r="B242" t="str">
        <f>IF($B$49="N/A","","Services Expense")</f>
        <v>Services Expense</v>
      </c>
      <c r="D242" s="254" t="str">
        <f>'Adjusted Schedule 3'!Q123</f>
        <v/>
      </c>
      <c r="E242" s="254" t="str">
        <f>'As-Filed Schedule 3'!Q122</f>
        <v/>
      </c>
      <c r="F242" s="254" t="str">
        <f>IF(E242="","",D242-E242)</f>
        <v/>
      </c>
    </row>
    <row r="243" spans="1:6" s="1" customFormat="1" hidden="1" x14ac:dyDescent="0.35">
      <c r="A243" s="253"/>
      <c r="B243" s="1" t="str">
        <f>IF($B$49="N/A","","Facility Total Cost Per Day")</f>
        <v>Facility Total Cost Per Day</v>
      </c>
      <c r="D243" s="250" t="str">
        <f>'Adjusted Schedule 3'!N123</f>
        <v/>
      </c>
      <c r="E243" s="250" t="str">
        <f>'As-Filed Schedule 3'!N122</f>
        <v/>
      </c>
      <c r="F243" s="250" t="str">
        <f t="shared" ref="F243:F245" si="44">IF(E243="","",D243-E243)</f>
        <v/>
      </c>
    </row>
    <row r="244" spans="1:6" hidden="1" x14ac:dyDescent="0.35">
      <c r="A244" s="253"/>
      <c r="B244" t="str">
        <f>IF($B$49="N/A","","Room and Board Cost Per Day")</f>
        <v>Room and Board Cost Per Day</v>
      </c>
      <c r="D244" s="252" t="str">
        <f>'Adjusted Schedule 3'!P123</f>
        <v/>
      </c>
      <c r="E244" s="252" t="str">
        <f>'As-Filed Schedule 3'!P122</f>
        <v/>
      </c>
      <c r="F244" s="252" t="str">
        <f t="shared" si="44"/>
        <v/>
      </c>
    </row>
    <row r="245" spans="1:6" hidden="1" x14ac:dyDescent="0.35">
      <c r="A245" s="253"/>
      <c r="B245" t="str">
        <f>IF($B$49="N/A","","Services Cost Per Day")</f>
        <v>Services Cost Per Day</v>
      </c>
      <c r="D245" s="252" t="str">
        <f>'Adjusted Schedule 3'!R123</f>
        <v/>
      </c>
      <c r="E245" s="252" t="str">
        <f>'As-Filed Schedule 3'!R122</f>
        <v/>
      </c>
      <c r="F245" s="252" t="str">
        <f t="shared" si="44"/>
        <v/>
      </c>
    </row>
    <row r="246" spans="1:6" hidden="1" x14ac:dyDescent="0.35">
      <c r="A246" s="253"/>
    </row>
    <row r="247" spans="1:6" hidden="1" x14ac:dyDescent="0.35">
      <c r="A247" s="253" t="s">
        <v>543</v>
      </c>
      <c r="B247" s="478">
        <f>'Adjusted Schedule 3'!B128:C128</f>
        <v>0</v>
      </c>
      <c r="C247" s="478"/>
    </row>
    <row r="248" spans="1:6" hidden="1" x14ac:dyDescent="0.35">
      <c r="A248" s="253"/>
      <c r="B248" t="str">
        <f>IF($B$49="N/A","","Census Days")</f>
        <v>Census Days</v>
      </c>
      <c r="D248" s="13">
        <f>'Adjusted Schedule 3'!K128</f>
        <v>0</v>
      </c>
      <c r="E248" s="13">
        <f>'As-Filed Schedule 3'!K127</f>
        <v>0</v>
      </c>
      <c r="F248" s="13">
        <f>D248-E248</f>
        <v>0</v>
      </c>
    </row>
    <row r="249" spans="1:6" hidden="1" x14ac:dyDescent="0.35">
      <c r="A249" s="253"/>
      <c r="B249" t="str">
        <f>IF($B$49="N/A","","Total Expense")</f>
        <v>Total Expense</v>
      </c>
      <c r="D249" s="247">
        <f>'Adjusted Schedule 3'!M128</f>
        <v>0</v>
      </c>
      <c r="E249" s="247">
        <f>'As-Filed Schedule 3'!M127</f>
        <v>0</v>
      </c>
      <c r="F249" s="247">
        <f t="shared" ref="F249:F250" si="45">D249-E249</f>
        <v>0</v>
      </c>
    </row>
    <row r="250" spans="1:6" hidden="1" x14ac:dyDescent="0.35">
      <c r="A250" s="253"/>
      <c r="B250" t="str">
        <f>IF($B$49="N/A","","Room and Board Expense")</f>
        <v>Room and Board Expense</v>
      </c>
      <c r="D250" s="247">
        <f>'Adjusted Schedule 3'!O128</f>
        <v>0</v>
      </c>
      <c r="E250" s="247">
        <f>'As-Filed Schedule 3'!O127</f>
        <v>0</v>
      </c>
      <c r="F250" s="247">
        <f t="shared" si="45"/>
        <v>0</v>
      </c>
    </row>
    <row r="251" spans="1:6" hidden="1" x14ac:dyDescent="0.35">
      <c r="A251" s="253"/>
      <c r="B251" t="str">
        <f>IF($B$49="N/A","","Services Expense")</f>
        <v>Services Expense</v>
      </c>
      <c r="D251" s="254" t="str">
        <f>'Adjusted Schedule 3'!Q128</f>
        <v/>
      </c>
      <c r="E251" s="254" t="str">
        <f>'As-Filed Schedule 3'!Q127</f>
        <v/>
      </c>
      <c r="F251" s="254" t="str">
        <f>IF(E251="","",D251-E251)</f>
        <v/>
      </c>
    </row>
    <row r="252" spans="1:6" s="1" customFormat="1" hidden="1" x14ac:dyDescent="0.35">
      <c r="A252" s="253"/>
      <c r="B252" s="1" t="str">
        <f>IF($B$49="N/A","","Facility Total Cost Per Day")</f>
        <v>Facility Total Cost Per Day</v>
      </c>
      <c r="D252" s="250" t="str">
        <f>'Adjusted Schedule 3'!N128</f>
        <v/>
      </c>
      <c r="E252" s="250" t="str">
        <f>'As-Filed Schedule 3'!N127</f>
        <v/>
      </c>
      <c r="F252" s="250" t="str">
        <f t="shared" ref="F252:F254" si="46">IF(E252="","",D252-E252)</f>
        <v/>
      </c>
    </row>
    <row r="253" spans="1:6" hidden="1" x14ac:dyDescent="0.35">
      <c r="A253" s="253"/>
      <c r="B253" t="str">
        <f>IF($B$49="N/A","","Room and Board Cost Per Day")</f>
        <v>Room and Board Cost Per Day</v>
      </c>
      <c r="D253" s="252" t="str">
        <f>'Adjusted Schedule 3'!P128</f>
        <v/>
      </c>
      <c r="E253" s="252" t="str">
        <f>'As-Filed Schedule 3'!P127</f>
        <v/>
      </c>
      <c r="F253" s="252" t="str">
        <f t="shared" si="46"/>
        <v/>
      </c>
    </row>
    <row r="254" spans="1:6" hidden="1" x14ac:dyDescent="0.35">
      <c r="A254" s="253"/>
      <c r="B254" t="str">
        <f>IF($B$49="N/A","","Services Cost Per Day")</f>
        <v>Services Cost Per Day</v>
      </c>
      <c r="D254" s="252" t="str">
        <f>'Adjusted Schedule 3'!R128</f>
        <v/>
      </c>
      <c r="E254" s="252" t="str">
        <f>'As-Filed Schedule 3'!R127</f>
        <v/>
      </c>
      <c r="F254" s="252" t="str">
        <f t="shared" si="46"/>
        <v/>
      </c>
    </row>
    <row r="255" spans="1:6" hidden="1" x14ac:dyDescent="0.35">
      <c r="A255" s="253"/>
    </row>
    <row r="256" spans="1:6" hidden="1" x14ac:dyDescent="0.35">
      <c r="A256" s="253" t="s">
        <v>544</v>
      </c>
      <c r="B256" s="478">
        <f>'Adjusted Schedule 3'!B133:C133</f>
        <v>0</v>
      </c>
      <c r="C256" s="478"/>
    </row>
    <row r="257" spans="1:6" hidden="1" x14ac:dyDescent="0.35">
      <c r="A257" s="253"/>
      <c r="B257" t="str">
        <f>IF($B$49="N/A","","Census Days")</f>
        <v>Census Days</v>
      </c>
      <c r="D257" s="13">
        <f>'Adjusted Schedule 3'!K133</f>
        <v>0</v>
      </c>
      <c r="E257" s="13">
        <f>'As-Filed Schedule 3'!K132</f>
        <v>0</v>
      </c>
      <c r="F257" s="13">
        <f>D257-E257</f>
        <v>0</v>
      </c>
    </row>
    <row r="258" spans="1:6" hidden="1" x14ac:dyDescent="0.35">
      <c r="A258" s="253"/>
      <c r="B258" t="str">
        <f>IF($B$49="N/A","","Total Expense")</f>
        <v>Total Expense</v>
      </c>
      <c r="D258" s="247">
        <f>'Adjusted Schedule 3'!M133</f>
        <v>0</v>
      </c>
      <c r="E258" s="247">
        <f>'As-Filed Schedule 3'!M132</f>
        <v>0</v>
      </c>
      <c r="F258" s="247">
        <f t="shared" ref="F258:F259" si="47">D258-E258</f>
        <v>0</v>
      </c>
    </row>
    <row r="259" spans="1:6" hidden="1" x14ac:dyDescent="0.35">
      <c r="A259" s="253"/>
      <c r="B259" t="str">
        <f>IF($B$49="N/A","","Room and Board Expense")</f>
        <v>Room and Board Expense</v>
      </c>
      <c r="D259" s="247">
        <f>'Adjusted Schedule 3'!O133</f>
        <v>0</v>
      </c>
      <c r="E259" s="247">
        <f>'As-Filed Schedule 3'!O132</f>
        <v>0</v>
      </c>
      <c r="F259" s="247">
        <f t="shared" si="47"/>
        <v>0</v>
      </c>
    </row>
    <row r="260" spans="1:6" hidden="1" x14ac:dyDescent="0.35">
      <c r="A260" s="253"/>
      <c r="B260" t="str">
        <f>IF($B$49="N/A","","Services Expense")</f>
        <v>Services Expense</v>
      </c>
      <c r="D260" s="254" t="str">
        <f>'Adjusted Schedule 3'!Q133</f>
        <v/>
      </c>
      <c r="E260" s="254" t="str">
        <f>'As-Filed Schedule 3'!Q132</f>
        <v/>
      </c>
      <c r="F260" s="254" t="str">
        <f>IF(E260="","",D260-E260)</f>
        <v/>
      </c>
    </row>
    <row r="261" spans="1:6" s="1" customFormat="1" hidden="1" x14ac:dyDescent="0.35">
      <c r="A261" s="253"/>
      <c r="B261" s="1" t="str">
        <f>IF($B$49="N/A","","Facility Total Cost Per Day")</f>
        <v>Facility Total Cost Per Day</v>
      </c>
      <c r="D261" s="250" t="str">
        <f>'Adjusted Schedule 3'!N133</f>
        <v/>
      </c>
      <c r="E261" s="250" t="str">
        <f>'As-Filed Schedule 3'!N132</f>
        <v/>
      </c>
      <c r="F261" s="250" t="str">
        <f t="shared" ref="F261:F263" si="48">IF(E261="","",D261-E261)</f>
        <v/>
      </c>
    </row>
    <row r="262" spans="1:6" hidden="1" x14ac:dyDescent="0.35">
      <c r="A262" s="253"/>
      <c r="B262" t="str">
        <f>IF($B$49="N/A","","Room and Board Cost Per Day")</f>
        <v>Room and Board Cost Per Day</v>
      </c>
      <c r="D262" s="252" t="str">
        <f>'Adjusted Schedule 3'!P133</f>
        <v/>
      </c>
      <c r="E262" s="252" t="str">
        <f>'As-Filed Schedule 3'!P132</f>
        <v/>
      </c>
      <c r="F262" s="252" t="str">
        <f t="shared" si="48"/>
        <v/>
      </c>
    </row>
    <row r="263" spans="1:6" hidden="1" x14ac:dyDescent="0.35">
      <c r="A263" s="253"/>
      <c r="B263" t="str">
        <f>IF($B$49="N/A","","Services Cost Per Day")</f>
        <v>Services Cost Per Day</v>
      </c>
      <c r="D263" s="252" t="str">
        <f>'Adjusted Schedule 3'!R133</f>
        <v/>
      </c>
      <c r="E263" s="252" t="str">
        <f>'As-Filed Schedule 3'!R132</f>
        <v/>
      </c>
      <c r="F263" s="252" t="str">
        <f t="shared" si="48"/>
        <v/>
      </c>
    </row>
    <row r="264" spans="1:6" hidden="1" x14ac:dyDescent="0.35">
      <c r="A264" s="253"/>
    </row>
    <row r="265" spans="1:6" hidden="1" x14ac:dyDescent="0.35">
      <c r="A265" s="253" t="s">
        <v>545</v>
      </c>
      <c r="B265" s="478">
        <f>'Adjusted Schedule 3'!B138:C138</f>
        <v>0</v>
      </c>
      <c r="C265" s="478"/>
    </row>
    <row r="266" spans="1:6" hidden="1" x14ac:dyDescent="0.35">
      <c r="A266" s="253"/>
      <c r="B266" t="str">
        <f>IF($B$49="N/A","","Census Days")</f>
        <v>Census Days</v>
      </c>
      <c r="D266" s="13">
        <f>'Adjusted Schedule 3'!K138</f>
        <v>0</v>
      </c>
      <c r="E266" s="13">
        <f>'As-Filed Schedule 3'!K137</f>
        <v>0</v>
      </c>
      <c r="F266" s="13">
        <f>D266-E266</f>
        <v>0</v>
      </c>
    </row>
    <row r="267" spans="1:6" hidden="1" x14ac:dyDescent="0.35">
      <c r="A267" s="253"/>
      <c r="B267" t="str">
        <f>IF($B$49="N/A","","Total Expense")</f>
        <v>Total Expense</v>
      </c>
      <c r="D267" s="247">
        <f>'Adjusted Schedule 3'!M138</f>
        <v>0</v>
      </c>
      <c r="E267" s="247">
        <f>'As-Filed Schedule 3'!M137</f>
        <v>0</v>
      </c>
      <c r="F267" s="247">
        <f t="shared" ref="F267:F268" si="49">D267-E267</f>
        <v>0</v>
      </c>
    </row>
    <row r="268" spans="1:6" hidden="1" x14ac:dyDescent="0.35">
      <c r="A268" s="253"/>
      <c r="B268" t="str">
        <f>IF($B$49="N/A","","Room and Board Expense")</f>
        <v>Room and Board Expense</v>
      </c>
      <c r="D268" s="247">
        <f>'Adjusted Schedule 3'!O138</f>
        <v>0</v>
      </c>
      <c r="E268" s="247">
        <f>'As-Filed Schedule 3'!O137</f>
        <v>0</v>
      </c>
      <c r="F268" s="247">
        <f t="shared" si="49"/>
        <v>0</v>
      </c>
    </row>
    <row r="269" spans="1:6" hidden="1" x14ac:dyDescent="0.35">
      <c r="A269" s="253"/>
      <c r="B269" t="str">
        <f>IF($B$49="N/A","","Services Expense")</f>
        <v>Services Expense</v>
      </c>
      <c r="D269" s="254" t="str">
        <f>'Adjusted Schedule 3'!Q138</f>
        <v/>
      </c>
      <c r="E269" s="254" t="str">
        <f>'As-Filed Schedule 3'!Q137</f>
        <v/>
      </c>
      <c r="F269" s="254" t="str">
        <f>IF(E269="","",D269-E269)</f>
        <v/>
      </c>
    </row>
    <row r="270" spans="1:6" s="1" customFormat="1" hidden="1" x14ac:dyDescent="0.35">
      <c r="A270" s="253"/>
      <c r="B270" s="1" t="str">
        <f>IF($B$49="N/A","","Facility Total Cost Per Day")</f>
        <v>Facility Total Cost Per Day</v>
      </c>
      <c r="D270" s="250" t="str">
        <f>'Adjusted Schedule 3'!N138</f>
        <v/>
      </c>
      <c r="E270" s="250" t="str">
        <f>'As-Filed Schedule 3'!N137</f>
        <v/>
      </c>
      <c r="F270" s="250" t="str">
        <f t="shared" ref="F270:F272" si="50">IF(E270="","",D270-E270)</f>
        <v/>
      </c>
    </row>
    <row r="271" spans="1:6" hidden="1" x14ac:dyDescent="0.35">
      <c r="A271" s="253"/>
      <c r="B271" t="str">
        <f>IF($B$49="N/A","","Room and Board Cost Per Day")</f>
        <v>Room and Board Cost Per Day</v>
      </c>
      <c r="D271" s="252" t="str">
        <f>'Adjusted Schedule 3'!P138</f>
        <v/>
      </c>
      <c r="E271" s="252" t="str">
        <f>'As-Filed Schedule 3'!P137</f>
        <v/>
      </c>
      <c r="F271" s="252" t="str">
        <f t="shared" si="50"/>
        <v/>
      </c>
    </row>
    <row r="272" spans="1:6" hidden="1" x14ac:dyDescent="0.35">
      <c r="A272" s="253"/>
      <c r="B272" t="str">
        <f>IF($B$49="N/A","","Services Cost Per Day")</f>
        <v>Services Cost Per Day</v>
      </c>
      <c r="D272" s="252" t="str">
        <f>'Adjusted Schedule 3'!R138</f>
        <v/>
      </c>
      <c r="E272" s="252" t="str">
        <f>'As-Filed Schedule 3'!R137</f>
        <v/>
      </c>
      <c r="F272" s="252" t="str">
        <f t="shared" si="50"/>
        <v/>
      </c>
    </row>
    <row r="273" spans="1:6" hidden="1" x14ac:dyDescent="0.35">
      <c r="A273" s="253"/>
    </row>
    <row r="274" spans="1:6" hidden="1" x14ac:dyDescent="0.35">
      <c r="A274" s="253" t="s">
        <v>546</v>
      </c>
      <c r="B274" s="478">
        <f>'Adjusted Schedule 3'!B143:C143</f>
        <v>0</v>
      </c>
      <c r="C274" s="478"/>
    </row>
    <row r="275" spans="1:6" hidden="1" x14ac:dyDescent="0.35">
      <c r="A275" s="253"/>
      <c r="B275" t="str">
        <f>IF($B$49="N/A","","Census Days")</f>
        <v>Census Days</v>
      </c>
      <c r="D275" s="13">
        <f>'Adjusted Schedule 3'!K143</f>
        <v>0</v>
      </c>
      <c r="E275" s="13">
        <f>'As-Filed Schedule 3'!K142</f>
        <v>0</v>
      </c>
      <c r="F275" s="13">
        <f>D275-E275</f>
        <v>0</v>
      </c>
    </row>
    <row r="276" spans="1:6" hidden="1" x14ac:dyDescent="0.35">
      <c r="A276" s="253"/>
      <c r="B276" t="str">
        <f>IF($B$49="N/A","","Total Expense")</f>
        <v>Total Expense</v>
      </c>
      <c r="D276" s="247">
        <f>'Adjusted Schedule 3'!M143</f>
        <v>0</v>
      </c>
      <c r="E276" s="247">
        <f>'As-Filed Schedule 3'!M142</f>
        <v>0</v>
      </c>
      <c r="F276" s="247">
        <f t="shared" ref="F276:F277" si="51">D276-E276</f>
        <v>0</v>
      </c>
    </row>
    <row r="277" spans="1:6" hidden="1" x14ac:dyDescent="0.35">
      <c r="A277" s="253"/>
      <c r="B277" t="str">
        <f>IF($B$49="N/A","","Room and Board Expense")</f>
        <v>Room and Board Expense</v>
      </c>
      <c r="D277" s="247">
        <f>'Adjusted Schedule 3'!O143</f>
        <v>0</v>
      </c>
      <c r="E277" s="247">
        <f>'As-Filed Schedule 3'!O142</f>
        <v>0</v>
      </c>
      <c r="F277" s="247">
        <f t="shared" si="51"/>
        <v>0</v>
      </c>
    </row>
    <row r="278" spans="1:6" hidden="1" x14ac:dyDescent="0.35">
      <c r="A278" s="253"/>
      <c r="B278" t="str">
        <f>IF($B$49="N/A","","Services Expense")</f>
        <v>Services Expense</v>
      </c>
      <c r="D278" s="254" t="str">
        <f>'Adjusted Schedule 3'!Q143</f>
        <v/>
      </c>
      <c r="E278" s="254" t="str">
        <f>'As-Filed Schedule 3'!Q142</f>
        <v/>
      </c>
      <c r="F278" s="254" t="str">
        <f>IF(E278="","",D278-E278)</f>
        <v/>
      </c>
    </row>
    <row r="279" spans="1:6" s="1" customFormat="1" hidden="1" x14ac:dyDescent="0.35">
      <c r="A279" s="253"/>
      <c r="B279" s="1" t="str">
        <f>IF($B$49="N/A","","Facility Total Cost Per Day")</f>
        <v>Facility Total Cost Per Day</v>
      </c>
      <c r="D279" s="250" t="str">
        <f>'Adjusted Schedule 3'!N143</f>
        <v/>
      </c>
      <c r="E279" s="250" t="str">
        <f>'As-Filed Schedule 3'!N142</f>
        <v/>
      </c>
      <c r="F279" s="250" t="str">
        <f t="shared" ref="F279:F281" si="52">IF(E279="","",D279-E279)</f>
        <v/>
      </c>
    </row>
    <row r="280" spans="1:6" hidden="1" x14ac:dyDescent="0.35">
      <c r="A280" s="253"/>
      <c r="B280" t="str">
        <f>IF($B$49="N/A","","Room and Board Cost Per Day")</f>
        <v>Room and Board Cost Per Day</v>
      </c>
      <c r="D280" s="252" t="str">
        <f>'Adjusted Schedule 3'!P143</f>
        <v/>
      </c>
      <c r="E280" s="252" t="str">
        <f>'As-Filed Schedule 3'!P142</f>
        <v/>
      </c>
      <c r="F280" s="252" t="str">
        <f t="shared" si="52"/>
        <v/>
      </c>
    </row>
    <row r="281" spans="1:6" hidden="1" x14ac:dyDescent="0.35">
      <c r="A281" s="253"/>
      <c r="B281" t="str">
        <f>IF($B$49="N/A","","Services Cost Per Day")</f>
        <v>Services Cost Per Day</v>
      </c>
      <c r="D281" s="252" t="str">
        <f>'Adjusted Schedule 3'!R143</f>
        <v/>
      </c>
      <c r="E281" s="252" t="str">
        <f>'As-Filed Schedule 3'!R142</f>
        <v/>
      </c>
      <c r="F281" s="252" t="str">
        <f t="shared" si="52"/>
        <v/>
      </c>
    </row>
    <row r="282" spans="1:6" hidden="1" x14ac:dyDescent="0.35">
      <c r="A282" s="253"/>
    </row>
    <row r="283" spans="1:6" hidden="1" x14ac:dyDescent="0.35">
      <c r="A283" s="253" t="s">
        <v>547</v>
      </c>
      <c r="B283" s="478">
        <f>'Adjusted Schedule 3'!B148:C148</f>
        <v>0</v>
      </c>
      <c r="C283" s="478"/>
    </row>
    <row r="284" spans="1:6" hidden="1" x14ac:dyDescent="0.35">
      <c r="A284" s="253"/>
      <c r="B284" t="str">
        <f>IF($B$49="N/A","","Census Days")</f>
        <v>Census Days</v>
      </c>
      <c r="D284" s="13">
        <f>'Adjusted Schedule 3'!K148</f>
        <v>0</v>
      </c>
      <c r="E284" s="13">
        <f>'As-Filed Schedule 3'!K147</f>
        <v>0</v>
      </c>
      <c r="F284" s="13">
        <f>D284-E284</f>
        <v>0</v>
      </c>
    </row>
    <row r="285" spans="1:6" hidden="1" x14ac:dyDescent="0.35">
      <c r="A285" s="253"/>
      <c r="B285" t="str">
        <f>IF($B$49="N/A","","Total Expense")</f>
        <v>Total Expense</v>
      </c>
      <c r="D285" s="247">
        <f>'Adjusted Schedule 3'!M148</f>
        <v>0</v>
      </c>
      <c r="E285" s="247">
        <f>'As-Filed Schedule 3'!M147</f>
        <v>0</v>
      </c>
      <c r="F285" s="247">
        <f t="shared" ref="F285:F286" si="53">D285-E285</f>
        <v>0</v>
      </c>
    </row>
    <row r="286" spans="1:6" hidden="1" x14ac:dyDescent="0.35">
      <c r="A286" s="253"/>
      <c r="B286" t="str">
        <f>IF($B$49="N/A","","Room and Board Expense")</f>
        <v>Room and Board Expense</v>
      </c>
      <c r="D286" s="247">
        <f>'Adjusted Schedule 3'!O148</f>
        <v>0</v>
      </c>
      <c r="E286" s="247">
        <f>'As-Filed Schedule 3'!O147</f>
        <v>0</v>
      </c>
      <c r="F286" s="247">
        <f t="shared" si="53"/>
        <v>0</v>
      </c>
    </row>
    <row r="287" spans="1:6" hidden="1" x14ac:dyDescent="0.35">
      <c r="A287" s="253"/>
      <c r="B287" t="str">
        <f>IF($B$49="N/A","","Services Expense")</f>
        <v>Services Expense</v>
      </c>
      <c r="D287" s="254" t="str">
        <f>'Adjusted Schedule 3'!Q148</f>
        <v/>
      </c>
      <c r="E287" s="254" t="str">
        <f>'As-Filed Schedule 3'!Q147</f>
        <v/>
      </c>
      <c r="F287" s="254" t="str">
        <f>IF(E287="","",D287-E287)</f>
        <v/>
      </c>
    </row>
    <row r="288" spans="1:6" s="1" customFormat="1" hidden="1" x14ac:dyDescent="0.35">
      <c r="A288" s="253"/>
      <c r="B288" s="1" t="str">
        <f>IF($B$49="N/A","","Facility Total Cost Per Day")</f>
        <v>Facility Total Cost Per Day</v>
      </c>
      <c r="D288" s="250" t="str">
        <f>'Adjusted Schedule 3'!N148</f>
        <v/>
      </c>
      <c r="E288" s="250" t="str">
        <f>'As-Filed Schedule 3'!N147</f>
        <v/>
      </c>
      <c r="F288" s="250" t="str">
        <f t="shared" ref="F288:F290" si="54">IF(E288="","",D288-E288)</f>
        <v/>
      </c>
    </row>
    <row r="289" spans="1:6" hidden="1" x14ac:dyDescent="0.35">
      <c r="A289" s="253"/>
      <c r="B289" t="str">
        <f>IF($B$49="N/A","","Room and Board Cost Per Day")</f>
        <v>Room and Board Cost Per Day</v>
      </c>
      <c r="D289" s="252" t="str">
        <f>'Adjusted Schedule 3'!P148</f>
        <v/>
      </c>
      <c r="E289" s="252" t="str">
        <f>'As-Filed Schedule 3'!P147</f>
        <v/>
      </c>
      <c r="F289" s="252" t="str">
        <f t="shared" si="54"/>
        <v/>
      </c>
    </row>
    <row r="290" spans="1:6" hidden="1" x14ac:dyDescent="0.35">
      <c r="A290" s="253"/>
      <c r="B290" t="str">
        <f>IF($B$49="N/A","","Services Cost Per Day")</f>
        <v>Services Cost Per Day</v>
      </c>
      <c r="D290" s="252" t="str">
        <f>'Adjusted Schedule 3'!R148</f>
        <v/>
      </c>
      <c r="E290" s="252" t="str">
        <f>'As-Filed Schedule 3'!R147</f>
        <v/>
      </c>
      <c r="F290" s="252" t="str">
        <f t="shared" si="54"/>
        <v/>
      </c>
    </row>
    <row r="291" spans="1:6" hidden="1" x14ac:dyDescent="0.35">
      <c r="A291" s="253"/>
    </row>
    <row r="292" spans="1:6" hidden="1" x14ac:dyDescent="0.35">
      <c r="A292" s="253" t="s">
        <v>548</v>
      </c>
      <c r="B292" s="478">
        <f>'Adjusted Schedule 3'!B153:C153</f>
        <v>0</v>
      </c>
      <c r="C292" s="478"/>
    </row>
    <row r="293" spans="1:6" hidden="1" x14ac:dyDescent="0.35">
      <c r="A293" s="253"/>
      <c r="B293" t="str">
        <f>IF($B$49="N/A","","Census Days")</f>
        <v>Census Days</v>
      </c>
      <c r="D293" s="13">
        <f>'Adjusted Schedule 3'!K153</f>
        <v>0</v>
      </c>
      <c r="E293" s="13">
        <f>'As-Filed Schedule 3'!K152</f>
        <v>0</v>
      </c>
      <c r="F293" s="13">
        <f>D293-E293</f>
        <v>0</v>
      </c>
    </row>
    <row r="294" spans="1:6" hidden="1" x14ac:dyDescent="0.35">
      <c r="A294" s="253"/>
      <c r="B294" t="str">
        <f>IF($B$49="N/A","","Total Expense")</f>
        <v>Total Expense</v>
      </c>
      <c r="D294" s="247">
        <f>'Adjusted Schedule 3'!M153</f>
        <v>0</v>
      </c>
      <c r="E294" s="247">
        <f>'As-Filed Schedule 3'!M152</f>
        <v>0</v>
      </c>
      <c r="F294" s="247">
        <f t="shared" ref="F294:F295" si="55">D294-E294</f>
        <v>0</v>
      </c>
    </row>
    <row r="295" spans="1:6" hidden="1" x14ac:dyDescent="0.35">
      <c r="A295" s="253"/>
      <c r="B295" t="str">
        <f>IF($B$49="N/A","","Room and Board Expense")</f>
        <v>Room and Board Expense</v>
      </c>
      <c r="D295" s="247">
        <f>'Adjusted Schedule 3'!O153</f>
        <v>0</v>
      </c>
      <c r="E295" s="247">
        <f>'As-Filed Schedule 3'!O152</f>
        <v>0</v>
      </c>
      <c r="F295" s="247">
        <f t="shared" si="55"/>
        <v>0</v>
      </c>
    </row>
    <row r="296" spans="1:6" hidden="1" x14ac:dyDescent="0.35">
      <c r="A296" s="253"/>
      <c r="B296" t="str">
        <f>IF($B$49="N/A","","Services Expense")</f>
        <v>Services Expense</v>
      </c>
      <c r="D296" s="254" t="str">
        <f>'Adjusted Schedule 3'!Q153</f>
        <v/>
      </c>
      <c r="E296" s="254" t="str">
        <f>'As-Filed Schedule 3'!Q152</f>
        <v/>
      </c>
      <c r="F296" s="254" t="str">
        <f>IF(E296="","",D296-E296)</f>
        <v/>
      </c>
    </row>
    <row r="297" spans="1:6" s="1" customFormat="1" hidden="1" x14ac:dyDescent="0.35">
      <c r="A297" s="253"/>
      <c r="B297" s="1" t="str">
        <f>IF($B$49="N/A","","Facility Total Cost Per Day")</f>
        <v>Facility Total Cost Per Day</v>
      </c>
      <c r="D297" s="250" t="str">
        <f>'Adjusted Schedule 3'!N153</f>
        <v/>
      </c>
      <c r="E297" s="250" t="str">
        <f>'As-Filed Schedule 3'!N152</f>
        <v/>
      </c>
      <c r="F297" s="250" t="str">
        <f t="shared" ref="F297:F299" si="56">IF(E297="","",D297-E297)</f>
        <v/>
      </c>
    </row>
    <row r="298" spans="1:6" hidden="1" x14ac:dyDescent="0.35">
      <c r="A298" s="253"/>
      <c r="B298" t="str">
        <f>IF($B$49="N/A","","Room and Board Cost Per Day")</f>
        <v>Room and Board Cost Per Day</v>
      </c>
      <c r="D298" s="252" t="str">
        <f>'Adjusted Schedule 3'!P153</f>
        <v/>
      </c>
      <c r="E298" s="252" t="str">
        <f>'As-Filed Schedule 3'!P152</f>
        <v/>
      </c>
      <c r="F298" s="252" t="str">
        <f t="shared" si="56"/>
        <v/>
      </c>
    </row>
    <row r="299" spans="1:6" hidden="1" x14ac:dyDescent="0.35">
      <c r="A299" s="253"/>
      <c r="B299" t="str">
        <f>IF($B$49="N/A","","Services Cost Per Day")</f>
        <v>Services Cost Per Day</v>
      </c>
      <c r="D299" s="252" t="str">
        <f>'Adjusted Schedule 3'!R153</f>
        <v/>
      </c>
      <c r="E299" s="252" t="str">
        <f>'As-Filed Schedule 3'!R152</f>
        <v/>
      </c>
      <c r="F299" s="252" t="str">
        <f t="shared" si="56"/>
        <v/>
      </c>
    </row>
    <row r="300" spans="1:6" hidden="1" x14ac:dyDescent="0.35">
      <c r="A300" s="253"/>
    </row>
    <row r="301" spans="1:6" hidden="1" x14ac:dyDescent="0.35">
      <c r="A301" s="253" t="s">
        <v>549</v>
      </c>
      <c r="B301" s="478">
        <f>'Adjusted Schedule 3'!B158:C158</f>
        <v>0</v>
      </c>
      <c r="C301" s="478"/>
    </row>
    <row r="302" spans="1:6" hidden="1" x14ac:dyDescent="0.35">
      <c r="A302" s="253"/>
      <c r="B302" t="str">
        <f>IF($B$49="N/A","","Census Days")</f>
        <v>Census Days</v>
      </c>
      <c r="D302" s="13">
        <f>'Adjusted Schedule 3'!K158</f>
        <v>0</v>
      </c>
      <c r="E302" s="13">
        <f>'As-Filed Schedule 3'!K157</f>
        <v>0</v>
      </c>
      <c r="F302" s="13">
        <f>D302-E302</f>
        <v>0</v>
      </c>
    </row>
    <row r="303" spans="1:6" hidden="1" x14ac:dyDescent="0.35">
      <c r="A303" s="253"/>
      <c r="B303" t="str">
        <f>IF($B$49="N/A","","Total Expense")</f>
        <v>Total Expense</v>
      </c>
      <c r="D303" s="247">
        <f>'Adjusted Schedule 3'!M158</f>
        <v>0</v>
      </c>
      <c r="E303" s="247">
        <f>'As-Filed Schedule 3'!M157</f>
        <v>0</v>
      </c>
      <c r="F303" s="247">
        <f t="shared" ref="F303:F304" si="57">D303-E303</f>
        <v>0</v>
      </c>
    </row>
    <row r="304" spans="1:6" hidden="1" x14ac:dyDescent="0.35">
      <c r="A304" s="253"/>
      <c r="B304" t="str">
        <f>IF($B$49="N/A","","Room and Board Expense")</f>
        <v>Room and Board Expense</v>
      </c>
      <c r="D304" s="247">
        <f>'Adjusted Schedule 3'!O158</f>
        <v>0</v>
      </c>
      <c r="E304" s="247">
        <f>'As-Filed Schedule 3'!O157</f>
        <v>0</v>
      </c>
      <c r="F304" s="247">
        <f t="shared" si="57"/>
        <v>0</v>
      </c>
    </row>
    <row r="305" spans="1:6" hidden="1" x14ac:dyDescent="0.35">
      <c r="A305" s="253"/>
      <c r="B305" t="str">
        <f>IF($B$49="N/A","","Services Expense")</f>
        <v>Services Expense</v>
      </c>
      <c r="D305" s="254" t="str">
        <f>'Adjusted Schedule 3'!Q158</f>
        <v/>
      </c>
      <c r="E305" s="254" t="str">
        <f>'As-Filed Schedule 3'!Q157</f>
        <v/>
      </c>
      <c r="F305" s="254" t="str">
        <f>IF(E305="","",D305-E305)</f>
        <v/>
      </c>
    </row>
    <row r="306" spans="1:6" s="1" customFormat="1" hidden="1" x14ac:dyDescent="0.35">
      <c r="A306" s="253"/>
      <c r="B306" s="1" t="str">
        <f>IF($B$49="N/A","","Facility Total Cost Per Day")</f>
        <v>Facility Total Cost Per Day</v>
      </c>
      <c r="D306" s="250" t="str">
        <f>'Adjusted Schedule 3'!N158</f>
        <v/>
      </c>
      <c r="E306" s="250" t="str">
        <f>'As-Filed Schedule 3'!N157</f>
        <v/>
      </c>
      <c r="F306" s="250" t="str">
        <f t="shared" ref="F306:F308" si="58">IF(E306="","",D306-E306)</f>
        <v/>
      </c>
    </row>
    <row r="307" spans="1:6" hidden="1" x14ac:dyDescent="0.35">
      <c r="A307" s="253"/>
      <c r="B307" t="str">
        <f>IF($B$49="N/A","","Room and Board Cost Per Day")</f>
        <v>Room and Board Cost Per Day</v>
      </c>
      <c r="D307" s="252" t="str">
        <f>'Adjusted Schedule 3'!P158</f>
        <v/>
      </c>
      <c r="E307" s="252" t="str">
        <f>'As-Filed Schedule 3'!P157</f>
        <v/>
      </c>
      <c r="F307" s="252" t="str">
        <f t="shared" si="58"/>
        <v/>
      </c>
    </row>
    <row r="308" spans="1:6" hidden="1" x14ac:dyDescent="0.35">
      <c r="A308" s="253"/>
      <c r="B308" t="str">
        <f>IF($B$49="N/A","","Services Cost Per Day")</f>
        <v>Services Cost Per Day</v>
      </c>
      <c r="D308" s="252" t="str">
        <f>'Adjusted Schedule 3'!R158</f>
        <v/>
      </c>
      <c r="E308" s="252" t="str">
        <f>'As-Filed Schedule 3'!R157</f>
        <v/>
      </c>
      <c r="F308" s="252" t="str">
        <f t="shared" si="58"/>
        <v/>
      </c>
    </row>
    <row r="309" spans="1:6" hidden="1" x14ac:dyDescent="0.35">
      <c r="A309" s="253"/>
    </row>
    <row r="310" spans="1:6" hidden="1" x14ac:dyDescent="0.35">
      <c r="A310" s="253" t="s">
        <v>550</v>
      </c>
      <c r="B310" s="478">
        <f>'Adjusted Schedule 3'!B163:C163</f>
        <v>0</v>
      </c>
      <c r="C310" s="478"/>
    </row>
    <row r="311" spans="1:6" hidden="1" x14ac:dyDescent="0.35">
      <c r="A311" s="253"/>
      <c r="B311" t="str">
        <f>IF($B$49="N/A","","Census Days")</f>
        <v>Census Days</v>
      </c>
      <c r="D311" s="13">
        <f>'Adjusted Schedule 3'!K163</f>
        <v>0</v>
      </c>
      <c r="E311" s="13">
        <f>'As-Filed Schedule 3'!K162</f>
        <v>0</v>
      </c>
      <c r="F311" s="13">
        <f>D311-E311</f>
        <v>0</v>
      </c>
    </row>
    <row r="312" spans="1:6" hidden="1" x14ac:dyDescent="0.35">
      <c r="A312" s="253"/>
      <c r="B312" t="str">
        <f>IF($B$49="N/A","","Total Expense")</f>
        <v>Total Expense</v>
      </c>
      <c r="D312" s="247">
        <f>'Adjusted Schedule 3'!M163</f>
        <v>0</v>
      </c>
      <c r="E312" s="247">
        <f>'As-Filed Schedule 3'!M162</f>
        <v>0</v>
      </c>
      <c r="F312" s="247">
        <f t="shared" ref="F312:F313" si="59">D312-E312</f>
        <v>0</v>
      </c>
    </row>
    <row r="313" spans="1:6" hidden="1" x14ac:dyDescent="0.35">
      <c r="A313" s="253"/>
      <c r="B313" t="str">
        <f>IF($B$49="N/A","","Room and Board Expense")</f>
        <v>Room and Board Expense</v>
      </c>
      <c r="D313" s="247">
        <f>'Adjusted Schedule 3'!O163</f>
        <v>0</v>
      </c>
      <c r="E313" s="247">
        <f>'As-Filed Schedule 3'!O162</f>
        <v>0</v>
      </c>
      <c r="F313" s="247">
        <f t="shared" si="59"/>
        <v>0</v>
      </c>
    </row>
    <row r="314" spans="1:6" hidden="1" x14ac:dyDescent="0.35">
      <c r="A314" s="253"/>
      <c r="B314" t="str">
        <f>IF($B$49="N/A","","Services Expense")</f>
        <v>Services Expense</v>
      </c>
      <c r="D314" s="254" t="str">
        <f>'Adjusted Schedule 3'!Q163</f>
        <v/>
      </c>
      <c r="E314" s="254" t="str">
        <f>'As-Filed Schedule 3'!Q162</f>
        <v/>
      </c>
      <c r="F314" s="254" t="str">
        <f>IF(E314="","",D314-E314)</f>
        <v/>
      </c>
    </row>
    <row r="315" spans="1:6" s="1" customFormat="1" hidden="1" x14ac:dyDescent="0.35">
      <c r="A315" s="253"/>
      <c r="B315" s="1" t="str">
        <f>IF($B$49="N/A","","Facility Total Cost Per Day")</f>
        <v>Facility Total Cost Per Day</v>
      </c>
      <c r="D315" s="250" t="str">
        <f>'Adjusted Schedule 3'!N163</f>
        <v/>
      </c>
      <c r="E315" s="250" t="str">
        <f>'As-Filed Schedule 3'!N162</f>
        <v/>
      </c>
      <c r="F315" s="250" t="str">
        <f t="shared" ref="F315:F316" si="60">IF(E315="","",D315-E315)</f>
        <v/>
      </c>
    </row>
    <row r="316" spans="1:6" hidden="1" x14ac:dyDescent="0.35">
      <c r="A316" s="253"/>
      <c r="B316" t="str">
        <f>IF($B$49="N/A","","Room and Board Cost Per Day")</f>
        <v>Room and Board Cost Per Day</v>
      </c>
      <c r="D316" s="252" t="str">
        <f>'Adjusted Schedule 3'!P163</f>
        <v/>
      </c>
      <c r="E316" s="252" t="str">
        <f>'As-Filed Schedule 3'!P162</f>
        <v/>
      </c>
      <c r="F316" s="252" t="str">
        <f t="shared" si="60"/>
        <v/>
      </c>
    </row>
    <row r="317" spans="1:6" hidden="1" x14ac:dyDescent="0.35">
      <c r="A317" s="253"/>
      <c r="B317" t="str">
        <f>IF($B$49="N/A","","Services Cost Per Day")</f>
        <v>Services Cost Per Day</v>
      </c>
      <c r="D317" s="252" t="str">
        <f>'Adjusted Schedule 3'!R163</f>
        <v/>
      </c>
      <c r="E317" s="252" t="str">
        <f>'As-Filed Schedule 3'!R162</f>
        <v/>
      </c>
      <c r="F317" s="252" t="str">
        <f>IF(E317="","",D317-E317)</f>
        <v/>
      </c>
    </row>
    <row r="318" spans="1:6" x14ac:dyDescent="0.35">
      <c r="A318" s="253"/>
    </row>
    <row r="319" spans="1:6" x14ac:dyDescent="0.35">
      <c r="E319" s="252"/>
    </row>
  </sheetData>
  <sheetProtection sheet="1" objects="1" scenarios="1"/>
  <customSheetViews>
    <customSheetView guid="{D0F83CC0-0361-4280-BCA4-9A92C986158B}" fitToPage="1" printArea="1" hiddenRows="1">
      <selection activeCell="H15" sqref="H15"/>
      <rowBreaks count="4" manualBreakCount="4">
        <brk id="79" max="5" man="1"/>
        <brk id="142" max="5" man="1"/>
        <brk id="205" max="5" man="1"/>
        <brk id="268" max="5" man="1"/>
      </rowBreaks>
      <pageMargins left="0.5" right="0.5" top="0.5" bottom="0.75" header="0.3" footer="0.3"/>
      <pageSetup scale="68" fitToHeight="0" orientation="portrait" horizontalDpi="1200" verticalDpi="1200" r:id="rId1"/>
    </customSheetView>
    <customSheetView guid="{27BAF95E-10B4-4025-9660-F5A8EBC66DC3}" fitToPage="1" printArea="1" hiddenRows="1">
      <selection activeCell="H15" sqref="H15"/>
      <rowBreaks count="4" manualBreakCount="4">
        <brk id="79" max="5" man="1"/>
        <brk id="142" max="5" man="1"/>
        <brk id="205" max="5" man="1"/>
        <brk id="268" max="5" man="1"/>
      </rowBreaks>
      <pageMargins left="0.5" right="0.5" top="0.5" bottom="0.75" header="0.3" footer="0.3"/>
      <pageSetup scale="68" fitToHeight="0" orientation="portrait" horizontalDpi="1200" verticalDpi="1200" r:id="rId2"/>
    </customSheetView>
  </customSheetViews>
  <mergeCells count="31">
    <mergeCell ref="B265:C265"/>
    <mergeCell ref="B310:C310"/>
    <mergeCell ref="B301:C301"/>
    <mergeCell ref="B292:C292"/>
    <mergeCell ref="B283:C283"/>
    <mergeCell ref="B274:C274"/>
    <mergeCell ref="B157:C157"/>
    <mergeCell ref="B256:C256"/>
    <mergeCell ref="B247:C247"/>
    <mergeCell ref="B238:C238"/>
    <mergeCell ref="B229:C229"/>
    <mergeCell ref="B220:C220"/>
    <mergeCell ref="B211:C211"/>
    <mergeCell ref="B202:C202"/>
    <mergeCell ref="B193:C193"/>
    <mergeCell ref="B184:C184"/>
    <mergeCell ref="B175:C175"/>
    <mergeCell ref="B166:C166"/>
    <mergeCell ref="A27:C27"/>
    <mergeCell ref="B49:C49"/>
    <mergeCell ref="B148:C148"/>
    <mergeCell ref="B139:C139"/>
    <mergeCell ref="B130:C130"/>
    <mergeCell ref="B121:C121"/>
    <mergeCell ref="B112:C112"/>
    <mergeCell ref="B103:C103"/>
    <mergeCell ref="B94:C94"/>
    <mergeCell ref="B85:C85"/>
    <mergeCell ref="B76:C76"/>
    <mergeCell ref="B67:C67"/>
    <mergeCell ref="B58:C58"/>
  </mergeCells>
  <dataValidations count="1">
    <dataValidation type="list" allowBlank="1" showInputMessage="1" showErrorMessage="1" sqref="A4" xr:uid="{00000000-0002-0000-0100-000000000000}">
      <formula1>$AA$5:$AA$6</formula1>
    </dataValidation>
  </dataValidations>
  <pageMargins left="0.5" right="0.5" top="0.5" bottom="0.75" header="0.3" footer="0.3"/>
  <pageSetup scale="68" fitToHeight="0" orientation="portrait" horizontalDpi="1200" verticalDpi="1200" r:id="rId3"/>
  <rowBreaks count="4" manualBreakCount="4">
    <brk id="79" max="5" man="1"/>
    <brk id="142" max="5" man="1"/>
    <brk id="205" max="5" man="1"/>
    <brk id="268" max="5"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855</v>
      </c>
      <c r="B3" s="5"/>
      <c r="C3" s="5"/>
      <c r="D3" s="5"/>
      <c r="E3" s="5"/>
      <c r="F3" s="5"/>
      <c r="G3" s="5"/>
      <c r="H3" s="5"/>
    </row>
    <row r="4" spans="1:15" ht="25" customHeight="1" x14ac:dyDescent="0.5">
      <c r="A4" s="242" t="str">
        <f>Results!A4</f>
        <v>Final Adjustments</v>
      </c>
      <c r="B4" s="356"/>
      <c r="C4" s="356"/>
      <c r="D4" s="356"/>
      <c r="E4" s="356"/>
      <c r="F4" s="356"/>
      <c r="G4" s="356"/>
      <c r="H4" s="356"/>
    </row>
    <row r="6" spans="1:15" x14ac:dyDescent="0.35">
      <c r="A6" s="1" t="s">
        <v>773</v>
      </c>
      <c r="C6" s="416" t="str">
        <f>Results!$C$6</f>
        <v>AllHealth Network</v>
      </c>
    </row>
    <row r="7" spans="1:15" x14ac:dyDescent="0.35">
      <c r="A7" s="1" t="s">
        <v>0</v>
      </c>
      <c r="C7" s="35">
        <f>Results!$C$7</f>
        <v>45473</v>
      </c>
      <c r="F7" s="35"/>
    </row>
    <row r="9" spans="1:15" x14ac:dyDescent="0.35">
      <c r="A9" s="1" t="s">
        <v>253</v>
      </c>
      <c r="B9" s="1" t="s">
        <v>831</v>
      </c>
      <c r="C9" s="1"/>
      <c r="F9" s="472" t="s">
        <v>1041</v>
      </c>
      <c r="G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2L Adjustments'!B15:D15</f>
        <v/>
      </c>
      <c r="C16" s="514"/>
      <c r="D16" s="514"/>
      <c r="F16" s="117">
        <f>'Schedule 2L Adjustments'!H15</f>
        <v>0</v>
      </c>
      <c r="G16" s="68">
        <f>'Schedule 2L Adjustments'!J15</f>
        <v>0</v>
      </c>
      <c r="H16" s="68">
        <f>SUM(F16:G16)</f>
        <v>0</v>
      </c>
      <c r="J16" s="117">
        <f>'Schedule 2L Adjustments'!P15</f>
        <v>0</v>
      </c>
      <c r="K16" s="68">
        <f>'Schedule 2L Adjustments'!R15</f>
        <v>0</v>
      </c>
      <c r="L16" s="68">
        <f>SUM(J16:K16)</f>
        <v>0</v>
      </c>
      <c r="N16" s="119">
        <f>'Schedule 2L Adjustments'!X15</f>
        <v>0</v>
      </c>
      <c r="O16" s="119">
        <f>'Schedule 2L Adjustments'!AA15</f>
        <v>0</v>
      </c>
    </row>
    <row r="17" spans="1:15" x14ac:dyDescent="0.35">
      <c r="A17" s="24">
        <v>2</v>
      </c>
      <c r="B17" s="514" t="str">
        <f>'Schedule 2L Adjustments'!B16:D16</f>
        <v/>
      </c>
      <c r="C17" s="514"/>
      <c r="D17" s="514"/>
      <c r="F17" s="117">
        <f>'Schedule 2L Adjustments'!H16</f>
        <v>0</v>
      </c>
      <c r="G17" s="68">
        <f>'Schedule 2L Adjustments'!J16</f>
        <v>0</v>
      </c>
      <c r="H17" s="68">
        <f t="shared" ref="H17:H73" si="0">SUM(F17:G17)</f>
        <v>0</v>
      </c>
      <c r="J17" s="117">
        <f>'Schedule 2L Adjustments'!P16</f>
        <v>0</v>
      </c>
      <c r="K17" s="68">
        <f>'Schedule 2L Adjustments'!R16</f>
        <v>0</v>
      </c>
      <c r="L17" s="68">
        <f t="shared" ref="L17:L73" si="1">SUM(J17:K17)</f>
        <v>0</v>
      </c>
      <c r="N17" s="119">
        <f>'Schedule 2L Adjustments'!X16</f>
        <v>0</v>
      </c>
      <c r="O17" s="119">
        <f>'Schedule 2L Adjustments'!AA16</f>
        <v>0</v>
      </c>
    </row>
    <row r="18" spans="1:15" x14ac:dyDescent="0.35">
      <c r="A18" s="24">
        <v>3</v>
      </c>
      <c r="B18" s="514" t="str">
        <f>'Schedule 2L Adjustments'!B17:D17</f>
        <v/>
      </c>
      <c r="C18" s="514"/>
      <c r="D18" s="514"/>
      <c r="F18" s="117">
        <f>'Schedule 2L Adjustments'!H17</f>
        <v>0</v>
      </c>
      <c r="G18" s="68">
        <f>'Schedule 2L Adjustments'!J17</f>
        <v>0</v>
      </c>
      <c r="H18" s="68">
        <f t="shared" si="0"/>
        <v>0</v>
      </c>
      <c r="J18" s="117">
        <f>'Schedule 2L Adjustments'!P17</f>
        <v>0</v>
      </c>
      <c r="K18" s="68">
        <f>'Schedule 2L Adjustments'!R17</f>
        <v>0</v>
      </c>
      <c r="L18" s="68">
        <f t="shared" si="1"/>
        <v>0</v>
      </c>
      <c r="N18" s="119">
        <f>'Schedule 2L Adjustments'!X17</f>
        <v>0</v>
      </c>
      <c r="O18" s="119">
        <f>'Schedule 2L Adjustments'!AA17</f>
        <v>0</v>
      </c>
    </row>
    <row r="19" spans="1:15" x14ac:dyDescent="0.35">
      <c r="A19" s="24">
        <v>4</v>
      </c>
      <c r="B19" s="514" t="str">
        <f>'Schedule 2L Adjustments'!B18:D18</f>
        <v/>
      </c>
      <c r="C19" s="514"/>
      <c r="D19" s="514"/>
      <c r="F19" s="117">
        <f>'Schedule 2L Adjustments'!H18</f>
        <v>0</v>
      </c>
      <c r="G19" s="68">
        <f>'Schedule 2L Adjustments'!J18</f>
        <v>0</v>
      </c>
      <c r="H19" s="68">
        <f t="shared" si="0"/>
        <v>0</v>
      </c>
      <c r="J19" s="117">
        <f>'Schedule 2L Adjustments'!P18</f>
        <v>0</v>
      </c>
      <c r="K19" s="68">
        <f>'Schedule 2L Adjustments'!R18</f>
        <v>0</v>
      </c>
      <c r="L19" s="68">
        <f t="shared" si="1"/>
        <v>0</v>
      </c>
      <c r="N19" s="119">
        <f>'Schedule 2L Adjustments'!X18</f>
        <v>0</v>
      </c>
      <c r="O19" s="119">
        <f>'Schedule 2L Adjustments'!AA18</f>
        <v>0</v>
      </c>
    </row>
    <row r="20" spans="1:15" x14ac:dyDescent="0.35">
      <c r="A20" s="24">
        <v>5</v>
      </c>
      <c r="B20" s="514" t="str">
        <f>'Schedule 2L Adjustments'!B19:D19</f>
        <v/>
      </c>
      <c r="C20" s="514"/>
      <c r="D20" s="514"/>
      <c r="F20" s="117">
        <f>'Schedule 2L Adjustments'!H19</f>
        <v>0</v>
      </c>
      <c r="G20" s="68">
        <f>'Schedule 2L Adjustments'!J19</f>
        <v>0</v>
      </c>
      <c r="H20" s="68">
        <f t="shared" si="0"/>
        <v>0</v>
      </c>
      <c r="J20" s="117">
        <f>'Schedule 2L Adjustments'!P19</f>
        <v>0</v>
      </c>
      <c r="K20" s="68">
        <f>'Schedule 2L Adjustments'!R19</f>
        <v>0</v>
      </c>
      <c r="L20" s="68">
        <f t="shared" si="1"/>
        <v>0</v>
      </c>
      <c r="N20" s="119">
        <f>'Schedule 2L Adjustments'!X19</f>
        <v>0</v>
      </c>
      <c r="O20" s="119">
        <f>'Schedule 2L Adjustments'!AA19</f>
        <v>0</v>
      </c>
    </row>
    <row r="21" spans="1:15" x14ac:dyDescent="0.35">
      <c r="A21" s="24">
        <v>6</v>
      </c>
      <c r="B21" s="514" t="str">
        <f>'Schedule 2L Adjustments'!B20:D20</f>
        <v/>
      </c>
      <c r="C21" s="514"/>
      <c r="D21" s="514"/>
      <c r="F21" s="117">
        <f>'Schedule 2L Adjustments'!H20</f>
        <v>0</v>
      </c>
      <c r="G21" s="68">
        <f>'Schedule 2L Adjustments'!J20</f>
        <v>0</v>
      </c>
      <c r="H21" s="68">
        <f t="shared" si="0"/>
        <v>0</v>
      </c>
      <c r="J21" s="117">
        <f>'Schedule 2L Adjustments'!P20</f>
        <v>0</v>
      </c>
      <c r="K21" s="68">
        <f>'Schedule 2L Adjustments'!R20</f>
        <v>0</v>
      </c>
      <c r="L21" s="68">
        <f t="shared" si="1"/>
        <v>0</v>
      </c>
      <c r="N21" s="119">
        <f>'Schedule 2L Adjustments'!X20</f>
        <v>0</v>
      </c>
      <c r="O21" s="119">
        <f>'Schedule 2L Adjustments'!AA20</f>
        <v>0</v>
      </c>
    </row>
    <row r="22" spans="1:15" x14ac:dyDescent="0.35">
      <c r="A22" s="24">
        <v>7</v>
      </c>
      <c r="B22" s="514" t="str">
        <f>'Schedule 2L Adjustments'!B21:D21</f>
        <v/>
      </c>
      <c r="C22" s="514"/>
      <c r="D22" s="514"/>
      <c r="F22" s="117">
        <f>'Schedule 2L Adjustments'!H21</f>
        <v>0</v>
      </c>
      <c r="G22" s="68">
        <f>'Schedule 2L Adjustments'!J21</f>
        <v>0</v>
      </c>
      <c r="H22" s="68">
        <f t="shared" si="0"/>
        <v>0</v>
      </c>
      <c r="J22" s="117">
        <f>'Schedule 2L Adjustments'!P21</f>
        <v>0</v>
      </c>
      <c r="K22" s="68">
        <f>'Schedule 2L Adjustments'!R21</f>
        <v>0</v>
      </c>
      <c r="L22" s="68">
        <f t="shared" si="1"/>
        <v>0</v>
      </c>
      <c r="N22" s="119">
        <f>'Schedule 2L Adjustments'!X21</f>
        <v>0</v>
      </c>
      <c r="O22" s="119">
        <f>'Schedule 2L Adjustments'!AA21</f>
        <v>0</v>
      </c>
    </row>
    <row r="23" spans="1:15" x14ac:dyDescent="0.35">
      <c r="A23" s="24">
        <v>8</v>
      </c>
      <c r="B23" s="514" t="str">
        <f>'Schedule 2L Adjustments'!B22:D22</f>
        <v/>
      </c>
      <c r="C23" s="514"/>
      <c r="D23" s="514"/>
      <c r="F23" s="117">
        <f>'Schedule 2L Adjustments'!H22</f>
        <v>0</v>
      </c>
      <c r="G23" s="68">
        <f>'Schedule 2L Adjustments'!J22</f>
        <v>0</v>
      </c>
      <c r="H23" s="68">
        <f t="shared" si="0"/>
        <v>0</v>
      </c>
      <c r="J23" s="117">
        <f>'Schedule 2L Adjustments'!P22</f>
        <v>0</v>
      </c>
      <c r="K23" s="68">
        <f>'Schedule 2L Adjustments'!R22</f>
        <v>0</v>
      </c>
      <c r="L23" s="68">
        <f t="shared" si="1"/>
        <v>0</v>
      </c>
      <c r="N23" s="119">
        <f>'Schedule 2L Adjustments'!X22</f>
        <v>0</v>
      </c>
      <c r="O23" s="119">
        <f>'Schedule 2L Adjustments'!AA22</f>
        <v>0</v>
      </c>
    </row>
    <row r="24" spans="1:15" x14ac:dyDescent="0.35">
      <c r="A24" s="24">
        <v>9</v>
      </c>
      <c r="B24" s="514" t="str">
        <f>'Schedule 2L Adjustments'!B23:D23</f>
        <v/>
      </c>
      <c r="C24" s="514"/>
      <c r="D24" s="514"/>
      <c r="F24" s="117">
        <f>'Schedule 2L Adjustments'!H23</f>
        <v>0</v>
      </c>
      <c r="G24" s="68">
        <f>'Schedule 2L Adjustments'!J23</f>
        <v>0</v>
      </c>
      <c r="H24" s="68">
        <f t="shared" si="0"/>
        <v>0</v>
      </c>
      <c r="J24" s="117">
        <f>'Schedule 2L Adjustments'!P23</f>
        <v>0</v>
      </c>
      <c r="K24" s="68">
        <f>'Schedule 2L Adjustments'!R23</f>
        <v>0</v>
      </c>
      <c r="L24" s="68">
        <f t="shared" si="1"/>
        <v>0</v>
      </c>
      <c r="N24" s="119">
        <f>'Schedule 2L Adjustments'!X23</f>
        <v>0</v>
      </c>
      <c r="O24" s="119">
        <f>'Schedule 2L Adjustments'!AA23</f>
        <v>0</v>
      </c>
    </row>
    <row r="25" spans="1:15" x14ac:dyDescent="0.35">
      <c r="A25" s="24">
        <v>10</v>
      </c>
      <c r="B25" s="514" t="str">
        <f>'Schedule 2L Adjustments'!B24:D24</f>
        <v/>
      </c>
      <c r="C25" s="514"/>
      <c r="D25" s="514"/>
      <c r="F25" s="117">
        <f>'Schedule 2L Adjustments'!H24</f>
        <v>0</v>
      </c>
      <c r="G25" s="68">
        <f>'Schedule 2L Adjustments'!J24</f>
        <v>0</v>
      </c>
      <c r="H25" s="68">
        <f t="shared" si="0"/>
        <v>0</v>
      </c>
      <c r="J25" s="117">
        <f>'Schedule 2L Adjustments'!P24</f>
        <v>0</v>
      </c>
      <c r="K25" s="68">
        <f>'Schedule 2L Adjustments'!R24</f>
        <v>0</v>
      </c>
      <c r="L25" s="68">
        <f t="shared" si="1"/>
        <v>0</v>
      </c>
      <c r="N25" s="119">
        <f>'Schedule 2L Adjustments'!X24</f>
        <v>0</v>
      </c>
      <c r="O25" s="119">
        <f>'Schedule 2L Adjustments'!AA24</f>
        <v>0</v>
      </c>
    </row>
    <row r="26" spans="1:15" x14ac:dyDescent="0.35">
      <c r="A26" s="24">
        <v>11</v>
      </c>
      <c r="B26" s="514" t="str">
        <f>'Schedule 2L Adjustments'!B25:D25</f>
        <v/>
      </c>
      <c r="C26" s="514"/>
      <c r="D26" s="514"/>
      <c r="F26" s="117">
        <f>'Schedule 2L Adjustments'!H25</f>
        <v>0</v>
      </c>
      <c r="G26" s="68">
        <f>'Schedule 2L Adjustments'!J25</f>
        <v>0</v>
      </c>
      <c r="H26" s="68">
        <f t="shared" si="0"/>
        <v>0</v>
      </c>
      <c r="J26" s="117">
        <f>'Schedule 2L Adjustments'!P25</f>
        <v>0</v>
      </c>
      <c r="K26" s="68">
        <f>'Schedule 2L Adjustments'!R25</f>
        <v>0</v>
      </c>
      <c r="L26" s="68">
        <f t="shared" si="1"/>
        <v>0</v>
      </c>
      <c r="N26" s="119">
        <f>'Schedule 2L Adjustments'!X25</f>
        <v>0</v>
      </c>
      <c r="O26" s="119">
        <f>'Schedule 2L Adjustments'!AA25</f>
        <v>0</v>
      </c>
    </row>
    <row r="27" spans="1:15" x14ac:dyDescent="0.35">
      <c r="A27" s="24">
        <v>12</v>
      </c>
      <c r="B27" s="514" t="str">
        <f>'Schedule 2L Adjustments'!B26:D26</f>
        <v/>
      </c>
      <c r="C27" s="514"/>
      <c r="D27" s="514"/>
      <c r="F27" s="117">
        <f>'Schedule 2L Adjustments'!H26</f>
        <v>0</v>
      </c>
      <c r="G27" s="68">
        <f>'Schedule 2L Adjustments'!J26</f>
        <v>0</v>
      </c>
      <c r="H27" s="68">
        <f t="shared" si="0"/>
        <v>0</v>
      </c>
      <c r="J27" s="117">
        <f>'Schedule 2L Adjustments'!P26</f>
        <v>0</v>
      </c>
      <c r="K27" s="68">
        <f>'Schedule 2L Adjustments'!R26</f>
        <v>0</v>
      </c>
      <c r="L27" s="68">
        <f t="shared" si="1"/>
        <v>0</v>
      </c>
      <c r="N27" s="119">
        <f>'Schedule 2L Adjustments'!X26</f>
        <v>0</v>
      </c>
      <c r="O27" s="119">
        <f>'Schedule 2L Adjustments'!AA26</f>
        <v>0</v>
      </c>
    </row>
    <row r="28" spans="1:15" x14ac:dyDescent="0.35">
      <c r="A28" s="24">
        <v>13</v>
      </c>
      <c r="B28" s="514" t="str">
        <f>'Schedule 2L Adjustments'!B27:D27</f>
        <v/>
      </c>
      <c r="C28" s="514"/>
      <c r="D28" s="514"/>
      <c r="F28" s="117">
        <f>'Schedule 2L Adjustments'!H27</f>
        <v>0</v>
      </c>
      <c r="G28" s="68">
        <f>'Schedule 2L Adjustments'!J27</f>
        <v>0</v>
      </c>
      <c r="H28" s="68">
        <f t="shared" si="0"/>
        <v>0</v>
      </c>
      <c r="J28" s="117">
        <f>'Schedule 2L Adjustments'!P27</f>
        <v>0</v>
      </c>
      <c r="K28" s="68">
        <f>'Schedule 2L Adjustments'!R27</f>
        <v>0</v>
      </c>
      <c r="L28" s="68">
        <f t="shared" si="1"/>
        <v>0</v>
      </c>
      <c r="N28" s="119">
        <f>'Schedule 2L Adjustments'!X27</f>
        <v>0</v>
      </c>
      <c r="O28" s="119">
        <f>'Schedule 2L Adjustments'!AA27</f>
        <v>0</v>
      </c>
    </row>
    <row r="29" spans="1:15" x14ac:dyDescent="0.35">
      <c r="A29" s="24">
        <v>14</v>
      </c>
      <c r="B29" s="514" t="str">
        <f>'Schedule 2L Adjustments'!B28:D28</f>
        <v/>
      </c>
      <c r="C29" s="514"/>
      <c r="D29" s="514"/>
      <c r="F29" s="117">
        <f>'Schedule 2L Adjustments'!H28</f>
        <v>0</v>
      </c>
      <c r="G29" s="68">
        <f>'Schedule 2L Adjustments'!J28</f>
        <v>0</v>
      </c>
      <c r="H29" s="68">
        <f t="shared" si="0"/>
        <v>0</v>
      </c>
      <c r="J29" s="117">
        <f>'Schedule 2L Adjustments'!P28</f>
        <v>0</v>
      </c>
      <c r="K29" s="68">
        <f>'Schedule 2L Adjustments'!R28</f>
        <v>0</v>
      </c>
      <c r="L29" s="68">
        <f t="shared" si="1"/>
        <v>0</v>
      </c>
      <c r="N29" s="119">
        <f>'Schedule 2L Adjustments'!X28</f>
        <v>0</v>
      </c>
      <c r="O29" s="119">
        <f>'Schedule 2L Adjustments'!AA28</f>
        <v>0</v>
      </c>
    </row>
    <row r="30" spans="1:15" x14ac:dyDescent="0.35">
      <c r="A30" s="24">
        <v>15</v>
      </c>
      <c r="B30" s="514" t="str">
        <f>'Schedule 2L Adjustments'!B29:D29</f>
        <v/>
      </c>
      <c r="C30" s="514"/>
      <c r="D30" s="514"/>
      <c r="F30" s="117">
        <f>'Schedule 2L Adjustments'!H29</f>
        <v>0</v>
      </c>
      <c r="G30" s="68">
        <f>'Schedule 2L Adjustments'!J29</f>
        <v>0</v>
      </c>
      <c r="H30" s="68">
        <f t="shared" si="0"/>
        <v>0</v>
      </c>
      <c r="J30" s="117">
        <f>'Schedule 2L Adjustments'!P29</f>
        <v>0</v>
      </c>
      <c r="K30" s="68">
        <f>'Schedule 2L Adjustments'!R29</f>
        <v>0</v>
      </c>
      <c r="L30" s="68">
        <f t="shared" si="1"/>
        <v>0</v>
      </c>
      <c r="N30" s="119">
        <f>'Schedule 2L Adjustments'!X29</f>
        <v>0</v>
      </c>
      <c r="O30" s="119">
        <f>'Schedule 2L Adjustments'!AA29</f>
        <v>0</v>
      </c>
    </row>
    <row r="31" spans="1:15" x14ac:dyDescent="0.35">
      <c r="A31" s="24">
        <v>16</v>
      </c>
      <c r="B31" s="514" t="str">
        <f>'Schedule 2L Adjustments'!B30:D30</f>
        <v/>
      </c>
      <c r="C31" s="514"/>
      <c r="D31" s="514"/>
      <c r="F31" s="117">
        <f>'Schedule 2L Adjustments'!H30</f>
        <v>0</v>
      </c>
      <c r="G31" s="68">
        <f>'Schedule 2L Adjustments'!J30</f>
        <v>0</v>
      </c>
      <c r="H31" s="68">
        <f t="shared" si="0"/>
        <v>0</v>
      </c>
      <c r="J31" s="117">
        <f>'Schedule 2L Adjustments'!P30</f>
        <v>0</v>
      </c>
      <c r="K31" s="68">
        <f>'Schedule 2L Adjustments'!R30</f>
        <v>0</v>
      </c>
      <c r="L31" s="68">
        <f t="shared" si="1"/>
        <v>0</v>
      </c>
      <c r="N31" s="119">
        <f>'Schedule 2L Adjustments'!X30</f>
        <v>0</v>
      </c>
      <c r="O31" s="119">
        <f>'Schedule 2L Adjustments'!AA30</f>
        <v>0</v>
      </c>
    </row>
    <row r="32" spans="1:15" x14ac:dyDescent="0.35">
      <c r="A32" s="24">
        <v>17</v>
      </c>
      <c r="B32" s="514" t="str">
        <f>'Schedule 2L Adjustments'!B31:D31</f>
        <v/>
      </c>
      <c r="C32" s="514"/>
      <c r="D32" s="514"/>
      <c r="F32" s="117">
        <f>'Schedule 2L Adjustments'!H31</f>
        <v>0</v>
      </c>
      <c r="G32" s="68">
        <f>'Schedule 2L Adjustments'!J31</f>
        <v>0</v>
      </c>
      <c r="H32" s="68">
        <f t="shared" si="0"/>
        <v>0</v>
      </c>
      <c r="J32" s="117">
        <f>'Schedule 2L Adjustments'!P31</f>
        <v>0</v>
      </c>
      <c r="K32" s="68">
        <f>'Schedule 2L Adjustments'!R31</f>
        <v>0</v>
      </c>
      <c r="L32" s="68">
        <f t="shared" si="1"/>
        <v>0</v>
      </c>
      <c r="N32" s="119">
        <f>'Schedule 2L Adjustments'!X31</f>
        <v>0</v>
      </c>
      <c r="O32" s="119">
        <f>'Schedule 2L Adjustments'!AA31</f>
        <v>0</v>
      </c>
    </row>
    <row r="33" spans="1:15" x14ac:dyDescent="0.35">
      <c r="A33" s="24">
        <v>18</v>
      </c>
      <c r="B33" s="514" t="str">
        <f>'Schedule 2L Adjustments'!B32:D32</f>
        <v/>
      </c>
      <c r="C33" s="514"/>
      <c r="D33" s="514"/>
      <c r="F33" s="117">
        <f>'Schedule 2L Adjustments'!H32</f>
        <v>0</v>
      </c>
      <c r="G33" s="68">
        <f>'Schedule 2L Adjustments'!J32</f>
        <v>0</v>
      </c>
      <c r="H33" s="68">
        <f t="shared" si="0"/>
        <v>0</v>
      </c>
      <c r="J33" s="117">
        <f>'Schedule 2L Adjustments'!P32</f>
        <v>0</v>
      </c>
      <c r="K33" s="68">
        <f>'Schedule 2L Adjustments'!R32</f>
        <v>0</v>
      </c>
      <c r="L33" s="68">
        <f t="shared" si="1"/>
        <v>0</v>
      </c>
      <c r="N33" s="119">
        <f>'Schedule 2L Adjustments'!X32</f>
        <v>0</v>
      </c>
      <c r="O33" s="119">
        <f>'Schedule 2L Adjustments'!AA32</f>
        <v>0</v>
      </c>
    </row>
    <row r="34" spans="1:15" x14ac:dyDescent="0.35">
      <c r="A34" s="24">
        <v>19</v>
      </c>
      <c r="B34" s="514" t="str">
        <f>'Schedule 2L Adjustments'!B33:D33</f>
        <v/>
      </c>
      <c r="C34" s="514"/>
      <c r="D34" s="514"/>
      <c r="F34" s="117">
        <f>'Schedule 2L Adjustments'!H33</f>
        <v>0</v>
      </c>
      <c r="G34" s="68">
        <f>'Schedule 2L Adjustments'!J33</f>
        <v>0</v>
      </c>
      <c r="H34" s="68">
        <f t="shared" si="0"/>
        <v>0</v>
      </c>
      <c r="J34" s="117">
        <f>'Schedule 2L Adjustments'!P33</f>
        <v>0</v>
      </c>
      <c r="K34" s="68">
        <f>'Schedule 2L Adjustments'!R33</f>
        <v>0</v>
      </c>
      <c r="L34" s="68">
        <f t="shared" si="1"/>
        <v>0</v>
      </c>
      <c r="N34" s="119">
        <f>'Schedule 2L Adjustments'!X33</f>
        <v>0</v>
      </c>
      <c r="O34" s="119">
        <f>'Schedule 2L Adjustments'!AA33</f>
        <v>0</v>
      </c>
    </row>
    <row r="35" spans="1:15" x14ac:dyDescent="0.35">
      <c r="A35" s="24">
        <v>20</v>
      </c>
      <c r="B35" s="514" t="str">
        <f>'Schedule 2L Adjustments'!B34:D34</f>
        <v/>
      </c>
      <c r="C35" s="514"/>
      <c r="D35" s="514"/>
      <c r="F35" s="117">
        <f>'Schedule 2L Adjustments'!H34</f>
        <v>0</v>
      </c>
      <c r="G35" s="68">
        <f>'Schedule 2L Adjustments'!J34</f>
        <v>0</v>
      </c>
      <c r="H35" s="68">
        <f t="shared" si="0"/>
        <v>0</v>
      </c>
      <c r="J35" s="117">
        <f>'Schedule 2L Adjustments'!P34</f>
        <v>0</v>
      </c>
      <c r="K35" s="68">
        <f>'Schedule 2L Adjustments'!R34</f>
        <v>0</v>
      </c>
      <c r="L35" s="68">
        <f t="shared" si="1"/>
        <v>0</v>
      </c>
      <c r="N35" s="119">
        <f>'Schedule 2L Adjustments'!X34</f>
        <v>0</v>
      </c>
      <c r="O35" s="119">
        <f>'Schedule 2L Adjustments'!AA34</f>
        <v>0</v>
      </c>
    </row>
    <row r="36" spans="1:15" x14ac:dyDescent="0.35">
      <c r="A36" s="24">
        <v>21</v>
      </c>
      <c r="B36" s="514" t="str">
        <f>'Schedule 2L Adjustments'!B35:D35</f>
        <v/>
      </c>
      <c r="C36" s="514"/>
      <c r="D36" s="514"/>
      <c r="F36" s="117">
        <f>'Schedule 2L Adjustments'!H35</f>
        <v>0</v>
      </c>
      <c r="G36" s="68">
        <f>'Schedule 2L Adjustments'!J35</f>
        <v>0</v>
      </c>
      <c r="H36" s="68">
        <f t="shared" si="0"/>
        <v>0</v>
      </c>
      <c r="J36" s="117">
        <f>'Schedule 2L Adjustments'!P35</f>
        <v>0</v>
      </c>
      <c r="K36" s="68">
        <f>'Schedule 2L Adjustments'!R35</f>
        <v>0</v>
      </c>
      <c r="L36" s="68">
        <f t="shared" si="1"/>
        <v>0</v>
      </c>
      <c r="N36" s="119">
        <f>'Schedule 2L Adjustments'!X35</f>
        <v>0</v>
      </c>
      <c r="O36" s="119">
        <f>'Schedule 2L Adjustments'!AA35</f>
        <v>0</v>
      </c>
    </row>
    <row r="37" spans="1:15" x14ac:dyDescent="0.35">
      <c r="A37" s="24">
        <v>22</v>
      </c>
      <c r="B37" s="514" t="str">
        <f>'Schedule 2L Adjustments'!B36:D36</f>
        <v/>
      </c>
      <c r="C37" s="514"/>
      <c r="D37" s="514"/>
      <c r="F37" s="117">
        <f>'Schedule 2L Adjustments'!H36</f>
        <v>0</v>
      </c>
      <c r="G37" s="68">
        <f>'Schedule 2L Adjustments'!J36</f>
        <v>0</v>
      </c>
      <c r="H37" s="68">
        <f t="shared" si="0"/>
        <v>0</v>
      </c>
      <c r="J37" s="117">
        <f>'Schedule 2L Adjustments'!P36</f>
        <v>0</v>
      </c>
      <c r="K37" s="68">
        <f>'Schedule 2L Adjustments'!R36</f>
        <v>0</v>
      </c>
      <c r="L37" s="68">
        <f t="shared" si="1"/>
        <v>0</v>
      </c>
      <c r="N37" s="119">
        <f>'Schedule 2L Adjustments'!X36</f>
        <v>0</v>
      </c>
      <c r="O37" s="119">
        <f>'Schedule 2L Adjustments'!AA36</f>
        <v>0</v>
      </c>
    </row>
    <row r="38" spans="1:15" x14ac:dyDescent="0.35">
      <c r="A38" s="24">
        <v>23</v>
      </c>
      <c r="B38" s="514" t="str">
        <f>'Schedule 2L Adjustments'!B37:D37</f>
        <v/>
      </c>
      <c r="C38" s="514"/>
      <c r="D38" s="514"/>
      <c r="F38" s="117">
        <f>'Schedule 2L Adjustments'!H37</f>
        <v>0</v>
      </c>
      <c r="G38" s="68">
        <f>'Schedule 2L Adjustments'!J37</f>
        <v>0</v>
      </c>
      <c r="H38" s="68">
        <f t="shared" si="0"/>
        <v>0</v>
      </c>
      <c r="J38" s="117">
        <f>'Schedule 2L Adjustments'!P37</f>
        <v>0</v>
      </c>
      <c r="K38" s="68">
        <f>'Schedule 2L Adjustments'!R37</f>
        <v>0</v>
      </c>
      <c r="L38" s="68">
        <f t="shared" si="1"/>
        <v>0</v>
      </c>
      <c r="N38" s="119">
        <f>'Schedule 2L Adjustments'!X37</f>
        <v>0</v>
      </c>
      <c r="O38" s="119">
        <f>'Schedule 2L Adjustments'!AA37</f>
        <v>0</v>
      </c>
    </row>
    <row r="39" spans="1:15" x14ac:dyDescent="0.35">
      <c r="A39" s="24">
        <v>24</v>
      </c>
      <c r="B39" s="514" t="str">
        <f>'Schedule 2L Adjustments'!B38:D38</f>
        <v/>
      </c>
      <c r="C39" s="514"/>
      <c r="D39" s="514"/>
      <c r="F39" s="117">
        <f>'Schedule 2L Adjustments'!H38</f>
        <v>0</v>
      </c>
      <c r="G39" s="68">
        <f>'Schedule 2L Adjustments'!J38</f>
        <v>0</v>
      </c>
      <c r="H39" s="68">
        <f t="shared" si="0"/>
        <v>0</v>
      </c>
      <c r="J39" s="117">
        <f>'Schedule 2L Adjustments'!P38</f>
        <v>0</v>
      </c>
      <c r="K39" s="68">
        <f>'Schedule 2L Adjustments'!R38</f>
        <v>0</v>
      </c>
      <c r="L39" s="68">
        <f t="shared" si="1"/>
        <v>0</v>
      </c>
      <c r="N39" s="119">
        <f>'Schedule 2L Adjustments'!X38</f>
        <v>0</v>
      </c>
      <c r="O39" s="119">
        <f>'Schedule 2L Adjustments'!AA38</f>
        <v>0</v>
      </c>
    </row>
    <row r="40" spans="1:15" x14ac:dyDescent="0.35">
      <c r="A40" s="24">
        <v>25</v>
      </c>
      <c r="B40" s="514" t="str">
        <f>'Schedule 2L Adjustments'!B39:D39</f>
        <v/>
      </c>
      <c r="C40" s="514"/>
      <c r="D40" s="514"/>
      <c r="F40" s="117">
        <f>'Schedule 2L Adjustments'!H39</f>
        <v>0</v>
      </c>
      <c r="G40" s="68">
        <f>'Schedule 2L Adjustments'!J39</f>
        <v>0</v>
      </c>
      <c r="H40" s="68">
        <f t="shared" si="0"/>
        <v>0</v>
      </c>
      <c r="J40" s="117">
        <f>'Schedule 2L Adjustments'!P39</f>
        <v>0</v>
      </c>
      <c r="K40" s="68">
        <f>'Schedule 2L Adjustments'!R39</f>
        <v>0</v>
      </c>
      <c r="L40" s="68">
        <f t="shared" si="1"/>
        <v>0</v>
      </c>
      <c r="N40" s="119">
        <f>'Schedule 2L Adjustments'!X39</f>
        <v>0</v>
      </c>
      <c r="O40" s="119">
        <f>'Schedule 2L Adjustments'!AA39</f>
        <v>0</v>
      </c>
    </row>
    <row r="41" spans="1:15" x14ac:dyDescent="0.35">
      <c r="A41" s="24">
        <v>26</v>
      </c>
      <c r="B41" s="514" t="str">
        <f>'Schedule 2L Adjustments'!B40:D40</f>
        <v/>
      </c>
      <c r="C41" s="514"/>
      <c r="D41" s="514"/>
      <c r="F41" s="117">
        <f>'Schedule 2L Adjustments'!H40</f>
        <v>0</v>
      </c>
      <c r="G41" s="68">
        <f>'Schedule 2L Adjustments'!J40</f>
        <v>0</v>
      </c>
      <c r="H41" s="68">
        <f t="shared" si="0"/>
        <v>0</v>
      </c>
      <c r="J41" s="117">
        <f>'Schedule 2L Adjustments'!P40</f>
        <v>0</v>
      </c>
      <c r="K41" s="68">
        <f>'Schedule 2L Adjustments'!R40</f>
        <v>0</v>
      </c>
      <c r="L41" s="68">
        <f t="shared" si="1"/>
        <v>0</v>
      </c>
      <c r="N41" s="119">
        <f>'Schedule 2L Adjustments'!X40</f>
        <v>0</v>
      </c>
      <c r="O41" s="119">
        <f>'Schedule 2L Adjustments'!AA40</f>
        <v>0</v>
      </c>
    </row>
    <row r="42" spans="1:15" x14ac:dyDescent="0.35">
      <c r="A42" s="24">
        <v>27</v>
      </c>
      <c r="B42" s="514" t="str">
        <f>'Schedule 2L Adjustments'!B41:D41</f>
        <v/>
      </c>
      <c r="C42" s="514"/>
      <c r="D42" s="514"/>
      <c r="F42" s="117">
        <f>'Schedule 2L Adjustments'!H41</f>
        <v>0</v>
      </c>
      <c r="G42" s="68">
        <f>'Schedule 2L Adjustments'!J41</f>
        <v>0</v>
      </c>
      <c r="H42" s="68">
        <f t="shared" si="0"/>
        <v>0</v>
      </c>
      <c r="J42" s="117">
        <f>'Schedule 2L Adjustments'!P41</f>
        <v>0</v>
      </c>
      <c r="K42" s="68">
        <f>'Schedule 2L Adjustments'!R41</f>
        <v>0</v>
      </c>
      <c r="L42" s="68">
        <f t="shared" si="1"/>
        <v>0</v>
      </c>
      <c r="N42" s="119">
        <f>'Schedule 2L Adjustments'!X41</f>
        <v>0</v>
      </c>
      <c r="O42" s="119">
        <f>'Schedule 2L Adjustments'!AA41</f>
        <v>0</v>
      </c>
    </row>
    <row r="43" spans="1:15" x14ac:dyDescent="0.35">
      <c r="A43" s="24">
        <v>28</v>
      </c>
      <c r="B43" s="514" t="str">
        <f>'Schedule 2L Adjustments'!B42:D42</f>
        <v/>
      </c>
      <c r="C43" s="514"/>
      <c r="D43" s="514"/>
      <c r="F43" s="117">
        <f>'Schedule 2L Adjustments'!H42</f>
        <v>0</v>
      </c>
      <c r="G43" s="68">
        <f>'Schedule 2L Adjustments'!J42</f>
        <v>0</v>
      </c>
      <c r="H43" s="68">
        <f t="shared" si="0"/>
        <v>0</v>
      </c>
      <c r="J43" s="117">
        <f>'Schedule 2L Adjustments'!P42</f>
        <v>0</v>
      </c>
      <c r="K43" s="68">
        <f>'Schedule 2L Adjustments'!R42</f>
        <v>0</v>
      </c>
      <c r="L43" s="68">
        <f t="shared" si="1"/>
        <v>0</v>
      </c>
      <c r="N43" s="119">
        <f>'Schedule 2L Adjustments'!X42</f>
        <v>0</v>
      </c>
      <c r="O43" s="119">
        <f>'Schedule 2L Adjustments'!AA42</f>
        <v>0</v>
      </c>
    </row>
    <row r="44" spans="1:15" x14ac:dyDescent="0.35">
      <c r="A44" s="24">
        <v>29</v>
      </c>
      <c r="B44" s="514" t="str">
        <f>'Schedule 2L Adjustments'!B43:D43</f>
        <v/>
      </c>
      <c r="C44" s="514"/>
      <c r="D44" s="514"/>
      <c r="F44" s="117">
        <f>'Schedule 2L Adjustments'!H43</f>
        <v>0</v>
      </c>
      <c r="G44" s="68">
        <f>'Schedule 2L Adjustments'!J43</f>
        <v>0</v>
      </c>
      <c r="H44" s="68">
        <f t="shared" si="0"/>
        <v>0</v>
      </c>
      <c r="J44" s="117">
        <f>'Schedule 2L Adjustments'!P43</f>
        <v>0</v>
      </c>
      <c r="K44" s="68">
        <f>'Schedule 2L Adjustments'!R43</f>
        <v>0</v>
      </c>
      <c r="L44" s="68">
        <f t="shared" si="1"/>
        <v>0</v>
      </c>
      <c r="N44" s="119">
        <f>'Schedule 2L Adjustments'!X43</f>
        <v>0</v>
      </c>
      <c r="O44" s="119">
        <f>'Schedule 2L Adjustments'!AA43</f>
        <v>0</v>
      </c>
    </row>
    <row r="45" spans="1:15" x14ac:dyDescent="0.35">
      <c r="A45" s="24">
        <v>30</v>
      </c>
      <c r="B45" s="514" t="str">
        <f>'Schedule 2L Adjustments'!B44:D44</f>
        <v/>
      </c>
      <c r="C45" s="514"/>
      <c r="D45" s="514"/>
      <c r="F45" s="117">
        <f>'Schedule 2L Adjustments'!H44</f>
        <v>0</v>
      </c>
      <c r="G45" s="68">
        <f>'Schedule 2L Adjustments'!J44</f>
        <v>0</v>
      </c>
      <c r="H45" s="68">
        <f t="shared" si="0"/>
        <v>0</v>
      </c>
      <c r="J45" s="117">
        <f>'Schedule 2L Adjustments'!P44</f>
        <v>0</v>
      </c>
      <c r="K45" s="68">
        <f>'Schedule 2L Adjustments'!R44</f>
        <v>0</v>
      </c>
      <c r="L45" s="68">
        <f t="shared" si="1"/>
        <v>0</v>
      </c>
      <c r="N45" s="119">
        <f>'Schedule 2L Adjustments'!X44</f>
        <v>0</v>
      </c>
      <c r="O45" s="119">
        <f>'Schedule 2L Adjustments'!AA44</f>
        <v>0</v>
      </c>
    </row>
    <row r="46" spans="1:15" x14ac:dyDescent="0.35">
      <c r="A46" s="24">
        <v>31</v>
      </c>
      <c r="B46" s="514" t="str">
        <f>'Schedule 2L Adjustments'!B45:D45</f>
        <v/>
      </c>
      <c r="C46" s="514"/>
      <c r="D46" s="514"/>
      <c r="F46" s="117">
        <f>'Schedule 2L Adjustments'!H45</f>
        <v>0</v>
      </c>
      <c r="G46" s="68">
        <f>'Schedule 2L Adjustments'!J45</f>
        <v>0</v>
      </c>
      <c r="H46" s="68">
        <f t="shared" si="0"/>
        <v>0</v>
      </c>
      <c r="J46" s="117">
        <f>'Schedule 2L Adjustments'!P45</f>
        <v>0</v>
      </c>
      <c r="K46" s="68">
        <f>'Schedule 2L Adjustments'!R45</f>
        <v>0</v>
      </c>
      <c r="L46" s="68">
        <f t="shared" si="1"/>
        <v>0</v>
      </c>
      <c r="N46" s="119">
        <f>'Schedule 2L Adjustments'!X45</f>
        <v>0</v>
      </c>
      <c r="O46" s="119">
        <f>'Schedule 2L Adjustments'!AA45</f>
        <v>0</v>
      </c>
    </row>
    <row r="47" spans="1:15" x14ac:dyDescent="0.35">
      <c r="A47" s="24">
        <v>32</v>
      </c>
      <c r="B47" s="514" t="str">
        <f>'Schedule 2L Adjustments'!B46:D46</f>
        <v/>
      </c>
      <c r="C47" s="514"/>
      <c r="D47" s="514"/>
      <c r="F47" s="117">
        <f>'Schedule 2L Adjustments'!H46</f>
        <v>0</v>
      </c>
      <c r="G47" s="68">
        <f>'Schedule 2L Adjustments'!J46</f>
        <v>0</v>
      </c>
      <c r="H47" s="68">
        <f t="shared" si="0"/>
        <v>0</v>
      </c>
      <c r="J47" s="117">
        <f>'Schedule 2L Adjustments'!P46</f>
        <v>0</v>
      </c>
      <c r="K47" s="68">
        <f>'Schedule 2L Adjustments'!R46</f>
        <v>0</v>
      </c>
      <c r="L47" s="68">
        <f t="shared" si="1"/>
        <v>0</v>
      </c>
      <c r="N47" s="119">
        <f>'Schedule 2L Adjustments'!X46</f>
        <v>0</v>
      </c>
      <c r="O47" s="119">
        <f>'Schedule 2L Adjustments'!AA46</f>
        <v>0</v>
      </c>
    </row>
    <row r="48" spans="1:15" x14ac:dyDescent="0.35">
      <c r="A48" s="24">
        <v>33</v>
      </c>
      <c r="B48" s="514" t="str">
        <f>'Schedule 2L Adjustments'!B47:D47</f>
        <v/>
      </c>
      <c r="C48" s="514"/>
      <c r="D48" s="514"/>
      <c r="F48" s="117">
        <f>'Schedule 2L Adjustments'!H47</f>
        <v>0</v>
      </c>
      <c r="G48" s="68">
        <f>'Schedule 2L Adjustments'!J47</f>
        <v>0</v>
      </c>
      <c r="H48" s="68">
        <f t="shared" si="0"/>
        <v>0</v>
      </c>
      <c r="J48" s="117">
        <f>'Schedule 2L Adjustments'!P47</f>
        <v>0</v>
      </c>
      <c r="K48" s="68">
        <f>'Schedule 2L Adjustments'!R47</f>
        <v>0</v>
      </c>
      <c r="L48" s="68">
        <f t="shared" si="1"/>
        <v>0</v>
      </c>
      <c r="N48" s="119">
        <f>'Schedule 2L Adjustments'!X47</f>
        <v>0</v>
      </c>
      <c r="O48" s="119">
        <f>'Schedule 2L Adjustments'!AA47</f>
        <v>0</v>
      </c>
    </row>
    <row r="49" spans="1:15" x14ac:dyDescent="0.35">
      <c r="A49" s="24">
        <v>34</v>
      </c>
      <c r="B49" s="514" t="str">
        <f>'Schedule 2L Adjustments'!B48:D48</f>
        <v/>
      </c>
      <c r="C49" s="514"/>
      <c r="D49" s="514"/>
      <c r="F49" s="117">
        <f>'Schedule 2L Adjustments'!H48</f>
        <v>0</v>
      </c>
      <c r="G49" s="68">
        <f>'Schedule 2L Adjustments'!J48</f>
        <v>0</v>
      </c>
      <c r="H49" s="68">
        <f t="shared" si="0"/>
        <v>0</v>
      </c>
      <c r="J49" s="117">
        <f>'Schedule 2L Adjustments'!P48</f>
        <v>0</v>
      </c>
      <c r="K49" s="68">
        <f>'Schedule 2L Adjustments'!R48</f>
        <v>0</v>
      </c>
      <c r="L49" s="68">
        <f t="shared" si="1"/>
        <v>0</v>
      </c>
      <c r="N49" s="119">
        <f>'Schedule 2L Adjustments'!X48</f>
        <v>0</v>
      </c>
      <c r="O49" s="119">
        <f>'Schedule 2L Adjustments'!AA48</f>
        <v>0</v>
      </c>
    </row>
    <row r="50" spans="1:15" x14ac:dyDescent="0.35">
      <c r="A50" s="24">
        <v>35</v>
      </c>
      <c r="B50" s="514" t="str">
        <f>'Schedule 2L Adjustments'!B49:D49</f>
        <v/>
      </c>
      <c r="C50" s="514"/>
      <c r="D50" s="514"/>
      <c r="F50" s="117">
        <f>'Schedule 2L Adjustments'!H49</f>
        <v>0</v>
      </c>
      <c r="G50" s="68">
        <f>'Schedule 2L Adjustments'!J49</f>
        <v>0</v>
      </c>
      <c r="H50" s="68">
        <f t="shared" si="0"/>
        <v>0</v>
      </c>
      <c r="J50" s="117">
        <f>'Schedule 2L Adjustments'!P49</f>
        <v>0</v>
      </c>
      <c r="K50" s="68">
        <f>'Schedule 2L Adjustments'!R49</f>
        <v>0</v>
      </c>
      <c r="L50" s="68">
        <f t="shared" si="1"/>
        <v>0</v>
      </c>
      <c r="N50" s="119">
        <f>'Schedule 2L Adjustments'!X49</f>
        <v>0</v>
      </c>
      <c r="O50" s="119">
        <f>'Schedule 2L Adjustments'!AA49</f>
        <v>0</v>
      </c>
    </row>
    <row r="51" spans="1:15" x14ac:dyDescent="0.35">
      <c r="A51" s="24">
        <v>36</v>
      </c>
      <c r="B51" s="514" t="str">
        <f>'Schedule 2L Adjustments'!B50:D50</f>
        <v/>
      </c>
      <c r="C51" s="514"/>
      <c r="D51" s="514"/>
      <c r="F51" s="117">
        <f>'Schedule 2L Adjustments'!H50</f>
        <v>0</v>
      </c>
      <c r="G51" s="68">
        <f>'Schedule 2L Adjustments'!J50</f>
        <v>0</v>
      </c>
      <c r="H51" s="68">
        <f t="shared" si="0"/>
        <v>0</v>
      </c>
      <c r="J51" s="117">
        <f>'Schedule 2L Adjustments'!P50</f>
        <v>0</v>
      </c>
      <c r="K51" s="68">
        <f>'Schedule 2L Adjustments'!R50</f>
        <v>0</v>
      </c>
      <c r="L51" s="68">
        <f t="shared" si="1"/>
        <v>0</v>
      </c>
      <c r="N51" s="119">
        <f>'Schedule 2L Adjustments'!X50</f>
        <v>0</v>
      </c>
      <c r="O51" s="119">
        <f>'Schedule 2L Adjustments'!AA50</f>
        <v>0</v>
      </c>
    </row>
    <row r="52" spans="1:15" x14ac:dyDescent="0.35">
      <c r="A52" s="24">
        <v>37</v>
      </c>
      <c r="B52" s="514" t="str">
        <f>'Schedule 2L Adjustments'!B51:D51</f>
        <v/>
      </c>
      <c r="C52" s="514"/>
      <c r="D52" s="514"/>
      <c r="F52" s="117">
        <f>'Schedule 2L Adjustments'!H51</f>
        <v>0</v>
      </c>
      <c r="G52" s="68">
        <f>'Schedule 2L Adjustments'!J51</f>
        <v>0</v>
      </c>
      <c r="H52" s="68">
        <f t="shared" si="0"/>
        <v>0</v>
      </c>
      <c r="J52" s="117">
        <f>'Schedule 2L Adjustments'!P51</f>
        <v>0</v>
      </c>
      <c r="K52" s="68">
        <f>'Schedule 2L Adjustments'!R51</f>
        <v>0</v>
      </c>
      <c r="L52" s="68">
        <f t="shared" si="1"/>
        <v>0</v>
      </c>
      <c r="N52" s="119">
        <f>'Schedule 2L Adjustments'!X51</f>
        <v>0</v>
      </c>
      <c r="O52" s="119">
        <f>'Schedule 2L Adjustments'!AA51</f>
        <v>0</v>
      </c>
    </row>
    <row r="53" spans="1:15" x14ac:dyDescent="0.35">
      <c r="A53" s="24">
        <v>38</v>
      </c>
      <c r="B53" s="514" t="str">
        <f>'Schedule 2L Adjustments'!B52:D52</f>
        <v/>
      </c>
      <c r="C53" s="514"/>
      <c r="D53" s="514"/>
      <c r="F53" s="117">
        <f>'Schedule 2L Adjustments'!H52</f>
        <v>0</v>
      </c>
      <c r="G53" s="68">
        <f>'Schedule 2L Adjustments'!J52</f>
        <v>0</v>
      </c>
      <c r="H53" s="68">
        <f t="shared" si="0"/>
        <v>0</v>
      </c>
      <c r="J53" s="117">
        <f>'Schedule 2L Adjustments'!P52</f>
        <v>0</v>
      </c>
      <c r="K53" s="68">
        <f>'Schedule 2L Adjustments'!R52</f>
        <v>0</v>
      </c>
      <c r="L53" s="68">
        <f t="shared" si="1"/>
        <v>0</v>
      </c>
      <c r="N53" s="119">
        <f>'Schedule 2L Adjustments'!X52</f>
        <v>0</v>
      </c>
      <c r="O53" s="119">
        <f>'Schedule 2L Adjustments'!AA52</f>
        <v>0</v>
      </c>
    </row>
    <row r="54" spans="1:15" x14ac:dyDescent="0.35">
      <c r="A54" s="24">
        <v>39</v>
      </c>
      <c r="B54" s="514" t="str">
        <f>'Schedule 2L Adjustments'!B53:D53</f>
        <v/>
      </c>
      <c r="C54" s="514"/>
      <c r="D54" s="514"/>
      <c r="F54" s="117">
        <f>'Schedule 2L Adjustments'!H53</f>
        <v>0</v>
      </c>
      <c r="G54" s="68">
        <f>'Schedule 2L Adjustments'!J53</f>
        <v>0</v>
      </c>
      <c r="H54" s="68">
        <f t="shared" si="0"/>
        <v>0</v>
      </c>
      <c r="J54" s="117">
        <f>'Schedule 2L Adjustments'!P53</f>
        <v>0</v>
      </c>
      <c r="K54" s="68">
        <f>'Schedule 2L Adjustments'!R53</f>
        <v>0</v>
      </c>
      <c r="L54" s="68">
        <f t="shared" si="1"/>
        <v>0</v>
      </c>
      <c r="N54" s="119">
        <f>'Schedule 2L Adjustments'!X53</f>
        <v>0</v>
      </c>
      <c r="O54" s="119">
        <f>'Schedule 2L Adjustments'!AA53</f>
        <v>0</v>
      </c>
    </row>
    <row r="55" spans="1:15" x14ac:dyDescent="0.35">
      <c r="A55" s="24">
        <v>40</v>
      </c>
      <c r="B55" s="514" t="str">
        <f>'Schedule 2L Adjustments'!B54:D54</f>
        <v/>
      </c>
      <c r="C55" s="514"/>
      <c r="D55" s="514"/>
      <c r="F55" s="117">
        <f>'Schedule 2L Adjustments'!H54</f>
        <v>0</v>
      </c>
      <c r="G55" s="68">
        <f>'Schedule 2L Adjustments'!J54</f>
        <v>0</v>
      </c>
      <c r="H55" s="68">
        <f t="shared" si="0"/>
        <v>0</v>
      </c>
      <c r="J55" s="117">
        <f>'Schedule 2L Adjustments'!P54</f>
        <v>0</v>
      </c>
      <c r="K55" s="68">
        <f>'Schedule 2L Adjustments'!R54</f>
        <v>0</v>
      </c>
      <c r="L55" s="68">
        <f t="shared" si="1"/>
        <v>0</v>
      </c>
      <c r="N55" s="119">
        <f>'Schedule 2L Adjustments'!X54</f>
        <v>0</v>
      </c>
      <c r="O55" s="119">
        <f>'Schedule 2L Adjustments'!AA54</f>
        <v>0</v>
      </c>
    </row>
    <row r="56" spans="1:15" x14ac:dyDescent="0.35">
      <c r="A56" s="24">
        <v>41</v>
      </c>
      <c r="B56" s="514" t="str">
        <f>'Schedule 2L Adjustments'!B55:D55</f>
        <v/>
      </c>
      <c r="C56" s="514"/>
      <c r="D56" s="514"/>
      <c r="F56" s="117">
        <f>'Schedule 2L Adjustments'!H55</f>
        <v>0</v>
      </c>
      <c r="G56" s="68">
        <f>'Schedule 2L Adjustments'!J55</f>
        <v>0</v>
      </c>
      <c r="H56" s="68">
        <f t="shared" si="0"/>
        <v>0</v>
      </c>
      <c r="J56" s="117">
        <f>'Schedule 2L Adjustments'!P55</f>
        <v>0</v>
      </c>
      <c r="K56" s="68">
        <f>'Schedule 2L Adjustments'!R55</f>
        <v>0</v>
      </c>
      <c r="L56" s="68">
        <f t="shared" si="1"/>
        <v>0</v>
      </c>
      <c r="N56" s="119">
        <f>'Schedule 2L Adjustments'!X55</f>
        <v>0</v>
      </c>
      <c r="O56" s="119">
        <f>'Schedule 2L Adjustments'!AA55</f>
        <v>0</v>
      </c>
    </row>
    <row r="57" spans="1:15" x14ac:dyDescent="0.35">
      <c r="A57" s="24">
        <v>42</v>
      </c>
      <c r="B57" s="514" t="str">
        <f>'Schedule 2L Adjustments'!B56:D56</f>
        <v/>
      </c>
      <c r="C57" s="514"/>
      <c r="D57" s="514"/>
      <c r="F57" s="117">
        <f>'Schedule 2L Adjustments'!H56</f>
        <v>0</v>
      </c>
      <c r="G57" s="68">
        <f>'Schedule 2L Adjustments'!J56</f>
        <v>0</v>
      </c>
      <c r="H57" s="68">
        <f t="shared" si="0"/>
        <v>0</v>
      </c>
      <c r="J57" s="117">
        <f>'Schedule 2L Adjustments'!P56</f>
        <v>0</v>
      </c>
      <c r="K57" s="68">
        <f>'Schedule 2L Adjustments'!R56</f>
        <v>0</v>
      </c>
      <c r="L57" s="68">
        <f t="shared" si="1"/>
        <v>0</v>
      </c>
      <c r="N57" s="119">
        <f>'Schedule 2L Adjustments'!X56</f>
        <v>0</v>
      </c>
      <c r="O57" s="119">
        <f>'Schedule 2L Adjustments'!AA56</f>
        <v>0</v>
      </c>
    </row>
    <row r="58" spans="1:15" x14ac:dyDescent="0.35">
      <c r="A58" s="24">
        <v>43</v>
      </c>
      <c r="B58" s="514" t="str">
        <f>'Schedule 2L Adjustments'!B57:D57</f>
        <v/>
      </c>
      <c r="C58" s="514"/>
      <c r="D58" s="514"/>
      <c r="F58" s="117">
        <f>'Schedule 2L Adjustments'!H57</f>
        <v>0</v>
      </c>
      <c r="G58" s="68">
        <f>'Schedule 2L Adjustments'!J57</f>
        <v>0</v>
      </c>
      <c r="H58" s="68">
        <f t="shared" si="0"/>
        <v>0</v>
      </c>
      <c r="J58" s="117">
        <f>'Schedule 2L Adjustments'!P57</f>
        <v>0</v>
      </c>
      <c r="K58" s="68">
        <f>'Schedule 2L Adjustments'!R57</f>
        <v>0</v>
      </c>
      <c r="L58" s="68">
        <f t="shared" si="1"/>
        <v>0</v>
      </c>
      <c r="N58" s="119">
        <f>'Schedule 2L Adjustments'!X57</f>
        <v>0</v>
      </c>
      <c r="O58" s="119">
        <f>'Schedule 2L Adjustments'!AA57</f>
        <v>0</v>
      </c>
    </row>
    <row r="59" spans="1:15" x14ac:dyDescent="0.35">
      <c r="A59" s="24">
        <v>44</v>
      </c>
      <c r="B59" s="514" t="str">
        <f>'Schedule 2L Adjustments'!B58:D58</f>
        <v/>
      </c>
      <c r="C59" s="514"/>
      <c r="D59" s="514"/>
      <c r="F59" s="117">
        <f>'Schedule 2L Adjustments'!H58</f>
        <v>0</v>
      </c>
      <c r="G59" s="68">
        <f>'Schedule 2L Adjustments'!J58</f>
        <v>0</v>
      </c>
      <c r="H59" s="68">
        <f t="shared" si="0"/>
        <v>0</v>
      </c>
      <c r="J59" s="117">
        <f>'Schedule 2L Adjustments'!P58</f>
        <v>0</v>
      </c>
      <c r="K59" s="68">
        <f>'Schedule 2L Adjustments'!R58</f>
        <v>0</v>
      </c>
      <c r="L59" s="68">
        <f t="shared" si="1"/>
        <v>0</v>
      </c>
      <c r="N59" s="119">
        <f>'Schedule 2L Adjustments'!X58</f>
        <v>0</v>
      </c>
      <c r="O59" s="119">
        <f>'Schedule 2L Adjustments'!AA58</f>
        <v>0</v>
      </c>
    </row>
    <row r="60" spans="1:15" x14ac:dyDescent="0.35">
      <c r="A60" s="24">
        <v>45</v>
      </c>
      <c r="B60" s="514" t="str">
        <f>'Schedule 2L Adjustments'!B59:D59</f>
        <v/>
      </c>
      <c r="C60" s="514"/>
      <c r="D60" s="514"/>
      <c r="F60" s="117">
        <f>'Schedule 2L Adjustments'!H59</f>
        <v>0</v>
      </c>
      <c r="G60" s="68">
        <f>'Schedule 2L Adjustments'!J59</f>
        <v>0</v>
      </c>
      <c r="H60" s="68">
        <f t="shared" si="0"/>
        <v>0</v>
      </c>
      <c r="J60" s="117">
        <f>'Schedule 2L Adjustments'!P59</f>
        <v>0</v>
      </c>
      <c r="K60" s="68">
        <f>'Schedule 2L Adjustments'!R59</f>
        <v>0</v>
      </c>
      <c r="L60" s="68">
        <f t="shared" si="1"/>
        <v>0</v>
      </c>
      <c r="N60" s="119">
        <f>'Schedule 2L Adjustments'!X59</f>
        <v>0</v>
      </c>
      <c r="O60" s="119">
        <f>'Schedule 2L Adjustments'!AA59</f>
        <v>0</v>
      </c>
    </row>
    <row r="61" spans="1:15" x14ac:dyDescent="0.35">
      <c r="A61" s="24">
        <v>46</v>
      </c>
      <c r="B61" s="514" t="str">
        <f>'Schedule 2L Adjustments'!B60:D60</f>
        <v/>
      </c>
      <c r="C61" s="514"/>
      <c r="D61" s="514"/>
      <c r="F61" s="117">
        <f>'Schedule 2L Adjustments'!H60</f>
        <v>0</v>
      </c>
      <c r="G61" s="68">
        <f>'Schedule 2L Adjustments'!J60</f>
        <v>0</v>
      </c>
      <c r="H61" s="68">
        <f t="shared" si="0"/>
        <v>0</v>
      </c>
      <c r="J61" s="117">
        <f>'Schedule 2L Adjustments'!P60</f>
        <v>0</v>
      </c>
      <c r="K61" s="68">
        <f>'Schedule 2L Adjustments'!R60</f>
        <v>0</v>
      </c>
      <c r="L61" s="68">
        <f t="shared" si="1"/>
        <v>0</v>
      </c>
      <c r="N61" s="119">
        <f>'Schedule 2L Adjustments'!X60</f>
        <v>0</v>
      </c>
      <c r="O61" s="119">
        <f>'Schedule 2L Adjustments'!AA60</f>
        <v>0</v>
      </c>
    </row>
    <row r="62" spans="1:15" x14ac:dyDescent="0.35">
      <c r="A62" s="24">
        <v>47</v>
      </c>
      <c r="B62" s="514" t="str">
        <f>'Schedule 2L Adjustments'!B61:D61</f>
        <v/>
      </c>
      <c r="C62" s="514"/>
      <c r="D62" s="514"/>
      <c r="F62" s="117">
        <f>'Schedule 2L Adjustments'!H61</f>
        <v>0</v>
      </c>
      <c r="G62" s="68">
        <f>'Schedule 2L Adjustments'!J61</f>
        <v>0</v>
      </c>
      <c r="H62" s="68">
        <f t="shared" si="0"/>
        <v>0</v>
      </c>
      <c r="J62" s="117">
        <f>'Schedule 2L Adjustments'!P61</f>
        <v>0</v>
      </c>
      <c r="K62" s="68">
        <f>'Schedule 2L Adjustments'!R61</f>
        <v>0</v>
      </c>
      <c r="L62" s="68">
        <f t="shared" si="1"/>
        <v>0</v>
      </c>
      <c r="N62" s="119">
        <f>'Schedule 2L Adjustments'!X61</f>
        <v>0</v>
      </c>
      <c r="O62" s="119">
        <f>'Schedule 2L Adjustments'!AA61</f>
        <v>0</v>
      </c>
    </row>
    <row r="63" spans="1:15" x14ac:dyDescent="0.35">
      <c r="A63" s="24">
        <v>48</v>
      </c>
      <c r="B63" s="514" t="str">
        <f>'Schedule 2L Adjustments'!B62:D62</f>
        <v/>
      </c>
      <c r="C63" s="514"/>
      <c r="D63" s="514"/>
      <c r="F63" s="117">
        <f>'Schedule 2L Adjustments'!H62</f>
        <v>0</v>
      </c>
      <c r="G63" s="68">
        <f>'Schedule 2L Adjustments'!J62</f>
        <v>0</v>
      </c>
      <c r="H63" s="68">
        <f t="shared" si="0"/>
        <v>0</v>
      </c>
      <c r="J63" s="117">
        <f>'Schedule 2L Adjustments'!P62</f>
        <v>0</v>
      </c>
      <c r="K63" s="68">
        <f>'Schedule 2L Adjustments'!R62</f>
        <v>0</v>
      </c>
      <c r="L63" s="68">
        <f t="shared" si="1"/>
        <v>0</v>
      </c>
      <c r="N63" s="119">
        <f>'Schedule 2L Adjustments'!X62</f>
        <v>0</v>
      </c>
      <c r="O63" s="119">
        <f>'Schedule 2L Adjustments'!AA62</f>
        <v>0</v>
      </c>
    </row>
    <row r="64" spans="1:15" x14ac:dyDescent="0.35">
      <c r="A64" s="24">
        <v>49</v>
      </c>
      <c r="B64" s="514" t="str">
        <f>'Schedule 2L Adjustments'!B63:D63</f>
        <v/>
      </c>
      <c r="C64" s="514"/>
      <c r="D64" s="514"/>
      <c r="F64" s="117">
        <f>'Schedule 2L Adjustments'!H63</f>
        <v>0</v>
      </c>
      <c r="G64" s="68">
        <f>'Schedule 2L Adjustments'!J63</f>
        <v>0</v>
      </c>
      <c r="H64" s="68">
        <f t="shared" si="0"/>
        <v>0</v>
      </c>
      <c r="J64" s="117">
        <f>'Schedule 2L Adjustments'!P63</f>
        <v>0</v>
      </c>
      <c r="K64" s="68">
        <f>'Schedule 2L Adjustments'!R63</f>
        <v>0</v>
      </c>
      <c r="L64" s="68">
        <f t="shared" si="1"/>
        <v>0</v>
      </c>
      <c r="N64" s="119">
        <f>'Schedule 2L Adjustments'!X63</f>
        <v>0</v>
      </c>
      <c r="O64" s="119">
        <f>'Schedule 2L Adjustments'!AA63</f>
        <v>0</v>
      </c>
    </row>
    <row r="65" spans="1:15" x14ac:dyDescent="0.35">
      <c r="A65" s="24">
        <v>50</v>
      </c>
      <c r="B65" s="514" t="str">
        <f>'Schedule 2L Adjustments'!B64:D64</f>
        <v/>
      </c>
      <c r="C65" s="514"/>
      <c r="D65" s="514"/>
      <c r="F65" s="117">
        <f>'Schedule 2L Adjustments'!H64</f>
        <v>0</v>
      </c>
      <c r="G65" s="68">
        <f>'Schedule 2L Adjustments'!J64</f>
        <v>0</v>
      </c>
      <c r="H65" s="68">
        <f t="shared" si="0"/>
        <v>0</v>
      </c>
      <c r="J65" s="117">
        <f>'Schedule 2L Adjustments'!P64</f>
        <v>0</v>
      </c>
      <c r="K65" s="68">
        <f>'Schedule 2L Adjustments'!R64</f>
        <v>0</v>
      </c>
      <c r="L65" s="68">
        <f t="shared" si="1"/>
        <v>0</v>
      </c>
      <c r="N65" s="119">
        <f>'Schedule 2L Adjustments'!X64</f>
        <v>0</v>
      </c>
      <c r="O65" s="119">
        <f>'Schedule 2L Adjustments'!AA64</f>
        <v>0</v>
      </c>
    </row>
    <row r="66" spans="1:15" x14ac:dyDescent="0.35">
      <c r="A66" s="24">
        <v>51</v>
      </c>
      <c r="B66" s="514" t="str">
        <f>'Schedule 2L Adjustments'!B65:D65</f>
        <v/>
      </c>
      <c r="C66" s="514"/>
      <c r="D66" s="514"/>
      <c r="F66" s="117">
        <f>'Schedule 2L Adjustments'!H65</f>
        <v>0</v>
      </c>
      <c r="G66" s="68">
        <f>'Schedule 2L Adjustments'!J65</f>
        <v>0</v>
      </c>
      <c r="H66" s="68">
        <f t="shared" si="0"/>
        <v>0</v>
      </c>
      <c r="J66" s="117">
        <f>'Schedule 2L Adjustments'!P65</f>
        <v>0</v>
      </c>
      <c r="K66" s="68">
        <f>'Schedule 2L Adjustments'!R65</f>
        <v>0</v>
      </c>
      <c r="L66" s="68">
        <f t="shared" si="1"/>
        <v>0</v>
      </c>
      <c r="N66" s="119">
        <f>'Schedule 2L Adjustments'!X65</f>
        <v>0</v>
      </c>
      <c r="O66" s="119">
        <f>'Schedule 2L Adjustments'!AA65</f>
        <v>0</v>
      </c>
    </row>
    <row r="67" spans="1:15" x14ac:dyDescent="0.35">
      <c r="A67" s="24">
        <v>52</v>
      </c>
      <c r="B67" s="514" t="str">
        <f>'Schedule 2L Adjustments'!B66:D66</f>
        <v/>
      </c>
      <c r="C67" s="514"/>
      <c r="D67" s="514"/>
      <c r="F67" s="117">
        <f>'Schedule 2L Adjustments'!H66</f>
        <v>0</v>
      </c>
      <c r="G67" s="68">
        <f>'Schedule 2L Adjustments'!J66</f>
        <v>0</v>
      </c>
      <c r="H67" s="68">
        <f t="shared" si="0"/>
        <v>0</v>
      </c>
      <c r="J67" s="117">
        <f>'Schedule 2L Adjustments'!P66</f>
        <v>0</v>
      </c>
      <c r="K67" s="68">
        <f>'Schedule 2L Adjustments'!R66</f>
        <v>0</v>
      </c>
      <c r="L67" s="68">
        <f t="shared" si="1"/>
        <v>0</v>
      </c>
      <c r="N67" s="119">
        <f>'Schedule 2L Adjustments'!X66</f>
        <v>0</v>
      </c>
      <c r="O67" s="119">
        <f>'Schedule 2L Adjustments'!AA66</f>
        <v>0</v>
      </c>
    </row>
    <row r="68" spans="1:15" x14ac:dyDescent="0.35">
      <c r="A68" s="24">
        <v>53</v>
      </c>
      <c r="B68" s="514" t="str">
        <f>'Schedule 2L Adjustments'!B67:D67</f>
        <v/>
      </c>
      <c r="C68" s="514"/>
      <c r="D68" s="514"/>
      <c r="F68" s="117">
        <f>'Schedule 2L Adjustments'!H67</f>
        <v>0</v>
      </c>
      <c r="G68" s="68">
        <f>'Schedule 2L Adjustments'!J67</f>
        <v>0</v>
      </c>
      <c r="H68" s="68">
        <f t="shared" si="0"/>
        <v>0</v>
      </c>
      <c r="J68" s="117">
        <f>'Schedule 2L Adjustments'!P67</f>
        <v>0</v>
      </c>
      <c r="K68" s="68">
        <f>'Schedule 2L Adjustments'!R67</f>
        <v>0</v>
      </c>
      <c r="L68" s="68">
        <f t="shared" si="1"/>
        <v>0</v>
      </c>
      <c r="N68" s="119">
        <f>'Schedule 2L Adjustments'!X67</f>
        <v>0</v>
      </c>
      <c r="O68" s="119">
        <f>'Schedule 2L Adjustments'!AA67</f>
        <v>0</v>
      </c>
    </row>
    <row r="69" spans="1:15" x14ac:dyDescent="0.35">
      <c r="A69" s="24">
        <v>54</v>
      </c>
      <c r="B69" s="514" t="str">
        <f>'Schedule 2L Adjustments'!B68:D68</f>
        <v/>
      </c>
      <c r="C69" s="514"/>
      <c r="D69" s="514"/>
      <c r="F69" s="117">
        <f>'Schedule 2L Adjustments'!H68</f>
        <v>0</v>
      </c>
      <c r="G69" s="68">
        <f>'Schedule 2L Adjustments'!J68</f>
        <v>0</v>
      </c>
      <c r="H69" s="68">
        <f t="shared" si="0"/>
        <v>0</v>
      </c>
      <c r="J69" s="117">
        <f>'Schedule 2L Adjustments'!P68</f>
        <v>0</v>
      </c>
      <c r="K69" s="68">
        <f>'Schedule 2L Adjustments'!R68</f>
        <v>0</v>
      </c>
      <c r="L69" s="68">
        <f t="shared" si="1"/>
        <v>0</v>
      </c>
      <c r="N69" s="119">
        <f>'Schedule 2L Adjustments'!X68</f>
        <v>0</v>
      </c>
      <c r="O69" s="119">
        <f>'Schedule 2L Adjustments'!AA68</f>
        <v>0</v>
      </c>
    </row>
    <row r="70" spans="1:15" x14ac:dyDescent="0.35">
      <c r="A70" s="24">
        <v>55</v>
      </c>
      <c r="B70" s="514" t="str">
        <f>'Schedule 2L Adjustments'!B69:D69</f>
        <v/>
      </c>
      <c r="C70" s="514"/>
      <c r="D70" s="514"/>
      <c r="F70" s="117">
        <f>'Schedule 2L Adjustments'!H69</f>
        <v>0</v>
      </c>
      <c r="G70" s="68">
        <f>'Schedule 2L Adjustments'!J69</f>
        <v>0</v>
      </c>
      <c r="H70" s="68">
        <f t="shared" si="0"/>
        <v>0</v>
      </c>
      <c r="J70" s="117">
        <f>'Schedule 2L Adjustments'!P69</f>
        <v>0</v>
      </c>
      <c r="K70" s="68">
        <f>'Schedule 2L Adjustments'!R69</f>
        <v>0</v>
      </c>
      <c r="L70" s="68">
        <f t="shared" si="1"/>
        <v>0</v>
      </c>
      <c r="N70" s="119">
        <f>'Schedule 2L Adjustments'!X69</f>
        <v>0</v>
      </c>
      <c r="O70" s="119">
        <f>'Schedule 2L Adjustments'!AA69</f>
        <v>0</v>
      </c>
    </row>
    <row r="71" spans="1:15" x14ac:dyDescent="0.35">
      <c r="A71" s="24">
        <v>56</v>
      </c>
      <c r="B71" s="514" t="str">
        <f>'Schedule 2L Adjustments'!B70:D70</f>
        <v/>
      </c>
      <c r="C71" s="514"/>
      <c r="D71" s="514"/>
      <c r="F71" s="117">
        <f>'Schedule 2L Adjustments'!H70</f>
        <v>0</v>
      </c>
      <c r="G71" s="68">
        <f>'Schedule 2L Adjustments'!J70</f>
        <v>0</v>
      </c>
      <c r="H71" s="68">
        <f t="shared" si="0"/>
        <v>0</v>
      </c>
      <c r="J71" s="117">
        <f>'Schedule 2L Adjustments'!P70</f>
        <v>0</v>
      </c>
      <c r="K71" s="68">
        <f>'Schedule 2L Adjustments'!R70</f>
        <v>0</v>
      </c>
      <c r="L71" s="68">
        <f t="shared" si="1"/>
        <v>0</v>
      </c>
      <c r="N71" s="119">
        <f>'Schedule 2L Adjustments'!X70</f>
        <v>0</v>
      </c>
      <c r="O71" s="119">
        <f>'Schedule 2L Adjustments'!AA70</f>
        <v>0</v>
      </c>
    </row>
    <row r="72" spans="1:15" x14ac:dyDescent="0.35">
      <c r="A72" s="24">
        <v>57</v>
      </c>
      <c r="B72" s="514" t="str">
        <f>'Schedule 2L Adjustments'!B71:D71</f>
        <v/>
      </c>
      <c r="C72" s="514"/>
      <c r="D72" s="514"/>
      <c r="F72" s="117">
        <f>'Schedule 2L Adjustments'!H71</f>
        <v>0</v>
      </c>
      <c r="G72" s="68">
        <f>'Schedule 2L Adjustments'!J71</f>
        <v>0</v>
      </c>
      <c r="H72" s="68">
        <f t="shared" si="0"/>
        <v>0</v>
      </c>
      <c r="J72" s="117">
        <f>'Schedule 2L Adjustments'!P71</f>
        <v>0</v>
      </c>
      <c r="K72" s="68">
        <f>'Schedule 2L Adjustments'!R71</f>
        <v>0</v>
      </c>
      <c r="L72" s="68">
        <f t="shared" si="1"/>
        <v>0</v>
      </c>
      <c r="N72" s="119">
        <f>'Schedule 2L Adjustments'!X71</f>
        <v>0</v>
      </c>
      <c r="O72" s="119">
        <f>'Schedule 2L Adjustments'!AA71</f>
        <v>0</v>
      </c>
    </row>
    <row r="73" spans="1:15" x14ac:dyDescent="0.35">
      <c r="A73" s="24">
        <v>58</v>
      </c>
      <c r="B73" s="514" t="str">
        <f>'Schedule 2L Adjustments'!B72:D72</f>
        <v/>
      </c>
      <c r="C73" s="514"/>
      <c r="D73" s="514"/>
      <c r="F73" s="117">
        <f>'Schedule 2L Adjustments'!H72</f>
        <v>0</v>
      </c>
      <c r="G73" s="68">
        <f>'Schedule 2L Adjustments'!J72</f>
        <v>0</v>
      </c>
      <c r="H73" s="68">
        <f t="shared" si="0"/>
        <v>0</v>
      </c>
      <c r="J73" s="117">
        <f>'Schedule 2L Adjustments'!P72</f>
        <v>0</v>
      </c>
      <c r="K73" s="68">
        <f>'Schedule 2L Adjustments'!R72</f>
        <v>0</v>
      </c>
      <c r="L73" s="68">
        <f t="shared" si="1"/>
        <v>0</v>
      </c>
      <c r="N73" s="119">
        <f>'Schedule 2L Adjustments'!X72</f>
        <v>0</v>
      </c>
      <c r="O73" s="119">
        <f>'Schedule 2L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tabColor rgb="FFF8971D"/>
  </sheetPr>
  <dimension ref="A1:O76"/>
  <sheetViews>
    <sheetView workbookViewId="0">
      <selection activeCell="J9" sqref="J9"/>
    </sheetView>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856</v>
      </c>
      <c r="B3" s="5"/>
      <c r="C3" s="5"/>
      <c r="D3" s="5"/>
      <c r="E3" s="5"/>
      <c r="F3" s="5"/>
      <c r="G3" s="5"/>
      <c r="H3" s="5"/>
    </row>
    <row r="4" spans="1:15" ht="25" customHeight="1" x14ac:dyDescent="0.5">
      <c r="A4" s="241" t="s">
        <v>834</v>
      </c>
      <c r="B4" s="356"/>
      <c r="C4" s="356"/>
      <c r="D4" s="356"/>
      <c r="E4" s="356"/>
      <c r="F4" s="356"/>
      <c r="G4" s="356"/>
      <c r="H4" s="356"/>
    </row>
    <row r="5" spans="1:15" ht="21" x14ac:dyDescent="0.5">
      <c r="A5" s="242" t="str">
        <f>Results!A4</f>
        <v>Final Adjustments</v>
      </c>
    </row>
    <row r="6" spans="1:15" x14ac:dyDescent="0.35">
      <c r="A6" s="1" t="s">
        <v>773</v>
      </c>
      <c r="C6" s="416" t="str">
        <f>Results!$C$6</f>
        <v>AllHealth Network</v>
      </c>
    </row>
    <row r="7" spans="1:15" x14ac:dyDescent="0.35">
      <c r="A7" s="1" t="s">
        <v>0</v>
      </c>
      <c r="C7" s="35">
        <f>Results!$C$7</f>
        <v>45473</v>
      </c>
      <c r="F7" s="35"/>
    </row>
    <row r="9" spans="1:15" x14ac:dyDescent="0.35">
      <c r="A9" s="1" t="s">
        <v>253</v>
      </c>
      <c r="B9" s="1" t="s">
        <v>835</v>
      </c>
      <c r="C9" s="1"/>
      <c r="J9" s="472" t="s">
        <v>1041</v>
      </c>
      <c r="K9" s="41" t="s">
        <v>259</v>
      </c>
    </row>
    <row r="11" spans="1:15" x14ac:dyDescent="0.35">
      <c r="A11" s="1" t="s">
        <v>254</v>
      </c>
      <c r="B11" s="1" t="s">
        <v>256</v>
      </c>
      <c r="C11" s="1"/>
    </row>
    <row r="12" spans="1:15" x14ac:dyDescent="0.35">
      <c r="B12" s="313" t="s">
        <v>598</v>
      </c>
    </row>
    <row r="13" spans="1:15" x14ac:dyDescent="0.35">
      <c r="B13" s="506">
        <v>1</v>
      </c>
      <c r="C13" s="506"/>
      <c r="D13" s="506"/>
      <c r="F13" s="23">
        <v>2</v>
      </c>
      <c r="G13" s="23">
        <v>3</v>
      </c>
      <c r="H13" s="23">
        <v>4</v>
      </c>
      <c r="J13" s="23">
        <v>5</v>
      </c>
      <c r="K13" s="23">
        <v>6</v>
      </c>
      <c r="L13" s="23">
        <v>7</v>
      </c>
      <c r="N13" s="23">
        <v>8</v>
      </c>
      <c r="O13" s="23">
        <v>9</v>
      </c>
    </row>
    <row r="14" spans="1:15" ht="15" customHeight="1" x14ac:dyDescent="0.35">
      <c r="B14" s="515" t="s">
        <v>612</v>
      </c>
      <c r="C14" s="516"/>
      <c r="D14" s="517"/>
      <c r="F14" s="509" t="s">
        <v>261</v>
      </c>
      <c r="G14" s="521"/>
      <c r="H14" s="510"/>
      <c r="J14" s="509" t="s">
        <v>262</v>
      </c>
      <c r="K14" s="521"/>
      <c r="L14" s="510"/>
      <c r="N14" s="522" t="s">
        <v>692</v>
      </c>
      <c r="O14" s="522" t="s">
        <v>693</v>
      </c>
    </row>
    <row r="15" spans="1:15" ht="55.5" customHeight="1" x14ac:dyDescent="0.35">
      <c r="B15" s="518"/>
      <c r="C15" s="519"/>
      <c r="D15" s="520"/>
      <c r="E15" s="48"/>
      <c r="F15" s="10" t="s">
        <v>689</v>
      </c>
      <c r="G15" s="150" t="s">
        <v>690</v>
      </c>
      <c r="H15" s="150" t="s">
        <v>691</v>
      </c>
      <c r="I15" s="100"/>
      <c r="J15" s="10" t="s">
        <v>689</v>
      </c>
      <c r="K15" s="150" t="s">
        <v>690</v>
      </c>
      <c r="L15" s="150" t="s">
        <v>691</v>
      </c>
      <c r="M15" s="48"/>
      <c r="N15" s="523"/>
      <c r="O15" s="523"/>
    </row>
    <row r="16" spans="1:15" x14ac:dyDescent="0.35">
      <c r="A16" s="24">
        <v>1</v>
      </c>
      <c r="B16" s="514" t="str">
        <f>'Schedule 2M Adjustments'!B15:D15</f>
        <v/>
      </c>
      <c r="C16" s="514"/>
      <c r="D16" s="514"/>
      <c r="F16" s="117">
        <f>'Schedule 2M Adjustments'!H15</f>
        <v>0</v>
      </c>
      <c r="G16" s="68">
        <f>'Schedule 2M Adjustments'!J15</f>
        <v>0</v>
      </c>
      <c r="H16" s="68">
        <f>SUM(F16:G16)</f>
        <v>0</v>
      </c>
      <c r="J16" s="117">
        <f>'Schedule 2M Adjustments'!P15</f>
        <v>0</v>
      </c>
      <c r="K16" s="68">
        <f>'Schedule 2M Adjustments'!R15</f>
        <v>0</v>
      </c>
      <c r="L16" s="68">
        <f>SUM(J16:K16)</f>
        <v>0</v>
      </c>
      <c r="N16" s="119">
        <f>'Schedule 2M Adjustments'!X15</f>
        <v>0</v>
      </c>
      <c r="O16" s="119">
        <f>'Schedule 2M Adjustments'!AA15</f>
        <v>0</v>
      </c>
    </row>
    <row r="17" spans="1:15" x14ac:dyDescent="0.35">
      <c r="A17" s="24">
        <v>2</v>
      </c>
      <c r="B17" s="514" t="str">
        <f>'Schedule 2M Adjustments'!B16:D16</f>
        <v/>
      </c>
      <c r="C17" s="514"/>
      <c r="D17" s="514"/>
      <c r="F17" s="117">
        <f>'Schedule 2M Adjustments'!H16</f>
        <v>0</v>
      </c>
      <c r="G17" s="68">
        <f>'Schedule 2M Adjustments'!J16</f>
        <v>0</v>
      </c>
      <c r="H17" s="68">
        <f t="shared" ref="H17:H73" si="0">SUM(F17:G17)</f>
        <v>0</v>
      </c>
      <c r="J17" s="117">
        <f>'Schedule 2M Adjustments'!P16</f>
        <v>0</v>
      </c>
      <c r="K17" s="68">
        <f>'Schedule 2M Adjustments'!R16</f>
        <v>0</v>
      </c>
      <c r="L17" s="68">
        <f t="shared" ref="L17:L73" si="1">SUM(J17:K17)</f>
        <v>0</v>
      </c>
      <c r="N17" s="119">
        <f>'Schedule 2M Adjustments'!X16</f>
        <v>0</v>
      </c>
      <c r="O17" s="119">
        <f>'Schedule 2M Adjustments'!AA16</f>
        <v>0</v>
      </c>
    </row>
    <row r="18" spans="1:15" x14ac:dyDescent="0.35">
      <c r="A18" s="24">
        <v>3</v>
      </c>
      <c r="B18" s="514" t="str">
        <f>'Schedule 2M Adjustments'!B17:D17</f>
        <v/>
      </c>
      <c r="C18" s="514"/>
      <c r="D18" s="514"/>
      <c r="F18" s="117">
        <f>'Schedule 2M Adjustments'!H17</f>
        <v>0</v>
      </c>
      <c r="G18" s="68">
        <f>'Schedule 2M Adjustments'!J17</f>
        <v>0</v>
      </c>
      <c r="H18" s="68">
        <f t="shared" si="0"/>
        <v>0</v>
      </c>
      <c r="J18" s="117">
        <f>'Schedule 2M Adjustments'!P17</f>
        <v>0</v>
      </c>
      <c r="K18" s="68">
        <f>'Schedule 2M Adjustments'!R17</f>
        <v>0</v>
      </c>
      <c r="L18" s="68">
        <f t="shared" si="1"/>
        <v>0</v>
      </c>
      <c r="N18" s="119">
        <f>'Schedule 2M Adjustments'!X17</f>
        <v>0</v>
      </c>
      <c r="O18" s="119">
        <f>'Schedule 2M Adjustments'!AA17</f>
        <v>0</v>
      </c>
    </row>
    <row r="19" spans="1:15" x14ac:dyDescent="0.35">
      <c r="A19" s="24">
        <v>4</v>
      </c>
      <c r="B19" s="514" t="str">
        <f>'Schedule 2M Adjustments'!B18:D18</f>
        <v/>
      </c>
      <c r="C19" s="514"/>
      <c r="D19" s="514"/>
      <c r="F19" s="117">
        <f>'Schedule 2M Adjustments'!H18</f>
        <v>0</v>
      </c>
      <c r="G19" s="68">
        <f>'Schedule 2M Adjustments'!J18</f>
        <v>0</v>
      </c>
      <c r="H19" s="68">
        <f t="shared" si="0"/>
        <v>0</v>
      </c>
      <c r="J19" s="117">
        <f>'Schedule 2M Adjustments'!P18</f>
        <v>0</v>
      </c>
      <c r="K19" s="68">
        <f>'Schedule 2M Adjustments'!R18</f>
        <v>0</v>
      </c>
      <c r="L19" s="68">
        <f t="shared" si="1"/>
        <v>0</v>
      </c>
      <c r="N19" s="119">
        <f>'Schedule 2M Adjustments'!X18</f>
        <v>0</v>
      </c>
      <c r="O19" s="119">
        <f>'Schedule 2M Adjustments'!AA18</f>
        <v>0</v>
      </c>
    </row>
    <row r="20" spans="1:15" x14ac:dyDescent="0.35">
      <c r="A20" s="24">
        <v>5</v>
      </c>
      <c r="B20" s="514" t="str">
        <f>'Schedule 2M Adjustments'!B19:D19</f>
        <v/>
      </c>
      <c r="C20" s="514"/>
      <c r="D20" s="514"/>
      <c r="F20" s="117">
        <f>'Schedule 2M Adjustments'!H19</f>
        <v>0</v>
      </c>
      <c r="G20" s="68">
        <f>'Schedule 2M Adjustments'!J19</f>
        <v>0</v>
      </c>
      <c r="H20" s="68">
        <f t="shared" si="0"/>
        <v>0</v>
      </c>
      <c r="J20" s="117">
        <f>'Schedule 2M Adjustments'!P19</f>
        <v>0</v>
      </c>
      <c r="K20" s="68">
        <f>'Schedule 2M Adjustments'!R19</f>
        <v>0</v>
      </c>
      <c r="L20" s="68">
        <f t="shared" si="1"/>
        <v>0</v>
      </c>
      <c r="N20" s="119">
        <f>'Schedule 2M Adjustments'!X19</f>
        <v>0</v>
      </c>
      <c r="O20" s="119">
        <f>'Schedule 2M Adjustments'!AA19</f>
        <v>0</v>
      </c>
    </row>
    <row r="21" spans="1:15" x14ac:dyDescent="0.35">
      <c r="A21" s="24">
        <v>6</v>
      </c>
      <c r="B21" s="514" t="str">
        <f>'Schedule 2M Adjustments'!B20:D20</f>
        <v/>
      </c>
      <c r="C21" s="514"/>
      <c r="D21" s="514"/>
      <c r="F21" s="117">
        <f>'Schedule 2M Adjustments'!H20</f>
        <v>0</v>
      </c>
      <c r="G21" s="68">
        <f>'Schedule 2M Adjustments'!J20</f>
        <v>0</v>
      </c>
      <c r="H21" s="68">
        <f t="shared" si="0"/>
        <v>0</v>
      </c>
      <c r="J21" s="117">
        <f>'Schedule 2M Adjustments'!P20</f>
        <v>0</v>
      </c>
      <c r="K21" s="68">
        <f>'Schedule 2M Adjustments'!R20</f>
        <v>0</v>
      </c>
      <c r="L21" s="68">
        <f t="shared" si="1"/>
        <v>0</v>
      </c>
      <c r="N21" s="119">
        <f>'Schedule 2M Adjustments'!X20</f>
        <v>0</v>
      </c>
      <c r="O21" s="119">
        <f>'Schedule 2M Adjustments'!AA20</f>
        <v>0</v>
      </c>
    </row>
    <row r="22" spans="1:15" x14ac:dyDescent="0.35">
      <c r="A22" s="24">
        <v>7</v>
      </c>
      <c r="B22" s="514" t="str">
        <f>'Schedule 2M Adjustments'!B21:D21</f>
        <v/>
      </c>
      <c r="C22" s="514"/>
      <c r="D22" s="514"/>
      <c r="F22" s="117">
        <f>'Schedule 2M Adjustments'!H21</f>
        <v>0</v>
      </c>
      <c r="G22" s="68">
        <f>'Schedule 2M Adjustments'!J21</f>
        <v>0</v>
      </c>
      <c r="H22" s="68">
        <f t="shared" si="0"/>
        <v>0</v>
      </c>
      <c r="J22" s="117">
        <f>'Schedule 2M Adjustments'!P21</f>
        <v>0</v>
      </c>
      <c r="K22" s="68">
        <f>'Schedule 2M Adjustments'!R21</f>
        <v>0</v>
      </c>
      <c r="L22" s="68">
        <f t="shared" si="1"/>
        <v>0</v>
      </c>
      <c r="N22" s="119">
        <f>'Schedule 2M Adjustments'!X21</f>
        <v>0</v>
      </c>
      <c r="O22" s="119">
        <f>'Schedule 2M Adjustments'!AA21</f>
        <v>0</v>
      </c>
    </row>
    <row r="23" spans="1:15" x14ac:dyDescent="0.35">
      <c r="A23" s="24">
        <v>8</v>
      </c>
      <c r="B23" s="514" t="str">
        <f>'Schedule 2M Adjustments'!B22:D22</f>
        <v/>
      </c>
      <c r="C23" s="514"/>
      <c r="D23" s="514"/>
      <c r="F23" s="117">
        <f>'Schedule 2M Adjustments'!H22</f>
        <v>0</v>
      </c>
      <c r="G23" s="68">
        <f>'Schedule 2M Adjustments'!J22</f>
        <v>0</v>
      </c>
      <c r="H23" s="68">
        <f t="shared" si="0"/>
        <v>0</v>
      </c>
      <c r="J23" s="117">
        <f>'Schedule 2M Adjustments'!P22</f>
        <v>0</v>
      </c>
      <c r="K23" s="68">
        <f>'Schedule 2M Adjustments'!R22</f>
        <v>0</v>
      </c>
      <c r="L23" s="68">
        <f t="shared" si="1"/>
        <v>0</v>
      </c>
      <c r="N23" s="119">
        <f>'Schedule 2M Adjustments'!X22</f>
        <v>0</v>
      </c>
      <c r="O23" s="119">
        <f>'Schedule 2M Adjustments'!AA22</f>
        <v>0</v>
      </c>
    </row>
    <row r="24" spans="1:15" x14ac:dyDescent="0.35">
      <c r="A24" s="24">
        <v>9</v>
      </c>
      <c r="B24" s="514" t="str">
        <f>'Schedule 2M Adjustments'!B23:D23</f>
        <v/>
      </c>
      <c r="C24" s="514"/>
      <c r="D24" s="514"/>
      <c r="F24" s="117">
        <f>'Schedule 2M Adjustments'!H23</f>
        <v>0</v>
      </c>
      <c r="G24" s="68">
        <f>'Schedule 2M Adjustments'!J23</f>
        <v>0</v>
      </c>
      <c r="H24" s="68">
        <f t="shared" si="0"/>
        <v>0</v>
      </c>
      <c r="J24" s="117">
        <f>'Schedule 2M Adjustments'!P23</f>
        <v>0</v>
      </c>
      <c r="K24" s="68">
        <f>'Schedule 2M Adjustments'!R23</f>
        <v>0</v>
      </c>
      <c r="L24" s="68">
        <f t="shared" si="1"/>
        <v>0</v>
      </c>
      <c r="N24" s="119">
        <f>'Schedule 2M Adjustments'!X23</f>
        <v>0</v>
      </c>
      <c r="O24" s="119">
        <f>'Schedule 2M Adjustments'!AA23</f>
        <v>0</v>
      </c>
    </row>
    <row r="25" spans="1:15" x14ac:dyDescent="0.35">
      <c r="A25" s="24">
        <v>10</v>
      </c>
      <c r="B25" s="514" t="str">
        <f>'Schedule 2M Adjustments'!B24:D24</f>
        <v/>
      </c>
      <c r="C25" s="514"/>
      <c r="D25" s="514"/>
      <c r="F25" s="117">
        <f>'Schedule 2M Adjustments'!H24</f>
        <v>0</v>
      </c>
      <c r="G25" s="68">
        <f>'Schedule 2M Adjustments'!J24</f>
        <v>0</v>
      </c>
      <c r="H25" s="68">
        <f t="shared" si="0"/>
        <v>0</v>
      </c>
      <c r="J25" s="117">
        <f>'Schedule 2M Adjustments'!P24</f>
        <v>0</v>
      </c>
      <c r="K25" s="68">
        <f>'Schedule 2M Adjustments'!R24</f>
        <v>0</v>
      </c>
      <c r="L25" s="68">
        <f t="shared" si="1"/>
        <v>0</v>
      </c>
      <c r="N25" s="119">
        <f>'Schedule 2M Adjustments'!X24</f>
        <v>0</v>
      </c>
      <c r="O25" s="119">
        <f>'Schedule 2M Adjustments'!AA24</f>
        <v>0</v>
      </c>
    </row>
    <row r="26" spans="1:15" x14ac:dyDescent="0.35">
      <c r="A26" s="24">
        <v>11</v>
      </c>
      <c r="B26" s="514" t="str">
        <f>'Schedule 2M Adjustments'!B25:D25</f>
        <v/>
      </c>
      <c r="C26" s="514"/>
      <c r="D26" s="514"/>
      <c r="F26" s="117">
        <f>'Schedule 2M Adjustments'!H25</f>
        <v>0</v>
      </c>
      <c r="G26" s="68">
        <f>'Schedule 2M Adjustments'!J25</f>
        <v>0</v>
      </c>
      <c r="H26" s="68">
        <f t="shared" si="0"/>
        <v>0</v>
      </c>
      <c r="J26" s="117">
        <f>'Schedule 2M Adjustments'!P25</f>
        <v>0</v>
      </c>
      <c r="K26" s="68">
        <f>'Schedule 2M Adjustments'!R25</f>
        <v>0</v>
      </c>
      <c r="L26" s="68">
        <f t="shared" si="1"/>
        <v>0</v>
      </c>
      <c r="N26" s="119">
        <f>'Schedule 2M Adjustments'!X25</f>
        <v>0</v>
      </c>
      <c r="O26" s="119">
        <f>'Schedule 2M Adjustments'!AA25</f>
        <v>0</v>
      </c>
    </row>
    <row r="27" spans="1:15" x14ac:dyDescent="0.35">
      <c r="A27" s="24">
        <v>12</v>
      </c>
      <c r="B27" s="514" t="str">
        <f>'Schedule 2M Adjustments'!B26:D26</f>
        <v/>
      </c>
      <c r="C27" s="514"/>
      <c r="D27" s="514"/>
      <c r="F27" s="117">
        <f>'Schedule 2M Adjustments'!H26</f>
        <v>0</v>
      </c>
      <c r="G27" s="68">
        <f>'Schedule 2M Adjustments'!J26</f>
        <v>0</v>
      </c>
      <c r="H27" s="68">
        <f t="shared" si="0"/>
        <v>0</v>
      </c>
      <c r="J27" s="117">
        <f>'Schedule 2M Adjustments'!P26</f>
        <v>0</v>
      </c>
      <c r="K27" s="68">
        <f>'Schedule 2M Adjustments'!R26</f>
        <v>0</v>
      </c>
      <c r="L27" s="68">
        <f t="shared" si="1"/>
        <v>0</v>
      </c>
      <c r="N27" s="119">
        <f>'Schedule 2M Adjustments'!X26</f>
        <v>0</v>
      </c>
      <c r="O27" s="119">
        <f>'Schedule 2M Adjustments'!AA26</f>
        <v>0</v>
      </c>
    </row>
    <row r="28" spans="1:15" x14ac:dyDescent="0.35">
      <c r="A28" s="24">
        <v>13</v>
      </c>
      <c r="B28" s="514" t="str">
        <f>'Schedule 2M Adjustments'!B27:D27</f>
        <v/>
      </c>
      <c r="C28" s="514"/>
      <c r="D28" s="514"/>
      <c r="F28" s="117">
        <f>'Schedule 2M Adjustments'!H27</f>
        <v>0</v>
      </c>
      <c r="G28" s="68">
        <f>'Schedule 2M Adjustments'!J27</f>
        <v>0</v>
      </c>
      <c r="H28" s="68">
        <f t="shared" si="0"/>
        <v>0</v>
      </c>
      <c r="J28" s="117">
        <f>'Schedule 2M Adjustments'!P27</f>
        <v>0</v>
      </c>
      <c r="K28" s="68">
        <f>'Schedule 2M Adjustments'!R27</f>
        <v>0</v>
      </c>
      <c r="L28" s="68">
        <f t="shared" si="1"/>
        <v>0</v>
      </c>
      <c r="N28" s="119">
        <f>'Schedule 2M Adjustments'!X27</f>
        <v>0</v>
      </c>
      <c r="O28" s="119">
        <f>'Schedule 2M Adjustments'!AA27</f>
        <v>0</v>
      </c>
    </row>
    <row r="29" spans="1:15" x14ac:dyDescent="0.35">
      <c r="A29" s="24">
        <v>14</v>
      </c>
      <c r="B29" s="514" t="str">
        <f>'Schedule 2M Adjustments'!B28:D28</f>
        <v/>
      </c>
      <c r="C29" s="514"/>
      <c r="D29" s="514"/>
      <c r="F29" s="117">
        <f>'Schedule 2M Adjustments'!H28</f>
        <v>0</v>
      </c>
      <c r="G29" s="68">
        <f>'Schedule 2M Adjustments'!J28</f>
        <v>0</v>
      </c>
      <c r="H29" s="68">
        <f t="shared" si="0"/>
        <v>0</v>
      </c>
      <c r="J29" s="117">
        <f>'Schedule 2M Adjustments'!P28</f>
        <v>0</v>
      </c>
      <c r="K29" s="68">
        <f>'Schedule 2M Adjustments'!R28</f>
        <v>0</v>
      </c>
      <c r="L29" s="68">
        <f t="shared" si="1"/>
        <v>0</v>
      </c>
      <c r="N29" s="119">
        <f>'Schedule 2M Adjustments'!X28</f>
        <v>0</v>
      </c>
      <c r="O29" s="119">
        <f>'Schedule 2M Adjustments'!AA28</f>
        <v>0</v>
      </c>
    </row>
    <row r="30" spans="1:15" x14ac:dyDescent="0.35">
      <c r="A30" s="24">
        <v>15</v>
      </c>
      <c r="B30" s="514" t="str">
        <f>'Schedule 2M Adjustments'!B29:D29</f>
        <v/>
      </c>
      <c r="C30" s="514"/>
      <c r="D30" s="514"/>
      <c r="F30" s="117">
        <f>'Schedule 2M Adjustments'!H29</f>
        <v>0</v>
      </c>
      <c r="G30" s="68">
        <f>'Schedule 2M Adjustments'!J29</f>
        <v>0</v>
      </c>
      <c r="H30" s="68">
        <f t="shared" si="0"/>
        <v>0</v>
      </c>
      <c r="J30" s="117">
        <f>'Schedule 2M Adjustments'!P29</f>
        <v>0</v>
      </c>
      <c r="K30" s="68">
        <f>'Schedule 2M Adjustments'!R29</f>
        <v>0</v>
      </c>
      <c r="L30" s="68">
        <f t="shared" si="1"/>
        <v>0</v>
      </c>
      <c r="N30" s="119">
        <f>'Schedule 2M Adjustments'!X29</f>
        <v>0</v>
      </c>
      <c r="O30" s="119">
        <f>'Schedule 2M Adjustments'!AA29</f>
        <v>0</v>
      </c>
    </row>
    <row r="31" spans="1:15" x14ac:dyDescent="0.35">
      <c r="A31" s="24">
        <v>16</v>
      </c>
      <c r="B31" s="514" t="str">
        <f>'Schedule 2M Adjustments'!B30:D30</f>
        <v/>
      </c>
      <c r="C31" s="514"/>
      <c r="D31" s="514"/>
      <c r="F31" s="117">
        <f>'Schedule 2M Adjustments'!H30</f>
        <v>0</v>
      </c>
      <c r="G31" s="68">
        <f>'Schedule 2M Adjustments'!J30</f>
        <v>0</v>
      </c>
      <c r="H31" s="68">
        <f t="shared" si="0"/>
        <v>0</v>
      </c>
      <c r="J31" s="117">
        <f>'Schedule 2M Adjustments'!P30</f>
        <v>0</v>
      </c>
      <c r="K31" s="68">
        <f>'Schedule 2M Adjustments'!R30</f>
        <v>0</v>
      </c>
      <c r="L31" s="68">
        <f t="shared" si="1"/>
        <v>0</v>
      </c>
      <c r="N31" s="119">
        <f>'Schedule 2M Adjustments'!X30</f>
        <v>0</v>
      </c>
      <c r="O31" s="119">
        <f>'Schedule 2M Adjustments'!AA30</f>
        <v>0</v>
      </c>
    </row>
    <row r="32" spans="1:15" x14ac:dyDescent="0.35">
      <c r="A32" s="24">
        <v>17</v>
      </c>
      <c r="B32" s="514" t="str">
        <f>'Schedule 2M Adjustments'!B31:D31</f>
        <v/>
      </c>
      <c r="C32" s="514"/>
      <c r="D32" s="514"/>
      <c r="F32" s="117">
        <f>'Schedule 2M Adjustments'!H31</f>
        <v>0</v>
      </c>
      <c r="G32" s="68">
        <f>'Schedule 2M Adjustments'!J31</f>
        <v>0</v>
      </c>
      <c r="H32" s="68">
        <f t="shared" si="0"/>
        <v>0</v>
      </c>
      <c r="J32" s="117">
        <f>'Schedule 2M Adjustments'!P31</f>
        <v>0</v>
      </c>
      <c r="K32" s="68">
        <f>'Schedule 2M Adjustments'!R31</f>
        <v>0</v>
      </c>
      <c r="L32" s="68">
        <f t="shared" si="1"/>
        <v>0</v>
      </c>
      <c r="N32" s="119">
        <f>'Schedule 2M Adjustments'!X31</f>
        <v>0</v>
      </c>
      <c r="O32" s="119">
        <f>'Schedule 2M Adjustments'!AA31</f>
        <v>0</v>
      </c>
    </row>
    <row r="33" spans="1:15" x14ac:dyDescent="0.35">
      <c r="A33" s="24">
        <v>18</v>
      </c>
      <c r="B33" s="514" t="str">
        <f>'Schedule 2M Adjustments'!B32:D32</f>
        <v/>
      </c>
      <c r="C33" s="514"/>
      <c r="D33" s="514"/>
      <c r="F33" s="117">
        <f>'Schedule 2M Adjustments'!H32</f>
        <v>0</v>
      </c>
      <c r="G33" s="68">
        <f>'Schedule 2M Adjustments'!J32</f>
        <v>0</v>
      </c>
      <c r="H33" s="68">
        <f t="shared" si="0"/>
        <v>0</v>
      </c>
      <c r="J33" s="117">
        <f>'Schedule 2M Adjustments'!P32</f>
        <v>0</v>
      </c>
      <c r="K33" s="68">
        <f>'Schedule 2M Adjustments'!R32</f>
        <v>0</v>
      </c>
      <c r="L33" s="68">
        <f t="shared" si="1"/>
        <v>0</v>
      </c>
      <c r="N33" s="119">
        <f>'Schedule 2M Adjustments'!X32</f>
        <v>0</v>
      </c>
      <c r="O33" s="119">
        <f>'Schedule 2M Adjustments'!AA32</f>
        <v>0</v>
      </c>
    </row>
    <row r="34" spans="1:15" x14ac:dyDescent="0.35">
      <c r="A34" s="24">
        <v>19</v>
      </c>
      <c r="B34" s="514" t="str">
        <f>'Schedule 2M Adjustments'!B33:D33</f>
        <v/>
      </c>
      <c r="C34" s="514"/>
      <c r="D34" s="514"/>
      <c r="F34" s="117">
        <f>'Schedule 2M Adjustments'!H33</f>
        <v>0</v>
      </c>
      <c r="G34" s="68">
        <f>'Schedule 2M Adjustments'!J33</f>
        <v>0</v>
      </c>
      <c r="H34" s="68">
        <f t="shared" si="0"/>
        <v>0</v>
      </c>
      <c r="J34" s="117">
        <f>'Schedule 2M Adjustments'!P33</f>
        <v>0</v>
      </c>
      <c r="K34" s="68">
        <f>'Schedule 2M Adjustments'!R33</f>
        <v>0</v>
      </c>
      <c r="L34" s="68">
        <f t="shared" si="1"/>
        <v>0</v>
      </c>
      <c r="N34" s="119">
        <f>'Schedule 2M Adjustments'!X33</f>
        <v>0</v>
      </c>
      <c r="O34" s="119">
        <f>'Schedule 2M Adjustments'!AA33</f>
        <v>0</v>
      </c>
    </row>
    <row r="35" spans="1:15" x14ac:dyDescent="0.35">
      <c r="A35" s="24">
        <v>20</v>
      </c>
      <c r="B35" s="514" t="str">
        <f>'Schedule 2M Adjustments'!B34:D34</f>
        <v/>
      </c>
      <c r="C35" s="514"/>
      <c r="D35" s="514"/>
      <c r="F35" s="117">
        <f>'Schedule 2M Adjustments'!H34</f>
        <v>0</v>
      </c>
      <c r="G35" s="68">
        <f>'Schedule 2M Adjustments'!J34</f>
        <v>0</v>
      </c>
      <c r="H35" s="68">
        <f t="shared" si="0"/>
        <v>0</v>
      </c>
      <c r="J35" s="117">
        <f>'Schedule 2M Adjustments'!P34</f>
        <v>0</v>
      </c>
      <c r="K35" s="68">
        <f>'Schedule 2M Adjustments'!R34</f>
        <v>0</v>
      </c>
      <c r="L35" s="68">
        <f t="shared" si="1"/>
        <v>0</v>
      </c>
      <c r="N35" s="119">
        <f>'Schedule 2M Adjustments'!X34</f>
        <v>0</v>
      </c>
      <c r="O35" s="119">
        <f>'Schedule 2M Adjustments'!AA34</f>
        <v>0</v>
      </c>
    </row>
    <row r="36" spans="1:15" x14ac:dyDescent="0.35">
      <c r="A36" s="24">
        <v>21</v>
      </c>
      <c r="B36" s="514" t="str">
        <f>'Schedule 2M Adjustments'!B35:D35</f>
        <v/>
      </c>
      <c r="C36" s="514"/>
      <c r="D36" s="514"/>
      <c r="F36" s="117">
        <f>'Schedule 2M Adjustments'!H35</f>
        <v>0</v>
      </c>
      <c r="G36" s="68">
        <f>'Schedule 2M Adjustments'!J35</f>
        <v>0</v>
      </c>
      <c r="H36" s="68">
        <f t="shared" si="0"/>
        <v>0</v>
      </c>
      <c r="J36" s="117">
        <f>'Schedule 2M Adjustments'!P35</f>
        <v>0</v>
      </c>
      <c r="K36" s="68">
        <f>'Schedule 2M Adjustments'!R35</f>
        <v>0</v>
      </c>
      <c r="L36" s="68">
        <f t="shared" si="1"/>
        <v>0</v>
      </c>
      <c r="N36" s="119">
        <f>'Schedule 2M Adjustments'!X35</f>
        <v>0</v>
      </c>
      <c r="O36" s="119">
        <f>'Schedule 2M Adjustments'!AA35</f>
        <v>0</v>
      </c>
    </row>
    <row r="37" spans="1:15" x14ac:dyDescent="0.35">
      <c r="A37" s="24">
        <v>22</v>
      </c>
      <c r="B37" s="514" t="str">
        <f>'Schedule 2M Adjustments'!B36:D36</f>
        <v/>
      </c>
      <c r="C37" s="514"/>
      <c r="D37" s="514"/>
      <c r="F37" s="117">
        <f>'Schedule 2M Adjustments'!H36</f>
        <v>0</v>
      </c>
      <c r="G37" s="68">
        <f>'Schedule 2M Adjustments'!J36</f>
        <v>0</v>
      </c>
      <c r="H37" s="68">
        <f t="shared" si="0"/>
        <v>0</v>
      </c>
      <c r="J37" s="117">
        <f>'Schedule 2M Adjustments'!P36</f>
        <v>0</v>
      </c>
      <c r="K37" s="68">
        <f>'Schedule 2M Adjustments'!R36</f>
        <v>0</v>
      </c>
      <c r="L37" s="68">
        <f t="shared" si="1"/>
        <v>0</v>
      </c>
      <c r="N37" s="119">
        <f>'Schedule 2M Adjustments'!X36</f>
        <v>0</v>
      </c>
      <c r="O37" s="119">
        <f>'Schedule 2M Adjustments'!AA36</f>
        <v>0</v>
      </c>
    </row>
    <row r="38" spans="1:15" x14ac:dyDescent="0.35">
      <c r="A38" s="24">
        <v>23</v>
      </c>
      <c r="B38" s="514" t="str">
        <f>'Schedule 2M Adjustments'!B37:D37</f>
        <v/>
      </c>
      <c r="C38" s="514"/>
      <c r="D38" s="514"/>
      <c r="F38" s="117">
        <f>'Schedule 2M Adjustments'!H37</f>
        <v>0</v>
      </c>
      <c r="G38" s="68">
        <f>'Schedule 2M Adjustments'!J37</f>
        <v>0</v>
      </c>
      <c r="H38" s="68">
        <f t="shared" si="0"/>
        <v>0</v>
      </c>
      <c r="J38" s="117">
        <f>'Schedule 2M Adjustments'!P37</f>
        <v>0</v>
      </c>
      <c r="K38" s="68">
        <f>'Schedule 2M Adjustments'!R37</f>
        <v>0</v>
      </c>
      <c r="L38" s="68">
        <f t="shared" si="1"/>
        <v>0</v>
      </c>
      <c r="N38" s="119">
        <f>'Schedule 2M Adjustments'!X37</f>
        <v>0</v>
      </c>
      <c r="O38" s="119">
        <f>'Schedule 2M Adjustments'!AA37</f>
        <v>0</v>
      </c>
    </row>
    <row r="39" spans="1:15" x14ac:dyDescent="0.35">
      <c r="A39" s="24">
        <v>24</v>
      </c>
      <c r="B39" s="514" t="str">
        <f>'Schedule 2M Adjustments'!B38:D38</f>
        <v/>
      </c>
      <c r="C39" s="514"/>
      <c r="D39" s="514"/>
      <c r="F39" s="117">
        <f>'Schedule 2M Adjustments'!H38</f>
        <v>0</v>
      </c>
      <c r="G39" s="68">
        <f>'Schedule 2M Adjustments'!J38</f>
        <v>0</v>
      </c>
      <c r="H39" s="68">
        <f t="shared" si="0"/>
        <v>0</v>
      </c>
      <c r="J39" s="117">
        <f>'Schedule 2M Adjustments'!P38</f>
        <v>0</v>
      </c>
      <c r="K39" s="68">
        <f>'Schedule 2M Adjustments'!R38</f>
        <v>0</v>
      </c>
      <c r="L39" s="68">
        <f t="shared" si="1"/>
        <v>0</v>
      </c>
      <c r="N39" s="119">
        <f>'Schedule 2M Adjustments'!X38</f>
        <v>0</v>
      </c>
      <c r="O39" s="119">
        <f>'Schedule 2M Adjustments'!AA38</f>
        <v>0</v>
      </c>
    </row>
    <row r="40" spans="1:15" x14ac:dyDescent="0.35">
      <c r="A40" s="24">
        <v>25</v>
      </c>
      <c r="B40" s="514" t="str">
        <f>'Schedule 2M Adjustments'!B39:D39</f>
        <v/>
      </c>
      <c r="C40" s="514"/>
      <c r="D40" s="514"/>
      <c r="F40" s="117">
        <f>'Schedule 2M Adjustments'!H39</f>
        <v>0</v>
      </c>
      <c r="G40" s="68">
        <f>'Schedule 2M Adjustments'!J39</f>
        <v>0</v>
      </c>
      <c r="H40" s="68">
        <f t="shared" si="0"/>
        <v>0</v>
      </c>
      <c r="J40" s="117">
        <f>'Schedule 2M Adjustments'!P39</f>
        <v>0</v>
      </c>
      <c r="K40" s="68">
        <f>'Schedule 2M Adjustments'!R39</f>
        <v>0</v>
      </c>
      <c r="L40" s="68">
        <f t="shared" si="1"/>
        <v>0</v>
      </c>
      <c r="N40" s="119">
        <f>'Schedule 2M Adjustments'!X39</f>
        <v>0</v>
      </c>
      <c r="O40" s="119">
        <f>'Schedule 2M Adjustments'!AA39</f>
        <v>0</v>
      </c>
    </row>
    <row r="41" spans="1:15" x14ac:dyDescent="0.35">
      <c r="A41" s="24">
        <v>26</v>
      </c>
      <c r="B41" s="514" t="str">
        <f>'Schedule 2M Adjustments'!B40:D40</f>
        <v/>
      </c>
      <c r="C41" s="514"/>
      <c r="D41" s="514"/>
      <c r="F41" s="117">
        <f>'Schedule 2M Adjustments'!H40</f>
        <v>0</v>
      </c>
      <c r="G41" s="68">
        <f>'Schedule 2M Adjustments'!J40</f>
        <v>0</v>
      </c>
      <c r="H41" s="68">
        <f t="shared" si="0"/>
        <v>0</v>
      </c>
      <c r="J41" s="117">
        <f>'Schedule 2M Adjustments'!P40</f>
        <v>0</v>
      </c>
      <c r="K41" s="68">
        <f>'Schedule 2M Adjustments'!R40</f>
        <v>0</v>
      </c>
      <c r="L41" s="68">
        <f t="shared" si="1"/>
        <v>0</v>
      </c>
      <c r="N41" s="119">
        <f>'Schedule 2M Adjustments'!X40</f>
        <v>0</v>
      </c>
      <c r="O41" s="119">
        <f>'Schedule 2M Adjustments'!AA40</f>
        <v>0</v>
      </c>
    </row>
    <row r="42" spans="1:15" x14ac:dyDescent="0.35">
      <c r="A42" s="24">
        <v>27</v>
      </c>
      <c r="B42" s="514" t="str">
        <f>'Schedule 2M Adjustments'!B41:D41</f>
        <v/>
      </c>
      <c r="C42" s="514"/>
      <c r="D42" s="514"/>
      <c r="F42" s="117">
        <f>'Schedule 2M Adjustments'!H41</f>
        <v>0</v>
      </c>
      <c r="G42" s="68">
        <f>'Schedule 2M Adjustments'!J41</f>
        <v>0</v>
      </c>
      <c r="H42" s="68">
        <f t="shared" si="0"/>
        <v>0</v>
      </c>
      <c r="J42" s="117">
        <f>'Schedule 2M Adjustments'!P41</f>
        <v>0</v>
      </c>
      <c r="K42" s="68">
        <f>'Schedule 2M Adjustments'!R41</f>
        <v>0</v>
      </c>
      <c r="L42" s="68">
        <f t="shared" si="1"/>
        <v>0</v>
      </c>
      <c r="N42" s="119">
        <f>'Schedule 2M Adjustments'!X41</f>
        <v>0</v>
      </c>
      <c r="O42" s="119">
        <f>'Schedule 2M Adjustments'!AA41</f>
        <v>0</v>
      </c>
    </row>
    <row r="43" spans="1:15" x14ac:dyDescent="0.35">
      <c r="A43" s="24">
        <v>28</v>
      </c>
      <c r="B43" s="514" t="str">
        <f>'Schedule 2M Adjustments'!B42:D42</f>
        <v/>
      </c>
      <c r="C43" s="514"/>
      <c r="D43" s="514"/>
      <c r="F43" s="117">
        <f>'Schedule 2M Adjustments'!H42</f>
        <v>0</v>
      </c>
      <c r="G43" s="68">
        <f>'Schedule 2M Adjustments'!J42</f>
        <v>0</v>
      </c>
      <c r="H43" s="68">
        <f t="shared" si="0"/>
        <v>0</v>
      </c>
      <c r="J43" s="117">
        <f>'Schedule 2M Adjustments'!P42</f>
        <v>0</v>
      </c>
      <c r="K43" s="68">
        <f>'Schedule 2M Adjustments'!R42</f>
        <v>0</v>
      </c>
      <c r="L43" s="68">
        <f t="shared" si="1"/>
        <v>0</v>
      </c>
      <c r="N43" s="119">
        <f>'Schedule 2M Adjustments'!X42</f>
        <v>0</v>
      </c>
      <c r="O43" s="119">
        <f>'Schedule 2M Adjustments'!AA42</f>
        <v>0</v>
      </c>
    </row>
    <row r="44" spans="1:15" x14ac:dyDescent="0.35">
      <c r="A44" s="24">
        <v>29</v>
      </c>
      <c r="B44" s="514" t="str">
        <f>'Schedule 2M Adjustments'!B43:D43</f>
        <v/>
      </c>
      <c r="C44" s="514"/>
      <c r="D44" s="514"/>
      <c r="F44" s="117">
        <f>'Schedule 2M Adjustments'!H43</f>
        <v>0</v>
      </c>
      <c r="G44" s="68">
        <f>'Schedule 2M Adjustments'!J43</f>
        <v>0</v>
      </c>
      <c r="H44" s="68">
        <f t="shared" si="0"/>
        <v>0</v>
      </c>
      <c r="J44" s="117">
        <f>'Schedule 2M Adjustments'!P43</f>
        <v>0</v>
      </c>
      <c r="K44" s="68">
        <f>'Schedule 2M Adjustments'!R43</f>
        <v>0</v>
      </c>
      <c r="L44" s="68">
        <f t="shared" si="1"/>
        <v>0</v>
      </c>
      <c r="N44" s="119">
        <f>'Schedule 2M Adjustments'!X43</f>
        <v>0</v>
      </c>
      <c r="O44" s="119">
        <f>'Schedule 2M Adjustments'!AA43</f>
        <v>0</v>
      </c>
    </row>
    <row r="45" spans="1:15" x14ac:dyDescent="0.35">
      <c r="A45" s="24">
        <v>30</v>
      </c>
      <c r="B45" s="514" t="str">
        <f>'Schedule 2M Adjustments'!B44:D44</f>
        <v/>
      </c>
      <c r="C45" s="514"/>
      <c r="D45" s="514"/>
      <c r="F45" s="117">
        <f>'Schedule 2M Adjustments'!H44</f>
        <v>0</v>
      </c>
      <c r="G45" s="68">
        <f>'Schedule 2M Adjustments'!J44</f>
        <v>0</v>
      </c>
      <c r="H45" s="68">
        <f t="shared" si="0"/>
        <v>0</v>
      </c>
      <c r="J45" s="117">
        <f>'Schedule 2M Adjustments'!P44</f>
        <v>0</v>
      </c>
      <c r="K45" s="68">
        <f>'Schedule 2M Adjustments'!R44</f>
        <v>0</v>
      </c>
      <c r="L45" s="68">
        <f t="shared" si="1"/>
        <v>0</v>
      </c>
      <c r="N45" s="119">
        <f>'Schedule 2M Adjustments'!X44</f>
        <v>0</v>
      </c>
      <c r="O45" s="119">
        <f>'Schedule 2M Adjustments'!AA44</f>
        <v>0</v>
      </c>
    </row>
    <row r="46" spans="1:15" x14ac:dyDescent="0.35">
      <c r="A46" s="24">
        <v>31</v>
      </c>
      <c r="B46" s="514" t="str">
        <f>'Schedule 2M Adjustments'!B45:D45</f>
        <v/>
      </c>
      <c r="C46" s="514"/>
      <c r="D46" s="514"/>
      <c r="F46" s="117">
        <f>'Schedule 2M Adjustments'!H45</f>
        <v>0</v>
      </c>
      <c r="G46" s="68">
        <f>'Schedule 2M Adjustments'!J45</f>
        <v>0</v>
      </c>
      <c r="H46" s="68">
        <f t="shared" si="0"/>
        <v>0</v>
      </c>
      <c r="J46" s="117">
        <f>'Schedule 2M Adjustments'!P45</f>
        <v>0</v>
      </c>
      <c r="K46" s="68">
        <f>'Schedule 2M Adjustments'!R45</f>
        <v>0</v>
      </c>
      <c r="L46" s="68">
        <f t="shared" si="1"/>
        <v>0</v>
      </c>
      <c r="N46" s="119">
        <f>'Schedule 2M Adjustments'!X45</f>
        <v>0</v>
      </c>
      <c r="O46" s="119">
        <f>'Schedule 2M Adjustments'!AA45</f>
        <v>0</v>
      </c>
    </row>
    <row r="47" spans="1:15" x14ac:dyDescent="0.35">
      <c r="A47" s="24">
        <v>32</v>
      </c>
      <c r="B47" s="514" t="str">
        <f>'Schedule 2M Adjustments'!B46:D46</f>
        <v/>
      </c>
      <c r="C47" s="514"/>
      <c r="D47" s="514"/>
      <c r="F47" s="117">
        <f>'Schedule 2M Adjustments'!H46</f>
        <v>0</v>
      </c>
      <c r="G47" s="68">
        <f>'Schedule 2M Adjustments'!J46</f>
        <v>0</v>
      </c>
      <c r="H47" s="68">
        <f t="shared" si="0"/>
        <v>0</v>
      </c>
      <c r="J47" s="117">
        <f>'Schedule 2M Adjustments'!P46</f>
        <v>0</v>
      </c>
      <c r="K47" s="68">
        <f>'Schedule 2M Adjustments'!R46</f>
        <v>0</v>
      </c>
      <c r="L47" s="68">
        <f t="shared" si="1"/>
        <v>0</v>
      </c>
      <c r="N47" s="119">
        <f>'Schedule 2M Adjustments'!X46</f>
        <v>0</v>
      </c>
      <c r="O47" s="119">
        <f>'Schedule 2M Adjustments'!AA46</f>
        <v>0</v>
      </c>
    </row>
    <row r="48" spans="1:15" x14ac:dyDescent="0.35">
      <c r="A48" s="24">
        <v>33</v>
      </c>
      <c r="B48" s="514" t="str">
        <f>'Schedule 2M Adjustments'!B47:D47</f>
        <v/>
      </c>
      <c r="C48" s="514"/>
      <c r="D48" s="514"/>
      <c r="F48" s="117">
        <f>'Schedule 2M Adjustments'!H47</f>
        <v>0</v>
      </c>
      <c r="G48" s="68">
        <f>'Schedule 2M Adjustments'!J47</f>
        <v>0</v>
      </c>
      <c r="H48" s="68">
        <f t="shared" si="0"/>
        <v>0</v>
      </c>
      <c r="J48" s="117">
        <f>'Schedule 2M Adjustments'!P47</f>
        <v>0</v>
      </c>
      <c r="K48" s="68">
        <f>'Schedule 2M Adjustments'!R47</f>
        <v>0</v>
      </c>
      <c r="L48" s="68">
        <f t="shared" si="1"/>
        <v>0</v>
      </c>
      <c r="N48" s="119">
        <f>'Schedule 2M Adjustments'!X47</f>
        <v>0</v>
      </c>
      <c r="O48" s="119">
        <f>'Schedule 2M Adjustments'!AA47</f>
        <v>0</v>
      </c>
    </row>
    <row r="49" spans="1:15" x14ac:dyDescent="0.35">
      <c r="A49" s="24">
        <v>34</v>
      </c>
      <c r="B49" s="514" t="str">
        <f>'Schedule 2M Adjustments'!B48:D48</f>
        <v/>
      </c>
      <c r="C49" s="514"/>
      <c r="D49" s="514"/>
      <c r="F49" s="117">
        <f>'Schedule 2M Adjustments'!H48</f>
        <v>0</v>
      </c>
      <c r="G49" s="68">
        <f>'Schedule 2M Adjustments'!J48</f>
        <v>0</v>
      </c>
      <c r="H49" s="68">
        <f t="shared" si="0"/>
        <v>0</v>
      </c>
      <c r="J49" s="117">
        <f>'Schedule 2M Adjustments'!P48</f>
        <v>0</v>
      </c>
      <c r="K49" s="68">
        <f>'Schedule 2M Adjustments'!R48</f>
        <v>0</v>
      </c>
      <c r="L49" s="68">
        <f t="shared" si="1"/>
        <v>0</v>
      </c>
      <c r="N49" s="119">
        <f>'Schedule 2M Adjustments'!X48</f>
        <v>0</v>
      </c>
      <c r="O49" s="119">
        <f>'Schedule 2M Adjustments'!AA48</f>
        <v>0</v>
      </c>
    </row>
    <row r="50" spans="1:15" x14ac:dyDescent="0.35">
      <c r="A50" s="24">
        <v>35</v>
      </c>
      <c r="B50" s="514" t="str">
        <f>'Schedule 2M Adjustments'!B49:D49</f>
        <v/>
      </c>
      <c r="C50" s="514"/>
      <c r="D50" s="514"/>
      <c r="F50" s="117">
        <f>'Schedule 2M Adjustments'!H49</f>
        <v>0</v>
      </c>
      <c r="G50" s="68">
        <f>'Schedule 2M Adjustments'!J49</f>
        <v>0</v>
      </c>
      <c r="H50" s="68">
        <f t="shared" si="0"/>
        <v>0</v>
      </c>
      <c r="J50" s="117">
        <f>'Schedule 2M Adjustments'!P49</f>
        <v>0</v>
      </c>
      <c r="K50" s="68">
        <f>'Schedule 2M Adjustments'!R49</f>
        <v>0</v>
      </c>
      <c r="L50" s="68">
        <f t="shared" si="1"/>
        <v>0</v>
      </c>
      <c r="N50" s="119">
        <f>'Schedule 2M Adjustments'!X49</f>
        <v>0</v>
      </c>
      <c r="O50" s="119">
        <f>'Schedule 2M Adjustments'!AA49</f>
        <v>0</v>
      </c>
    </row>
    <row r="51" spans="1:15" x14ac:dyDescent="0.35">
      <c r="A51" s="24">
        <v>36</v>
      </c>
      <c r="B51" s="514" t="str">
        <f>'Schedule 2M Adjustments'!B50:D50</f>
        <v/>
      </c>
      <c r="C51" s="514"/>
      <c r="D51" s="514"/>
      <c r="F51" s="117">
        <f>'Schedule 2M Adjustments'!H50</f>
        <v>0</v>
      </c>
      <c r="G51" s="68">
        <f>'Schedule 2M Adjustments'!J50</f>
        <v>0</v>
      </c>
      <c r="H51" s="68">
        <f t="shared" si="0"/>
        <v>0</v>
      </c>
      <c r="J51" s="117">
        <f>'Schedule 2M Adjustments'!P50</f>
        <v>0</v>
      </c>
      <c r="K51" s="68">
        <f>'Schedule 2M Adjustments'!R50</f>
        <v>0</v>
      </c>
      <c r="L51" s="68">
        <f t="shared" si="1"/>
        <v>0</v>
      </c>
      <c r="N51" s="119">
        <f>'Schedule 2M Adjustments'!X50</f>
        <v>0</v>
      </c>
      <c r="O51" s="119">
        <f>'Schedule 2M Adjustments'!AA50</f>
        <v>0</v>
      </c>
    </row>
    <row r="52" spans="1:15" x14ac:dyDescent="0.35">
      <c r="A52" s="24">
        <v>37</v>
      </c>
      <c r="B52" s="514" t="str">
        <f>'Schedule 2M Adjustments'!B51:D51</f>
        <v/>
      </c>
      <c r="C52" s="514"/>
      <c r="D52" s="514"/>
      <c r="F52" s="117">
        <f>'Schedule 2M Adjustments'!H51</f>
        <v>0</v>
      </c>
      <c r="G52" s="68">
        <f>'Schedule 2M Adjustments'!J51</f>
        <v>0</v>
      </c>
      <c r="H52" s="68">
        <f t="shared" si="0"/>
        <v>0</v>
      </c>
      <c r="J52" s="117">
        <f>'Schedule 2M Adjustments'!P51</f>
        <v>0</v>
      </c>
      <c r="K52" s="68">
        <f>'Schedule 2M Adjustments'!R51</f>
        <v>0</v>
      </c>
      <c r="L52" s="68">
        <f t="shared" si="1"/>
        <v>0</v>
      </c>
      <c r="N52" s="119">
        <f>'Schedule 2M Adjustments'!X51</f>
        <v>0</v>
      </c>
      <c r="O52" s="119">
        <f>'Schedule 2M Adjustments'!AA51</f>
        <v>0</v>
      </c>
    </row>
    <row r="53" spans="1:15" x14ac:dyDescent="0.35">
      <c r="A53" s="24">
        <v>38</v>
      </c>
      <c r="B53" s="514" t="str">
        <f>'Schedule 2M Adjustments'!B52:D52</f>
        <v/>
      </c>
      <c r="C53" s="514"/>
      <c r="D53" s="514"/>
      <c r="F53" s="117">
        <f>'Schedule 2M Adjustments'!H52</f>
        <v>0</v>
      </c>
      <c r="G53" s="68">
        <f>'Schedule 2M Adjustments'!J52</f>
        <v>0</v>
      </c>
      <c r="H53" s="68">
        <f t="shared" si="0"/>
        <v>0</v>
      </c>
      <c r="J53" s="117">
        <f>'Schedule 2M Adjustments'!P52</f>
        <v>0</v>
      </c>
      <c r="K53" s="68">
        <f>'Schedule 2M Adjustments'!R52</f>
        <v>0</v>
      </c>
      <c r="L53" s="68">
        <f t="shared" si="1"/>
        <v>0</v>
      </c>
      <c r="N53" s="119">
        <f>'Schedule 2M Adjustments'!X52</f>
        <v>0</v>
      </c>
      <c r="O53" s="119">
        <f>'Schedule 2M Adjustments'!AA52</f>
        <v>0</v>
      </c>
    </row>
    <row r="54" spans="1:15" x14ac:dyDescent="0.35">
      <c r="A54" s="24">
        <v>39</v>
      </c>
      <c r="B54" s="514" t="str">
        <f>'Schedule 2M Adjustments'!B53:D53</f>
        <v/>
      </c>
      <c r="C54" s="514"/>
      <c r="D54" s="514"/>
      <c r="F54" s="117">
        <f>'Schedule 2M Adjustments'!H53</f>
        <v>0</v>
      </c>
      <c r="G54" s="68">
        <f>'Schedule 2M Adjustments'!J53</f>
        <v>0</v>
      </c>
      <c r="H54" s="68">
        <f t="shared" si="0"/>
        <v>0</v>
      </c>
      <c r="J54" s="117">
        <f>'Schedule 2M Adjustments'!P53</f>
        <v>0</v>
      </c>
      <c r="K54" s="68">
        <f>'Schedule 2M Adjustments'!R53</f>
        <v>0</v>
      </c>
      <c r="L54" s="68">
        <f t="shared" si="1"/>
        <v>0</v>
      </c>
      <c r="N54" s="119">
        <f>'Schedule 2M Adjustments'!X53</f>
        <v>0</v>
      </c>
      <c r="O54" s="119">
        <f>'Schedule 2M Adjustments'!AA53</f>
        <v>0</v>
      </c>
    </row>
    <row r="55" spans="1:15" x14ac:dyDescent="0.35">
      <c r="A55" s="24">
        <v>40</v>
      </c>
      <c r="B55" s="514" t="str">
        <f>'Schedule 2M Adjustments'!B54:D54</f>
        <v/>
      </c>
      <c r="C55" s="514"/>
      <c r="D55" s="514"/>
      <c r="F55" s="117">
        <f>'Schedule 2M Adjustments'!H54</f>
        <v>0</v>
      </c>
      <c r="G55" s="68">
        <f>'Schedule 2M Adjustments'!J54</f>
        <v>0</v>
      </c>
      <c r="H55" s="68">
        <f t="shared" si="0"/>
        <v>0</v>
      </c>
      <c r="J55" s="117">
        <f>'Schedule 2M Adjustments'!P54</f>
        <v>0</v>
      </c>
      <c r="K55" s="68">
        <f>'Schedule 2M Adjustments'!R54</f>
        <v>0</v>
      </c>
      <c r="L55" s="68">
        <f t="shared" si="1"/>
        <v>0</v>
      </c>
      <c r="N55" s="119">
        <f>'Schedule 2M Adjustments'!X54</f>
        <v>0</v>
      </c>
      <c r="O55" s="119">
        <f>'Schedule 2M Adjustments'!AA54</f>
        <v>0</v>
      </c>
    </row>
    <row r="56" spans="1:15" x14ac:dyDescent="0.35">
      <c r="A56" s="24">
        <v>41</v>
      </c>
      <c r="B56" s="514" t="str">
        <f>'Schedule 2M Adjustments'!B55:D55</f>
        <v/>
      </c>
      <c r="C56" s="514"/>
      <c r="D56" s="514"/>
      <c r="F56" s="117">
        <f>'Schedule 2M Adjustments'!H55</f>
        <v>0</v>
      </c>
      <c r="G56" s="68">
        <f>'Schedule 2M Adjustments'!J55</f>
        <v>0</v>
      </c>
      <c r="H56" s="68">
        <f t="shared" si="0"/>
        <v>0</v>
      </c>
      <c r="J56" s="117">
        <f>'Schedule 2M Adjustments'!P55</f>
        <v>0</v>
      </c>
      <c r="K56" s="68">
        <f>'Schedule 2M Adjustments'!R55</f>
        <v>0</v>
      </c>
      <c r="L56" s="68">
        <f t="shared" si="1"/>
        <v>0</v>
      </c>
      <c r="N56" s="119">
        <f>'Schedule 2M Adjustments'!X55</f>
        <v>0</v>
      </c>
      <c r="O56" s="119">
        <f>'Schedule 2M Adjustments'!AA55</f>
        <v>0</v>
      </c>
    </row>
    <row r="57" spans="1:15" x14ac:dyDescent="0.35">
      <c r="A57" s="24">
        <v>42</v>
      </c>
      <c r="B57" s="514" t="str">
        <f>'Schedule 2M Adjustments'!B56:D56</f>
        <v/>
      </c>
      <c r="C57" s="514"/>
      <c r="D57" s="514"/>
      <c r="F57" s="117">
        <f>'Schedule 2M Adjustments'!H56</f>
        <v>0</v>
      </c>
      <c r="G57" s="68">
        <f>'Schedule 2M Adjustments'!J56</f>
        <v>0</v>
      </c>
      <c r="H57" s="68">
        <f t="shared" si="0"/>
        <v>0</v>
      </c>
      <c r="J57" s="117">
        <f>'Schedule 2M Adjustments'!P56</f>
        <v>0</v>
      </c>
      <c r="K57" s="68">
        <f>'Schedule 2M Adjustments'!R56</f>
        <v>0</v>
      </c>
      <c r="L57" s="68">
        <f t="shared" si="1"/>
        <v>0</v>
      </c>
      <c r="N57" s="119">
        <f>'Schedule 2M Adjustments'!X56</f>
        <v>0</v>
      </c>
      <c r="O57" s="119">
        <f>'Schedule 2M Adjustments'!AA56</f>
        <v>0</v>
      </c>
    </row>
    <row r="58" spans="1:15" x14ac:dyDescent="0.35">
      <c r="A58" s="24">
        <v>43</v>
      </c>
      <c r="B58" s="514" t="str">
        <f>'Schedule 2M Adjustments'!B57:D57</f>
        <v/>
      </c>
      <c r="C58" s="514"/>
      <c r="D58" s="514"/>
      <c r="F58" s="117">
        <f>'Schedule 2M Adjustments'!H57</f>
        <v>0</v>
      </c>
      <c r="G58" s="68">
        <f>'Schedule 2M Adjustments'!J57</f>
        <v>0</v>
      </c>
      <c r="H58" s="68">
        <f t="shared" si="0"/>
        <v>0</v>
      </c>
      <c r="J58" s="117">
        <f>'Schedule 2M Adjustments'!P57</f>
        <v>0</v>
      </c>
      <c r="K58" s="68">
        <f>'Schedule 2M Adjustments'!R57</f>
        <v>0</v>
      </c>
      <c r="L58" s="68">
        <f t="shared" si="1"/>
        <v>0</v>
      </c>
      <c r="N58" s="119">
        <f>'Schedule 2M Adjustments'!X57</f>
        <v>0</v>
      </c>
      <c r="O58" s="119">
        <f>'Schedule 2M Adjustments'!AA57</f>
        <v>0</v>
      </c>
    </row>
    <row r="59" spans="1:15" x14ac:dyDescent="0.35">
      <c r="A59" s="24">
        <v>44</v>
      </c>
      <c r="B59" s="514" t="str">
        <f>'Schedule 2M Adjustments'!B58:D58</f>
        <v/>
      </c>
      <c r="C59" s="514"/>
      <c r="D59" s="514"/>
      <c r="F59" s="117">
        <f>'Schedule 2M Adjustments'!H58</f>
        <v>0</v>
      </c>
      <c r="G59" s="68">
        <f>'Schedule 2M Adjustments'!J58</f>
        <v>0</v>
      </c>
      <c r="H59" s="68">
        <f t="shared" si="0"/>
        <v>0</v>
      </c>
      <c r="J59" s="117">
        <f>'Schedule 2M Adjustments'!P58</f>
        <v>0</v>
      </c>
      <c r="K59" s="68">
        <f>'Schedule 2M Adjustments'!R58</f>
        <v>0</v>
      </c>
      <c r="L59" s="68">
        <f t="shared" si="1"/>
        <v>0</v>
      </c>
      <c r="N59" s="119">
        <f>'Schedule 2M Adjustments'!X58</f>
        <v>0</v>
      </c>
      <c r="O59" s="119">
        <f>'Schedule 2M Adjustments'!AA58</f>
        <v>0</v>
      </c>
    </row>
    <row r="60" spans="1:15" x14ac:dyDescent="0.35">
      <c r="A60" s="24">
        <v>45</v>
      </c>
      <c r="B60" s="514" t="str">
        <f>'Schedule 2M Adjustments'!B59:D59</f>
        <v/>
      </c>
      <c r="C60" s="514"/>
      <c r="D60" s="514"/>
      <c r="F60" s="117">
        <f>'Schedule 2M Adjustments'!H59</f>
        <v>0</v>
      </c>
      <c r="G60" s="68">
        <f>'Schedule 2M Adjustments'!J59</f>
        <v>0</v>
      </c>
      <c r="H60" s="68">
        <f t="shared" si="0"/>
        <v>0</v>
      </c>
      <c r="J60" s="117">
        <f>'Schedule 2M Adjustments'!P59</f>
        <v>0</v>
      </c>
      <c r="K60" s="68">
        <f>'Schedule 2M Adjustments'!R59</f>
        <v>0</v>
      </c>
      <c r="L60" s="68">
        <f t="shared" si="1"/>
        <v>0</v>
      </c>
      <c r="N60" s="119">
        <f>'Schedule 2M Adjustments'!X59</f>
        <v>0</v>
      </c>
      <c r="O60" s="119">
        <f>'Schedule 2M Adjustments'!AA59</f>
        <v>0</v>
      </c>
    </row>
    <row r="61" spans="1:15" x14ac:dyDescent="0.35">
      <c r="A61" s="24">
        <v>46</v>
      </c>
      <c r="B61" s="514" t="str">
        <f>'Schedule 2M Adjustments'!B60:D60</f>
        <v/>
      </c>
      <c r="C61" s="514"/>
      <c r="D61" s="514"/>
      <c r="F61" s="117">
        <f>'Schedule 2M Adjustments'!H60</f>
        <v>0</v>
      </c>
      <c r="G61" s="68">
        <f>'Schedule 2M Adjustments'!J60</f>
        <v>0</v>
      </c>
      <c r="H61" s="68">
        <f t="shared" si="0"/>
        <v>0</v>
      </c>
      <c r="J61" s="117">
        <f>'Schedule 2M Adjustments'!P60</f>
        <v>0</v>
      </c>
      <c r="K61" s="68">
        <f>'Schedule 2M Adjustments'!R60</f>
        <v>0</v>
      </c>
      <c r="L61" s="68">
        <f t="shared" si="1"/>
        <v>0</v>
      </c>
      <c r="N61" s="119">
        <f>'Schedule 2M Adjustments'!X60</f>
        <v>0</v>
      </c>
      <c r="O61" s="119">
        <f>'Schedule 2M Adjustments'!AA60</f>
        <v>0</v>
      </c>
    </row>
    <row r="62" spans="1:15" x14ac:dyDescent="0.35">
      <c r="A62" s="24">
        <v>47</v>
      </c>
      <c r="B62" s="514" t="str">
        <f>'Schedule 2M Adjustments'!B61:D61</f>
        <v/>
      </c>
      <c r="C62" s="514"/>
      <c r="D62" s="514"/>
      <c r="F62" s="117">
        <f>'Schedule 2M Adjustments'!H61</f>
        <v>0</v>
      </c>
      <c r="G62" s="68">
        <f>'Schedule 2M Adjustments'!J61</f>
        <v>0</v>
      </c>
      <c r="H62" s="68">
        <f t="shared" si="0"/>
        <v>0</v>
      </c>
      <c r="J62" s="117">
        <f>'Schedule 2M Adjustments'!P61</f>
        <v>0</v>
      </c>
      <c r="K62" s="68">
        <f>'Schedule 2M Adjustments'!R61</f>
        <v>0</v>
      </c>
      <c r="L62" s="68">
        <f t="shared" si="1"/>
        <v>0</v>
      </c>
      <c r="N62" s="119">
        <f>'Schedule 2M Adjustments'!X61</f>
        <v>0</v>
      </c>
      <c r="O62" s="119">
        <f>'Schedule 2M Adjustments'!AA61</f>
        <v>0</v>
      </c>
    </row>
    <row r="63" spans="1:15" x14ac:dyDescent="0.35">
      <c r="A63" s="24">
        <v>48</v>
      </c>
      <c r="B63" s="514" t="str">
        <f>'Schedule 2M Adjustments'!B62:D62</f>
        <v/>
      </c>
      <c r="C63" s="514"/>
      <c r="D63" s="514"/>
      <c r="F63" s="117">
        <f>'Schedule 2M Adjustments'!H62</f>
        <v>0</v>
      </c>
      <c r="G63" s="68">
        <f>'Schedule 2M Adjustments'!J62</f>
        <v>0</v>
      </c>
      <c r="H63" s="68">
        <f t="shared" si="0"/>
        <v>0</v>
      </c>
      <c r="J63" s="117">
        <f>'Schedule 2M Adjustments'!P62</f>
        <v>0</v>
      </c>
      <c r="K63" s="68">
        <f>'Schedule 2M Adjustments'!R62</f>
        <v>0</v>
      </c>
      <c r="L63" s="68">
        <f t="shared" si="1"/>
        <v>0</v>
      </c>
      <c r="N63" s="119">
        <f>'Schedule 2M Adjustments'!X62</f>
        <v>0</v>
      </c>
      <c r="O63" s="119">
        <f>'Schedule 2M Adjustments'!AA62</f>
        <v>0</v>
      </c>
    </row>
    <row r="64" spans="1:15" x14ac:dyDescent="0.35">
      <c r="A64" s="24">
        <v>49</v>
      </c>
      <c r="B64" s="514" t="str">
        <f>'Schedule 2M Adjustments'!B63:D63</f>
        <v/>
      </c>
      <c r="C64" s="514"/>
      <c r="D64" s="514"/>
      <c r="F64" s="117">
        <f>'Schedule 2M Adjustments'!H63</f>
        <v>0</v>
      </c>
      <c r="G64" s="68">
        <f>'Schedule 2M Adjustments'!J63</f>
        <v>0</v>
      </c>
      <c r="H64" s="68">
        <f t="shared" si="0"/>
        <v>0</v>
      </c>
      <c r="J64" s="117">
        <f>'Schedule 2M Adjustments'!P63</f>
        <v>0</v>
      </c>
      <c r="K64" s="68">
        <f>'Schedule 2M Adjustments'!R63</f>
        <v>0</v>
      </c>
      <c r="L64" s="68">
        <f t="shared" si="1"/>
        <v>0</v>
      </c>
      <c r="N64" s="119">
        <f>'Schedule 2M Adjustments'!X63</f>
        <v>0</v>
      </c>
      <c r="O64" s="119">
        <f>'Schedule 2M Adjustments'!AA63</f>
        <v>0</v>
      </c>
    </row>
    <row r="65" spans="1:15" x14ac:dyDescent="0.35">
      <c r="A65" s="24">
        <v>50</v>
      </c>
      <c r="B65" s="514" t="str">
        <f>'Schedule 2M Adjustments'!B64:D64</f>
        <v/>
      </c>
      <c r="C65" s="514"/>
      <c r="D65" s="514"/>
      <c r="F65" s="117">
        <f>'Schedule 2M Adjustments'!H64</f>
        <v>0</v>
      </c>
      <c r="G65" s="68">
        <f>'Schedule 2M Adjustments'!J64</f>
        <v>0</v>
      </c>
      <c r="H65" s="68">
        <f t="shared" si="0"/>
        <v>0</v>
      </c>
      <c r="J65" s="117">
        <f>'Schedule 2M Adjustments'!P64</f>
        <v>0</v>
      </c>
      <c r="K65" s="68">
        <f>'Schedule 2M Adjustments'!R64</f>
        <v>0</v>
      </c>
      <c r="L65" s="68">
        <f t="shared" si="1"/>
        <v>0</v>
      </c>
      <c r="N65" s="119">
        <f>'Schedule 2M Adjustments'!X64</f>
        <v>0</v>
      </c>
      <c r="O65" s="119">
        <f>'Schedule 2M Adjustments'!AA64</f>
        <v>0</v>
      </c>
    </row>
    <row r="66" spans="1:15" x14ac:dyDescent="0.35">
      <c r="A66" s="24">
        <v>51</v>
      </c>
      <c r="B66" s="514" t="str">
        <f>'Schedule 2M Adjustments'!B65:D65</f>
        <v/>
      </c>
      <c r="C66" s="514"/>
      <c r="D66" s="514"/>
      <c r="F66" s="117">
        <f>'Schedule 2M Adjustments'!H65</f>
        <v>0</v>
      </c>
      <c r="G66" s="68">
        <f>'Schedule 2M Adjustments'!J65</f>
        <v>0</v>
      </c>
      <c r="H66" s="68">
        <f t="shared" si="0"/>
        <v>0</v>
      </c>
      <c r="J66" s="117">
        <f>'Schedule 2M Adjustments'!P65</f>
        <v>0</v>
      </c>
      <c r="K66" s="68">
        <f>'Schedule 2M Adjustments'!R65</f>
        <v>0</v>
      </c>
      <c r="L66" s="68">
        <f t="shared" si="1"/>
        <v>0</v>
      </c>
      <c r="N66" s="119">
        <f>'Schedule 2M Adjustments'!X65</f>
        <v>0</v>
      </c>
      <c r="O66" s="119">
        <f>'Schedule 2M Adjustments'!AA65</f>
        <v>0</v>
      </c>
    </row>
    <row r="67" spans="1:15" x14ac:dyDescent="0.35">
      <c r="A67" s="24">
        <v>52</v>
      </c>
      <c r="B67" s="514" t="str">
        <f>'Schedule 2M Adjustments'!B66:D66</f>
        <v/>
      </c>
      <c r="C67" s="514"/>
      <c r="D67" s="514"/>
      <c r="F67" s="117">
        <f>'Schedule 2M Adjustments'!H66</f>
        <v>0</v>
      </c>
      <c r="G67" s="68">
        <f>'Schedule 2M Adjustments'!J66</f>
        <v>0</v>
      </c>
      <c r="H67" s="68">
        <f t="shared" si="0"/>
        <v>0</v>
      </c>
      <c r="J67" s="117">
        <f>'Schedule 2M Adjustments'!P66</f>
        <v>0</v>
      </c>
      <c r="K67" s="68">
        <f>'Schedule 2M Adjustments'!R66</f>
        <v>0</v>
      </c>
      <c r="L67" s="68">
        <f t="shared" si="1"/>
        <v>0</v>
      </c>
      <c r="N67" s="119">
        <f>'Schedule 2M Adjustments'!X66</f>
        <v>0</v>
      </c>
      <c r="O67" s="119">
        <f>'Schedule 2M Adjustments'!AA66</f>
        <v>0</v>
      </c>
    </row>
    <row r="68" spans="1:15" x14ac:dyDescent="0.35">
      <c r="A68" s="24">
        <v>53</v>
      </c>
      <c r="B68" s="514" t="str">
        <f>'Schedule 2M Adjustments'!B67:D67</f>
        <v/>
      </c>
      <c r="C68" s="514"/>
      <c r="D68" s="514"/>
      <c r="F68" s="117">
        <f>'Schedule 2M Adjustments'!H67</f>
        <v>0</v>
      </c>
      <c r="G68" s="68">
        <f>'Schedule 2M Adjustments'!J67</f>
        <v>0</v>
      </c>
      <c r="H68" s="68">
        <f t="shared" si="0"/>
        <v>0</v>
      </c>
      <c r="J68" s="117">
        <f>'Schedule 2M Adjustments'!P67</f>
        <v>0</v>
      </c>
      <c r="K68" s="68">
        <f>'Schedule 2M Adjustments'!R67</f>
        <v>0</v>
      </c>
      <c r="L68" s="68">
        <f t="shared" si="1"/>
        <v>0</v>
      </c>
      <c r="N68" s="119">
        <f>'Schedule 2M Adjustments'!X67</f>
        <v>0</v>
      </c>
      <c r="O68" s="119">
        <f>'Schedule 2M Adjustments'!AA67</f>
        <v>0</v>
      </c>
    </row>
    <row r="69" spans="1:15" x14ac:dyDescent="0.35">
      <c r="A69" s="24">
        <v>54</v>
      </c>
      <c r="B69" s="514" t="str">
        <f>'Schedule 2M Adjustments'!B68:D68</f>
        <v/>
      </c>
      <c r="C69" s="514"/>
      <c r="D69" s="514"/>
      <c r="F69" s="117">
        <f>'Schedule 2M Adjustments'!H68</f>
        <v>0</v>
      </c>
      <c r="G69" s="68">
        <f>'Schedule 2M Adjustments'!J68</f>
        <v>0</v>
      </c>
      <c r="H69" s="68">
        <f t="shared" si="0"/>
        <v>0</v>
      </c>
      <c r="J69" s="117">
        <f>'Schedule 2M Adjustments'!P68</f>
        <v>0</v>
      </c>
      <c r="K69" s="68">
        <f>'Schedule 2M Adjustments'!R68</f>
        <v>0</v>
      </c>
      <c r="L69" s="68">
        <f t="shared" si="1"/>
        <v>0</v>
      </c>
      <c r="N69" s="119">
        <f>'Schedule 2M Adjustments'!X68</f>
        <v>0</v>
      </c>
      <c r="O69" s="119">
        <f>'Schedule 2M Adjustments'!AA68</f>
        <v>0</v>
      </c>
    </row>
    <row r="70" spans="1:15" x14ac:dyDescent="0.35">
      <c r="A70" s="24">
        <v>55</v>
      </c>
      <c r="B70" s="514" t="str">
        <f>'Schedule 2M Adjustments'!B69:D69</f>
        <v/>
      </c>
      <c r="C70" s="514"/>
      <c r="D70" s="514"/>
      <c r="F70" s="117">
        <f>'Schedule 2M Adjustments'!H69</f>
        <v>0</v>
      </c>
      <c r="G70" s="68">
        <f>'Schedule 2M Adjustments'!J69</f>
        <v>0</v>
      </c>
      <c r="H70" s="68">
        <f t="shared" si="0"/>
        <v>0</v>
      </c>
      <c r="J70" s="117">
        <f>'Schedule 2M Adjustments'!P69</f>
        <v>0</v>
      </c>
      <c r="K70" s="68">
        <f>'Schedule 2M Adjustments'!R69</f>
        <v>0</v>
      </c>
      <c r="L70" s="68">
        <f t="shared" si="1"/>
        <v>0</v>
      </c>
      <c r="N70" s="119">
        <f>'Schedule 2M Adjustments'!X69</f>
        <v>0</v>
      </c>
      <c r="O70" s="119">
        <f>'Schedule 2M Adjustments'!AA69</f>
        <v>0</v>
      </c>
    </row>
    <row r="71" spans="1:15" x14ac:dyDescent="0.35">
      <c r="A71" s="24">
        <v>56</v>
      </c>
      <c r="B71" s="514" t="str">
        <f>'Schedule 2M Adjustments'!B70:D70</f>
        <v/>
      </c>
      <c r="C71" s="514"/>
      <c r="D71" s="514"/>
      <c r="F71" s="117">
        <f>'Schedule 2M Adjustments'!H70</f>
        <v>0</v>
      </c>
      <c r="G71" s="68">
        <f>'Schedule 2M Adjustments'!J70</f>
        <v>0</v>
      </c>
      <c r="H71" s="68">
        <f t="shared" si="0"/>
        <v>0</v>
      </c>
      <c r="J71" s="117">
        <f>'Schedule 2M Adjustments'!P70</f>
        <v>0</v>
      </c>
      <c r="K71" s="68">
        <f>'Schedule 2M Adjustments'!R70</f>
        <v>0</v>
      </c>
      <c r="L71" s="68">
        <f t="shared" si="1"/>
        <v>0</v>
      </c>
      <c r="N71" s="119">
        <f>'Schedule 2M Adjustments'!X70</f>
        <v>0</v>
      </c>
      <c r="O71" s="119">
        <f>'Schedule 2M Adjustments'!AA70</f>
        <v>0</v>
      </c>
    </row>
    <row r="72" spans="1:15" x14ac:dyDescent="0.35">
      <c r="A72" s="24">
        <v>57</v>
      </c>
      <c r="B72" s="514" t="str">
        <f>'Schedule 2M Adjustments'!B71:D71</f>
        <v/>
      </c>
      <c r="C72" s="514"/>
      <c r="D72" s="514"/>
      <c r="F72" s="117">
        <f>'Schedule 2M Adjustments'!H71</f>
        <v>0</v>
      </c>
      <c r="G72" s="68">
        <f>'Schedule 2M Adjustments'!J71</f>
        <v>0</v>
      </c>
      <c r="H72" s="68">
        <f t="shared" si="0"/>
        <v>0</v>
      </c>
      <c r="J72" s="117">
        <f>'Schedule 2M Adjustments'!P71</f>
        <v>0</v>
      </c>
      <c r="K72" s="68">
        <f>'Schedule 2M Adjustments'!R71</f>
        <v>0</v>
      </c>
      <c r="L72" s="68">
        <f t="shared" si="1"/>
        <v>0</v>
      </c>
      <c r="N72" s="119">
        <f>'Schedule 2M Adjustments'!X71</f>
        <v>0</v>
      </c>
      <c r="O72" s="119">
        <f>'Schedule 2M Adjustments'!AA71</f>
        <v>0</v>
      </c>
    </row>
    <row r="73" spans="1:15" x14ac:dyDescent="0.35">
      <c r="A73" s="24">
        <v>58</v>
      </c>
      <c r="B73" s="514" t="str">
        <f>'Schedule 2M Adjustments'!B72:D72</f>
        <v/>
      </c>
      <c r="C73" s="514"/>
      <c r="D73" s="514"/>
      <c r="F73" s="117">
        <f>'Schedule 2M Adjustments'!H72</f>
        <v>0</v>
      </c>
      <c r="G73" s="68">
        <f>'Schedule 2M Adjustments'!J72</f>
        <v>0</v>
      </c>
      <c r="H73" s="68">
        <f t="shared" si="0"/>
        <v>0</v>
      </c>
      <c r="J73" s="117">
        <f>'Schedule 2M Adjustments'!P72</f>
        <v>0</v>
      </c>
      <c r="K73" s="68">
        <f>'Schedule 2M Adjustments'!R72</f>
        <v>0</v>
      </c>
      <c r="L73" s="68">
        <f t="shared" si="1"/>
        <v>0</v>
      </c>
      <c r="N73" s="119">
        <f>'Schedule 2M Adjustments'!X72</f>
        <v>0</v>
      </c>
      <c r="O73" s="119">
        <f>'Schedule 2M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8971D"/>
  </sheetPr>
  <dimension ref="A1:V262"/>
  <sheetViews>
    <sheetView workbookViewId="0">
      <selection activeCell="J24" sqref="J24"/>
    </sheetView>
  </sheetViews>
  <sheetFormatPr defaultColWidth="9.1796875" defaultRowHeight="14.5" x14ac:dyDescent="0.35"/>
  <cols>
    <col min="2" max="2" width="15.7265625" customWidth="1"/>
    <col min="3" max="3" width="20.7265625" customWidth="1"/>
    <col min="4" max="5" width="17.453125" customWidth="1"/>
    <col min="6" max="6" width="10.81640625" customWidth="1"/>
    <col min="7" max="7" width="16.7265625" style="137" customWidth="1"/>
    <col min="8" max="8" width="14.81640625" style="137" customWidth="1"/>
    <col min="9" max="9" width="9" customWidth="1"/>
    <col min="10" max="10" width="17.453125" customWidth="1"/>
    <col min="11" max="11" width="18.453125" customWidth="1"/>
    <col min="12" max="12" width="12.453125" customWidth="1"/>
    <col min="13" max="17" width="18.453125" customWidth="1"/>
    <col min="18" max="18" width="14.453125" customWidth="1"/>
    <col min="20" max="22" width="25.81640625" customWidth="1"/>
  </cols>
  <sheetData>
    <row r="1" spans="1:22" ht="26" x14ac:dyDescent="0.6">
      <c r="A1" s="3" t="s">
        <v>774</v>
      </c>
      <c r="C1" s="11"/>
      <c r="D1" s="4"/>
      <c r="E1" s="13"/>
      <c r="F1" s="13"/>
      <c r="G1" s="136"/>
      <c r="H1" s="136"/>
      <c r="I1" s="13"/>
      <c r="J1" s="13"/>
    </row>
    <row r="2" spans="1:22" ht="21" x14ac:dyDescent="0.5">
      <c r="A2" s="2" t="s">
        <v>772</v>
      </c>
      <c r="C2" s="11"/>
      <c r="D2" s="4"/>
      <c r="E2" s="13"/>
      <c r="F2" s="13"/>
      <c r="G2" s="136"/>
      <c r="H2" s="136"/>
      <c r="I2" s="13"/>
      <c r="J2" s="13"/>
    </row>
    <row r="3" spans="1:22" ht="25" customHeight="1" x14ac:dyDescent="0.5">
      <c r="A3" s="5" t="s">
        <v>924</v>
      </c>
      <c r="B3" s="5"/>
      <c r="C3" s="12"/>
      <c r="D3" s="7"/>
      <c r="E3" s="14"/>
      <c r="F3" s="13"/>
      <c r="G3" s="136"/>
      <c r="H3" s="14"/>
      <c r="I3" s="13"/>
    </row>
    <row r="4" spans="1:22" ht="25" customHeight="1" x14ac:dyDescent="0.5">
      <c r="A4" s="242" t="str">
        <f>Results!A4</f>
        <v>Final Adjustments</v>
      </c>
      <c r="B4" s="5"/>
      <c r="C4" s="12"/>
      <c r="D4" s="7"/>
      <c r="E4" s="14"/>
      <c r="F4" s="13"/>
      <c r="G4" s="136"/>
      <c r="H4" s="14"/>
      <c r="I4" s="13"/>
    </row>
    <row r="5" spans="1:22" x14ac:dyDescent="0.35">
      <c r="C5" s="11"/>
      <c r="D5" s="4"/>
      <c r="E5" s="13"/>
      <c r="F5" s="13"/>
      <c r="G5" s="136"/>
      <c r="H5" s="136"/>
      <c r="I5" s="13"/>
      <c r="J5" s="50"/>
      <c r="T5" s="129"/>
      <c r="U5" s="129"/>
      <c r="V5" s="129"/>
    </row>
    <row r="6" spans="1:22" x14ac:dyDescent="0.35">
      <c r="A6" s="1" t="s">
        <v>773</v>
      </c>
      <c r="C6" s="416" t="str">
        <f>Results!$C$6</f>
        <v>AllHealth Network</v>
      </c>
      <c r="D6" s="240"/>
      <c r="E6" s="13"/>
      <c r="F6" s="13"/>
      <c r="G6" s="136"/>
      <c r="H6" s="136"/>
      <c r="I6" s="13"/>
      <c r="J6" s="50"/>
      <c r="T6" s="40"/>
      <c r="U6" s="40"/>
      <c r="V6" s="40"/>
    </row>
    <row r="7" spans="1:22" x14ac:dyDescent="0.35">
      <c r="A7" s="1" t="s">
        <v>0</v>
      </c>
      <c r="C7" s="35">
        <f>Results!$C$7</f>
        <v>45473</v>
      </c>
      <c r="D7" s="35"/>
      <c r="E7" s="50"/>
      <c r="F7" s="13"/>
      <c r="G7" s="136"/>
      <c r="H7" s="136"/>
      <c r="I7" s="13"/>
      <c r="J7" s="50"/>
      <c r="T7" s="40"/>
      <c r="U7" s="40"/>
    </row>
    <row r="8" spans="1:22" x14ac:dyDescent="0.35">
      <c r="A8" s="203"/>
      <c r="B8" s="100"/>
      <c r="C8" s="204"/>
      <c r="D8" s="204"/>
      <c r="E8" s="205"/>
      <c r="F8" s="205"/>
      <c r="G8" s="206"/>
      <c r="H8" s="206"/>
      <c r="I8" s="205"/>
      <c r="J8" s="205"/>
      <c r="K8" s="100"/>
      <c r="L8" s="100"/>
      <c r="T8" s="40"/>
      <c r="U8" s="40"/>
      <c r="V8" s="40"/>
    </row>
    <row r="9" spans="1:22" x14ac:dyDescent="0.35">
      <c r="A9" s="203" t="s">
        <v>479</v>
      </c>
      <c r="B9" s="100"/>
      <c r="C9" s="100"/>
      <c r="D9" s="100"/>
      <c r="E9" s="100"/>
      <c r="F9" s="100"/>
      <c r="G9" s="203"/>
      <c r="H9" s="113"/>
      <c r="I9" s="100"/>
      <c r="J9" s="205"/>
      <c r="K9" s="100"/>
      <c r="L9" s="100"/>
      <c r="T9" s="40"/>
      <c r="U9" s="40"/>
      <c r="V9" s="40"/>
    </row>
    <row r="10" spans="1:22" ht="15" customHeight="1" x14ac:dyDescent="0.35">
      <c r="A10" s="502" t="s">
        <v>480</v>
      </c>
      <c r="B10" s="502"/>
      <c r="C10" s="502"/>
      <c r="D10" s="502"/>
      <c r="E10" s="502"/>
      <c r="F10" s="502"/>
      <c r="G10" s="502"/>
      <c r="H10" s="502"/>
      <c r="I10" s="502"/>
      <c r="J10" s="502"/>
      <c r="K10" s="502"/>
      <c r="L10" s="100"/>
      <c r="T10" s="40"/>
      <c r="U10" s="40"/>
      <c r="V10" s="40"/>
    </row>
    <row r="11" spans="1:22" x14ac:dyDescent="0.35">
      <c r="A11" s="502"/>
      <c r="B11" s="502"/>
      <c r="C11" s="502"/>
      <c r="D11" s="502"/>
      <c r="E11" s="502"/>
      <c r="F11" s="502"/>
      <c r="G11" s="502"/>
      <c r="H11" s="502"/>
      <c r="I11" s="502"/>
      <c r="J11" s="502"/>
      <c r="K11" s="502"/>
      <c r="L11" s="100"/>
      <c r="T11" s="40"/>
      <c r="U11" s="40"/>
      <c r="V11" s="40"/>
    </row>
    <row r="12" spans="1:22" x14ac:dyDescent="0.35">
      <c r="A12" s="502"/>
      <c r="B12" s="502"/>
      <c r="C12" s="502"/>
      <c r="D12" s="502"/>
      <c r="E12" s="502"/>
      <c r="F12" s="502"/>
      <c r="G12" s="502"/>
      <c r="H12" s="502"/>
      <c r="I12" s="502"/>
      <c r="J12" s="502"/>
      <c r="K12" s="502"/>
      <c r="L12" s="100"/>
      <c r="T12" s="40"/>
      <c r="U12" s="40"/>
      <c r="V12" s="40"/>
    </row>
    <row r="13" spans="1:22" x14ac:dyDescent="0.35">
      <c r="A13" s="203"/>
      <c r="B13" s="313"/>
      <c r="C13" s="204"/>
      <c r="D13" s="204"/>
      <c r="E13" s="205"/>
      <c r="F13" s="205"/>
      <c r="G13" s="206"/>
      <c r="H13" s="206"/>
      <c r="I13" s="205"/>
      <c r="J13" s="205"/>
      <c r="K13" s="100"/>
      <c r="L13" s="100"/>
      <c r="T13" s="40"/>
      <c r="U13" s="40"/>
      <c r="V13" s="40"/>
    </row>
    <row r="14" spans="1:22" x14ac:dyDescent="0.35">
      <c r="A14" s="100"/>
      <c r="B14" s="497">
        <v>1</v>
      </c>
      <c r="C14" s="498"/>
      <c r="D14" s="174">
        <v>2</v>
      </c>
      <c r="E14" s="174">
        <v>3</v>
      </c>
      <c r="F14" s="174">
        <v>4</v>
      </c>
      <c r="G14" s="174">
        <v>5</v>
      </c>
      <c r="H14" s="174">
        <v>6</v>
      </c>
      <c r="I14" s="174">
        <v>7</v>
      </c>
      <c r="J14" s="174">
        <v>8</v>
      </c>
      <c r="K14" s="174">
        <v>9</v>
      </c>
      <c r="L14" s="174">
        <v>10</v>
      </c>
      <c r="M14" s="23">
        <v>11</v>
      </c>
      <c r="N14" s="23">
        <v>12</v>
      </c>
      <c r="O14" s="23">
        <v>13</v>
      </c>
      <c r="P14" s="23">
        <v>14</v>
      </c>
      <c r="Q14" s="23">
        <v>15</v>
      </c>
      <c r="R14" s="23">
        <v>16</v>
      </c>
    </row>
    <row r="15" spans="1:22" x14ac:dyDescent="0.35">
      <c r="A15" s="100"/>
      <c r="B15" s="531" t="s">
        <v>632</v>
      </c>
      <c r="C15" s="532"/>
      <c r="D15" s="535" t="s">
        <v>633</v>
      </c>
      <c r="E15" s="535" t="s">
        <v>634</v>
      </c>
      <c r="F15" s="535" t="s">
        <v>635</v>
      </c>
      <c r="G15" s="537" t="s">
        <v>758</v>
      </c>
      <c r="H15" s="537" t="s">
        <v>759</v>
      </c>
      <c r="I15" s="207"/>
      <c r="J15" s="207"/>
      <c r="K15" s="535" t="s">
        <v>697</v>
      </c>
      <c r="L15" s="535" t="s">
        <v>698</v>
      </c>
      <c r="M15" s="528" t="s">
        <v>168</v>
      </c>
      <c r="N15" s="528"/>
      <c r="O15" s="528" t="s">
        <v>34</v>
      </c>
      <c r="P15" s="528"/>
      <c r="Q15" s="528" t="s">
        <v>169</v>
      </c>
      <c r="R15" s="528"/>
    </row>
    <row r="16" spans="1:22" ht="60" customHeight="1" x14ac:dyDescent="0.35">
      <c r="A16" s="100"/>
      <c r="B16" s="533"/>
      <c r="C16" s="534"/>
      <c r="D16" s="536"/>
      <c r="E16" s="536"/>
      <c r="F16" s="536"/>
      <c r="G16" s="538"/>
      <c r="H16" s="538"/>
      <c r="I16" s="208" t="s">
        <v>454</v>
      </c>
      <c r="J16" s="208" t="s">
        <v>494</v>
      </c>
      <c r="K16" s="536"/>
      <c r="L16" s="536"/>
      <c r="M16" s="10" t="s">
        <v>699</v>
      </c>
      <c r="N16" s="10" t="s">
        <v>700</v>
      </c>
      <c r="O16" s="10" t="s">
        <v>701</v>
      </c>
      <c r="P16" s="10" t="s">
        <v>702</v>
      </c>
      <c r="Q16" s="10" t="s">
        <v>703</v>
      </c>
      <c r="R16" s="10" t="s">
        <v>704</v>
      </c>
    </row>
    <row r="17" spans="1:18" x14ac:dyDescent="0.35">
      <c r="A17" s="100"/>
      <c r="B17" s="313" t="s">
        <v>598</v>
      </c>
      <c r="C17" s="209"/>
      <c r="D17" s="97"/>
      <c r="E17" s="97"/>
      <c r="F17" s="97"/>
      <c r="G17" s="210"/>
      <c r="H17" s="210"/>
      <c r="I17" s="97"/>
      <c r="J17" s="97"/>
      <c r="K17" s="97"/>
      <c r="L17" s="97"/>
      <c r="M17" s="6"/>
      <c r="N17" s="6"/>
      <c r="O17" s="6"/>
      <c r="P17" s="6"/>
      <c r="Q17" s="6"/>
      <c r="R17" s="6"/>
    </row>
    <row r="18" spans="1:18" s="34" customFormat="1" x14ac:dyDescent="0.35">
      <c r="A18" s="211">
        <v>1</v>
      </c>
      <c r="B18" s="529" t="str">
        <f>'Schedule 3 Adjustments'!B17:C17</f>
        <v>CSU</v>
      </c>
      <c r="C18" s="530"/>
      <c r="D18" s="360" t="str">
        <f>'Schedule 3 Adjustments'!D17</f>
        <v>CSU</v>
      </c>
      <c r="E18" s="360">
        <f>'Schedule 3 Adjustments'!E17</f>
        <v>0</v>
      </c>
      <c r="F18" s="365">
        <f>'Schedule 3 Adjustments'!F17</f>
        <v>15</v>
      </c>
      <c r="G18" s="368">
        <f>'Schedule 3 Adjustments'!G17</f>
        <v>0</v>
      </c>
      <c r="H18" s="368">
        <f>'Schedule 3 Adjustments'!H17</f>
        <v>0</v>
      </c>
      <c r="I18" s="212">
        <f>IF(B18=0,"",IF(AND(G18=0,H18=0),365,IF(AND(G18&gt;0,H18=0),$C$7-G18+1,IF(AND(G18=0,H18&gt;0),H18-($C$7-365),H18-G18+1))))</f>
        <v>365</v>
      </c>
      <c r="J18" s="98"/>
      <c r="K18" s="213">
        <f>SUM(K19:K21)</f>
        <v>3208</v>
      </c>
      <c r="L18" s="214">
        <f>IF(K18&gt;0,K18/(F18*I18),"")</f>
        <v>0.58593607305936068</v>
      </c>
      <c r="M18" s="125">
        <f>'Schedule 3 Adjustments'!R17</f>
        <v>5246377</v>
      </c>
      <c r="N18" s="85">
        <f>IFERROR(M18/K18,"")</f>
        <v>1635.4043017456358</v>
      </c>
      <c r="O18" s="125">
        <f>'Schedule 3 Adjustments'!W17</f>
        <v>633198</v>
      </c>
      <c r="P18" s="85">
        <f>IFERROR(O18/K18,"")</f>
        <v>197.38092269326683</v>
      </c>
      <c r="Q18" s="86">
        <f>IF(M18=0,"",M18-O18)</f>
        <v>4613179</v>
      </c>
      <c r="R18" s="85">
        <f>IFERROR(Q18/K18,"")</f>
        <v>1438.0233790523691</v>
      </c>
    </row>
    <row r="19" spans="1:18" x14ac:dyDescent="0.35">
      <c r="A19" s="215" t="s">
        <v>447</v>
      </c>
      <c r="B19" s="216"/>
      <c r="C19" s="216"/>
      <c r="D19" s="216"/>
      <c r="E19" s="216"/>
      <c r="F19" s="217"/>
      <c r="G19" s="218"/>
      <c r="H19" s="218"/>
      <c r="I19" s="219"/>
      <c r="J19" s="364" t="str">
        <f>'Schedule 3 Adjustments'!J18</f>
        <v>H0018</v>
      </c>
      <c r="K19" s="220">
        <f>'Schedule 3 Adjustments'!M18</f>
        <v>3208</v>
      </c>
      <c r="L19" s="221"/>
      <c r="M19" s="87"/>
      <c r="N19" s="87"/>
      <c r="O19" s="87"/>
      <c r="P19" s="87"/>
      <c r="Q19" s="87"/>
      <c r="R19" s="87"/>
    </row>
    <row r="20" spans="1:18" x14ac:dyDescent="0.35">
      <c r="A20" s="222" t="s">
        <v>448</v>
      </c>
      <c r="B20" s="223"/>
      <c r="C20" s="223"/>
      <c r="D20" s="223"/>
      <c r="E20" s="223"/>
      <c r="F20" s="224"/>
      <c r="G20" s="225"/>
      <c r="H20" s="225"/>
      <c r="I20" s="226"/>
      <c r="J20" s="366">
        <f>'Schedule 3 Adjustments'!J19</f>
        <v>0</v>
      </c>
      <c r="K20" s="227">
        <f>'Schedule 3 Adjustments'!M19</f>
        <v>0</v>
      </c>
      <c r="L20" s="228"/>
      <c r="M20" s="88"/>
      <c r="N20" s="88"/>
      <c r="O20" s="88"/>
      <c r="P20" s="88"/>
      <c r="Q20" s="88"/>
      <c r="R20" s="88"/>
    </row>
    <row r="21" spans="1:18" x14ac:dyDescent="0.35">
      <c r="A21" s="229" t="s">
        <v>449</v>
      </c>
      <c r="B21" s="223"/>
      <c r="C21" s="223"/>
      <c r="D21" s="223"/>
      <c r="E21" s="223"/>
      <c r="F21" s="224"/>
      <c r="G21" s="225"/>
      <c r="H21" s="225"/>
      <c r="I21" s="226"/>
      <c r="J21" s="367">
        <f>'Schedule 3 Adjustments'!J20</f>
        <v>0</v>
      </c>
      <c r="K21" s="230">
        <f>'Schedule 3 Adjustments'!M20</f>
        <v>0</v>
      </c>
      <c r="L21" s="228"/>
      <c r="M21" s="88"/>
      <c r="N21" s="88"/>
      <c r="O21" s="88"/>
      <c r="P21" s="88"/>
      <c r="Q21" s="88"/>
      <c r="R21" s="88"/>
    </row>
    <row r="22" spans="1:18" x14ac:dyDescent="0.35">
      <c r="J22" s="100"/>
      <c r="L22" s="28"/>
    </row>
    <row r="23" spans="1:18" s="34" customFormat="1" x14ac:dyDescent="0.35">
      <c r="A23" s="84">
        <v>2</v>
      </c>
      <c r="B23" s="529" t="str">
        <f>'Schedule 3 Adjustments'!B22:C22</f>
        <v>ATU</v>
      </c>
      <c r="C23" s="530"/>
      <c r="D23" s="360" t="str">
        <f>'Schedule 3 Adjustments'!D22</f>
        <v>ATU</v>
      </c>
      <c r="E23" s="360">
        <f>'Schedule 3 Adjustments'!E22</f>
        <v>0</v>
      </c>
      <c r="F23" s="365">
        <f>'Schedule 3 Adjustments'!F22</f>
        <v>16</v>
      </c>
      <c r="G23" s="368">
        <f>'Schedule 3 Adjustments'!G22</f>
        <v>0</v>
      </c>
      <c r="H23" s="368">
        <f>'Schedule 3 Adjustments'!H22</f>
        <v>0</v>
      </c>
      <c r="I23" s="138">
        <f>IF(B23=0,"",IF(AND(G23=0,H23=0),365,IF(AND(G23&gt;0,H23=0),$C$7-G23+1,IF(AND(G23=0,H23&gt;0),H23-($C$7-365),H23-G23+1))))</f>
        <v>365</v>
      </c>
      <c r="J23" s="98"/>
      <c r="K23" s="8">
        <f>SUM(K24:K26)</f>
        <v>3878</v>
      </c>
      <c r="L23" s="91">
        <f>IF(K23&gt;0,K23/(F23*I23),"")</f>
        <v>0.66404109589041094</v>
      </c>
      <c r="M23" s="125">
        <f>'Schedule 3 Adjustments'!R22</f>
        <v>6791859</v>
      </c>
      <c r="N23" s="85">
        <f>IFERROR(M23/K23,"")</f>
        <v>1751.3818978855079</v>
      </c>
      <c r="O23" s="125">
        <f>'Schedule 3 Adjustments'!W22</f>
        <v>779895</v>
      </c>
      <c r="P23" s="85">
        <f>IFERROR(O23/K23,"")</f>
        <v>201.10752965446108</v>
      </c>
      <c r="Q23" s="86">
        <f>IF(M23=0,"",M23-O23)</f>
        <v>6011964</v>
      </c>
      <c r="R23" s="85">
        <f>IFERROR(Q23/K23,"")</f>
        <v>1550.274368231047</v>
      </c>
    </row>
    <row r="24" spans="1:18" x14ac:dyDescent="0.35">
      <c r="A24" s="101" t="s">
        <v>447</v>
      </c>
      <c r="B24" s="87"/>
      <c r="C24" s="87"/>
      <c r="D24" s="87"/>
      <c r="E24" s="87"/>
      <c r="F24" s="131"/>
      <c r="G24" s="134"/>
      <c r="H24" s="134"/>
      <c r="I24" s="104"/>
      <c r="J24" s="364" t="str">
        <f>'Schedule 3 Adjustments'!J23</f>
        <v>H0017</v>
      </c>
      <c r="K24" s="220">
        <f>'Schedule 3 Adjustments'!M23</f>
        <v>3878</v>
      </c>
      <c r="L24" s="89"/>
      <c r="M24" s="87"/>
      <c r="N24" s="87"/>
      <c r="O24" s="87"/>
      <c r="P24" s="87"/>
      <c r="Q24" s="87"/>
      <c r="R24" s="87"/>
    </row>
    <row r="25" spans="1:18" x14ac:dyDescent="0.35">
      <c r="A25" s="102" t="s">
        <v>448</v>
      </c>
      <c r="B25" s="88"/>
      <c r="C25" s="88"/>
      <c r="D25" s="88"/>
      <c r="E25" s="88"/>
      <c r="F25" s="132"/>
      <c r="G25" s="135"/>
      <c r="H25" s="135"/>
      <c r="I25" s="105"/>
      <c r="J25" s="366">
        <f>'Schedule 3 Adjustments'!J24</f>
        <v>0</v>
      </c>
      <c r="K25" s="227">
        <f>'Schedule 3 Adjustments'!M24</f>
        <v>0</v>
      </c>
      <c r="L25" s="90"/>
      <c r="M25" s="88"/>
      <c r="N25" s="88"/>
      <c r="O25" s="88"/>
      <c r="P25" s="88"/>
      <c r="Q25" s="88"/>
      <c r="R25" s="88"/>
    </row>
    <row r="26" spans="1:18" x14ac:dyDescent="0.35">
      <c r="A26" s="103" t="s">
        <v>449</v>
      </c>
      <c r="B26" s="88"/>
      <c r="C26" s="88"/>
      <c r="D26" s="88"/>
      <c r="E26" s="88"/>
      <c r="F26" s="132"/>
      <c r="G26" s="135"/>
      <c r="H26" s="135"/>
      <c r="I26" s="105"/>
      <c r="J26" s="367">
        <f>'Schedule 3 Adjustments'!J25</f>
        <v>0</v>
      </c>
      <c r="K26" s="230">
        <f>'Schedule 3 Adjustments'!M25</f>
        <v>0</v>
      </c>
      <c r="L26" s="90"/>
      <c r="M26" s="88"/>
      <c r="N26" s="88"/>
      <c r="O26" s="88"/>
      <c r="P26" s="88"/>
      <c r="Q26" s="88"/>
      <c r="R26" s="88"/>
    </row>
    <row r="27" spans="1:18" x14ac:dyDescent="0.35">
      <c r="J27" s="100"/>
      <c r="L27" s="28"/>
    </row>
    <row r="28" spans="1:18" s="34" customFormat="1" x14ac:dyDescent="0.35">
      <c r="A28" s="84">
        <v>3</v>
      </c>
      <c r="B28" s="529">
        <f>'Schedule 3 Adjustments'!B27:C27</f>
        <v>0</v>
      </c>
      <c r="C28" s="530"/>
      <c r="D28" s="360">
        <f>'Schedule 3 Adjustments'!D27</f>
        <v>0</v>
      </c>
      <c r="E28" s="360">
        <f>'Schedule 3 Adjustments'!E27</f>
        <v>0</v>
      </c>
      <c r="F28" s="365">
        <f>'Schedule 3 Adjustments'!F27</f>
        <v>0</v>
      </c>
      <c r="G28" s="368">
        <f>'Schedule 3 Adjustments'!G27</f>
        <v>0</v>
      </c>
      <c r="H28" s="368">
        <f>'Schedule 3 Adjustments'!H27</f>
        <v>0</v>
      </c>
      <c r="I28" s="138" t="str">
        <f>IF(B28=0,"",IF(AND(G28=0,H28=0),365,IF(AND(G28&gt;0,H28=0),$C$7-G28+1,IF(AND(G28=0,H28&gt;0),H28-($C$7-365),H28-G28+1))))</f>
        <v/>
      </c>
      <c r="J28" s="98"/>
      <c r="K28" s="8">
        <f>SUM(K29:K31)</f>
        <v>0</v>
      </c>
      <c r="L28" s="91" t="str">
        <f>IF(K28&gt;0,K28/(F28*I28),"")</f>
        <v/>
      </c>
      <c r="M28" s="125">
        <f>'Schedule 3 Adjustments'!R27</f>
        <v>0</v>
      </c>
      <c r="N28" s="85" t="str">
        <f>IFERROR(M28/K28,"")</f>
        <v/>
      </c>
      <c r="O28" s="125">
        <f>'Schedule 3 Adjustments'!W27</f>
        <v>0</v>
      </c>
      <c r="P28" s="85" t="str">
        <f>IFERROR(O28/K28,"")</f>
        <v/>
      </c>
      <c r="Q28" s="86" t="str">
        <f>IF(M28=0,"",M28-O28)</f>
        <v/>
      </c>
      <c r="R28" s="85" t="str">
        <f>IFERROR(Q28/K28,"")</f>
        <v/>
      </c>
    </row>
    <row r="29" spans="1:18" x14ac:dyDescent="0.35">
      <c r="A29" s="101" t="s">
        <v>447</v>
      </c>
      <c r="B29" s="87"/>
      <c r="C29" s="87"/>
      <c r="D29" s="87"/>
      <c r="E29" s="87"/>
      <c r="F29" s="131"/>
      <c r="G29" s="134"/>
      <c r="H29" s="134"/>
      <c r="I29" s="104"/>
      <c r="J29" s="364">
        <f>'Schedule 3 Adjustments'!J28</f>
        <v>0</v>
      </c>
      <c r="K29" s="220">
        <f>'Schedule 3 Adjustments'!M28</f>
        <v>0</v>
      </c>
      <c r="L29" s="89"/>
      <c r="M29" s="87"/>
      <c r="N29" s="87"/>
      <c r="O29" s="87"/>
      <c r="P29" s="87"/>
      <c r="Q29" s="87"/>
      <c r="R29" s="87"/>
    </row>
    <row r="30" spans="1:18" x14ac:dyDescent="0.35">
      <c r="A30" s="102" t="s">
        <v>448</v>
      </c>
      <c r="B30" s="88"/>
      <c r="C30" s="88"/>
      <c r="D30" s="88"/>
      <c r="E30" s="88"/>
      <c r="F30" s="132"/>
      <c r="G30" s="135"/>
      <c r="H30" s="135"/>
      <c r="I30" s="105"/>
      <c r="J30" s="366">
        <f>'Schedule 3 Adjustments'!J29</f>
        <v>0</v>
      </c>
      <c r="K30" s="227">
        <f>'Schedule 3 Adjustments'!M29</f>
        <v>0</v>
      </c>
      <c r="L30" s="90"/>
      <c r="M30" s="88"/>
      <c r="N30" s="88"/>
      <c r="O30" s="88"/>
      <c r="P30" s="88"/>
      <c r="Q30" s="88"/>
      <c r="R30" s="88"/>
    </row>
    <row r="31" spans="1:18" x14ac:dyDescent="0.35">
      <c r="A31" s="103" t="s">
        <v>449</v>
      </c>
      <c r="B31" s="88"/>
      <c r="C31" s="88"/>
      <c r="D31" s="88"/>
      <c r="E31" s="88"/>
      <c r="F31" s="132"/>
      <c r="G31" s="135"/>
      <c r="H31" s="135"/>
      <c r="I31" s="105"/>
      <c r="J31" s="367">
        <f>'Schedule 3 Adjustments'!J30</f>
        <v>0</v>
      </c>
      <c r="K31" s="230">
        <f>'Schedule 3 Adjustments'!M30</f>
        <v>0</v>
      </c>
      <c r="L31" s="90"/>
      <c r="M31" s="88"/>
      <c r="N31" s="88"/>
      <c r="O31" s="88"/>
      <c r="P31" s="88"/>
      <c r="Q31" s="88"/>
      <c r="R31" s="88"/>
    </row>
    <row r="32" spans="1:18" x14ac:dyDescent="0.35">
      <c r="J32" s="100"/>
      <c r="L32" s="28"/>
    </row>
    <row r="33" spans="1:18" s="34" customFormat="1" x14ac:dyDescent="0.35">
      <c r="A33" s="84">
        <v>4</v>
      </c>
      <c r="B33" s="529">
        <f>'Schedule 3 Adjustments'!B32:C32</f>
        <v>0</v>
      </c>
      <c r="C33" s="530"/>
      <c r="D33" s="360">
        <f>'Schedule 3 Adjustments'!D32</f>
        <v>0</v>
      </c>
      <c r="E33" s="360">
        <f>'Schedule 3 Adjustments'!E32</f>
        <v>0</v>
      </c>
      <c r="F33" s="365">
        <f>'Schedule 3 Adjustments'!F32</f>
        <v>0</v>
      </c>
      <c r="G33" s="368">
        <f>'Schedule 3 Adjustments'!G32</f>
        <v>0</v>
      </c>
      <c r="H33" s="368">
        <f>'Schedule 3 Adjustments'!H32</f>
        <v>0</v>
      </c>
      <c r="I33" s="138" t="str">
        <f>IF(B33=0,"",IF(AND(G33=0,H33=0),365,IF(AND(G33&gt;0,H33=0),$C$7-G33+1,IF(AND(G33=0,H33&gt;0),H33-($C$7-365),H33-G33+1))))</f>
        <v/>
      </c>
      <c r="J33" s="98"/>
      <c r="K33" s="8">
        <f>SUM(K34:K36)</f>
        <v>0</v>
      </c>
      <c r="L33" s="91" t="str">
        <f>IF(K33&gt;0,K33/(F33*I33),"")</f>
        <v/>
      </c>
      <c r="M33" s="125">
        <f>'Schedule 3 Adjustments'!R32</f>
        <v>0</v>
      </c>
      <c r="N33" s="85" t="str">
        <f>IFERROR(M33/K33,"")</f>
        <v/>
      </c>
      <c r="O33" s="125">
        <f>'Schedule 3 Adjustments'!W32</f>
        <v>0</v>
      </c>
      <c r="P33" s="85" t="str">
        <f>IFERROR(O33/K33,"")</f>
        <v/>
      </c>
      <c r="Q33" s="86" t="str">
        <f>IF(M33=0,"",M33-O33)</f>
        <v/>
      </c>
      <c r="R33" s="85" t="str">
        <f>IFERROR(Q33/K33,"")</f>
        <v/>
      </c>
    </row>
    <row r="34" spans="1:18" x14ac:dyDescent="0.35">
      <c r="A34" s="101" t="s">
        <v>447</v>
      </c>
      <c r="B34" s="87"/>
      <c r="C34" s="87"/>
      <c r="D34" s="87"/>
      <c r="E34" s="87"/>
      <c r="F34" s="131"/>
      <c r="G34" s="134"/>
      <c r="H34" s="134"/>
      <c r="I34" s="104"/>
      <c r="J34" s="364">
        <f>'Schedule 3 Adjustments'!J33</f>
        <v>0</v>
      </c>
      <c r="K34" s="220">
        <f>'Schedule 3 Adjustments'!M33</f>
        <v>0</v>
      </c>
      <c r="L34" s="89"/>
      <c r="M34" s="87"/>
      <c r="N34" s="87"/>
      <c r="O34" s="87"/>
      <c r="P34" s="87"/>
      <c r="Q34" s="87"/>
      <c r="R34" s="87"/>
    </row>
    <row r="35" spans="1:18" x14ac:dyDescent="0.35">
      <c r="A35" s="102" t="s">
        <v>448</v>
      </c>
      <c r="B35" s="88"/>
      <c r="C35" s="88"/>
      <c r="D35" s="88"/>
      <c r="E35" s="88"/>
      <c r="F35" s="132"/>
      <c r="G35" s="135"/>
      <c r="H35" s="135"/>
      <c r="I35" s="105"/>
      <c r="J35" s="366">
        <f>'Schedule 3 Adjustments'!J34</f>
        <v>0</v>
      </c>
      <c r="K35" s="227">
        <f>'Schedule 3 Adjustments'!M34</f>
        <v>0</v>
      </c>
      <c r="L35" s="90"/>
      <c r="M35" s="88"/>
      <c r="N35" s="88"/>
      <c r="O35" s="88"/>
      <c r="P35" s="88"/>
      <c r="Q35" s="88"/>
      <c r="R35" s="88"/>
    </row>
    <row r="36" spans="1:18" x14ac:dyDescent="0.35">
      <c r="A36" s="103" t="s">
        <v>449</v>
      </c>
      <c r="B36" s="88"/>
      <c r="C36" s="88"/>
      <c r="D36" s="88"/>
      <c r="E36" s="88"/>
      <c r="F36" s="132"/>
      <c r="G36" s="135"/>
      <c r="H36" s="135"/>
      <c r="I36" s="105"/>
      <c r="J36" s="367">
        <f>'Schedule 3 Adjustments'!J35</f>
        <v>0</v>
      </c>
      <c r="K36" s="230">
        <f>'Schedule 3 Adjustments'!M35</f>
        <v>0</v>
      </c>
      <c r="L36" s="90"/>
      <c r="M36" s="88"/>
      <c r="N36" s="88"/>
      <c r="O36" s="88"/>
      <c r="P36" s="88"/>
      <c r="Q36" s="88"/>
      <c r="R36" s="88"/>
    </row>
    <row r="37" spans="1:18" x14ac:dyDescent="0.35">
      <c r="J37" s="100"/>
      <c r="L37" s="28"/>
    </row>
    <row r="38" spans="1:18" s="34" customFormat="1" x14ac:dyDescent="0.35">
      <c r="A38" s="84">
        <v>5</v>
      </c>
      <c r="B38" s="529">
        <f>'Schedule 3 Adjustments'!B37:C37</f>
        <v>0</v>
      </c>
      <c r="C38" s="530"/>
      <c r="D38" s="360">
        <f>'Schedule 3 Adjustments'!D37</f>
        <v>0</v>
      </c>
      <c r="E38" s="360">
        <f>'Schedule 3 Adjustments'!E37</f>
        <v>0</v>
      </c>
      <c r="F38" s="365">
        <f>'Schedule 3 Adjustments'!F37</f>
        <v>0</v>
      </c>
      <c r="G38" s="368">
        <f>'Schedule 3 Adjustments'!G37</f>
        <v>0</v>
      </c>
      <c r="H38" s="368">
        <f>'Schedule 3 Adjustments'!H37</f>
        <v>0</v>
      </c>
      <c r="I38" s="138" t="str">
        <f>IF(B38=0,"",IF(AND(G38=0,H38=0),365,IF(AND(G38&gt;0,H38=0),$C$7-G38+1,IF(AND(G38=0,H38&gt;0),H38-($C$7-365),H38-G38+1))))</f>
        <v/>
      </c>
      <c r="J38" s="98"/>
      <c r="K38" s="8">
        <f>SUM(K39:K41)</f>
        <v>0</v>
      </c>
      <c r="L38" s="91" t="str">
        <f>IF(K38&gt;0,K38/(F38*I38),"")</f>
        <v/>
      </c>
      <c r="M38" s="125">
        <f>'Schedule 3 Adjustments'!R37</f>
        <v>0</v>
      </c>
      <c r="N38" s="85" t="str">
        <f>IFERROR(M38/K38,"")</f>
        <v/>
      </c>
      <c r="O38" s="125">
        <f>'Schedule 3 Adjustments'!W37</f>
        <v>0</v>
      </c>
      <c r="P38" s="85" t="str">
        <f>IFERROR(O38/K38,"")</f>
        <v/>
      </c>
      <c r="Q38" s="86" t="str">
        <f>IF(M38=0,"",M38-O38)</f>
        <v/>
      </c>
      <c r="R38" s="85" t="str">
        <f>IFERROR(Q38/K38,"")</f>
        <v/>
      </c>
    </row>
    <row r="39" spans="1:18" x14ac:dyDescent="0.35">
      <c r="A39" s="101" t="s">
        <v>447</v>
      </c>
      <c r="B39" s="87"/>
      <c r="C39" s="87"/>
      <c r="D39" s="87"/>
      <c r="E39" s="87"/>
      <c r="F39" s="131"/>
      <c r="G39" s="134"/>
      <c r="H39" s="134"/>
      <c r="I39" s="104"/>
      <c r="J39" s="364">
        <f>'Schedule 3 Adjustments'!J38</f>
        <v>0</v>
      </c>
      <c r="K39" s="220">
        <f>'Schedule 3 Adjustments'!M38</f>
        <v>0</v>
      </c>
      <c r="L39" s="89"/>
      <c r="M39" s="87"/>
      <c r="N39" s="87"/>
      <c r="O39" s="87"/>
      <c r="P39" s="87"/>
      <c r="Q39" s="87"/>
      <c r="R39" s="87"/>
    </row>
    <row r="40" spans="1:18" x14ac:dyDescent="0.35">
      <c r="A40" s="102" t="s">
        <v>448</v>
      </c>
      <c r="B40" s="88"/>
      <c r="C40" s="88"/>
      <c r="D40" s="88"/>
      <c r="E40" s="88"/>
      <c r="F40" s="132"/>
      <c r="G40" s="135"/>
      <c r="H40" s="135"/>
      <c r="I40" s="105"/>
      <c r="J40" s="366">
        <f>'Schedule 3 Adjustments'!J39</f>
        <v>0</v>
      </c>
      <c r="K40" s="227">
        <f>'Schedule 3 Adjustments'!M39</f>
        <v>0</v>
      </c>
      <c r="L40" s="90"/>
      <c r="M40" s="88"/>
      <c r="N40" s="88"/>
      <c r="O40" s="88"/>
      <c r="P40" s="88"/>
      <c r="Q40" s="88"/>
      <c r="R40" s="88"/>
    </row>
    <row r="41" spans="1:18" x14ac:dyDescent="0.35">
      <c r="A41" s="103" t="s">
        <v>449</v>
      </c>
      <c r="B41" s="88"/>
      <c r="C41" s="88"/>
      <c r="D41" s="88"/>
      <c r="E41" s="88"/>
      <c r="F41" s="132"/>
      <c r="G41" s="135"/>
      <c r="H41" s="135"/>
      <c r="I41" s="105"/>
      <c r="J41" s="367">
        <f>'Schedule 3 Adjustments'!J40</f>
        <v>0</v>
      </c>
      <c r="K41" s="230">
        <f>'Schedule 3 Adjustments'!M40</f>
        <v>0</v>
      </c>
      <c r="L41" s="90"/>
      <c r="M41" s="88"/>
      <c r="N41" s="88"/>
      <c r="O41" s="88"/>
      <c r="P41" s="88"/>
      <c r="Q41" s="88"/>
      <c r="R41" s="88"/>
    </row>
    <row r="42" spans="1:18" x14ac:dyDescent="0.35">
      <c r="J42" s="100"/>
      <c r="L42" s="28"/>
    </row>
    <row r="43" spans="1:18" s="34" customFormat="1" x14ac:dyDescent="0.35">
      <c r="A43" s="84">
        <v>6</v>
      </c>
      <c r="B43" s="529">
        <f>'Schedule 3 Adjustments'!B42:C42</f>
        <v>0</v>
      </c>
      <c r="C43" s="530"/>
      <c r="D43" s="360">
        <f>'Schedule 3 Adjustments'!D42</f>
        <v>0</v>
      </c>
      <c r="E43" s="360">
        <f>'Schedule 3 Adjustments'!E42</f>
        <v>0</v>
      </c>
      <c r="F43" s="365">
        <f>'Schedule 3 Adjustments'!F42</f>
        <v>0</v>
      </c>
      <c r="G43" s="368">
        <f>'Schedule 3 Adjustments'!G42</f>
        <v>0</v>
      </c>
      <c r="H43" s="368">
        <f>'Schedule 3 Adjustments'!H42</f>
        <v>0</v>
      </c>
      <c r="I43" s="138" t="str">
        <f>IF(B43=0,"",IF(AND(G43=0,H43=0),365,IF(AND(G43&gt;0,H43=0),$C$7-G43+1,IF(AND(G43=0,H43&gt;0),H43-($C$7-365),H43-G43+1))))</f>
        <v/>
      </c>
      <c r="J43" s="98"/>
      <c r="K43" s="8">
        <f>SUM(K44:K46)</f>
        <v>0</v>
      </c>
      <c r="L43" s="91" t="str">
        <f>IF(K43&gt;0,K43/(F43*I43),"")</f>
        <v/>
      </c>
      <c r="M43" s="125">
        <f>'Schedule 3 Adjustments'!R42</f>
        <v>0</v>
      </c>
      <c r="N43" s="85" t="str">
        <f>IFERROR(M43/K43,"")</f>
        <v/>
      </c>
      <c r="O43" s="125">
        <f>'Schedule 3 Adjustments'!W42</f>
        <v>0</v>
      </c>
      <c r="P43" s="85" t="str">
        <f>IFERROR(O43/K43,"")</f>
        <v/>
      </c>
      <c r="Q43" s="86" t="str">
        <f>IF(M43=0,"",M43-O43)</f>
        <v/>
      </c>
      <c r="R43" s="85" t="str">
        <f>IFERROR(Q43/K43,"")</f>
        <v/>
      </c>
    </row>
    <row r="44" spans="1:18" x14ac:dyDescent="0.35">
      <c r="A44" s="101" t="s">
        <v>447</v>
      </c>
      <c r="B44" s="87"/>
      <c r="C44" s="87"/>
      <c r="D44" s="87"/>
      <c r="E44" s="87"/>
      <c r="F44" s="131"/>
      <c r="G44" s="134"/>
      <c r="H44" s="134"/>
      <c r="I44" s="104"/>
      <c r="J44" s="364">
        <f>'Schedule 3 Adjustments'!J43</f>
        <v>0</v>
      </c>
      <c r="K44" s="220">
        <f>'Schedule 3 Adjustments'!M43</f>
        <v>0</v>
      </c>
      <c r="L44" s="89"/>
      <c r="M44" s="87"/>
      <c r="N44" s="87"/>
      <c r="O44" s="87"/>
      <c r="P44" s="87"/>
      <c r="Q44" s="87"/>
      <c r="R44" s="87"/>
    </row>
    <row r="45" spans="1:18" x14ac:dyDescent="0.35">
      <c r="A45" s="102" t="s">
        <v>448</v>
      </c>
      <c r="B45" s="88"/>
      <c r="C45" s="88"/>
      <c r="D45" s="88"/>
      <c r="E45" s="88"/>
      <c r="F45" s="132"/>
      <c r="G45" s="135"/>
      <c r="H45" s="135"/>
      <c r="I45" s="105"/>
      <c r="J45" s="366">
        <f>'Schedule 3 Adjustments'!J44</f>
        <v>0</v>
      </c>
      <c r="K45" s="227">
        <f>'Schedule 3 Adjustments'!M44</f>
        <v>0</v>
      </c>
      <c r="L45" s="90"/>
      <c r="M45" s="88"/>
      <c r="N45" s="88"/>
      <c r="O45" s="88"/>
      <c r="P45" s="88"/>
      <c r="Q45" s="88"/>
      <c r="R45" s="88"/>
    </row>
    <row r="46" spans="1:18" x14ac:dyDescent="0.35">
      <c r="A46" s="103" t="s">
        <v>449</v>
      </c>
      <c r="B46" s="88"/>
      <c r="C46" s="88"/>
      <c r="D46" s="88"/>
      <c r="E46" s="88"/>
      <c r="F46" s="132"/>
      <c r="G46" s="135"/>
      <c r="H46" s="135"/>
      <c r="I46" s="105"/>
      <c r="J46" s="367">
        <f>'Schedule 3 Adjustments'!J45</f>
        <v>0</v>
      </c>
      <c r="K46" s="230">
        <f>'Schedule 3 Adjustments'!M45</f>
        <v>0</v>
      </c>
      <c r="L46" s="90"/>
      <c r="M46" s="88"/>
      <c r="N46" s="88"/>
      <c r="O46" s="88"/>
      <c r="P46" s="88"/>
      <c r="Q46" s="88"/>
      <c r="R46" s="88"/>
    </row>
    <row r="47" spans="1:18" x14ac:dyDescent="0.35">
      <c r="J47" s="100"/>
      <c r="L47" s="28"/>
    </row>
    <row r="48" spans="1:18" s="34" customFormat="1" x14ac:dyDescent="0.35">
      <c r="A48" s="84">
        <v>7</v>
      </c>
      <c r="B48" s="529">
        <f>'Schedule 3 Adjustments'!B47:C47</f>
        <v>0</v>
      </c>
      <c r="C48" s="530"/>
      <c r="D48" s="360">
        <f>'Schedule 3 Adjustments'!D47</f>
        <v>0</v>
      </c>
      <c r="E48" s="360">
        <f>'Schedule 3 Adjustments'!E47</f>
        <v>0</v>
      </c>
      <c r="F48" s="365">
        <f>'Schedule 3 Adjustments'!F47</f>
        <v>0</v>
      </c>
      <c r="G48" s="368">
        <f>'Schedule 3 Adjustments'!G47</f>
        <v>0</v>
      </c>
      <c r="H48" s="368">
        <f>'Schedule 3 Adjustments'!H47</f>
        <v>0</v>
      </c>
      <c r="I48" s="138" t="str">
        <f>IF(B48=0,"",IF(AND(G48=0,H48=0),365,IF(AND(G48&gt;0,H48=0),$C$7-G48+1,IF(AND(G48=0,H48&gt;0),H48-($C$7-365),H48-G48+1))))</f>
        <v/>
      </c>
      <c r="J48" s="98"/>
      <c r="K48" s="8">
        <f>SUM(K49:K51)</f>
        <v>0</v>
      </c>
      <c r="L48" s="91" t="str">
        <f>IF(K48&gt;0,K48/(F48*I48),"")</f>
        <v/>
      </c>
      <c r="M48" s="125">
        <f>'Schedule 3 Adjustments'!R47</f>
        <v>0</v>
      </c>
      <c r="N48" s="85" t="str">
        <f>IFERROR(M48/K48,"")</f>
        <v/>
      </c>
      <c r="O48" s="125">
        <f>'Schedule 3 Adjustments'!W47</f>
        <v>0</v>
      </c>
      <c r="P48" s="85" t="str">
        <f>IFERROR(O48/K48,"")</f>
        <v/>
      </c>
      <c r="Q48" s="86" t="str">
        <f>IF(M48=0,"",M48-O48)</f>
        <v/>
      </c>
      <c r="R48" s="85" t="str">
        <f>IFERROR(Q48/K48,"")</f>
        <v/>
      </c>
    </row>
    <row r="49" spans="1:18" x14ac:dyDescent="0.35">
      <c r="A49" s="101" t="s">
        <v>447</v>
      </c>
      <c r="B49" s="87"/>
      <c r="C49" s="87"/>
      <c r="D49" s="87"/>
      <c r="E49" s="87"/>
      <c r="F49" s="131"/>
      <c r="G49" s="134"/>
      <c r="H49" s="134"/>
      <c r="I49" s="104"/>
      <c r="J49" s="364">
        <f>'Schedule 3 Adjustments'!J48</f>
        <v>0</v>
      </c>
      <c r="K49" s="220">
        <f>'Schedule 3 Adjustments'!M48</f>
        <v>0</v>
      </c>
      <c r="L49" s="89"/>
      <c r="M49" s="87"/>
      <c r="N49" s="87"/>
      <c r="O49" s="87"/>
      <c r="P49" s="87"/>
      <c r="Q49" s="87"/>
      <c r="R49" s="87"/>
    </row>
    <row r="50" spans="1:18" x14ac:dyDescent="0.35">
      <c r="A50" s="102" t="s">
        <v>448</v>
      </c>
      <c r="B50" s="88"/>
      <c r="C50" s="88"/>
      <c r="D50" s="88"/>
      <c r="E50" s="88"/>
      <c r="F50" s="132"/>
      <c r="G50" s="135"/>
      <c r="H50" s="135"/>
      <c r="I50" s="105"/>
      <c r="J50" s="366">
        <f>'Schedule 3 Adjustments'!J49</f>
        <v>0</v>
      </c>
      <c r="K50" s="227">
        <f>'Schedule 3 Adjustments'!M49</f>
        <v>0</v>
      </c>
      <c r="L50" s="90"/>
      <c r="M50" s="88"/>
      <c r="N50" s="88"/>
      <c r="O50" s="88"/>
      <c r="P50" s="88"/>
      <c r="Q50" s="88"/>
      <c r="R50" s="88"/>
    </row>
    <row r="51" spans="1:18" x14ac:dyDescent="0.35">
      <c r="A51" s="103" t="s">
        <v>449</v>
      </c>
      <c r="B51" s="88"/>
      <c r="C51" s="88"/>
      <c r="D51" s="88"/>
      <c r="E51" s="88"/>
      <c r="F51" s="132"/>
      <c r="G51" s="135"/>
      <c r="H51" s="135"/>
      <c r="I51" s="105"/>
      <c r="J51" s="367">
        <f>'Schedule 3 Adjustments'!J50</f>
        <v>0</v>
      </c>
      <c r="K51" s="230">
        <f>'Schedule 3 Adjustments'!M50</f>
        <v>0</v>
      </c>
      <c r="L51" s="90"/>
      <c r="M51" s="88"/>
      <c r="N51" s="88"/>
      <c r="O51" s="88"/>
      <c r="P51" s="88"/>
      <c r="Q51" s="88"/>
      <c r="R51" s="88"/>
    </row>
    <row r="52" spans="1:18" x14ac:dyDescent="0.35">
      <c r="J52" s="100"/>
      <c r="L52" s="28"/>
    </row>
    <row r="53" spans="1:18" s="34" customFormat="1" x14ac:dyDescent="0.35">
      <c r="A53" s="84">
        <v>8</v>
      </c>
      <c r="B53" s="529">
        <f>'Schedule 3 Adjustments'!B52:C52</f>
        <v>0</v>
      </c>
      <c r="C53" s="530"/>
      <c r="D53" s="360">
        <f>'Schedule 3 Adjustments'!D52</f>
        <v>0</v>
      </c>
      <c r="E53" s="360">
        <f>'Schedule 3 Adjustments'!E52</f>
        <v>0</v>
      </c>
      <c r="F53" s="365">
        <f>'Schedule 3 Adjustments'!F52</f>
        <v>0</v>
      </c>
      <c r="G53" s="368">
        <f>'Schedule 3 Adjustments'!G52</f>
        <v>0</v>
      </c>
      <c r="H53" s="368">
        <f>'Schedule 3 Adjustments'!H52</f>
        <v>0</v>
      </c>
      <c r="I53" s="138" t="str">
        <f>IF(B53=0,"",IF(AND(G53=0,H53=0),365,IF(AND(G53&gt;0,H53=0),$C$7-G53+1,IF(AND(G53=0,H53&gt;0),H53-($C$7-365),H53-G53+1))))</f>
        <v/>
      </c>
      <c r="J53" s="98"/>
      <c r="K53" s="8">
        <f>SUM(K54:K56)</f>
        <v>0</v>
      </c>
      <c r="L53" s="91" t="str">
        <f>IF(K53&gt;0,K53/(F53*I53),"")</f>
        <v/>
      </c>
      <c r="M53" s="125">
        <f>'Schedule 3 Adjustments'!R52</f>
        <v>0</v>
      </c>
      <c r="N53" s="85" t="str">
        <f>IFERROR(M53/K53,"")</f>
        <v/>
      </c>
      <c r="O53" s="125">
        <f>'Schedule 3 Adjustments'!W52</f>
        <v>0</v>
      </c>
      <c r="P53" s="85" t="str">
        <f>IFERROR(O53/K53,"")</f>
        <v/>
      </c>
      <c r="Q53" s="86" t="str">
        <f>IF(M53=0,"",M53-O53)</f>
        <v/>
      </c>
      <c r="R53" s="85" t="str">
        <f>IFERROR(Q53/K53,"")</f>
        <v/>
      </c>
    </row>
    <row r="54" spans="1:18" x14ac:dyDescent="0.35">
      <c r="A54" s="101" t="s">
        <v>447</v>
      </c>
      <c r="B54" s="87"/>
      <c r="C54" s="87"/>
      <c r="D54" s="87"/>
      <c r="E54" s="87"/>
      <c r="F54" s="131"/>
      <c r="G54" s="134"/>
      <c r="H54" s="134"/>
      <c r="I54" s="104"/>
      <c r="J54" s="364">
        <f>'Schedule 3 Adjustments'!J53</f>
        <v>0</v>
      </c>
      <c r="K54" s="220">
        <f>'Schedule 3 Adjustments'!M53</f>
        <v>0</v>
      </c>
      <c r="L54" s="89"/>
      <c r="M54" s="87"/>
      <c r="N54" s="87"/>
      <c r="O54" s="87"/>
      <c r="P54" s="87"/>
      <c r="Q54" s="87"/>
      <c r="R54" s="87"/>
    </row>
    <row r="55" spans="1:18" x14ac:dyDescent="0.35">
      <c r="A55" s="102" t="s">
        <v>448</v>
      </c>
      <c r="B55" s="88"/>
      <c r="C55" s="88"/>
      <c r="D55" s="88"/>
      <c r="E55" s="88"/>
      <c r="F55" s="132"/>
      <c r="G55" s="135"/>
      <c r="H55" s="135"/>
      <c r="I55" s="105"/>
      <c r="J55" s="366">
        <f>'Schedule 3 Adjustments'!J54</f>
        <v>0</v>
      </c>
      <c r="K55" s="227">
        <f>'Schedule 3 Adjustments'!M54</f>
        <v>0</v>
      </c>
      <c r="L55" s="90"/>
      <c r="M55" s="88"/>
      <c r="N55" s="88"/>
      <c r="O55" s="88"/>
      <c r="P55" s="88"/>
      <c r="Q55" s="88"/>
      <c r="R55" s="88"/>
    </row>
    <row r="56" spans="1:18" x14ac:dyDescent="0.35">
      <c r="A56" s="103" t="s">
        <v>449</v>
      </c>
      <c r="B56" s="88"/>
      <c r="C56" s="88"/>
      <c r="D56" s="88"/>
      <c r="E56" s="88"/>
      <c r="F56" s="132"/>
      <c r="G56" s="135"/>
      <c r="H56" s="135"/>
      <c r="I56" s="105"/>
      <c r="J56" s="367">
        <f>'Schedule 3 Adjustments'!J55</f>
        <v>0</v>
      </c>
      <c r="K56" s="230">
        <f>'Schedule 3 Adjustments'!M55</f>
        <v>0</v>
      </c>
      <c r="L56" s="90"/>
      <c r="M56" s="88"/>
      <c r="N56" s="88"/>
      <c r="O56" s="88"/>
      <c r="P56" s="88"/>
      <c r="Q56" s="88"/>
      <c r="R56" s="88"/>
    </row>
    <row r="57" spans="1:18" x14ac:dyDescent="0.35">
      <c r="J57" s="100"/>
      <c r="L57" s="28"/>
    </row>
    <row r="58" spans="1:18" s="34" customFormat="1" x14ac:dyDescent="0.35">
      <c r="A58" s="84">
        <v>9</v>
      </c>
      <c r="B58" s="529">
        <f>'Schedule 3 Adjustments'!B57:C57</f>
        <v>0</v>
      </c>
      <c r="C58" s="530"/>
      <c r="D58" s="360">
        <f>'Schedule 3 Adjustments'!D57</f>
        <v>0</v>
      </c>
      <c r="E58" s="360">
        <f>'Schedule 3 Adjustments'!E57</f>
        <v>0</v>
      </c>
      <c r="F58" s="365">
        <f>'Schedule 3 Adjustments'!F57</f>
        <v>0</v>
      </c>
      <c r="G58" s="368">
        <f>'Schedule 3 Adjustments'!G57</f>
        <v>0</v>
      </c>
      <c r="H58" s="368">
        <f>'Schedule 3 Adjustments'!H57</f>
        <v>0</v>
      </c>
      <c r="I58" s="138" t="str">
        <f>IF(B58=0,"",IF(AND(G58=0,H58=0),365,IF(AND(G58&gt;0,H58=0),$C$7-G58+1,IF(AND(G58=0,H58&gt;0),H58-($C$7-365),H58-G58+1))))</f>
        <v/>
      </c>
      <c r="J58" s="98"/>
      <c r="K58" s="8">
        <f>SUM(K59:K61)</f>
        <v>0</v>
      </c>
      <c r="L58" s="91" t="str">
        <f>IF(K58&gt;0,K58/(F58*I58),"")</f>
        <v/>
      </c>
      <c r="M58" s="125">
        <f>'Schedule 3 Adjustments'!R57</f>
        <v>0</v>
      </c>
      <c r="N58" s="85" t="str">
        <f>IFERROR(M58/K58,"")</f>
        <v/>
      </c>
      <c r="O58" s="125">
        <f>'Schedule 3 Adjustments'!W57</f>
        <v>0</v>
      </c>
      <c r="P58" s="85" t="str">
        <f>IFERROR(O58/K58,"")</f>
        <v/>
      </c>
      <c r="Q58" s="86" t="str">
        <f>IF(M58=0,"",M58-O58)</f>
        <v/>
      </c>
      <c r="R58" s="85" t="str">
        <f>IFERROR(Q58/K58,"")</f>
        <v/>
      </c>
    </row>
    <row r="59" spans="1:18" x14ac:dyDescent="0.35">
      <c r="A59" s="101" t="s">
        <v>447</v>
      </c>
      <c r="B59" s="87"/>
      <c r="C59" s="87"/>
      <c r="D59" s="87"/>
      <c r="E59" s="87"/>
      <c r="F59" s="131"/>
      <c r="G59" s="134"/>
      <c r="H59" s="134"/>
      <c r="I59" s="104"/>
      <c r="J59" s="364">
        <f>'Schedule 3 Adjustments'!J58</f>
        <v>0</v>
      </c>
      <c r="K59" s="220">
        <f>'Schedule 3 Adjustments'!M58</f>
        <v>0</v>
      </c>
      <c r="L59" s="89"/>
      <c r="M59" s="87"/>
      <c r="N59" s="87"/>
      <c r="O59" s="87"/>
      <c r="P59" s="87"/>
      <c r="Q59" s="87"/>
      <c r="R59" s="87"/>
    </row>
    <row r="60" spans="1:18" x14ac:dyDescent="0.35">
      <c r="A60" s="102" t="s">
        <v>448</v>
      </c>
      <c r="B60" s="88"/>
      <c r="C60" s="88"/>
      <c r="D60" s="88"/>
      <c r="E60" s="88"/>
      <c r="F60" s="132"/>
      <c r="G60" s="135"/>
      <c r="H60" s="135"/>
      <c r="I60" s="105"/>
      <c r="J60" s="366">
        <f>'Schedule 3 Adjustments'!J59</f>
        <v>0</v>
      </c>
      <c r="K60" s="227">
        <f>'Schedule 3 Adjustments'!M59</f>
        <v>0</v>
      </c>
      <c r="L60" s="90"/>
      <c r="M60" s="88"/>
      <c r="N60" s="88"/>
      <c r="O60" s="88"/>
      <c r="P60" s="88"/>
      <c r="Q60" s="88"/>
      <c r="R60" s="88"/>
    </row>
    <row r="61" spans="1:18" x14ac:dyDescent="0.35">
      <c r="A61" s="103" t="s">
        <v>449</v>
      </c>
      <c r="B61" s="88"/>
      <c r="C61" s="88"/>
      <c r="D61" s="88"/>
      <c r="E61" s="88"/>
      <c r="F61" s="132"/>
      <c r="G61" s="135"/>
      <c r="H61" s="135"/>
      <c r="I61" s="105"/>
      <c r="J61" s="367">
        <f>'Schedule 3 Adjustments'!J60</f>
        <v>0</v>
      </c>
      <c r="K61" s="230">
        <f>'Schedule 3 Adjustments'!M60</f>
        <v>0</v>
      </c>
      <c r="L61" s="90"/>
      <c r="M61" s="88"/>
      <c r="N61" s="88"/>
      <c r="O61" s="88"/>
      <c r="P61" s="88"/>
      <c r="Q61" s="88"/>
      <c r="R61" s="88"/>
    </row>
    <row r="62" spans="1:18" x14ac:dyDescent="0.35">
      <c r="J62" s="100"/>
      <c r="L62" s="28"/>
    </row>
    <row r="63" spans="1:18" s="34" customFormat="1" x14ac:dyDescent="0.35">
      <c r="A63" s="84">
        <v>10</v>
      </c>
      <c r="B63" s="529">
        <f>'Schedule 3 Adjustments'!B62:C62</f>
        <v>0</v>
      </c>
      <c r="C63" s="530"/>
      <c r="D63" s="360">
        <f>'Schedule 3 Adjustments'!D62</f>
        <v>0</v>
      </c>
      <c r="E63" s="360">
        <f>'Schedule 3 Adjustments'!E62</f>
        <v>0</v>
      </c>
      <c r="F63" s="365">
        <f>'Schedule 3 Adjustments'!F62</f>
        <v>0</v>
      </c>
      <c r="G63" s="368">
        <f>'Schedule 3 Adjustments'!G62</f>
        <v>0</v>
      </c>
      <c r="H63" s="368">
        <f>'Schedule 3 Adjustments'!H62</f>
        <v>0</v>
      </c>
      <c r="I63" s="138" t="str">
        <f>IF(B63=0,"",IF(AND(G63=0,H63=0),365,IF(AND(G63&gt;0,H63=0),$C$7-G63+1,IF(AND(G63=0,H63&gt;0),H63-($C$7-365),H63-G63+1))))</f>
        <v/>
      </c>
      <c r="J63" s="98"/>
      <c r="K63" s="8">
        <f>SUM(K64:K66)</f>
        <v>0</v>
      </c>
      <c r="L63" s="91" t="str">
        <f>IF(K63&gt;0,K63/(F63*I63),"")</f>
        <v/>
      </c>
      <c r="M63" s="125">
        <f>'Schedule 3 Adjustments'!R62</f>
        <v>0</v>
      </c>
      <c r="N63" s="85" t="str">
        <f>IFERROR(M63/K63,"")</f>
        <v/>
      </c>
      <c r="O63" s="125">
        <f>'Schedule 3 Adjustments'!W62</f>
        <v>0</v>
      </c>
      <c r="P63" s="85" t="str">
        <f>IFERROR(O63/K63,"")</f>
        <v/>
      </c>
      <c r="Q63" s="86" t="str">
        <f>IF(M63=0,"",M63-O63)</f>
        <v/>
      </c>
      <c r="R63" s="85" t="str">
        <f>IFERROR(Q63/K63,"")</f>
        <v/>
      </c>
    </row>
    <row r="64" spans="1:18" x14ac:dyDescent="0.35">
      <c r="A64" s="101" t="s">
        <v>447</v>
      </c>
      <c r="B64" s="87"/>
      <c r="C64" s="87"/>
      <c r="D64" s="87"/>
      <c r="E64" s="87"/>
      <c r="F64" s="131"/>
      <c r="G64" s="134"/>
      <c r="H64" s="134"/>
      <c r="I64" s="104"/>
      <c r="J64" s="364">
        <f>'Schedule 3 Adjustments'!J63</f>
        <v>0</v>
      </c>
      <c r="K64" s="220">
        <f>'Schedule 3 Adjustments'!M63</f>
        <v>0</v>
      </c>
      <c r="L64" s="89"/>
      <c r="M64" s="87"/>
      <c r="N64" s="87"/>
      <c r="O64" s="87"/>
      <c r="P64" s="87"/>
      <c r="Q64" s="87"/>
      <c r="R64" s="87"/>
    </row>
    <row r="65" spans="1:18" x14ac:dyDescent="0.35">
      <c r="A65" s="102" t="s">
        <v>448</v>
      </c>
      <c r="B65" s="88"/>
      <c r="C65" s="88"/>
      <c r="D65" s="88"/>
      <c r="E65" s="88"/>
      <c r="F65" s="132"/>
      <c r="G65" s="135"/>
      <c r="H65" s="135"/>
      <c r="I65" s="105"/>
      <c r="J65" s="366">
        <f>'Schedule 3 Adjustments'!J64</f>
        <v>0</v>
      </c>
      <c r="K65" s="227">
        <f>'Schedule 3 Adjustments'!M64</f>
        <v>0</v>
      </c>
      <c r="L65" s="90"/>
      <c r="M65" s="88"/>
      <c r="N65" s="88"/>
      <c r="O65" s="88"/>
      <c r="P65" s="88"/>
      <c r="Q65" s="88"/>
      <c r="R65" s="88"/>
    </row>
    <row r="66" spans="1:18" x14ac:dyDescent="0.35">
      <c r="A66" s="103" t="s">
        <v>449</v>
      </c>
      <c r="B66" s="88"/>
      <c r="C66" s="88"/>
      <c r="D66" s="88"/>
      <c r="E66" s="88"/>
      <c r="F66" s="132"/>
      <c r="G66" s="135"/>
      <c r="H66" s="135"/>
      <c r="I66" s="105"/>
      <c r="J66" s="367">
        <f>'Schedule 3 Adjustments'!J65</f>
        <v>0</v>
      </c>
      <c r="K66" s="230">
        <f>'Schedule 3 Adjustments'!M65</f>
        <v>0</v>
      </c>
      <c r="L66" s="90"/>
      <c r="M66" s="88"/>
      <c r="N66" s="88"/>
      <c r="O66" s="88"/>
      <c r="P66" s="88"/>
      <c r="Q66" s="88"/>
      <c r="R66" s="88"/>
    </row>
    <row r="67" spans="1:18" x14ac:dyDescent="0.35">
      <c r="J67" s="100"/>
      <c r="L67" s="28"/>
    </row>
    <row r="68" spans="1:18" s="34" customFormat="1" x14ac:dyDescent="0.35">
      <c r="A68" s="84">
        <v>11</v>
      </c>
      <c r="B68" s="529">
        <f>'Schedule 3 Adjustments'!B67:C67</f>
        <v>0</v>
      </c>
      <c r="C68" s="530"/>
      <c r="D68" s="360">
        <f>'Schedule 3 Adjustments'!D67</f>
        <v>0</v>
      </c>
      <c r="E68" s="360">
        <f>'Schedule 3 Adjustments'!E67</f>
        <v>0</v>
      </c>
      <c r="F68" s="365">
        <f>'Schedule 3 Adjustments'!F67</f>
        <v>0</v>
      </c>
      <c r="G68" s="368">
        <f>'Schedule 3 Adjustments'!G67</f>
        <v>0</v>
      </c>
      <c r="H68" s="368">
        <f>'Schedule 3 Adjustments'!H67</f>
        <v>0</v>
      </c>
      <c r="I68" s="138" t="str">
        <f>IF(B68=0,"",IF(AND(G68=0,H68=0),365,IF(AND(G68&gt;0,H68=0),$C$7-G68+1,IF(AND(G68=0,H68&gt;0),H68-($C$7-365),H68-G68+1))))</f>
        <v/>
      </c>
      <c r="J68" s="98"/>
      <c r="K68" s="8">
        <f>SUM(K69:K71)</f>
        <v>0</v>
      </c>
      <c r="L68" s="91" t="str">
        <f>IF(K68&gt;0,K68/(F68*I68),"")</f>
        <v/>
      </c>
      <c r="M68" s="125">
        <f>'Schedule 3 Adjustments'!R67</f>
        <v>0</v>
      </c>
      <c r="N68" s="85" t="str">
        <f>IFERROR(M68/K68,"")</f>
        <v/>
      </c>
      <c r="O68" s="125">
        <f>'Schedule 3 Adjustments'!W67</f>
        <v>0</v>
      </c>
      <c r="P68" s="85" t="str">
        <f>IFERROR(O68/K68,"")</f>
        <v/>
      </c>
      <c r="Q68" s="86" t="str">
        <f>IF(M68=0,"",M68-O68)</f>
        <v/>
      </c>
      <c r="R68" s="85" t="str">
        <f>IFERROR(Q68/K68,"")</f>
        <v/>
      </c>
    </row>
    <row r="69" spans="1:18" x14ac:dyDescent="0.35">
      <c r="A69" s="101" t="s">
        <v>447</v>
      </c>
      <c r="B69" s="87"/>
      <c r="C69" s="87"/>
      <c r="D69" s="87"/>
      <c r="E69" s="87"/>
      <c r="F69" s="131"/>
      <c r="G69" s="134"/>
      <c r="H69" s="134"/>
      <c r="I69" s="104"/>
      <c r="J69" s="364">
        <f>'Schedule 3 Adjustments'!J68</f>
        <v>0</v>
      </c>
      <c r="K69" s="220">
        <f>'Schedule 3 Adjustments'!M68</f>
        <v>0</v>
      </c>
      <c r="L69" s="89"/>
      <c r="M69" s="87"/>
      <c r="N69" s="87"/>
      <c r="O69" s="87"/>
      <c r="P69" s="87"/>
      <c r="Q69" s="87"/>
      <c r="R69" s="87"/>
    </row>
    <row r="70" spans="1:18" x14ac:dyDescent="0.35">
      <c r="A70" s="102" t="s">
        <v>448</v>
      </c>
      <c r="B70" s="88"/>
      <c r="C70" s="88"/>
      <c r="D70" s="88"/>
      <c r="E70" s="88"/>
      <c r="F70" s="132"/>
      <c r="G70" s="135"/>
      <c r="H70" s="135"/>
      <c r="I70" s="105"/>
      <c r="J70" s="366">
        <f>'Schedule 3 Adjustments'!J69</f>
        <v>0</v>
      </c>
      <c r="K70" s="227">
        <f>'Schedule 3 Adjustments'!M69</f>
        <v>0</v>
      </c>
      <c r="L70" s="90"/>
      <c r="M70" s="88"/>
      <c r="N70" s="88"/>
      <c r="O70" s="88"/>
      <c r="P70" s="88"/>
      <c r="Q70" s="88"/>
      <c r="R70" s="88"/>
    </row>
    <row r="71" spans="1:18" x14ac:dyDescent="0.35">
      <c r="A71" s="103" t="s">
        <v>449</v>
      </c>
      <c r="B71" s="88"/>
      <c r="C71" s="88"/>
      <c r="D71" s="88"/>
      <c r="E71" s="88"/>
      <c r="F71" s="132"/>
      <c r="G71" s="135"/>
      <c r="H71" s="135"/>
      <c r="I71" s="105"/>
      <c r="J71" s="367">
        <f>'Schedule 3 Adjustments'!J70</f>
        <v>0</v>
      </c>
      <c r="K71" s="230">
        <f>'Schedule 3 Adjustments'!M70</f>
        <v>0</v>
      </c>
      <c r="L71" s="90"/>
      <c r="M71" s="88"/>
      <c r="N71" s="88"/>
      <c r="O71" s="88"/>
      <c r="P71" s="88"/>
      <c r="Q71" s="88"/>
      <c r="R71" s="88"/>
    </row>
    <row r="72" spans="1:18" x14ac:dyDescent="0.35">
      <c r="J72" s="100"/>
      <c r="L72" s="28"/>
    </row>
    <row r="73" spans="1:18" s="34" customFormat="1" x14ac:dyDescent="0.35">
      <c r="A73" s="84">
        <v>12</v>
      </c>
      <c r="B73" s="529">
        <f>'Schedule 3 Adjustments'!B72:C72</f>
        <v>0</v>
      </c>
      <c r="C73" s="530"/>
      <c r="D73" s="360">
        <f>'Schedule 3 Adjustments'!D72</f>
        <v>0</v>
      </c>
      <c r="E73" s="360">
        <f>'Schedule 3 Adjustments'!E72</f>
        <v>0</v>
      </c>
      <c r="F73" s="365">
        <f>'Schedule 3 Adjustments'!F72</f>
        <v>0</v>
      </c>
      <c r="G73" s="368">
        <f>'Schedule 3 Adjustments'!G72</f>
        <v>0</v>
      </c>
      <c r="H73" s="368">
        <f>'Schedule 3 Adjustments'!H72</f>
        <v>0</v>
      </c>
      <c r="I73" s="138" t="str">
        <f>IF(B73=0,"",IF(AND(G73=0,H73=0),365,IF(AND(G73&gt;0,H73=0),$C$7-G73+1,IF(AND(G73=0,H73&gt;0),H73-($C$7-365),H73-G73+1))))</f>
        <v/>
      </c>
      <c r="J73" s="98"/>
      <c r="K73" s="8">
        <f>SUM(K74:K76)</f>
        <v>0</v>
      </c>
      <c r="L73" s="91" t="str">
        <f>IF(K73&gt;0,K73/(F73*I73),"")</f>
        <v/>
      </c>
      <c r="M73" s="125">
        <f>'Schedule 3 Adjustments'!R72</f>
        <v>0</v>
      </c>
      <c r="N73" s="85" t="str">
        <f>IFERROR(M73/K73,"")</f>
        <v/>
      </c>
      <c r="O73" s="125">
        <f>'Schedule 3 Adjustments'!W72</f>
        <v>0</v>
      </c>
      <c r="P73" s="85" t="str">
        <f>IFERROR(O73/K73,"")</f>
        <v/>
      </c>
      <c r="Q73" s="86" t="str">
        <f>IF(M73=0,"",M73-O73)</f>
        <v/>
      </c>
      <c r="R73" s="85" t="str">
        <f>IFERROR(Q73/K73,"")</f>
        <v/>
      </c>
    </row>
    <row r="74" spans="1:18" x14ac:dyDescent="0.35">
      <c r="A74" s="101" t="s">
        <v>447</v>
      </c>
      <c r="B74" s="87"/>
      <c r="C74" s="87"/>
      <c r="D74" s="87"/>
      <c r="E74" s="87"/>
      <c r="F74" s="131"/>
      <c r="G74" s="134"/>
      <c r="H74" s="134"/>
      <c r="I74" s="104"/>
      <c r="J74" s="364">
        <f>'Schedule 3 Adjustments'!J73</f>
        <v>0</v>
      </c>
      <c r="K74" s="220">
        <f>'Schedule 3 Adjustments'!M73</f>
        <v>0</v>
      </c>
      <c r="L74" s="89"/>
      <c r="M74" s="87"/>
      <c r="N74" s="87"/>
      <c r="O74" s="87"/>
      <c r="P74" s="87"/>
      <c r="Q74" s="87"/>
      <c r="R74" s="87"/>
    </row>
    <row r="75" spans="1:18" x14ac:dyDescent="0.35">
      <c r="A75" s="102" t="s">
        <v>448</v>
      </c>
      <c r="B75" s="88"/>
      <c r="C75" s="88"/>
      <c r="D75" s="88"/>
      <c r="E75" s="88"/>
      <c r="F75" s="132"/>
      <c r="G75" s="135"/>
      <c r="H75" s="135"/>
      <c r="I75" s="105"/>
      <c r="J75" s="366">
        <f>'Schedule 3 Adjustments'!J74</f>
        <v>0</v>
      </c>
      <c r="K75" s="227">
        <f>'Schedule 3 Adjustments'!M74</f>
        <v>0</v>
      </c>
      <c r="L75" s="90"/>
      <c r="M75" s="88"/>
      <c r="N75" s="88"/>
      <c r="O75" s="88"/>
      <c r="P75" s="88"/>
      <c r="Q75" s="88"/>
      <c r="R75" s="88"/>
    </row>
    <row r="76" spans="1:18" x14ac:dyDescent="0.35">
      <c r="A76" s="103" t="s">
        <v>449</v>
      </c>
      <c r="B76" s="88"/>
      <c r="C76" s="88"/>
      <c r="D76" s="88"/>
      <c r="E76" s="88"/>
      <c r="F76" s="132"/>
      <c r="G76" s="135"/>
      <c r="H76" s="135"/>
      <c r="I76" s="105"/>
      <c r="J76" s="367">
        <f>'Schedule 3 Adjustments'!J75</f>
        <v>0</v>
      </c>
      <c r="K76" s="230">
        <f>'Schedule 3 Adjustments'!M75</f>
        <v>0</v>
      </c>
      <c r="L76" s="90"/>
      <c r="M76" s="88"/>
      <c r="N76" s="88"/>
      <c r="O76" s="88"/>
      <c r="P76" s="88"/>
      <c r="Q76" s="88"/>
      <c r="R76" s="88"/>
    </row>
    <row r="77" spans="1:18" x14ac:dyDescent="0.35">
      <c r="J77" s="100"/>
      <c r="L77" s="28"/>
    </row>
    <row r="78" spans="1:18" s="34" customFormat="1" x14ac:dyDescent="0.35">
      <c r="A78" s="84">
        <v>13</v>
      </c>
      <c r="B78" s="529">
        <f>'Schedule 3 Adjustments'!B77:C77</f>
        <v>0</v>
      </c>
      <c r="C78" s="530"/>
      <c r="D78" s="360">
        <f>'Schedule 3 Adjustments'!D77</f>
        <v>0</v>
      </c>
      <c r="E78" s="360">
        <f>'Schedule 3 Adjustments'!E77</f>
        <v>0</v>
      </c>
      <c r="F78" s="365">
        <f>'Schedule 3 Adjustments'!F77</f>
        <v>0</v>
      </c>
      <c r="G78" s="368">
        <f>'Schedule 3 Adjustments'!G77</f>
        <v>0</v>
      </c>
      <c r="H78" s="368">
        <f>'Schedule 3 Adjustments'!H77</f>
        <v>0</v>
      </c>
      <c r="I78" s="138" t="str">
        <f>IF(B78=0,"",IF(AND(G78=0,H78=0),365,IF(AND(G78&gt;0,H78=0),$C$7-G78+1,IF(AND(G78=0,H78&gt;0),H78-($C$7-365),H78-G78+1))))</f>
        <v/>
      </c>
      <c r="J78" s="98"/>
      <c r="K78" s="8">
        <f>SUM(K79:K81)</f>
        <v>0</v>
      </c>
      <c r="L78" s="91" t="str">
        <f>IF(K78&gt;0,K78/(F78*I78),"")</f>
        <v/>
      </c>
      <c r="M78" s="125">
        <f>'Schedule 3 Adjustments'!R77</f>
        <v>0</v>
      </c>
      <c r="N78" s="85" t="str">
        <f>IFERROR(M78/K78,"")</f>
        <v/>
      </c>
      <c r="O78" s="125">
        <f>'Schedule 3 Adjustments'!W77</f>
        <v>0</v>
      </c>
      <c r="P78" s="85" t="str">
        <f>IFERROR(O78/K78,"")</f>
        <v/>
      </c>
      <c r="Q78" s="86" t="str">
        <f>IF(M78=0,"",M78-O78)</f>
        <v/>
      </c>
      <c r="R78" s="85" t="str">
        <f>IFERROR(Q78/K78,"")</f>
        <v/>
      </c>
    </row>
    <row r="79" spans="1:18" x14ac:dyDescent="0.35">
      <c r="A79" s="101" t="s">
        <v>447</v>
      </c>
      <c r="B79" s="87"/>
      <c r="C79" s="87"/>
      <c r="D79" s="87"/>
      <c r="E79" s="87"/>
      <c r="F79" s="131"/>
      <c r="G79" s="134"/>
      <c r="H79" s="134"/>
      <c r="I79" s="104"/>
      <c r="J79" s="364">
        <f>'Schedule 3 Adjustments'!J78</f>
        <v>0</v>
      </c>
      <c r="K79" s="220">
        <f>'Schedule 3 Adjustments'!M78</f>
        <v>0</v>
      </c>
      <c r="L79" s="89"/>
      <c r="M79" s="87"/>
      <c r="N79" s="87"/>
      <c r="O79" s="87"/>
      <c r="P79" s="87"/>
      <c r="Q79" s="87"/>
      <c r="R79" s="87"/>
    </row>
    <row r="80" spans="1:18" x14ac:dyDescent="0.35">
      <c r="A80" s="102" t="s">
        <v>448</v>
      </c>
      <c r="B80" s="88"/>
      <c r="C80" s="88"/>
      <c r="D80" s="88"/>
      <c r="E80" s="88"/>
      <c r="F80" s="132"/>
      <c r="G80" s="135"/>
      <c r="H80" s="135"/>
      <c r="I80" s="105"/>
      <c r="J80" s="366">
        <f>'Schedule 3 Adjustments'!J79</f>
        <v>0</v>
      </c>
      <c r="K80" s="227">
        <f>'Schedule 3 Adjustments'!M79</f>
        <v>0</v>
      </c>
      <c r="L80" s="90"/>
      <c r="M80" s="88"/>
      <c r="N80" s="88"/>
      <c r="O80" s="88"/>
      <c r="P80" s="88"/>
      <c r="Q80" s="88"/>
      <c r="R80" s="88"/>
    </row>
    <row r="81" spans="1:18" x14ac:dyDescent="0.35">
      <c r="A81" s="103" t="s">
        <v>449</v>
      </c>
      <c r="B81" s="88"/>
      <c r="C81" s="88"/>
      <c r="D81" s="88"/>
      <c r="E81" s="88"/>
      <c r="F81" s="132"/>
      <c r="G81" s="135"/>
      <c r="H81" s="135"/>
      <c r="I81" s="105"/>
      <c r="J81" s="367">
        <f>'Schedule 3 Adjustments'!J80</f>
        <v>0</v>
      </c>
      <c r="K81" s="230">
        <f>'Schedule 3 Adjustments'!M80</f>
        <v>0</v>
      </c>
      <c r="L81" s="90"/>
      <c r="M81" s="88"/>
      <c r="N81" s="88"/>
      <c r="O81" s="88"/>
      <c r="P81" s="88"/>
      <c r="Q81" s="88"/>
      <c r="R81" s="88"/>
    </row>
    <row r="82" spans="1:18" x14ac:dyDescent="0.35">
      <c r="J82" s="100"/>
      <c r="L82" s="28"/>
    </row>
    <row r="83" spans="1:18" s="34" customFormat="1" x14ac:dyDescent="0.35">
      <c r="A83" s="84">
        <v>14</v>
      </c>
      <c r="B83" s="529">
        <f>'Schedule 3 Adjustments'!B82:C82</f>
        <v>0</v>
      </c>
      <c r="C83" s="530"/>
      <c r="D83" s="360">
        <f>'Schedule 3 Adjustments'!D82</f>
        <v>0</v>
      </c>
      <c r="E83" s="360">
        <f>'Schedule 3 Adjustments'!E82</f>
        <v>0</v>
      </c>
      <c r="F83" s="365">
        <f>'Schedule 3 Adjustments'!F82</f>
        <v>0</v>
      </c>
      <c r="G83" s="368">
        <f>'Schedule 3 Adjustments'!G82</f>
        <v>0</v>
      </c>
      <c r="H83" s="368">
        <f>'Schedule 3 Adjustments'!H82</f>
        <v>0</v>
      </c>
      <c r="I83" s="138" t="str">
        <f>IF(B83=0,"",IF(AND(G83=0,H83=0),365,IF(AND(G83&gt;0,H83=0),$C$7-G83+1,IF(AND(G83=0,H83&gt;0),H83-($C$7-365),H83-G83+1))))</f>
        <v/>
      </c>
      <c r="J83" s="98"/>
      <c r="K83" s="8">
        <f>SUM(K84:K86)</f>
        <v>0</v>
      </c>
      <c r="L83" s="91" t="str">
        <f>IF(K83&gt;0,K83/(F83*I83),"")</f>
        <v/>
      </c>
      <c r="M83" s="125">
        <f>'Schedule 3 Adjustments'!R82</f>
        <v>0</v>
      </c>
      <c r="N83" s="85" t="str">
        <f>IFERROR(M83/K83,"")</f>
        <v/>
      </c>
      <c r="O83" s="125">
        <f>'Schedule 3 Adjustments'!W82</f>
        <v>0</v>
      </c>
      <c r="P83" s="85" t="str">
        <f>IFERROR(O83/K83,"")</f>
        <v/>
      </c>
      <c r="Q83" s="86" t="str">
        <f>IF(M83=0,"",M83-O83)</f>
        <v/>
      </c>
      <c r="R83" s="85" t="str">
        <f>IFERROR(Q83/K83,"")</f>
        <v/>
      </c>
    </row>
    <row r="84" spans="1:18" x14ac:dyDescent="0.35">
      <c r="A84" s="101" t="s">
        <v>447</v>
      </c>
      <c r="B84" s="87"/>
      <c r="C84" s="87"/>
      <c r="D84" s="87"/>
      <c r="E84" s="87"/>
      <c r="F84" s="131"/>
      <c r="G84" s="134"/>
      <c r="H84" s="134"/>
      <c r="I84" s="104"/>
      <c r="J84" s="364">
        <f>'Schedule 3 Adjustments'!J83</f>
        <v>0</v>
      </c>
      <c r="K84" s="220">
        <f>'Schedule 3 Adjustments'!M83</f>
        <v>0</v>
      </c>
      <c r="L84" s="89"/>
      <c r="M84" s="87"/>
      <c r="N84" s="87"/>
      <c r="O84" s="87"/>
      <c r="P84" s="87"/>
      <c r="Q84" s="87"/>
      <c r="R84" s="87"/>
    </row>
    <row r="85" spans="1:18" x14ac:dyDescent="0.35">
      <c r="A85" s="102" t="s">
        <v>448</v>
      </c>
      <c r="B85" s="88"/>
      <c r="C85" s="88"/>
      <c r="D85" s="88"/>
      <c r="E85" s="88"/>
      <c r="F85" s="132"/>
      <c r="G85" s="135"/>
      <c r="H85" s="135"/>
      <c r="I85" s="105"/>
      <c r="J85" s="366">
        <f>'Schedule 3 Adjustments'!J84</f>
        <v>0</v>
      </c>
      <c r="K85" s="227">
        <f>'Schedule 3 Adjustments'!M84</f>
        <v>0</v>
      </c>
      <c r="L85" s="90"/>
      <c r="M85" s="88"/>
      <c r="N85" s="88"/>
      <c r="O85" s="88"/>
      <c r="P85" s="88"/>
      <c r="Q85" s="88"/>
      <c r="R85" s="88"/>
    </row>
    <row r="86" spans="1:18" x14ac:dyDescent="0.35">
      <c r="A86" s="103" t="s">
        <v>449</v>
      </c>
      <c r="B86" s="88"/>
      <c r="C86" s="88"/>
      <c r="D86" s="88"/>
      <c r="E86" s="88"/>
      <c r="F86" s="132"/>
      <c r="G86" s="135"/>
      <c r="H86" s="135"/>
      <c r="I86" s="105"/>
      <c r="J86" s="367">
        <f>'Schedule 3 Adjustments'!J85</f>
        <v>0</v>
      </c>
      <c r="K86" s="230">
        <f>'Schedule 3 Adjustments'!M85</f>
        <v>0</v>
      </c>
      <c r="L86" s="90"/>
      <c r="M86" s="88"/>
      <c r="N86" s="88"/>
      <c r="O86" s="88"/>
      <c r="P86" s="88"/>
      <c r="Q86" s="88"/>
      <c r="R86" s="88"/>
    </row>
    <row r="87" spans="1:18" x14ac:dyDescent="0.35">
      <c r="J87" s="100"/>
      <c r="L87" s="28"/>
    </row>
    <row r="88" spans="1:18" s="34" customFormat="1" x14ac:dyDescent="0.35">
      <c r="A88" s="84">
        <v>15</v>
      </c>
      <c r="B88" s="529">
        <f>'Schedule 3 Adjustments'!B87:C87</f>
        <v>0</v>
      </c>
      <c r="C88" s="530"/>
      <c r="D88" s="360">
        <f>'Schedule 3 Adjustments'!D87</f>
        <v>0</v>
      </c>
      <c r="E88" s="360">
        <f>'Schedule 3 Adjustments'!E87</f>
        <v>0</v>
      </c>
      <c r="F88" s="365">
        <f>'Schedule 3 Adjustments'!F87</f>
        <v>0</v>
      </c>
      <c r="G88" s="368">
        <f>'Schedule 3 Adjustments'!G87</f>
        <v>0</v>
      </c>
      <c r="H88" s="368">
        <f>'Schedule 3 Adjustments'!H87</f>
        <v>0</v>
      </c>
      <c r="I88" s="138" t="str">
        <f>IF(B88=0,"",IF(AND(G88=0,H88=0),365,IF(AND(G88&gt;0,H88=0),$C$7-G88+1,IF(AND(G88=0,H88&gt;0),H88-($C$7-365),H88-G88+1))))</f>
        <v/>
      </c>
      <c r="J88" s="98"/>
      <c r="K88" s="8">
        <f>SUM(K89:K91)</f>
        <v>0</v>
      </c>
      <c r="L88" s="91" t="str">
        <f>IF(K88&gt;0,K88/(F88*I88),"")</f>
        <v/>
      </c>
      <c r="M88" s="125">
        <f>'Schedule 3 Adjustments'!R87</f>
        <v>0</v>
      </c>
      <c r="N88" s="85" t="str">
        <f>IFERROR(M88/K88,"")</f>
        <v/>
      </c>
      <c r="O88" s="125">
        <f>'Schedule 3 Adjustments'!W87</f>
        <v>0</v>
      </c>
      <c r="P88" s="85" t="str">
        <f>IFERROR(O88/K88,"")</f>
        <v/>
      </c>
      <c r="Q88" s="86" t="str">
        <f>IF(M88=0,"",M88-O88)</f>
        <v/>
      </c>
      <c r="R88" s="85" t="str">
        <f>IFERROR(Q88/K88,"")</f>
        <v/>
      </c>
    </row>
    <row r="89" spans="1:18" x14ac:dyDescent="0.35">
      <c r="A89" s="101" t="s">
        <v>447</v>
      </c>
      <c r="B89" s="87"/>
      <c r="C89" s="87"/>
      <c r="D89" s="87"/>
      <c r="E89" s="87"/>
      <c r="F89" s="131"/>
      <c r="G89" s="134"/>
      <c r="H89" s="134"/>
      <c r="I89" s="104"/>
      <c r="J89" s="364">
        <f>'Schedule 3 Adjustments'!J88</f>
        <v>0</v>
      </c>
      <c r="K89" s="220">
        <f>'Schedule 3 Adjustments'!M88</f>
        <v>0</v>
      </c>
      <c r="L89" s="89"/>
      <c r="M89" s="87"/>
      <c r="N89" s="87"/>
      <c r="O89" s="87"/>
      <c r="P89" s="87"/>
      <c r="Q89" s="87"/>
      <c r="R89" s="87"/>
    </row>
    <row r="90" spans="1:18" x14ac:dyDescent="0.35">
      <c r="A90" s="102" t="s">
        <v>448</v>
      </c>
      <c r="B90" s="88"/>
      <c r="C90" s="88"/>
      <c r="D90" s="88"/>
      <c r="E90" s="88"/>
      <c r="F90" s="132"/>
      <c r="G90" s="135"/>
      <c r="H90" s="135"/>
      <c r="I90" s="105"/>
      <c r="J90" s="366">
        <f>'Schedule 3 Adjustments'!J89</f>
        <v>0</v>
      </c>
      <c r="K90" s="227">
        <f>'Schedule 3 Adjustments'!M89</f>
        <v>0</v>
      </c>
      <c r="L90" s="90"/>
      <c r="M90" s="88"/>
      <c r="N90" s="88"/>
      <c r="O90" s="88"/>
      <c r="P90" s="88"/>
      <c r="Q90" s="88"/>
      <c r="R90" s="88"/>
    </row>
    <row r="91" spans="1:18" x14ac:dyDescent="0.35">
      <c r="A91" s="103" t="s">
        <v>449</v>
      </c>
      <c r="B91" s="88"/>
      <c r="C91" s="88"/>
      <c r="D91" s="88"/>
      <c r="E91" s="88"/>
      <c r="F91" s="132"/>
      <c r="G91" s="135"/>
      <c r="H91" s="135"/>
      <c r="I91" s="105"/>
      <c r="J91" s="367">
        <f>'Schedule 3 Adjustments'!J90</f>
        <v>0</v>
      </c>
      <c r="K91" s="230">
        <f>'Schedule 3 Adjustments'!M90</f>
        <v>0</v>
      </c>
      <c r="L91" s="90"/>
      <c r="M91" s="88"/>
      <c r="N91" s="88"/>
      <c r="O91" s="88"/>
      <c r="P91" s="88"/>
      <c r="Q91" s="88"/>
      <c r="R91" s="88"/>
    </row>
    <row r="92" spans="1:18" x14ac:dyDescent="0.35">
      <c r="J92" s="100"/>
      <c r="L92" s="28"/>
    </row>
    <row r="93" spans="1:18" s="34" customFormat="1" x14ac:dyDescent="0.35">
      <c r="A93" s="84">
        <v>16</v>
      </c>
      <c r="B93" s="529">
        <f>'Schedule 3 Adjustments'!B92:C92</f>
        <v>0</v>
      </c>
      <c r="C93" s="530"/>
      <c r="D93" s="360">
        <f>'Schedule 3 Adjustments'!D92</f>
        <v>0</v>
      </c>
      <c r="E93" s="360">
        <f>'Schedule 3 Adjustments'!E92</f>
        <v>0</v>
      </c>
      <c r="F93" s="365">
        <f>'Schedule 3 Adjustments'!F92</f>
        <v>0</v>
      </c>
      <c r="G93" s="368">
        <f>'Schedule 3 Adjustments'!G92</f>
        <v>0</v>
      </c>
      <c r="H93" s="368">
        <f>'Schedule 3 Adjustments'!H92</f>
        <v>0</v>
      </c>
      <c r="I93" s="138" t="str">
        <f>IF(B93=0,"",IF(AND(G93=0,H93=0),365,IF(AND(G93&gt;0,H93=0),$C$7-G93+1,IF(AND(G93=0,H93&gt;0),H93-($C$7-365),H93-G93+1))))</f>
        <v/>
      </c>
      <c r="J93" s="98"/>
      <c r="K93" s="8">
        <f>SUM(K94:K96)</f>
        <v>0</v>
      </c>
      <c r="L93" s="91" t="str">
        <f>IF(K93&gt;0,K93/(F93*I93),"")</f>
        <v/>
      </c>
      <c r="M93" s="125">
        <f>'Schedule 3 Adjustments'!R92</f>
        <v>0</v>
      </c>
      <c r="N93" s="85" t="str">
        <f>IFERROR(M93/K93,"")</f>
        <v/>
      </c>
      <c r="O93" s="125">
        <f>'Schedule 3 Adjustments'!W92</f>
        <v>0</v>
      </c>
      <c r="P93" s="85" t="str">
        <f>IFERROR(O93/K93,"")</f>
        <v/>
      </c>
      <c r="Q93" s="86" t="str">
        <f>IF(M93=0,"",M93-O93)</f>
        <v/>
      </c>
      <c r="R93" s="85" t="str">
        <f>IFERROR(Q93/K93,"")</f>
        <v/>
      </c>
    </row>
    <row r="94" spans="1:18" x14ac:dyDescent="0.35">
      <c r="A94" s="101" t="s">
        <v>447</v>
      </c>
      <c r="B94" s="87"/>
      <c r="C94" s="87"/>
      <c r="D94" s="87"/>
      <c r="E94" s="87"/>
      <c r="F94" s="131"/>
      <c r="G94" s="134"/>
      <c r="H94" s="134"/>
      <c r="I94" s="104"/>
      <c r="J94" s="364">
        <f>'Schedule 3 Adjustments'!J93</f>
        <v>0</v>
      </c>
      <c r="K94" s="220">
        <f>'Schedule 3 Adjustments'!M93</f>
        <v>0</v>
      </c>
      <c r="L94" s="89"/>
      <c r="M94" s="87"/>
      <c r="N94" s="87"/>
      <c r="O94" s="87"/>
      <c r="P94" s="87"/>
      <c r="Q94" s="87"/>
      <c r="R94" s="87"/>
    </row>
    <row r="95" spans="1:18" x14ac:dyDescent="0.35">
      <c r="A95" s="102" t="s">
        <v>448</v>
      </c>
      <c r="B95" s="88"/>
      <c r="C95" s="88"/>
      <c r="D95" s="88"/>
      <c r="E95" s="88"/>
      <c r="F95" s="132"/>
      <c r="G95" s="135"/>
      <c r="H95" s="135"/>
      <c r="I95" s="105"/>
      <c r="J95" s="366">
        <f>'Schedule 3 Adjustments'!J94</f>
        <v>0</v>
      </c>
      <c r="K95" s="227">
        <f>'Schedule 3 Adjustments'!M94</f>
        <v>0</v>
      </c>
      <c r="L95" s="90"/>
      <c r="M95" s="88"/>
      <c r="N95" s="88"/>
      <c r="O95" s="88"/>
      <c r="P95" s="88"/>
      <c r="Q95" s="88"/>
      <c r="R95" s="88"/>
    </row>
    <row r="96" spans="1:18" x14ac:dyDescent="0.35">
      <c r="A96" s="103" t="s">
        <v>449</v>
      </c>
      <c r="B96" s="88"/>
      <c r="C96" s="88"/>
      <c r="D96" s="88"/>
      <c r="E96" s="88"/>
      <c r="F96" s="132"/>
      <c r="G96" s="135"/>
      <c r="H96" s="135"/>
      <c r="I96" s="105"/>
      <c r="J96" s="367">
        <f>'Schedule 3 Adjustments'!J95</f>
        <v>0</v>
      </c>
      <c r="K96" s="230">
        <f>'Schedule 3 Adjustments'!M95</f>
        <v>0</v>
      </c>
      <c r="L96" s="90"/>
      <c r="M96" s="88"/>
      <c r="N96" s="88"/>
      <c r="O96" s="88"/>
      <c r="P96" s="88"/>
      <c r="Q96" s="88"/>
      <c r="R96" s="88"/>
    </row>
    <row r="97" spans="1:18" x14ac:dyDescent="0.35">
      <c r="J97" s="100"/>
      <c r="L97" s="28"/>
    </row>
    <row r="98" spans="1:18" s="34" customFormat="1" x14ac:dyDescent="0.35">
      <c r="A98" s="84">
        <v>17</v>
      </c>
      <c r="B98" s="529">
        <f>'Schedule 3 Adjustments'!B97:C97</f>
        <v>0</v>
      </c>
      <c r="C98" s="530"/>
      <c r="D98" s="360">
        <f>'Schedule 3 Adjustments'!D97</f>
        <v>0</v>
      </c>
      <c r="E98" s="360">
        <f>'Schedule 3 Adjustments'!E97</f>
        <v>0</v>
      </c>
      <c r="F98" s="365">
        <f>'Schedule 3 Adjustments'!F97</f>
        <v>0</v>
      </c>
      <c r="G98" s="368">
        <f>'Schedule 3 Adjustments'!G97</f>
        <v>0</v>
      </c>
      <c r="H98" s="368">
        <f>'Schedule 3 Adjustments'!H97</f>
        <v>0</v>
      </c>
      <c r="I98" s="138" t="str">
        <f>IF(B98=0,"",IF(AND(G98=0,H98=0),365,IF(AND(G98&gt;0,H98=0),$C$7-G98+1,IF(AND(G98=0,H98&gt;0),H98-($C$7-365),H98-G98+1))))</f>
        <v/>
      </c>
      <c r="J98" s="98"/>
      <c r="K98" s="8">
        <f>SUM(K99:K101)</f>
        <v>0</v>
      </c>
      <c r="L98" s="91" t="str">
        <f>IF(K98&gt;0,K98/(F98*I98),"")</f>
        <v/>
      </c>
      <c r="M98" s="125">
        <f>'Schedule 3 Adjustments'!R97</f>
        <v>0</v>
      </c>
      <c r="N98" s="85" t="str">
        <f>IFERROR(M98/K98,"")</f>
        <v/>
      </c>
      <c r="O98" s="125">
        <f>'Schedule 3 Adjustments'!W97</f>
        <v>0</v>
      </c>
      <c r="P98" s="85" t="str">
        <f>IFERROR(O98/K98,"")</f>
        <v/>
      </c>
      <c r="Q98" s="86" t="str">
        <f>IF(M98=0,"",M98-O98)</f>
        <v/>
      </c>
      <c r="R98" s="85" t="str">
        <f>IFERROR(Q98/K98,"")</f>
        <v/>
      </c>
    </row>
    <row r="99" spans="1:18" x14ac:dyDescent="0.35">
      <c r="A99" s="101" t="s">
        <v>447</v>
      </c>
      <c r="B99" s="87"/>
      <c r="C99" s="87"/>
      <c r="D99" s="87"/>
      <c r="E99" s="87"/>
      <c r="F99" s="131"/>
      <c r="G99" s="134"/>
      <c r="H99" s="134"/>
      <c r="I99" s="104"/>
      <c r="J99" s="364">
        <f>'Schedule 3 Adjustments'!J98</f>
        <v>0</v>
      </c>
      <c r="K99" s="220">
        <f>'Schedule 3 Adjustments'!M98</f>
        <v>0</v>
      </c>
      <c r="L99" s="89"/>
      <c r="M99" s="87"/>
      <c r="N99" s="87"/>
      <c r="O99" s="87"/>
      <c r="P99" s="87"/>
      <c r="Q99" s="87"/>
      <c r="R99" s="87"/>
    </row>
    <row r="100" spans="1:18" x14ac:dyDescent="0.35">
      <c r="A100" s="102" t="s">
        <v>448</v>
      </c>
      <c r="B100" s="88"/>
      <c r="C100" s="88"/>
      <c r="D100" s="88"/>
      <c r="E100" s="88"/>
      <c r="F100" s="132"/>
      <c r="G100" s="135"/>
      <c r="H100" s="135"/>
      <c r="I100" s="105"/>
      <c r="J100" s="366">
        <f>'Schedule 3 Adjustments'!J99</f>
        <v>0</v>
      </c>
      <c r="K100" s="227">
        <f>'Schedule 3 Adjustments'!M99</f>
        <v>0</v>
      </c>
      <c r="L100" s="90"/>
      <c r="M100" s="88"/>
      <c r="N100" s="88"/>
      <c r="O100" s="88"/>
      <c r="P100" s="88"/>
      <c r="Q100" s="88"/>
      <c r="R100" s="88"/>
    </row>
    <row r="101" spans="1:18" x14ac:dyDescent="0.35">
      <c r="A101" s="103" t="s">
        <v>449</v>
      </c>
      <c r="B101" s="88"/>
      <c r="C101" s="88"/>
      <c r="D101" s="88"/>
      <c r="E101" s="88"/>
      <c r="F101" s="132"/>
      <c r="G101" s="135"/>
      <c r="H101" s="135"/>
      <c r="I101" s="105"/>
      <c r="J101" s="367">
        <f>'Schedule 3 Adjustments'!J100</f>
        <v>0</v>
      </c>
      <c r="K101" s="230">
        <f>'Schedule 3 Adjustments'!M100</f>
        <v>0</v>
      </c>
      <c r="L101" s="90"/>
      <c r="M101" s="88"/>
      <c r="N101" s="88"/>
      <c r="O101" s="88"/>
      <c r="P101" s="88"/>
      <c r="Q101" s="88"/>
      <c r="R101" s="88"/>
    </row>
    <row r="102" spans="1:18" x14ac:dyDescent="0.35">
      <c r="J102" s="100"/>
      <c r="L102" s="28"/>
    </row>
    <row r="103" spans="1:18" s="34" customFormat="1" x14ac:dyDescent="0.35">
      <c r="A103" s="84">
        <v>18</v>
      </c>
      <c r="B103" s="529">
        <f>'Schedule 3 Adjustments'!B102:C102</f>
        <v>0</v>
      </c>
      <c r="C103" s="530"/>
      <c r="D103" s="360">
        <f>'Schedule 3 Adjustments'!D102</f>
        <v>0</v>
      </c>
      <c r="E103" s="360">
        <f>'Schedule 3 Adjustments'!E102</f>
        <v>0</v>
      </c>
      <c r="F103" s="365">
        <f>'Schedule 3 Adjustments'!F102</f>
        <v>0</v>
      </c>
      <c r="G103" s="368">
        <f>'Schedule 3 Adjustments'!G102</f>
        <v>0</v>
      </c>
      <c r="H103" s="368">
        <f>'Schedule 3 Adjustments'!H102</f>
        <v>0</v>
      </c>
      <c r="I103" s="138" t="str">
        <f>IF(B103=0,"",IF(AND(G103=0,H103=0),365,IF(AND(G103&gt;0,H103=0),$C$7-G103+1,IF(AND(G103=0,H103&gt;0),H103-($C$7-365),H103-G103+1))))</f>
        <v/>
      </c>
      <c r="J103" s="98"/>
      <c r="K103" s="8">
        <f>SUM(K104:K106)</f>
        <v>0</v>
      </c>
      <c r="L103" s="91" t="str">
        <f>IF(K103&gt;0,K103/(F103*I103),"")</f>
        <v/>
      </c>
      <c r="M103" s="125">
        <f>'Schedule 3 Adjustments'!R102</f>
        <v>0</v>
      </c>
      <c r="N103" s="85" t="str">
        <f>IFERROR(M103/K103,"")</f>
        <v/>
      </c>
      <c r="O103" s="125">
        <f>'Schedule 3 Adjustments'!W102</f>
        <v>0</v>
      </c>
      <c r="P103" s="85" t="str">
        <f>IFERROR(O103/K103,"")</f>
        <v/>
      </c>
      <c r="Q103" s="86" t="str">
        <f>IF(M103=0,"",M103-O103)</f>
        <v/>
      </c>
      <c r="R103" s="85" t="str">
        <f>IFERROR(Q103/K103,"")</f>
        <v/>
      </c>
    </row>
    <row r="104" spans="1:18" x14ac:dyDescent="0.35">
      <c r="A104" s="101" t="s">
        <v>447</v>
      </c>
      <c r="B104" s="87"/>
      <c r="C104" s="87"/>
      <c r="D104" s="87"/>
      <c r="E104" s="87"/>
      <c r="F104" s="131"/>
      <c r="G104" s="134"/>
      <c r="H104" s="134"/>
      <c r="I104" s="104"/>
      <c r="J104" s="364">
        <f>'Schedule 3 Adjustments'!J103</f>
        <v>0</v>
      </c>
      <c r="K104" s="220">
        <f>'Schedule 3 Adjustments'!M103</f>
        <v>0</v>
      </c>
      <c r="L104" s="89"/>
      <c r="M104" s="87"/>
      <c r="N104" s="87"/>
      <c r="O104" s="87"/>
      <c r="P104" s="87"/>
      <c r="Q104" s="87"/>
      <c r="R104" s="87"/>
    </row>
    <row r="105" spans="1:18" x14ac:dyDescent="0.35">
      <c r="A105" s="102" t="s">
        <v>448</v>
      </c>
      <c r="B105" s="88"/>
      <c r="C105" s="88"/>
      <c r="D105" s="88"/>
      <c r="E105" s="88"/>
      <c r="F105" s="132"/>
      <c r="G105" s="135"/>
      <c r="H105" s="135"/>
      <c r="I105" s="105"/>
      <c r="J105" s="366">
        <f>'Schedule 3 Adjustments'!J104</f>
        <v>0</v>
      </c>
      <c r="K105" s="227">
        <f>'Schedule 3 Adjustments'!M104</f>
        <v>0</v>
      </c>
      <c r="L105" s="90"/>
      <c r="M105" s="88"/>
      <c r="N105" s="88"/>
      <c r="O105" s="88"/>
      <c r="P105" s="88"/>
      <c r="Q105" s="88"/>
      <c r="R105" s="88"/>
    </row>
    <row r="106" spans="1:18" x14ac:dyDescent="0.35">
      <c r="A106" s="103" t="s">
        <v>449</v>
      </c>
      <c r="B106" s="88"/>
      <c r="C106" s="88"/>
      <c r="D106" s="88"/>
      <c r="E106" s="88"/>
      <c r="F106" s="132"/>
      <c r="G106" s="135"/>
      <c r="H106" s="135"/>
      <c r="I106" s="105"/>
      <c r="J106" s="367">
        <f>'Schedule 3 Adjustments'!J105</f>
        <v>0</v>
      </c>
      <c r="K106" s="230">
        <f>'Schedule 3 Adjustments'!M105</f>
        <v>0</v>
      </c>
      <c r="L106" s="90"/>
      <c r="M106" s="88"/>
      <c r="N106" s="88"/>
      <c r="O106" s="88"/>
      <c r="P106" s="88"/>
      <c r="Q106" s="88"/>
      <c r="R106" s="88"/>
    </row>
    <row r="107" spans="1:18" x14ac:dyDescent="0.35">
      <c r="J107" s="100"/>
      <c r="L107" s="28"/>
    </row>
    <row r="108" spans="1:18" s="34" customFormat="1" x14ac:dyDescent="0.35">
      <c r="A108" s="84">
        <v>19</v>
      </c>
      <c r="B108" s="529">
        <f>'Schedule 3 Adjustments'!B107:C107</f>
        <v>0</v>
      </c>
      <c r="C108" s="530"/>
      <c r="D108" s="360">
        <f>'Schedule 3 Adjustments'!D107</f>
        <v>0</v>
      </c>
      <c r="E108" s="360">
        <f>'Schedule 3 Adjustments'!E107</f>
        <v>0</v>
      </c>
      <c r="F108" s="365">
        <f>'Schedule 3 Adjustments'!F107</f>
        <v>0</v>
      </c>
      <c r="G108" s="368">
        <f>'Schedule 3 Adjustments'!G107</f>
        <v>0</v>
      </c>
      <c r="H108" s="368">
        <f>'Schedule 3 Adjustments'!H107</f>
        <v>0</v>
      </c>
      <c r="I108" s="138" t="str">
        <f>IF(B108=0,"",IF(AND(G108=0,H108=0),365,IF(AND(G108&gt;0,H108=0),$C$7-G108+1,IF(AND(G108=0,H108&gt;0),H108-($C$7-365),H108-G108+1))))</f>
        <v/>
      </c>
      <c r="J108" s="98"/>
      <c r="K108" s="8">
        <f>SUM(K109:K111)</f>
        <v>0</v>
      </c>
      <c r="L108" s="91" t="str">
        <f>IF(K108&gt;0,K108/(F108*I108),"")</f>
        <v/>
      </c>
      <c r="M108" s="125">
        <f>'Schedule 3 Adjustments'!R107</f>
        <v>0</v>
      </c>
      <c r="N108" s="85" t="str">
        <f>IFERROR(M108/K108,"")</f>
        <v/>
      </c>
      <c r="O108" s="125">
        <f>'Schedule 3 Adjustments'!W107</f>
        <v>0</v>
      </c>
      <c r="P108" s="85" t="str">
        <f>IFERROR(O108/K108,"")</f>
        <v/>
      </c>
      <c r="Q108" s="86" t="str">
        <f>IF(M108=0,"",M108-O108)</f>
        <v/>
      </c>
      <c r="R108" s="85" t="str">
        <f>IFERROR(Q108/K108,"")</f>
        <v/>
      </c>
    </row>
    <row r="109" spans="1:18" x14ac:dyDescent="0.35">
      <c r="A109" s="101" t="s">
        <v>447</v>
      </c>
      <c r="B109" s="87"/>
      <c r="C109" s="87"/>
      <c r="D109" s="87"/>
      <c r="E109" s="87"/>
      <c r="F109" s="131"/>
      <c r="G109" s="134"/>
      <c r="H109" s="134"/>
      <c r="I109" s="104"/>
      <c r="J109" s="364">
        <f>'Schedule 3 Adjustments'!J108</f>
        <v>0</v>
      </c>
      <c r="K109" s="220">
        <f>'Schedule 3 Adjustments'!M108</f>
        <v>0</v>
      </c>
      <c r="L109" s="89"/>
      <c r="M109" s="87"/>
      <c r="N109" s="87"/>
      <c r="O109" s="87"/>
      <c r="P109" s="87"/>
      <c r="Q109" s="87"/>
      <c r="R109" s="87"/>
    </row>
    <row r="110" spans="1:18" x14ac:dyDescent="0.35">
      <c r="A110" s="102" t="s">
        <v>448</v>
      </c>
      <c r="B110" s="88"/>
      <c r="C110" s="88"/>
      <c r="D110" s="88"/>
      <c r="E110" s="88"/>
      <c r="F110" s="132"/>
      <c r="G110" s="135"/>
      <c r="H110" s="135"/>
      <c r="I110" s="105"/>
      <c r="J110" s="366">
        <f>'Schedule 3 Adjustments'!J109</f>
        <v>0</v>
      </c>
      <c r="K110" s="227">
        <f>'Schedule 3 Adjustments'!M109</f>
        <v>0</v>
      </c>
      <c r="L110" s="90"/>
      <c r="M110" s="88"/>
      <c r="N110" s="88"/>
      <c r="O110" s="88"/>
      <c r="P110" s="88"/>
      <c r="Q110" s="88"/>
      <c r="R110" s="88"/>
    </row>
    <row r="111" spans="1:18" x14ac:dyDescent="0.35">
      <c r="A111" s="103" t="s">
        <v>449</v>
      </c>
      <c r="B111" s="88"/>
      <c r="C111" s="88"/>
      <c r="D111" s="88"/>
      <c r="E111" s="88"/>
      <c r="F111" s="132"/>
      <c r="G111" s="135"/>
      <c r="H111" s="135"/>
      <c r="I111" s="105"/>
      <c r="J111" s="367">
        <f>'Schedule 3 Adjustments'!J110</f>
        <v>0</v>
      </c>
      <c r="K111" s="230">
        <f>'Schedule 3 Adjustments'!M110</f>
        <v>0</v>
      </c>
      <c r="L111" s="90"/>
      <c r="M111" s="88"/>
      <c r="N111" s="88"/>
      <c r="O111" s="88"/>
      <c r="P111" s="88"/>
      <c r="Q111" s="88"/>
      <c r="R111" s="88"/>
    </row>
    <row r="112" spans="1:18" x14ac:dyDescent="0.35">
      <c r="J112" s="100"/>
      <c r="L112" s="28"/>
    </row>
    <row r="113" spans="1:18" s="34" customFormat="1" x14ac:dyDescent="0.35">
      <c r="A113" s="84">
        <v>20</v>
      </c>
      <c r="B113" s="529">
        <f>'Schedule 3 Adjustments'!B112:C112</f>
        <v>0</v>
      </c>
      <c r="C113" s="530"/>
      <c r="D113" s="360">
        <f>'Schedule 3 Adjustments'!D112</f>
        <v>0</v>
      </c>
      <c r="E113" s="360">
        <f>'Schedule 3 Adjustments'!E112</f>
        <v>0</v>
      </c>
      <c r="F113" s="365">
        <f>'Schedule 3 Adjustments'!F112</f>
        <v>0</v>
      </c>
      <c r="G113" s="368">
        <f>'Schedule 3 Adjustments'!G112</f>
        <v>0</v>
      </c>
      <c r="H113" s="368">
        <f>'Schedule 3 Adjustments'!H112</f>
        <v>0</v>
      </c>
      <c r="I113" s="138" t="str">
        <f>IF(B113=0,"",IF(AND(G113=0,H113=0),365,IF(AND(G113&gt;0,H113=0),$C$7-G113+1,IF(AND(G113=0,H113&gt;0),H113-($C$7-365),H113-G113+1))))</f>
        <v/>
      </c>
      <c r="J113" s="98"/>
      <c r="K113" s="8">
        <f>SUM(K114:K116)</f>
        <v>0</v>
      </c>
      <c r="L113" s="91" t="str">
        <f>IF(K113&gt;0,K113/(F113*I113),"")</f>
        <v/>
      </c>
      <c r="M113" s="125">
        <f>'Schedule 3 Adjustments'!R112</f>
        <v>0</v>
      </c>
      <c r="N113" s="85" t="str">
        <f>IFERROR(M113/K113,"")</f>
        <v/>
      </c>
      <c r="O113" s="125">
        <f>'Schedule 3 Adjustments'!W112</f>
        <v>0</v>
      </c>
      <c r="P113" s="85" t="str">
        <f>IFERROR(O113/K113,"")</f>
        <v/>
      </c>
      <c r="Q113" s="86" t="str">
        <f>IF(M113=0,"",M113-O113)</f>
        <v/>
      </c>
      <c r="R113" s="85" t="str">
        <f>IFERROR(Q113/K113,"")</f>
        <v/>
      </c>
    </row>
    <row r="114" spans="1:18" x14ac:dyDescent="0.35">
      <c r="A114" s="101" t="s">
        <v>447</v>
      </c>
      <c r="B114" s="87"/>
      <c r="C114" s="87"/>
      <c r="D114" s="87"/>
      <c r="E114" s="87"/>
      <c r="F114" s="131"/>
      <c r="G114" s="134"/>
      <c r="H114" s="134"/>
      <c r="I114" s="104"/>
      <c r="J114" s="364">
        <f>'Schedule 3 Adjustments'!J113</f>
        <v>0</v>
      </c>
      <c r="K114" s="220">
        <f>'Schedule 3 Adjustments'!M113</f>
        <v>0</v>
      </c>
      <c r="L114" s="89"/>
      <c r="M114" s="87"/>
      <c r="N114" s="87"/>
      <c r="O114" s="87"/>
      <c r="P114" s="87"/>
      <c r="Q114" s="87"/>
      <c r="R114" s="87"/>
    </row>
    <row r="115" spans="1:18" x14ac:dyDescent="0.35">
      <c r="A115" s="102" t="s">
        <v>448</v>
      </c>
      <c r="B115" s="88"/>
      <c r="C115" s="88"/>
      <c r="D115" s="88"/>
      <c r="E115" s="88"/>
      <c r="F115" s="132"/>
      <c r="G115" s="135"/>
      <c r="H115" s="135"/>
      <c r="I115" s="105"/>
      <c r="J115" s="366">
        <f>'Schedule 3 Adjustments'!J114</f>
        <v>0</v>
      </c>
      <c r="K115" s="227">
        <f>'Schedule 3 Adjustments'!M114</f>
        <v>0</v>
      </c>
      <c r="L115" s="90"/>
      <c r="M115" s="88"/>
      <c r="N115" s="88"/>
      <c r="O115" s="88"/>
      <c r="P115" s="88"/>
      <c r="Q115" s="88"/>
      <c r="R115" s="88"/>
    </row>
    <row r="116" spans="1:18" x14ac:dyDescent="0.35">
      <c r="A116" s="103" t="s">
        <v>449</v>
      </c>
      <c r="B116" s="88"/>
      <c r="C116" s="88"/>
      <c r="D116" s="88"/>
      <c r="E116" s="88"/>
      <c r="F116" s="132"/>
      <c r="G116" s="135"/>
      <c r="H116" s="135"/>
      <c r="I116" s="105"/>
      <c r="J116" s="367">
        <f>'Schedule 3 Adjustments'!J115</f>
        <v>0</v>
      </c>
      <c r="K116" s="230">
        <f>'Schedule 3 Adjustments'!M115</f>
        <v>0</v>
      </c>
      <c r="L116" s="90"/>
      <c r="M116" s="88"/>
      <c r="N116" s="88"/>
      <c r="O116" s="88"/>
      <c r="P116" s="88"/>
      <c r="Q116" s="88"/>
      <c r="R116" s="88"/>
    </row>
    <row r="117" spans="1:18" x14ac:dyDescent="0.35">
      <c r="J117" s="100"/>
      <c r="L117" s="28"/>
    </row>
    <row r="118" spans="1:18" s="34" customFormat="1" x14ac:dyDescent="0.35">
      <c r="A118" s="84">
        <v>21</v>
      </c>
      <c r="B118" s="529">
        <f>'Schedule 3 Adjustments'!B117:C117</f>
        <v>0</v>
      </c>
      <c r="C118" s="530"/>
      <c r="D118" s="360">
        <f>'Schedule 3 Adjustments'!D117</f>
        <v>0</v>
      </c>
      <c r="E118" s="360">
        <f>'Schedule 3 Adjustments'!E117</f>
        <v>0</v>
      </c>
      <c r="F118" s="365">
        <f>'Schedule 3 Adjustments'!F117</f>
        <v>0</v>
      </c>
      <c r="G118" s="368">
        <f>'Schedule 3 Adjustments'!G117</f>
        <v>0</v>
      </c>
      <c r="H118" s="368">
        <f>'Schedule 3 Adjustments'!H117</f>
        <v>0</v>
      </c>
      <c r="I118" s="138" t="str">
        <f>IF(B118=0,"",IF(AND(G118=0,H118=0),365,IF(AND(G118&gt;0,H118=0),$C$7-G118+1,IF(AND(G118=0,H118&gt;0),H118-($C$7-365),H118-G118+1))))</f>
        <v/>
      </c>
      <c r="J118" s="98"/>
      <c r="K118" s="8">
        <f>SUM(K119:K121)</f>
        <v>0</v>
      </c>
      <c r="L118" s="91" t="str">
        <f>IF(K118&gt;0,K118/(F118*I118),"")</f>
        <v/>
      </c>
      <c r="M118" s="125">
        <f>'Schedule 3 Adjustments'!R117</f>
        <v>0</v>
      </c>
      <c r="N118" s="85" t="str">
        <f>IFERROR(M118/K118,"")</f>
        <v/>
      </c>
      <c r="O118" s="125">
        <f>'Schedule 3 Adjustments'!W117</f>
        <v>0</v>
      </c>
      <c r="P118" s="85" t="str">
        <f>IFERROR(O118/K118,"")</f>
        <v/>
      </c>
      <c r="Q118" s="86" t="str">
        <f>IF(M118=0,"",M118-O118)</f>
        <v/>
      </c>
      <c r="R118" s="85" t="str">
        <f>IFERROR(Q118/K118,"")</f>
        <v/>
      </c>
    </row>
    <row r="119" spans="1:18" x14ac:dyDescent="0.35">
      <c r="A119" s="101" t="s">
        <v>447</v>
      </c>
      <c r="B119" s="87"/>
      <c r="C119" s="87"/>
      <c r="D119" s="87"/>
      <c r="E119" s="87"/>
      <c r="F119" s="131"/>
      <c r="G119" s="134"/>
      <c r="H119" s="134"/>
      <c r="I119" s="104"/>
      <c r="J119" s="364">
        <f>'Schedule 3 Adjustments'!J118</f>
        <v>0</v>
      </c>
      <c r="K119" s="220">
        <f>'Schedule 3 Adjustments'!M118</f>
        <v>0</v>
      </c>
      <c r="L119" s="89"/>
      <c r="M119" s="87"/>
      <c r="N119" s="87"/>
      <c r="O119" s="87"/>
      <c r="P119" s="87"/>
      <c r="Q119" s="87"/>
      <c r="R119" s="87"/>
    </row>
    <row r="120" spans="1:18" x14ac:dyDescent="0.35">
      <c r="A120" s="102" t="s">
        <v>448</v>
      </c>
      <c r="B120" s="88"/>
      <c r="C120" s="88"/>
      <c r="D120" s="88"/>
      <c r="E120" s="88"/>
      <c r="F120" s="132"/>
      <c r="G120" s="135"/>
      <c r="H120" s="135"/>
      <c r="I120" s="105"/>
      <c r="J120" s="366">
        <f>'Schedule 3 Adjustments'!J119</f>
        <v>0</v>
      </c>
      <c r="K120" s="227">
        <f>'Schedule 3 Adjustments'!M119</f>
        <v>0</v>
      </c>
      <c r="L120" s="90"/>
      <c r="M120" s="88"/>
      <c r="N120" s="88"/>
      <c r="O120" s="88"/>
      <c r="P120" s="88"/>
      <c r="Q120" s="88"/>
      <c r="R120" s="88"/>
    </row>
    <row r="121" spans="1:18" x14ac:dyDescent="0.35">
      <c r="A121" s="103" t="s">
        <v>449</v>
      </c>
      <c r="B121" s="88"/>
      <c r="C121" s="88"/>
      <c r="D121" s="88"/>
      <c r="E121" s="88"/>
      <c r="F121" s="132"/>
      <c r="G121" s="135"/>
      <c r="H121" s="135"/>
      <c r="I121" s="105"/>
      <c r="J121" s="367">
        <f>'Schedule 3 Adjustments'!J120</f>
        <v>0</v>
      </c>
      <c r="K121" s="230">
        <f>'Schedule 3 Adjustments'!M120</f>
        <v>0</v>
      </c>
      <c r="L121" s="90"/>
      <c r="M121" s="88"/>
      <c r="N121" s="88"/>
      <c r="O121" s="88"/>
      <c r="P121" s="88"/>
      <c r="Q121" s="88"/>
      <c r="R121" s="88"/>
    </row>
    <row r="122" spans="1:18" x14ac:dyDescent="0.35">
      <c r="J122" s="100"/>
      <c r="L122" s="28"/>
    </row>
    <row r="123" spans="1:18" s="34" customFormat="1" x14ac:dyDescent="0.35">
      <c r="A123" s="84">
        <v>22</v>
      </c>
      <c r="B123" s="529">
        <f>'Schedule 3 Adjustments'!B122:C122</f>
        <v>0</v>
      </c>
      <c r="C123" s="530"/>
      <c r="D123" s="360">
        <f>'Schedule 3 Adjustments'!D122</f>
        <v>0</v>
      </c>
      <c r="E123" s="360">
        <f>'Schedule 3 Adjustments'!E122</f>
        <v>0</v>
      </c>
      <c r="F123" s="365">
        <f>'Schedule 3 Adjustments'!F122</f>
        <v>0</v>
      </c>
      <c r="G123" s="368">
        <f>'Schedule 3 Adjustments'!G122</f>
        <v>0</v>
      </c>
      <c r="H123" s="368">
        <f>'Schedule 3 Adjustments'!H122</f>
        <v>0</v>
      </c>
      <c r="I123" s="138" t="str">
        <f>IF(B123=0,"",IF(AND(G123=0,H123=0),365,IF(AND(G123&gt;0,H123=0),$C$7-G123+1,IF(AND(G123=0,H123&gt;0),H123-($C$7-365),H123-G123+1))))</f>
        <v/>
      </c>
      <c r="J123" s="98"/>
      <c r="K123" s="8">
        <f>SUM(K124:K126)</f>
        <v>0</v>
      </c>
      <c r="L123" s="91" t="str">
        <f>IF(K123&gt;0,K123/(F123*I123),"")</f>
        <v/>
      </c>
      <c r="M123" s="125">
        <f>'Schedule 3 Adjustments'!R122</f>
        <v>0</v>
      </c>
      <c r="N123" s="85" t="str">
        <f>IFERROR(M123/K123,"")</f>
        <v/>
      </c>
      <c r="O123" s="125">
        <f>'Schedule 3 Adjustments'!W122</f>
        <v>0</v>
      </c>
      <c r="P123" s="85" t="str">
        <f>IFERROR(O123/K123,"")</f>
        <v/>
      </c>
      <c r="Q123" s="86" t="str">
        <f>IF(M123=0,"",M123-O123)</f>
        <v/>
      </c>
      <c r="R123" s="85" t="str">
        <f>IFERROR(Q123/K123,"")</f>
        <v/>
      </c>
    </row>
    <row r="124" spans="1:18" x14ac:dyDescent="0.35">
      <c r="A124" s="101" t="s">
        <v>447</v>
      </c>
      <c r="B124" s="87"/>
      <c r="C124" s="87"/>
      <c r="D124" s="87"/>
      <c r="E124" s="87"/>
      <c r="F124" s="131"/>
      <c r="G124" s="134"/>
      <c r="H124" s="134"/>
      <c r="I124" s="104"/>
      <c r="J124" s="364">
        <f>'Schedule 3 Adjustments'!J123</f>
        <v>0</v>
      </c>
      <c r="K124" s="220">
        <f>'Schedule 3 Adjustments'!M123</f>
        <v>0</v>
      </c>
      <c r="L124" s="89"/>
      <c r="M124" s="87"/>
      <c r="N124" s="87"/>
      <c r="O124" s="87"/>
      <c r="P124" s="87"/>
      <c r="Q124" s="87"/>
      <c r="R124" s="87"/>
    </row>
    <row r="125" spans="1:18" x14ac:dyDescent="0.35">
      <c r="A125" s="102" t="s">
        <v>448</v>
      </c>
      <c r="B125" s="88"/>
      <c r="C125" s="88"/>
      <c r="D125" s="88"/>
      <c r="E125" s="88"/>
      <c r="F125" s="132"/>
      <c r="G125" s="135"/>
      <c r="H125" s="135"/>
      <c r="I125" s="105"/>
      <c r="J125" s="366">
        <f>'Schedule 3 Adjustments'!J124</f>
        <v>0</v>
      </c>
      <c r="K125" s="227">
        <f>'Schedule 3 Adjustments'!M124</f>
        <v>0</v>
      </c>
      <c r="L125" s="90"/>
      <c r="M125" s="88"/>
      <c r="N125" s="88"/>
      <c r="O125" s="88"/>
      <c r="P125" s="88"/>
      <c r="Q125" s="88"/>
      <c r="R125" s="88"/>
    </row>
    <row r="126" spans="1:18" x14ac:dyDescent="0.35">
      <c r="A126" s="103" t="s">
        <v>449</v>
      </c>
      <c r="B126" s="88"/>
      <c r="C126" s="88"/>
      <c r="D126" s="88"/>
      <c r="E126" s="88"/>
      <c r="F126" s="132"/>
      <c r="G126" s="135"/>
      <c r="H126" s="135"/>
      <c r="I126" s="105"/>
      <c r="J126" s="367">
        <f>'Schedule 3 Adjustments'!J125</f>
        <v>0</v>
      </c>
      <c r="K126" s="230">
        <f>'Schedule 3 Adjustments'!M125</f>
        <v>0</v>
      </c>
      <c r="L126" s="90"/>
      <c r="M126" s="88"/>
      <c r="N126" s="88"/>
      <c r="O126" s="88"/>
      <c r="P126" s="88"/>
      <c r="Q126" s="88"/>
      <c r="R126" s="88"/>
    </row>
    <row r="127" spans="1:18" x14ac:dyDescent="0.35">
      <c r="J127" s="100"/>
      <c r="L127" s="28"/>
    </row>
    <row r="128" spans="1:18" s="34" customFormat="1" x14ac:dyDescent="0.35">
      <c r="A128" s="84">
        <v>23</v>
      </c>
      <c r="B128" s="529">
        <f>'Schedule 3 Adjustments'!B127:C127</f>
        <v>0</v>
      </c>
      <c r="C128" s="530"/>
      <c r="D128" s="360">
        <f>'Schedule 3 Adjustments'!D127</f>
        <v>0</v>
      </c>
      <c r="E128" s="360">
        <f>'Schedule 3 Adjustments'!E127</f>
        <v>0</v>
      </c>
      <c r="F128" s="365">
        <f>'Schedule 3 Adjustments'!F127</f>
        <v>0</v>
      </c>
      <c r="G128" s="368">
        <f>'Schedule 3 Adjustments'!G127</f>
        <v>0</v>
      </c>
      <c r="H128" s="368">
        <f>'Schedule 3 Adjustments'!H127</f>
        <v>0</v>
      </c>
      <c r="I128" s="138" t="str">
        <f>IF(B128=0,"",IF(AND(G128=0,H128=0),365,IF(AND(G128&gt;0,H128=0),$C$7-G128+1,IF(AND(G128=0,H128&gt;0),H128-($C$7-365),H128-G128+1))))</f>
        <v/>
      </c>
      <c r="J128" s="98"/>
      <c r="K128" s="8">
        <f>SUM(K129:K131)</f>
        <v>0</v>
      </c>
      <c r="L128" s="91" t="str">
        <f>IF(K128&gt;0,K128/(F128*I128),"")</f>
        <v/>
      </c>
      <c r="M128" s="125">
        <f>'Schedule 3 Adjustments'!R127</f>
        <v>0</v>
      </c>
      <c r="N128" s="85" t="str">
        <f>IFERROR(M128/K128,"")</f>
        <v/>
      </c>
      <c r="O128" s="125">
        <f>'Schedule 3 Adjustments'!W127</f>
        <v>0</v>
      </c>
      <c r="P128" s="85" t="str">
        <f>IFERROR(O128/K128,"")</f>
        <v/>
      </c>
      <c r="Q128" s="86" t="str">
        <f>IF(M128=0,"",M128-O128)</f>
        <v/>
      </c>
      <c r="R128" s="85" t="str">
        <f>IFERROR(Q128/K128,"")</f>
        <v/>
      </c>
    </row>
    <row r="129" spans="1:18" x14ac:dyDescent="0.35">
      <c r="A129" s="101" t="s">
        <v>447</v>
      </c>
      <c r="B129" s="87"/>
      <c r="C129" s="87"/>
      <c r="D129" s="87"/>
      <c r="E129" s="87"/>
      <c r="F129" s="131"/>
      <c r="G129" s="134"/>
      <c r="H129" s="134"/>
      <c r="I129" s="104"/>
      <c r="J129" s="364">
        <f>'Schedule 3 Adjustments'!J128</f>
        <v>0</v>
      </c>
      <c r="K129" s="220">
        <f>'Schedule 3 Adjustments'!M128</f>
        <v>0</v>
      </c>
      <c r="L129" s="89"/>
      <c r="M129" s="87"/>
      <c r="N129" s="87"/>
      <c r="O129" s="87"/>
      <c r="P129" s="87"/>
      <c r="Q129" s="87"/>
      <c r="R129" s="87"/>
    </row>
    <row r="130" spans="1:18" x14ac:dyDescent="0.35">
      <c r="A130" s="102" t="s">
        <v>448</v>
      </c>
      <c r="B130" s="88"/>
      <c r="C130" s="88"/>
      <c r="D130" s="88"/>
      <c r="E130" s="88"/>
      <c r="F130" s="132"/>
      <c r="G130" s="135"/>
      <c r="H130" s="135"/>
      <c r="I130" s="105"/>
      <c r="J130" s="366">
        <f>'Schedule 3 Adjustments'!J129</f>
        <v>0</v>
      </c>
      <c r="K130" s="227">
        <f>'Schedule 3 Adjustments'!M129</f>
        <v>0</v>
      </c>
      <c r="L130" s="90"/>
      <c r="M130" s="88"/>
      <c r="N130" s="88"/>
      <c r="O130" s="88"/>
      <c r="P130" s="88"/>
      <c r="Q130" s="88"/>
      <c r="R130" s="88"/>
    </row>
    <row r="131" spans="1:18" x14ac:dyDescent="0.35">
      <c r="A131" s="103" t="s">
        <v>449</v>
      </c>
      <c r="B131" s="88"/>
      <c r="C131" s="88"/>
      <c r="D131" s="88"/>
      <c r="E131" s="88"/>
      <c r="F131" s="132"/>
      <c r="G131" s="135"/>
      <c r="H131" s="135"/>
      <c r="I131" s="105"/>
      <c r="J131" s="367">
        <f>'Schedule 3 Adjustments'!J130</f>
        <v>0</v>
      </c>
      <c r="K131" s="230">
        <f>'Schedule 3 Adjustments'!M130</f>
        <v>0</v>
      </c>
      <c r="L131" s="90"/>
      <c r="M131" s="88"/>
      <c r="N131" s="88"/>
      <c r="O131" s="88"/>
      <c r="P131" s="88"/>
      <c r="Q131" s="88"/>
      <c r="R131" s="88"/>
    </row>
    <row r="132" spans="1:18" x14ac:dyDescent="0.35">
      <c r="J132" s="100"/>
      <c r="L132" s="28"/>
    </row>
    <row r="133" spans="1:18" s="34" customFormat="1" x14ac:dyDescent="0.35">
      <c r="A133" s="84">
        <v>24</v>
      </c>
      <c r="B133" s="529">
        <f>'Schedule 3 Adjustments'!B132:C132</f>
        <v>0</v>
      </c>
      <c r="C133" s="530"/>
      <c r="D133" s="360">
        <f>'Schedule 3 Adjustments'!D132</f>
        <v>0</v>
      </c>
      <c r="E133" s="360">
        <f>'Schedule 3 Adjustments'!E132</f>
        <v>0</v>
      </c>
      <c r="F133" s="365">
        <f>'Schedule 3 Adjustments'!F132</f>
        <v>0</v>
      </c>
      <c r="G133" s="368">
        <f>'Schedule 3 Adjustments'!G132</f>
        <v>0</v>
      </c>
      <c r="H133" s="368">
        <f>'Schedule 3 Adjustments'!H132</f>
        <v>0</v>
      </c>
      <c r="I133" s="138" t="str">
        <f>IF(B133=0,"",IF(AND(G133=0,H133=0),365,IF(AND(G133&gt;0,H133=0),$C$7-G133+1,IF(AND(G133=0,H133&gt;0),H133-($C$7-365),H133-G133+1))))</f>
        <v/>
      </c>
      <c r="J133" s="98"/>
      <c r="K133" s="8">
        <f>SUM(K134:K136)</f>
        <v>0</v>
      </c>
      <c r="L133" s="91" t="str">
        <f>IF(K133&gt;0,K133/(F133*I133),"")</f>
        <v/>
      </c>
      <c r="M133" s="125">
        <f>'Schedule 3 Adjustments'!R132</f>
        <v>0</v>
      </c>
      <c r="N133" s="85" t="str">
        <f>IFERROR(M133/K133,"")</f>
        <v/>
      </c>
      <c r="O133" s="125">
        <f>'Schedule 3 Adjustments'!W132</f>
        <v>0</v>
      </c>
      <c r="P133" s="85" t="str">
        <f>IFERROR(O133/K133,"")</f>
        <v/>
      </c>
      <c r="Q133" s="86" t="str">
        <f>IF(M133=0,"",M133-O133)</f>
        <v/>
      </c>
      <c r="R133" s="85" t="str">
        <f>IFERROR(Q133/K133,"")</f>
        <v/>
      </c>
    </row>
    <row r="134" spans="1:18" x14ac:dyDescent="0.35">
      <c r="A134" s="101" t="s">
        <v>447</v>
      </c>
      <c r="B134" s="87"/>
      <c r="C134" s="87"/>
      <c r="D134" s="87"/>
      <c r="E134" s="87"/>
      <c r="F134" s="131"/>
      <c r="G134" s="134"/>
      <c r="H134" s="134"/>
      <c r="I134" s="104"/>
      <c r="J134" s="364">
        <f>'Schedule 3 Adjustments'!J133</f>
        <v>0</v>
      </c>
      <c r="K134" s="220">
        <f>'Schedule 3 Adjustments'!M133</f>
        <v>0</v>
      </c>
      <c r="L134" s="89"/>
      <c r="M134" s="87"/>
      <c r="N134" s="87"/>
      <c r="O134" s="87"/>
      <c r="P134" s="87"/>
      <c r="Q134" s="87"/>
      <c r="R134" s="87"/>
    </row>
    <row r="135" spans="1:18" x14ac:dyDescent="0.35">
      <c r="A135" s="102" t="s">
        <v>448</v>
      </c>
      <c r="B135" s="88"/>
      <c r="C135" s="88"/>
      <c r="D135" s="88"/>
      <c r="E135" s="88"/>
      <c r="F135" s="132"/>
      <c r="G135" s="135"/>
      <c r="H135" s="135"/>
      <c r="I135" s="105"/>
      <c r="J135" s="366">
        <f>'Schedule 3 Adjustments'!J134</f>
        <v>0</v>
      </c>
      <c r="K135" s="227">
        <f>'Schedule 3 Adjustments'!M134</f>
        <v>0</v>
      </c>
      <c r="L135" s="90"/>
      <c r="M135" s="88"/>
      <c r="N135" s="88"/>
      <c r="O135" s="88"/>
      <c r="P135" s="88"/>
      <c r="Q135" s="88"/>
      <c r="R135" s="88"/>
    </row>
    <row r="136" spans="1:18" x14ac:dyDescent="0.35">
      <c r="A136" s="103" t="s">
        <v>449</v>
      </c>
      <c r="B136" s="88"/>
      <c r="C136" s="88"/>
      <c r="D136" s="88"/>
      <c r="E136" s="88"/>
      <c r="F136" s="132"/>
      <c r="G136" s="135"/>
      <c r="H136" s="135"/>
      <c r="I136" s="105"/>
      <c r="J136" s="367">
        <f>'Schedule 3 Adjustments'!J135</f>
        <v>0</v>
      </c>
      <c r="K136" s="230">
        <f>'Schedule 3 Adjustments'!M135</f>
        <v>0</v>
      </c>
      <c r="L136" s="90"/>
      <c r="M136" s="88"/>
      <c r="N136" s="88"/>
      <c r="O136" s="88"/>
      <c r="P136" s="88"/>
      <c r="Q136" s="88"/>
      <c r="R136" s="88"/>
    </row>
    <row r="137" spans="1:18" x14ac:dyDescent="0.35">
      <c r="J137" s="100"/>
      <c r="L137" s="28"/>
    </row>
    <row r="138" spans="1:18" s="34" customFormat="1" x14ac:dyDescent="0.35">
      <c r="A138" s="84">
        <v>25</v>
      </c>
      <c r="B138" s="529">
        <f>'Schedule 3 Adjustments'!B137:C137</f>
        <v>0</v>
      </c>
      <c r="C138" s="530"/>
      <c r="D138" s="360">
        <f>'Schedule 3 Adjustments'!D137</f>
        <v>0</v>
      </c>
      <c r="E138" s="360">
        <f>'Schedule 3 Adjustments'!E137</f>
        <v>0</v>
      </c>
      <c r="F138" s="365">
        <f>'Schedule 3 Adjustments'!F137</f>
        <v>0</v>
      </c>
      <c r="G138" s="368">
        <f>'Schedule 3 Adjustments'!G137</f>
        <v>0</v>
      </c>
      <c r="H138" s="368">
        <f>'Schedule 3 Adjustments'!H137</f>
        <v>0</v>
      </c>
      <c r="I138" s="138" t="str">
        <f>IF(B138=0,"",IF(AND(G138=0,H138=0),365,IF(AND(G138&gt;0,H138=0),$C$7-G138+1,IF(AND(G138=0,H138&gt;0),H138-($C$7-365),H138-G138+1))))</f>
        <v/>
      </c>
      <c r="J138" s="98"/>
      <c r="K138" s="8">
        <f>SUM(K139:K141)</f>
        <v>0</v>
      </c>
      <c r="L138" s="91" t="str">
        <f>IF(K138&gt;0,K138/(F138*I138),"")</f>
        <v/>
      </c>
      <c r="M138" s="125">
        <f>'Schedule 3 Adjustments'!R137</f>
        <v>0</v>
      </c>
      <c r="N138" s="85" t="str">
        <f>IFERROR(M138/K138,"")</f>
        <v/>
      </c>
      <c r="O138" s="125">
        <f>'Schedule 3 Adjustments'!W137</f>
        <v>0</v>
      </c>
      <c r="P138" s="85" t="str">
        <f>IFERROR(O138/K138,"")</f>
        <v/>
      </c>
      <c r="Q138" s="86" t="str">
        <f>IF(M138=0,"",M138-O138)</f>
        <v/>
      </c>
      <c r="R138" s="85" t="str">
        <f>IFERROR(Q138/K138,"")</f>
        <v/>
      </c>
    </row>
    <row r="139" spans="1:18" x14ac:dyDescent="0.35">
      <c r="A139" s="101" t="s">
        <v>447</v>
      </c>
      <c r="B139" s="87"/>
      <c r="C139" s="87"/>
      <c r="D139" s="87"/>
      <c r="E139" s="87"/>
      <c r="F139" s="131"/>
      <c r="G139" s="134"/>
      <c r="H139" s="134"/>
      <c r="I139" s="104"/>
      <c r="J139" s="364">
        <f>'Schedule 3 Adjustments'!J138</f>
        <v>0</v>
      </c>
      <c r="K139" s="220">
        <f>'Schedule 3 Adjustments'!M138</f>
        <v>0</v>
      </c>
      <c r="L139" s="89"/>
      <c r="M139" s="87"/>
      <c r="N139" s="87"/>
      <c r="O139" s="87"/>
      <c r="P139" s="87"/>
      <c r="Q139" s="87"/>
      <c r="R139" s="87"/>
    </row>
    <row r="140" spans="1:18" x14ac:dyDescent="0.35">
      <c r="A140" s="102" t="s">
        <v>448</v>
      </c>
      <c r="B140" s="88"/>
      <c r="C140" s="88"/>
      <c r="D140" s="88"/>
      <c r="E140" s="88"/>
      <c r="F140" s="132"/>
      <c r="G140" s="135"/>
      <c r="H140" s="135"/>
      <c r="I140" s="105"/>
      <c r="J140" s="366">
        <f>'Schedule 3 Adjustments'!J139</f>
        <v>0</v>
      </c>
      <c r="K140" s="227">
        <f>'Schedule 3 Adjustments'!M139</f>
        <v>0</v>
      </c>
      <c r="L140" s="90"/>
      <c r="M140" s="88"/>
      <c r="N140" s="88"/>
      <c r="O140" s="88"/>
      <c r="P140" s="88"/>
      <c r="Q140" s="88"/>
      <c r="R140" s="88"/>
    </row>
    <row r="141" spans="1:18" x14ac:dyDescent="0.35">
      <c r="A141" s="103" t="s">
        <v>449</v>
      </c>
      <c r="B141" s="88"/>
      <c r="C141" s="88"/>
      <c r="D141" s="88"/>
      <c r="E141" s="88"/>
      <c r="F141" s="132"/>
      <c r="G141" s="135"/>
      <c r="H141" s="135"/>
      <c r="I141" s="105"/>
      <c r="J141" s="367">
        <f>'Schedule 3 Adjustments'!J140</f>
        <v>0</v>
      </c>
      <c r="K141" s="230">
        <f>'Schedule 3 Adjustments'!M140</f>
        <v>0</v>
      </c>
      <c r="L141" s="90"/>
      <c r="M141" s="88"/>
      <c r="N141" s="88"/>
      <c r="O141" s="88"/>
      <c r="P141" s="88"/>
      <c r="Q141" s="88"/>
      <c r="R141" s="88"/>
    </row>
    <row r="142" spans="1:18" x14ac:dyDescent="0.35">
      <c r="J142" s="100"/>
      <c r="L142" s="28"/>
    </row>
    <row r="143" spans="1:18" s="34" customFormat="1" x14ac:dyDescent="0.35">
      <c r="A143" s="84">
        <v>26</v>
      </c>
      <c r="B143" s="529">
        <f>'Schedule 3 Adjustments'!B142:C142</f>
        <v>0</v>
      </c>
      <c r="C143" s="530"/>
      <c r="D143" s="360">
        <f>'Schedule 3 Adjustments'!D142</f>
        <v>0</v>
      </c>
      <c r="E143" s="360">
        <f>'Schedule 3 Adjustments'!E142</f>
        <v>0</v>
      </c>
      <c r="F143" s="365">
        <f>'Schedule 3 Adjustments'!F142</f>
        <v>0</v>
      </c>
      <c r="G143" s="368">
        <f>'Schedule 3 Adjustments'!G142</f>
        <v>0</v>
      </c>
      <c r="H143" s="368">
        <f>'Schedule 3 Adjustments'!H142</f>
        <v>0</v>
      </c>
      <c r="I143" s="138" t="str">
        <f>IF(B143=0,"",IF(AND(G143=0,H143=0),365,IF(AND(G143&gt;0,H143=0),$C$7-G143+1,IF(AND(G143=0,H143&gt;0),H143-($C$7-365),H143-G143+1))))</f>
        <v/>
      </c>
      <c r="J143" s="98"/>
      <c r="K143" s="8">
        <f>SUM(K144:K146)</f>
        <v>0</v>
      </c>
      <c r="L143" s="91" t="str">
        <f>IF(K143&gt;0,K143/(F143*I143),"")</f>
        <v/>
      </c>
      <c r="M143" s="125">
        <f>'Schedule 3 Adjustments'!R142</f>
        <v>0</v>
      </c>
      <c r="N143" s="85" t="str">
        <f>IFERROR(M143/K143,"")</f>
        <v/>
      </c>
      <c r="O143" s="125">
        <f>'Schedule 3 Adjustments'!W142</f>
        <v>0</v>
      </c>
      <c r="P143" s="85" t="str">
        <f>IFERROR(O143/K143,"")</f>
        <v/>
      </c>
      <c r="Q143" s="86" t="str">
        <f>IF(M143=0,"",M143-O143)</f>
        <v/>
      </c>
      <c r="R143" s="85" t="str">
        <f>IFERROR(Q143/K143,"")</f>
        <v/>
      </c>
    </row>
    <row r="144" spans="1:18" x14ac:dyDescent="0.35">
      <c r="A144" s="101" t="s">
        <v>447</v>
      </c>
      <c r="B144" s="87"/>
      <c r="C144" s="87"/>
      <c r="D144" s="87"/>
      <c r="E144" s="87"/>
      <c r="F144" s="131"/>
      <c r="G144" s="134"/>
      <c r="H144" s="134"/>
      <c r="I144" s="104"/>
      <c r="J144" s="364">
        <f>'Schedule 3 Adjustments'!J143</f>
        <v>0</v>
      </c>
      <c r="K144" s="220">
        <f>'Schedule 3 Adjustments'!M143</f>
        <v>0</v>
      </c>
      <c r="L144" s="89"/>
      <c r="M144" s="87"/>
      <c r="N144" s="87"/>
      <c r="O144" s="87"/>
      <c r="P144" s="87"/>
      <c r="Q144" s="87"/>
      <c r="R144" s="87"/>
    </row>
    <row r="145" spans="1:18" x14ac:dyDescent="0.35">
      <c r="A145" s="102" t="s">
        <v>448</v>
      </c>
      <c r="B145" s="88"/>
      <c r="C145" s="88"/>
      <c r="D145" s="88"/>
      <c r="E145" s="88"/>
      <c r="F145" s="132"/>
      <c r="G145" s="135"/>
      <c r="H145" s="135"/>
      <c r="I145" s="105"/>
      <c r="J145" s="366">
        <f>'Schedule 3 Adjustments'!J144</f>
        <v>0</v>
      </c>
      <c r="K145" s="227">
        <f>'Schedule 3 Adjustments'!M144</f>
        <v>0</v>
      </c>
      <c r="L145" s="90"/>
      <c r="M145" s="88"/>
      <c r="N145" s="88"/>
      <c r="O145" s="88"/>
      <c r="P145" s="88"/>
      <c r="Q145" s="88"/>
      <c r="R145" s="88"/>
    </row>
    <row r="146" spans="1:18" x14ac:dyDescent="0.35">
      <c r="A146" s="103" t="s">
        <v>449</v>
      </c>
      <c r="B146" s="88"/>
      <c r="C146" s="88"/>
      <c r="D146" s="88"/>
      <c r="E146" s="88"/>
      <c r="F146" s="132"/>
      <c r="G146" s="135"/>
      <c r="H146" s="135"/>
      <c r="I146" s="105"/>
      <c r="J146" s="367">
        <f>'Schedule 3 Adjustments'!J145</f>
        <v>0</v>
      </c>
      <c r="K146" s="230">
        <f>'Schedule 3 Adjustments'!M145</f>
        <v>0</v>
      </c>
      <c r="L146" s="90"/>
      <c r="M146" s="88"/>
      <c r="N146" s="88"/>
      <c r="O146" s="88"/>
      <c r="P146" s="88"/>
      <c r="Q146" s="88"/>
      <c r="R146" s="88"/>
    </row>
    <row r="147" spans="1:18" x14ac:dyDescent="0.35">
      <c r="J147" s="100"/>
      <c r="L147" s="28"/>
    </row>
    <row r="148" spans="1:18" s="34" customFormat="1" x14ac:dyDescent="0.35">
      <c r="A148" s="84">
        <v>27</v>
      </c>
      <c r="B148" s="529">
        <f>'Schedule 3 Adjustments'!B147:C147</f>
        <v>0</v>
      </c>
      <c r="C148" s="530"/>
      <c r="D148" s="360">
        <f>'Schedule 3 Adjustments'!D147</f>
        <v>0</v>
      </c>
      <c r="E148" s="360">
        <f>'Schedule 3 Adjustments'!E147</f>
        <v>0</v>
      </c>
      <c r="F148" s="365">
        <f>'Schedule 3 Adjustments'!F147</f>
        <v>0</v>
      </c>
      <c r="G148" s="368">
        <f>'Schedule 3 Adjustments'!G147</f>
        <v>0</v>
      </c>
      <c r="H148" s="368">
        <f>'Schedule 3 Adjustments'!H147</f>
        <v>0</v>
      </c>
      <c r="I148" s="138" t="str">
        <f>IF(B148=0,"",IF(AND(G148=0,H148=0),365,IF(AND(G148&gt;0,H148=0),$C$7-G148+1,IF(AND(G148=0,H148&gt;0),H148-($C$7-365),H148-G148+1))))</f>
        <v/>
      </c>
      <c r="J148" s="98"/>
      <c r="K148" s="8">
        <f>SUM(K149:K151)</f>
        <v>0</v>
      </c>
      <c r="L148" s="91" t="str">
        <f>IF(K148&gt;0,K148/(F148*I148),"")</f>
        <v/>
      </c>
      <c r="M148" s="125">
        <f>'Schedule 3 Adjustments'!R147</f>
        <v>0</v>
      </c>
      <c r="N148" s="85" t="str">
        <f>IFERROR(M148/K148,"")</f>
        <v/>
      </c>
      <c r="O148" s="125">
        <f>'Schedule 3 Adjustments'!W147</f>
        <v>0</v>
      </c>
      <c r="P148" s="85" t="str">
        <f>IFERROR(O148/K148,"")</f>
        <v/>
      </c>
      <c r="Q148" s="86" t="str">
        <f>IF(M148=0,"",M148-O148)</f>
        <v/>
      </c>
      <c r="R148" s="85" t="str">
        <f>IFERROR(Q148/K148,"")</f>
        <v/>
      </c>
    </row>
    <row r="149" spans="1:18" x14ac:dyDescent="0.35">
      <c r="A149" s="101" t="s">
        <v>447</v>
      </c>
      <c r="B149" s="87"/>
      <c r="C149" s="87"/>
      <c r="D149" s="87"/>
      <c r="E149" s="87"/>
      <c r="F149" s="131"/>
      <c r="G149" s="134"/>
      <c r="H149" s="134"/>
      <c r="I149" s="104"/>
      <c r="J149" s="364">
        <f>'Schedule 3 Adjustments'!J148</f>
        <v>0</v>
      </c>
      <c r="K149" s="220">
        <f>'Schedule 3 Adjustments'!M148</f>
        <v>0</v>
      </c>
      <c r="L149" s="89"/>
      <c r="M149" s="87"/>
      <c r="N149" s="87"/>
      <c r="O149" s="87"/>
      <c r="P149" s="87"/>
      <c r="Q149" s="87"/>
      <c r="R149" s="87"/>
    </row>
    <row r="150" spans="1:18" x14ac:dyDescent="0.35">
      <c r="A150" s="102" t="s">
        <v>448</v>
      </c>
      <c r="B150" s="88"/>
      <c r="C150" s="88"/>
      <c r="D150" s="88"/>
      <c r="E150" s="88"/>
      <c r="F150" s="132"/>
      <c r="G150" s="135"/>
      <c r="H150" s="135"/>
      <c r="I150" s="105"/>
      <c r="J150" s="366">
        <f>'Schedule 3 Adjustments'!J149</f>
        <v>0</v>
      </c>
      <c r="K150" s="227">
        <f>'Schedule 3 Adjustments'!M149</f>
        <v>0</v>
      </c>
      <c r="L150" s="90"/>
      <c r="M150" s="88"/>
      <c r="N150" s="88"/>
      <c r="O150" s="88"/>
      <c r="P150" s="88"/>
      <c r="Q150" s="88"/>
      <c r="R150" s="88"/>
    </row>
    <row r="151" spans="1:18" x14ac:dyDescent="0.35">
      <c r="A151" s="103" t="s">
        <v>449</v>
      </c>
      <c r="B151" s="88"/>
      <c r="C151" s="88"/>
      <c r="D151" s="88"/>
      <c r="E151" s="88"/>
      <c r="F151" s="132"/>
      <c r="G151" s="135"/>
      <c r="H151" s="135"/>
      <c r="I151" s="105"/>
      <c r="J151" s="367">
        <f>'Schedule 3 Adjustments'!J150</f>
        <v>0</v>
      </c>
      <c r="K151" s="230">
        <f>'Schedule 3 Adjustments'!M150</f>
        <v>0</v>
      </c>
      <c r="L151" s="90"/>
      <c r="M151" s="88"/>
      <c r="N151" s="88"/>
      <c r="O151" s="88"/>
      <c r="P151" s="88"/>
      <c r="Q151" s="88"/>
      <c r="R151" s="88"/>
    </row>
    <row r="152" spans="1:18" x14ac:dyDescent="0.35">
      <c r="J152" s="100"/>
      <c r="L152" s="28"/>
    </row>
    <row r="153" spans="1:18" s="34" customFormat="1" x14ac:dyDescent="0.35">
      <c r="A153" s="84">
        <v>28</v>
      </c>
      <c r="B153" s="529">
        <f>'Schedule 3 Adjustments'!B152:C152</f>
        <v>0</v>
      </c>
      <c r="C153" s="530"/>
      <c r="D153" s="360">
        <f>'Schedule 3 Adjustments'!D152</f>
        <v>0</v>
      </c>
      <c r="E153" s="360">
        <f>'Schedule 3 Adjustments'!E152</f>
        <v>0</v>
      </c>
      <c r="F153" s="365">
        <f>'Schedule 3 Adjustments'!F152</f>
        <v>0</v>
      </c>
      <c r="G153" s="368">
        <f>'Schedule 3 Adjustments'!G152</f>
        <v>0</v>
      </c>
      <c r="H153" s="368">
        <f>'Schedule 3 Adjustments'!H152</f>
        <v>0</v>
      </c>
      <c r="I153" s="138" t="str">
        <f>IF(B153=0,"",IF(AND(G153=0,H153=0),365,IF(AND(G153&gt;0,H153=0),$C$7-G153+1,IF(AND(G153=0,H153&gt;0),H153-($C$7-365),H153-G153+1))))</f>
        <v/>
      </c>
      <c r="J153" s="98"/>
      <c r="K153" s="8">
        <f>SUM(K154:K156)</f>
        <v>0</v>
      </c>
      <c r="L153" s="91" t="str">
        <f>IF(K153&gt;0,K153/(F153*I153),"")</f>
        <v/>
      </c>
      <c r="M153" s="125">
        <f>'Schedule 3 Adjustments'!R152</f>
        <v>0</v>
      </c>
      <c r="N153" s="85" t="str">
        <f>IFERROR(M153/K153,"")</f>
        <v/>
      </c>
      <c r="O153" s="125">
        <f>'Schedule 3 Adjustments'!W152</f>
        <v>0</v>
      </c>
      <c r="P153" s="85" t="str">
        <f>IFERROR(O153/K153,"")</f>
        <v/>
      </c>
      <c r="Q153" s="86" t="str">
        <f>IF(M153=0,"",M153-O153)</f>
        <v/>
      </c>
      <c r="R153" s="85" t="str">
        <f>IFERROR(Q153/K153,"")</f>
        <v/>
      </c>
    </row>
    <row r="154" spans="1:18" x14ac:dyDescent="0.35">
      <c r="A154" s="101" t="s">
        <v>447</v>
      </c>
      <c r="B154" s="87"/>
      <c r="C154" s="87"/>
      <c r="D154" s="87"/>
      <c r="E154" s="87"/>
      <c r="F154" s="131"/>
      <c r="G154" s="134"/>
      <c r="H154" s="134"/>
      <c r="I154" s="104"/>
      <c r="J154" s="364">
        <f>'Schedule 3 Adjustments'!J153</f>
        <v>0</v>
      </c>
      <c r="K154" s="220">
        <f>'Schedule 3 Adjustments'!M153</f>
        <v>0</v>
      </c>
      <c r="L154" s="89"/>
      <c r="M154" s="87"/>
      <c r="N154" s="87"/>
      <c r="O154" s="87"/>
      <c r="P154" s="87"/>
      <c r="Q154" s="87"/>
      <c r="R154" s="87"/>
    </row>
    <row r="155" spans="1:18" x14ac:dyDescent="0.35">
      <c r="A155" s="102" t="s">
        <v>448</v>
      </c>
      <c r="B155" s="88"/>
      <c r="C155" s="88"/>
      <c r="D155" s="88"/>
      <c r="E155" s="88"/>
      <c r="F155" s="132"/>
      <c r="G155" s="135"/>
      <c r="H155" s="135"/>
      <c r="I155" s="105"/>
      <c r="J155" s="366">
        <f>'Schedule 3 Adjustments'!J154</f>
        <v>0</v>
      </c>
      <c r="K155" s="227">
        <f>'Schedule 3 Adjustments'!M154</f>
        <v>0</v>
      </c>
      <c r="L155" s="90"/>
      <c r="M155" s="88"/>
      <c r="N155" s="88"/>
      <c r="O155" s="88"/>
      <c r="P155" s="88"/>
      <c r="Q155" s="88"/>
      <c r="R155" s="88"/>
    </row>
    <row r="156" spans="1:18" x14ac:dyDescent="0.35">
      <c r="A156" s="103" t="s">
        <v>449</v>
      </c>
      <c r="B156" s="88"/>
      <c r="C156" s="88"/>
      <c r="D156" s="88"/>
      <c r="E156" s="88"/>
      <c r="F156" s="132"/>
      <c r="G156" s="135"/>
      <c r="H156" s="135"/>
      <c r="I156" s="105"/>
      <c r="J156" s="367">
        <f>'Schedule 3 Adjustments'!J155</f>
        <v>0</v>
      </c>
      <c r="K156" s="230">
        <f>'Schedule 3 Adjustments'!M155</f>
        <v>0</v>
      </c>
      <c r="L156" s="90"/>
      <c r="M156" s="88"/>
      <c r="N156" s="88"/>
      <c r="O156" s="88"/>
      <c r="P156" s="88"/>
      <c r="Q156" s="88"/>
      <c r="R156" s="88"/>
    </row>
    <row r="157" spans="1:18" x14ac:dyDescent="0.35">
      <c r="J157" s="100"/>
      <c r="L157" s="28"/>
    </row>
    <row r="158" spans="1:18" s="34" customFormat="1" x14ac:dyDescent="0.35">
      <c r="A158" s="84">
        <v>29</v>
      </c>
      <c r="B158" s="529">
        <f>'Schedule 3 Adjustments'!B157:C157</f>
        <v>0</v>
      </c>
      <c r="C158" s="530"/>
      <c r="D158" s="360">
        <f>'Schedule 3 Adjustments'!D157</f>
        <v>0</v>
      </c>
      <c r="E158" s="360">
        <f>'Schedule 3 Adjustments'!E157</f>
        <v>0</v>
      </c>
      <c r="F158" s="365">
        <f>'Schedule 3 Adjustments'!F157</f>
        <v>0</v>
      </c>
      <c r="G158" s="368">
        <f>'Schedule 3 Adjustments'!G157</f>
        <v>0</v>
      </c>
      <c r="H158" s="368">
        <f>'Schedule 3 Adjustments'!H157</f>
        <v>0</v>
      </c>
      <c r="I158" s="138" t="str">
        <f>IF(B158=0,"",IF(AND(G158=0,H158=0),365,IF(AND(G158&gt;0,H158=0),$C$7-G158+1,IF(AND(G158=0,H158&gt;0),H158-($C$7-365),H158-G158+1))))</f>
        <v/>
      </c>
      <c r="J158" s="98"/>
      <c r="K158" s="8">
        <f>SUM(K159:K161)</f>
        <v>0</v>
      </c>
      <c r="L158" s="91" t="str">
        <f>IF(K158&gt;0,K158/(F158*I158),"")</f>
        <v/>
      </c>
      <c r="M158" s="125">
        <f>'Schedule 3 Adjustments'!R157</f>
        <v>0</v>
      </c>
      <c r="N158" s="85" t="str">
        <f>IFERROR(M158/K158,"")</f>
        <v/>
      </c>
      <c r="O158" s="125">
        <f>'Schedule 3 Adjustments'!W157</f>
        <v>0</v>
      </c>
      <c r="P158" s="85" t="str">
        <f>IFERROR(O158/K158,"")</f>
        <v/>
      </c>
      <c r="Q158" s="86" t="str">
        <f>IF(M158=0,"",M158-O158)</f>
        <v/>
      </c>
      <c r="R158" s="85" t="str">
        <f>IFERROR(Q158/K158,"")</f>
        <v/>
      </c>
    </row>
    <row r="159" spans="1:18" x14ac:dyDescent="0.35">
      <c r="A159" s="101" t="s">
        <v>447</v>
      </c>
      <c r="B159" s="87"/>
      <c r="C159" s="87"/>
      <c r="D159" s="87"/>
      <c r="E159" s="87"/>
      <c r="F159" s="131"/>
      <c r="G159" s="134"/>
      <c r="H159" s="134"/>
      <c r="I159" s="104"/>
      <c r="J159" s="364">
        <f>'Schedule 3 Adjustments'!J158</f>
        <v>0</v>
      </c>
      <c r="K159" s="220">
        <f>'Schedule 3 Adjustments'!M158</f>
        <v>0</v>
      </c>
      <c r="L159" s="89"/>
      <c r="M159" s="87"/>
      <c r="N159" s="87"/>
      <c r="O159" s="87"/>
      <c r="P159" s="87"/>
      <c r="Q159" s="87"/>
      <c r="R159" s="87"/>
    </row>
    <row r="160" spans="1:18" x14ac:dyDescent="0.35">
      <c r="A160" s="102" t="s">
        <v>448</v>
      </c>
      <c r="B160" s="88"/>
      <c r="C160" s="88"/>
      <c r="D160" s="88"/>
      <c r="E160" s="88"/>
      <c r="F160" s="132"/>
      <c r="G160" s="135"/>
      <c r="H160" s="135"/>
      <c r="I160" s="105"/>
      <c r="J160" s="366">
        <f>'Schedule 3 Adjustments'!J159</f>
        <v>0</v>
      </c>
      <c r="K160" s="227">
        <f>'Schedule 3 Adjustments'!M159</f>
        <v>0</v>
      </c>
      <c r="L160" s="90"/>
      <c r="M160" s="88"/>
      <c r="N160" s="88"/>
      <c r="O160" s="88"/>
      <c r="P160" s="88"/>
      <c r="Q160" s="88"/>
      <c r="R160" s="88"/>
    </row>
    <row r="161" spans="1:18" x14ac:dyDescent="0.35">
      <c r="A161" s="103" t="s">
        <v>449</v>
      </c>
      <c r="B161" s="88"/>
      <c r="C161" s="88"/>
      <c r="D161" s="88"/>
      <c r="E161" s="88"/>
      <c r="F161" s="132"/>
      <c r="G161" s="135"/>
      <c r="H161" s="135"/>
      <c r="I161" s="105"/>
      <c r="J161" s="367">
        <f>'Schedule 3 Adjustments'!J160</f>
        <v>0</v>
      </c>
      <c r="K161" s="230">
        <f>'Schedule 3 Adjustments'!M160</f>
        <v>0</v>
      </c>
      <c r="L161" s="90"/>
      <c r="M161" s="88"/>
      <c r="N161" s="88"/>
      <c r="O161" s="88"/>
      <c r="P161" s="88"/>
      <c r="Q161" s="88"/>
      <c r="R161" s="88"/>
    </row>
    <row r="162" spans="1:18" x14ac:dyDescent="0.35">
      <c r="J162" s="100"/>
      <c r="L162" s="28"/>
    </row>
    <row r="163" spans="1:18" s="34" customFormat="1" x14ac:dyDescent="0.35">
      <c r="A163" s="84">
        <v>30</v>
      </c>
      <c r="B163" s="529">
        <f>'Schedule 3 Adjustments'!B162:C162</f>
        <v>0</v>
      </c>
      <c r="C163" s="530"/>
      <c r="D163" s="360">
        <f>'Schedule 3 Adjustments'!D162</f>
        <v>0</v>
      </c>
      <c r="E163" s="360">
        <f>'Schedule 3 Adjustments'!E162</f>
        <v>0</v>
      </c>
      <c r="F163" s="365">
        <f>'Schedule 3 Adjustments'!F162</f>
        <v>0</v>
      </c>
      <c r="G163" s="368">
        <f>'Schedule 3 Adjustments'!G162</f>
        <v>0</v>
      </c>
      <c r="H163" s="368">
        <f>'Schedule 3 Adjustments'!H162</f>
        <v>0</v>
      </c>
      <c r="I163" s="138" t="str">
        <f>IF(B163=0,"",IF(AND(G163=0,H163=0),365,IF(AND(G163&gt;0,H163=0),$C$7-G163+1,IF(AND(G163=0,H163&gt;0),H163-($C$7-365),H163-G163+1))))</f>
        <v/>
      </c>
      <c r="J163" s="98"/>
      <c r="K163" s="8">
        <f>SUM(K164:K166)</f>
        <v>0</v>
      </c>
      <c r="L163" s="91" t="str">
        <f>IF(K163&gt;0,K163/(F163*I163),"")</f>
        <v/>
      </c>
      <c r="M163" s="125">
        <f>'Schedule 3 Adjustments'!R162</f>
        <v>0</v>
      </c>
      <c r="N163" s="85" t="str">
        <f>IFERROR(M163/K163,"")</f>
        <v/>
      </c>
      <c r="O163" s="125">
        <f>'Schedule 3 Adjustments'!W162</f>
        <v>0</v>
      </c>
      <c r="P163" s="85" t="str">
        <f>IFERROR(O163/K163,"")</f>
        <v/>
      </c>
      <c r="Q163" s="86" t="str">
        <f>IF(M163=0,"",M163-O163)</f>
        <v/>
      </c>
      <c r="R163" s="85" t="str">
        <f>IFERROR(Q163/K163,"")</f>
        <v/>
      </c>
    </row>
    <row r="164" spans="1:18" x14ac:dyDescent="0.35">
      <c r="A164" s="101" t="s">
        <v>447</v>
      </c>
      <c r="B164" s="87"/>
      <c r="C164" s="87"/>
      <c r="D164" s="87"/>
      <c r="E164" s="87"/>
      <c r="F164" s="131"/>
      <c r="G164" s="134"/>
      <c r="H164" s="134"/>
      <c r="I164" s="104"/>
      <c r="J164" s="364">
        <f>'Schedule 3 Adjustments'!J163</f>
        <v>0</v>
      </c>
      <c r="K164" s="220">
        <f>'Schedule 3 Adjustments'!M163</f>
        <v>0</v>
      </c>
      <c r="L164" s="89"/>
      <c r="M164" s="87"/>
      <c r="N164" s="87"/>
      <c r="O164" s="87"/>
      <c r="P164" s="87"/>
      <c r="Q164" s="87"/>
      <c r="R164" s="87"/>
    </row>
    <row r="165" spans="1:18" x14ac:dyDescent="0.35">
      <c r="A165" s="102" t="s">
        <v>448</v>
      </c>
      <c r="B165" s="88"/>
      <c r="C165" s="88"/>
      <c r="D165" s="88"/>
      <c r="E165" s="88"/>
      <c r="F165" s="132"/>
      <c r="G165" s="135"/>
      <c r="H165" s="135"/>
      <c r="I165" s="105"/>
      <c r="J165" s="366">
        <f>'Schedule 3 Adjustments'!J164</f>
        <v>0</v>
      </c>
      <c r="K165" s="227">
        <f>'Schedule 3 Adjustments'!M164</f>
        <v>0</v>
      </c>
      <c r="L165" s="90"/>
      <c r="M165" s="88"/>
      <c r="N165" s="88"/>
      <c r="O165" s="88"/>
      <c r="P165" s="88"/>
      <c r="Q165" s="88"/>
      <c r="R165" s="88"/>
    </row>
    <row r="166" spans="1:18" x14ac:dyDescent="0.35">
      <c r="A166" s="103" t="s">
        <v>449</v>
      </c>
      <c r="B166" s="88"/>
      <c r="C166" s="88"/>
      <c r="D166" s="88"/>
      <c r="E166" s="88"/>
      <c r="F166" s="132"/>
      <c r="G166" s="135"/>
      <c r="H166" s="135"/>
      <c r="I166" s="105"/>
      <c r="J166" s="367">
        <f>'Schedule 3 Adjustments'!J165</f>
        <v>0</v>
      </c>
      <c r="K166" s="230">
        <f>'Schedule 3 Adjustments'!M165</f>
        <v>0</v>
      </c>
      <c r="L166" s="90"/>
      <c r="M166" s="88"/>
      <c r="N166" s="88"/>
      <c r="O166" s="88"/>
      <c r="P166" s="88"/>
      <c r="Q166" s="88"/>
      <c r="R166" s="88"/>
    </row>
    <row r="167" spans="1:18" x14ac:dyDescent="0.35">
      <c r="J167" s="100"/>
      <c r="L167" s="28"/>
    </row>
    <row r="168" spans="1:18" x14ac:dyDescent="0.35">
      <c r="A168" s="19">
        <v>31</v>
      </c>
      <c r="B168" s="539" t="s">
        <v>173</v>
      </c>
      <c r="C168" s="539"/>
      <c r="D168" s="539"/>
      <c r="E168" s="539"/>
      <c r="F168" s="27">
        <f>F163+F158+F153+F148+F143+F138+F133+F128+F123+F118+F113+F108+F103+F98+F93+F88+F83+F78+F73+F68+F63+F58+F53+F48+F43+F38+F33+F28+F23+F18</f>
        <v>31</v>
      </c>
      <c r="G168" s="32"/>
      <c r="H168" s="32"/>
      <c r="I168" s="32"/>
      <c r="J168" s="32"/>
      <c r="K168" s="27">
        <f>K163+K158+K153+K148+K143+K138+K133+K128+K123+K118+K113+K108+K103+K98+K93+K88+K83+K78+K73+K68+K63+K58+K53+K48+K43+K38+K33+K28+K23+K18</f>
        <v>7086</v>
      </c>
      <c r="L168" s="29">
        <f>IF(K168&gt;0,K168/(F168*365),"")</f>
        <v>0.62624834290764475</v>
      </c>
      <c r="M168" s="27">
        <f>M163+M158+M153+M148+M143+M138+M133+M128+M123+M118+M113+M108+M103+M98+M93+M88+M83+M78+M73+M68+M63+M58+M53+M48+M43+M38+M33+M28+M23+M18</f>
        <v>12038236</v>
      </c>
      <c r="N168" s="17">
        <f>IFERROR(M168/K168,"")</f>
        <v>1698.8760937058989</v>
      </c>
      <c r="O168" s="27">
        <f>O163+O158+O153+O148+O143+O138+O133+O128+O123+O118+O113+O108+O103+O98+O93+O88+O83+O78+O73+O68+O63+O58+O53+O48+O43+O38+O33+O28+O23+O18</f>
        <v>1413093</v>
      </c>
      <c r="P168" s="17">
        <f t="shared" ref="P168" si="0">IFERROR(O168/K168,"")</f>
        <v>199.42040643522438</v>
      </c>
      <c r="Q168" s="30">
        <f t="shared" ref="Q168" si="1">IF(M168=0,"",M168-O168)</f>
        <v>10625143</v>
      </c>
      <c r="R168" s="17">
        <f t="shared" ref="R168" si="2">IFERROR(Q168/K168,"")</f>
        <v>1499.4556872706746</v>
      </c>
    </row>
    <row r="170" spans="1:18" x14ac:dyDescent="0.35">
      <c r="A170" s="19">
        <v>32</v>
      </c>
      <c r="L170" s="37" t="s">
        <v>199</v>
      </c>
      <c r="M170" s="39">
        <f>'Schedule 3 Adjustments'!R169</f>
        <v>8909518</v>
      </c>
    </row>
    <row r="171" spans="1:18" x14ac:dyDescent="0.35">
      <c r="A171" s="19">
        <v>33</v>
      </c>
      <c r="L171" s="37" t="s">
        <v>186</v>
      </c>
      <c r="M171" s="39">
        <f>'Schedule 3 Adjustments'!R170</f>
        <v>3128720</v>
      </c>
    </row>
    <row r="172" spans="1:18" x14ac:dyDescent="0.35">
      <c r="A172" s="19">
        <v>34</v>
      </c>
      <c r="L172" s="37" t="s">
        <v>200</v>
      </c>
      <c r="M172" s="18">
        <f>SUM(M170:M171)</f>
        <v>12038238</v>
      </c>
    </row>
    <row r="173" spans="1:18" x14ac:dyDescent="0.35">
      <c r="A173" s="19">
        <v>35</v>
      </c>
      <c r="L173" s="37" t="s">
        <v>10</v>
      </c>
      <c r="M173" s="18">
        <f>M168-M172</f>
        <v>-2</v>
      </c>
    </row>
    <row r="174" spans="1:18" x14ac:dyDescent="0.35">
      <c r="M174" s="38" t="str">
        <f>IF(M173&lt;&gt;0,"ERROR","")</f>
        <v>ERROR</v>
      </c>
    </row>
    <row r="175" spans="1:18" ht="39" customHeight="1" x14ac:dyDescent="0.35">
      <c r="J175" s="6" t="s">
        <v>40</v>
      </c>
      <c r="K175" s="6" t="s">
        <v>446</v>
      </c>
      <c r="L175" s="6" t="s">
        <v>445</v>
      </c>
      <c r="M175" s="78" t="s">
        <v>10</v>
      </c>
    </row>
    <row r="176" spans="1:18" x14ac:dyDescent="0.35">
      <c r="A176" s="19">
        <v>36</v>
      </c>
      <c r="J176" s="93" t="s">
        <v>442</v>
      </c>
      <c r="K176" s="27">
        <f>SUMIF($J$18:$J$168,"H0010 3.2 WM",$K$18:$K$168)</f>
        <v>0</v>
      </c>
      <c r="L176" s="27">
        <f>'Adjusted Schedule 4'!D123+'Adjusted Schedule 4'!H123</f>
        <v>0</v>
      </c>
      <c r="M176" s="27">
        <f>L176-K176</f>
        <v>0</v>
      </c>
      <c r="N176" s="92" t="str">
        <f>IF(M176&lt;&gt;0,"ERROR","")</f>
        <v/>
      </c>
    </row>
    <row r="177" spans="1:14" x14ac:dyDescent="0.35">
      <c r="A177" s="19">
        <v>37</v>
      </c>
      <c r="J177" s="94" t="s">
        <v>443</v>
      </c>
      <c r="K177" s="27">
        <f>SUMIF($J$18:$J$168,"H0011 3.7 WM",$K$18:$K$168)</f>
        <v>0</v>
      </c>
      <c r="L177" s="27">
        <f>'Adjusted Schedule 4'!D124+'Adjusted Schedule 4'!H124</f>
        <v>0</v>
      </c>
      <c r="M177" s="27">
        <f t="shared" ref="M177:M180" si="3">L177-K177</f>
        <v>0</v>
      </c>
      <c r="N177" s="92" t="str">
        <f t="shared" ref="N177:N180" si="4">IF(M177&lt;&gt;0,"ERROR","")</f>
        <v/>
      </c>
    </row>
    <row r="178" spans="1:14" x14ac:dyDescent="0.35">
      <c r="A178" s="19">
        <v>38</v>
      </c>
      <c r="C178" s="231" t="s">
        <v>476</v>
      </c>
      <c r="D178" s="232"/>
      <c r="E178" s="232"/>
      <c r="F178" s="232"/>
      <c r="G178" s="144"/>
      <c r="J178" s="94" t="s">
        <v>51</v>
      </c>
      <c r="K178" s="27">
        <f t="shared" ref="K178:K185" si="5">SUMIF($J$18:$J$168,J178,$K$18:$K$168)</f>
        <v>3878</v>
      </c>
      <c r="L178" s="27">
        <f>'Adjusted Schedule 4'!D126+'Adjusted Schedule 4'!H126</f>
        <v>3055</v>
      </c>
      <c r="M178" s="27">
        <f t="shared" si="3"/>
        <v>-823</v>
      </c>
      <c r="N178" s="92" t="str">
        <f t="shared" si="4"/>
        <v>ERROR</v>
      </c>
    </row>
    <row r="179" spans="1:14" x14ac:dyDescent="0.35">
      <c r="A179" s="19">
        <v>39</v>
      </c>
      <c r="C179" s="233" t="s">
        <v>468</v>
      </c>
      <c r="D179" s="234"/>
      <c r="E179" s="234" t="s">
        <v>472</v>
      </c>
      <c r="F179" s="100"/>
      <c r="G179" s="145"/>
      <c r="J179" s="94" t="s">
        <v>52</v>
      </c>
      <c r="K179" s="27">
        <f t="shared" si="5"/>
        <v>3208</v>
      </c>
      <c r="L179" s="27">
        <f>'Adjusted Schedule 4'!D127+'Adjusted Schedule 4'!H127</f>
        <v>2169</v>
      </c>
      <c r="M179" s="27">
        <f t="shared" si="3"/>
        <v>-1039</v>
      </c>
      <c r="N179" s="92" t="str">
        <f t="shared" si="4"/>
        <v>ERROR</v>
      </c>
    </row>
    <row r="180" spans="1:14" x14ac:dyDescent="0.35">
      <c r="A180" s="19">
        <v>40</v>
      </c>
      <c r="C180" s="233" t="s">
        <v>477</v>
      </c>
      <c r="D180" s="234"/>
      <c r="E180" s="234" t="s">
        <v>474</v>
      </c>
      <c r="F180" s="100"/>
      <c r="G180" s="145"/>
      <c r="J180" s="94" t="s">
        <v>53</v>
      </c>
      <c r="K180" s="27">
        <f t="shared" si="5"/>
        <v>0</v>
      </c>
      <c r="L180" s="27">
        <f>'Adjusted Schedule 4'!D128+'Adjusted Schedule 4'!H128</f>
        <v>0</v>
      </c>
      <c r="M180" s="27">
        <f t="shared" si="3"/>
        <v>0</v>
      </c>
      <c r="N180" s="92" t="str">
        <f t="shared" si="4"/>
        <v/>
      </c>
    </row>
    <row r="181" spans="1:14" x14ac:dyDescent="0.35">
      <c r="A181" s="19">
        <v>41</v>
      </c>
      <c r="C181" s="233" t="s">
        <v>469</v>
      </c>
      <c r="D181" s="234"/>
      <c r="E181" s="234" t="s">
        <v>473</v>
      </c>
      <c r="F181" s="100"/>
      <c r="G181" s="145"/>
      <c r="J181" s="95" t="s">
        <v>440</v>
      </c>
      <c r="K181" s="106">
        <f t="shared" si="5"/>
        <v>0</v>
      </c>
      <c r="L181" s="89"/>
      <c r="M181" s="87"/>
    </row>
    <row r="182" spans="1:14" x14ac:dyDescent="0.35">
      <c r="A182" s="19">
        <v>42</v>
      </c>
      <c r="C182" s="233" t="s">
        <v>470</v>
      </c>
      <c r="D182" s="234"/>
      <c r="E182" s="234" t="s">
        <v>471</v>
      </c>
      <c r="F182" s="100"/>
      <c r="G182" s="145"/>
      <c r="J182" s="95" t="s">
        <v>444</v>
      </c>
      <c r="K182" s="108">
        <f t="shared" si="5"/>
        <v>0</v>
      </c>
      <c r="L182" s="90"/>
      <c r="M182" s="88"/>
    </row>
    <row r="183" spans="1:14" x14ac:dyDescent="0.35">
      <c r="A183" s="19">
        <v>43</v>
      </c>
      <c r="C183" s="235" t="s">
        <v>478</v>
      </c>
      <c r="D183" s="236"/>
      <c r="E183" s="236" t="s">
        <v>475</v>
      </c>
      <c r="F183" s="237"/>
      <c r="G183" s="146"/>
      <c r="J183" s="95" t="s">
        <v>439</v>
      </c>
      <c r="K183" s="108">
        <f t="shared" si="5"/>
        <v>0</v>
      </c>
      <c r="L183" s="109"/>
      <c r="M183" s="110"/>
    </row>
    <row r="184" spans="1:14" x14ac:dyDescent="0.35">
      <c r="A184" s="19">
        <v>44</v>
      </c>
      <c r="C184" s="100"/>
      <c r="D184" s="100"/>
      <c r="E184" s="100"/>
      <c r="F184" s="100"/>
      <c r="J184" s="96" t="s">
        <v>438</v>
      </c>
      <c r="K184" s="107">
        <f t="shared" si="5"/>
        <v>0</v>
      </c>
      <c r="L184" s="27">
        <f>'Adjusted Schedule 4'!D181+'Adjusted Schedule 4'!H181</f>
        <v>0</v>
      </c>
      <c r="M184" s="27">
        <f>L184-SUM(K181:K184)</f>
        <v>0</v>
      </c>
      <c r="N184" s="92" t="str">
        <f t="shared" ref="N184" si="6">IF(M184&lt;&gt;0,"ERROR","")</f>
        <v/>
      </c>
    </row>
    <row r="185" spans="1:14" x14ac:dyDescent="0.35">
      <c r="A185" s="19">
        <v>45</v>
      </c>
      <c r="C185" s="100"/>
      <c r="D185" s="100"/>
      <c r="E185" s="100"/>
      <c r="F185" s="100"/>
      <c r="J185" s="94" t="s">
        <v>481</v>
      </c>
      <c r="K185" s="27">
        <f t="shared" si="5"/>
        <v>0</v>
      </c>
      <c r="L185" s="90"/>
      <c r="M185" s="88"/>
    </row>
    <row r="186" spans="1:14" x14ac:dyDescent="0.35">
      <c r="C186" s="100"/>
      <c r="D186" s="100"/>
      <c r="E186" s="100"/>
      <c r="F186" s="100"/>
    </row>
    <row r="250" spans="4:10" ht="17.25" customHeight="1" x14ac:dyDescent="0.35"/>
    <row r="252" spans="4:10" hidden="1" x14ac:dyDescent="0.35">
      <c r="D252" t="s">
        <v>456</v>
      </c>
      <c r="E252" t="s">
        <v>159</v>
      </c>
      <c r="J252" s="111" t="s">
        <v>450</v>
      </c>
    </row>
    <row r="253" spans="4:10" hidden="1" x14ac:dyDescent="0.35">
      <c r="D253" t="s">
        <v>176</v>
      </c>
      <c r="E253" t="s">
        <v>456</v>
      </c>
      <c r="J253" s="112" t="s">
        <v>451</v>
      </c>
    </row>
    <row r="254" spans="4:10" hidden="1" x14ac:dyDescent="0.35">
      <c r="D254" t="s">
        <v>175</v>
      </c>
      <c r="E254" t="s">
        <v>467</v>
      </c>
      <c r="J254" s="112" t="s">
        <v>51</v>
      </c>
    </row>
    <row r="255" spans="4:10" hidden="1" x14ac:dyDescent="0.35">
      <c r="D255" t="s">
        <v>435</v>
      </c>
      <c r="E255" t="s">
        <v>466</v>
      </c>
      <c r="J255" s="112" t="s">
        <v>52</v>
      </c>
    </row>
    <row r="256" spans="4:10" hidden="1" x14ac:dyDescent="0.35">
      <c r="D256" t="s">
        <v>170</v>
      </c>
      <c r="E256" t="s">
        <v>174</v>
      </c>
      <c r="J256" s="112" t="s">
        <v>53</v>
      </c>
    </row>
    <row r="257" spans="4:10" hidden="1" x14ac:dyDescent="0.35">
      <c r="D257" t="s">
        <v>482</v>
      </c>
      <c r="E257" t="s">
        <v>172</v>
      </c>
      <c r="J257" s="112" t="s">
        <v>440</v>
      </c>
    </row>
    <row r="258" spans="4:10" hidden="1" x14ac:dyDescent="0.35">
      <c r="E258" t="s">
        <v>171</v>
      </c>
      <c r="J258" s="112" t="s">
        <v>444</v>
      </c>
    </row>
    <row r="259" spans="4:10" hidden="1" x14ac:dyDescent="0.35">
      <c r="E259" t="s">
        <v>465</v>
      </c>
      <c r="J259" s="112" t="s">
        <v>439</v>
      </c>
    </row>
    <row r="260" spans="4:10" hidden="1" x14ac:dyDescent="0.35">
      <c r="E260" t="s">
        <v>436</v>
      </c>
      <c r="J260" s="113" t="s">
        <v>438</v>
      </c>
    </row>
    <row r="261" spans="4:10" hidden="1" x14ac:dyDescent="0.35">
      <c r="J261" s="113" t="s">
        <v>481</v>
      </c>
    </row>
    <row r="262" spans="4:10" hidden="1" x14ac:dyDescent="0.35">
      <c r="J262" s="113" t="s">
        <v>455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44">
    <mergeCell ref="B168:E168"/>
    <mergeCell ref="B113:C113"/>
    <mergeCell ref="B118:C118"/>
    <mergeCell ref="B123:C123"/>
    <mergeCell ref="B128:C128"/>
    <mergeCell ref="B133:C133"/>
    <mergeCell ref="B138:C138"/>
    <mergeCell ref="B143:C143"/>
    <mergeCell ref="B148:C148"/>
    <mergeCell ref="B153:C153"/>
    <mergeCell ref="B158:C158"/>
    <mergeCell ref="B163:C163"/>
    <mergeCell ref="B108:C108"/>
    <mergeCell ref="B53:C53"/>
    <mergeCell ref="B58:C58"/>
    <mergeCell ref="B63:C63"/>
    <mergeCell ref="B68:C68"/>
    <mergeCell ref="B73:C73"/>
    <mergeCell ref="B78:C78"/>
    <mergeCell ref="B83:C83"/>
    <mergeCell ref="B88:C88"/>
    <mergeCell ref="B93:C93"/>
    <mergeCell ref="B98:C98"/>
    <mergeCell ref="B103:C103"/>
    <mergeCell ref="B48:C48"/>
    <mergeCell ref="K15:K16"/>
    <mergeCell ref="L15:L16"/>
    <mergeCell ref="M15:N15"/>
    <mergeCell ref="O15:P15"/>
    <mergeCell ref="B23:C23"/>
    <mergeCell ref="B28:C28"/>
    <mergeCell ref="B33:C33"/>
    <mergeCell ref="B38:C38"/>
    <mergeCell ref="B43:C43"/>
    <mergeCell ref="Q15:R15"/>
    <mergeCell ref="B18:C18"/>
    <mergeCell ref="A10:K12"/>
    <mergeCell ref="B14:C14"/>
    <mergeCell ref="B15:C16"/>
    <mergeCell ref="D15:D16"/>
    <mergeCell ref="E15:E16"/>
    <mergeCell ref="F15:F16"/>
    <mergeCell ref="G15:G16"/>
    <mergeCell ref="H15:H16"/>
  </mergeCells>
  <pageMargins left="0.7" right="0.7" top="0.75" bottom="0.75" header="0.3" footer="0.3"/>
  <pageSetup orientation="portrait" horizontalDpi="1200" verticalDpi="12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F8971D"/>
  </sheetPr>
  <dimension ref="A1:L198"/>
  <sheetViews>
    <sheetView zoomScaleNormal="90" workbookViewId="0"/>
  </sheetViews>
  <sheetFormatPr defaultColWidth="9.1796875" defaultRowHeight="14.5" x14ac:dyDescent="0.35"/>
  <cols>
    <col min="2" max="2" width="15.54296875" customWidth="1"/>
    <col min="3" max="3" width="77" style="4" customWidth="1"/>
    <col min="4" max="4" width="18.54296875" style="4" customWidth="1"/>
    <col min="5" max="5" width="25.453125" style="4" customWidth="1"/>
    <col min="6" max="6" width="18.54296875" style="4" customWidth="1"/>
    <col min="7" max="7" width="27.54296875" style="13" customWidth="1"/>
    <col min="8" max="8" width="25.1796875" style="13" customWidth="1"/>
    <col min="9" max="9" width="21" style="13" customWidth="1"/>
    <col min="10" max="10" width="25" style="13" customWidth="1"/>
    <col min="11" max="11" width="21" style="13" customWidth="1"/>
    <col min="12" max="12" width="16" customWidth="1"/>
  </cols>
  <sheetData>
    <row r="1" spans="1:12" ht="26" x14ac:dyDescent="0.6">
      <c r="A1" s="3" t="s">
        <v>774</v>
      </c>
      <c r="D1" s="48"/>
      <c r="E1" s="49"/>
      <c r="F1" s="49"/>
      <c r="G1" s="50"/>
      <c r="H1" s="50"/>
    </row>
    <row r="2" spans="1:12" ht="21" x14ac:dyDescent="0.5">
      <c r="A2" s="2" t="s">
        <v>772</v>
      </c>
      <c r="D2" s="54"/>
      <c r="E2" s="49"/>
      <c r="F2" s="49"/>
      <c r="G2" s="50"/>
      <c r="H2" s="50"/>
    </row>
    <row r="3" spans="1:12" ht="25" customHeight="1" x14ac:dyDescent="0.5">
      <c r="A3" s="5" t="s">
        <v>928</v>
      </c>
      <c r="B3" s="5"/>
      <c r="C3" s="7"/>
      <c r="D3" s="54"/>
      <c r="E3" s="51"/>
      <c r="F3" s="51"/>
      <c r="G3" s="52"/>
      <c r="H3" s="52"/>
      <c r="I3" s="14"/>
      <c r="J3" s="14"/>
    </row>
    <row r="4" spans="1:12" ht="25" customHeight="1" x14ac:dyDescent="0.5">
      <c r="A4" s="242" t="str">
        <f>Results!A4</f>
        <v>Final Adjustments</v>
      </c>
      <c r="B4" s="5"/>
      <c r="C4" s="7"/>
      <c r="D4" s="54"/>
      <c r="E4" s="51"/>
      <c r="F4" s="51"/>
      <c r="G4" s="52"/>
      <c r="H4" s="52"/>
      <c r="I4" s="14"/>
      <c r="J4" s="14"/>
    </row>
    <row r="5" spans="1:12" x14ac:dyDescent="0.35">
      <c r="D5" s="54"/>
      <c r="E5" s="49"/>
      <c r="F5" s="49"/>
      <c r="G5" s="50"/>
      <c r="H5" s="50"/>
      <c r="K5" s="540"/>
      <c r="L5" s="540"/>
    </row>
    <row r="6" spans="1:12" ht="15" customHeight="1" x14ac:dyDescent="0.35">
      <c r="A6" s="1" t="s">
        <v>773</v>
      </c>
      <c r="C6" s="416" t="str">
        <f>Results!$C$6</f>
        <v>AllHealth Network</v>
      </c>
      <c r="D6" s="55"/>
      <c r="E6" s="53"/>
      <c r="F6" s="53"/>
      <c r="G6" s="50"/>
      <c r="H6" s="50"/>
      <c r="K6" s="540"/>
      <c r="L6" s="540"/>
    </row>
    <row r="7" spans="1:12" x14ac:dyDescent="0.35">
      <c r="A7" s="1" t="s">
        <v>0</v>
      </c>
      <c r="C7" s="35">
        <f>Results!$C$7</f>
        <v>45473</v>
      </c>
      <c r="D7" s="35"/>
      <c r="E7" s="35"/>
      <c r="F7" s="35"/>
      <c r="K7" s="540"/>
      <c r="L7" s="540"/>
    </row>
    <row r="8" spans="1:12" x14ac:dyDescent="0.35">
      <c r="A8" s="1"/>
      <c r="C8" s="35"/>
      <c r="D8" s="23">
        <v>1</v>
      </c>
      <c r="E8" s="35"/>
      <c r="F8" s="23">
        <v>3</v>
      </c>
      <c r="H8" s="204"/>
      <c r="I8" s="174">
        <v>6</v>
      </c>
      <c r="J8" s="204"/>
      <c r="K8" s="174">
        <v>8</v>
      </c>
      <c r="L8" s="81"/>
    </row>
    <row r="9" spans="1:12" x14ac:dyDescent="0.35">
      <c r="A9" s="19">
        <v>1</v>
      </c>
      <c r="C9" s="46" t="s">
        <v>705</v>
      </c>
      <c r="D9" s="26">
        <f>'Adjusted Schedule 1'!F96</f>
        <v>44277755</v>
      </c>
      <c r="E9" s="46" t="s">
        <v>708</v>
      </c>
      <c r="F9" s="31">
        <f>F198</f>
        <v>64828.62</v>
      </c>
      <c r="H9" s="422" t="s">
        <v>862</v>
      </c>
      <c r="I9" s="26">
        <f>'Adjusted Schedule 1'!F96</f>
        <v>44277755</v>
      </c>
      <c r="J9" s="422" t="s">
        <v>865</v>
      </c>
      <c r="K9" s="179">
        <f>'Schedule 4 Adjustments'!S8</f>
        <v>138510</v>
      </c>
      <c r="L9" s="25"/>
    </row>
    <row r="10" spans="1:12" x14ac:dyDescent="0.35">
      <c r="A10" s="19">
        <v>2</v>
      </c>
      <c r="C10" s="46" t="s">
        <v>706</v>
      </c>
      <c r="D10" s="117">
        <f>'Schedule 4 Adjustments'!F9</f>
        <v>0</v>
      </c>
      <c r="E10" s="46" t="s">
        <v>709</v>
      </c>
      <c r="F10" s="31">
        <f>J198</f>
        <v>400989.84999999992</v>
      </c>
      <c r="H10" s="422" t="s">
        <v>863</v>
      </c>
      <c r="I10" s="179">
        <f>'Schedule 4 Adjustments'!O9</f>
        <v>0</v>
      </c>
      <c r="J10" s="544"/>
      <c r="K10" s="544"/>
      <c r="L10" s="45"/>
    </row>
    <row r="11" spans="1:12" x14ac:dyDescent="0.35">
      <c r="A11" s="19">
        <v>3</v>
      </c>
      <c r="C11" s="42" t="s">
        <v>707</v>
      </c>
      <c r="D11" s="18">
        <f>D9-D10</f>
        <v>44277755</v>
      </c>
      <c r="E11" s="42" t="s">
        <v>710</v>
      </c>
      <c r="F11" s="9">
        <f>SUM(F9:F10)</f>
        <v>465818.46999999991</v>
      </c>
      <c r="H11" s="423" t="s">
        <v>864</v>
      </c>
      <c r="I11" s="184">
        <f>I9-I10</f>
        <v>44277755</v>
      </c>
      <c r="J11" s="544"/>
      <c r="K11" s="544"/>
      <c r="L11" s="45"/>
    </row>
    <row r="12" spans="1:12" x14ac:dyDescent="0.35">
      <c r="A12" s="1"/>
      <c r="H12" s="205"/>
      <c r="I12" s="205"/>
      <c r="J12" s="544"/>
      <c r="K12" s="545"/>
      <c r="L12" s="45"/>
    </row>
    <row r="13" spans="1:12" ht="18.5" x14ac:dyDescent="0.45">
      <c r="A13" s="19">
        <v>4</v>
      </c>
      <c r="E13" s="44" t="s">
        <v>711</v>
      </c>
      <c r="F13" s="43">
        <f>D11/F11</f>
        <v>95.053669726750016</v>
      </c>
      <c r="H13" s="205"/>
      <c r="I13" s="205"/>
      <c r="J13" s="424" t="s">
        <v>866</v>
      </c>
      <c r="K13" s="425">
        <f>I11/K9</f>
        <v>319.67190094578007</v>
      </c>
      <c r="L13" s="45"/>
    </row>
    <row r="14" spans="1:12" x14ac:dyDescent="0.35">
      <c r="A14" s="1"/>
      <c r="B14" s="417"/>
      <c r="C14" s="35"/>
      <c r="D14" s="35"/>
      <c r="E14" s="35"/>
      <c r="F14" s="35"/>
      <c r="I14" s="143"/>
    </row>
    <row r="15" spans="1:12" x14ac:dyDescent="0.35">
      <c r="D15" s="23">
        <v>1</v>
      </c>
      <c r="E15" s="23">
        <v>2</v>
      </c>
      <c r="F15" s="23">
        <v>3</v>
      </c>
      <c r="G15" s="23">
        <v>4</v>
      </c>
      <c r="H15" s="23">
        <v>5</v>
      </c>
      <c r="I15" s="23">
        <v>6</v>
      </c>
      <c r="J15" s="23">
        <v>7</v>
      </c>
      <c r="K15" s="23">
        <v>8</v>
      </c>
    </row>
    <row r="16" spans="1:12" x14ac:dyDescent="0.35">
      <c r="A16" s="1"/>
      <c r="C16" s="35"/>
      <c r="D16" s="541" t="s">
        <v>191</v>
      </c>
      <c r="E16" s="542"/>
      <c r="F16" s="542"/>
      <c r="G16" s="543"/>
      <c r="H16" s="541" t="s">
        <v>192</v>
      </c>
      <c r="I16" s="542"/>
      <c r="J16" s="542"/>
      <c r="K16" s="543"/>
    </row>
    <row r="17" spans="1:11" ht="43.5" x14ac:dyDescent="0.35">
      <c r="B17" s="207" t="s">
        <v>40</v>
      </c>
      <c r="C17" s="207" t="s">
        <v>11</v>
      </c>
      <c r="D17" s="207" t="s">
        <v>713</v>
      </c>
      <c r="E17" s="238" t="s">
        <v>712</v>
      </c>
      <c r="F17" s="372" t="s">
        <v>715</v>
      </c>
      <c r="G17" s="239" t="s">
        <v>714</v>
      </c>
      <c r="H17" s="239" t="s">
        <v>716</v>
      </c>
      <c r="I17" s="238" t="s">
        <v>484</v>
      </c>
      <c r="J17" s="16" t="s">
        <v>717</v>
      </c>
      <c r="K17" s="15" t="s">
        <v>718</v>
      </c>
    </row>
    <row r="18" spans="1:11" s="22" customFormat="1" x14ac:dyDescent="0.35">
      <c r="A18" s="19">
        <v>5</v>
      </c>
      <c r="B18" s="419" t="s">
        <v>787</v>
      </c>
      <c r="C18" s="20" t="s">
        <v>788</v>
      </c>
      <c r="D18" s="116">
        <f>'Schedule 4 Adjustments'!F17</f>
        <v>0</v>
      </c>
      <c r="E18" s="405">
        <v>0</v>
      </c>
      <c r="F18" s="147">
        <f>D18*E18</f>
        <v>0</v>
      </c>
      <c r="G18" s="148">
        <f t="shared" ref="G18:G82" si="0">E18*$F$13</f>
        <v>0</v>
      </c>
      <c r="H18" s="149">
        <f>'Schedule 4 Adjustments'!N17</f>
        <v>0</v>
      </c>
      <c r="I18" s="405">
        <v>0</v>
      </c>
      <c r="J18" s="47">
        <f>H18*I18</f>
        <v>0</v>
      </c>
      <c r="K18" s="21">
        <f t="shared" ref="K18" si="1">I18*$F$13</f>
        <v>0</v>
      </c>
    </row>
    <row r="19" spans="1:11" s="22" customFormat="1" x14ac:dyDescent="0.35">
      <c r="A19" s="19">
        <v>6</v>
      </c>
      <c r="B19" s="19">
        <v>80305</v>
      </c>
      <c r="C19" s="20" t="s">
        <v>111</v>
      </c>
      <c r="D19" s="116">
        <f>'Schedule 4 Adjustments'!F18</f>
        <v>0</v>
      </c>
      <c r="E19" s="405">
        <v>0</v>
      </c>
      <c r="F19" s="147">
        <f>D19*E19</f>
        <v>0</v>
      </c>
      <c r="G19" s="148">
        <f t="shared" si="0"/>
        <v>0</v>
      </c>
      <c r="H19" s="149">
        <f>'Schedule 4 Adjustments'!N18</f>
        <v>819</v>
      </c>
      <c r="I19" s="405">
        <v>0</v>
      </c>
      <c r="J19" s="47">
        <f>H19*I19</f>
        <v>0</v>
      </c>
      <c r="K19" s="21">
        <f t="shared" ref="K19:K82" si="2">I19*$F$13</f>
        <v>0</v>
      </c>
    </row>
    <row r="20" spans="1:11" s="22" customFormat="1" x14ac:dyDescent="0.35">
      <c r="A20" s="19">
        <v>7</v>
      </c>
      <c r="B20" s="19">
        <v>80306</v>
      </c>
      <c r="C20" s="20" t="s">
        <v>41</v>
      </c>
      <c r="D20" s="116">
        <f>'Schedule 4 Adjustments'!F19</f>
        <v>0</v>
      </c>
      <c r="E20" s="405">
        <v>0</v>
      </c>
      <c r="F20" s="147">
        <f>D20*E20</f>
        <v>0</v>
      </c>
      <c r="G20" s="148">
        <f t="shared" si="0"/>
        <v>0</v>
      </c>
      <c r="H20" s="149">
        <f>'Schedule 4 Adjustments'!N19</f>
        <v>0</v>
      </c>
      <c r="I20" s="405">
        <v>0</v>
      </c>
      <c r="J20" s="47">
        <f t="shared" ref="J20:J83" si="3">H20*I20</f>
        <v>0</v>
      </c>
      <c r="K20" s="21">
        <f t="shared" si="2"/>
        <v>0</v>
      </c>
    </row>
    <row r="21" spans="1:11" s="22" customFormat="1" x14ac:dyDescent="0.35">
      <c r="A21" s="19">
        <v>8</v>
      </c>
      <c r="B21" s="19">
        <v>82075</v>
      </c>
      <c r="C21" s="20" t="s">
        <v>112</v>
      </c>
      <c r="D21" s="116">
        <f>'Schedule 4 Adjustments'!F20</f>
        <v>1</v>
      </c>
      <c r="E21" s="405">
        <v>0</v>
      </c>
      <c r="F21" s="147">
        <f t="shared" ref="F21:F84" si="4">D21*E21</f>
        <v>0</v>
      </c>
      <c r="G21" s="148">
        <f t="shared" si="0"/>
        <v>0</v>
      </c>
      <c r="H21" s="149">
        <f>'Schedule 4 Adjustments'!N20</f>
        <v>785</v>
      </c>
      <c r="I21" s="405">
        <v>0</v>
      </c>
      <c r="J21" s="47">
        <f t="shared" si="3"/>
        <v>0</v>
      </c>
      <c r="K21" s="21">
        <f t="shared" si="2"/>
        <v>0</v>
      </c>
    </row>
    <row r="22" spans="1:11" s="22" customFormat="1" x14ac:dyDescent="0.35">
      <c r="A22" s="19">
        <v>9</v>
      </c>
      <c r="B22" s="19">
        <v>90785</v>
      </c>
      <c r="C22" s="20" t="s">
        <v>319</v>
      </c>
      <c r="D22" s="116">
        <f>'Schedule 4 Adjustments'!F21</f>
        <v>444</v>
      </c>
      <c r="E22" s="405">
        <v>0.44</v>
      </c>
      <c r="F22" s="47">
        <f t="shared" si="4"/>
        <v>195.36</v>
      </c>
      <c r="G22" s="21">
        <f t="shared" si="0"/>
        <v>41.82361467977001</v>
      </c>
      <c r="H22" s="149">
        <f>'Schedule 4 Adjustments'!N21</f>
        <v>2883</v>
      </c>
      <c r="I22" s="405">
        <v>0.39</v>
      </c>
      <c r="J22" s="47">
        <f t="shared" si="3"/>
        <v>1124.3700000000001</v>
      </c>
      <c r="K22" s="21">
        <f t="shared" si="2"/>
        <v>37.070931193432507</v>
      </c>
    </row>
    <row r="23" spans="1:11" s="22" customFormat="1" x14ac:dyDescent="0.35">
      <c r="A23" s="19">
        <v>10</v>
      </c>
      <c r="B23" s="19">
        <v>90791</v>
      </c>
      <c r="C23" s="20" t="s">
        <v>320</v>
      </c>
      <c r="D23" s="116">
        <f>'Schedule 4 Adjustments'!F22</f>
        <v>794</v>
      </c>
      <c r="E23" s="405">
        <v>5.17</v>
      </c>
      <c r="F23" s="47">
        <f t="shared" si="4"/>
        <v>4104.9799999999996</v>
      </c>
      <c r="G23" s="21">
        <f t="shared" si="0"/>
        <v>491.42747248729756</v>
      </c>
      <c r="H23" s="149">
        <f>'Schedule 4 Adjustments'!N22</f>
        <v>6032</v>
      </c>
      <c r="I23" s="405">
        <v>4.43</v>
      </c>
      <c r="J23" s="47">
        <f t="shared" si="3"/>
        <v>26721.759999999998</v>
      </c>
      <c r="K23" s="21">
        <f t="shared" si="2"/>
        <v>421.08775688950254</v>
      </c>
    </row>
    <row r="24" spans="1:11" s="22" customFormat="1" x14ac:dyDescent="0.35">
      <c r="A24" s="19">
        <v>11</v>
      </c>
      <c r="B24" s="19">
        <v>90792</v>
      </c>
      <c r="C24" s="20" t="s">
        <v>321</v>
      </c>
      <c r="D24" s="116">
        <f>'Schedule 4 Adjustments'!F23</f>
        <v>0</v>
      </c>
      <c r="E24" s="405">
        <v>5.82</v>
      </c>
      <c r="F24" s="47">
        <f t="shared" si="4"/>
        <v>0</v>
      </c>
      <c r="G24" s="21">
        <f t="shared" si="0"/>
        <v>553.21235780968516</v>
      </c>
      <c r="H24" s="149">
        <f>'Schedule 4 Adjustments'!N23</f>
        <v>3</v>
      </c>
      <c r="I24" s="405">
        <v>5.08</v>
      </c>
      <c r="J24" s="47">
        <f t="shared" si="3"/>
        <v>15.24</v>
      </c>
      <c r="K24" s="21">
        <f t="shared" si="2"/>
        <v>482.87264221189008</v>
      </c>
    </row>
    <row r="25" spans="1:11" s="22" customFormat="1" x14ac:dyDescent="0.35">
      <c r="A25" s="19">
        <v>12</v>
      </c>
      <c r="B25" s="19">
        <v>90832</v>
      </c>
      <c r="C25" s="20" t="s">
        <v>325</v>
      </c>
      <c r="D25" s="116">
        <f>'Schedule 4 Adjustments'!F24</f>
        <v>2564</v>
      </c>
      <c r="E25" s="405">
        <v>2.35</v>
      </c>
      <c r="F25" s="47">
        <f t="shared" si="4"/>
        <v>6025.4000000000005</v>
      </c>
      <c r="G25" s="21">
        <f t="shared" si="0"/>
        <v>223.37612385786255</v>
      </c>
      <c r="H25" s="149">
        <f>'Schedule 4 Adjustments'!N24</f>
        <v>5814</v>
      </c>
      <c r="I25" s="405">
        <v>2.0499999999999998</v>
      </c>
      <c r="J25" s="47">
        <f t="shared" si="3"/>
        <v>11918.699999999999</v>
      </c>
      <c r="K25" s="21">
        <f t="shared" si="2"/>
        <v>194.86002293983751</v>
      </c>
    </row>
    <row r="26" spans="1:11" s="22" customFormat="1" x14ac:dyDescent="0.35">
      <c r="A26" s="19">
        <v>13</v>
      </c>
      <c r="B26" s="19">
        <v>90833</v>
      </c>
      <c r="C26" s="20" t="s">
        <v>322</v>
      </c>
      <c r="D26" s="116">
        <f>'Schedule 4 Adjustments'!F25</f>
        <v>2</v>
      </c>
      <c r="E26" s="405">
        <v>2.16</v>
      </c>
      <c r="F26" s="47">
        <f t="shared" si="4"/>
        <v>4.32</v>
      </c>
      <c r="G26" s="21">
        <f t="shared" si="0"/>
        <v>205.31592660978004</v>
      </c>
      <c r="H26" s="149">
        <f>'Schedule 4 Adjustments'!N25</f>
        <v>356</v>
      </c>
      <c r="I26" s="405">
        <v>1.92</v>
      </c>
      <c r="J26" s="47">
        <f t="shared" si="3"/>
        <v>683.52</v>
      </c>
      <c r="K26" s="21">
        <f t="shared" si="2"/>
        <v>182.50304587536002</v>
      </c>
    </row>
    <row r="27" spans="1:11" s="22" customFormat="1" x14ac:dyDescent="0.35">
      <c r="A27" s="19">
        <v>14</v>
      </c>
      <c r="B27" s="19">
        <v>90834</v>
      </c>
      <c r="C27" s="20" t="s">
        <v>323</v>
      </c>
      <c r="D27" s="116">
        <f>'Schedule 4 Adjustments'!F26</f>
        <v>5509</v>
      </c>
      <c r="E27" s="405">
        <v>3.1</v>
      </c>
      <c r="F27" s="47">
        <f t="shared" si="4"/>
        <v>17077.900000000001</v>
      </c>
      <c r="G27" s="21">
        <f t="shared" si="0"/>
        <v>294.66637615292507</v>
      </c>
      <c r="H27" s="149">
        <f>'Schedule 4 Adjustments'!N26</f>
        <v>29973</v>
      </c>
      <c r="I27" s="405">
        <v>2.71</v>
      </c>
      <c r="J27" s="47">
        <f t="shared" si="3"/>
        <v>81226.83</v>
      </c>
      <c r="K27" s="21">
        <f t="shared" si="2"/>
        <v>257.59544495949257</v>
      </c>
    </row>
    <row r="28" spans="1:11" s="22" customFormat="1" x14ac:dyDescent="0.35">
      <c r="A28" s="19">
        <v>15</v>
      </c>
      <c r="B28" s="19">
        <v>90836</v>
      </c>
      <c r="C28" s="20" t="s">
        <v>326</v>
      </c>
      <c r="D28" s="116">
        <f>'Schedule 4 Adjustments'!F27</f>
        <v>0</v>
      </c>
      <c r="E28" s="405">
        <v>2.73</v>
      </c>
      <c r="F28" s="47">
        <f t="shared" si="4"/>
        <v>0</v>
      </c>
      <c r="G28" s="21">
        <f t="shared" si="0"/>
        <v>259.49651835402756</v>
      </c>
      <c r="H28" s="149">
        <f>'Schedule 4 Adjustments'!N27</f>
        <v>0</v>
      </c>
      <c r="I28" s="405">
        <v>2.4300000000000002</v>
      </c>
      <c r="J28" s="47">
        <f t="shared" si="3"/>
        <v>0</v>
      </c>
      <c r="K28" s="21">
        <f t="shared" si="2"/>
        <v>230.98041743600254</v>
      </c>
    </row>
    <row r="29" spans="1:11" s="22" customFormat="1" x14ac:dyDescent="0.35">
      <c r="A29" s="19">
        <v>16</v>
      </c>
      <c r="B29" s="19">
        <v>90837</v>
      </c>
      <c r="C29" s="20" t="s">
        <v>324</v>
      </c>
      <c r="D29" s="116">
        <f>'Schedule 4 Adjustments'!F28</f>
        <v>2201</v>
      </c>
      <c r="E29" s="405">
        <v>4.57</v>
      </c>
      <c r="F29" s="47">
        <f t="shared" si="4"/>
        <v>10058.570000000002</v>
      </c>
      <c r="G29" s="21">
        <f t="shared" si="0"/>
        <v>434.39527065124759</v>
      </c>
      <c r="H29" s="149">
        <f>'Schedule 4 Adjustments'!N28</f>
        <v>24645</v>
      </c>
      <c r="I29" s="405">
        <v>4</v>
      </c>
      <c r="J29" s="47">
        <f t="shared" si="3"/>
        <v>98580</v>
      </c>
      <c r="K29" s="21">
        <f t="shared" si="2"/>
        <v>380.21467890700006</v>
      </c>
    </row>
    <row r="30" spans="1:11" s="22" customFormat="1" x14ac:dyDescent="0.35">
      <c r="A30" s="19">
        <v>17</v>
      </c>
      <c r="B30" s="19">
        <v>90838</v>
      </c>
      <c r="C30" s="20" t="s">
        <v>327</v>
      </c>
      <c r="D30" s="116">
        <f>'Schedule 4 Adjustments'!F29</f>
        <v>0</v>
      </c>
      <c r="E30" s="405">
        <v>3.62</v>
      </c>
      <c r="F30" s="47">
        <f t="shared" si="4"/>
        <v>0</v>
      </c>
      <c r="G30" s="21">
        <f t="shared" si="0"/>
        <v>344.09428441083509</v>
      </c>
      <c r="H30" s="149">
        <f>'Schedule 4 Adjustments'!N29</f>
        <v>0</v>
      </c>
      <c r="I30" s="405">
        <v>3.22</v>
      </c>
      <c r="J30" s="47">
        <f t="shared" si="3"/>
        <v>0</v>
      </c>
      <c r="K30" s="21">
        <f t="shared" si="2"/>
        <v>306.07281652013506</v>
      </c>
    </row>
    <row r="31" spans="1:11" s="22" customFormat="1" x14ac:dyDescent="0.35">
      <c r="A31" s="19">
        <v>18</v>
      </c>
      <c r="B31" s="19">
        <v>90839</v>
      </c>
      <c r="C31" s="20" t="s">
        <v>329</v>
      </c>
      <c r="D31" s="116">
        <f>'Schedule 4 Adjustments'!F30</f>
        <v>2</v>
      </c>
      <c r="E31" s="405">
        <v>4.4000000000000004</v>
      </c>
      <c r="F31" s="47">
        <f t="shared" si="4"/>
        <v>8.8000000000000007</v>
      </c>
      <c r="G31" s="21">
        <f t="shared" si="0"/>
        <v>418.23614679770009</v>
      </c>
      <c r="H31" s="149">
        <f>'Schedule 4 Adjustments'!N30</f>
        <v>15</v>
      </c>
      <c r="I31" s="405">
        <v>3.87</v>
      </c>
      <c r="J31" s="47">
        <f t="shared" si="3"/>
        <v>58.050000000000004</v>
      </c>
      <c r="K31" s="21">
        <f t="shared" si="2"/>
        <v>367.85770184252254</v>
      </c>
    </row>
    <row r="32" spans="1:11" s="22" customFormat="1" x14ac:dyDescent="0.35">
      <c r="A32" s="19">
        <v>19</v>
      </c>
      <c r="B32" s="19">
        <v>90840</v>
      </c>
      <c r="C32" s="20" t="s">
        <v>328</v>
      </c>
      <c r="D32" s="116">
        <f>'Schedule 4 Adjustments'!F31</f>
        <v>0</v>
      </c>
      <c r="E32" s="405">
        <v>2.1800000000000002</v>
      </c>
      <c r="F32" s="47">
        <f t="shared" si="4"/>
        <v>0</v>
      </c>
      <c r="G32" s="21">
        <f t="shared" si="0"/>
        <v>207.21700000431505</v>
      </c>
      <c r="H32" s="149">
        <f>'Schedule 4 Adjustments'!N31</f>
        <v>6</v>
      </c>
      <c r="I32" s="405">
        <v>1.94</v>
      </c>
      <c r="J32" s="47">
        <f t="shared" si="3"/>
        <v>11.64</v>
      </c>
      <c r="K32" s="21">
        <f t="shared" si="2"/>
        <v>184.40411926989503</v>
      </c>
    </row>
    <row r="33" spans="1:11" s="22" customFormat="1" x14ac:dyDescent="0.35">
      <c r="A33" s="19">
        <v>20</v>
      </c>
      <c r="B33" s="19">
        <v>90846</v>
      </c>
      <c r="C33" s="20" t="s">
        <v>113</v>
      </c>
      <c r="D33" s="116">
        <f>'Schedule 4 Adjustments'!F32</f>
        <v>66</v>
      </c>
      <c r="E33" s="405">
        <v>2.93</v>
      </c>
      <c r="F33" s="47">
        <f t="shared" si="4"/>
        <v>193.38000000000002</v>
      </c>
      <c r="G33" s="21">
        <f t="shared" si="0"/>
        <v>278.50725229937757</v>
      </c>
      <c r="H33" s="149">
        <f>'Schedule 4 Adjustments'!N32</f>
        <v>1077</v>
      </c>
      <c r="I33" s="405">
        <v>2.92</v>
      </c>
      <c r="J33" s="47">
        <f t="shared" si="3"/>
        <v>3144.84</v>
      </c>
      <c r="K33" s="21">
        <f t="shared" si="2"/>
        <v>277.55671560211005</v>
      </c>
    </row>
    <row r="34" spans="1:11" s="22" customFormat="1" x14ac:dyDescent="0.35">
      <c r="A34" s="19">
        <v>21</v>
      </c>
      <c r="B34" s="19">
        <v>90847</v>
      </c>
      <c r="C34" s="20" t="s">
        <v>114</v>
      </c>
      <c r="D34" s="116">
        <f>'Schedule 4 Adjustments'!F33</f>
        <v>234</v>
      </c>
      <c r="E34" s="405">
        <v>3.07</v>
      </c>
      <c r="F34" s="47">
        <f t="shared" si="4"/>
        <v>718.38</v>
      </c>
      <c r="G34" s="21">
        <f t="shared" si="0"/>
        <v>291.81476606112255</v>
      </c>
      <c r="H34" s="149">
        <f>'Schedule 4 Adjustments'!N33</f>
        <v>2847</v>
      </c>
      <c r="I34" s="405">
        <v>3.05</v>
      </c>
      <c r="J34" s="47">
        <f t="shared" si="3"/>
        <v>8683.35</v>
      </c>
      <c r="K34" s="21">
        <f t="shared" si="2"/>
        <v>289.91369266658751</v>
      </c>
    </row>
    <row r="35" spans="1:11" s="22" customFormat="1" x14ac:dyDescent="0.35">
      <c r="A35" s="19">
        <v>22</v>
      </c>
      <c r="B35" s="19">
        <v>90849</v>
      </c>
      <c r="C35" s="20" t="s">
        <v>115</v>
      </c>
      <c r="D35" s="116">
        <f>'Schedule 4 Adjustments'!F34</f>
        <v>0</v>
      </c>
      <c r="E35" s="405">
        <v>1.1299999999999999</v>
      </c>
      <c r="F35" s="47">
        <f t="shared" si="4"/>
        <v>0</v>
      </c>
      <c r="G35" s="21">
        <f t="shared" si="0"/>
        <v>107.41064679122751</v>
      </c>
      <c r="H35" s="149">
        <f>'Schedule 4 Adjustments'!N34</f>
        <v>0</v>
      </c>
      <c r="I35" s="405">
        <v>0.88</v>
      </c>
      <c r="J35" s="47">
        <f t="shared" si="3"/>
        <v>0</v>
      </c>
      <c r="K35" s="21">
        <f t="shared" si="2"/>
        <v>83.64722935954002</v>
      </c>
    </row>
    <row r="36" spans="1:11" s="22" customFormat="1" x14ac:dyDescent="0.35">
      <c r="A36" s="19">
        <v>23</v>
      </c>
      <c r="B36" s="19">
        <v>90853</v>
      </c>
      <c r="C36" s="20" t="s">
        <v>116</v>
      </c>
      <c r="D36" s="116">
        <f>'Schedule 4 Adjustments'!F35</f>
        <v>63</v>
      </c>
      <c r="E36" s="405">
        <v>0.83</v>
      </c>
      <c r="F36" s="47">
        <f t="shared" si="4"/>
        <v>52.29</v>
      </c>
      <c r="G36" s="21">
        <f t="shared" si="0"/>
        <v>78.894545873202503</v>
      </c>
      <c r="H36" s="149">
        <f>'Schedule 4 Adjustments'!N35</f>
        <v>2493</v>
      </c>
      <c r="I36" s="405">
        <v>0.72</v>
      </c>
      <c r="J36" s="47">
        <f t="shared" si="3"/>
        <v>1794.96</v>
      </c>
      <c r="K36" s="21">
        <f t="shared" si="2"/>
        <v>68.438642203260002</v>
      </c>
    </row>
    <row r="37" spans="1:11" s="22" customFormat="1" x14ac:dyDescent="0.35">
      <c r="A37" s="19">
        <v>24</v>
      </c>
      <c r="B37" s="19">
        <v>90870</v>
      </c>
      <c r="C37" s="20" t="s">
        <v>117</v>
      </c>
      <c r="D37" s="116">
        <f>'Schedule 4 Adjustments'!F36</f>
        <v>0</v>
      </c>
      <c r="E37" s="405">
        <v>5.18</v>
      </c>
      <c r="F37" s="47">
        <f t="shared" si="4"/>
        <v>0</v>
      </c>
      <c r="G37" s="21">
        <f t="shared" si="0"/>
        <v>492.37800918456503</v>
      </c>
      <c r="H37" s="149">
        <f>'Schedule 4 Adjustments'!N36</f>
        <v>0</v>
      </c>
      <c r="I37" s="405">
        <v>3.12</v>
      </c>
      <c r="J37" s="47">
        <f t="shared" si="3"/>
        <v>0</v>
      </c>
      <c r="K37" s="21">
        <f t="shared" si="2"/>
        <v>296.56744954746006</v>
      </c>
    </row>
    <row r="38" spans="1:11" s="22" customFormat="1" x14ac:dyDescent="0.35">
      <c r="A38" s="19">
        <v>25</v>
      </c>
      <c r="B38" s="19">
        <v>90875</v>
      </c>
      <c r="C38" s="20" t="s">
        <v>152</v>
      </c>
      <c r="D38" s="116">
        <f>'Schedule 4 Adjustments'!F37</f>
        <v>0</v>
      </c>
      <c r="E38" s="405">
        <v>1.75</v>
      </c>
      <c r="F38" s="47">
        <f t="shared" si="4"/>
        <v>0</v>
      </c>
      <c r="G38" s="21">
        <f t="shared" si="0"/>
        <v>166.34392202181252</v>
      </c>
      <c r="H38" s="149">
        <f>'Schedule 4 Adjustments'!N37</f>
        <v>0</v>
      </c>
      <c r="I38" s="405">
        <v>1.74</v>
      </c>
      <c r="J38" s="47">
        <f t="shared" si="3"/>
        <v>0</v>
      </c>
      <c r="K38" s="21">
        <f t="shared" si="2"/>
        <v>165.39338532454502</v>
      </c>
    </row>
    <row r="39" spans="1:11" s="22" customFormat="1" x14ac:dyDescent="0.35">
      <c r="A39" s="19">
        <v>26</v>
      </c>
      <c r="B39" s="19">
        <v>90876</v>
      </c>
      <c r="C39" s="20" t="s">
        <v>153</v>
      </c>
      <c r="D39" s="116">
        <f>'Schedule 4 Adjustments'!F38</f>
        <v>0</v>
      </c>
      <c r="E39" s="405">
        <v>3.08</v>
      </c>
      <c r="F39" s="47">
        <f t="shared" si="4"/>
        <v>0</v>
      </c>
      <c r="G39" s="21">
        <f t="shared" si="0"/>
        <v>292.76530275839008</v>
      </c>
      <c r="H39" s="149">
        <f>'Schedule 4 Adjustments'!N38</f>
        <v>0</v>
      </c>
      <c r="I39" s="405">
        <v>2.76</v>
      </c>
      <c r="J39" s="47">
        <f t="shared" si="3"/>
        <v>0</v>
      </c>
      <c r="K39" s="21">
        <f t="shared" si="2"/>
        <v>262.34812844583001</v>
      </c>
    </row>
    <row r="40" spans="1:11" s="22" customFormat="1" x14ac:dyDescent="0.35">
      <c r="A40" s="19">
        <v>27</v>
      </c>
      <c r="B40" s="19">
        <v>90887</v>
      </c>
      <c r="C40" s="20" t="s">
        <v>330</v>
      </c>
      <c r="D40" s="116">
        <f>'Schedule 4 Adjustments'!F39</f>
        <v>0</v>
      </c>
      <c r="E40" s="405">
        <v>2.56</v>
      </c>
      <c r="F40" s="47">
        <f t="shared" si="4"/>
        <v>0</v>
      </c>
      <c r="G40" s="21">
        <f t="shared" si="0"/>
        <v>243.33739450048006</v>
      </c>
      <c r="H40" s="149">
        <f>'Schedule 4 Adjustments'!N39</f>
        <v>13</v>
      </c>
      <c r="I40" s="405">
        <v>2.14</v>
      </c>
      <c r="J40" s="47">
        <f t="shared" si="3"/>
        <v>27.82</v>
      </c>
      <c r="K40" s="21">
        <f t="shared" si="2"/>
        <v>203.41485321524505</v>
      </c>
    </row>
    <row r="41" spans="1:11" s="22" customFormat="1" x14ac:dyDescent="0.35">
      <c r="A41" s="19">
        <v>28</v>
      </c>
      <c r="B41" s="19">
        <v>96116</v>
      </c>
      <c r="C41" s="20" t="s">
        <v>341</v>
      </c>
      <c r="D41" s="116">
        <f>'Schedule 4 Adjustments'!F40</f>
        <v>0</v>
      </c>
      <c r="E41" s="405">
        <v>2.76</v>
      </c>
      <c r="F41" s="47">
        <f t="shared" si="4"/>
        <v>0</v>
      </c>
      <c r="G41" s="21">
        <f t="shared" si="0"/>
        <v>262.34812844583001</v>
      </c>
      <c r="H41" s="149">
        <f>'Schedule 4 Adjustments'!N40</f>
        <v>0</v>
      </c>
      <c r="I41" s="405">
        <v>2.37</v>
      </c>
      <c r="J41" s="47">
        <f t="shared" si="3"/>
        <v>0</v>
      </c>
      <c r="K41" s="21">
        <f t="shared" si="2"/>
        <v>225.27719725239754</v>
      </c>
    </row>
    <row r="42" spans="1:11" s="22" customFormat="1" x14ac:dyDescent="0.35">
      <c r="A42" s="19">
        <v>29</v>
      </c>
      <c r="B42" s="19">
        <v>96121</v>
      </c>
      <c r="C42" s="20" t="s">
        <v>340</v>
      </c>
      <c r="D42" s="116">
        <f>'Schedule 4 Adjustments'!F41</f>
        <v>0</v>
      </c>
      <c r="E42" s="405">
        <v>2.25</v>
      </c>
      <c r="F42" s="47">
        <f t="shared" si="4"/>
        <v>0</v>
      </c>
      <c r="G42" s="21">
        <f t="shared" si="0"/>
        <v>213.87075688518755</v>
      </c>
      <c r="H42" s="149">
        <f>'Schedule 4 Adjustments'!N41</f>
        <v>0</v>
      </c>
      <c r="I42" s="405">
        <v>1.97</v>
      </c>
      <c r="J42" s="47">
        <f t="shared" si="3"/>
        <v>0</v>
      </c>
      <c r="K42" s="21">
        <f t="shared" si="2"/>
        <v>187.25572936169752</v>
      </c>
    </row>
    <row r="43" spans="1:11" s="22" customFormat="1" x14ac:dyDescent="0.35">
      <c r="A43" s="19">
        <v>30</v>
      </c>
      <c r="B43" s="19">
        <v>96130</v>
      </c>
      <c r="C43" s="20" t="s">
        <v>338</v>
      </c>
      <c r="D43" s="116">
        <f>'Schedule 4 Adjustments'!F42</f>
        <v>0</v>
      </c>
      <c r="E43" s="405">
        <v>3.6</v>
      </c>
      <c r="F43" s="47">
        <f t="shared" si="4"/>
        <v>0</v>
      </c>
      <c r="G43" s="21">
        <f t="shared" si="0"/>
        <v>342.19321101630004</v>
      </c>
      <c r="H43" s="149">
        <f>'Schedule 4 Adjustments'!N42</f>
        <v>0</v>
      </c>
      <c r="I43" s="405">
        <v>3.25</v>
      </c>
      <c r="J43" s="47">
        <f t="shared" si="3"/>
        <v>0</v>
      </c>
      <c r="K43" s="21">
        <f t="shared" si="2"/>
        <v>308.92442661193758</v>
      </c>
    </row>
    <row r="44" spans="1:11" s="22" customFormat="1" x14ac:dyDescent="0.35">
      <c r="A44" s="19">
        <v>31</v>
      </c>
      <c r="B44" s="19">
        <v>96131</v>
      </c>
      <c r="C44" s="20" t="s">
        <v>339</v>
      </c>
      <c r="D44" s="116">
        <f>'Schedule 4 Adjustments'!F43</f>
        <v>0</v>
      </c>
      <c r="E44" s="405">
        <v>2.57</v>
      </c>
      <c r="F44" s="47">
        <f t="shared" si="4"/>
        <v>0</v>
      </c>
      <c r="G44" s="21">
        <f t="shared" si="0"/>
        <v>244.28793119774753</v>
      </c>
      <c r="H44" s="149">
        <f>'Schedule 4 Adjustments'!N43</f>
        <v>0</v>
      </c>
      <c r="I44" s="405">
        <v>2.25</v>
      </c>
      <c r="J44" s="47">
        <f t="shared" si="3"/>
        <v>0</v>
      </c>
      <c r="K44" s="21">
        <f t="shared" si="2"/>
        <v>213.87075688518755</v>
      </c>
    </row>
    <row r="45" spans="1:11" s="22" customFormat="1" x14ac:dyDescent="0.35">
      <c r="A45" s="19">
        <v>32</v>
      </c>
      <c r="B45" s="19">
        <v>96132</v>
      </c>
      <c r="C45" s="20" t="s">
        <v>332</v>
      </c>
      <c r="D45" s="116">
        <f>'Schedule 4 Adjustments'!F44</f>
        <v>0</v>
      </c>
      <c r="E45" s="405">
        <v>3.85</v>
      </c>
      <c r="F45" s="47">
        <f t="shared" si="4"/>
        <v>0</v>
      </c>
      <c r="G45" s="21">
        <f t="shared" si="0"/>
        <v>365.95662844798755</v>
      </c>
      <c r="H45" s="149">
        <f>'Schedule 4 Adjustments'!N44</f>
        <v>0</v>
      </c>
      <c r="I45" s="405">
        <v>3.14</v>
      </c>
      <c r="J45" s="47">
        <f t="shared" si="3"/>
        <v>0</v>
      </c>
      <c r="K45" s="21">
        <f t="shared" si="2"/>
        <v>298.46852294199505</v>
      </c>
    </row>
    <row r="46" spans="1:11" s="22" customFormat="1" x14ac:dyDescent="0.35">
      <c r="A46" s="19">
        <v>33</v>
      </c>
      <c r="B46" s="19">
        <v>96133</v>
      </c>
      <c r="C46" s="20" t="s">
        <v>333</v>
      </c>
      <c r="D46" s="116">
        <f>'Schedule 4 Adjustments'!F45</f>
        <v>0</v>
      </c>
      <c r="E46" s="405">
        <v>2.92</v>
      </c>
      <c r="F46" s="47">
        <f t="shared" si="4"/>
        <v>0</v>
      </c>
      <c r="G46" s="21">
        <f t="shared" si="0"/>
        <v>277.55671560211005</v>
      </c>
      <c r="H46" s="149">
        <f>'Schedule 4 Adjustments'!N45</f>
        <v>0</v>
      </c>
      <c r="I46" s="405">
        <v>2.2599999999999998</v>
      </c>
      <c r="J46" s="47">
        <f t="shared" si="3"/>
        <v>0</v>
      </c>
      <c r="K46" s="21">
        <f t="shared" si="2"/>
        <v>214.82129358245501</v>
      </c>
    </row>
    <row r="47" spans="1:11" s="22" customFormat="1" x14ac:dyDescent="0.35">
      <c r="A47" s="19">
        <v>34</v>
      </c>
      <c r="B47" s="19">
        <v>96136</v>
      </c>
      <c r="C47" s="20" t="s">
        <v>334</v>
      </c>
      <c r="D47" s="116">
        <f>'Schedule 4 Adjustments'!F46</f>
        <v>0</v>
      </c>
      <c r="E47" s="405">
        <v>1.25</v>
      </c>
      <c r="F47" s="47">
        <f t="shared" si="4"/>
        <v>0</v>
      </c>
      <c r="G47" s="21">
        <f t="shared" si="0"/>
        <v>118.81708715843752</v>
      </c>
      <c r="H47" s="149">
        <f>'Schedule 4 Adjustments'!N46</f>
        <v>0</v>
      </c>
      <c r="I47" s="405">
        <v>0.69</v>
      </c>
      <c r="J47" s="47">
        <f t="shared" si="3"/>
        <v>0</v>
      </c>
      <c r="K47" s="21">
        <f t="shared" si="2"/>
        <v>65.587032111457503</v>
      </c>
    </row>
    <row r="48" spans="1:11" s="22" customFormat="1" x14ac:dyDescent="0.35">
      <c r="A48" s="19">
        <v>35</v>
      </c>
      <c r="B48" s="19">
        <v>96137</v>
      </c>
      <c r="C48" s="20" t="s">
        <v>335</v>
      </c>
      <c r="D48" s="116">
        <f>'Schedule 4 Adjustments'!F47</f>
        <v>0</v>
      </c>
      <c r="E48" s="405">
        <v>1.1299999999999999</v>
      </c>
      <c r="F48" s="47">
        <f t="shared" si="4"/>
        <v>0</v>
      </c>
      <c r="G48" s="21">
        <f t="shared" si="0"/>
        <v>107.41064679122751</v>
      </c>
      <c r="H48" s="149">
        <f>'Schedule 4 Adjustments'!N47</f>
        <v>0</v>
      </c>
      <c r="I48" s="405">
        <v>0.53</v>
      </c>
      <c r="J48" s="47">
        <f t="shared" si="3"/>
        <v>0</v>
      </c>
      <c r="K48" s="21">
        <f t="shared" si="2"/>
        <v>50.378444955177514</v>
      </c>
    </row>
    <row r="49" spans="1:11" s="22" customFormat="1" x14ac:dyDescent="0.35">
      <c r="A49" s="19">
        <v>36</v>
      </c>
      <c r="B49" s="19">
        <v>96138</v>
      </c>
      <c r="C49" s="20" t="s">
        <v>336</v>
      </c>
      <c r="D49" s="116">
        <f>'Schedule 4 Adjustments'!F48</f>
        <v>0</v>
      </c>
      <c r="E49" s="405">
        <v>1.03</v>
      </c>
      <c r="F49" s="47">
        <f t="shared" si="4"/>
        <v>0</v>
      </c>
      <c r="G49" s="21">
        <f t="shared" si="0"/>
        <v>97.905279818552515</v>
      </c>
      <c r="H49" s="149">
        <f>'Schedule 4 Adjustments'!N48</f>
        <v>0</v>
      </c>
      <c r="I49" s="405">
        <v>0.56999999999999995</v>
      </c>
      <c r="J49" s="47">
        <f t="shared" si="3"/>
        <v>0</v>
      </c>
      <c r="K49" s="21">
        <f t="shared" si="2"/>
        <v>54.180591744247508</v>
      </c>
    </row>
    <row r="50" spans="1:11" s="22" customFormat="1" x14ac:dyDescent="0.35">
      <c r="A50" s="19">
        <v>37</v>
      </c>
      <c r="B50" s="19">
        <v>96139</v>
      </c>
      <c r="C50" s="20" t="s">
        <v>337</v>
      </c>
      <c r="D50" s="116">
        <f>'Schedule 4 Adjustments'!F49</f>
        <v>0</v>
      </c>
      <c r="E50" s="405">
        <v>1.06</v>
      </c>
      <c r="F50" s="47">
        <f t="shared" si="4"/>
        <v>0</v>
      </c>
      <c r="G50" s="21">
        <f t="shared" si="0"/>
        <v>100.75688991035503</v>
      </c>
      <c r="H50" s="149">
        <f>'Schedule 4 Adjustments'!N49</f>
        <v>0</v>
      </c>
      <c r="I50" s="405">
        <v>0.5</v>
      </c>
      <c r="J50" s="47">
        <f t="shared" si="3"/>
        <v>0</v>
      </c>
      <c r="K50" s="21">
        <f t="shared" si="2"/>
        <v>47.526834863375008</v>
      </c>
    </row>
    <row r="51" spans="1:11" s="22" customFormat="1" x14ac:dyDescent="0.35">
      <c r="A51" s="19">
        <v>38</v>
      </c>
      <c r="B51" s="19">
        <v>96146</v>
      </c>
      <c r="C51" s="20" t="s">
        <v>331</v>
      </c>
      <c r="D51" s="116">
        <f>'Schedule 4 Adjustments'!F50</f>
        <v>0</v>
      </c>
      <c r="E51" s="405">
        <v>7.0000000000000007E-2</v>
      </c>
      <c r="F51" s="47">
        <f t="shared" si="4"/>
        <v>0</v>
      </c>
      <c r="G51" s="21">
        <f t="shared" si="0"/>
        <v>6.6537568808725016</v>
      </c>
      <c r="H51" s="149">
        <f>'Schedule 4 Adjustments'!N50</f>
        <v>0</v>
      </c>
      <c r="I51" s="405">
        <v>7.0000000000000007E-2</v>
      </c>
      <c r="J51" s="47">
        <f t="shared" si="3"/>
        <v>0</v>
      </c>
      <c r="K51" s="21">
        <f t="shared" si="2"/>
        <v>6.6537568808725016</v>
      </c>
    </row>
    <row r="52" spans="1:11" s="22" customFormat="1" x14ac:dyDescent="0.35">
      <c r="A52" s="19">
        <v>39</v>
      </c>
      <c r="B52" s="19">
        <v>96372</v>
      </c>
      <c r="C52" s="20" t="s">
        <v>118</v>
      </c>
      <c r="D52" s="116">
        <f>'Schedule 4 Adjustments'!F51</f>
        <v>398</v>
      </c>
      <c r="E52" s="405">
        <v>0.43</v>
      </c>
      <c r="F52" s="47">
        <f t="shared" si="4"/>
        <v>171.14</v>
      </c>
      <c r="G52" s="21">
        <f t="shared" si="0"/>
        <v>40.873077982502508</v>
      </c>
      <c r="H52" s="149">
        <f>'Schedule 4 Adjustments'!N51</f>
        <v>24444</v>
      </c>
      <c r="I52" s="405">
        <v>0.43</v>
      </c>
      <c r="J52" s="47">
        <f t="shared" si="3"/>
        <v>10510.92</v>
      </c>
      <c r="K52" s="21">
        <f t="shared" si="2"/>
        <v>40.873077982502508</v>
      </c>
    </row>
    <row r="53" spans="1:11" s="22" customFormat="1" x14ac:dyDescent="0.35">
      <c r="A53" s="19">
        <v>40</v>
      </c>
      <c r="B53" s="19">
        <v>97535</v>
      </c>
      <c r="C53" s="20" t="s">
        <v>119</v>
      </c>
      <c r="D53" s="116">
        <f>'Schedule 4 Adjustments'!F52</f>
        <v>0</v>
      </c>
      <c r="E53" s="405">
        <v>0.98</v>
      </c>
      <c r="F53" s="47">
        <f t="shared" si="4"/>
        <v>0</v>
      </c>
      <c r="G53" s="21">
        <f t="shared" si="0"/>
        <v>93.152596332215012</v>
      </c>
      <c r="H53" s="149">
        <f>'Schedule 4 Adjustments'!N52</f>
        <v>0</v>
      </c>
      <c r="I53" s="405">
        <v>0.98</v>
      </c>
      <c r="J53" s="47">
        <f t="shared" si="3"/>
        <v>0</v>
      </c>
      <c r="K53" s="21">
        <f t="shared" si="2"/>
        <v>93.152596332215012</v>
      </c>
    </row>
    <row r="54" spans="1:11" s="22" customFormat="1" x14ac:dyDescent="0.35">
      <c r="A54" s="19">
        <v>41</v>
      </c>
      <c r="B54" s="19">
        <v>97537</v>
      </c>
      <c r="C54" s="20" t="s">
        <v>120</v>
      </c>
      <c r="D54" s="116">
        <f>'Schedule 4 Adjustments'!F53</f>
        <v>0</v>
      </c>
      <c r="E54" s="405">
        <v>0.95</v>
      </c>
      <c r="F54" s="47">
        <f t="shared" si="4"/>
        <v>0</v>
      </c>
      <c r="G54" s="21">
        <f t="shared" si="0"/>
        <v>90.300986240412513</v>
      </c>
      <c r="H54" s="149">
        <f>'Schedule 4 Adjustments'!N53</f>
        <v>0</v>
      </c>
      <c r="I54" s="405">
        <v>0.95</v>
      </c>
      <c r="J54" s="47">
        <f t="shared" si="3"/>
        <v>0</v>
      </c>
      <c r="K54" s="21">
        <f t="shared" si="2"/>
        <v>90.300986240412513</v>
      </c>
    </row>
    <row r="55" spans="1:11" s="22" customFormat="1" x14ac:dyDescent="0.35">
      <c r="A55" s="19">
        <v>42</v>
      </c>
      <c r="B55" s="19">
        <v>98966</v>
      </c>
      <c r="C55" s="20" t="s">
        <v>342</v>
      </c>
      <c r="D55" s="116">
        <f>'Schedule 4 Adjustments'!F54</f>
        <v>0</v>
      </c>
      <c r="E55" s="405">
        <v>0.39</v>
      </c>
      <c r="F55" s="47">
        <f t="shared" si="4"/>
        <v>0</v>
      </c>
      <c r="G55" s="21">
        <f t="shared" si="0"/>
        <v>37.070931193432507</v>
      </c>
      <c r="H55" s="149">
        <f>'Schedule 4 Adjustments'!N54</f>
        <v>407</v>
      </c>
      <c r="I55" s="405">
        <v>0.34</v>
      </c>
      <c r="J55" s="47">
        <f t="shared" si="3"/>
        <v>138.38000000000002</v>
      </c>
      <c r="K55" s="21">
        <f t="shared" si="2"/>
        <v>32.318247707095004</v>
      </c>
    </row>
    <row r="56" spans="1:11" s="22" customFormat="1" x14ac:dyDescent="0.35">
      <c r="A56" s="19">
        <v>43</v>
      </c>
      <c r="B56" s="19">
        <v>98967</v>
      </c>
      <c r="C56" s="20" t="s">
        <v>343</v>
      </c>
      <c r="D56" s="116">
        <f>'Schedule 4 Adjustments'!F55</f>
        <v>1</v>
      </c>
      <c r="E56" s="405">
        <v>0.72</v>
      </c>
      <c r="F56" s="47">
        <f t="shared" si="4"/>
        <v>0.72</v>
      </c>
      <c r="G56" s="21">
        <f t="shared" si="0"/>
        <v>68.438642203260002</v>
      </c>
      <c r="H56" s="149">
        <f>'Schedule 4 Adjustments'!N55</f>
        <v>214</v>
      </c>
      <c r="I56" s="405">
        <v>0.66</v>
      </c>
      <c r="J56" s="47">
        <f t="shared" si="3"/>
        <v>141.24</v>
      </c>
      <c r="K56" s="21">
        <f t="shared" si="2"/>
        <v>62.735422019655012</v>
      </c>
    </row>
    <row r="57" spans="1:11" s="22" customFormat="1" x14ac:dyDescent="0.35">
      <c r="A57" s="19">
        <v>44</v>
      </c>
      <c r="B57" s="19">
        <v>98968</v>
      </c>
      <c r="C57" s="20" t="s">
        <v>344</v>
      </c>
      <c r="D57" s="116">
        <f>'Schedule 4 Adjustments'!F56</f>
        <v>0</v>
      </c>
      <c r="E57" s="405">
        <v>0.99</v>
      </c>
      <c r="F57" s="47">
        <f t="shared" si="4"/>
        <v>0</v>
      </c>
      <c r="G57" s="21">
        <f t="shared" si="0"/>
        <v>94.103133029482521</v>
      </c>
      <c r="H57" s="149">
        <f>'Schedule 4 Adjustments'!N56</f>
        <v>116</v>
      </c>
      <c r="I57" s="405">
        <v>0.92</v>
      </c>
      <c r="J57" s="47">
        <f t="shared" si="3"/>
        <v>106.72</v>
      </c>
      <c r="K57" s="21">
        <f t="shared" si="2"/>
        <v>87.449376148610014</v>
      </c>
    </row>
    <row r="58" spans="1:11" s="22" customFormat="1" x14ac:dyDescent="0.35">
      <c r="A58" s="19">
        <v>45</v>
      </c>
      <c r="B58" s="19">
        <v>99202</v>
      </c>
      <c r="C58" s="20" t="s">
        <v>154</v>
      </c>
      <c r="D58" s="116">
        <f>'Schedule 4 Adjustments'!F57</f>
        <v>0</v>
      </c>
      <c r="E58" s="405">
        <v>2.17</v>
      </c>
      <c r="F58" s="47">
        <f t="shared" si="4"/>
        <v>0</v>
      </c>
      <c r="G58" s="21">
        <f t="shared" si="0"/>
        <v>206.26646330704753</v>
      </c>
      <c r="H58" s="149">
        <f>'Schedule 4 Adjustments'!N57</f>
        <v>11</v>
      </c>
      <c r="I58" s="405">
        <v>1.41</v>
      </c>
      <c r="J58" s="47">
        <f t="shared" si="3"/>
        <v>15.51</v>
      </c>
      <c r="K58" s="21">
        <f t="shared" si="2"/>
        <v>134.02567431471752</v>
      </c>
    </row>
    <row r="59" spans="1:11" s="22" customFormat="1" x14ac:dyDescent="0.35">
      <c r="A59" s="19">
        <v>46</v>
      </c>
      <c r="B59" s="19">
        <v>99203</v>
      </c>
      <c r="C59" s="20" t="s">
        <v>154</v>
      </c>
      <c r="D59" s="116">
        <f>'Schedule 4 Adjustments'!F58</f>
        <v>0</v>
      </c>
      <c r="E59" s="405">
        <v>3.35</v>
      </c>
      <c r="F59" s="47">
        <f t="shared" si="4"/>
        <v>0</v>
      </c>
      <c r="G59" s="21">
        <f t="shared" si="0"/>
        <v>318.42979358461258</v>
      </c>
      <c r="H59" s="149">
        <f>'Schedule 4 Adjustments'!N58</f>
        <v>33</v>
      </c>
      <c r="I59" s="405">
        <v>2.44</v>
      </c>
      <c r="J59" s="47">
        <f t="shared" si="3"/>
        <v>80.52</v>
      </c>
      <c r="K59" s="21">
        <f t="shared" si="2"/>
        <v>231.93095413327003</v>
      </c>
    </row>
    <row r="60" spans="1:11" s="22" customFormat="1" x14ac:dyDescent="0.35">
      <c r="A60" s="19">
        <v>47</v>
      </c>
      <c r="B60" s="19">
        <v>99204</v>
      </c>
      <c r="C60" s="20" t="s">
        <v>154</v>
      </c>
      <c r="D60" s="116">
        <f>'Schedule 4 Adjustments'!F59</f>
        <v>1</v>
      </c>
      <c r="E60" s="405">
        <v>5.0199999999999996</v>
      </c>
      <c r="F60" s="47">
        <f t="shared" si="4"/>
        <v>5.0199999999999996</v>
      </c>
      <c r="G60" s="21">
        <f t="shared" si="0"/>
        <v>477.16942202828506</v>
      </c>
      <c r="H60" s="149">
        <f>'Schedule 4 Adjustments'!N59</f>
        <v>439</v>
      </c>
      <c r="I60" s="405">
        <v>3.97</v>
      </c>
      <c r="J60" s="47">
        <f t="shared" si="3"/>
        <v>1742.8300000000002</v>
      </c>
      <c r="K60" s="21">
        <f t="shared" si="2"/>
        <v>377.36306881519761</v>
      </c>
    </row>
    <row r="61" spans="1:11" s="22" customFormat="1" x14ac:dyDescent="0.35">
      <c r="A61" s="19">
        <v>48</v>
      </c>
      <c r="B61" s="19">
        <v>99205</v>
      </c>
      <c r="C61" s="20" t="s">
        <v>154</v>
      </c>
      <c r="D61" s="116">
        <f>'Schedule 4 Adjustments'!F60</f>
        <v>1</v>
      </c>
      <c r="E61" s="405">
        <v>6.62</v>
      </c>
      <c r="F61" s="47">
        <f t="shared" si="4"/>
        <v>6.62</v>
      </c>
      <c r="G61" s="21">
        <f t="shared" si="0"/>
        <v>629.25529359108509</v>
      </c>
      <c r="H61" s="149">
        <f>'Schedule 4 Adjustments'!N60</f>
        <v>700</v>
      </c>
      <c r="I61" s="405">
        <v>5.4</v>
      </c>
      <c r="J61" s="47">
        <f t="shared" si="3"/>
        <v>3780.0000000000005</v>
      </c>
      <c r="K61" s="21">
        <f t="shared" si="2"/>
        <v>513.28981652445009</v>
      </c>
    </row>
    <row r="62" spans="1:11" s="22" customFormat="1" ht="43.5" x14ac:dyDescent="0.35">
      <c r="A62" s="19">
        <v>49</v>
      </c>
      <c r="B62" s="19">
        <v>99211</v>
      </c>
      <c r="C62" s="20" t="s">
        <v>345</v>
      </c>
      <c r="D62" s="116">
        <f>'Schedule 4 Adjustments'!F61</f>
        <v>0</v>
      </c>
      <c r="E62" s="405">
        <v>0.7</v>
      </c>
      <c r="F62" s="47">
        <f t="shared" si="4"/>
        <v>0</v>
      </c>
      <c r="G62" s="21">
        <f t="shared" si="0"/>
        <v>66.537568808725013</v>
      </c>
      <c r="H62" s="149">
        <f>'Schedule 4 Adjustments'!N61</f>
        <v>0</v>
      </c>
      <c r="I62" s="405">
        <v>0.26</v>
      </c>
      <c r="J62" s="47">
        <f t="shared" si="3"/>
        <v>0</v>
      </c>
      <c r="K62" s="21">
        <f t="shared" si="2"/>
        <v>24.713954128955006</v>
      </c>
    </row>
    <row r="63" spans="1:11" s="22" customFormat="1" x14ac:dyDescent="0.35">
      <c r="A63" s="19">
        <v>50</v>
      </c>
      <c r="B63" s="19">
        <v>99212</v>
      </c>
      <c r="C63" s="20" t="s">
        <v>155</v>
      </c>
      <c r="D63" s="116">
        <f>'Schedule 4 Adjustments'!F62</f>
        <v>0</v>
      </c>
      <c r="E63" s="405">
        <v>1.7</v>
      </c>
      <c r="F63" s="47">
        <f t="shared" si="4"/>
        <v>0</v>
      </c>
      <c r="G63" s="21">
        <f t="shared" si="0"/>
        <v>161.59123853547501</v>
      </c>
      <c r="H63" s="149">
        <f>'Schedule 4 Adjustments'!N62</f>
        <v>7</v>
      </c>
      <c r="I63" s="405">
        <v>1.05</v>
      </c>
      <c r="J63" s="47">
        <f t="shared" si="3"/>
        <v>7.3500000000000005</v>
      </c>
      <c r="K63" s="21">
        <f t="shared" si="2"/>
        <v>99.806353213087519</v>
      </c>
    </row>
    <row r="64" spans="1:11" s="22" customFormat="1" x14ac:dyDescent="0.35">
      <c r="A64" s="19">
        <v>51</v>
      </c>
      <c r="B64" s="19">
        <v>99213</v>
      </c>
      <c r="C64" s="20" t="s">
        <v>155</v>
      </c>
      <c r="D64" s="116">
        <f>'Schedule 4 Adjustments'!F63</f>
        <v>7</v>
      </c>
      <c r="E64" s="405">
        <v>2.73</v>
      </c>
      <c r="F64" s="47">
        <f t="shared" si="4"/>
        <v>19.11</v>
      </c>
      <c r="G64" s="21">
        <f t="shared" si="0"/>
        <v>259.49651835402756</v>
      </c>
      <c r="H64" s="149">
        <f>'Schedule 4 Adjustments'!N63</f>
        <v>1158</v>
      </c>
      <c r="I64" s="405">
        <v>1.96</v>
      </c>
      <c r="J64" s="47">
        <f t="shared" si="3"/>
        <v>2269.6799999999998</v>
      </c>
      <c r="K64" s="21">
        <f t="shared" si="2"/>
        <v>186.30519266443002</v>
      </c>
    </row>
    <row r="65" spans="1:11" s="22" customFormat="1" x14ac:dyDescent="0.35">
      <c r="A65" s="19">
        <v>52</v>
      </c>
      <c r="B65" s="19">
        <v>99214</v>
      </c>
      <c r="C65" s="20" t="s">
        <v>155</v>
      </c>
      <c r="D65" s="116">
        <f>'Schedule 4 Adjustments'!F64</f>
        <v>53</v>
      </c>
      <c r="E65" s="405">
        <v>3.85</v>
      </c>
      <c r="F65" s="47">
        <f t="shared" si="4"/>
        <v>204.05</v>
      </c>
      <c r="G65" s="21">
        <f t="shared" si="0"/>
        <v>365.95662844798755</v>
      </c>
      <c r="H65" s="149">
        <f>'Schedule 4 Adjustments'!N64</f>
        <v>16000</v>
      </c>
      <c r="I65" s="405">
        <v>2.89</v>
      </c>
      <c r="J65" s="47">
        <f t="shared" si="3"/>
        <v>46240</v>
      </c>
      <c r="K65" s="21">
        <f t="shared" si="2"/>
        <v>274.70510551030753</v>
      </c>
    </row>
    <row r="66" spans="1:11" s="22" customFormat="1" x14ac:dyDescent="0.35">
      <c r="A66" s="19">
        <v>53</v>
      </c>
      <c r="B66" s="19">
        <v>99215</v>
      </c>
      <c r="C66" s="20" t="s">
        <v>155</v>
      </c>
      <c r="D66" s="116">
        <f>'Schedule 4 Adjustments'!F65</f>
        <v>6</v>
      </c>
      <c r="E66" s="405">
        <v>5.42</v>
      </c>
      <c r="F66" s="47">
        <f t="shared" si="4"/>
        <v>32.519999999999996</v>
      </c>
      <c r="G66" s="21">
        <f t="shared" si="0"/>
        <v>515.19088991898514</v>
      </c>
      <c r="H66" s="149">
        <f>'Schedule 4 Adjustments'!N65</f>
        <v>2384</v>
      </c>
      <c r="I66" s="405">
        <v>4.29</v>
      </c>
      <c r="J66" s="47">
        <f t="shared" si="3"/>
        <v>10227.36</v>
      </c>
      <c r="K66" s="21">
        <f t="shared" si="2"/>
        <v>407.78024312775756</v>
      </c>
    </row>
    <row r="67" spans="1:11" s="22" customFormat="1" x14ac:dyDescent="0.35">
      <c r="A67" s="19">
        <v>54</v>
      </c>
      <c r="B67" s="19">
        <v>99221</v>
      </c>
      <c r="C67" s="20" t="s">
        <v>121</v>
      </c>
      <c r="D67" s="116">
        <f>'Schedule 4 Adjustments'!F66</f>
        <v>0</v>
      </c>
      <c r="E67" s="405">
        <v>2.46</v>
      </c>
      <c r="F67" s="47">
        <f t="shared" si="4"/>
        <v>0</v>
      </c>
      <c r="G67" s="21">
        <f t="shared" si="0"/>
        <v>233.83202752780502</v>
      </c>
      <c r="H67" s="149">
        <f>'Schedule 4 Adjustments'!N66</f>
        <v>0</v>
      </c>
      <c r="I67" s="405">
        <v>2.46</v>
      </c>
      <c r="J67" s="47">
        <f t="shared" si="3"/>
        <v>0</v>
      </c>
      <c r="K67" s="21">
        <f t="shared" si="2"/>
        <v>233.83202752780502</v>
      </c>
    </row>
    <row r="68" spans="1:11" s="22" customFormat="1" x14ac:dyDescent="0.35">
      <c r="A68" s="19">
        <v>55</v>
      </c>
      <c r="B68" s="19">
        <v>99222</v>
      </c>
      <c r="C68" s="20" t="s">
        <v>122</v>
      </c>
      <c r="D68" s="116">
        <f>'Schedule 4 Adjustments'!F67</f>
        <v>0</v>
      </c>
      <c r="E68" s="405">
        <v>3.88</v>
      </c>
      <c r="F68" s="47">
        <f t="shared" si="4"/>
        <v>0</v>
      </c>
      <c r="G68" s="21">
        <f t="shared" si="0"/>
        <v>368.80823853979007</v>
      </c>
      <c r="H68" s="149">
        <f>'Schedule 4 Adjustments'!N67</f>
        <v>0</v>
      </c>
      <c r="I68" s="405">
        <v>3.88</v>
      </c>
      <c r="J68" s="47">
        <f t="shared" si="3"/>
        <v>0</v>
      </c>
      <c r="K68" s="21">
        <f t="shared" si="2"/>
        <v>368.80823853979007</v>
      </c>
    </row>
    <row r="69" spans="1:11" s="22" customFormat="1" x14ac:dyDescent="0.35">
      <c r="A69" s="19">
        <v>56</v>
      </c>
      <c r="B69" s="19">
        <v>99223</v>
      </c>
      <c r="C69" s="20" t="s">
        <v>123</v>
      </c>
      <c r="D69" s="116">
        <f>'Schedule 4 Adjustments'!F68</f>
        <v>0</v>
      </c>
      <c r="E69" s="405">
        <v>5.14</v>
      </c>
      <c r="F69" s="47">
        <f t="shared" si="4"/>
        <v>0</v>
      </c>
      <c r="G69" s="21">
        <f t="shared" si="0"/>
        <v>488.57586239549505</v>
      </c>
      <c r="H69" s="149">
        <f>'Schedule 4 Adjustments'!N68</f>
        <v>0</v>
      </c>
      <c r="I69" s="405">
        <v>5.14</v>
      </c>
      <c r="J69" s="47">
        <f t="shared" si="3"/>
        <v>0</v>
      </c>
      <c r="K69" s="21">
        <f t="shared" si="2"/>
        <v>488.57586239549505</v>
      </c>
    </row>
    <row r="70" spans="1:11" s="22" customFormat="1" x14ac:dyDescent="0.35">
      <c r="A70" s="19">
        <v>57</v>
      </c>
      <c r="B70" s="19">
        <v>99231</v>
      </c>
      <c r="C70" s="20" t="s">
        <v>124</v>
      </c>
      <c r="D70" s="116">
        <f>'Schedule 4 Adjustments'!F69</f>
        <v>0</v>
      </c>
      <c r="E70" s="405">
        <v>1.47</v>
      </c>
      <c r="F70" s="47">
        <f t="shared" si="4"/>
        <v>0</v>
      </c>
      <c r="G70" s="21">
        <f t="shared" si="0"/>
        <v>139.72889449832252</v>
      </c>
      <c r="H70" s="149">
        <f>'Schedule 4 Adjustments'!N69</f>
        <v>0</v>
      </c>
      <c r="I70" s="405">
        <v>1.47</v>
      </c>
      <c r="J70" s="47">
        <f t="shared" si="3"/>
        <v>0</v>
      </c>
      <c r="K70" s="21">
        <f t="shared" si="2"/>
        <v>139.72889449832252</v>
      </c>
    </row>
    <row r="71" spans="1:11" s="22" customFormat="1" x14ac:dyDescent="0.35">
      <c r="A71" s="19">
        <v>58</v>
      </c>
      <c r="B71" s="19">
        <v>99232</v>
      </c>
      <c r="C71" s="20" t="s">
        <v>125</v>
      </c>
      <c r="D71" s="116">
        <f>'Schedule 4 Adjustments'!F70</f>
        <v>0</v>
      </c>
      <c r="E71" s="405">
        <v>2.34</v>
      </c>
      <c r="F71" s="47">
        <f t="shared" si="4"/>
        <v>0</v>
      </c>
      <c r="G71" s="21">
        <f t="shared" si="0"/>
        <v>222.42558716059503</v>
      </c>
      <c r="H71" s="149">
        <f>'Schedule 4 Adjustments'!N70</f>
        <v>0</v>
      </c>
      <c r="I71" s="405">
        <v>2.34</v>
      </c>
      <c r="J71" s="47">
        <f t="shared" si="3"/>
        <v>0</v>
      </c>
      <c r="K71" s="21">
        <f t="shared" si="2"/>
        <v>222.42558716059503</v>
      </c>
    </row>
    <row r="72" spans="1:11" s="22" customFormat="1" x14ac:dyDescent="0.35">
      <c r="A72" s="19">
        <v>59</v>
      </c>
      <c r="B72" s="19">
        <v>99233</v>
      </c>
      <c r="C72" s="20" t="s">
        <v>126</v>
      </c>
      <c r="D72" s="116">
        <f>'Schedule 4 Adjustments'!F71</f>
        <v>0</v>
      </c>
      <c r="E72" s="405">
        <v>3.52</v>
      </c>
      <c r="F72" s="47">
        <f t="shared" si="4"/>
        <v>0</v>
      </c>
      <c r="G72" s="21">
        <f t="shared" si="0"/>
        <v>334.58891743816008</v>
      </c>
      <c r="H72" s="149">
        <f>'Schedule 4 Adjustments'!N71</f>
        <v>0</v>
      </c>
      <c r="I72" s="405">
        <v>3.52</v>
      </c>
      <c r="J72" s="47">
        <f t="shared" si="3"/>
        <v>0</v>
      </c>
      <c r="K72" s="21">
        <f t="shared" si="2"/>
        <v>334.58891743816008</v>
      </c>
    </row>
    <row r="73" spans="1:11" s="22" customFormat="1" ht="29" x14ac:dyDescent="0.35">
      <c r="A73" s="19">
        <v>60</v>
      </c>
      <c r="B73" s="19">
        <v>99234</v>
      </c>
      <c r="C73" s="20" t="s">
        <v>360</v>
      </c>
      <c r="D73" s="116">
        <f>'Schedule 4 Adjustments'!F72</f>
        <v>0</v>
      </c>
      <c r="E73" s="405">
        <v>2.9</v>
      </c>
      <c r="F73" s="47">
        <f t="shared" si="4"/>
        <v>0</v>
      </c>
      <c r="G73" s="21">
        <f t="shared" si="0"/>
        <v>275.65564220757506</v>
      </c>
      <c r="H73" s="149">
        <f>'Schedule 4 Adjustments'!N72</f>
        <v>0</v>
      </c>
      <c r="I73" s="405">
        <v>2.9</v>
      </c>
      <c r="J73" s="47">
        <f t="shared" si="3"/>
        <v>0</v>
      </c>
      <c r="K73" s="21">
        <f t="shared" si="2"/>
        <v>275.65564220757506</v>
      </c>
    </row>
    <row r="74" spans="1:11" s="22" customFormat="1" ht="29" x14ac:dyDescent="0.35">
      <c r="A74" s="19">
        <v>61</v>
      </c>
      <c r="B74" s="19">
        <v>99235</v>
      </c>
      <c r="C74" s="20" t="s">
        <v>361</v>
      </c>
      <c r="D74" s="116">
        <f>'Schedule 4 Adjustments'!F73</f>
        <v>0</v>
      </c>
      <c r="E74" s="405">
        <v>4.7300000000000004</v>
      </c>
      <c r="F74" s="47">
        <f t="shared" si="4"/>
        <v>0</v>
      </c>
      <c r="G74" s="21">
        <f t="shared" si="0"/>
        <v>449.60385780752762</v>
      </c>
      <c r="H74" s="149">
        <f>'Schedule 4 Adjustments'!N73</f>
        <v>0</v>
      </c>
      <c r="I74" s="405">
        <v>4.7300000000000004</v>
      </c>
      <c r="J74" s="47">
        <f t="shared" si="3"/>
        <v>0</v>
      </c>
      <c r="K74" s="21">
        <f t="shared" si="2"/>
        <v>449.60385780752762</v>
      </c>
    </row>
    <row r="75" spans="1:11" s="22" customFormat="1" ht="29" x14ac:dyDescent="0.35">
      <c r="A75" s="19">
        <v>62</v>
      </c>
      <c r="B75" s="19">
        <v>99236</v>
      </c>
      <c r="C75" s="20" t="s">
        <v>362</v>
      </c>
      <c r="D75" s="116">
        <f>'Schedule 4 Adjustments'!F74</f>
        <v>0</v>
      </c>
      <c r="E75" s="405">
        <v>6.18</v>
      </c>
      <c r="F75" s="47">
        <f t="shared" si="4"/>
        <v>0</v>
      </c>
      <c r="G75" s="21">
        <f t="shared" si="0"/>
        <v>587.43167891131509</v>
      </c>
      <c r="H75" s="149">
        <f>'Schedule 4 Adjustments'!N74</f>
        <v>0</v>
      </c>
      <c r="I75" s="405">
        <v>6.18</v>
      </c>
      <c r="J75" s="47">
        <f t="shared" si="3"/>
        <v>0</v>
      </c>
      <c r="K75" s="21">
        <f t="shared" si="2"/>
        <v>587.43167891131509</v>
      </c>
    </row>
    <row r="76" spans="1:11" s="22" customFormat="1" x14ac:dyDescent="0.35">
      <c r="A76" s="19">
        <v>63</v>
      </c>
      <c r="B76" s="19">
        <v>99238</v>
      </c>
      <c r="C76" s="20" t="s">
        <v>346</v>
      </c>
      <c r="D76" s="116">
        <f>'Schedule 4 Adjustments'!F75</f>
        <v>0</v>
      </c>
      <c r="E76" s="405">
        <v>2.41</v>
      </c>
      <c r="F76" s="47">
        <f t="shared" si="4"/>
        <v>0</v>
      </c>
      <c r="G76" s="21">
        <f t="shared" si="0"/>
        <v>229.07934404146755</v>
      </c>
      <c r="H76" s="149">
        <f>'Schedule 4 Adjustments'!N75</f>
        <v>0</v>
      </c>
      <c r="I76" s="405">
        <v>2.41</v>
      </c>
      <c r="J76" s="47">
        <f t="shared" si="3"/>
        <v>0</v>
      </c>
      <c r="K76" s="21">
        <f t="shared" si="2"/>
        <v>229.07934404146755</v>
      </c>
    </row>
    <row r="77" spans="1:11" s="22" customFormat="1" x14ac:dyDescent="0.35">
      <c r="A77" s="19">
        <v>64</v>
      </c>
      <c r="B77" s="19">
        <v>99239</v>
      </c>
      <c r="C77" s="20" t="s">
        <v>127</v>
      </c>
      <c r="D77" s="116">
        <f>'Schedule 4 Adjustments'!F76</f>
        <v>0</v>
      </c>
      <c r="E77" s="405">
        <v>3.4</v>
      </c>
      <c r="F77" s="47">
        <f t="shared" si="4"/>
        <v>0</v>
      </c>
      <c r="G77" s="21">
        <f t="shared" si="0"/>
        <v>323.18247707095003</v>
      </c>
      <c r="H77" s="149">
        <f>'Schedule 4 Adjustments'!N76</f>
        <v>0</v>
      </c>
      <c r="I77" s="405">
        <v>3.4</v>
      </c>
      <c r="J77" s="47">
        <f t="shared" si="3"/>
        <v>0</v>
      </c>
      <c r="K77" s="21">
        <f t="shared" si="2"/>
        <v>323.18247707095003</v>
      </c>
    </row>
    <row r="78" spans="1:11" s="22" customFormat="1" x14ac:dyDescent="0.35">
      <c r="A78" s="19">
        <v>65</v>
      </c>
      <c r="B78" s="19">
        <v>99242</v>
      </c>
      <c r="C78" s="20" t="s">
        <v>347</v>
      </c>
      <c r="D78" s="116">
        <f>'Schedule 4 Adjustments'!F77</f>
        <v>0</v>
      </c>
      <c r="E78" s="405">
        <v>2.25</v>
      </c>
      <c r="F78" s="147">
        <f t="shared" si="4"/>
        <v>0</v>
      </c>
      <c r="G78" s="148">
        <f t="shared" si="0"/>
        <v>213.87075688518755</v>
      </c>
      <c r="H78" s="149">
        <f>'Schedule 4 Adjustments'!N77</f>
        <v>0</v>
      </c>
      <c r="I78" s="405">
        <v>1.66</v>
      </c>
      <c r="J78" s="47">
        <f t="shared" si="3"/>
        <v>0</v>
      </c>
      <c r="K78" s="21">
        <f t="shared" si="2"/>
        <v>157.78909174640501</v>
      </c>
    </row>
    <row r="79" spans="1:11" s="22" customFormat="1" x14ac:dyDescent="0.35">
      <c r="A79" s="19">
        <v>66</v>
      </c>
      <c r="B79" s="19">
        <v>99243</v>
      </c>
      <c r="C79" s="20" t="s">
        <v>348</v>
      </c>
      <c r="D79" s="116">
        <f>'Schedule 4 Adjustments'!F78</f>
        <v>0</v>
      </c>
      <c r="E79" s="405">
        <v>3.37</v>
      </c>
      <c r="F79" s="47">
        <f t="shared" si="4"/>
        <v>0</v>
      </c>
      <c r="G79" s="21">
        <f t="shared" si="0"/>
        <v>320.33086697914757</v>
      </c>
      <c r="H79" s="149">
        <f>'Schedule 4 Adjustments'!N78</f>
        <v>0</v>
      </c>
      <c r="I79" s="405">
        <v>2.62</v>
      </c>
      <c r="J79" s="47">
        <f t="shared" si="3"/>
        <v>0</v>
      </c>
      <c r="K79" s="21">
        <f t="shared" si="2"/>
        <v>249.04061468408506</v>
      </c>
    </row>
    <row r="80" spans="1:11" s="22" customFormat="1" x14ac:dyDescent="0.35">
      <c r="A80" s="19">
        <v>67</v>
      </c>
      <c r="B80" s="19">
        <v>99244</v>
      </c>
      <c r="C80" s="20" t="s">
        <v>349</v>
      </c>
      <c r="D80" s="116">
        <f>'Schedule 4 Adjustments'!F79</f>
        <v>0</v>
      </c>
      <c r="E80" s="405">
        <v>4.8099999999999996</v>
      </c>
      <c r="F80" s="47">
        <f t="shared" si="4"/>
        <v>0</v>
      </c>
      <c r="G80" s="21">
        <f t="shared" si="0"/>
        <v>457.20815138566752</v>
      </c>
      <c r="H80" s="149">
        <f>'Schedule 4 Adjustments'!N79</f>
        <v>0</v>
      </c>
      <c r="I80" s="405">
        <v>3.99</v>
      </c>
      <c r="J80" s="47">
        <f t="shared" si="3"/>
        <v>0</v>
      </c>
      <c r="K80" s="21">
        <f t="shared" si="2"/>
        <v>379.2641422097326</v>
      </c>
    </row>
    <row r="81" spans="1:11" s="22" customFormat="1" x14ac:dyDescent="0.35">
      <c r="A81" s="19">
        <v>68</v>
      </c>
      <c r="B81" s="19">
        <v>99245</v>
      </c>
      <c r="C81" s="20" t="s">
        <v>350</v>
      </c>
      <c r="D81" s="116">
        <f>'Schedule 4 Adjustments'!F80</f>
        <v>0</v>
      </c>
      <c r="E81" s="405">
        <v>6.28</v>
      </c>
      <c r="F81" s="47">
        <f t="shared" si="4"/>
        <v>0</v>
      </c>
      <c r="G81" s="21">
        <f t="shared" si="0"/>
        <v>596.93704588399009</v>
      </c>
      <c r="H81" s="149">
        <f>'Schedule 4 Adjustments'!N80</f>
        <v>0</v>
      </c>
      <c r="I81" s="405">
        <v>5.36</v>
      </c>
      <c r="J81" s="47">
        <f t="shared" si="3"/>
        <v>0</v>
      </c>
      <c r="K81" s="21">
        <f t="shared" si="2"/>
        <v>509.48766973538011</v>
      </c>
    </row>
    <row r="82" spans="1:11" s="22" customFormat="1" x14ac:dyDescent="0.35">
      <c r="A82" s="19">
        <v>69</v>
      </c>
      <c r="B82" s="19">
        <v>99252</v>
      </c>
      <c r="C82" s="20" t="s">
        <v>351</v>
      </c>
      <c r="D82" s="116">
        <f>'Schedule 4 Adjustments'!F81</f>
        <v>0</v>
      </c>
      <c r="E82" s="405">
        <v>2.11</v>
      </c>
      <c r="F82" s="47">
        <f t="shared" si="4"/>
        <v>0</v>
      </c>
      <c r="G82" s="21">
        <f t="shared" si="0"/>
        <v>200.56324312344253</v>
      </c>
      <c r="H82" s="149">
        <f>'Schedule 4 Adjustments'!N81</f>
        <v>0</v>
      </c>
      <c r="I82" s="405">
        <v>2.11</v>
      </c>
      <c r="J82" s="47">
        <f t="shared" si="3"/>
        <v>0</v>
      </c>
      <c r="K82" s="21">
        <f t="shared" si="2"/>
        <v>200.56324312344253</v>
      </c>
    </row>
    <row r="83" spans="1:11" s="22" customFormat="1" x14ac:dyDescent="0.35">
      <c r="A83" s="19">
        <v>70</v>
      </c>
      <c r="B83" s="19">
        <v>99253</v>
      </c>
      <c r="C83" s="20" t="s">
        <v>352</v>
      </c>
      <c r="D83" s="116">
        <f>'Schedule 4 Adjustments'!F82</f>
        <v>0</v>
      </c>
      <c r="E83" s="405">
        <v>2.96</v>
      </c>
      <c r="F83" s="47">
        <f t="shared" si="4"/>
        <v>0</v>
      </c>
      <c r="G83" s="21">
        <f t="shared" ref="G83:G146" si="5">E83*$F$13</f>
        <v>281.35886239118003</v>
      </c>
      <c r="H83" s="149">
        <f>'Schedule 4 Adjustments'!N82</f>
        <v>0</v>
      </c>
      <c r="I83" s="405">
        <v>2.96</v>
      </c>
      <c r="J83" s="47">
        <f t="shared" si="3"/>
        <v>0</v>
      </c>
      <c r="K83" s="21">
        <f t="shared" ref="K83:K146" si="6">I83*$F$13</f>
        <v>281.35886239118003</v>
      </c>
    </row>
    <row r="84" spans="1:11" s="22" customFormat="1" x14ac:dyDescent="0.35">
      <c r="A84" s="19">
        <v>71</v>
      </c>
      <c r="B84" s="19">
        <v>99254</v>
      </c>
      <c r="C84" s="20" t="s">
        <v>353</v>
      </c>
      <c r="D84" s="116">
        <f>'Schedule 4 Adjustments'!F83</f>
        <v>0</v>
      </c>
      <c r="E84" s="405">
        <v>4.1100000000000003</v>
      </c>
      <c r="F84" s="47">
        <f t="shared" si="4"/>
        <v>0</v>
      </c>
      <c r="G84" s="21">
        <f t="shared" si="5"/>
        <v>390.67058257694259</v>
      </c>
      <c r="H84" s="149">
        <f>'Schedule 4 Adjustments'!N83</f>
        <v>0</v>
      </c>
      <c r="I84" s="405">
        <v>4.1100000000000003</v>
      </c>
      <c r="J84" s="47">
        <f t="shared" ref="J84:J147" si="7">H84*I84</f>
        <v>0</v>
      </c>
      <c r="K84" s="21">
        <f t="shared" si="6"/>
        <v>390.67058257694259</v>
      </c>
    </row>
    <row r="85" spans="1:11" s="22" customFormat="1" x14ac:dyDescent="0.35">
      <c r="A85" s="19">
        <v>72</v>
      </c>
      <c r="B85" s="19">
        <v>99255</v>
      </c>
      <c r="C85" s="20" t="s">
        <v>354</v>
      </c>
      <c r="D85" s="116">
        <f>'Schedule 4 Adjustments'!F84</f>
        <v>0</v>
      </c>
      <c r="E85" s="405">
        <v>5.53</v>
      </c>
      <c r="F85" s="47">
        <f t="shared" ref="F85:F148" si="8">D85*E85</f>
        <v>0</v>
      </c>
      <c r="G85" s="21">
        <f t="shared" si="5"/>
        <v>525.64679358892761</v>
      </c>
      <c r="H85" s="149">
        <f>'Schedule 4 Adjustments'!N84</f>
        <v>0</v>
      </c>
      <c r="I85" s="405">
        <v>5.53</v>
      </c>
      <c r="J85" s="47">
        <f t="shared" si="7"/>
        <v>0</v>
      </c>
      <c r="K85" s="21">
        <f t="shared" si="6"/>
        <v>525.64679358892761</v>
      </c>
    </row>
    <row r="86" spans="1:11" s="22" customFormat="1" x14ac:dyDescent="0.35">
      <c r="A86" s="19">
        <v>73</v>
      </c>
      <c r="B86" s="19">
        <v>99281</v>
      </c>
      <c r="C86" s="20" t="s">
        <v>355</v>
      </c>
      <c r="D86" s="116">
        <f>'Schedule 4 Adjustments'!F85</f>
        <v>0</v>
      </c>
      <c r="E86" s="405">
        <v>0.34</v>
      </c>
      <c r="F86" s="47">
        <f t="shared" si="8"/>
        <v>0</v>
      </c>
      <c r="G86" s="21">
        <f t="shared" si="5"/>
        <v>32.318247707095004</v>
      </c>
      <c r="H86" s="149">
        <f>'Schedule 4 Adjustments'!N85</f>
        <v>0</v>
      </c>
      <c r="I86" s="405">
        <v>0.34</v>
      </c>
      <c r="J86" s="47">
        <f t="shared" si="7"/>
        <v>0</v>
      </c>
      <c r="K86" s="21">
        <f t="shared" si="6"/>
        <v>32.318247707095004</v>
      </c>
    </row>
    <row r="87" spans="1:11" s="22" customFormat="1" x14ac:dyDescent="0.35">
      <c r="A87" s="19">
        <v>74</v>
      </c>
      <c r="B87" s="19">
        <v>99282</v>
      </c>
      <c r="C87" s="20" t="s">
        <v>356</v>
      </c>
      <c r="D87" s="116">
        <f>'Schedule 4 Adjustments'!F86</f>
        <v>0</v>
      </c>
      <c r="E87" s="405">
        <v>1.24</v>
      </c>
      <c r="F87" s="47">
        <f t="shared" si="8"/>
        <v>0</v>
      </c>
      <c r="G87" s="21">
        <f t="shared" si="5"/>
        <v>117.86655046117002</v>
      </c>
      <c r="H87" s="149">
        <f>'Schedule 4 Adjustments'!N86</f>
        <v>0</v>
      </c>
      <c r="I87" s="405">
        <v>1.24</v>
      </c>
      <c r="J87" s="47">
        <f t="shared" si="7"/>
        <v>0</v>
      </c>
      <c r="K87" s="21">
        <f t="shared" si="6"/>
        <v>117.86655046117002</v>
      </c>
    </row>
    <row r="88" spans="1:11" s="22" customFormat="1" x14ac:dyDescent="0.35">
      <c r="A88" s="19">
        <v>75</v>
      </c>
      <c r="B88" s="19">
        <v>99283</v>
      </c>
      <c r="C88" s="20" t="s">
        <v>357</v>
      </c>
      <c r="D88" s="116">
        <f>'Schedule 4 Adjustments'!F87</f>
        <v>0</v>
      </c>
      <c r="E88" s="405">
        <v>2.11</v>
      </c>
      <c r="F88" s="47">
        <f t="shared" si="8"/>
        <v>0</v>
      </c>
      <c r="G88" s="21">
        <f t="shared" si="5"/>
        <v>200.56324312344253</v>
      </c>
      <c r="H88" s="149">
        <f>'Schedule 4 Adjustments'!N87</f>
        <v>0</v>
      </c>
      <c r="I88" s="405">
        <v>2.11</v>
      </c>
      <c r="J88" s="47">
        <f t="shared" si="7"/>
        <v>0</v>
      </c>
      <c r="K88" s="21">
        <f t="shared" si="6"/>
        <v>200.56324312344253</v>
      </c>
    </row>
    <row r="89" spans="1:11" s="22" customFormat="1" x14ac:dyDescent="0.35">
      <c r="A89" s="19">
        <v>76</v>
      </c>
      <c r="B89" s="19">
        <v>99284</v>
      </c>
      <c r="C89" s="20" t="s">
        <v>358</v>
      </c>
      <c r="D89" s="116">
        <f>'Schedule 4 Adjustments'!F88</f>
        <v>0</v>
      </c>
      <c r="E89" s="405">
        <v>3.59</v>
      </c>
      <c r="F89" s="47">
        <f t="shared" si="8"/>
        <v>0</v>
      </c>
      <c r="G89" s="21">
        <f t="shared" si="5"/>
        <v>341.24267431903252</v>
      </c>
      <c r="H89" s="149">
        <f>'Schedule 4 Adjustments'!N88</f>
        <v>0</v>
      </c>
      <c r="I89" s="405">
        <v>3.59</v>
      </c>
      <c r="J89" s="47">
        <f t="shared" si="7"/>
        <v>0</v>
      </c>
      <c r="K89" s="21">
        <f t="shared" si="6"/>
        <v>341.24267431903252</v>
      </c>
    </row>
    <row r="90" spans="1:11" s="22" customFormat="1" x14ac:dyDescent="0.35">
      <c r="A90" s="19">
        <v>77</v>
      </c>
      <c r="B90" s="19">
        <v>99285</v>
      </c>
      <c r="C90" s="20" t="s">
        <v>359</v>
      </c>
      <c r="D90" s="116">
        <f>'Schedule 4 Adjustments'!F89</f>
        <v>0</v>
      </c>
      <c r="E90" s="405">
        <v>5.2</v>
      </c>
      <c r="F90" s="47">
        <f t="shared" si="8"/>
        <v>0</v>
      </c>
      <c r="G90" s="21">
        <f t="shared" si="5"/>
        <v>494.27908257910008</v>
      </c>
      <c r="H90" s="149">
        <f>'Schedule 4 Adjustments'!N89</f>
        <v>0</v>
      </c>
      <c r="I90" s="405">
        <v>5.2</v>
      </c>
      <c r="J90" s="47">
        <f t="shared" si="7"/>
        <v>0</v>
      </c>
      <c r="K90" s="21">
        <f t="shared" si="6"/>
        <v>494.27908257910008</v>
      </c>
    </row>
    <row r="91" spans="1:11" s="22" customFormat="1" x14ac:dyDescent="0.35">
      <c r="A91" s="19">
        <v>78</v>
      </c>
      <c r="B91" s="19">
        <v>99304</v>
      </c>
      <c r="C91" s="20" t="s">
        <v>363</v>
      </c>
      <c r="D91" s="116">
        <f>'Schedule 4 Adjustments'!F90</f>
        <v>0</v>
      </c>
      <c r="E91" s="405">
        <v>2.39</v>
      </c>
      <c r="F91" s="47">
        <f t="shared" si="8"/>
        <v>0</v>
      </c>
      <c r="G91" s="21">
        <f t="shared" si="5"/>
        <v>227.17827064693256</v>
      </c>
      <c r="H91" s="149">
        <f>'Schedule 4 Adjustments'!N90</f>
        <v>0</v>
      </c>
      <c r="I91" s="405">
        <v>2.39</v>
      </c>
      <c r="J91" s="47">
        <f t="shared" si="7"/>
        <v>0</v>
      </c>
      <c r="K91" s="21">
        <f t="shared" si="6"/>
        <v>227.17827064693256</v>
      </c>
    </row>
    <row r="92" spans="1:11" s="22" customFormat="1" x14ac:dyDescent="0.35">
      <c r="A92" s="19">
        <v>79</v>
      </c>
      <c r="B92" s="19">
        <v>99305</v>
      </c>
      <c r="C92" s="20" t="s">
        <v>364</v>
      </c>
      <c r="D92" s="116">
        <f>'Schedule 4 Adjustments'!F91</f>
        <v>0</v>
      </c>
      <c r="E92" s="405">
        <v>3.97</v>
      </c>
      <c r="F92" s="47">
        <f t="shared" si="8"/>
        <v>0</v>
      </c>
      <c r="G92" s="21">
        <f t="shared" si="5"/>
        <v>377.36306881519761</v>
      </c>
      <c r="H92" s="149">
        <f>'Schedule 4 Adjustments'!N91</f>
        <v>0</v>
      </c>
      <c r="I92" s="405">
        <v>3.97</v>
      </c>
      <c r="J92" s="47">
        <f t="shared" si="7"/>
        <v>0</v>
      </c>
      <c r="K92" s="21">
        <f t="shared" si="6"/>
        <v>377.36306881519761</v>
      </c>
    </row>
    <row r="93" spans="1:11" s="22" customFormat="1" x14ac:dyDescent="0.35">
      <c r="A93" s="19">
        <v>80</v>
      </c>
      <c r="B93" s="19">
        <v>99306</v>
      </c>
      <c r="C93" s="20" t="s">
        <v>365</v>
      </c>
      <c r="D93" s="116">
        <f>'Schedule 4 Adjustments'!F92</f>
        <v>0</v>
      </c>
      <c r="E93" s="405">
        <v>5.42</v>
      </c>
      <c r="F93" s="47">
        <f t="shared" si="8"/>
        <v>0</v>
      </c>
      <c r="G93" s="21">
        <f t="shared" si="5"/>
        <v>515.19088991898514</v>
      </c>
      <c r="H93" s="149">
        <f>'Schedule 4 Adjustments'!N92</f>
        <v>0</v>
      </c>
      <c r="I93" s="405">
        <v>5.42</v>
      </c>
      <c r="J93" s="47">
        <f t="shared" si="7"/>
        <v>0</v>
      </c>
      <c r="K93" s="21">
        <f t="shared" si="6"/>
        <v>515.19088991898514</v>
      </c>
    </row>
    <row r="94" spans="1:11" s="22" customFormat="1" x14ac:dyDescent="0.35">
      <c r="A94" s="19">
        <v>81</v>
      </c>
      <c r="B94" s="19">
        <v>99307</v>
      </c>
      <c r="C94" s="20" t="s">
        <v>366</v>
      </c>
      <c r="D94" s="116">
        <f>'Schedule 4 Adjustments'!F93</f>
        <v>0</v>
      </c>
      <c r="E94" s="405">
        <v>1.2</v>
      </c>
      <c r="F94" s="47">
        <f t="shared" si="8"/>
        <v>0</v>
      </c>
      <c r="G94" s="21">
        <f t="shared" si="5"/>
        <v>114.06440367210001</v>
      </c>
      <c r="H94" s="149">
        <f>'Schedule 4 Adjustments'!N93</f>
        <v>0</v>
      </c>
      <c r="I94" s="405">
        <v>1.2</v>
      </c>
      <c r="J94" s="47">
        <f t="shared" si="7"/>
        <v>0</v>
      </c>
      <c r="K94" s="21">
        <f t="shared" si="6"/>
        <v>114.06440367210001</v>
      </c>
    </row>
    <row r="95" spans="1:11" s="22" customFormat="1" x14ac:dyDescent="0.35">
      <c r="A95" s="19">
        <v>82</v>
      </c>
      <c r="B95" s="19">
        <v>99308</v>
      </c>
      <c r="C95" s="20" t="s">
        <v>367</v>
      </c>
      <c r="D95" s="116">
        <f>'Schedule 4 Adjustments'!F94</f>
        <v>0</v>
      </c>
      <c r="E95" s="405">
        <v>2.2200000000000002</v>
      </c>
      <c r="F95" s="47">
        <f t="shared" si="8"/>
        <v>0</v>
      </c>
      <c r="G95" s="21">
        <f t="shared" si="5"/>
        <v>211.01914679338506</v>
      </c>
      <c r="H95" s="149">
        <f>'Schedule 4 Adjustments'!N94</f>
        <v>0</v>
      </c>
      <c r="I95" s="405">
        <v>2.2200000000000002</v>
      </c>
      <c r="J95" s="47">
        <f t="shared" si="7"/>
        <v>0</v>
      </c>
      <c r="K95" s="21">
        <f t="shared" si="6"/>
        <v>211.01914679338506</v>
      </c>
    </row>
    <row r="96" spans="1:11" s="22" customFormat="1" x14ac:dyDescent="0.35">
      <c r="A96" s="19">
        <v>83</v>
      </c>
      <c r="B96" s="19">
        <v>99309</v>
      </c>
      <c r="C96" s="20" t="s">
        <v>368</v>
      </c>
      <c r="D96" s="116">
        <f>'Schedule 4 Adjustments'!F95</f>
        <v>0</v>
      </c>
      <c r="E96" s="405">
        <v>3.21</v>
      </c>
      <c r="F96" s="47">
        <f t="shared" si="8"/>
        <v>0</v>
      </c>
      <c r="G96" s="21">
        <f t="shared" si="5"/>
        <v>305.12227982286754</v>
      </c>
      <c r="H96" s="149">
        <f>'Schedule 4 Adjustments'!N95</f>
        <v>0</v>
      </c>
      <c r="I96" s="405">
        <v>3.21</v>
      </c>
      <c r="J96" s="47">
        <f t="shared" si="7"/>
        <v>0</v>
      </c>
      <c r="K96" s="21">
        <f t="shared" si="6"/>
        <v>305.12227982286754</v>
      </c>
    </row>
    <row r="97" spans="1:11" s="22" customFormat="1" x14ac:dyDescent="0.35">
      <c r="A97" s="19">
        <v>84</v>
      </c>
      <c r="B97" s="19">
        <v>99310</v>
      </c>
      <c r="C97" s="20" t="s">
        <v>369</v>
      </c>
      <c r="D97" s="116">
        <f>'Schedule 4 Adjustments'!F96</f>
        <v>0</v>
      </c>
      <c r="E97" s="405">
        <v>4.58</v>
      </c>
      <c r="F97" s="47">
        <f t="shared" si="8"/>
        <v>0</v>
      </c>
      <c r="G97" s="21">
        <f t="shared" si="5"/>
        <v>435.34580734851505</v>
      </c>
      <c r="H97" s="149">
        <f>'Schedule 4 Adjustments'!N96</f>
        <v>0</v>
      </c>
      <c r="I97" s="405">
        <v>4.58</v>
      </c>
      <c r="J97" s="47">
        <f t="shared" si="7"/>
        <v>0</v>
      </c>
      <c r="K97" s="21">
        <f t="shared" si="6"/>
        <v>435.34580734851505</v>
      </c>
    </row>
    <row r="98" spans="1:11" s="22" customFormat="1" x14ac:dyDescent="0.35">
      <c r="A98" s="19">
        <v>85</v>
      </c>
      <c r="B98" s="19">
        <v>99315</v>
      </c>
      <c r="C98" s="20" t="s">
        <v>370</v>
      </c>
      <c r="D98" s="116">
        <f>'Schedule 4 Adjustments'!F97</f>
        <v>0</v>
      </c>
      <c r="E98" s="405">
        <v>2.4300000000000002</v>
      </c>
      <c r="F98" s="47">
        <f t="shared" si="8"/>
        <v>0</v>
      </c>
      <c r="G98" s="21">
        <f t="shared" si="5"/>
        <v>230.98041743600254</v>
      </c>
      <c r="H98" s="149">
        <f>'Schedule 4 Adjustments'!N97</f>
        <v>0</v>
      </c>
      <c r="I98" s="405">
        <v>2.4300000000000002</v>
      </c>
      <c r="J98" s="47">
        <f t="shared" si="7"/>
        <v>0</v>
      </c>
      <c r="K98" s="21">
        <f t="shared" si="6"/>
        <v>230.98041743600254</v>
      </c>
    </row>
    <row r="99" spans="1:11" s="22" customFormat="1" x14ac:dyDescent="0.35">
      <c r="A99" s="19">
        <v>86</v>
      </c>
      <c r="B99" s="19">
        <v>99316</v>
      </c>
      <c r="C99" s="20" t="s">
        <v>128</v>
      </c>
      <c r="D99" s="116">
        <f>'Schedule 4 Adjustments'!F98</f>
        <v>0</v>
      </c>
      <c r="E99" s="405">
        <v>3.9</v>
      </c>
      <c r="F99" s="47">
        <f t="shared" si="8"/>
        <v>0</v>
      </c>
      <c r="G99" s="21">
        <f t="shared" si="5"/>
        <v>370.70931193432506</v>
      </c>
      <c r="H99" s="149">
        <f>'Schedule 4 Adjustments'!N98</f>
        <v>0</v>
      </c>
      <c r="I99" s="405">
        <v>3.9</v>
      </c>
      <c r="J99" s="47">
        <f t="shared" si="7"/>
        <v>0</v>
      </c>
      <c r="K99" s="21">
        <f t="shared" si="6"/>
        <v>370.70931193432506</v>
      </c>
    </row>
    <row r="100" spans="1:11" s="22" customFormat="1" x14ac:dyDescent="0.35">
      <c r="A100" s="19">
        <v>87</v>
      </c>
      <c r="B100" s="19">
        <v>99341</v>
      </c>
      <c r="C100" s="20" t="s">
        <v>371</v>
      </c>
      <c r="D100" s="116">
        <f>'Schedule 4 Adjustments'!F99</f>
        <v>0</v>
      </c>
      <c r="E100" s="405">
        <v>1.47</v>
      </c>
      <c r="F100" s="47">
        <f t="shared" si="8"/>
        <v>0</v>
      </c>
      <c r="G100" s="21">
        <f t="shared" si="5"/>
        <v>139.72889449832252</v>
      </c>
      <c r="H100" s="149">
        <f>'Schedule 4 Adjustments'!N99</f>
        <v>0</v>
      </c>
      <c r="I100" s="405">
        <v>1.47</v>
      </c>
      <c r="J100" s="47">
        <f t="shared" si="7"/>
        <v>0</v>
      </c>
      <c r="K100" s="21">
        <f t="shared" si="6"/>
        <v>139.72889449832252</v>
      </c>
    </row>
    <row r="101" spans="1:11" s="22" customFormat="1" x14ac:dyDescent="0.35">
      <c r="A101" s="19">
        <v>88</v>
      </c>
      <c r="B101" s="19">
        <v>99342</v>
      </c>
      <c r="C101" s="20" t="s">
        <v>372</v>
      </c>
      <c r="D101" s="116">
        <f>'Schedule 4 Adjustments'!F100</f>
        <v>0</v>
      </c>
      <c r="E101" s="405">
        <v>2.33</v>
      </c>
      <c r="F101" s="47">
        <f t="shared" si="8"/>
        <v>0</v>
      </c>
      <c r="G101" s="21">
        <f t="shared" si="5"/>
        <v>221.47505046332753</v>
      </c>
      <c r="H101" s="149">
        <f>'Schedule 4 Adjustments'!N100</f>
        <v>0</v>
      </c>
      <c r="I101" s="405">
        <v>2.33</v>
      </c>
      <c r="J101" s="47">
        <f t="shared" si="7"/>
        <v>0</v>
      </c>
      <c r="K101" s="21">
        <f t="shared" si="6"/>
        <v>221.47505046332753</v>
      </c>
    </row>
    <row r="102" spans="1:11" s="22" customFormat="1" x14ac:dyDescent="0.35">
      <c r="A102" s="19">
        <v>89</v>
      </c>
      <c r="B102" s="19">
        <v>99344</v>
      </c>
      <c r="C102" s="20" t="s">
        <v>373</v>
      </c>
      <c r="D102" s="116">
        <f>'Schedule 4 Adjustments'!F101</f>
        <v>0</v>
      </c>
      <c r="E102" s="405">
        <v>4.2300000000000004</v>
      </c>
      <c r="F102" s="47">
        <f t="shared" si="8"/>
        <v>0</v>
      </c>
      <c r="G102" s="21">
        <f t="shared" si="5"/>
        <v>402.07702294415259</v>
      </c>
      <c r="H102" s="149">
        <f>'Schedule 4 Adjustments'!N101</f>
        <v>0</v>
      </c>
      <c r="I102" s="405">
        <v>4.2300000000000004</v>
      </c>
      <c r="J102" s="47">
        <f t="shared" si="7"/>
        <v>0</v>
      </c>
      <c r="K102" s="21">
        <f t="shared" si="6"/>
        <v>402.07702294415259</v>
      </c>
    </row>
    <row r="103" spans="1:11" s="22" customFormat="1" x14ac:dyDescent="0.35">
      <c r="A103" s="19">
        <v>90</v>
      </c>
      <c r="B103" s="19">
        <v>99345</v>
      </c>
      <c r="C103" s="20" t="s">
        <v>374</v>
      </c>
      <c r="D103" s="116">
        <f>'Schedule 4 Adjustments'!F102</f>
        <v>0</v>
      </c>
      <c r="E103" s="405">
        <v>6.01</v>
      </c>
      <c r="F103" s="47">
        <f t="shared" si="8"/>
        <v>0</v>
      </c>
      <c r="G103" s="21">
        <f t="shared" si="5"/>
        <v>571.27255505776759</v>
      </c>
      <c r="H103" s="149">
        <f>'Schedule 4 Adjustments'!N102</f>
        <v>0</v>
      </c>
      <c r="I103" s="405">
        <v>6.01</v>
      </c>
      <c r="J103" s="47">
        <f t="shared" si="7"/>
        <v>0</v>
      </c>
      <c r="K103" s="21">
        <f t="shared" si="6"/>
        <v>571.27255505776759</v>
      </c>
    </row>
    <row r="104" spans="1:11" s="22" customFormat="1" x14ac:dyDescent="0.35">
      <c r="A104" s="19">
        <v>91</v>
      </c>
      <c r="B104" s="19">
        <v>99347</v>
      </c>
      <c r="C104" s="20" t="s">
        <v>375</v>
      </c>
      <c r="D104" s="116">
        <f>'Schedule 4 Adjustments'!F103</f>
        <v>0</v>
      </c>
      <c r="E104" s="405">
        <v>1.35</v>
      </c>
      <c r="F104" s="47">
        <f t="shared" si="8"/>
        <v>0</v>
      </c>
      <c r="G104" s="21">
        <f t="shared" si="5"/>
        <v>128.32245413111252</v>
      </c>
      <c r="H104" s="149">
        <f>'Schedule 4 Adjustments'!N103</f>
        <v>0</v>
      </c>
      <c r="I104" s="405">
        <v>1.35</v>
      </c>
      <c r="J104" s="47">
        <f t="shared" si="7"/>
        <v>0</v>
      </c>
      <c r="K104" s="21">
        <f t="shared" si="6"/>
        <v>128.32245413111252</v>
      </c>
    </row>
    <row r="105" spans="1:11" s="22" customFormat="1" x14ac:dyDescent="0.35">
      <c r="A105" s="19">
        <v>92</v>
      </c>
      <c r="B105" s="19">
        <v>99348</v>
      </c>
      <c r="C105" s="20" t="s">
        <v>376</v>
      </c>
      <c r="D105" s="116">
        <f>'Schedule 4 Adjustments'!F104</f>
        <v>0</v>
      </c>
      <c r="E105" s="405">
        <v>2.2799999999999998</v>
      </c>
      <c r="F105" s="47">
        <f t="shared" si="8"/>
        <v>0</v>
      </c>
      <c r="G105" s="21">
        <f t="shared" si="5"/>
        <v>216.72236697699003</v>
      </c>
      <c r="H105" s="149">
        <f>'Schedule 4 Adjustments'!N104</f>
        <v>0</v>
      </c>
      <c r="I105" s="405">
        <v>2.2799999999999998</v>
      </c>
      <c r="J105" s="47">
        <f t="shared" si="7"/>
        <v>0</v>
      </c>
      <c r="K105" s="21">
        <f t="shared" si="6"/>
        <v>216.72236697699003</v>
      </c>
    </row>
    <row r="106" spans="1:11" s="22" customFormat="1" x14ac:dyDescent="0.35">
      <c r="A106" s="19">
        <v>93</v>
      </c>
      <c r="B106" s="19">
        <v>99349</v>
      </c>
      <c r="C106" s="20" t="s">
        <v>377</v>
      </c>
      <c r="D106" s="116">
        <f>'Schedule 4 Adjustments'!F105</f>
        <v>0</v>
      </c>
      <c r="E106" s="405">
        <v>3.79</v>
      </c>
      <c r="F106" s="47">
        <f t="shared" si="8"/>
        <v>0</v>
      </c>
      <c r="G106" s="21">
        <f t="shared" si="5"/>
        <v>360.25340826438259</v>
      </c>
      <c r="H106" s="149">
        <f>'Schedule 4 Adjustments'!N105</f>
        <v>0</v>
      </c>
      <c r="I106" s="405">
        <v>3.79</v>
      </c>
      <c r="J106" s="47">
        <f t="shared" si="7"/>
        <v>0</v>
      </c>
      <c r="K106" s="21">
        <f t="shared" si="6"/>
        <v>360.25340826438259</v>
      </c>
    </row>
    <row r="107" spans="1:11" s="22" customFormat="1" x14ac:dyDescent="0.35">
      <c r="A107" s="19">
        <v>94</v>
      </c>
      <c r="B107" s="19">
        <v>99350</v>
      </c>
      <c r="C107" s="20" t="s">
        <v>378</v>
      </c>
      <c r="D107" s="116">
        <f>'Schedule 4 Adjustments'!F106</f>
        <v>0</v>
      </c>
      <c r="E107" s="405">
        <v>5.52</v>
      </c>
      <c r="F107" s="47">
        <f t="shared" si="8"/>
        <v>0</v>
      </c>
      <c r="G107" s="21">
        <f t="shared" si="5"/>
        <v>524.69625689166003</v>
      </c>
      <c r="H107" s="149">
        <f>'Schedule 4 Adjustments'!N106</f>
        <v>0</v>
      </c>
      <c r="I107" s="405">
        <v>5.52</v>
      </c>
      <c r="J107" s="47">
        <f t="shared" si="7"/>
        <v>0</v>
      </c>
      <c r="K107" s="21">
        <f t="shared" si="6"/>
        <v>524.69625689166003</v>
      </c>
    </row>
    <row r="108" spans="1:11" s="22" customFormat="1" x14ac:dyDescent="0.35">
      <c r="A108" s="19">
        <v>95</v>
      </c>
      <c r="B108" s="19">
        <v>99366</v>
      </c>
      <c r="C108" s="20" t="s">
        <v>379</v>
      </c>
      <c r="D108" s="116">
        <f>'Schedule 4 Adjustments'!F107</f>
        <v>0</v>
      </c>
      <c r="E108" s="405">
        <v>1.22</v>
      </c>
      <c r="F108" s="47">
        <f t="shared" si="8"/>
        <v>0</v>
      </c>
      <c r="G108" s="21">
        <f t="shared" si="5"/>
        <v>115.96547706663502</v>
      </c>
      <c r="H108" s="149">
        <f>'Schedule 4 Adjustments'!N107</f>
        <v>10</v>
      </c>
      <c r="I108" s="405">
        <v>1.19</v>
      </c>
      <c r="J108" s="47">
        <f t="shared" si="7"/>
        <v>11.899999999999999</v>
      </c>
      <c r="K108" s="21">
        <f t="shared" si="6"/>
        <v>113.11386697483252</v>
      </c>
    </row>
    <row r="109" spans="1:11" s="22" customFormat="1" x14ac:dyDescent="0.35">
      <c r="A109" s="19">
        <v>96</v>
      </c>
      <c r="B109" s="19">
        <v>99367</v>
      </c>
      <c r="C109" s="20" t="s">
        <v>380</v>
      </c>
      <c r="D109" s="116">
        <f>'Schedule 4 Adjustments'!F108</f>
        <v>0</v>
      </c>
      <c r="E109" s="405">
        <v>1.6</v>
      </c>
      <c r="F109" s="47">
        <f t="shared" si="8"/>
        <v>0</v>
      </c>
      <c r="G109" s="21">
        <f t="shared" si="5"/>
        <v>152.08587156280004</v>
      </c>
      <c r="H109" s="149">
        <f>'Schedule 4 Adjustments'!N108</f>
        <v>0</v>
      </c>
      <c r="I109" s="405">
        <v>1.6</v>
      </c>
      <c r="J109" s="47">
        <f t="shared" si="7"/>
        <v>0</v>
      </c>
      <c r="K109" s="21">
        <f t="shared" si="6"/>
        <v>152.08587156280004</v>
      </c>
    </row>
    <row r="110" spans="1:11" s="22" customFormat="1" x14ac:dyDescent="0.35">
      <c r="A110" s="19">
        <v>97</v>
      </c>
      <c r="B110" s="19">
        <v>99368</v>
      </c>
      <c r="C110" s="20" t="s">
        <v>381</v>
      </c>
      <c r="D110" s="116">
        <f>'Schedule 4 Adjustments'!F109</f>
        <v>0</v>
      </c>
      <c r="E110" s="405">
        <v>1.04</v>
      </c>
      <c r="F110" s="47">
        <f t="shared" si="8"/>
        <v>0</v>
      </c>
      <c r="G110" s="21">
        <f t="shared" si="5"/>
        <v>98.855816515820024</v>
      </c>
      <c r="H110" s="149">
        <f>'Schedule 4 Adjustments'!N109</f>
        <v>4</v>
      </c>
      <c r="I110" s="405">
        <v>1.04</v>
      </c>
      <c r="J110" s="47">
        <f t="shared" si="7"/>
        <v>4.16</v>
      </c>
      <c r="K110" s="21">
        <f t="shared" si="6"/>
        <v>98.855816515820024</v>
      </c>
    </row>
    <row r="111" spans="1:11" s="22" customFormat="1" x14ac:dyDescent="0.35">
      <c r="A111" s="19">
        <v>98</v>
      </c>
      <c r="B111" s="19">
        <v>99441</v>
      </c>
      <c r="C111" s="20" t="s">
        <v>382</v>
      </c>
      <c r="D111" s="116">
        <f>'Schedule 4 Adjustments'!F110</f>
        <v>1</v>
      </c>
      <c r="E111" s="405">
        <v>1.69</v>
      </c>
      <c r="F111" s="47">
        <f t="shared" si="8"/>
        <v>1.69</v>
      </c>
      <c r="G111" s="21">
        <f t="shared" si="5"/>
        <v>160.64070183820752</v>
      </c>
      <c r="H111" s="149">
        <f>'Schedule 4 Adjustments'!N110</f>
        <v>6</v>
      </c>
      <c r="I111" s="405">
        <v>1.04</v>
      </c>
      <c r="J111" s="47">
        <f t="shared" si="7"/>
        <v>6.24</v>
      </c>
      <c r="K111" s="21">
        <f t="shared" si="6"/>
        <v>98.855816515820024</v>
      </c>
    </row>
    <row r="112" spans="1:11" s="22" customFormat="1" x14ac:dyDescent="0.35">
      <c r="A112" s="19">
        <v>99</v>
      </c>
      <c r="B112" s="19">
        <v>99442</v>
      </c>
      <c r="C112" s="20" t="s">
        <v>383</v>
      </c>
      <c r="D112" s="116">
        <f>'Schedule 4 Adjustments'!F111</f>
        <v>8</v>
      </c>
      <c r="E112" s="405">
        <v>2.72</v>
      </c>
      <c r="F112" s="47">
        <f t="shared" si="8"/>
        <v>21.76</v>
      </c>
      <c r="G112" s="21">
        <f t="shared" si="5"/>
        <v>258.54598165676003</v>
      </c>
      <c r="H112" s="149">
        <f>'Schedule 4 Adjustments'!N111</f>
        <v>10</v>
      </c>
      <c r="I112" s="405">
        <v>1.95</v>
      </c>
      <c r="J112" s="47">
        <f t="shared" si="7"/>
        <v>19.5</v>
      </c>
      <c r="K112" s="21">
        <f t="shared" si="6"/>
        <v>185.35465596716253</v>
      </c>
    </row>
    <row r="113" spans="1:11" s="22" customFormat="1" x14ac:dyDescent="0.35">
      <c r="A113" s="19">
        <v>100</v>
      </c>
      <c r="B113" s="19">
        <v>99443</v>
      </c>
      <c r="C113" s="20" t="s">
        <v>384</v>
      </c>
      <c r="D113" s="116">
        <f>'Schedule 4 Adjustments'!F112</f>
        <v>6</v>
      </c>
      <c r="E113" s="405">
        <v>3.85</v>
      </c>
      <c r="F113" s="47">
        <f t="shared" si="8"/>
        <v>23.1</v>
      </c>
      <c r="G113" s="21">
        <f t="shared" si="5"/>
        <v>365.95662844798755</v>
      </c>
      <c r="H113" s="149">
        <f>'Schedule 4 Adjustments'!N112</f>
        <v>5</v>
      </c>
      <c r="I113" s="405">
        <v>2.89</v>
      </c>
      <c r="J113" s="47">
        <f t="shared" si="7"/>
        <v>14.450000000000001</v>
      </c>
      <c r="K113" s="21">
        <f t="shared" si="6"/>
        <v>274.70510551030753</v>
      </c>
    </row>
    <row r="114" spans="1:11" s="22" customFormat="1" ht="34.5" customHeight="1" x14ac:dyDescent="0.35">
      <c r="A114" s="19">
        <v>101</v>
      </c>
      <c r="B114" s="19" t="s">
        <v>42</v>
      </c>
      <c r="C114" s="20" t="s">
        <v>385</v>
      </c>
      <c r="D114" s="116">
        <f>'Schedule 4 Adjustments'!F113</f>
        <v>0</v>
      </c>
      <c r="E114" s="405">
        <v>1.27</v>
      </c>
      <c r="F114" s="47">
        <f t="shared" si="8"/>
        <v>0</v>
      </c>
      <c r="G114" s="21">
        <f t="shared" si="5"/>
        <v>120.71816055297252</v>
      </c>
      <c r="H114" s="149">
        <f>'Schedule 4 Adjustments'!N113</f>
        <v>0</v>
      </c>
      <c r="I114" s="405">
        <v>1.1100000000000001</v>
      </c>
      <c r="J114" s="47">
        <f t="shared" si="7"/>
        <v>0</v>
      </c>
      <c r="K114" s="21">
        <f t="shared" si="6"/>
        <v>105.50957339669253</v>
      </c>
    </row>
    <row r="115" spans="1:11" s="22" customFormat="1" ht="29" x14ac:dyDescent="0.35">
      <c r="A115" s="19">
        <v>102</v>
      </c>
      <c r="B115" s="19" t="s">
        <v>43</v>
      </c>
      <c r="C115" s="20" t="s">
        <v>386</v>
      </c>
      <c r="D115" s="116">
        <f>'Schedule 4 Adjustments'!F114</f>
        <v>0</v>
      </c>
      <c r="E115" s="405">
        <v>0.75</v>
      </c>
      <c r="F115" s="47">
        <f t="shared" si="8"/>
        <v>0</v>
      </c>
      <c r="G115" s="21">
        <f t="shared" si="5"/>
        <v>71.290252295062515</v>
      </c>
      <c r="H115" s="149">
        <f>'Schedule 4 Adjustments'!N114</f>
        <v>0</v>
      </c>
      <c r="I115" s="405">
        <v>0.37</v>
      </c>
      <c r="J115" s="47">
        <f t="shared" si="7"/>
        <v>0</v>
      </c>
      <c r="K115" s="21">
        <f t="shared" si="6"/>
        <v>35.169857798897503</v>
      </c>
    </row>
    <row r="116" spans="1:11" s="22" customFormat="1" x14ac:dyDescent="0.35">
      <c r="A116" s="19">
        <v>103</v>
      </c>
      <c r="B116" s="19" t="s">
        <v>44</v>
      </c>
      <c r="C116" s="20" t="s">
        <v>129</v>
      </c>
      <c r="D116" s="116">
        <f>'Schedule 4 Adjustments'!F115</f>
        <v>0</v>
      </c>
      <c r="E116" s="405">
        <v>5.17</v>
      </c>
      <c r="F116" s="47">
        <f t="shared" si="8"/>
        <v>0</v>
      </c>
      <c r="G116" s="21">
        <f t="shared" si="5"/>
        <v>491.42747248729756</v>
      </c>
      <c r="H116" s="149">
        <f>'Schedule 4 Adjustments'!N115</f>
        <v>494</v>
      </c>
      <c r="I116" s="405">
        <v>4.43</v>
      </c>
      <c r="J116" s="47">
        <f t="shared" si="7"/>
        <v>2188.42</v>
      </c>
      <c r="K116" s="21">
        <f t="shared" si="6"/>
        <v>421.08775688950254</v>
      </c>
    </row>
    <row r="117" spans="1:11" s="22" customFormat="1" x14ac:dyDescent="0.35">
      <c r="A117" s="19">
        <v>104</v>
      </c>
      <c r="B117" s="19" t="s">
        <v>45</v>
      </c>
      <c r="C117" s="20" t="s">
        <v>387</v>
      </c>
      <c r="D117" s="116">
        <f>'Schedule 4 Adjustments'!F116</f>
        <v>368</v>
      </c>
      <c r="E117" s="405">
        <v>0.72</v>
      </c>
      <c r="F117" s="47">
        <f t="shared" si="8"/>
        <v>264.95999999999998</v>
      </c>
      <c r="G117" s="21">
        <f t="shared" si="5"/>
        <v>68.438642203260002</v>
      </c>
      <c r="H117" s="149">
        <f>'Schedule 4 Adjustments'!N116</f>
        <v>4269</v>
      </c>
      <c r="I117" s="405">
        <v>0.66</v>
      </c>
      <c r="J117" s="47">
        <f t="shared" si="7"/>
        <v>2817.54</v>
      </c>
      <c r="K117" s="21">
        <f t="shared" si="6"/>
        <v>62.735422019655012</v>
      </c>
    </row>
    <row r="118" spans="1:11" s="22" customFormat="1" ht="29" x14ac:dyDescent="0.35">
      <c r="A118" s="19">
        <v>105</v>
      </c>
      <c r="B118" s="19" t="s">
        <v>19</v>
      </c>
      <c r="C118" s="20" t="s">
        <v>39</v>
      </c>
      <c r="D118" s="116">
        <f>'Schedule 4 Adjustments'!F117</f>
        <v>0</v>
      </c>
      <c r="E118" s="405">
        <v>0</v>
      </c>
      <c r="F118" s="47">
        <f t="shared" si="8"/>
        <v>0</v>
      </c>
      <c r="G118" s="21">
        <f t="shared" si="5"/>
        <v>0</v>
      </c>
      <c r="H118" s="149">
        <f>'Schedule 4 Adjustments'!N117</f>
        <v>0</v>
      </c>
      <c r="I118" s="405">
        <v>0</v>
      </c>
      <c r="J118" s="47">
        <f t="shared" si="7"/>
        <v>0</v>
      </c>
      <c r="K118" s="21">
        <f t="shared" si="6"/>
        <v>0</v>
      </c>
    </row>
    <row r="119" spans="1:11" s="22" customFormat="1" x14ac:dyDescent="0.35">
      <c r="A119" s="19">
        <v>106</v>
      </c>
      <c r="B119" s="19" t="s">
        <v>46</v>
      </c>
      <c r="C119" s="20" t="s">
        <v>130</v>
      </c>
      <c r="D119" s="116">
        <f>'Schedule 4 Adjustments'!F118</f>
        <v>1374</v>
      </c>
      <c r="E119" s="405">
        <v>1.18</v>
      </c>
      <c r="F119" s="47">
        <f t="shared" si="8"/>
        <v>1621.32</v>
      </c>
      <c r="G119" s="21">
        <f t="shared" si="5"/>
        <v>112.16333027756501</v>
      </c>
      <c r="H119" s="149">
        <f>'Schedule 4 Adjustments'!N118</f>
        <v>7981</v>
      </c>
      <c r="I119" s="405">
        <v>1.03</v>
      </c>
      <c r="J119" s="47">
        <f t="shared" si="7"/>
        <v>8220.43</v>
      </c>
      <c r="K119" s="21">
        <f t="shared" si="6"/>
        <v>97.905279818552515</v>
      </c>
    </row>
    <row r="120" spans="1:11" s="22" customFormat="1" x14ac:dyDescent="0.35">
      <c r="A120" s="19">
        <v>107</v>
      </c>
      <c r="B120" s="19" t="s">
        <v>47</v>
      </c>
      <c r="C120" s="20" t="s">
        <v>131</v>
      </c>
      <c r="D120" s="116">
        <f>'Schedule 4 Adjustments'!F119</f>
        <v>0</v>
      </c>
      <c r="E120" s="405">
        <v>0.83</v>
      </c>
      <c r="F120" s="47">
        <f t="shared" si="8"/>
        <v>0</v>
      </c>
      <c r="G120" s="21">
        <f t="shared" si="5"/>
        <v>78.894545873202503</v>
      </c>
      <c r="H120" s="149">
        <f>'Schedule 4 Adjustments'!N119</f>
        <v>563</v>
      </c>
      <c r="I120" s="405">
        <v>0.72</v>
      </c>
      <c r="J120" s="47">
        <f t="shared" si="7"/>
        <v>405.35999999999996</v>
      </c>
      <c r="K120" s="21">
        <f t="shared" si="6"/>
        <v>68.438642203260002</v>
      </c>
    </row>
    <row r="121" spans="1:11" s="22" customFormat="1" x14ac:dyDescent="0.35">
      <c r="A121" s="19">
        <v>108</v>
      </c>
      <c r="B121" s="19" t="s">
        <v>48</v>
      </c>
      <c r="C121" s="20" t="s">
        <v>132</v>
      </c>
      <c r="D121" s="116">
        <f>'Schedule 4 Adjustments'!F120</f>
        <v>71</v>
      </c>
      <c r="E121" s="405">
        <v>0.64</v>
      </c>
      <c r="F121" s="47">
        <f t="shared" si="8"/>
        <v>45.44</v>
      </c>
      <c r="G121" s="21">
        <f t="shared" si="5"/>
        <v>60.834348625120015</v>
      </c>
      <c r="H121" s="149">
        <f>'Schedule 4 Adjustments'!N120</f>
        <v>649</v>
      </c>
      <c r="I121" s="405">
        <v>0.6</v>
      </c>
      <c r="J121" s="47">
        <f t="shared" si="7"/>
        <v>389.4</v>
      </c>
      <c r="K121" s="21">
        <f t="shared" si="6"/>
        <v>57.032201836050007</v>
      </c>
    </row>
    <row r="122" spans="1:11" s="22" customFormat="1" x14ac:dyDescent="0.35">
      <c r="A122" s="19">
        <v>109</v>
      </c>
      <c r="B122" s="19" t="s">
        <v>21</v>
      </c>
      <c r="C122" s="20" t="s">
        <v>24</v>
      </c>
      <c r="D122" s="116">
        <f>'Schedule 4 Adjustments'!F121</f>
        <v>0</v>
      </c>
      <c r="E122" s="405">
        <v>0</v>
      </c>
      <c r="F122" s="47">
        <f t="shared" si="8"/>
        <v>0</v>
      </c>
      <c r="G122" s="21">
        <f t="shared" si="5"/>
        <v>0</v>
      </c>
      <c r="H122" s="149">
        <f>'Schedule 4 Adjustments'!N121</f>
        <v>0</v>
      </c>
      <c r="I122" s="405">
        <v>0</v>
      </c>
      <c r="J122" s="47">
        <f t="shared" si="7"/>
        <v>0</v>
      </c>
      <c r="K122" s="21">
        <f t="shared" si="6"/>
        <v>0</v>
      </c>
    </row>
    <row r="123" spans="1:11" s="22" customFormat="1" ht="29" x14ac:dyDescent="0.35">
      <c r="A123" s="19">
        <v>110</v>
      </c>
      <c r="B123" s="19" t="s">
        <v>49</v>
      </c>
      <c r="C123" s="20" t="s">
        <v>388</v>
      </c>
      <c r="D123" s="116">
        <f>'Schedule 4 Adjustments'!F122</f>
        <v>0</v>
      </c>
      <c r="E123" s="405">
        <v>0</v>
      </c>
      <c r="F123" s="47">
        <f t="shared" si="8"/>
        <v>0</v>
      </c>
      <c r="G123" s="21">
        <f t="shared" si="5"/>
        <v>0</v>
      </c>
      <c r="H123" s="149">
        <f>'Schedule 4 Adjustments'!N122</f>
        <v>0</v>
      </c>
      <c r="I123" s="405">
        <v>0</v>
      </c>
      <c r="J123" s="47">
        <f t="shared" si="7"/>
        <v>0</v>
      </c>
      <c r="K123" s="21">
        <f t="shared" si="6"/>
        <v>0</v>
      </c>
    </row>
    <row r="124" spans="1:11" s="22" customFormat="1" ht="29" x14ac:dyDescent="0.35">
      <c r="A124" s="19">
        <v>111</v>
      </c>
      <c r="B124" s="19" t="s">
        <v>33</v>
      </c>
      <c r="C124" s="20" t="s">
        <v>389</v>
      </c>
      <c r="D124" s="116">
        <f>'Schedule 4 Adjustments'!F123</f>
        <v>0</v>
      </c>
      <c r="E124" s="405">
        <v>0</v>
      </c>
      <c r="F124" s="47">
        <f t="shared" si="8"/>
        <v>0</v>
      </c>
      <c r="G124" s="21">
        <f t="shared" si="5"/>
        <v>0</v>
      </c>
      <c r="H124" s="149">
        <f>'Schedule 4 Adjustments'!N123</f>
        <v>0</v>
      </c>
      <c r="I124" s="405">
        <v>0</v>
      </c>
      <c r="J124" s="47">
        <f t="shared" si="7"/>
        <v>0</v>
      </c>
      <c r="K124" s="21">
        <f t="shared" si="6"/>
        <v>0</v>
      </c>
    </row>
    <row r="125" spans="1:11" s="22" customFormat="1" x14ac:dyDescent="0.35">
      <c r="A125" s="19">
        <v>112</v>
      </c>
      <c r="B125" s="19" t="s">
        <v>50</v>
      </c>
      <c r="C125" s="20" t="s">
        <v>390</v>
      </c>
      <c r="D125" s="116">
        <f>'Schedule 4 Adjustments'!F124</f>
        <v>0</v>
      </c>
      <c r="E125" s="405">
        <v>2.64</v>
      </c>
      <c r="F125" s="47">
        <f t="shared" si="8"/>
        <v>0</v>
      </c>
      <c r="G125" s="21">
        <f t="shared" si="5"/>
        <v>250.94168807862005</v>
      </c>
      <c r="H125" s="149">
        <f>'Schedule 4 Adjustments'!N124</f>
        <v>1844</v>
      </c>
      <c r="I125" s="405">
        <v>2.64</v>
      </c>
      <c r="J125" s="47">
        <f t="shared" si="7"/>
        <v>4868.16</v>
      </c>
      <c r="K125" s="21">
        <f t="shared" si="6"/>
        <v>250.94168807862005</v>
      </c>
    </row>
    <row r="126" spans="1:11" s="22" customFormat="1" x14ac:dyDescent="0.35">
      <c r="A126" s="19">
        <v>113</v>
      </c>
      <c r="B126" s="19" t="s">
        <v>51</v>
      </c>
      <c r="C126" s="20" t="s">
        <v>133</v>
      </c>
      <c r="D126" s="116">
        <f>'Schedule 4 Adjustments'!F125</f>
        <v>0</v>
      </c>
      <c r="E126" s="405">
        <v>0</v>
      </c>
      <c r="F126" s="47">
        <f t="shared" si="8"/>
        <v>0</v>
      </c>
      <c r="G126" s="21">
        <f t="shared" si="5"/>
        <v>0</v>
      </c>
      <c r="H126" s="149">
        <f>'Schedule 4 Adjustments'!N125</f>
        <v>3055</v>
      </c>
      <c r="I126" s="405">
        <v>0</v>
      </c>
      <c r="J126" s="47">
        <f t="shared" si="7"/>
        <v>0</v>
      </c>
      <c r="K126" s="21">
        <f t="shared" si="6"/>
        <v>0</v>
      </c>
    </row>
    <row r="127" spans="1:11" s="22" customFormat="1" x14ac:dyDescent="0.35">
      <c r="A127" s="19">
        <v>114</v>
      </c>
      <c r="B127" s="19" t="s">
        <v>52</v>
      </c>
      <c r="C127" s="20" t="s">
        <v>134</v>
      </c>
      <c r="D127" s="116">
        <f>'Schedule 4 Adjustments'!F126</f>
        <v>0</v>
      </c>
      <c r="E127" s="405">
        <v>0</v>
      </c>
      <c r="F127" s="47">
        <f t="shared" si="8"/>
        <v>0</v>
      </c>
      <c r="G127" s="21">
        <f t="shared" si="5"/>
        <v>0</v>
      </c>
      <c r="H127" s="149">
        <f>'Schedule 4 Adjustments'!N126</f>
        <v>2169</v>
      </c>
      <c r="I127" s="405">
        <v>0</v>
      </c>
      <c r="J127" s="47">
        <f t="shared" si="7"/>
        <v>0</v>
      </c>
      <c r="K127" s="21">
        <f t="shared" si="6"/>
        <v>0</v>
      </c>
    </row>
    <row r="128" spans="1:11" s="22" customFormat="1" x14ac:dyDescent="0.35">
      <c r="A128" s="19">
        <v>115</v>
      </c>
      <c r="B128" s="19" t="s">
        <v>53</v>
      </c>
      <c r="C128" s="20" t="s">
        <v>135</v>
      </c>
      <c r="D128" s="116">
        <f>'Schedule 4 Adjustments'!F127</f>
        <v>0</v>
      </c>
      <c r="E128" s="405">
        <v>0</v>
      </c>
      <c r="F128" s="47">
        <f t="shared" si="8"/>
        <v>0</v>
      </c>
      <c r="G128" s="21">
        <f t="shared" si="5"/>
        <v>0</v>
      </c>
      <c r="H128" s="149">
        <f>'Schedule 4 Adjustments'!N127</f>
        <v>0</v>
      </c>
      <c r="I128" s="405">
        <v>0</v>
      </c>
      <c r="J128" s="47">
        <f t="shared" si="7"/>
        <v>0</v>
      </c>
      <c r="K128" s="21">
        <f t="shared" si="6"/>
        <v>0</v>
      </c>
    </row>
    <row r="129" spans="1:11" s="22" customFormat="1" ht="29" x14ac:dyDescent="0.35">
      <c r="A129" s="19">
        <v>116</v>
      </c>
      <c r="B129" s="19" t="s">
        <v>54</v>
      </c>
      <c r="C129" s="20" t="s">
        <v>391</v>
      </c>
      <c r="D129" s="116">
        <f>'Schedule 4 Adjustments'!F128</f>
        <v>0</v>
      </c>
      <c r="E129" s="405">
        <v>1.02</v>
      </c>
      <c r="F129" s="47">
        <f t="shared" si="8"/>
        <v>0</v>
      </c>
      <c r="G129" s="21">
        <f t="shared" si="5"/>
        <v>96.95474312128502</v>
      </c>
      <c r="H129" s="149">
        <f>'Schedule 4 Adjustments'!N128</f>
        <v>0</v>
      </c>
      <c r="I129" s="405">
        <v>0.94</v>
      </c>
      <c r="J129" s="47">
        <f t="shared" si="7"/>
        <v>0</v>
      </c>
      <c r="K129" s="21">
        <f t="shared" si="6"/>
        <v>89.350449543145004</v>
      </c>
    </row>
    <row r="130" spans="1:11" s="22" customFormat="1" x14ac:dyDescent="0.35">
      <c r="A130" s="19">
        <v>117</v>
      </c>
      <c r="B130" s="19" t="s">
        <v>22</v>
      </c>
      <c r="C130" s="20" t="s">
        <v>25</v>
      </c>
      <c r="D130" s="116">
        <f>'Schedule 4 Adjustments'!F129</f>
        <v>0</v>
      </c>
      <c r="E130" s="405">
        <v>0</v>
      </c>
      <c r="F130" s="47">
        <f t="shared" si="8"/>
        <v>0</v>
      </c>
      <c r="G130" s="21">
        <f t="shared" si="5"/>
        <v>0</v>
      </c>
      <c r="H130" s="149">
        <f>'Schedule 4 Adjustments'!N129</f>
        <v>0</v>
      </c>
      <c r="I130" s="405">
        <v>0</v>
      </c>
      <c r="J130" s="47">
        <f t="shared" si="7"/>
        <v>0</v>
      </c>
      <c r="K130" s="21">
        <f t="shared" si="6"/>
        <v>0</v>
      </c>
    </row>
    <row r="131" spans="1:11" s="22" customFormat="1" x14ac:dyDescent="0.35">
      <c r="A131" s="19">
        <v>118</v>
      </c>
      <c r="B131" s="19" t="s">
        <v>55</v>
      </c>
      <c r="C131" s="20" t="s">
        <v>392</v>
      </c>
      <c r="D131" s="116">
        <f>'Schedule 4 Adjustments'!F130</f>
        <v>22</v>
      </c>
      <c r="E131" s="405">
        <v>0.12</v>
      </c>
      <c r="F131" s="47">
        <f t="shared" si="8"/>
        <v>2.6399999999999997</v>
      </c>
      <c r="G131" s="21">
        <f t="shared" si="5"/>
        <v>11.406440367210001</v>
      </c>
      <c r="H131" s="149">
        <f>'Schedule 4 Adjustments'!N130</f>
        <v>28431</v>
      </c>
      <c r="I131" s="405">
        <v>0.09</v>
      </c>
      <c r="J131" s="47">
        <f t="shared" si="7"/>
        <v>2558.79</v>
      </c>
      <c r="K131" s="21">
        <f t="shared" si="6"/>
        <v>8.5548302754075003</v>
      </c>
    </row>
    <row r="132" spans="1:11" s="22" customFormat="1" x14ac:dyDescent="0.35">
      <c r="A132" s="19">
        <v>119</v>
      </c>
      <c r="B132" s="19" t="s">
        <v>56</v>
      </c>
      <c r="C132" s="20" t="s">
        <v>393</v>
      </c>
      <c r="D132" s="116">
        <f>'Schedule 4 Adjustments'!F131</f>
        <v>1077</v>
      </c>
      <c r="E132" s="405">
        <v>0.59</v>
      </c>
      <c r="F132" s="47">
        <f t="shared" si="8"/>
        <v>635.42999999999995</v>
      </c>
      <c r="G132" s="21">
        <f t="shared" si="5"/>
        <v>56.081665138782505</v>
      </c>
      <c r="H132" s="149">
        <f>'Schedule 4 Adjustments'!N131</f>
        <v>364</v>
      </c>
      <c r="I132" s="405">
        <v>0.55000000000000004</v>
      </c>
      <c r="J132" s="47">
        <f t="shared" si="7"/>
        <v>200.20000000000002</v>
      </c>
      <c r="K132" s="21">
        <f t="shared" si="6"/>
        <v>52.279518349712511</v>
      </c>
    </row>
    <row r="133" spans="1:11" s="22" customFormat="1" ht="29" x14ac:dyDescent="0.35">
      <c r="A133" s="19">
        <v>120</v>
      </c>
      <c r="B133" s="19" t="s">
        <v>57</v>
      </c>
      <c r="C133" s="20" t="s">
        <v>136</v>
      </c>
      <c r="D133" s="116">
        <f>'Schedule 4 Adjustments'!F132</f>
        <v>0</v>
      </c>
      <c r="E133" s="405">
        <v>0.75</v>
      </c>
      <c r="F133" s="47">
        <f t="shared" si="8"/>
        <v>0</v>
      </c>
      <c r="G133" s="21">
        <f t="shared" si="5"/>
        <v>71.290252295062515</v>
      </c>
      <c r="H133" s="149">
        <f>'Schedule 4 Adjustments'!N132</f>
        <v>0</v>
      </c>
      <c r="I133" s="405">
        <v>0.37</v>
      </c>
      <c r="J133" s="47">
        <f t="shared" si="7"/>
        <v>0</v>
      </c>
      <c r="K133" s="21">
        <f t="shared" si="6"/>
        <v>35.169857798897503</v>
      </c>
    </row>
    <row r="134" spans="1:11" s="22" customFormat="1" ht="29" x14ac:dyDescent="0.35">
      <c r="A134" s="19">
        <v>121</v>
      </c>
      <c r="B134" s="19" t="s">
        <v>58</v>
      </c>
      <c r="C134" s="20" t="s">
        <v>137</v>
      </c>
      <c r="D134" s="116">
        <f>'Schedule 4 Adjustments'!F133</f>
        <v>7</v>
      </c>
      <c r="E134" s="405">
        <v>0.75</v>
      </c>
      <c r="F134" s="47">
        <f t="shared" si="8"/>
        <v>5.25</v>
      </c>
      <c r="G134" s="21">
        <f t="shared" si="5"/>
        <v>71.290252295062515</v>
      </c>
      <c r="H134" s="149">
        <f>'Schedule 4 Adjustments'!N133</f>
        <v>0</v>
      </c>
      <c r="I134" s="405">
        <v>0.37</v>
      </c>
      <c r="J134" s="47">
        <f t="shared" si="7"/>
        <v>0</v>
      </c>
      <c r="K134" s="21">
        <f t="shared" si="6"/>
        <v>35.169857798897503</v>
      </c>
    </row>
    <row r="135" spans="1:11" s="22" customFormat="1" ht="43.5" x14ac:dyDescent="0.35">
      <c r="A135" s="19">
        <v>122</v>
      </c>
      <c r="B135" s="19" t="s">
        <v>15</v>
      </c>
      <c r="C135" s="20" t="s">
        <v>18</v>
      </c>
      <c r="D135" s="116">
        <f>'Schedule 4 Adjustments'!F134</f>
        <v>0</v>
      </c>
      <c r="E135" s="405">
        <v>0</v>
      </c>
      <c r="F135" s="47">
        <f t="shared" si="8"/>
        <v>0</v>
      </c>
      <c r="G135" s="21">
        <f t="shared" si="5"/>
        <v>0</v>
      </c>
      <c r="H135" s="149">
        <f>'Schedule 4 Adjustments'!N134</f>
        <v>0</v>
      </c>
      <c r="I135" s="405">
        <v>0</v>
      </c>
      <c r="J135" s="47">
        <f t="shared" si="7"/>
        <v>0</v>
      </c>
      <c r="K135" s="21">
        <f t="shared" si="6"/>
        <v>0</v>
      </c>
    </row>
    <row r="136" spans="1:11" s="22" customFormat="1" ht="29" x14ac:dyDescent="0.35">
      <c r="A136" s="19">
        <v>123</v>
      </c>
      <c r="B136" s="19" t="s">
        <v>16</v>
      </c>
      <c r="C136" s="20" t="s">
        <v>138</v>
      </c>
      <c r="D136" s="116">
        <f>'Schedule 4 Adjustments'!F135</f>
        <v>0</v>
      </c>
      <c r="E136" s="405">
        <v>0</v>
      </c>
      <c r="F136" s="47">
        <f t="shared" si="8"/>
        <v>0</v>
      </c>
      <c r="G136" s="21">
        <f t="shared" si="5"/>
        <v>0</v>
      </c>
      <c r="H136" s="149">
        <f>'Schedule 4 Adjustments'!N135</f>
        <v>0</v>
      </c>
      <c r="I136" s="405">
        <v>0</v>
      </c>
      <c r="J136" s="47">
        <f t="shared" si="7"/>
        <v>0</v>
      </c>
      <c r="K136" s="21">
        <f t="shared" si="6"/>
        <v>0</v>
      </c>
    </row>
    <row r="137" spans="1:11" s="22" customFormat="1" ht="29" x14ac:dyDescent="0.35">
      <c r="A137" s="19">
        <v>124</v>
      </c>
      <c r="B137" s="19" t="s">
        <v>17</v>
      </c>
      <c r="C137" s="20" t="s">
        <v>139</v>
      </c>
      <c r="D137" s="116">
        <f>'Schedule 4 Adjustments'!F136</f>
        <v>0</v>
      </c>
      <c r="E137" s="405">
        <v>0</v>
      </c>
      <c r="F137" s="47">
        <f t="shared" si="8"/>
        <v>0</v>
      </c>
      <c r="G137" s="21">
        <f t="shared" si="5"/>
        <v>0</v>
      </c>
      <c r="H137" s="149">
        <f>'Schedule 4 Adjustments'!N136</f>
        <v>0</v>
      </c>
      <c r="I137" s="405">
        <v>0</v>
      </c>
      <c r="J137" s="47">
        <f t="shared" si="7"/>
        <v>0</v>
      </c>
      <c r="K137" s="21">
        <f t="shared" si="6"/>
        <v>0</v>
      </c>
    </row>
    <row r="138" spans="1:11" s="22" customFormat="1" x14ac:dyDescent="0.35">
      <c r="A138" s="19">
        <v>125</v>
      </c>
      <c r="B138" s="19" t="s">
        <v>23</v>
      </c>
      <c r="C138" s="20" t="s">
        <v>140</v>
      </c>
      <c r="D138" s="116">
        <f>'Schedule 4 Adjustments'!F137</f>
        <v>0</v>
      </c>
      <c r="E138" s="405">
        <v>0</v>
      </c>
      <c r="F138" s="47">
        <f t="shared" si="8"/>
        <v>0</v>
      </c>
      <c r="G138" s="21">
        <f t="shared" si="5"/>
        <v>0</v>
      </c>
      <c r="H138" s="149">
        <f>'Schedule 4 Adjustments'!N137</f>
        <v>0</v>
      </c>
      <c r="I138" s="405">
        <v>0</v>
      </c>
      <c r="J138" s="47">
        <f t="shared" si="7"/>
        <v>0</v>
      </c>
      <c r="K138" s="21">
        <f t="shared" si="6"/>
        <v>0</v>
      </c>
    </row>
    <row r="139" spans="1:11" s="22" customFormat="1" x14ac:dyDescent="0.35">
      <c r="A139" s="19">
        <v>126</v>
      </c>
      <c r="B139" s="19" t="s">
        <v>59</v>
      </c>
      <c r="C139" s="20" t="s">
        <v>395</v>
      </c>
      <c r="D139" s="116">
        <f>'Schedule 4 Adjustments'!F138</f>
        <v>21</v>
      </c>
      <c r="E139" s="405">
        <v>3.27</v>
      </c>
      <c r="F139" s="47">
        <f t="shared" si="8"/>
        <v>68.67</v>
      </c>
      <c r="G139" s="21">
        <f t="shared" si="5"/>
        <v>310.82550000647257</v>
      </c>
      <c r="H139" s="149">
        <f>'Schedule 4 Adjustments'!N138</f>
        <v>68</v>
      </c>
      <c r="I139" s="405">
        <v>2.17</v>
      </c>
      <c r="J139" s="47">
        <f t="shared" si="7"/>
        <v>147.56</v>
      </c>
      <c r="K139" s="21">
        <f t="shared" si="6"/>
        <v>206.26646330704753</v>
      </c>
    </row>
    <row r="140" spans="1:11" s="22" customFormat="1" x14ac:dyDescent="0.35">
      <c r="A140" s="19">
        <v>127</v>
      </c>
      <c r="B140" s="19" t="s">
        <v>60</v>
      </c>
      <c r="C140" s="20" t="s">
        <v>394</v>
      </c>
      <c r="D140" s="116">
        <f>'Schedule 4 Adjustments'!F139</f>
        <v>492</v>
      </c>
      <c r="E140" s="405">
        <v>1.1499999999999999</v>
      </c>
      <c r="F140" s="47">
        <f t="shared" si="8"/>
        <v>565.79999999999995</v>
      </c>
      <c r="G140" s="21">
        <f t="shared" si="5"/>
        <v>109.31172018576251</v>
      </c>
      <c r="H140" s="149">
        <f>'Schedule 4 Adjustments'!N139</f>
        <v>2646</v>
      </c>
      <c r="I140" s="405">
        <v>0.7</v>
      </c>
      <c r="J140" s="47">
        <f t="shared" si="7"/>
        <v>1852.1999999999998</v>
      </c>
      <c r="K140" s="21">
        <f t="shared" si="6"/>
        <v>66.537568808725013</v>
      </c>
    </row>
    <row r="141" spans="1:11" s="22" customFormat="1" x14ac:dyDescent="0.35">
      <c r="A141" s="19">
        <v>128</v>
      </c>
      <c r="B141" s="19" t="s">
        <v>61</v>
      </c>
      <c r="C141" s="20" t="s">
        <v>141</v>
      </c>
      <c r="D141" s="116">
        <f>'Schedule 4 Adjustments'!F140</f>
        <v>0</v>
      </c>
      <c r="E141" s="405">
        <v>0.44</v>
      </c>
      <c r="F141" s="47">
        <f t="shared" si="8"/>
        <v>0</v>
      </c>
      <c r="G141" s="21">
        <f t="shared" si="5"/>
        <v>41.82361467977001</v>
      </c>
      <c r="H141" s="149">
        <f>'Schedule 4 Adjustments'!N140</f>
        <v>0</v>
      </c>
      <c r="I141" s="405">
        <v>0.44</v>
      </c>
      <c r="J141" s="47">
        <f t="shared" si="7"/>
        <v>0</v>
      </c>
      <c r="K141" s="21">
        <f t="shared" si="6"/>
        <v>41.82361467977001</v>
      </c>
    </row>
    <row r="142" spans="1:11" s="22" customFormat="1" x14ac:dyDescent="0.35">
      <c r="A142" s="19">
        <v>129</v>
      </c>
      <c r="B142" s="19" t="s">
        <v>62</v>
      </c>
      <c r="C142" s="20" t="s">
        <v>396</v>
      </c>
      <c r="D142" s="116">
        <f>'Schedule 4 Adjustments'!F141</f>
        <v>58</v>
      </c>
      <c r="E142" s="405">
        <v>0.92</v>
      </c>
      <c r="F142" s="47">
        <f t="shared" si="8"/>
        <v>53.36</v>
      </c>
      <c r="G142" s="21">
        <f t="shared" si="5"/>
        <v>87.449376148610014</v>
      </c>
      <c r="H142" s="149">
        <f>'Schedule 4 Adjustments'!N141</f>
        <v>1605</v>
      </c>
      <c r="I142" s="405">
        <v>0.92</v>
      </c>
      <c r="J142" s="47">
        <f t="shared" si="7"/>
        <v>1476.6000000000001</v>
      </c>
      <c r="K142" s="21">
        <f t="shared" si="6"/>
        <v>87.449376148610014</v>
      </c>
    </row>
    <row r="143" spans="1:11" s="22" customFormat="1" x14ac:dyDescent="0.35">
      <c r="A143" s="19">
        <v>130</v>
      </c>
      <c r="B143" s="19" t="s">
        <v>63</v>
      </c>
      <c r="C143" s="20" t="s">
        <v>397</v>
      </c>
      <c r="D143" s="116">
        <f>'Schedule 4 Adjustments'!F142</f>
        <v>0</v>
      </c>
      <c r="E143" s="405">
        <v>5.28</v>
      </c>
      <c r="F143" s="47">
        <f t="shared" si="8"/>
        <v>0</v>
      </c>
      <c r="G143" s="21">
        <f t="shared" si="5"/>
        <v>501.88337615724009</v>
      </c>
      <c r="H143" s="149">
        <f>'Schedule 4 Adjustments'!N142</f>
        <v>0</v>
      </c>
      <c r="I143" s="405">
        <v>5.28</v>
      </c>
      <c r="J143" s="47">
        <f t="shared" si="7"/>
        <v>0</v>
      </c>
      <c r="K143" s="21">
        <f t="shared" si="6"/>
        <v>501.88337615724009</v>
      </c>
    </row>
    <row r="144" spans="1:11" s="22" customFormat="1" x14ac:dyDescent="0.35">
      <c r="A144" s="19">
        <v>131</v>
      </c>
      <c r="B144" s="19" t="s">
        <v>64</v>
      </c>
      <c r="C144" s="20" t="s">
        <v>399</v>
      </c>
      <c r="D144" s="116">
        <f>'Schedule 4 Adjustments'!F143</f>
        <v>0</v>
      </c>
      <c r="E144" s="405">
        <v>0.44</v>
      </c>
      <c r="F144" s="47">
        <f t="shared" si="8"/>
        <v>0</v>
      </c>
      <c r="G144" s="21">
        <f t="shared" si="5"/>
        <v>41.82361467977001</v>
      </c>
      <c r="H144" s="149">
        <f>'Schedule 4 Adjustments'!N143</f>
        <v>8</v>
      </c>
      <c r="I144" s="405">
        <v>0.44</v>
      </c>
      <c r="J144" s="47">
        <f t="shared" si="7"/>
        <v>3.52</v>
      </c>
      <c r="K144" s="21">
        <f t="shared" si="6"/>
        <v>41.82361467977001</v>
      </c>
    </row>
    <row r="145" spans="1:11" s="22" customFormat="1" x14ac:dyDescent="0.35">
      <c r="A145" s="19">
        <v>132</v>
      </c>
      <c r="B145" s="19" t="s">
        <v>65</v>
      </c>
      <c r="C145" s="20" t="s">
        <v>398</v>
      </c>
      <c r="D145" s="116">
        <f>'Schedule 4 Adjustments'!F144</f>
        <v>0</v>
      </c>
      <c r="E145" s="405">
        <v>5.28</v>
      </c>
      <c r="F145" s="47">
        <f t="shared" si="8"/>
        <v>0</v>
      </c>
      <c r="G145" s="21">
        <f t="shared" si="5"/>
        <v>501.88337615724009</v>
      </c>
      <c r="H145" s="149">
        <f>'Schedule 4 Adjustments'!N144</f>
        <v>0</v>
      </c>
      <c r="I145" s="405">
        <v>5.28</v>
      </c>
      <c r="J145" s="47">
        <f t="shared" si="7"/>
        <v>0</v>
      </c>
      <c r="K145" s="21">
        <f t="shared" si="6"/>
        <v>501.88337615724009</v>
      </c>
    </row>
    <row r="146" spans="1:11" s="22" customFormat="1" x14ac:dyDescent="0.35">
      <c r="A146" s="19">
        <v>133</v>
      </c>
      <c r="B146" s="19" t="s">
        <v>66</v>
      </c>
      <c r="C146" s="20" t="s">
        <v>142</v>
      </c>
      <c r="D146" s="116">
        <f>'Schedule 4 Adjustments'!F145</f>
        <v>2384</v>
      </c>
      <c r="E146" s="405">
        <v>0.54</v>
      </c>
      <c r="F146" s="47">
        <f t="shared" si="8"/>
        <v>1287.3600000000001</v>
      </c>
      <c r="G146" s="21">
        <f t="shared" si="5"/>
        <v>51.328981652445009</v>
      </c>
      <c r="H146" s="149">
        <f>'Schedule 4 Adjustments'!N145</f>
        <v>5757</v>
      </c>
      <c r="I146" s="405">
        <v>0.54</v>
      </c>
      <c r="J146" s="47">
        <f t="shared" si="7"/>
        <v>3108.78</v>
      </c>
      <c r="K146" s="21">
        <f t="shared" si="6"/>
        <v>51.328981652445009</v>
      </c>
    </row>
    <row r="147" spans="1:11" s="22" customFormat="1" x14ac:dyDescent="0.35">
      <c r="A147" s="19">
        <v>134</v>
      </c>
      <c r="B147" s="19" t="s">
        <v>67</v>
      </c>
      <c r="C147" s="20" t="s">
        <v>400</v>
      </c>
      <c r="D147" s="116">
        <f>'Schedule 4 Adjustments'!F146</f>
        <v>6300</v>
      </c>
      <c r="E147" s="405">
        <v>1.29</v>
      </c>
      <c r="F147" s="47">
        <f t="shared" si="8"/>
        <v>8127</v>
      </c>
      <c r="G147" s="21">
        <f t="shared" ref="G147:G197" si="9">E147*$F$13</f>
        <v>122.61923394750752</v>
      </c>
      <c r="H147" s="149">
        <f>'Schedule 4 Adjustments'!N146</f>
        <v>1613</v>
      </c>
      <c r="I147" s="405">
        <v>1.1299999999999999</v>
      </c>
      <c r="J147" s="47">
        <f t="shared" si="7"/>
        <v>1822.6899999999998</v>
      </c>
      <c r="K147" s="21">
        <f t="shared" ref="K147:K197" si="10">I147*$F$13</f>
        <v>107.41064679122751</v>
      </c>
    </row>
    <row r="148" spans="1:11" s="22" customFormat="1" x14ac:dyDescent="0.35">
      <c r="A148" s="19">
        <v>135</v>
      </c>
      <c r="B148" s="19" t="s">
        <v>68</v>
      </c>
      <c r="C148" s="20" t="s">
        <v>401</v>
      </c>
      <c r="D148" s="116">
        <f>'Schedule 4 Adjustments'!F147</f>
        <v>10</v>
      </c>
      <c r="E148" s="405">
        <v>5.28</v>
      </c>
      <c r="F148" s="47">
        <f t="shared" si="8"/>
        <v>52.800000000000004</v>
      </c>
      <c r="G148" s="21">
        <f t="shared" si="9"/>
        <v>501.88337615724009</v>
      </c>
      <c r="H148" s="149">
        <f>'Schedule 4 Adjustments'!N147</f>
        <v>0</v>
      </c>
      <c r="I148" s="405">
        <v>5.28</v>
      </c>
      <c r="J148" s="47">
        <f t="shared" ref="J148:J197" si="11">H148*I148</f>
        <v>0</v>
      </c>
      <c r="K148" s="21">
        <f t="shared" si="10"/>
        <v>501.88337615724009</v>
      </c>
    </row>
    <row r="149" spans="1:11" s="22" customFormat="1" x14ac:dyDescent="0.35">
      <c r="A149" s="19">
        <v>136</v>
      </c>
      <c r="B149" s="19" t="s">
        <v>69</v>
      </c>
      <c r="C149" s="20" t="s">
        <v>402</v>
      </c>
      <c r="D149" s="116">
        <f>'Schedule 4 Adjustments'!F148</f>
        <v>0</v>
      </c>
      <c r="E149" s="405">
        <v>0.14000000000000001</v>
      </c>
      <c r="F149" s="47">
        <f t="shared" ref="F149:F197" si="12">D149*E149</f>
        <v>0</v>
      </c>
      <c r="G149" s="21">
        <f t="shared" si="9"/>
        <v>13.307513761745003</v>
      </c>
      <c r="H149" s="149">
        <f>'Schedule 4 Adjustments'!N148</f>
        <v>0</v>
      </c>
      <c r="I149" s="405">
        <v>0.12</v>
      </c>
      <c r="J149" s="47">
        <f t="shared" si="11"/>
        <v>0</v>
      </c>
      <c r="K149" s="21">
        <f t="shared" si="10"/>
        <v>11.406440367210001</v>
      </c>
    </row>
    <row r="150" spans="1:11" s="22" customFormat="1" x14ac:dyDescent="0.35">
      <c r="A150" s="19">
        <v>137</v>
      </c>
      <c r="B150" s="19" t="s">
        <v>70</v>
      </c>
      <c r="C150" s="20" t="s">
        <v>403</v>
      </c>
      <c r="D150" s="116">
        <f>'Schedule 4 Adjustments'!F149</f>
        <v>0</v>
      </c>
      <c r="E150" s="405">
        <v>3.08</v>
      </c>
      <c r="F150" s="47">
        <f t="shared" si="12"/>
        <v>0</v>
      </c>
      <c r="G150" s="21">
        <f t="shared" si="9"/>
        <v>292.76530275839008</v>
      </c>
      <c r="H150" s="149">
        <f>'Schedule 4 Adjustments'!N149</f>
        <v>0</v>
      </c>
      <c r="I150" s="405">
        <v>2.6399999999999997</v>
      </c>
      <c r="J150" s="47">
        <f t="shared" si="11"/>
        <v>0</v>
      </c>
      <c r="K150" s="21">
        <f t="shared" si="10"/>
        <v>250.94168807862002</v>
      </c>
    </row>
    <row r="151" spans="1:11" s="22" customFormat="1" x14ac:dyDescent="0.35">
      <c r="A151" s="19">
        <v>138</v>
      </c>
      <c r="B151" s="19" t="s">
        <v>71</v>
      </c>
      <c r="C151" s="20" t="s">
        <v>404</v>
      </c>
      <c r="D151" s="116">
        <f>'Schedule 4 Adjustments'!F150</f>
        <v>0</v>
      </c>
      <c r="E151" s="405">
        <v>5.28</v>
      </c>
      <c r="F151" s="47">
        <f t="shared" si="12"/>
        <v>0</v>
      </c>
      <c r="G151" s="21">
        <f t="shared" si="9"/>
        <v>501.88337615724009</v>
      </c>
      <c r="H151" s="149">
        <f>'Schedule 4 Adjustments'!N150</f>
        <v>0</v>
      </c>
      <c r="I151" s="405">
        <v>5.28</v>
      </c>
      <c r="J151" s="47">
        <f t="shared" si="11"/>
        <v>0</v>
      </c>
      <c r="K151" s="21">
        <f t="shared" si="10"/>
        <v>501.88337615724009</v>
      </c>
    </row>
    <row r="152" spans="1:11" s="22" customFormat="1" x14ac:dyDescent="0.35">
      <c r="A152" s="19">
        <v>139</v>
      </c>
      <c r="B152" s="19" t="s">
        <v>789</v>
      </c>
      <c r="C152" s="20" t="s">
        <v>790</v>
      </c>
      <c r="D152" s="116">
        <f>'Schedule 4 Adjustments'!F152</f>
        <v>0</v>
      </c>
      <c r="E152" s="405">
        <v>0.12</v>
      </c>
      <c r="F152" s="47">
        <f t="shared" ref="F152" si="13">D152*E152</f>
        <v>0</v>
      </c>
      <c r="G152" s="21">
        <f t="shared" ref="G152" si="14">E152*$F$13</f>
        <v>11.406440367210001</v>
      </c>
      <c r="H152" s="149">
        <f>'Schedule 4 Adjustments'!N151</f>
        <v>0</v>
      </c>
      <c r="I152" s="405">
        <v>0.09</v>
      </c>
      <c r="J152" s="47">
        <f t="shared" ref="J152" si="15">H152*I152</f>
        <v>0</v>
      </c>
      <c r="K152" s="21">
        <f t="shared" ref="K152" si="16">I152*$F$13</f>
        <v>8.5548302754075003</v>
      </c>
    </row>
    <row r="153" spans="1:11" s="22" customFormat="1" x14ac:dyDescent="0.35">
      <c r="A153" s="19">
        <v>140</v>
      </c>
      <c r="B153" s="19" t="s">
        <v>72</v>
      </c>
      <c r="C153" s="20" t="s">
        <v>405</v>
      </c>
      <c r="D153" s="116">
        <f>'Schedule 4 Adjustments'!F152</f>
        <v>0</v>
      </c>
      <c r="E153" s="405">
        <v>1.02</v>
      </c>
      <c r="F153" s="47">
        <f t="shared" si="12"/>
        <v>0</v>
      </c>
      <c r="G153" s="21">
        <f t="shared" si="9"/>
        <v>96.95474312128502</v>
      </c>
      <c r="H153" s="149">
        <f>'Schedule 4 Adjustments'!N152</f>
        <v>0</v>
      </c>
      <c r="I153" s="405">
        <v>0.94</v>
      </c>
      <c r="J153" s="47">
        <f t="shared" si="11"/>
        <v>0</v>
      </c>
      <c r="K153" s="21">
        <f t="shared" si="10"/>
        <v>89.350449543145004</v>
      </c>
    </row>
    <row r="154" spans="1:11" s="22" customFormat="1" x14ac:dyDescent="0.35">
      <c r="A154" s="19">
        <v>141</v>
      </c>
      <c r="B154" s="19" t="s">
        <v>20</v>
      </c>
      <c r="C154" s="20" t="s">
        <v>406</v>
      </c>
      <c r="D154" s="116">
        <f>'Schedule 4 Adjustments'!F153</f>
        <v>0</v>
      </c>
      <c r="E154" s="405">
        <v>0</v>
      </c>
      <c r="F154" s="47">
        <f t="shared" si="12"/>
        <v>0</v>
      </c>
      <c r="G154" s="21">
        <f t="shared" si="9"/>
        <v>0</v>
      </c>
      <c r="H154" s="149">
        <f>'Schedule 4 Adjustments'!N153</f>
        <v>0</v>
      </c>
      <c r="I154" s="405">
        <v>0</v>
      </c>
      <c r="J154" s="47">
        <f t="shared" si="11"/>
        <v>0</v>
      </c>
      <c r="K154" s="21">
        <f t="shared" si="10"/>
        <v>0</v>
      </c>
    </row>
    <row r="155" spans="1:11" s="22" customFormat="1" x14ac:dyDescent="0.35">
      <c r="A155" s="19">
        <v>142</v>
      </c>
      <c r="B155" s="19" t="s">
        <v>73</v>
      </c>
      <c r="C155" s="20" t="s">
        <v>143</v>
      </c>
      <c r="D155" s="116">
        <f>'Schedule 4 Adjustments'!F154</f>
        <v>0</v>
      </c>
      <c r="E155" s="405">
        <v>5.17</v>
      </c>
      <c r="F155" s="47">
        <f t="shared" si="12"/>
        <v>0</v>
      </c>
      <c r="G155" s="21">
        <f t="shared" si="9"/>
        <v>491.42747248729756</v>
      </c>
      <c r="H155" s="149">
        <f>'Schedule 4 Adjustments'!N154</f>
        <v>0</v>
      </c>
      <c r="I155" s="405">
        <v>4.43</v>
      </c>
      <c r="J155" s="47">
        <f t="shared" si="11"/>
        <v>0</v>
      </c>
      <c r="K155" s="21">
        <f t="shared" si="10"/>
        <v>421.08775688950254</v>
      </c>
    </row>
    <row r="156" spans="1:11" s="22" customFormat="1" x14ac:dyDescent="0.35">
      <c r="A156" s="19">
        <v>143</v>
      </c>
      <c r="B156" s="19" t="s">
        <v>74</v>
      </c>
      <c r="C156" s="20" t="s">
        <v>144</v>
      </c>
      <c r="D156" s="116">
        <f>'Schedule 4 Adjustments'!F155</f>
        <v>0</v>
      </c>
      <c r="E156" s="405">
        <v>1.7</v>
      </c>
      <c r="F156" s="47">
        <f t="shared" si="12"/>
        <v>0</v>
      </c>
      <c r="G156" s="21">
        <f t="shared" si="9"/>
        <v>161.59123853547501</v>
      </c>
      <c r="H156" s="149">
        <f>'Schedule 4 Adjustments'!N155</f>
        <v>0</v>
      </c>
      <c r="I156" s="405">
        <v>1.05</v>
      </c>
      <c r="J156" s="47">
        <f t="shared" si="11"/>
        <v>0</v>
      </c>
      <c r="K156" s="21">
        <f t="shared" si="10"/>
        <v>99.806353213087519</v>
      </c>
    </row>
    <row r="157" spans="1:11" s="22" customFormat="1" x14ac:dyDescent="0.35">
      <c r="A157" s="19">
        <v>144</v>
      </c>
      <c r="B157" s="19" t="s">
        <v>26</v>
      </c>
      <c r="C157" s="20" t="s">
        <v>143</v>
      </c>
      <c r="D157" s="116">
        <f>'Schedule 4 Adjustments'!F156</f>
        <v>0</v>
      </c>
      <c r="E157" s="405">
        <v>0</v>
      </c>
      <c r="F157" s="47">
        <f t="shared" si="12"/>
        <v>0</v>
      </c>
      <c r="G157" s="21">
        <f t="shared" si="9"/>
        <v>0</v>
      </c>
      <c r="H157" s="149">
        <f>'Schedule 4 Adjustments'!N156</f>
        <v>0</v>
      </c>
      <c r="I157" s="405">
        <v>0</v>
      </c>
      <c r="J157" s="47">
        <f t="shared" si="11"/>
        <v>0</v>
      </c>
      <c r="K157" s="21">
        <f t="shared" si="10"/>
        <v>0</v>
      </c>
    </row>
    <row r="158" spans="1:11" s="22" customFormat="1" x14ac:dyDescent="0.35">
      <c r="A158" s="19">
        <v>145</v>
      </c>
      <c r="B158" s="19" t="s">
        <v>75</v>
      </c>
      <c r="C158" s="20" t="s">
        <v>145</v>
      </c>
      <c r="D158" s="116">
        <f>'Schedule 4 Adjustments'!F157</f>
        <v>0</v>
      </c>
      <c r="E158" s="405">
        <v>1.35</v>
      </c>
      <c r="F158" s="47">
        <f t="shared" si="12"/>
        <v>0</v>
      </c>
      <c r="G158" s="21">
        <f t="shared" si="9"/>
        <v>128.32245413111252</v>
      </c>
      <c r="H158" s="149">
        <f>'Schedule 4 Adjustments'!N157</f>
        <v>0</v>
      </c>
      <c r="I158" s="405">
        <v>1.35</v>
      </c>
      <c r="J158" s="47">
        <f t="shared" si="11"/>
        <v>0</v>
      </c>
      <c r="K158" s="21">
        <f t="shared" si="10"/>
        <v>128.32245413111252</v>
      </c>
    </row>
    <row r="159" spans="1:11" s="22" customFormat="1" x14ac:dyDescent="0.35">
      <c r="A159" s="19">
        <v>146</v>
      </c>
      <c r="B159" s="19" t="s">
        <v>76</v>
      </c>
      <c r="C159" s="20" t="s">
        <v>146</v>
      </c>
      <c r="D159" s="116">
        <f>'Schedule 4 Adjustments'!F158</f>
        <v>0</v>
      </c>
      <c r="E159" s="405">
        <v>2.56</v>
      </c>
      <c r="F159" s="47">
        <f t="shared" si="12"/>
        <v>0</v>
      </c>
      <c r="G159" s="21">
        <f t="shared" si="9"/>
        <v>243.33739450048006</v>
      </c>
      <c r="H159" s="149">
        <f>'Schedule 4 Adjustments'!N158</f>
        <v>0</v>
      </c>
      <c r="I159" s="405">
        <v>2.14</v>
      </c>
      <c r="J159" s="47">
        <f t="shared" si="11"/>
        <v>0</v>
      </c>
      <c r="K159" s="21">
        <f t="shared" si="10"/>
        <v>203.41485321524505</v>
      </c>
    </row>
    <row r="160" spans="1:11" s="22" customFormat="1" x14ac:dyDescent="0.35">
      <c r="A160" s="19">
        <v>147</v>
      </c>
      <c r="B160" s="19" t="s">
        <v>77</v>
      </c>
      <c r="C160" s="20" t="s">
        <v>407</v>
      </c>
      <c r="D160" s="116">
        <f>'Schedule 4 Adjustments'!F159</f>
        <v>0</v>
      </c>
      <c r="E160" s="405">
        <v>1.6</v>
      </c>
      <c r="F160" s="47">
        <f t="shared" si="12"/>
        <v>0</v>
      </c>
      <c r="G160" s="21">
        <f t="shared" si="9"/>
        <v>152.08587156280004</v>
      </c>
      <c r="H160" s="149">
        <f>'Schedule 4 Adjustments'!N159</f>
        <v>0</v>
      </c>
      <c r="I160" s="405">
        <v>1.6</v>
      </c>
      <c r="J160" s="47">
        <f t="shared" si="11"/>
        <v>0</v>
      </c>
      <c r="K160" s="21">
        <f t="shared" si="10"/>
        <v>152.08587156280004</v>
      </c>
    </row>
    <row r="161" spans="1:11" s="22" customFormat="1" x14ac:dyDescent="0.35">
      <c r="A161" s="19">
        <v>148</v>
      </c>
      <c r="B161" s="19" t="s">
        <v>78</v>
      </c>
      <c r="C161" s="20" t="s">
        <v>408</v>
      </c>
      <c r="D161" s="116">
        <f>'Schedule 4 Adjustments'!F160</f>
        <v>0</v>
      </c>
      <c r="E161" s="405">
        <v>2.64</v>
      </c>
      <c r="F161" s="47">
        <f t="shared" si="12"/>
        <v>0</v>
      </c>
      <c r="G161" s="21">
        <f t="shared" si="9"/>
        <v>250.94168807862005</v>
      </c>
      <c r="H161" s="149">
        <f>'Schedule 4 Adjustments'!N160</f>
        <v>0</v>
      </c>
      <c r="I161" s="405">
        <v>2.64</v>
      </c>
      <c r="J161" s="47">
        <f t="shared" si="11"/>
        <v>0</v>
      </c>
      <c r="K161" s="21">
        <f t="shared" si="10"/>
        <v>250.94168807862005</v>
      </c>
    </row>
    <row r="162" spans="1:11" s="22" customFormat="1" x14ac:dyDescent="0.35">
      <c r="A162" s="19">
        <v>149</v>
      </c>
      <c r="B162" s="19" t="s">
        <v>79</v>
      </c>
      <c r="C162" s="20" t="s">
        <v>409</v>
      </c>
      <c r="D162" s="116">
        <f>'Schedule 4 Adjustments'!F161</f>
        <v>1408</v>
      </c>
      <c r="E162" s="405">
        <v>1.24</v>
      </c>
      <c r="F162" s="47">
        <f t="shared" si="12"/>
        <v>1745.92</v>
      </c>
      <c r="G162" s="21">
        <f t="shared" si="9"/>
        <v>117.86655046117002</v>
      </c>
      <c r="H162" s="149">
        <f>'Schedule 4 Adjustments'!N161</f>
        <v>2985</v>
      </c>
      <c r="I162" s="405">
        <v>1.24</v>
      </c>
      <c r="J162" s="47">
        <f t="shared" si="11"/>
        <v>3701.4</v>
      </c>
      <c r="K162" s="21">
        <f t="shared" si="10"/>
        <v>117.86655046117002</v>
      </c>
    </row>
    <row r="163" spans="1:11" s="22" customFormat="1" x14ac:dyDescent="0.35">
      <c r="A163" s="19">
        <v>150</v>
      </c>
      <c r="B163" s="19" t="s">
        <v>80</v>
      </c>
      <c r="C163" s="20" t="s">
        <v>410</v>
      </c>
      <c r="D163" s="116">
        <f>'Schedule 4 Adjustments'!F162</f>
        <v>0</v>
      </c>
      <c r="E163" s="405">
        <v>0.83</v>
      </c>
      <c r="F163" s="47">
        <f t="shared" si="12"/>
        <v>0</v>
      </c>
      <c r="G163" s="21">
        <f t="shared" si="9"/>
        <v>78.894545873202503</v>
      </c>
      <c r="H163" s="149">
        <f>'Schedule 4 Adjustments'!N162</f>
        <v>0</v>
      </c>
      <c r="I163" s="405">
        <v>0.72</v>
      </c>
      <c r="J163" s="47">
        <f t="shared" si="11"/>
        <v>0</v>
      </c>
      <c r="K163" s="21">
        <f t="shared" si="10"/>
        <v>68.438642203260002</v>
      </c>
    </row>
    <row r="164" spans="1:11" s="22" customFormat="1" x14ac:dyDescent="0.35">
      <c r="A164" s="19">
        <v>151</v>
      </c>
      <c r="B164" s="19" t="s">
        <v>81</v>
      </c>
      <c r="C164" s="20" t="s">
        <v>411</v>
      </c>
      <c r="D164" s="116">
        <f>'Schedule 4 Adjustments'!F163</f>
        <v>7046</v>
      </c>
      <c r="E164" s="405">
        <v>0.92</v>
      </c>
      <c r="F164" s="47">
        <f t="shared" si="12"/>
        <v>6482.3200000000006</v>
      </c>
      <c r="G164" s="21">
        <f t="shared" si="9"/>
        <v>87.449376148610014</v>
      </c>
      <c r="H164" s="149">
        <f>'Schedule 4 Adjustments'!N163</f>
        <v>42003</v>
      </c>
      <c r="I164" s="405">
        <v>0.92</v>
      </c>
      <c r="J164" s="47">
        <f t="shared" si="11"/>
        <v>38642.76</v>
      </c>
      <c r="K164" s="21">
        <f t="shared" si="10"/>
        <v>87.449376148610014</v>
      </c>
    </row>
    <row r="165" spans="1:11" s="22" customFormat="1" x14ac:dyDescent="0.35">
      <c r="A165" s="19">
        <v>152</v>
      </c>
      <c r="B165" s="19" t="s">
        <v>82</v>
      </c>
      <c r="C165" s="20" t="s">
        <v>412</v>
      </c>
      <c r="D165" s="116">
        <f>'Schedule 4 Adjustments'!F164</f>
        <v>0</v>
      </c>
      <c r="E165" s="405">
        <v>0.14000000000000001</v>
      </c>
      <c r="F165" s="47">
        <f t="shared" si="12"/>
        <v>0</v>
      </c>
      <c r="G165" s="21">
        <f t="shared" si="9"/>
        <v>13.307513761745003</v>
      </c>
      <c r="H165" s="149">
        <f>'Schedule 4 Adjustments'!N164</f>
        <v>0</v>
      </c>
      <c r="I165" s="405">
        <v>0.12</v>
      </c>
      <c r="J165" s="47">
        <f t="shared" si="11"/>
        <v>0</v>
      </c>
      <c r="K165" s="21">
        <f t="shared" si="10"/>
        <v>11.406440367210001</v>
      </c>
    </row>
    <row r="166" spans="1:11" s="22" customFormat="1" x14ac:dyDescent="0.35">
      <c r="A166" s="19">
        <v>153</v>
      </c>
      <c r="B166" s="19" t="s">
        <v>83</v>
      </c>
      <c r="C166" s="20" t="s">
        <v>417</v>
      </c>
      <c r="D166" s="116">
        <f>'Schedule 4 Adjustments'!F165</f>
        <v>0</v>
      </c>
      <c r="E166" s="405">
        <v>3.3600000000000003</v>
      </c>
      <c r="F166" s="47">
        <f t="shared" si="12"/>
        <v>0</v>
      </c>
      <c r="G166" s="21">
        <f t="shared" si="9"/>
        <v>319.38033028188011</v>
      </c>
      <c r="H166" s="149">
        <f>'Schedule 4 Adjustments'!N165</f>
        <v>0</v>
      </c>
      <c r="I166" s="405">
        <v>2.88</v>
      </c>
      <c r="J166" s="47">
        <f t="shared" si="11"/>
        <v>0</v>
      </c>
      <c r="K166" s="21">
        <f t="shared" si="10"/>
        <v>273.75456881304001</v>
      </c>
    </row>
    <row r="167" spans="1:11" s="22" customFormat="1" x14ac:dyDescent="0.35">
      <c r="A167" s="19">
        <v>154</v>
      </c>
      <c r="B167" s="19" t="s">
        <v>84</v>
      </c>
      <c r="C167" s="20" t="s">
        <v>415</v>
      </c>
      <c r="D167" s="116">
        <f>'Schedule 4 Adjustments'!F166</f>
        <v>0</v>
      </c>
      <c r="E167" s="405">
        <v>0.44</v>
      </c>
      <c r="F167" s="47">
        <f t="shared" si="12"/>
        <v>0</v>
      </c>
      <c r="G167" s="21">
        <f t="shared" si="9"/>
        <v>41.82361467977001</v>
      </c>
      <c r="H167" s="149">
        <f>'Schedule 4 Adjustments'!N166</f>
        <v>1468</v>
      </c>
      <c r="I167" s="405">
        <v>0.44</v>
      </c>
      <c r="J167" s="47">
        <f t="shared" si="11"/>
        <v>645.91999999999996</v>
      </c>
      <c r="K167" s="21">
        <f t="shared" si="10"/>
        <v>41.82361467977001</v>
      </c>
    </row>
    <row r="168" spans="1:11" s="22" customFormat="1" x14ac:dyDescent="0.35">
      <c r="A168" s="19">
        <v>155</v>
      </c>
      <c r="B168" s="19" t="s">
        <v>85</v>
      </c>
      <c r="C168" s="20" t="s">
        <v>416</v>
      </c>
      <c r="D168" s="116">
        <f>'Schedule 4 Adjustments'!F167</f>
        <v>0</v>
      </c>
      <c r="E168" s="405">
        <v>5.28</v>
      </c>
      <c r="F168" s="47">
        <f t="shared" si="12"/>
        <v>0</v>
      </c>
      <c r="G168" s="21">
        <f t="shared" si="9"/>
        <v>501.88337615724009</v>
      </c>
      <c r="H168" s="149">
        <f>'Schedule 4 Adjustments'!N167</f>
        <v>0</v>
      </c>
      <c r="I168" s="405">
        <v>5.28</v>
      </c>
      <c r="J168" s="47">
        <f t="shared" si="11"/>
        <v>0</v>
      </c>
      <c r="K168" s="21">
        <f t="shared" si="10"/>
        <v>501.88337615724009</v>
      </c>
    </row>
    <row r="169" spans="1:11" s="22" customFormat="1" x14ac:dyDescent="0.35">
      <c r="A169" s="19">
        <v>156</v>
      </c>
      <c r="B169" s="19" t="s">
        <v>86</v>
      </c>
      <c r="C169" s="20" t="s">
        <v>414</v>
      </c>
      <c r="D169" s="116">
        <f>'Schedule 4 Adjustments'!F168</f>
        <v>0</v>
      </c>
      <c r="E169" s="405">
        <v>0.44</v>
      </c>
      <c r="F169" s="47">
        <f t="shared" si="12"/>
        <v>0</v>
      </c>
      <c r="G169" s="21">
        <f t="shared" si="9"/>
        <v>41.82361467977001</v>
      </c>
      <c r="H169" s="149">
        <f>'Schedule 4 Adjustments'!N168</f>
        <v>0</v>
      </c>
      <c r="I169" s="405">
        <v>0.44</v>
      </c>
      <c r="J169" s="47">
        <f t="shared" si="11"/>
        <v>0</v>
      </c>
      <c r="K169" s="21">
        <f t="shared" si="10"/>
        <v>41.82361467977001</v>
      </c>
    </row>
    <row r="170" spans="1:11" s="22" customFormat="1" x14ac:dyDescent="0.35">
      <c r="A170" s="19">
        <v>157</v>
      </c>
      <c r="B170" s="19" t="s">
        <v>87</v>
      </c>
      <c r="C170" s="20" t="s">
        <v>413</v>
      </c>
      <c r="D170" s="116">
        <f>'Schedule 4 Adjustments'!F169</f>
        <v>0</v>
      </c>
      <c r="E170" s="405">
        <v>5.28</v>
      </c>
      <c r="F170" s="47">
        <f t="shared" si="12"/>
        <v>0</v>
      </c>
      <c r="G170" s="21">
        <f t="shared" si="9"/>
        <v>501.88337615724009</v>
      </c>
      <c r="H170" s="149">
        <f>'Schedule 4 Adjustments'!N169</f>
        <v>0</v>
      </c>
      <c r="I170" s="405">
        <v>5.28</v>
      </c>
      <c r="J170" s="47">
        <f t="shared" si="11"/>
        <v>0</v>
      </c>
      <c r="K170" s="21">
        <f t="shared" si="10"/>
        <v>501.88337615724009</v>
      </c>
    </row>
    <row r="171" spans="1:11" s="22" customFormat="1" x14ac:dyDescent="0.35">
      <c r="A171" s="19">
        <v>158</v>
      </c>
      <c r="B171" s="19" t="s">
        <v>88</v>
      </c>
      <c r="C171" s="20" t="s">
        <v>418</v>
      </c>
      <c r="D171" s="116">
        <f>'Schedule 4 Adjustments'!F170</f>
        <v>56</v>
      </c>
      <c r="E171" s="405">
        <v>0.14000000000000001</v>
      </c>
      <c r="F171" s="47">
        <f t="shared" si="12"/>
        <v>7.8400000000000007</v>
      </c>
      <c r="G171" s="21">
        <f t="shared" si="9"/>
        <v>13.307513761745003</v>
      </c>
      <c r="H171" s="149">
        <f>'Schedule 4 Adjustments'!N170</f>
        <v>28</v>
      </c>
      <c r="I171" s="405">
        <v>0.12</v>
      </c>
      <c r="J171" s="47">
        <f t="shared" si="11"/>
        <v>3.36</v>
      </c>
      <c r="K171" s="21">
        <f t="shared" si="10"/>
        <v>11.406440367210001</v>
      </c>
    </row>
    <row r="172" spans="1:11" s="22" customFormat="1" x14ac:dyDescent="0.35">
      <c r="A172" s="19">
        <v>159</v>
      </c>
      <c r="B172" s="19" t="s">
        <v>89</v>
      </c>
      <c r="C172" s="20" t="s">
        <v>419</v>
      </c>
      <c r="D172" s="116">
        <f>'Schedule 4 Adjustments'!F171</f>
        <v>0</v>
      </c>
      <c r="E172" s="405">
        <v>3.3600000000000003</v>
      </c>
      <c r="F172" s="47">
        <f t="shared" si="12"/>
        <v>0</v>
      </c>
      <c r="G172" s="21">
        <f t="shared" si="9"/>
        <v>319.38033028188011</v>
      </c>
      <c r="H172" s="149">
        <f>'Schedule 4 Adjustments'!N171</f>
        <v>0</v>
      </c>
      <c r="I172" s="405">
        <v>2.88</v>
      </c>
      <c r="J172" s="47">
        <f t="shared" si="11"/>
        <v>0</v>
      </c>
      <c r="K172" s="21">
        <f t="shared" si="10"/>
        <v>273.75456881304001</v>
      </c>
    </row>
    <row r="173" spans="1:11" s="22" customFormat="1" x14ac:dyDescent="0.35">
      <c r="A173" s="19">
        <v>160</v>
      </c>
      <c r="B173" s="19" t="s">
        <v>90</v>
      </c>
      <c r="C173" s="20" t="s">
        <v>420</v>
      </c>
      <c r="D173" s="116">
        <f>'Schedule 4 Adjustments'!F172</f>
        <v>0</v>
      </c>
      <c r="E173" s="405">
        <v>0.14000000000000001</v>
      </c>
      <c r="F173" s="47">
        <f t="shared" si="12"/>
        <v>0</v>
      </c>
      <c r="G173" s="21">
        <f t="shared" si="9"/>
        <v>13.307513761745003</v>
      </c>
      <c r="H173" s="149">
        <f>'Schedule 4 Adjustments'!N172</f>
        <v>0</v>
      </c>
      <c r="I173" s="405">
        <v>0.12</v>
      </c>
      <c r="J173" s="47">
        <f t="shared" si="11"/>
        <v>0</v>
      </c>
      <c r="K173" s="21">
        <f t="shared" si="10"/>
        <v>11.406440367210001</v>
      </c>
    </row>
    <row r="174" spans="1:11" s="22" customFormat="1" x14ac:dyDescent="0.35">
      <c r="A174" s="19">
        <v>161</v>
      </c>
      <c r="B174" s="19" t="s">
        <v>91</v>
      </c>
      <c r="C174" s="20" t="s">
        <v>421</v>
      </c>
      <c r="D174" s="116">
        <f>'Schedule 4 Adjustments'!F173</f>
        <v>0</v>
      </c>
      <c r="E174" s="405">
        <v>3.3600000000000003</v>
      </c>
      <c r="F174" s="47">
        <f t="shared" si="12"/>
        <v>0</v>
      </c>
      <c r="G174" s="21">
        <f t="shared" si="9"/>
        <v>319.38033028188011</v>
      </c>
      <c r="H174" s="149">
        <f>'Schedule 4 Adjustments'!N173</f>
        <v>0</v>
      </c>
      <c r="I174" s="405">
        <v>2.88</v>
      </c>
      <c r="J174" s="47">
        <f t="shared" si="11"/>
        <v>0</v>
      </c>
      <c r="K174" s="21">
        <f t="shared" si="10"/>
        <v>273.75456881304001</v>
      </c>
    </row>
    <row r="175" spans="1:11" s="22" customFormat="1" x14ac:dyDescent="0.35">
      <c r="A175" s="19">
        <v>162</v>
      </c>
      <c r="B175" s="19" t="s">
        <v>92</v>
      </c>
      <c r="C175" s="20" t="s">
        <v>422</v>
      </c>
      <c r="D175" s="116">
        <f>'Schedule 4 Adjustments'!F174</f>
        <v>0</v>
      </c>
      <c r="E175" s="405">
        <v>0.14000000000000001</v>
      </c>
      <c r="F175" s="47">
        <f t="shared" si="12"/>
        <v>0</v>
      </c>
      <c r="G175" s="21">
        <f t="shared" si="9"/>
        <v>13.307513761745003</v>
      </c>
      <c r="H175" s="149">
        <f>'Schedule 4 Adjustments'!N174</f>
        <v>1</v>
      </c>
      <c r="I175" s="405">
        <v>0.12</v>
      </c>
      <c r="J175" s="47">
        <f t="shared" si="11"/>
        <v>0.12</v>
      </c>
      <c r="K175" s="21">
        <f t="shared" si="10"/>
        <v>11.406440367210001</v>
      </c>
    </row>
    <row r="176" spans="1:11" s="22" customFormat="1" x14ac:dyDescent="0.35">
      <c r="A176" s="19">
        <v>163</v>
      </c>
      <c r="B176" s="19" t="s">
        <v>93</v>
      </c>
      <c r="C176" s="20" t="s">
        <v>423</v>
      </c>
      <c r="D176" s="116">
        <f>'Schedule 4 Adjustments'!F175</f>
        <v>0</v>
      </c>
      <c r="E176" s="405">
        <v>0.14000000000000001</v>
      </c>
      <c r="F176" s="47">
        <f t="shared" si="12"/>
        <v>0</v>
      </c>
      <c r="G176" s="21">
        <f t="shared" si="9"/>
        <v>13.307513761745003</v>
      </c>
      <c r="H176" s="149">
        <f>'Schedule 4 Adjustments'!N175</f>
        <v>0</v>
      </c>
      <c r="I176" s="405">
        <v>0.12</v>
      </c>
      <c r="J176" s="47">
        <f t="shared" si="11"/>
        <v>0</v>
      </c>
      <c r="K176" s="21">
        <f t="shared" si="10"/>
        <v>11.406440367210001</v>
      </c>
    </row>
    <row r="177" spans="1:11" s="22" customFormat="1" x14ac:dyDescent="0.35">
      <c r="A177" s="19">
        <v>164</v>
      </c>
      <c r="B177" s="19" t="s">
        <v>94</v>
      </c>
      <c r="C177" s="20" t="s">
        <v>424</v>
      </c>
      <c r="D177" s="116">
        <f>'Schedule 4 Adjustments'!F176</f>
        <v>0</v>
      </c>
      <c r="E177" s="405">
        <v>3.3600000000000003</v>
      </c>
      <c r="F177" s="47">
        <f t="shared" si="12"/>
        <v>0</v>
      </c>
      <c r="G177" s="21">
        <f t="shared" si="9"/>
        <v>319.38033028188011</v>
      </c>
      <c r="H177" s="149">
        <f>'Schedule 4 Adjustments'!N176</f>
        <v>0</v>
      </c>
      <c r="I177" s="405">
        <v>2.88</v>
      </c>
      <c r="J177" s="47">
        <f t="shared" si="11"/>
        <v>0</v>
      </c>
      <c r="K177" s="21">
        <f t="shared" si="10"/>
        <v>273.75456881304001</v>
      </c>
    </row>
    <row r="178" spans="1:11" s="22" customFormat="1" x14ac:dyDescent="0.35">
      <c r="A178" s="19">
        <v>165</v>
      </c>
      <c r="B178" s="19" t="s">
        <v>95</v>
      </c>
      <c r="C178" s="20" t="s">
        <v>425</v>
      </c>
      <c r="D178" s="116">
        <f>'Schedule 4 Adjustments'!F177</f>
        <v>0</v>
      </c>
      <c r="E178" s="405">
        <v>0.14000000000000001</v>
      </c>
      <c r="F178" s="47">
        <f t="shared" si="12"/>
        <v>0</v>
      </c>
      <c r="G178" s="21">
        <f t="shared" si="9"/>
        <v>13.307513761745003</v>
      </c>
      <c r="H178" s="149">
        <f>'Schedule 4 Adjustments'!N177</f>
        <v>0</v>
      </c>
      <c r="I178" s="405">
        <v>0.12</v>
      </c>
      <c r="J178" s="47">
        <f t="shared" si="11"/>
        <v>0</v>
      </c>
      <c r="K178" s="21">
        <f t="shared" si="10"/>
        <v>11.406440367210001</v>
      </c>
    </row>
    <row r="179" spans="1:11" s="22" customFormat="1" x14ac:dyDescent="0.35">
      <c r="A179" s="19">
        <v>166</v>
      </c>
      <c r="B179" s="19" t="s">
        <v>96</v>
      </c>
      <c r="C179" s="20" t="s">
        <v>426</v>
      </c>
      <c r="D179" s="116">
        <f>'Schedule 4 Adjustments'!F178</f>
        <v>0</v>
      </c>
      <c r="E179" s="405">
        <v>1.29</v>
      </c>
      <c r="F179" s="47">
        <f t="shared" si="12"/>
        <v>0</v>
      </c>
      <c r="G179" s="21">
        <f t="shared" si="9"/>
        <v>122.61923394750752</v>
      </c>
      <c r="H179" s="149">
        <f>'Schedule 4 Adjustments'!N178</f>
        <v>0</v>
      </c>
      <c r="I179" s="405">
        <v>1.1299999999999999</v>
      </c>
      <c r="J179" s="47">
        <f t="shared" si="11"/>
        <v>0</v>
      </c>
      <c r="K179" s="21">
        <f t="shared" si="10"/>
        <v>107.41064679122751</v>
      </c>
    </row>
    <row r="180" spans="1:11" s="22" customFormat="1" x14ac:dyDescent="0.35">
      <c r="A180" s="19">
        <v>167</v>
      </c>
      <c r="B180" s="19" t="s">
        <v>35</v>
      </c>
      <c r="C180" s="20" t="s">
        <v>37</v>
      </c>
      <c r="D180" s="116">
        <f>'Schedule 4 Adjustments'!F179</f>
        <v>0</v>
      </c>
      <c r="E180" s="405">
        <v>0</v>
      </c>
      <c r="F180" s="47">
        <f t="shared" si="12"/>
        <v>0</v>
      </c>
      <c r="G180" s="21">
        <f t="shared" si="9"/>
        <v>0</v>
      </c>
      <c r="H180" s="149">
        <f>'Schedule 4 Adjustments'!N179</f>
        <v>0</v>
      </c>
      <c r="I180" s="405">
        <v>0</v>
      </c>
      <c r="J180" s="47">
        <f t="shared" si="11"/>
        <v>0</v>
      </c>
      <c r="K180" s="21">
        <f t="shared" si="10"/>
        <v>0</v>
      </c>
    </row>
    <row r="181" spans="1:11" s="22" customFormat="1" x14ac:dyDescent="0.35">
      <c r="A181" s="19">
        <v>168</v>
      </c>
      <c r="B181" s="19" t="s">
        <v>97</v>
      </c>
      <c r="C181" s="20" t="s">
        <v>427</v>
      </c>
      <c r="D181" s="116">
        <f>'Schedule 4 Adjustments'!F180</f>
        <v>0</v>
      </c>
      <c r="E181" s="405">
        <v>0</v>
      </c>
      <c r="F181" s="47">
        <f t="shared" si="12"/>
        <v>0</v>
      </c>
      <c r="G181" s="21">
        <f t="shared" si="9"/>
        <v>0</v>
      </c>
      <c r="H181" s="149">
        <f>'Schedule 4 Adjustments'!N180</f>
        <v>0</v>
      </c>
      <c r="I181" s="405">
        <v>0</v>
      </c>
      <c r="J181" s="47">
        <f t="shared" si="11"/>
        <v>0</v>
      </c>
      <c r="K181" s="21">
        <f t="shared" si="10"/>
        <v>0</v>
      </c>
    </row>
    <row r="182" spans="1:11" s="22" customFormat="1" x14ac:dyDescent="0.35">
      <c r="A182" s="19">
        <v>169</v>
      </c>
      <c r="B182" s="19" t="s">
        <v>98</v>
      </c>
      <c r="C182" s="20" t="s">
        <v>428</v>
      </c>
      <c r="D182" s="116">
        <f>'Schedule 4 Adjustments'!F181</f>
        <v>0</v>
      </c>
      <c r="E182" s="405">
        <v>0.22</v>
      </c>
      <c r="F182" s="47">
        <f t="shared" si="12"/>
        <v>0</v>
      </c>
      <c r="G182" s="21">
        <f t="shared" si="9"/>
        <v>20.911807339885005</v>
      </c>
      <c r="H182" s="149">
        <f>'Schedule 4 Adjustments'!N181</f>
        <v>0</v>
      </c>
      <c r="I182" s="405">
        <v>0.22</v>
      </c>
      <c r="J182" s="47">
        <f t="shared" si="11"/>
        <v>0</v>
      </c>
      <c r="K182" s="21">
        <f t="shared" si="10"/>
        <v>20.911807339885005</v>
      </c>
    </row>
    <row r="183" spans="1:11" s="22" customFormat="1" x14ac:dyDescent="0.35">
      <c r="A183" s="19">
        <v>170</v>
      </c>
      <c r="B183" s="19" t="s">
        <v>99</v>
      </c>
      <c r="C183" s="20" t="s">
        <v>429</v>
      </c>
      <c r="D183" s="116">
        <f>'Schedule 4 Adjustments'!F182</f>
        <v>0</v>
      </c>
      <c r="E183" s="405">
        <v>4.4000000000000004</v>
      </c>
      <c r="F183" s="47">
        <f t="shared" si="12"/>
        <v>0</v>
      </c>
      <c r="G183" s="21">
        <f t="shared" si="9"/>
        <v>418.23614679770009</v>
      </c>
      <c r="H183" s="149">
        <f>'Schedule 4 Adjustments'!N182</f>
        <v>0</v>
      </c>
      <c r="I183" s="405">
        <v>4.4000000000000004</v>
      </c>
      <c r="J183" s="47">
        <f t="shared" si="11"/>
        <v>0</v>
      </c>
      <c r="K183" s="21">
        <f t="shared" si="10"/>
        <v>418.23614679770009</v>
      </c>
    </row>
    <row r="184" spans="1:11" s="22" customFormat="1" x14ac:dyDescent="0.35">
      <c r="A184" s="19">
        <v>171</v>
      </c>
      <c r="B184" s="19" t="s">
        <v>100</v>
      </c>
      <c r="C184" s="20" t="s">
        <v>147</v>
      </c>
      <c r="D184" s="116">
        <f>'Schedule 4 Adjustments'!F183</f>
        <v>0</v>
      </c>
      <c r="E184" s="405">
        <v>1.02</v>
      </c>
      <c r="F184" s="47">
        <f t="shared" si="12"/>
        <v>0</v>
      </c>
      <c r="G184" s="21">
        <f t="shared" si="9"/>
        <v>96.95474312128502</v>
      </c>
      <c r="H184" s="149">
        <f>'Schedule 4 Adjustments'!N183</f>
        <v>0</v>
      </c>
      <c r="I184" s="405">
        <v>0.94</v>
      </c>
      <c r="J184" s="47">
        <f t="shared" si="11"/>
        <v>0</v>
      </c>
      <c r="K184" s="21">
        <f t="shared" si="10"/>
        <v>89.350449543145004</v>
      </c>
    </row>
    <row r="185" spans="1:11" s="22" customFormat="1" x14ac:dyDescent="0.35">
      <c r="A185" s="19">
        <v>172</v>
      </c>
      <c r="B185" s="19" t="s">
        <v>101</v>
      </c>
      <c r="C185" s="20" t="s">
        <v>148</v>
      </c>
      <c r="D185" s="116">
        <f>'Schedule 4 Adjustments'!F184</f>
        <v>0</v>
      </c>
      <c r="E185" s="405">
        <v>0.75</v>
      </c>
      <c r="F185" s="47">
        <f t="shared" si="12"/>
        <v>0</v>
      </c>
      <c r="G185" s="21">
        <f t="shared" si="9"/>
        <v>71.290252295062515</v>
      </c>
      <c r="H185" s="149">
        <f>'Schedule 4 Adjustments'!N184</f>
        <v>0</v>
      </c>
      <c r="I185" s="405">
        <v>0.37</v>
      </c>
      <c r="J185" s="47">
        <f t="shared" si="11"/>
        <v>0</v>
      </c>
      <c r="K185" s="21">
        <f t="shared" si="10"/>
        <v>35.169857798897503</v>
      </c>
    </row>
    <row r="186" spans="1:11" s="22" customFormat="1" x14ac:dyDescent="0.35">
      <c r="A186" s="19">
        <v>173</v>
      </c>
      <c r="B186" s="19" t="s">
        <v>102</v>
      </c>
      <c r="C186" s="20" t="s">
        <v>430</v>
      </c>
      <c r="D186" s="116">
        <f>'Schedule 4 Adjustments'!F185</f>
        <v>0</v>
      </c>
      <c r="E186" s="405">
        <v>0.75</v>
      </c>
      <c r="F186" s="47">
        <f t="shared" si="12"/>
        <v>0</v>
      </c>
      <c r="G186" s="21">
        <f t="shared" si="9"/>
        <v>71.290252295062515</v>
      </c>
      <c r="H186" s="149">
        <f>'Schedule 4 Adjustments'!N185</f>
        <v>0</v>
      </c>
      <c r="I186" s="405">
        <v>0.37</v>
      </c>
      <c r="J186" s="47">
        <f t="shared" si="11"/>
        <v>0</v>
      </c>
      <c r="K186" s="21">
        <f t="shared" si="10"/>
        <v>35.169857798897503</v>
      </c>
    </row>
    <row r="187" spans="1:11" s="22" customFormat="1" x14ac:dyDescent="0.35">
      <c r="A187" s="19">
        <v>174</v>
      </c>
      <c r="B187" s="19" t="s">
        <v>103</v>
      </c>
      <c r="C187" s="20" t="s">
        <v>431</v>
      </c>
      <c r="D187" s="116">
        <f>'Schedule 4 Adjustments'!F186</f>
        <v>0</v>
      </c>
      <c r="E187" s="405">
        <v>3.96</v>
      </c>
      <c r="F187" s="47">
        <f t="shared" si="12"/>
        <v>0</v>
      </c>
      <c r="G187" s="21">
        <f t="shared" si="9"/>
        <v>376.41253211793008</v>
      </c>
      <c r="H187" s="149">
        <f>'Schedule 4 Adjustments'!N186</f>
        <v>2200</v>
      </c>
      <c r="I187" s="405">
        <v>3.96</v>
      </c>
      <c r="J187" s="47">
        <f t="shared" si="11"/>
        <v>8712</v>
      </c>
      <c r="K187" s="21">
        <f t="shared" si="10"/>
        <v>376.41253211793008</v>
      </c>
    </row>
    <row r="188" spans="1:11" s="22" customFormat="1" x14ac:dyDescent="0.35">
      <c r="A188" s="19">
        <v>175</v>
      </c>
      <c r="B188" s="19" t="s">
        <v>104</v>
      </c>
      <c r="C188" s="20" t="s">
        <v>432</v>
      </c>
      <c r="D188" s="116">
        <f>'Schedule 4 Adjustments'!F187</f>
        <v>0</v>
      </c>
      <c r="E188" s="405">
        <v>3.59</v>
      </c>
      <c r="F188" s="47">
        <f t="shared" si="12"/>
        <v>0</v>
      </c>
      <c r="G188" s="21">
        <f t="shared" si="9"/>
        <v>341.24267431903252</v>
      </c>
      <c r="H188" s="149">
        <f>'Schedule 4 Adjustments'!N187</f>
        <v>0</v>
      </c>
      <c r="I188" s="405">
        <v>3.59</v>
      </c>
      <c r="J188" s="47">
        <f t="shared" si="11"/>
        <v>0</v>
      </c>
      <c r="K188" s="21">
        <f t="shared" si="10"/>
        <v>341.24267431903252</v>
      </c>
    </row>
    <row r="189" spans="1:11" s="22" customFormat="1" x14ac:dyDescent="0.35">
      <c r="A189" s="19">
        <v>176</v>
      </c>
      <c r="B189" s="19" t="s">
        <v>36</v>
      </c>
      <c r="C189" s="20" t="s">
        <v>38</v>
      </c>
      <c r="D189" s="116">
        <f>'Schedule 4 Adjustments'!F188</f>
        <v>0</v>
      </c>
      <c r="E189" s="405">
        <v>0</v>
      </c>
      <c r="F189" s="47">
        <f t="shared" si="12"/>
        <v>0</v>
      </c>
      <c r="G189" s="21">
        <f t="shared" si="9"/>
        <v>0</v>
      </c>
      <c r="H189" s="149">
        <f>'Schedule 4 Adjustments'!N188</f>
        <v>0</v>
      </c>
      <c r="I189" s="405">
        <v>0</v>
      </c>
      <c r="J189" s="47">
        <f t="shared" si="11"/>
        <v>0</v>
      </c>
      <c r="K189" s="21">
        <f t="shared" si="10"/>
        <v>0</v>
      </c>
    </row>
    <row r="190" spans="1:11" s="22" customFormat="1" x14ac:dyDescent="0.35">
      <c r="A190" s="19">
        <v>177</v>
      </c>
      <c r="B190" s="19" t="s">
        <v>105</v>
      </c>
      <c r="C190" s="20" t="s">
        <v>433</v>
      </c>
      <c r="D190" s="116">
        <f>'Schedule 4 Adjustments'!F189</f>
        <v>0</v>
      </c>
      <c r="E190" s="405">
        <v>0.28999999999999998</v>
      </c>
      <c r="F190" s="47">
        <f t="shared" si="12"/>
        <v>0</v>
      </c>
      <c r="G190" s="21">
        <f t="shared" si="9"/>
        <v>27.565564220757501</v>
      </c>
      <c r="H190" s="149">
        <f>'Schedule 4 Adjustments'!N189</f>
        <v>0</v>
      </c>
      <c r="I190" s="405">
        <v>0.28999999999999998</v>
      </c>
      <c r="J190" s="47">
        <f t="shared" si="11"/>
        <v>0</v>
      </c>
      <c r="K190" s="21">
        <f t="shared" si="10"/>
        <v>27.565564220757501</v>
      </c>
    </row>
    <row r="191" spans="1:11" s="22" customFormat="1" x14ac:dyDescent="0.35">
      <c r="A191" s="19">
        <v>178</v>
      </c>
      <c r="B191" s="19" t="s">
        <v>106</v>
      </c>
      <c r="C191" s="20" t="s">
        <v>149</v>
      </c>
      <c r="D191" s="116">
        <f>'Schedule 4 Adjustments'!F190</f>
        <v>0</v>
      </c>
      <c r="E191" s="405">
        <v>3.07</v>
      </c>
      <c r="F191" s="47">
        <f t="shared" si="12"/>
        <v>0</v>
      </c>
      <c r="G191" s="21">
        <f t="shared" si="9"/>
        <v>291.81476606112255</v>
      </c>
      <c r="H191" s="149">
        <f>'Schedule 4 Adjustments'!N190</f>
        <v>0</v>
      </c>
      <c r="I191" s="405">
        <v>3.05</v>
      </c>
      <c r="J191" s="47">
        <f t="shared" si="11"/>
        <v>0</v>
      </c>
      <c r="K191" s="21">
        <f t="shared" si="10"/>
        <v>289.91369266658751</v>
      </c>
    </row>
    <row r="192" spans="1:11" s="22" customFormat="1" ht="29" x14ac:dyDescent="0.35">
      <c r="A192" s="19">
        <v>179</v>
      </c>
      <c r="B192" s="19" t="s">
        <v>27</v>
      </c>
      <c r="C192" s="20" t="s">
        <v>30</v>
      </c>
      <c r="D192" s="116">
        <f>'Schedule 4 Adjustments'!F191</f>
        <v>0</v>
      </c>
      <c r="E192" s="405">
        <v>0</v>
      </c>
      <c r="F192" s="47">
        <f t="shared" si="12"/>
        <v>0</v>
      </c>
      <c r="G192" s="21">
        <f t="shared" si="9"/>
        <v>0</v>
      </c>
      <c r="H192" s="149">
        <f>'Schedule 4 Adjustments'!N191</f>
        <v>0</v>
      </c>
      <c r="I192" s="405">
        <v>0</v>
      </c>
      <c r="J192" s="47">
        <f t="shared" si="11"/>
        <v>0</v>
      </c>
      <c r="K192" s="21">
        <f t="shared" si="10"/>
        <v>0</v>
      </c>
    </row>
    <row r="193" spans="1:11" s="22" customFormat="1" x14ac:dyDescent="0.35">
      <c r="A193" s="19">
        <v>180</v>
      </c>
      <c r="B193" s="19" t="s">
        <v>107</v>
      </c>
      <c r="C193" s="20" t="s">
        <v>150</v>
      </c>
      <c r="D193" s="116">
        <f>'Schedule 4 Adjustments'!F192</f>
        <v>0</v>
      </c>
      <c r="E193" s="405">
        <v>0.59</v>
      </c>
      <c r="F193" s="47">
        <f t="shared" si="12"/>
        <v>0</v>
      </c>
      <c r="G193" s="21">
        <f t="shared" si="9"/>
        <v>56.081665138782505</v>
      </c>
      <c r="H193" s="149">
        <f>'Schedule 4 Adjustments'!N192</f>
        <v>0</v>
      </c>
      <c r="I193" s="405">
        <v>0.55000000000000004</v>
      </c>
      <c r="J193" s="47">
        <f t="shared" si="11"/>
        <v>0</v>
      </c>
      <c r="K193" s="21">
        <f t="shared" si="10"/>
        <v>52.279518349712511</v>
      </c>
    </row>
    <row r="194" spans="1:11" s="22" customFormat="1" x14ac:dyDescent="0.35">
      <c r="A194" s="19">
        <v>181</v>
      </c>
      <c r="B194" s="19" t="s">
        <v>28</v>
      </c>
      <c r="C194" s="20" t="s">
        <v>31</v>
      </c>
      <c r="D194" s="116">
        <f>'Schedule 4 Adjustments'!F193</f>
        <v>0</v>
      </c>
      <c r="E194" s="405">
        <v>0</v>
      </c>
      <c r="F194" s="47">
        <f t="shared" si="12"/>
        <v>0</v>
      </c>
      <c r="G194" s="21">
        <f t="shared" si="9"/>
        <v>0</v>
      </c>
      <c r="H194" s="149">
        <f>'Schedule 4 Adjustments'!N193</f>
        <v>0</v>
      </c>
      <c r="I194" s="405">
        <v>0</v>
      </c>
      <c r="J194" s="47">
        <f t="shared" si="11"/>
        <v>0</v>
      </c>
      <c r="K194" s="21">
        <f t="shared" si="10"/>
        <v>0</v>
      </c>
    </row>
    <row r="195" spans="1:11" s="22" customFormat="1" x14ac:dyDescent="0.35">
      <c r="A195" s="19">
        <v>182</v>
      </c>
      <c r="B195" s="19" t="s">
        <v>108</v>
      </c>
      <c r="C195" s="20" t="s">
        <v>434</v>
      </c>
      <c r="D195" s="116">
        <f>'Schedule 4 Adjustments'!F194</f>
        <v>0</v>
      </c>
      <c r="E195" s="405">
        <v>0.64</v>
      </c>
      <c r="F195" s="47">
        <f t="shared" si="12"/>
        <v>0</v>
      </c>
      <c r="G195" s="21">
        <f t="shared" si="9"/>
        <v>60.834348625120015</v>
      </c>
      <c r="H195" s="149">
        <f>'Schedule 4 Adjustments'!N194</f>
        <v>0</v>
      </c>
      <c r="I195" s="405">
        <v>0.6</v>
      </c>
      <c r="J195" s="47">
        <f t="shared" si="11"/>
        <v>0</v>
      </c>
      <c r="K195" s="21">
        <f t="shared" si="10"/>
        <v>57.032201836050007</v>
      </c>
    </row>
    <row r="196" spans="1:11" s="22" customFormat="1" x14ac:dyDescent="0.35">
      <c r="A196" s="19">
        <v>183</v>
      </c>
      <c r="B196" s="19" t="s">
        <v>109</v>
      </c>
      <c r="C196" s="20" t="s">
        <v>151</v>
      </c>
      <c r="D196" s="116">
        <f>'Schedule 4 Adjustments'!F195</f>
        <v>7596</v>
      </c>
      <c r="E196" s="405">
        <v>0.65000000000000013</v>
      </c>
      <c r="F196" s="47">
        <f t="shared" si="12"/>
        <v>4937.4000000000015</v>
      </c>
      <c r="G196" s="21">
        <f t="shared" si="9"/>
        <v>61.784885322387524</v>
      </c>
      <c r="H196" s="149">
        <f>'Schedule 4 Adjustments'!N195</f>
        <v>16528</v>
      </c>
      <c r="I196" s="405">
        <v>0.59999999999999987</v>
      </c>
      <c r="J196" s="47">
        <f t="shared" si="11"/>
        <v>9916.7999999999975</v>
      </c>
      <c r="K196" s="21">
        <f t="shared" si="10"/>
        <v>57.03220183605</v>
      </c>
    </row>
    <row r="197" spans="1:11" s="22" customFormat="1" x14ac:dyDescent="0.35">
      <c r="A197" s="19">
        <v>184</v>
      </c>
      <c r="B197" s="19" t="s">
        <v>29</v>
      </c>
      <c r="C197" s="20" t="s">
        <v>32</v>
      </c>
      <c r="D197" s="116">
        <f>'Schedule 4 Adjustments'!F196</f>
        <v>0</v>
      </c>
      <c r="E197" s="405">
        <v>0</v>
      </c>
      <c r="F197" s="47">
        <f t="shared" si="12"/>
        <v>0</v>
      </c>
      <c r="G197" s="21">
        <f t="shared" si="9"/>
        <v>0</v>
      </c>
      <c r="H197" s="149">
        <f>'Schedule 4 Adjustments'!N196</f>
        <v>0</v>
      </c>
      <c r="I197" s="405">
        <v>0</v>
      </c>
      <c r="J197" s="47">
        <f t="shared" si="11"/>
        <v>0</v>
      </c>
      <c r="K197" s="21">
        <f t="shared" si="10"/>
        <v>0</v>
      </c>
    </row>
    <row r="198" spans="1:11" x14ac:dyDescent="0.35">
      <c r="A198" s="19">
        <v>185</v>
      </c>
      <c r="B198" s="418"/>
      <c r="D198" s="9">
        <f>SUM(D18:D197)</f>
        <v>40652</v>
      </c>
      <c r="E198" s="13"/>
      <c r="F198" s="9">
        <f>SUM(F19:F197)</f>
        <v>64828.62</v>
      </c>
      <c r="H198" s="9">
        <f>SUM(H19:H197)</f>
        <v>250438</v>
      </c>
      <c r="J198" s="9">
        <f>SUM(J19:J197)</f>
        <v>400989.84999999992</v>
      </c>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
    <mergeCell ref="K5:K7"/>
    <mergeCell ref="L5:L7"/>
    <mergeCell ref="D16:G16"/>
    <mergeCell ref="H16:K16"/>
    <mergeCell ref="J10:J12"/>
    <mergeCell ref="K10:K12"/>
  </mergeCells>
  <pageMargins left="0.7" right="0.7" top="0.75" bottom="0.75" header="0.3" footer="0.3"/>
  <pageSetup orientation="portrait" horizontalDpi="1200" verticalDpi="1200"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rgb="FFF8971D"/>
  </sheetPr>
  <dimension ref="A1:M47"/>
  <sheetViews>
    <sheetView workbookViewId="0">
      <selection activeCell="D41" sqref="D41"/>
    </sheetView>
  </sheetViews>
  <sheetFormatPr defaultColWidth="9.1796875" defaultRowHeight="14.5" x14ac:dyDescent="0.35"/>
  <cols>
    <col min="2" max="2" width="16.54296875" customWidth="1"/>
    <col min="3" max="3" width="40.7265625" customWidth="1"/>
    <col min="4" max="4" width="26.7265625" style="100" customWidth="1"/>
    <col min="5" max="5" width="3" customWidth="1"/>
    <col min="6" max="6" width="9.1796875" customWidth="1"/>
    <col min="7" max="7" width="33.26953125" style="48" customWidth="1"/>
    <col min="8" max="8" width="30.26953125" customWidth="1"/>
    <col min="9" max="9" width="23.54296875" customWidth="1"/>
  </cols>
  <sheetData>
    <row r="1" spans="1:13" ht="26" x14ac:dyDescent="0.6">
      <c r="A1" s="3" t="s">
        <v>774</v>
      </c>
      <c r="G1" s="128"/>
    </row>
    <row r="2" spans="1:13" ht="21" x14ac:dyDescent="0.5">
      <c r="A2" s="2" t="s">
        <v>772</v>
      </c>
      <c r="H2" s="40"/>
      <c r="I2" s="40"/>
      <c r="J2" s="40"/>
      <c r="K2" s="40"/>
      <c r="L2" s="40"/>
      <c r="M2" s="40"/>
    </row>
    <row r="3" spans="1:13" ht="21" x14ac:dyDescent="0.5">
      <c r="A3" s="241" t="s">
        <v>902</v>
      </c>
      <c r="G3" s="129"/>
      <c r="H3" s="129"/>
      <c r="I3" s="129"/>
      <c r="J3" s="40"/>
      <c r="K3" s="40"/>
      <c r="L3" s="40"/>
      <c r="M3" s="40"/>
    </row>
    <row r="4" spans="1:13" ht="21" x14ac:dyDescent="0.5">
      <c r="A4" s="242" t="str">
        <f>Results!A4</f>
        <v>Final Adjustments</v>
      </c>
      <c r="G4" s="129"/>
      <c r="H4" s="129"/>
      <c r="I4" s="129"/>
      <c r="J4" s="40"/>
      <c r="K4" s="40"/>
      <c r="L4" s="40"/>
      <c r="M4" s="40"/>
    </row>
    <row r="5" spans="1:13" x14ac:dyDescent="0.35">
      <c r="G5" s="40"/>
      <c r="H5" s="40"/>
      <c r="I5" s="40"/>
      <c r="J5" s="40"/>
      <c r="K5" s="40"/>
      <c r="L5" s="40"/>
      <c r="M5" s="40"/>
    </row>
    <row r="6" spans="1:13" x14ac:dyDescent="0.35">
      <c r="A6" s="1" t="s">
        <v>773</v>
      </c>
      <c r="C6" s="416" t="str">
        <f>Results!$C$6</f>
        <v>AllHealth Network</v>
      </c>
      <c r="G6" s="40"/>
      <c r="H6" s="40"/>
      <c r="I6" s="40"/>
      <c r="J6" s="40"/>
      <c r="K6" s="40"/>
      <c r="L6" s="40"/>
      <c r="M6" s="40"/>
    </row>
    <row r="7" spans="1:13" x14ac:dyDescent="0.35">
      <c r="A7" s="1" t="s">
        <v>0</v>
      </c>
      <c r="C7" s="35">
        <f>Results!$C$7</f>
        <v>45473</v>
      </c>
      <c r="G7" s="40"/>
      <c r="H7" s="40"/>
      <c r="I7" s="40"/>
      <c r="J7" s="40"/>
      <c r="K7" s="40"/>
      <c r="L7" s="40"/>
      <c r="M7" s="40"/>
    </row>
    <row r="8" spans="1:13" s="1" customFormat="1" x14ac:dyDescent="0.35">
      <c r="D8" s="100"/>
      <c r="G8" s="40"/>
      <c r="H8" s="40"/>
      <c r="I8" s="40"/>
      <c r="J8" s="40"/>
      <c r="K8" s="40"/>
      <c r="L8" s="40"/>
      <c r="M8" s="40"/>
    </row>
    <row r="9" spans="1:13" x14ac:dyDescent="0.35">
      <c r="D9" s="174">
        <v>1</v>
      </c>
      <c r="G9" s="40"/>
      <c r="H9" s="40"/>
      <c r="I9" s="40"/>
      <c r="J9" s="40"/>
      <c r="K9" s="40"/>
      <c r="L9" s="40"/>
      <c r="M9" s="40"/>
    </row>
    <row r="10" spans="1:13" s="6" customFormat="1" x14ac:dyDescent="0.35">
      <c r="A10" s="97"/>
      <c r="B10" s="481" t="s">
        <v>868</v>
      </c>
      <c r="C10" s="481"/>
      <c r="D10" s="258" t="s">
        <v>903</v>
      </c>
      <c r="G10" s="128"/>
      <c r="H10" s="128"/>
      <c r="I10" s="128"/>
      <c r="J10" s="128"/>
      <c r="K10" s="128"/>
      <c r="L10" s="128"/>
      <c r="M10" s="128"/>
    </row>
    <row r="11" spans="1:13" s="6" customFormat="1" x14ac:dyDescent="0.35">
      <c r="A11" s="97"/>
      <c r="B11" s="151"/>
      <c r="C11" s="152"/>
      <c r="D11" s="153"/>
      <c r="G11" s="128"/>
      <c r="H11" s="128"/>
      <c r="I11" s="128"/>
      <c r="J11" s="128"/>
      <c r="K11" s="128"/>
      <c r="L11" s="128"/>
      <c r="M11" s="128"/>
    </row>
    <row r="12" spans="1:13" s="22" customFormat="1" x14ac:dyDescent="0.35">
      <c r="A12" s="482" t="s">
        <v>870</v>
      </c>
      <c r="B12" s="483"/>
      <c r="C12" s="483"/>
      <c r="D12" s="484"/>
      <c r="G12" s="127"/>
      <c r="H12" s="127"/>
      <c r="I12" s="127"/>
      <c r="J12" s="127"/>
      <c r="K12" s="127"/>
      <c r="L12" s="127"/>
      <c r="M12" s="127"/>
    </row>
    <row r="13" spans="1:13" s="22" customFormat="1" x14ac:dyDescent="0.35">
      <c r="A13" s="154">
        <v>1</v>
      </c>
      <c r="B13" s="485" t="s">
        <v>871</v>
      </c>
      <c r="C13" s="486"/>
      <c r="D13" s="156">
        <f>'Schedule 5 Adjustments'!F12</f>
        <v>46483012</v>
      </c>
      <c r="G13" s="139"/>
    </row>
    <row r="14" spans="1:13" s="22" customFormat="1" x14ac:dyDescent="0.35">
      <c r="A14" s="154">
        <v>2</v>
      </c>
      <c r="B14" s="485" t="s">
        <v>872</v>
      </c>
      <c r="C14" s="486"/>
      <c r="D14" s="156">
        <f>'Schedule 5 Adjustments'!F13</f>
        <v>7533673</v>
      </c>
      <c r="G14" s="139"/>
    </row>
    <row r="15" spans="1:13" s="22" customFormat="1" x14ac:dyDescent="0.35">
      <c r="A15" s="154">
        <v>3</v>
      </c>
      <c r="B15" s="172" t="s">
        <v>873</v>
      </c>
      <c r="C15" s="167"/>
      <c r="D15" s="156">
        <f>'Schedule 5 Adjustments'!F14</f>
        <v>431784</v>
      </c>
      <c r="G15" s="139"/>
    </row>
    <row r="16" spans="1:13" s="22" customFormat="1" x14ac:dyDescent="0.35">
      <c r="A16" s="154">
        <v>4</v>
      </c>
      <c r="B16" s="172" t="s">
        <v>874</v>
      </c>
      <c r="C16" s="167"/>
      <c r="D16" s="156">
        <f>'Schedule 5 Adjustments'!F15</f>
        <v>4767403</v>
      </c>
      <c r="G16" s="139"/>
    </row>
    <row r="17" spans="1:7" s="22" customFormat="1" x14ac:dyDescent="0.35">
      <c r="A17" s="154">
        <v>5</v>
      </c>
      <c r="B17" s="172" t="s">
        <v>875</v>
      </c>
      <c r="C17" s="167"/>
      <c r="D17" s="156">
        <f>'Schedule 5 Adjustments'!F16</f>
        <v>1742957</v>
      </c>
      <c r="G17" s="139"/>
    </row>
    <row r="18" spans="1:7" s="22" customFormat="1" x14ac:dyDescent="0.35">
      <c r="A18" s="154">
        <v>6</v>
      </c>
      <c r="B18" s="172" t="s">
        <v>876</v>
      </c>
      <c r="C18" s="167"/>
      <c r="D18" s="156">
        <f>'Schedule 5 Adjustments'!F17</f>
        <v>72000</v>
      </c>
      <c r="G18" s="139"/>
    </row>
    <row r="19" spans="1:7" s="22" customFormat="1" x14ac:dyDescent="0.35">
      <c r="A19" s="154">
        <v>7</v>
      </c>
      <c r="B19" s="485" t="s">
        <v>877</v>
      </c>
      <c r="C19" s="486"/>
      <c r="D19" s="156">
        <f>'Schedule 5 Adjustments'!F18</f>
        <v>222115</v>
      </c>
      <c r="G19" s="139"/>
    </row>
    <row r="20" spans="1:7" s="22" customFormat="1" x14ac:dyDescent="0.35">
      <c r="A20" s="154">
        <v>8</v>
      </c>
      <c r="B20" s="479" t="s">
        <v>878</v>
      </c>
      <c r="C20" s="480"/>
      <c r="D20" s="159">
        <f>SUM(D13:D19)</f>
        <v>61252944</v>
      </c>
      <c r="G20" s="139"/>
    </row>
    <row r="21" spans="1:7" s="22" customFormat="1" x14ac:dyDescent="0.35">
      <c r="A21" s="160"/>
      <c r="B21" s="161"/>
      <c r="C21" s="161"/>
      <c r="D21" s="163"/>
      <c r="G21" s="139"/>
    </row>
    <row r="22" spans="1:7" s="22" customFormat="1" x14ac:dyDescent="0.35">
      <c r="A22" s="482" t="s">
        <v>879</v>
      </c>
      <c r="B22" s="483"/>
      <c r="C22" s="483"/>
      <c r="D22" s="484"/>
      <c r="E22" s="139"/>
      <c r="F22" s="139"/>
      <c r="G22" s="139"/>
    </row>
    <row r="23" spans="1:7" s="22" customFormat="1" x14ac:dyDescent="0.35">
      <c r="A23" s="154">
        <v>9</v>
      </c>
      <c r="B23" s="485" t="s">
        <v>880</v>
      </c>
      <c r="C23" s="486"/>
      <c r="D23" s="156">
        <f>'Schedule 5 Adjustments'!F22</f>
        <v>1345</v>
      </c>
      <c r="E23" s="139"/>
      <c r="F23" s="139"/>
      <c r="G23" s="139"/>
    </row>
    <row r="24" spans="1:7" s="22" customFormat="1" x14ac:dyDescent="0.35">
      <c r="A24" s="154">
        <v>10</v>
      </c>
      <c r="B24" s="172" t="s">
        <v>881</v>
      </c>
      <c r="C24" s="167"/>
      <c r="D24" s="156">
        <f>'Schedule 5 Adjustments'!F23</f>
        <v>8560270</v>
      </c>
      <c r="E24" s="139"/>
      <c r="F24" s="139"/>
      <c r="G24" s="139"/>
    </row>
    <row r="25" spans="1:7" s="22" customFormat="1" x14ac:dyDescent="0.35">
      <c r="A25" s="154">
        <v>11</v>
      </c>
      <c r="B25" s="172" t="s">
        <v>882</v>
      </c>
      <c r="C25" s="167"/>
      <c r="D25" s="156">
        <f>'Schedule 5 Adjustments'!F24</f>
        <v>0</v>
      </c>
      <c r="E25" s="139"/>
      <c r="F25" s="139"/>
      <c r="G25" s="139"/>
    </row>
    <row r="26" spans="1:7" s="22" customFormat="1" x14ac:dyDescent="0.35">
      <c r="A26" s="154">
        <v>12</v>
      </c>
      <c r="B26" s="172" t="s">
        <v>883</v>
      </c>
      <c r="C26" s="167"/>
      <c r="D26" s="156">
        <f>'Schedule 5 Adjustments'!F25</f>
        <v>31272</v>
      </c>
      <c r="E26" s="139"/>
      <c r="F26" s="139"/>
      <c r="G26" s="139"/>
    </row>
    <row r="27" spans="1:7" s="22" customFormat="1" x14ac:dyDescent="0.35">
      <c r="A27" s="154">
        <v>13</v>
      </c>
      <c r="B27" s="172" t="s">
        <v>884</v>
      </c>
      <c r="C27" s="167"/>
      <c r="D27" s="156">
        <f>'Schedule 5 Adjustments'!F26</f>
        <v>2813526</v>
      </c>
      <c r="E27" s="139"/>
      <c r="F27" s="139"/>
      <c r="G27" s="139"/>
    </row>
    <row r="28" spans="1:7" s="22" customFormat="1" x14ac:dyDescent="0.35">
      <c r="A28" s="154">
        <v>14</v>
      </c>
      <c r="B28" s="479" t="s">
        <v>885</v>
      </c>
      <c r="C28" s="480"/>
      <c r="D28" s="159">
        <f>SUM(D23:D27)</f>
        <v>11406413</v>
      </c>
      <c r="E28" s="139"/>
      <c r="F28" s="139"/>
      <c r="G28" s="139"/>
    </row>
    <row r="29" spans="1:7" s="22" customFormat="1" x14ac:dyDescent="0.35">
      <c r="A29" s="160"/>
      <c r="B29" s="161"/>
      <c r="C29" s="161"/>
      <c r="D29" s="163"/>
      <c r="F29" s="139"/>
      <c r="G29" s="139"/>
    </row>
    <row r="30" spans="1:7" s="22" customFormat="1" x14ac:dyDescent="0.35">
      <c r="A30" s="482" t="s">
        <v>886</v>
      </c>
      <c r="B30" s="483"/>
      <c r="C30" s="483"/>
      <c r="D30" s="484"/>
      <c r="F30" s="139"/>
      <c r="G30" s="139"/>
    </row>
    <row r="31" spans="1:7" s="22" customFormat="1" x14ac:dyDescent="0.35">
      <c r="A31" s="154">
        <v>15</v>
      </c>
      <c r="B31" s="485" t="s">
        <v>887</v>
      </c>
      <c r="C31" s="486"/>
      <c r="D31" s="156">
        <f>'Schedule 5 Adjustments'!F30</f>
        <v>0</v>
      </c>
      <c r="G31" s="139"/>
    </row>
    <row r="32" spans="1:7" s="22" customFormat="1" x14ac:dyDescent="0.35">
      <c r="A32" s="154">
        <v>16</v>
      </c>
      <c r="B32" s="172" t="s">
        <v>888</v>
      </c>
      <c r="C32" s="167"/>
      <c r="D32" s="156">
        <f>'Schedule 5 Adjustments'!F31</f>
        <v>0</v>
      </c>
      <c r="G32" s="139"/>
    </row>
    <row r="33" spans="1:7" s="22" customFormat="1" x14ac:dyDescent="0.35">
      <c r="A33" s="154">
        <v>17</v>
      </c>
      <c r="B33" s="172" t="s">
        <v>889</v>
      </c>
      <c r="C33" s="167"/>
      <c r="D33" s="156">
        <f>'Schedule 5 Adjustments'!F32</f>
        <v>0</v>
      </c>
      <c r="G33" s="139"/>
    </row>
    <row r="34" spans="1:7" s="22" customFormat="1" x14ac:dyDescent="0.35">
      <c r="A34" s="154">
        <v>18</v>
      </c>
      <c r="B34" s="172" t="s">
        <v>890</v>
      </c>
      <c r="C34" s="167"/>
      <c r="D34" s="156">
        <f>'Schedule 5 Adjustments'!F33</f>
        <v>0</v>
      </c>
      <c r="G34" s="139"/>
    </row>
    <row r="35" spans="1:7" s="22" customFormat="1" x14ac:dyDescent="0.35">
      <c r="A35" s="154">
        <v>19</v>
      </c>
      <c r="B35" s="172" t="s">
        <v>891</v>
      </c>
      <c r="C35" s="167"/>
      <c r="D35" s="156">
        <f>'Schedule 5 Adjustments'!F34</f>
        <v>74434</v>
      </c>
      <c r="G35" s="139"/>
    </row>
    <row r="36" spans="1:7" s="22" customFormat="1" x14ac:dyDescent="0.35">
      <c r="A36" s="154">
        <v>20</v>
      </c>
      <c r="B36" s="479" t="s">
        <v>892</v>
      </c>
      <c r="C36" s="480"/>
      <c r="D36" s="159">
        <f>SUM(D31:D35)</f>
        <v>74434</v>
      </c>
      <c r="G36" s="139"/>
    </row>
    <row r="37" spans="1:7" s="22" customFormat="1" x14ac:dyDescent="0.35">
      <c r="A37" s="160"/>
      <c r="B37" s="161"/>
      <c r="C37" s="161"/>
      <c r="D37" s="163"/>
      <c r="G37" s="139"/>
    </row>
    <row r="38" spans="1:7" s="22" customFormat="1" x14ac:dyDescent="0.35">
      <c r="A38" s="482" t="s">
        <v>893</v>
      </c>
      <c r="B38" s="483"/>
      <c r="C38" s="483"/>
      <c r="D38" s="484"/>
      <c r="G38" s="139"/>
    </row>
    <row r="39" spans="1:7" s="22" customFormat="1" x14ac:dyDescent="0.35">
      <c r="A39" s="154">
        <v>21</v>
      </c>
      <c r="B39" s="485" t="s">
        <v>304</v>
      </c>
      <c r="C39" s="488"/>
      <c r="D39" s="156">
        <f>'Schedule 5 Adjustments'!F38</f>
        <v>132071</v>
      </c>
      <c r="G39" s="139"/>
    </row>
    <row r="40" spans="1:7" s="22" customFormat="1" x14ac:dyDescent="0.35">
      <c r="A40" s="154">
        <v>22</v>
      </c>
      <c r="B40" s="485" t="s">
        <v>894</v>
      </c>
      <c r="C40" s="488"/>
      <c r="D40" s="156">
        <f>'Schedule 5 Adjustments'!F39</f>
        <v>0</v>
      </c>
      <c r="G40" s="139"/>
    </row>
    <row r="41" spans="1:7" s="22" customFormat="1" x14ac:dyDescent="0.35">
      <c r="A41" s="154">
        <v>23</v>
      </c>
      <c r="B41" s="485" t="s">
        <v>895</v>
      </c>
      <c r="C41" s="488"/>
      <c r="D41" s="156">
        <f>'Schedule 5 Adjustments'!F40</f>
        <v>-7143</v>
      </c>
      <c r="G41" s="139"/>
    </row>
    <row r="42" spans="1:7" s="22" customFormat="1" x14ac:dyDescent="0.35">
      <c r="A42" s="154">
        <v>24</v>
      </c>
      <c r="B42" s="479" t="s">
        <v>896</v>
      </c>
      <c r="C42" s="487"/>
      <c r="D42" s="159">
        <f>SUM(D39:D41)</f>
        <v>124928</v>
      </c>
      <c r="G42" s="139"/>
    </row>
    <row r="43" spans="1:7" s="22" customFormat="1" x14ac:dyDescent="0.35">
      <c r="A43" s="160"/>
      <c r="B43" s="161"/>
      <c r="C43" s="161"/>
      <c r="D43" s="163"/>
      <c r="G43" s="139"/>
    </row>
    <row r="44" spans="1:7" s="63" customFormat="1" ht="15.5" x14ac:dyDescent="0.35">
      <c r="A44" s="154">
        <v>25</v>
      </c>
      <c r="B44" s="491" t="s">
        <v>897</v>
      </c>
      <c r="C44" s="493"/>
      <c r="D44" s="168">
        <f>SUM(D20,D28,D36,D42)</f>
        <v>72858719</v>
      </c>
      <c r="G44" s="140"/>
    </row>
    <row r="45" spans="1:7" s="22" customFormat="1" x14ac:dyDescent="0.35">
      <c r="A45" s="169"/>
      <c r="B45" s="169"/>
      <c r="C45" s="169"/>
      <c r="D45" s="169"/>
      <c r="G45" s="139"/>
    </row>
    <row r="46" spans="1:7" s="22" customFormat="1" x14ac:dyDescent="0.35">
      <c r="A46" s="154">
        <v>26</v>
      </c>
      <c r="B46" s="490" t="s">
        <v>898</v>
      </c>
      <c r="C46" s="490"/>
      <c r="D46" s="156">
        <f>'Schedule 5 Adjustments'!F45</f>
        <v>72853576</v>
      </c>
      <c r="G46" s="139"/>
    </row>
    <row r="47" spans="1:7" s="22" customFormat="1" ht="15.5" x14ac:dyDescent="0.35">
      <c r="A47" s="154">
        <v>27</v>
      </c>
      <c r="B47" s="490" t="s">
        <v>10</v>
      </c>
      <c r="C47" s="490"/>
      <c r="D47" s="168">
        <f>D44-D46</f>
        <v>5143</v>
      </c>
      <c r="E47" s="33" t="str">
        <f>IF(ABS(D47)&gt;1,"Error - This variance should be 0.","")</f>
        <v>Error - This variance should be 0.</v>
      </c>
      <c r="G47" s="139"/>
    </row>
  </sheetData>
  <sheetProtection sheet="1" objects="1" scenarios="1"/>
  <customSheetViews>
    <customSheetView guid="{D0F83CC0-0361-4280-BCA4-9A92C986158B}">
      <pageMargins left="0.7" right="0.7" top="0.75" bottom="0.75" header="0.3" footer="0.3"/>
    </customSheetView>
    <customSheetView guid="{27BAF95E-10B4-4025-9660-F5A8EBC66DC3}">
      <pageMargins left="0.7" right="0.7" top="0.75" bottom="0.75" header="0.3" footer="0.3"/>
    </customSheetView>
  </customSheetViews>
  <mergeCells count="20">
    <mergeCell ref="B46:C46"/>
    <mergeCell ref="B47:C47"/>
    <mergeCell ref="A38:D38"/>
    <mergeCell ref="B39:C39"/>
    <mergeCell ref="B40:C40"/>
    <mergeCell ref="B41:C41"/>
    <mergeCell ref="B42:C42"/>
    <mergeCell ref="B44:C44"/>
    <mergeCell ref="B36:C36"/>
    <mergeCell ref="B10:C10"/>
    <mergeCell ref="A12:D12"/>
    <mergeCell ref="B13:C13"/>
    <mergeCell ref="B14:C14"/>
    <mergeCell ref="B19:C19"/>
    <mergeCell ref="B20:C20"/>
    <mergeCell ref="A22:D22"/>
    <mergeCell ref="B23:C23"/>
    <mergeCell ref="B28:C28"/>
    <mergeCell ref="A30:D30"/>
    <mergeCell ref="B31:C3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CC5CA"/>
  </sheetPr>
  <dimension ref="A1:S103"/>
  <sheetViews>
    <sheetView workbookViewId="0">
      <selection activeCell="I94" sqref="I94"/>
    </sheetView>
  </sheetViews>
  <sheetFormatPr defaultRowHeight="14.5" x14ac:dyDescent="0.35"/>
  <cols>
    <col min="2" max="2" width="15.81640625" customWidth="1"/>
    <col min="3" max="3" width="43.81640625" customWidth="1"/>
    <col min="4" max="4" width="12.26953125" customWidth="1"/>
    <col min="5" max="10" width="20.26953125" customWidth="1"/>
    <col min="11" max="11" width="3" customWidth="1"/>
    <col min="12" max="12" width="9.1796875" customWidth="1"/>
    <col min="13" max="13" width="33.26953125" style="48" customWidth="1"/>
    <col min="14" max="14" width="30.26953125" customWidth="1"/>
    <col min="15" max="15" width="23.54296875" customWidth="1"/>
  </cols>
  <sheetData>
    <row r="1" spans="1:19" ht="26" x14ac:dyDescent="0.6">
      <c r="A1" s="3" t="s">
        <v>774</v>
      </c>
    </row>
    <row r="2" spans="1:19" ht="21" x14ac:dyDescent="0.5">
      <c r="A2" s="2" t="s">
        <v>772</v>
      </c>
      <c r="N2" s="40"/>
      <c r="O2" s="40"/>
      <c r="P2" s="40"/>
      <c r="Q2" s="40"/>
      <c r="R2" s="40"/>
      <c r="S2" s="40"/>
    </row>
    <row r="3" spans="1:19" ht="25" customHeight="1" x14ac:dyDescent="0.5">
      <c r="A3" s="5" t="s">
        <v>762</v>
      </c>
      <c r="M3" s="129"/>
      <c r="N3" s="129"/>
      <c r="O3" s="129"/>
      <c r="P3" s="40"/>
      <c r="Q3" s="40"/>
      <c r="R3" s="40"/>
      <c r="S3" s="40"/>
    </row>
    <row r="4" spans="1:19" x14ac:dyDescent="0.35">
      <c r="F4" s="36"/>
      <c r="M4" s="40"/>
      <c r="N4" s="40"/>
      <c r="O4" s="40"/>
      <c r="P4" s="40"/>
      <c r="Q4" s="40"/>
      <c r="R4" s="40"/>
      <c r="S4" s="40"/>
    </row>
    <row r="5" spans="1:19" x14ac:dyDescent="0.35">
      <c r="A5" s="1" t="s">
        <v>773</v>
      </c>
      <c r="C5" s="416" t="str">
        <f>Results!$C$6</f>
        <v>AllHealth Network</v>
      </c>
      <c r="F5" s="48"/>
      <c r="M5" s="40"/>
      <c r="N5" s="40"/>
      <c r="O5" s="40"/>
      <c r="P5" s="40"/>
      <c r="Q5" s="40"/>
      <c r="R5" s="40"/>
      <c r="S5" s="40"/>
    </row>
    <row r="6" spans="1:19" x14ac:dyDescent="0.35">
      <c r="A6" s="1" t="s">
        <v>0</v>
      </c>
      <c r="C6" s="35">
        <v>45473</v>
      </c>
      <c r="F6" s="40"/>
      <c r="M6" s="40"/>
      <c r="N6" s="40"/>
      <c r="O6" s="40"/>
      <c r="P6" s="40"/>
      <c r="Q6" s="40"/>
      <c r="R6" s="40"/>
      <c r="S6" s="40"/>
    </row>
    <row r="7" spans="1:19" s="1" customFormat="1" x14ac:dyDescent="0.35">
      <c r="E7"/>
      <c r="F7"/>
      <c r="G7" s="48"/>
      <c r="H7"/>
      <c r="M7" s="40"/>
      <c r="N7" s="40"/>
      <c r="O7" s="40"/>
      <c r="P7" s="40"/>
      <c r="Q7" s="40"/>
      <c r="R7" s="40"/>
      <c r="S7" s="40"/>
    </row>
    <row r="8" spans="1:19" x14ac:dyDescent="0.35">
      <c r="D8" s="23">
        <v>1</v>
      </c>
      <c r="E8" s="23">
        <v>2</v>
      </c>
      <c r="F8" s="23">
        <v>3</v>
      </c>
      <c r="G8" s="23">
        <v>4</v>
      </c>
      <c r="H8" s="23">
        <v>5</v>
      </c>
      <c r="I8" s="23">
        <v>6</v>
      </c>
      <c r="J8" s="23">
        <v>7</v>
      </c>
      <c r="M8" s="40"/>
      <c r="N8" s="40"/>
      <c r="O8" s="40"/>
      <c r="P8" s="40"/>
      <c r="Q8" s="40"/>
      <c r="R8" s="40"/>
      <c r="S8" s="40"/>
    </row>
    <row r="9" spans="1:19" s="6" customFormat="1" ht="101.5" x14ac:dyDescent="0.35">
      <c r="A9" s="97"/>
      <c r="B9" s="481" t="s">
        <v>1</v>
      </c>
      <c r="C9" s="481"/>
      <c r="D9" s="150" t="s">
        <v>7</v>
      </c>
      <c r="E9" s="150" t="s">
        <v>6</v>
      </c>
      <c r="F9" s="150" t="s">
        <v>485</v>
      </c>
      <c r="G9" s="150" t="s">
        <v>776</v>
      </c>
      <c r="H9" s="150" t="s">
        <v>486</v>
      </c>
      <c r="I9" s="150" t="s">
        <v>9</v>
      </c>
      <c r="J9" s="150" t="s">
        <v>8</v>
      </c>
      <c r="M9" s="128"/>
      <c r="N9" s="128"/>
      <c r="O9" s="128"/>
      <c r="P9" s="128"/>
      <c r="Q9" s="128"/>
      <c r="R9" s="128"/>
      <c r="S9" s="128"/>
    </row>
    <row r="10" spans="1:19" s="6" customFormat="1" x14ac:dyDescent="0.35">
      <c r="A10" s="97"/>
      <c r="B10" s="151"/>
      <c r="C10" s="152"/>
      <c r="D10" s="153"/>
      <c r="E10" s="153"/>
      <c r="F10" s="153"/>
      <c r="G10" s="153"/>
      <c r="H10" s="153"/>
      <c r="I10" s="153"/>
      <c r="J10" s="153"/>
      <c r="M10" s="128"/>
      <c r="N10" s="128"/>
      <c r="O10" s="128"/>
      <c r="P10" s="128"/>
      <c r="Q10" s="128"/>
      <c r="R10" s="128"/>
      <c r="S10" s="128"/>
    </row>
    <row r="11" spans="1:19" s="22" customFormat="1" x14ac:dyDescent="0.35">
      <c r="A11" s="482" t="s">
        <v>280</v>
      </c>
      <c r="B11" s="483"/>
      <c r="C11" s="483"/>
      <c r="D11" s="483"/>
      <c r="E11" s="483"/>
      <c r="F11" s="483"/>
      <c r="G11" s="483"/>
      <c r="H11" s="483"/>
      <c r="I11" s="483"/>
      <c r="J11" s="484"/>
      <c r="M11" s="127"/>
      <c r="N11" s="127"/>
      <c r="O11" s="127"/>
      <c r="P11" s="127"/>
      <c r="Q11" s="127"/>
      <c r="R11" s="127"/>
      <c r="S11" s="127"/>
    </row>
    <row r="12" spans="1:19" s="22" customFormat="1" x14ac:dyDescent="0.35">
      <c r="A12" s="154">
        <v>1</v>
      </c>
      <c r="B12" s="485" t="s">
        <v>458</v>
      </c>
      <c r="C12" s="486"/>
      <c r="D12" s="155">
        <v>25.33</v>
      </c>
      <c r="E12" s="156" t="s">
        <v>971</v>
      </c>
      <c r="F12" s="156">
        <v>1405567</v>
      </c>
      <c r="G12" s="156">
        <v>211905</v>
      </c>
      <c r="H12" s="156">
        <v>7473</v>
      </c>
      <c r="I12" s="156" t="s">
        <v>971</v>
      </c>
      <c r="J12" s="157">
        <f>SUM(E12:I12)</f>
        <v>1624945</v>
      </c>
      <c r="M12" s="139"/>
    </row>
    <row r="13" spans="1:19" s="22" customFormat="1" x14ac:dyDescent="0.35">
      <c r="A13" s="154">
        <v>2</v>
      </c>
      <c r="B13" s="485" t="s">
        <v>291</v>
      </c>
      <c r="C13" s="486"/>
      <c r="D13" s="155">
        <v>321.56</v>
      </c>
      <c r="E13" s="156">
        <v>10640</v>
      </c>
      <c r="F13" s="156">
        <v>15248695</v>
      </c>
      <c r="G13" s="156">
        <v>4363066</v>
      </c>
      <c r="H13" s="156">
        <v>1008253</v>
      </c>
      <c r="I13" s="156" t="s">
        <v>971</v>
      </c>
      <c r="J13" s="157">
        <f>SUM(E13:I13)</f>
        <v>20630654</v>
      </c>
      <c r="M13" s="139"/>
    </row>
    <row r="14" spans="1:19" s="22" customFormat="1" x14ac:dyDescent="0.35">
      <c r="A14" s="154">
        <v>3</v>
      </c>
      <c r="B14" s="485" t="s">
        <v>301</v>
      </c>
      <c r="C14" s="486"/>
      <c r="D14" s="155">
        <v>79.95</v>
      </c>
      <c r="E14" s="156">
        <v>510607</v>
      </c>
      <c r="F14" s="156">
        <v>3886103</v>
      </c>
      <c r="G14" s="156">
        <v>376706</v>
      </c>
      <c r="H14" s="156">
        <v>356212</v>
      </c>
      <c r="I14" s="156" t="s">
        <v>971</v>
      </c>
      <c r="J14" s="157">
        <f>SUM(E14:I14)</f>
        <v>5129628</v>
      </c>
      <c r="M14" s="139"/>
    </row>
    <row r="15" spans="1:19" s="22" customFormat="1" x14ac:dyDescent="0.35">
      <c r="A15" s="154">
        <v>4</v>
      </c>
      <c r="B15" s="479" t="s">
        <v>290</v>
      </c>
      <c r="C15" s="480"/>
      <c r="D15" s="158">
        <f t="shared" ref="D15:I15" si="0">SUM(D12:D14)</f>
        <v>426.84</v>
      </c>
      <c r="E15" s="159">
        <f t="shared" si="0"/>
        <v>521247</v>
      </c>
      <c r="F15" s="159">
        <f t="shared" si="0"/>
        <v>20540365</v>
      </c>
      <c r="G15" s="159">
        <f t="shared" si="0"/>
        <v>4951677</v>
      </c>
      <c r="H15" s="159">
        <f t="shared" si="0"/>
        <v>1371938</v>
      </c>
      <c r="I15" s="159">
        <f t="shared" si="0"/>
        <v>0</v>
      </c>
      <c r="J15" s="159">
        <f>SUM(E15:I15)</f>
        <v>27385227</v>
      </c>
      <c r="M15" s="139"/>
    </row>
    <row r="16" spans="1:19" s="22" customFormat="1" x14ac:dyDescent="0.35">
      <c r="A16" s="160"/>
      <c r="B16" s="161"/>
      <c r="C16" s="161"/>
      <c r="D16" s="162"/>
      <c r="E16" s="163"/>
      <c r="F16" s="163"/>
      <c r="G16" s="163"/>
      <c r="H16" s="163"/>
      <c r="I16" s="163"/>
      <c r="J16" s="163"/>
      <c r="M16" s="139"/>
    </row>
    <row r="17" spans="1:13" s="22" customFormat="1" x14ac:dyDescent="0.35">
      <c r="A17" s="482" t="s">
        <v>281</v>
      </c>
      <c r="B17" s="483"/>
      <c r="C17" s="483"/>
      <c r="D17" s="483"/>
      <c r="E17" s="483"/>
      <c r="F17" s="483"/>
      <c r="G17" s="483"/>
      <c r="H17" s="483"/>
      <c r="I17" s="483"/>
      <c r="J17" s="484"/>
      <c r="M17" s="139"/>
    </row>
    <row r="18" spans="1:13" s="22" customFormat="1" x14ac:dyDescent="0.35">
      <c r="A18" s="154">
        <v>5</v>
      </c>
      <c r="B18" s="485" t="s">
        <v>221</v>
      </c>
      <c r="C18" s="486"/>
      <c r="D18" s="155">
        <v>5</v>
      </c>
      <c r="E18" s="156" t="s">
        <v>971</v>
      </c>
      <c r="F18" s="156" t="s">
        <v>971</v>
      </c>
      <c r="G18" s="156" t="s">
        <v>971</v>
      </c>
      <c r="H18" s="156" t="s">
        <v>971</v>
      </c>
      <c r="I18" s="156" t="s">
        <v>971</v>
      </c>
      <c r="J18" s="157">
        <f>SUM(E18:I18)</f>
        <v>0</v>
      </c>
      <c r="M18" s="139"/>
    </row>
    <row r="19" spans="1:13" s="22" customFormat="1" x14ac:dyDescent="0.35">
      <c r="A19" s="154">
        <v>6</v>
      </c>
      <c r="B19" s="485" t="s">
        <v>293</v>
      </c>
      <c r="C19" s="486"/>
      <c r="D19" s="155">
        <v>76.150000000000006</v>
      </c>
      <c r="E19" s="156">
        <v>9344472</v>
      </c>
      <c r="F19" s="156">
        <v>1467703</v>
      </c>
      <c r="G19" s="156">
        <v>685715</v>
      </c>
      <c r="H19" s="156">
        <v>1378990</v>
      </c>
      <c r="I19" s="156" t="s">
        <v>971</v>
      </c>
      <c r="J19" s="157">
        <f>SUM(E19:I19)</f>
        <v>12876880</v>
      </c>
      <c r="M19" s="139"/>
    </row>
    <row r="20" spans="1:13" s="22" customFormat="1" x14ac:dyDescent="0.35">
      <c r="A20" s="154">
        <v>7</v>
      </c>
      <c r="B20" s="479" t="s">
        <v>220</v>
      </c>
      <c r="C20" s="480"/>
      <c r="D20" s="158">
        <f t="shared" ref="D20:I20" si="1">SUM(D18:D19)</f>
        <v>81.150000000000006</v>
      </c>
      <c r="E20" s="159">
        <f t="shared" si="1"/>
        <v>9344472</v>
      </c>
      <c r="F20" s="159">
        <f t="shared" si="1"/>
        <v>1467703</v>
      </c>
      <c r="G20" s="159">
        <f t="shared" si="1"/>
        <v>685715</v>
      </c>
      <c r="H20" s="159">
        <f t="shared" si="1"/>
        <v>1378990</v>
      </c>
      <c r="I20" s="159">
        <f t="shared" si="1"/>
        <v>0</v>
      </c>
      <c r="J20" s="159">
        <f>SUM(E20:I20)</f>
        <v>12876880</v>
      </c>
      <c r="M20" s="139"/>
    </row>
    <row r="21" spans="1:13" s="22" customFormat="1" x14ac:dyDescent="0.35">
      <c r="A21" s="160"/>
      <c r="B21" s="161"/>
      <c r="C21" s="161"/>
      <c r="D21" s="162"/>
      <c r="E21" s="163"/>
      <c r="F21" s="163"/>
      <c r="G21" s="163"/>
      <c r="H21" s="163"/>
      <c r="I21" s="163"/>
      <c r="J21" s="163"/>
      <c r="M21" s="139"/>
    </row>
    <row r="22" spans="1:13" s="22" customFormat="1" x14ac:dyDescent="0.35">
      <c r="A22" s="482" t="s">
        <v>275</v>
      </c>
      <c r="B22" s="483"/>
      <c r="C22" s="483"/>
      <c r="D22" s="483"/>
      <c r="E22" s="483"/>
      <c r="F22" s="483"/>
      <c r="G22" s="483"/>
      <c r="H22" s="483"/>
      <c r="I22" s="483"/>
      <c r="J22" s="484"/>
      <c r="M22" s="139"/>
    </row>
    <row r="23" spans="1:13" s="22" customFormat="1" x14ac:dyDescent="0.35">
      <c r="A23" s="154">
        <v>8</v>
      </c>
      <c r="B23" s="485" t="s">
        <v>276</v>
      </c>
      <c r="C23" s="488"/>
      <c r="D23" s="486"/>
      <c r="E23" s="164">
        <f>'As-Filed Schedule 1A'!H27*-1</f>
        <v>-181733</v>
      </c>
      <c r="F23" s="164">
        <f>'As-Filed Schedule 1A'!H28*-1</f>
        <v>0</v>
      </c>
      <c r="G23" s="164">
        <f>-'As-Filed Schedule 1A'!H29</f>
        <v>0</v>
      </c>
      <c r="H23" s="164">
        <f>-'As-Filed Schedule 1A'!H30</f>
        <v>0</v>
      </c>
      <c r="I23" s="164">
        <f>-SUM(E23:H23)</f>
        <v>181733</v>
      </c>
      <c r="J23" s="157">
        <f>SUM(E23:I23)</f>
        <v>0</v>
      </c>
      <c r="M23" s="139"/>
    </row>
    <row r="24" spans="1:13" s="22" customFormat="1" x14ac:dyDescent="0.35">
      <c r="A24" s="154">
        <v>9</v>
      </c>
      <c r="B24" s="479" t="s">
        <v>222</v>
      </c>
      <c r="C24" s="487"/>
      <c r="D24" s="480"/>
      <c r="E24" s="159">
        <f>SUM(E23:E23)</f>
        <v>-181733</v>
      </c>
      <c r="F24" s="159">
        <f>SUM(F23:F23)</f>
        <v>0</v>
      </c>
      <c r="G24" s="159">
        <f>SUM(G23:G23)</f>
        <v>0</v>
      </c>
      <c r="H24" s="159">
        <f>SUM(H23:H23)</f>
        <v>0</v>
      </c>
      <c r="I24" s="159">
        <f>SUM(I23:I23)</f>
        <v>181733</v>
      </c>
      <c r="J24" s="159">
        <f>SUM(E24:I24)</f>
        <v>0</v>
      </c>
      <c r="M24" s="139"/>
    </row>
    <row r="25" spans="1:13" s="22" customFormat="1" x14ac:dyDescent="0.35">
      <c r="A25" s="160"/>
      <c r="B25" s="161"/>
      <c r="C25" s="161"/>
      <c r="D25" s="162"/>
      <c r="E25" s="163"/>
      <c r="F25" s="163"/>
      <c r="G25" s="163"/>
      <c r="H25" s="163"/>
      <c r="I25" s="163"/>
      <c r="J25" s="163"/>
      <c r="M25" s="139"/>
    </row>
    <row r="26" spans="1:13" s="22" customFormat="1" x14ac:dyDescent="0.35">
      <c r="A26" s="482" t="s">
        <v>235</v>
      </c>
      <c r="B26" s="483"/>
      <c r="C26" s="483"/>
      <c r="D26" s="483"/>
      <c r="E26" s="483"/>
      <c r="F26" s="483"/>
      <c r="G26" s="483"/>
      <c r="H26" s="483"/>
      <c r="I26" s="483"/>
      <c r="J26" s="484"/>
      <c r="M26" s="139"/>
    </row>
    <row r="27" spans="1:13" s="22" customFormat="1" x14ac:dyDescent="0.35">
      <c r="A27" s="154">
        <v>10</v>
      </c>
      <c r="B27" s="485" t="s">
        <v>224</v>
      </c>
      <c r="C27" s="488"/>
      <c r="D27" s="486"/>
      <c r="E27" s="156">
        <v>152659</v>
      </c>
      <c r="F27" s="156" t="s">
        <v>971</v>
      </c>
      <c r="G27" s="156">
        <v>16940</v>
      </c>
      <c r="H27" s="156" t="s">
        <v>971</v>
      </c>
      <c r="I27" s="156" t="s">
        <v>971</v>
      </c>
      <c r="J27" s="157">
        <f>SUM(E27:I27)</f>
        <v>169599</v>
      </c>
      <c r="M27" s="139"/>
    </row>
    <row r="28" spans="1:13" s="22" customFormat="1" x14ac:dyDescent="0.35">
      <c r="A28" s="165">
        <v>11</v>
      </c>
      <c r="B28" s="172" t="s">
        <v>223</v>
      </c>
      <c r="C28" s="166"/>
      <c r="D28" s="167"/>
      <c r="E28" s="156">
        <v>2263538</v>
      </c>
      <c r="F28" s="156">
        <v>5036853</v>
      </c>
      <c r="G28" s="156">
        <v>993699</v>
      </c>
      <c r="H28" s="156">
        <v>594472</v>
      </c>
      <c r="I28" s="156" t="s">
        <v>971</v>
      </c>
      <c r="J28" s="157">
        <f>SUM(E28:I28)</f>
        <v>8888562</v>
      </c>
      <c r="K28" s="127"/>
      <c r="M28" s="139"/>
    </row>
    <row r="29" spans="1:13" s="22" customFormat="1" x14ac:dyDescent="0.35">
      <c r="A29" s="154">
        <v>12</v>
      </c>
      <c r="B29" s="485" t="s">
        <v>300</v>
      </c>
      <c r="C29" s="488"/>
      <c r="D29" s="486"/>
      <c r="E29" s="156">
        <v>79253</v>
      </c>
      <c r="F29" s="156">
        <v>54693</v>
      </c>
      <c r="G29" s="156">
        <v>6604</v>
      </c>
      <c r="H29" s="156">
        <v>8099</v>
      </c>
      <c r="I29" s="156" t="s">
        <v>971</v>
      </c>
      <c r="J29" s="157">
        <f t="shared" ref="J29" si="2">SUM(E29:I29)</f>
        <v>148649</v>
      </c>
      <c r="M29" s="139"/>
    </row>
    <row r="30" spans="1:13" s="22" customFormat="1" x14ac:dyDescent="0.35">
      <c r="A30" s="154">
        <v>13</v>
      </c>
      <c r="B30" s="479" t="s">
        <v>225</v>
      </c>
      <c r="C30" s="487"/>
      <c r="D30" s="480"/>
      <c r="E30" s="159">
        <f>SUM(E27:E29)</f>
        <v>2495450</v>
      </c>
      <c r="F30" s="159">
        <f>SUM(F27:F29)</f>
        <v>5091546</v>
      </c>
      <c r="G30" s="159">
        <f>SUM(G27:G29)</f>
        <v>1017243</v>
      </c>
      <c r="H30" s="159">
        <f>SUM(H27:H29)</f>
        <v>602571</v>
      </c>
      <c r="I30" s="159">
        <f>SUM(I27:I29)</f>
        <v>0</v>
      </c>
      <c r="J30" s="159">
        <f>SUM(E30:I30)</f>
        <v>9206810</v>
      </c>
      <c r="M30" s="139"/>
    </row>
    <row r="31" spans="1:13" s="22" customFormat="1" x14ac:dyDescent="0.35">
      <c r="A31" s="160"/>
      <c r="B31" s="161"/>
      <c r="C31" s="161"/>
      <c r="D31" s="162"/>
      <c r="E31" s="163"/>
      <c r="F31" s="163"/>
      <c r="G31" s="163"/>
      <c r="H31" s="163"/>
      <c r="I31" s="163"/>
      <c r="J31" s="163"/>
      <c r="M31" s="139"/>
    </row>
    <row r="32" spans="1:13" s="22" customFormat="1" x14ac:dyDescent="0.35">
      <c r="A32" s="154">
        <v>14</v>
      </c>
      <c r="B32" s="479" t="s">
        <v>228</v>
      </c>
      <c r="C32" s="487"/>
      <c r="D32" s="480"/>
      <c r="E32" s="159">
        <f>E30+E24+E20+E15</f>
        <v>12179436</v>
      </c>
      <c r="F32" s="159">
        <f>F30+F24+F20+F15</f>
        <v>27099614</v>
      </c>
      <c r="G32" s="159">
        <f>G30+G24+G20+G15</f>
        <v>6654635</v>
      </c>
      <c r="H32" s="159">
        <f>H30+H24+H20+H15</f>
        <v>3353499</v>
      </c>
      <c r="I32" s="159">
        <f>I30+I24+I20+I15</f>
        <v>181733</v>
      </c>
      <c r="J32" s="159">
        <f t="shared" ref="J32" si="3">SUM(E32:I32)</f>
        <v>49468917</v>
      </c>
      <c r="M32" s="139"/>
    </row>
    <row r="33" spans="1:13" s="22" customFormat="1" x14ac:dyDescent="0.35">
      <c r="A33" s="160"/>
      <c r="B33" s="161"/>
      <c r="C33" s="161"/>
      <c r="D33" s="162"/>
      <c r="E33" s="163"/>
      <c r="F33" s="163"/>
      <c r="G33" s="163"/>
      <c r="H33" s="163"/>
      <c r="I33" s="163"/>
      <c r="J33" s="163"/>
      <c r="M33" s="139"/>
    </row>
    <row r="34" spans="1:13" s="22" customFormat="1" x14ac:dyDescent="0.35">
      <c r="A34" s="482" t="s">
        <v>234</v>
      </c>
      <c r="B34" s="483"/>
      <c r="C34" s="483"/>
      <c r="D34" s="483"/>
      <c r="E34" s="483"/>
      <c r="F34" s="483"/>
      <c r="G34" s="483"/>
      <c r="H34" s="483"/>
      <c r="I34" s="483"/>
      <c r="J34" s="484"/>
      <c r="M34" s="139"/>
    </row>
    <row r="35" spans="1:13" s="22" customFormat="1" x14ac:dyDescent="0.35">
      <c r="A35" s="154">
        <v>15</v>
      </c>
      <c r="B35" s="485" t="s">
        <v>292</v>
      </c>
      <c r="C35" s="488"/>
      <c r="D35" s="486"/>
      <c r="E35" s="156" t="s">
        <v>971</v>
      </c>
      <c r="F35" s="156">
        <v>-113682</v>
      </c>
      <c r="G35" s="156">
        <v>33555</v>
      </c>
      <c r="H35" s="156">
        <v>80127</v>
      </c>
      <c r="I35" s="156" t="s">
        <v>971</v>
      </c>
      <c r="J35" s="157">
        <f>SUM(E35:I35)</f>
        <v>0</v>
      </c>
      <c r="M35" s="139"/>
    </row>
    <row r="36" spans="1:13" s="22" customFormat="1" x14ac:dyDescent="0.35">
      <c r="A36" s="154">
        <v>16</v>
      </c>
      <c r="B36" s="485" t="s">
        <v>227</v>
      </c>
      <c r="C36" s="488"/>
      <c r="D36" s="486"/>
      <c r="E36" s="156">
        <v>485820</v>
      </c>
      <c r="F36" s="156" t="s">
        <v>971</v>
      </c>
      <c r="G36" s="156" t="s">
        <v>971</v>
      </c>
      <c r="H36" s="156">
        <v>12250</v>
      </c>
      <c r="I36" s="156" t="s">
        <v>971</v>
      </c>
      <c r="J36" s="157">
        <f>SUM(E36:I36)</f>
        <v>498070</v>
      </c>
    </row>
    <row r="37" spans="1:13" s="22" customFormat="1" x14ac:dyDescent="0.35">
      <c r="A37" s="154">
        <v>17</v>
      </c>
      <c r="B37" s="172" t="s">
        <v>459</v>
      </c>
      <c r="C37" s="166"/>
      <c r="D37" s="167"/>
      <c r="E37" s="156" t="s">
        <v>971</v>
      </c>
      <c r="F37" s="156" t="s">
        <v>971</v>
      </c>
      <c r="G37" s="156" t="s">
        <v>971</v>
      </c>
      <c r="H37" s="156" t="s">
        <v>971</v>
      </c>
      <c r="I37" s="156" t="s">
        <v>971</v>
      </c>
      <c r="J37" s="157">
        <f>SUM(E37:I37)</f>
        <v>0</v>
      </c>
      <c r="K37" s="127"/>
    </row>
    <row r="38" spans="1:13" s="22" customFormat="1" x14ac:dyDescent="0.35">
      <c r="A38" s="154">
        <v>18</v>
      </c>
      <c r="B38" s="479" t="s">
        <v>226</v>
      </c>
      <c r="C38" s="487"/>
      <c r="D38" s="480"/>
      <c r="E38" s="159">
        <f>SUM(E35:E37)</f>
        <v>485820</v>
      </c>
      <c r="F38" s="159">
        <f t="shared" ref="F38:I38" si="4">SUM(F35:F37)</f>
        <v>-113682</v>
      </c>
      <c r="G38" s="159">
        <f t="shared" si="4"/>
        <v>33555</v>
      </c>
      <c r="H38" s="159">
        <f t="shared" si="4"/>
        <v>92377</v>
      </c>
      <c r="I38" s="159">
        <f t="shared" si="4"/>
        <v>0</v>
      </c>
      <c r="J38" s="159">
        <f>SUM(E38:I38)</f>
        <v>498070</v>
      </c>
      <c r="M38" s="139"/>
    </row>
    <row r="39" spans="1:13" s="22" customFormat="1" x14ac:dyDescent="0.35">
      <c r="A39" s="160"/>
      <c r="B39" s="161"/>
      <c r="C39" s="161"/>
      <c r="D39" s="162"/>
      <c r="E39" s="163"/>
      <c r="F39" s="163"/>
      <c r="G39" s="163"/>
      <c r="H39" s="163"/>
      <c r="I39" s="163"/>
      <c r="J39" s="163"/>
      <c r="M39" s="139"/>
    </row>
    <row r="40" spans="1:13" s="22" customFormat="1" x14ac:dyDescent="0.35">
      <c r="A40" s="154">
        <v>19</v>
      </c>
      <c r="B40" s="479" t="s">
        <v>229</v>
      </c>
      <c r="C40" s="487"/>
      <c r="D40" s="480"/>
      <c r="E40" s="159">
        <f>E38+E32</f>
        <v>12665256</v>
      </c>
      <c r="F40" s="159">
        <f>F38+F32</f>
        <v>26985932</v>
      </c>
      <c r="G40" s="159">
        <f>G38+G32</f>
        <v>6688190</v>
      </c>
      <c r="H40" s="159">
        <f>H38+H32</f>
        <v>3445876</v>
      </c>
      <c r="I40" s="159">
        <f>I38+I32</f>
        <v>181733</v>
      </c>
      <c r="J40" s="159">
        <f>SUM(E40:I40)</f>
        <v>49966987</v>
      </c>
      <c r="M40" s="139"/>
    </row>
    <row r="41" spans="1:13" s="22" customFormat="1" x14ac:dyDescent="0.35">
      <c r="A41" s="160"/>
      <c r="B41" s="161"/>
      <c r="C41" s="161"/>
      <c r="D41" s="162"/>
      <c r="E41" s="163"/>
      <c r="F41" s="163"/>
      <c r="G41" s="163"/>
      <c r="H41" s="163"/>
      <c r="I41" s="163"/>
      <c r="J41" s="163"/>
      <c r="M41" s="139"/>
    </row>
    <row r="42" spans="1:13" s="22" customFormat="1" x14ac:dyDescent="0.35">
      <c r="A42" s="482" t="s">
        <v>487</v>
      </c>
      <c r="B42" s="483"/>
      <c r="C42" s="483"/>
      <c r="D42" s="483"/>
      <c r="E42" s="483"/>
      <c r="F42" s="483"/>
      <c r="G42" s="483"/>
      <c r="H42" s="483"/>
      <c r="I42" s="483"/>
      <c r="J42" s="484"/>
      <c r="M42" s="139"/>
    </row>
    <row r="43" spans="1:13" s="22" customFormat="1" x14ac:dyDescent="0.35">
      <c r="A43" s="154">
        <v>20</v>
      </c>
      <c r="B43" s="485" t="s">
        <v>283</v>
      </c>
      <c r="C43" s="488"/>
      <c r="D43" s="486"/>
      <c r="E43" s="156" t="s">
        <v>971</v>
      </c>
      <c r="F43" s="156" t="s">
        <v>971</v>
      </c>
      <c r="G43" s="156" t="s">
        <v>971</v>
      </c>
      <c r="H43" s="156" t="s">
        <v>971</v>
      </c>
      <c r="I43" s="156" t="s">
        <v>971</v>
      </c>
      <c r="J43" s="157">
        <f>SUM(E43:I43)</f>
        <v>0</v>
      </c>
      <c r="M43" s="139"/>
    </row>
    <row r="44" spans="1:13" s="22" customFormat="1" x14ac:dyDescent="0.35">
      <c r="A44" s="154">
        <v>21</v>
      </c>
      <c r="B44" s="485" t="s">
        <v>230</v>
      </c>
      <c r="C44" s="488"/>
      <c r="D44" s="486"/>
      <c r="E44" s="156" t="s">
        <v>971</v>
      </c>
      <c r="F44" s="156" t="s">
        <v>971</v>
      </c>
      <c r="G44" s="156" t="s">
        <v>971</v>
      </c>
      <c r="H44" s="156" t="s">
        <v>971</v>
      </c>
      <c r="I44" s="156" t="s">
        <v>971</v>
      </c>
      <c r="J44" s="157">
        <f t="shared" ref="J44:J50" si="5">SUM(E44:I44)</f>
        <v>0</v>
      </c>
      <c r="M44" s="139"/>
    </row>
    <row r="45" spans="1:13" s="22" customFormat="1" x14ac:dyDescent="0.35">
      <c r="A45" s="154">
        <v>22</v>
      </c>
      <c r="B45" s="485" t="s">
        <v>288</v>
      </c>
      <c r="C45" s="488"/>
      <c r="D45" s="486"/>
      <c r="E45" s="156">
        <v>59183</v>
      </c>
      <c r="F45" s="156">
        <v>28548</v>
      </c>
      <c r="G45" s="156">
        <v>167185</v>
      </c>
      <c r="H45" s="156">
        <v>7069</v>
      </c>
      <c r="I45" s="156" t="s">
        <v>971</v>
      </c>
      <c r="J45" s="157">
        <f t="shared" si="5"/>
        <v>261985</v>
      </c>
      <c r="M45" s="139"/>
    </row>
    <row r="46" spans="1:13" s="22" customFormat="1" x14ac:dyDescent="0.35">
      <c r="A46" s="154">
        <v>23</v>
      </c>
      <c r="B46" s="485" t="s">
        <v>284</v>
      </c>
      <c r="C46" s="488"/>
      <c r="D46" s="486"/>
      <c r="E46" s="156" t="s">
        <v>971</v>
      </c>
      <c r="F46" s="156" t="s">
        <v>971</v>
      </c>
      <c r="G46" s="156" t="s">
        <v>971</v>
      </c>
      <c r="H46" s="156" t="s">
        <v>971</v>
      </c>
      <c r="I46" s="156" t="s">
        <v>971</v>
      </c>
      <c r="J46" s="157">
        <f t="shared" si="5"/>
        <v>0</v>
      </c>
      <c r="M46" s="139"/>
    </row>
    <row r="47" spans="1:13" s="22" customFormat="1" x14ac:dyDescent="0.35">
      <c r="A47" s="154">
        <v>24</v>
      </c>
      <c r="B47" s="485" t="s">
        <v>314</v>
      </c>
      <c r="C47" s="488"/>
      <c r="D47" s="486"/>
      <c r="E47" s="156" t="s">
        <v>971</v>
      </c>
      <c r="F47" s="156" t="s">
        <v>971</v>
      </c>
      <c r="G47" s="156" t="s">
        <v>971</v>
      </c>
      <c r="H47" s="156" t="s">
        <v>971</v>
      </c>
      <c r="I47" s="156" t="s">
        <v>971</v>
      </c>
      <c r="J47" s="157">
        <f t="shared" si="5"/>
        <v>0</v>
      </c>
      <c r="M47" s="139"/>
    </row>
    <row r="48" spans="1:13" s="22" customFormat="1" x14ac:dyDescent="0.35">
      <c r="A48" s="154">
        <v>25</v>
      </c>
      <c r="B48" s="485" t="s">
        <v>775</v>
      </c>
      <c r="C48" s="488"/>
      <c r="D48" s="486"/>
      <c r="E48" s="156" t="s">
        <v>971</v>
      </c>
      <c r="F48" s="156" t="s">
        <v>971</v>
      </c>
      <c r="G48" s="156" t="s">
        <v>971</v>
      </c>
      <c r="H48" s="156" t="s">
        <v>971</v>
      </c>
      <c r="I48" s="156" t="s">
        <v>971</v>
      </c>
      <c r="J48" s="157">
        <f>SUM(E48:I48)</f>
        <v>0</v>
      </c>
      <c r="M48" s="139"/>
    </row>
    <row r="49" spans="1:13" s="22" customFormat="1" x14ac:dyDescent="0.35">
      <c r="A49" s="154">
        <v>26</v>
      </c>
      <c r="B49" s="485" t="s">
        <v>452</v>
      </c>
      <c r="C49" s="488"/>
      <c r="D49" s="486"/>
      <c r="E49" s="156">
        <v>-2286</v>
      </c>
      <c r="F49" s="156">
        <v>127956</v>
      </c>
      <c r="G49" s="156">
        <v>80109</v>
      </c>
      <c r="H49" s="156">
        <v>11962447</v>
      </c>
      <c r="I49" s="156" t="s">
        <v>971</v>
      </c>
      <c r="J49" s="157">
        <f t="shared" si="5"/>
        <v>12168226</v>
      </c>
      <c r="M49" s="139"/>
    </row>
    <row r="50" spans="1:13" s="22" customFormat="1" x14ac:dyDescent="0.35">
      <c r="A50" s="154">
        <v>27</v>
      </c>
      <c r="B50" s="479" t="s">
        <v>238</v>
      </c>
      <c r="C50" s="487"/>
      <c r="D50" s="480"/>
      <c r="E50" s="159">
        <f>SUM(E43:E49)</f>
        <v>56897</v>
      </c>
      <c r="F50" s="159">
        <f>SUM(F43:F49)</f>
        <v>156504</v>
      </c>
      <c r="G50" s="159">
        <f>SUM(G43:G49)</f>
        <v>247294</v>
      </c>
      <c r="H50" s="159">
        <f>SUM(H43:H49)</f>
        <v>11969516</v>
      </c>
      <c r="I50" s="159">
        <f>SUM(I43:I49)</f>
        <v>0</v>
      </c>
      <c r="J50" s="159">
        <f t="shared" si="5"/>
        <v>12430211</v>
      </c>
      <c r="M50" s="139"/>
    </row>
    <row r="51" spans="1:13" s="22" customFormat="1" x14ac:dyDescent="0.35">
      <c r="A51" s="160"/>
      <c r="B51" s="489"/>
      <c r="C51" s="489"/>
      <c r="D51" s="489"/>
      <c r="E51" s="489"/>
      <c r="F51" s="489"/>
      <c r="G51" s="489"/>
      <c r="H51" s="163"/>
      <c r="I51" s="163"/>
      <c r="J51" s="163"/>
      <c r="M51" s="139"/>
    </row>
    <row r="52" spans="1:13" s="22" customFormat="1" x14ac:dyDescent="0.35">
      <c r="A52" s="482" t="s">
        <v>233</v>
      </c>
      <c r="B52" s="483"/>
      <c r="C52" s="483"/>
      <c r="D52" s="483"/>
      <c r="E52" s="483"/>
      <c r="F52" s="483"/>
      <c r="G52" s="483"/>
      <c r="H52" s="483"/>
      <c r="I52" s="483"/>
      <c r="J52" s="484"/>
      <c r="M52" s="139"/>
    </row>
    <row r="53" spans="1:13" s="22" customFormat="1" x14ac:dyDescent="0.35">
      <c r="A53" s="154">
        <v>28</v>
      </c>
      <c r="B53" s="485" t="s">
        <v>282</v>
      </c>
      <c r="C53" s="488"/>
      <c r="D53" s="486"/>
      <c r="E53" s="156" t="s">
        <v>971</v>
      </c>
      <c r="F53" s="156" t="s">
        <v>971</v>
      </c>
      <c r="G53" s="156" t="s">
        <v>971</v>
      </c>
      <c r="H53" s="156" t="s">
        <v>971</v>
      </c>
      <c r="I53" s="156" t="s">
        <v>971</v>
      </c>
      <c r="J53" s="157">
        <f>SUM(E53:I53)</f>
        <v>0</v>
      </c>
      <c r="M53" s="139"/>
    </row>
    <row r="54" spans="1:13" s="22" customFormat="1" x14ac:dyDescent="0.35">
      <c r="A54" s="154">
        <v>29</v>
      </c>
      <c r="B54" s="485" t="s">
        <v>294</v>
      </c>
      <c r="C54" s="488"/>
      <c r="D54" s="486"/>
      <c r="E54" s="156" t="s">
        <v>971</v>
      </c>
      <c r="F54" s="156" t="s">
        <v>971</v>
      </c>
      <c r="G54" s="156" t="s">
        <v>971</v>
      </c>
      <c r="H54" s="156" t="s">
        <v>971</v>
      </c>
      <c r="I54" s="156" t="s">
        <v>971</v>
      </c>
      <c r="J54" s="157">
        <f>SUM(E54:I54)</f>
        <v>0</v>
      </c>
      <c r="M54" s="139"/>
    </row>
    <row r="55" spans="1:13" s="22" customFormat="1" x14ac:dyDescent="0.35">
      <c r="A55" s="154">
        <v>30</v>
      </c>
      <c r="B55" s="485" t="s">
        <v>295</v>
      </c>
      <c r="C55" s="488"/>
      <c r="D55" s="486"/>
      <c r="E55" s="156">
        <v>610104</v>
      </c>
      <c r="F55" s="156">
        <v>39262</v>
      </c>
      <c r="G55" s="156">
        <v>16025</v>
      </c>
      <c r="H55" s="156">
        <v>8328</v>
      </c>
      <c r="I55" s="156" t="s">
        <v>971</v>
      </c>
      <c r="J55" s="157">
        <f t="shared" ref="J55:J57" si="6">SUM(E55:I55)</f>
        <v>673719</v>
      </c>
      <c r="M55" s="139"/>
    </row>
    <row r="56" spans="1:13" s="22" customFormat="1" x14ac:dyDescent="0.35">
      <c r="A56" s="154">
        <v>31</v>
      </c>
      <c r="B56" s="485" t="s">
        <v>296</v>
      </c>
      <c r="C56" s="488"/>
      <c r="D56" s="486"/>
      <c r="E56" s="156">
        <v>1998298</v>
      </c>
      <c r="F56" s="156">
        <v>11367</v>
      </c>
      <c r="G56" s="156">
        <v>2551</v>
      </c>
      <c r="H56" s="156">
        <v>28610</v>
      </c>
      <c r="I56" s="156" t="s">
        <v>971</v>
      </c>
      <c r="J56" s="157">
        <f t="shared" si="6"/>
        <v>2040826</v>
      </c>
      <c r="M56" s="139"/>
    </row>
    <row r="57" spans="1:13" s="22" customFormat="1" x14ac:dyDescent="0.35">
      <c r="A57" s="154">
        <v>32</v>
      </c>
      <c r="B57" s="479" t="s">
        <v>231</v>
      </c>
      <c r="C57" s="487"/>
      <c r="D57" s="480"/>
      <c r="E57" s="159">
        <f>SUM(E53:E56)</f>
        <v>2608402</v>
      </c>
      <c r="F57" s="159">
        <f>SUM(F53:F56)</f>
        <v>50629</v>
      </c>
      <c r="G57" s="159">
        <f>SUM(G53:G56)</f>
        <v>18576</v>
      </c>
      <c r="H57" s="159">
        <f>SUM(H53:H56)</f>
        <v>36938</v>
      </c>
      <c r="I57" s="159">
        <f>SUM(I53:I56)</f>
        <v>0</v>
      </c>
      <c r="J57" s="159">
        <f t="shared" si="6"/>
        <v>2714545</v>
      </c>
      <c r="M57" s="139"/>
    </row>
    <row r="58" spans="1:13" s="22" customFormat="1" x14ac:dyDescent="0.35">
      <c r="A58" s="160"/>
      <c r="B58" s="161"/>
      <c r="C58" s="161"/>
      <c r="D58" s="162"/>
      <c r="E58" s="163"/>
      <c r="F58" s="163"/>
      <c r="G58" s="163"/>
      <c r="H58" s="163"/>
      <c r="I58" s="163"/>
      <c r="J58" s="163"/>
      <c r="M58" s="139"/>
    </row>
    <row r="59" spans="1:13" s="22" customFormat="1" x14ac:dyDescent="0.35">
      <c r="A59" s="482" t="s">
        <v>232</v>
      </c>
      <c r="B59" s="483"/>
      <c r="C59" s="483"/>
      <c r="D59" s="483"/>
      <c r="E59" s="483"/>
      <c r="F59" s="483"/>
      <c r="G59" s="483"/>
      <c r="H59" s="483"/>
      <c r="I59" s="483"/>
      <c r="J59" s="484"/>
      <c r="M59" s="139"/>
    </row>
    <row r="60" spans="1:13" s="22" customFormat="1" x14ac:dyDescent="0.35">
      <c r="A60" s="154">
        <v>33</v>
      </c>
      <c r="B60" s="485" t="s">
        <v>297</v>
      </c>
      <c r="C60" s="488"/>
      <c r="D60" s="486"/>
      <c r="E60" s="156">
        <v>142687</v>
      </c>
      <c r="F60" s="156">
        <v>-4356</v>
      </c>
      <c r="G60" s="156">
        <v>36000</v>
      </c>
      <c r="H60" s="156">
        <v>9289</v>
      </c>
      <c r="I60" s="156" t="s">
        <v>971</v>
      </c>
      <c r="J60" s="157">
        <f>SUM(E60:I60)</f>
        <v>183620</v>
      </c>
      <c r="M60" s="139"/>
    </row>
    <row r="61" spans="1:13" s="22" customFormat="1" x14ac:dyDescent="0.35">
      <c r="A61" s="154">
        <v>34</v>
      </c>
      <c r="B61" s="485" t="s">
        <v>298</v>
      </c>
      <c r="C61" s="488"/>
      <c r="D61" s="486"/>
      <c r="E61" s="156">
        <v>840767</v>
      </c>
      <c r="F61" s="156">
        <v>2295197</v>
      </c>
      <c r="G61" s="156">
        <v>244137</v>
      </c>
      <c r="H61" s="156">
        <v>52617</v>
      </c>
      <c r="I61" s="156" t="s">
        <v>971</v>
      </c>
      <c r="J61" s="157">
        <f t="shared" ref="J61:J67" si="7">SUM(E61:I61)</f>
        <v>3432718</v>
      </c>
      <c r="M61" s="139"/>
    </row>
    <row r="62" spans="1:13" s="22" customFormat="1" x14ac:dyDescent="0.35">
      <c r="A62" s="154">
        <v>35</v>
      </c>
      <c r="B62" s="485" t="s">
        <v>302</v>
      </c>
      <c r="C62" s="488"/>
      <c r="D62" s="486"/>
      <c r="E62" s="156" t="s">
        <v>971</v>
      </c>
      <c r="F62" s="156" t="s">
        <v>971</v>
      </c>
      <c r="G62" s="156" t="s">
        <v>971</v>
      </c>
      <c r="H62" s="156" t="s">
        <v>971</v>
      </c>
      <c r="I62" s="156" t="s">
        <v>971</v>
      </c>
      <c r="J62" s="157">
        <f t="shared" si="7"/>
        <v>0</v>
      </c>
      <c r="M62" s="139"/>
    </row>
    <row r="63" spans="1:13" s="22" customFormat="1" x14ac:dyDescent="0.35">
      <c r="A63" s="154">
        <v>36</v>
      </c>
      <c r="B63" s="485" t="s">
        <v>315</v>
      </c>
      <c r="C63" s="488"/>
      <c r="D63" s="486"/>
      <c r="E63" s="156" t="s">
        <v>971</v>
      </c>
      <c r="F63" s="156" t="s">
        <v>971</v>
      </c>
      <c r="G63" s="156" t="s">
        <v>971</v>
      </c>
      <c r="H63" s="156" t="s">
        <v>971</v>
      </c>
      <c r="I63" s="156" t="s">
        <v>971</v>
      </c>
      <c r="J63" s="157">
        <f t="shared" si="7"/>
        <v>0</v>
      </c>
      <c r="M63" s="139"/>
    </row>
    <row r="64" spans="1:13" s="22" customFormat="1" x14ac:dyDescent="0.35">
      <c r="A64" s="154">
        <v>37</v>
      </c>
      <c r="B64" s="485" t="s">
        <v>316</v>
      </c>
      <c r="C64" s="488"/>
      <c r="D64" s="486"/>
      <c r="E64" s="156">
        <v>424</v>
      </c>
      <c r="F64" s="156">
        <v>2650</v>
      </c>
      <c r="G64" s="156">
        <v>1636</v>
      </c>
      <c r="H64" s="156" t="s">
        <v>971</v>
      </c>
      <c r="I64" s="156" t="s">
        <v>971</v>
      </c>
      <c r="J64" s="157">
        <f t="shared" si="7"/>
        <v>4710</v>
      </c>
      <c r="M64" s="139"/>
    </row>
    <row r="65" spans="1:13" s="22" customFormat="1" x14ac:dyDescent="0.35">
      <c r="A65" s="154">
        <v>38</v>
      </c>
      <c r="B65" s="485" t="s">
        <v>317</v>
      </c>
      <c r="C65" s="488"/>
      <c r="D65" s="486"/>
      <c r="E65" s="156" t="s">
        <v>971</v>
      </c>
      <c r="F65" s="156" t="s">
        <v>971</v>
      </c>
      <c r="G65" s="156" t="s">
        <v>971</v>
      </c>
      <c r="H65" s="156" t="s">
        <v>971</v>
      </c>
      <c r="I65" s="156" t="s">
        <v>971</v>
      </c>
      <c r="J65" s="157">
        <f t="shared" si="7"/>
        <v>0</v>
      </c>
      <c r="M65" s="139"/>
    </row>
    <row r="66" spans="1:13" s="22" customFormat="1" x14ac:dyDescent="0.35">
      <c r="A66" s="154">
        <v>39</v>
      </c>
      <c r="B66" s="485" t="s">
        <v>299</v>
      </c>
      <c r="C66" s="488"/>
      <c r="D66" s="486"/>
      <c r="E66" s="156">
        <v>60876</v>
      </c>
      <c r="F66" s="156">
        <v>837798</v>
      </c>
      <c r="G66" s="156">
        <v>17693</v>
      </c>
      <c r="H66" s="156">
        <v>453483</v>
      </c>
      <c r="I66" s="156" t="s">
        <v>971</v>
      </c>
      <c r="J66" s="157">
        <f t="shared" ref="J66" si="8">SUM(E66:I66)</f>
        <v>1369850</v>
      </c>
      <c r="M66" s="139"/>
    </row>
    <row r="67" spans="1:13" s="22" customFormat="1" x14ac:dyDescent="0.35">
      <c r="A67" s="154">
        <v>40</v>
      </c>
      <c r="B67" s="479" t="s">
        <v>237</v>
      </c>
      <c r="C67" s="487"/>
      <c r="D67" s="480"/>
      <c r="E67" s="159">
        <f>SUM(E60:E66)</f>
        <v>1044754</v>
      </c>
      <c r="F67" s="159">
        <f>SUM(F60:F66)</f>
        <v>3131289</v>
      </c>
      <c r="G67" s="159">
        <f>SUM(G60:G66)</f>
        <v>299466</v>
      </c>
      <c r="H67" s="159">
        <f>SUM(H60:H66)</f>
        <v>515389</v>
      </c>
      <c r="I67" s="159">
        <f>SUM(I60:I66)</f>
        <v>0</v>
      </c>
      <c r="J67" s="159">
        <f t="shared" si="7"/>
        <v>4990898</v>
      </c>
      <c r="M67" s="139"/>
    </row>
    <row r="68" spans="1:13" s="22" customFormat="1" x14ac:dyDescent="0.35">
      <c r="A68" s="160"/>
      <c r="B68" s="161"/>
      <c r="C68" s="161"/>
      <c r="D68" s="162"/>
      <c r="E68" s="163"/>
      <c r="F68" s="163"/>
      <c r="G68" s="163"/>
      <c r="H68" s="163"/>
      <c r="I68" s="163"/>
      <c r="J68" s="163"/>
      <c r="M68" s="139"/>
    </row>
    <row r="69" spans="1:13" s="22" customFormat="1" x14ac:dyDescent="0.35">
      <c r="A69" s="482" t="s">
        <v>236</v>
      </c>
      <c r="B69" s="483"/>
      <c r="C69" s="483"/>
      <c r="D69" s="483"/>
      <c r="E69" s="483"/>
      <c r="F69" s="483"/>
      <c r="G69" s="483"/>
      <c r="H69" s="483"/>
      <c r="I69" s="483"/>
      <c r="J69" s="484"/>
      <c r="M69" s="139"/>
    </row>
    <row r="70" spans="1:13" s="22" customFormat="1" x14ac:dyDescent="0.35">
      <c r="A70" s="154">
        <v>41</v>
      </c>
      <c r="B70" s="485" t="s">
        <v>239</v>
      </c>
      <c r="C70" s="488"/>
      <c r="D70" s="486"/>
      <c r="E70" s="156">
        <v>119838</v>
      </c>
      <c r="F70" s="156">
        <v>9039</v>
      </c>
      <c r="G70" s="156" t="s">
        <v>971</v>
      </c>
      <c r="H70" s="156">
        <v>3095</v>
      </c>
      <c r="I70" s="156" t="s">
        <v>971</v>
      </c>
      <c r="J70" s="157">
        <f t="shared" ref="J70:J73" si="9">SUM(E70:I70)</f>
        <v>131972</v>
      </c>
      <c r="M70" s="139"/>
    </row>
    <row r="71" spans="1:13" s="22" customFormat="1" x14ac:dyDescent="0.35">
      <c r="A71" s="154">
        <v>42</v>
      </c>
      <c r="B71" s="485" t="s">
        <v>289</v>
      </c>
      <c r="C71" s="488"/>
      <c r="D71" s="486"/>
      <c r="E71" s="156">
        <v>72287</v>
      </c>
      <c r="F71" s="156">
        <v>26962</v>
      </c>
      <c r="G71" s="156">
        <v>5193</v>
      </c>
      <c r="H71" s="156">
        <v>9528</v>
      </c>
      <c r="I71" s="156" t="s">
        <v>971</v>
      </c>
      <c r="J71" s="157">
        <f t="shared" si="9"/>
        <v>113970</v>
      </c>
      <c r="M71" s="139"/>
    </row>
    <row r="72" spans="1:13" s="22" customFormat="1" x14ac:dyDescent="0.35">
      <c r="A72" s="154">
        <v>43</v>
      </c>
      <c r="B72" s="485" t="s">
        <v>240</v>
      </c>
      <c r="C72" s="488"/>
      <c r="D72" s="486"/>
      <c r="E72" s="156" t="s">
        <v>971</v>
      </c>
      <c r="F72" s="156" t="s">
        <v>971</v>
      </c>
      <c r="G72" s="156" t="s">
        <v>971</v>
      </c>
      <c r="H72" s="156" t="s">
        <v>971</v>
      </c>
      <c r="I72" s="156" t="s">
        <v>971</v>
      </c>
      <c r="J72" s="157">
        <f t="shared" si="9"/>
        <v>0</v>
      </c>
      <c r="M72" s="139"/>
    </row>
    <row r="73" spans="1:13" s="22" customFormat="1" x14ac:dyDescent="0.35">
      <c r="A73" s="154">
        <v>44</v>
      </c>
      <c r="B73" s="485" t="s">
        <v>308</v>
      </c>
      <c r="C73" s="488"/>
      <c r="D73" s="486"/>
      <c r="E73" s="156">
        <v>927925</v>
      </c>
      <c r="F73" s="156">
        <v>26998</v>
      </c>
      <c r="G73" s="156">
        <v>4920</v>
      </c>
      <c r="H73" s="156">
        <v>29454</v>
      </c>
      <c r="I73" s="156" t="s">
        <v>971</v>
      </c>
      <c r="J73" s="157">
        <f t="shared" si="9"/>
        <v>989297</v>
      </c>
      <c r="M73" s="139"/>
    </row>
    <row r="74" spans="1:13" s="22" customFormat="1" x14ac:dyDescent="0.35">
      <c r="A74" s="154">
        <v>45</v>
      </c>
      <c r="B74" s="485" t="s">
        <v>286</v>
      </c>
      <c r="C74" s="488"/>
      <c r="D74" s="486"/>
      <c r="E74" s="156">
        <v>224440</v>
      </c>
      <c r="F74" s="156">
        <v>1003</v>
      </c>
      <c r="G74" s="156" t="s">
        <v>971</v>
      </c>
      <c r="H74" s="156">
        <v>1448</v>
      </c>
      <c r="I74" s="156" t="s">
        <v>971</v>
      </c>
      <c r="J74" s="157">
        <f>SUM(E74:I74)</f>
        <v>226891</v>
      </c>
      <c r="M74" s="139"/>
    </row>
    <row r="75" spans="1:13" s="22" customFormat="1" x14ac:dyDescent="0.35">
      <c r="A75" s="154">
        <v>46</v>
      </c>
      <c r="B75" s="485" t="s">
        <v>287</v>
      </c>
      <c r="C75" s="488"/>
      <c r="D75" s="486"/>
      <c r="E75" s="156">
        <v>373587</v>
      </c>
      <c r="F75" s="156">
        <v>199560</v>
      </c>
      <c r="G75" s="156">
        <v>1079985</v>
      </c>
      <c r="H75" s="156">
        <v>19629</v>
      </c>
      <c r="I75" s="156" t="s">
        <v>971</v>
      </c>
      <c r="J75" s="157">
        <f t="shared" ref="J75:J77" si="10">SUM(E75:I75)</f>
        <v>1672761</v>
      </c>
      <c r="M75" s="139"/>
    </row>
    <row r="76" spans="1:13" s="22" customFormat="1" x14ac:dyDescent="0.35">
      <c r="A76" s="154">
        <v>47</v>
      </c>
      <c r="B76" s="485" t="s">
        <v>318</v>
      </c>
      <c r="C76" s="488"/>
      <c r="D76" s="486"/>
      <c r="E76" s="156" t="s">
        <v>971</v>
      </c>
      <c r="F76" s="156" t="s">
        <v>971</v>
      </c>
      <c r="G76" s="156" t="s">
        <v>971</v>
      </c>
      <c r="H76" s="156" t="s">
        <v>971</v>
      </c>
      <c r="I76" s="156" t="s">
        <v>971</v>
      </c>
      <c r="J76" s="157">
        <f t="shared" si="10"/>
        <v>0</v>
      </c>
      <c r="M76" s="139"/>
    </row>
    <row r="77" spans="1:13" s="22" customFormat="1" x14ac:dyDescent="0.35">
      <c r="A77" s="154">
        <v>48</v>
      </c>
      <c r="B77" s="485" t="s">
        <v>285</v>
      </c>
      <c r="C77" s="488"/>
      <c r="D77" s="486"/>
      <c r="E77" s="156">
        <v>1003625</v>
      </c>
      <c r="F77" s="156">
        <v>297356</v>
      </c>
      <c r="G77" s="156">
        <v>339242</v>
      </c>
      <c r="H77" s="156">
        <v>110470</v>
      </c>
      <c r="I77" s="156" t="s">
        <v>971</v>
      </c>
      <c r="J77" s="157">
        <f t="shared" si="10"/>
        <v>1750693</v>
      </c>
      <c r="M77" s="139"/>
    </row>
    <row r="78" spans="1:13" s="22" customFormat="1" x14ac:dyDescent="0.35">
      <c r="A78" s="154">
        <v>49</v>
      </c>
      <c r="B78" s="479" t="s">
        <v>279</v>
      </c>
      <c r="C78" s="487"/>
      <c r="D78" s="480"/>
      <c r="E78" s="159">
        <f>SUM(E70:E77)</f>
        <v>2721702</v>
      </c>
      <c r="F78" s="159">
        <f t="shared" ref="F78:I78" si="11">SUM(F70:F77)</f>
        <v>560918</v>
      </c>
      <c r="G78" s="159">
        <f t="shared" si="11"/>
        <v>1429340</v>
      </c>
      <c r="H78" s="159">
        <f t="shared" si="11"/>
        <v>173624</v>
      </c>
      <c r="I78" s="159">
        <f t="shared" si="11"/>
        <v>0</v>
      </c>
      <c r="J78" s="159">
        <f t="shared" ref="J78" si="12">SUM(E78:I78)</f>
        <v>4885584</v>
      </c>
      <c r="M78" s="139"/>
    </row>
    <row r="79" spans="1:13" s="22" customFormat="1" x14ac:dyDescent="0.35">
      <c r="A79" s="160"/>
      <c r="B79" s="161"/>
      <c r="C79" s="161"/>
      <c r="D79" s="162"/>
      <c r="E79" s="163"/>
      <c r="F79" s="163"/>
      <c r="G79" s="163"/>
      <c r="H79" s="163"/>
      <c r="I79" s="163"/>
      <c r="J79" s="163"/>
      <c r="M79" s="139"/>
    </row>
    <row r="80" spans="1:13" s="22" customFormat="1" x14ac:dyDescent="0.35">
      <c r="A80" s="482" t="s">
        <v>303</v>
      </c>
      <c r="B80" s="483"/>
      <c r="C80" s="483"/>
      <c r="D80" s="483"/>
      <c r="E80" s="483"/>
      <c r="F80" s="483"/>
      <c r="G80" s="483"/>
      <c r="H80" s="483"/>
      <c r="I80" s="483"/>
      <c r="J80" s="484"/>
      <c r="M80" s="139"/>
    </row>
    <row r="81" spans="1:13" s="22" customFormat="1" x14ac:dyDescent="0.35">
      <c r="A81" s="154">
        <v>50</v>
      </c>
      <c r="B81" s="485" t="s">
        <v>304</v>
      </c>
      <c r="C81" s="488"/>
      <c r="D81" s="486"/>
      <c r="E81" s="98"/>
      <c r="F81" s="98"/>
      <c r="G81" s="98"/>
      <c r="H81" s="98"/>
      <c r="I81" s="156">
        <v>629029</v>
      </c>
      <c r="J81" s="157">
        <f>I81</f>
        <v>629029</v>
      </c>
      <c r="M81" s="139"/>
    </row>
    <row r="82" spans="1:13" s="22" customFormat="1" x14ac:dyDescent="0.35">
      <c r="A82" s="154">
        <v>51</v>
      </c>
      <c r="B82" s="485" t="s">
        <v>309</v>
      </c>
      <c r="C82" s="488"/>
      <c r="D82" s="486"/>
      <c r="E82" s="98"/>
      <c r="F82" s="98"/>
      <c r="G82" s="98"/>
      <c r="H82" s="98"/>
      <c r="I82" s="156">
        <v>1800</v>
      </c>
      <c r="J82" s="157">
        <f>I82</f>
        <v>1800</v>
      </c>
      <c r="M82" s="139"/>
    </row>
    <row r="83" spans="1:13" s="22" customFormat="1" x14ac:dyDescent="0.35">
      <c r="A83" s="154">
        <v>52</v>
      </c>
      <c r="B83" s="485" t="s">
        <v>310</v>
      </c>
      <c r="C83" s="488"/>
      <c r="D83" s="486"/>
      <c r="E83" s="98"/>
      <c r="F83" s="98"/>
      <c r="G83" s="98"/>
      <c r="H83" s="98"/>
      <c r="I83" s="156" t="s">
        <v>971</v>
      </c>
      <c r="J83" s="157" t="str">
        <f t="shared" ref="J83:J84" si="13">I83</f>
        <v xml:space="preserve"> $                                     -  </v>
      </c>
      <c r="M83" s="139"/>
    </row>
    <row r="84" spans="1:13" s="22" customFormat="1" x14ac:dyDescent="0.35">
      <c r="A84" s="154">
        <v>53</v>
      </c>
      <c r="B84" s="485" t="s">
        <v>305</v>
      </c>
      <c r="C84" s="488"/>
      <c r="D84" s="486"/>
      <c r="E84" s="98"/>
      <c r="F84" s="98"/>
      <c r="G84" s="98"/>
      <c r="H84" s="98"/>
      <c r="I84" s="156" t="s">
        <v>971</v>
      </c>
      <c r="J84" s="157" t="str">
        <f t="shared" si="13"/>
        <v xml:space="preserve"> $                                     -  </v>
      </c>
      <c r="M84" s="139"/>
    </row>
    <row r="85" spans="1:13" s="22" customFormat="1" x14ac:dyDescent="0.35">
      <c r="A85" s="154">
        <v>54</v>
      </c>
      <c r="B85" s="479" t="s">
        <v>306</v>
      </c>
      <c r="C85" s="487"/>
      <c r="D85" s="480"/>
      <c r="E85" s="159">
        <v>0</v>
      </c>
      <c r="F85" s="159">
        <v>0</v>
      </c>
      <c r="G85" s="159">
        <v>0</v>
      </c>
      <c r="H85" s="159">
        <v>0</v>
      </c>
      <c r="I85" s="159">
        <f>SUM(I81:I84)</f>
        <v>630829</v>
      </c>
      <c r="J85" s="159">
        <f>SUM(E85:I85)</f>
        <v>630829</v>
      </c>
      <c r="M85" s="139"/>
    </row>
    <row r="86" spans="1:13" s="22" customFormat="1" x14ac:dyDescent="0.35">
      <c r="A86" s="160"/>
      <c r="B86" s="161"/>
      <c r="C86" s="161"/>
      <c r="D86" s="162"/>
      <c r="E86" s="163"/>
      <c r="F86" s="163"/>
      <c r="G86" s="163"/>
      <c r="H86" s="163"/>
      <c r="I86" s="163"/>
      <c r="J86" s="163"/>
      <c r="M86" s="139"/>
    </row>
    <row r="87" spans="1:13" s="22" customFormat="1" x14ac:dyDescent="0.35">
      <c r="A87" s="482" t="s">
        <v>273</v>
      </c>
      <c r="B87" s="483"/>
      <c r="C87" s="483"/>
      <c r="D87" s="483"/>
      <c r="E87" s="483"/>
      <c r="F87" s="483"/>
      <c r="G87" s="483"/>
      <c r="H87" s="483"/>
      <c r="I87" s="483"/>
      <c r="J87" s="484"/>
      <c r="M87" s="139"/>
    </row>
    <row r="88" spans="1:13" s="22" customFormat="1" x14ac:dyDescent="0.35">
      <c r="A88" s="154">
        <v>55</v>
      </c>
      <c r="B88" s="485" t="s">
        <v>274</v>
      </c>
      <c r="C88" s="488"/>
      <c r="D88" s="486"/>
      <c r="E88" s="164">
        <f>-'As-Filed Schedule 1C'!F27</f>
        <v>0</v>
      </c>
      <c r="F88" s="164">
        <f>-'As-Filed Schedule 1C'!F28</f>
        <v>0</v>
      </c>
      <c r="G88" s="164">
        <f>-'As-Filed Schedule 1C'!F29</f>
        <v>0</v>
      </c>
      <c r="H88" s="164">
        <f>-'As-Filed Schedule 1C'!F30</f>
        <v>0</v>
      </c>
      <c r="I88" s="164">
        <f>-SUM(E88:H88)</f>
        <v>0</v>
      </c>
      <c r="J88" s="157">
        <f>SUM(E88:I88)</f>
        <v>0</v>
      </c>
      <c r="M88" s="139"/>
    </row>
    <row r="89" spans="1:13" s="22" customFormat="1" x14ac:dyDescent="0.35">
      <c r="A89" s="154">
        <v>56</v>
      </c>
      <c r="B89" s="479" t="s">
        <v>270</v>
      </c>
      <c r="C89" s="487"/>
      <c r="D89" s="480"/>
      <c r="E89" s="159">
        <f>SUM(E88:E88)</f>
        <v>0</v>
      </c>
      <c r="F89" s="159">
        <f>SUM(F88:F88)</f>
        <v>0</v>
      </c>
      <c r="G89" s="159">
        <f>SUM(G88:G88)</f>
        <v>0</v>
      </c>
      <c r="H89" s="159">
        <f>SUM(H88:H88)</f>
        <v>0</v>
      </c>
      <c r="I89" s="159">
        <f>SUM(I88:I88)</f>
        <v>0</v>
      </c>
      <c r="J89" s="159">
        <f>SUM(E89:I89)</f>
        <v>0</v>
      </c>
      <c r="M89" s="139"/>
    </row>
    <row r="90" spans="1:13" s="22" customFormat="1" x14ac:dyDescent="0.35">
      <c r="A90" s="160"/>
      <c r="B90" s="161"/>
      <c r="C90" s="161"/>
      <c r="D90" s="162"/>
      <c r="E90" s="163"/>
      <c r="F90" s="163"/>
      <c r="G90" s="163"/>
      <c r="H90" s="163"/>
      <c r="I90" s="163"/>
      <c r="J90" s="163"/>
      <c r="M90" s="139"/>
    </row>
    <row r="91" spans="1:13" s="22" customFormat="1" x14ac:dyDescent="0.35">
      <c r="A91" s="154">
        <v>57</v>
      </c>
      <c r="B91" s="479" t="s">
        <v>241</v>
      </c>
      <c r="C91" s="487"/>
      <c r="D91" s="480"/>
      <c r="E91" s="159">
        <f>E78+E67+E57+E50+E40+E89+E85</f>
        <v>19097011</v>
      </c>
      <c r="F91" s="159">
        <f>F78+F67+F57+F50+F40+F89+F85</f>
        <v>30885272</v>
      </c>
      <c r="G91" s="159">
        <f>G78+G67+G57+G50+G40+G89+G85</f>
        <v>8682866</v>
      </c>
      <c r="H91" s="159">
        <f>H78+H67+H57+H50+H40+H89+H85</f>
        <v>16141343</v>
      </c>
      <c r="I91" s="159">
        <f>I78+I67+I57+I50+I40+I89+I85</f>
        <v>812562</v>
      </c>
      <c r="J91" s="159">
        <f>SUM(E91:I91)</f>
        <v>75619054</v>
      </c>
      <c r="M91" s="139"/>
    </row>
    <row r="92" spans="1:13" s="22" customFormat="1" x14ac:dyDescent="0.35">
      <c r="A92" s="160"/>
      <c r="B92" s="161"/>
      <c r="C92" s="161"/>
      <c r="D92" s="162"/>
      <c r="E92" s="163"/>
      <c r="F92" s="163"/>
      <c r="G92" s="163"/>
      <c r="H92" s="163"/>
      <c r="I92" s="163"/>
      <c r="J92" s="163"/>
      <c r="M92" s="139"/>
    </row>
    <row r="93" spans="1:13" s="22" customFormat="1" x14ac:dyDescent="0.35">
      <c r="A93" s="154">
        <v>58</v>
      </c>
      <c r="B93" s="485" t="s">
        <v>2</v>
      </c>
      <c r="C93" s="488"/>
      <c r="D93" s="486"/>
      <c r="E93" s="157">
        <f>E91*-1</f>
        <v>-19097011</v>
      </c>
      <c r="F93" s="156">
        <v>14267952</v>
      </c>
      <c r="G93" s="156">
        <v>3259742</v>
      </c>
      <c r="H93" s="156">
        <v>1569318</v>
      </c>
      <c r="I93" s="156">
        <v>0</v>
      </c>
      <c r="J93" s="159">
        <f>SUM(E93:I93)</f>
        <v>1</v>
      </c>
      <c r="K93" s="33" t="str">
        <f>IF(ABS(J93)&gt;1,"Error - This row should sum to 0.","")</f>
        <v/>
      </c>
      <c r="M93" s="139"/>
    </row>
    <row r="94" spans="1:13" s="22" customFormat="1" x14ac:dyDescent="0.35">
      <c r="A94" s="160"/>
      <c r="B94" s="161"/>
      <c r="C94" s="161"/>
      <c r="D94" s="162"/>
      <c r="E94" s="163"/>
      <c r="F94" s="163"/>
      <c r="G94" s="163"/>
      <c r="H94" s="163"/>
      <c r="I94" s="163"/>
      <c r="J94" s="163"/>
      <c r="M94" s="139"/>
    </row>
    <row r="95" spans="1:13" s="63" customFormat="1" ht="15.5" x14ac:dyDescent="0.35">
      <c r="A95" s="154">
        <v>59</v>
      </c>
      <c r="B95" s="491" t="s">
        <v>242</v>
      </c>
      <c r="C95" s="492"/>
      <c r="D95" s="493"/>
      <c r="E95" s="168">
        <f>E93+E91</f>
        <v>0</v>
      </c>
      <c r="F95" s="168">
        <f t="shared" ref="F95:I95" si="14">F93+F91</f>
        <v>45153224</v>
      </c>
      <c r="G95" s="168">
        <f t="shared" si="14"/>
        <v>11942608</v>
      </c>
      <c r="H95" s="168">
        <f t="shared" si="14"/>
        <v>17710661</v>
      </c>
      <c r="I95" s="168">
        <f t="shared" si="14"/>
        <v>812562</v>
      </c>
      <c r="J95" s="168">
        <f>SUM(E95:I95)</f>
        <v>75619055</v>
      </c>
      <c r="M95" s="140"/>
    </row>
    <row r="96" spans="1:13" s="22" customFormat="1" x14ac:dyDescent="0.35">
      <c r="A96" s="169"/>
      <c r="B96" s="169"/>
      <c r="C96" s="169"/>
      <c r="D96" s="169"/>
      <c r="E96" s="169"/>
      <c r="F96" s="169"/>
      <c r="G96" s="169"/>
      <c r="H96" s="169"/>
      <c r="I96" s="169"/>
      <c r="J96" s="169"/>
      <c r="M96" s="139"/>
    </row>
    <row r="97" spans="1:13" s="22" customFormat="1" x14ac:dyDescent="0.35">
      <c r="A97" s="154">
        <v>60</v>
      </c>
      <c r="B97" s="490" t="s">
        <v>4</v>
      </c>
      <c r="C97" s="490"/>
      <c r="D97" s="169"/>
      <c r="E97" s="169"/>
      <c r="F97" s="149"/>
      <c r="G97" s="169"/>
      <c r="H97" s="169"/>
      <c r="I97" s="169"/>
      <c r="J97" s="169"/>
      <c r="M97" s="139"/>
    </row>
    <row r="98" spans="1:13" s="22" customFormat="1" x14ac:dyDescent="0.35">
      <c r="A98" s="154">
        <v>61</v>
      </c>
      <c r="B98" s="490" t="s">
        <v>5</v>
      </c>
      <c r="C98" s="490"/>
      <c r="D98" s="169"/>
      <c r="E98" s="169"/>
      <c r="F98" s="157" t="str">
        <f>IFERROR(F95/F97,"")</f>
        <v/>
      </c>
      <c r="G98" s="169"/>
      <c r="H98" s="169"/>
      <c r="I98" s="169"/>
      <c r="J98" s="169"/>
      <c r="M98" s="139"/>
    </row>
    <row r="99" spans="1:13" s="22" customFormat="1" x14ac:dyDescent="0.35">
      <c r="A99" s="170"/>
      <c r="B99" s="169"/>
      <c r="C99" s="169"/>
      <c r="D99" s="169"/>
      <c r="E99" s="169"/>
      <c r="F99" s="169"/>
      <c r="G99" s="169"/>
      <c r="H99" s="169"/>
      <c r="I99" s="169"/>
      <c r="J99" s="169"/>
      <c r="M99" s="139"/>
    </row>
    <row r="100" spans="1:13" s="22" customFormat="1" x14ac:dyDescent="0.35">
      <c r="A100" s="154">
        <v>62</v>
      </c>
      <c r="B100" s="490" t="s">
        <v>307</v>
      </c>
      <c r="C100" s="490"/>
      <c r="D100" s="169"/>
      <c r="E100" s="169"/>
      <c r="F100" s="169"/>
      <c r="G100" s="169"/>
      <c r="H100" s="169"/>
      <c r="I100" s="169"/>
      <c r="J100" s="156"/>
      <c r="M100" s="139"/>
    </row>
    <row r="101" spans="1:13" s="22" customFormat="1" x14ac:dyDescent="0.35">
      <c r="A101" s="154">
        <v>63</v>
      </c>
      <c r="B101" s="490" t="s">
        <v>10</v>
      </c>
      <c r="C101" s="490"/>
      <c r="D101" s="169"/>
      <c r="E101" s="169"/>
      <c r="F101" s="169"/>
      <c r="G101" s="169"/>
      <c r="H101" s="169"/>
      <c r="I101" s="169"/>
      <c r="J101" s="157">
        <f>ROUND(J95-J100,0)</f>
        <v>75619055</v>
      </c>
      <c r="K101" s="33" t="str">
        <f>IF(ABS(J101)&gt;1,"Error - This variance should be 0.","")</f>
        <v>Error - This variance should be 0.</v>
      </c>
      <c r="M101" s="139"/>
    </row>
    <row r="102" spans="1:13" x14ac:dyDescent="0.35">
      <c r="A102" s="100"/>
      <c r="B102" s="100"/>
      <c r="C102" s="100"/>
      <c r="D102" s="100"/>
      <c r="E102" s="100"/>
      <c r="F102" s="100"/>
      <c r="G102" s="100"/>
      <c r="H102" s="100"/>
      <c r="I102" s="100"/>
      <c r="J102" s="100"/>
    </row>
    <row r="103" spans="1:13" x14ac:dyDescent="0.35">
      <c r="A103" s="154">
        <v>64</v>
      </c>
      <c r="B103" s="490" t="s">
        <v>202</v>
      </c>
      <c r="C103" s="490"/>
      <c r="D103" s="100"/>
      <c r="E103" s="171">
        <f>IFERROR(E91/SUM(F91:I91),"")</f>
        <v>0.33786837818300375</v>
      </c>
      <c r="F103" s="100"/>
      <c r="G103" s="100"/>
      <c r="H103" s="100"/>
      <c r="I103" s="100"/>
      <c r="J103" s="100"/>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75">
    <mergeCell ref="B9:C9"/>
    <mergeCell ref="B100:C100"/>
    <mergeCell ref="B101:C101"/>
    <mergeCell ref="B97:C97"/>
    <mergeCell ref="B98:C98"/>
    <mergeCell ref="A11:J11"/>
    <mergeCell ref="B50:D50"/>
    <mergeCell ref="A34:J34"/>
    <mergeCell ref="A22:J22"/>
    <mergeCell ref="A26:J26"/>
    <mergeCell ref="A42:J42"/>
    <mergeCell ref="B44:D44"/>
    <mergeCell ref="B45:D45"/>
    <mergeCell ref="B95:D95"/>
    <mergeCell ref="B93:D93"/>
    <mergeCell ref="B65:D65"/>
    <mergeCell ref="B19:C19"/>
    <mergeCell ref="B20:C20"/>
    <mergeCell ref="B55:D55"/>
    <mergeCell ref="B56:D56"/>
    <mergeCell ref="B57:D57"/>
    <mergeCell ref="B46:D46"/>
    <mergeCell ref="A52:J52"/>
    <mergeCell ref="B53:D53"/>
    <mergeCell ref="B32:D32"/>
    <mergeCell ref="B35:D35"/>
    <mergeCell ref="B23:D23"/>
    <mergeCell ref="B24:D24"/>
    <mergeCell ref="B27:D27"/>
    <mergeCell ref="B29:D29"/>
    <mergeCell ref="B30:D30"/>
    <mergeCell ref="B36:D36"/>
    <mergeCell ref="B12:C12"/>
    <mergeCell ref="B13:C13"/>
    <mergeCell ref="B14:C14"/>
    <mergeCell ref="B15:C15"/>
    <mergeCell ref="B18:C18"/>
    <mergeCell ref="A17:J17"/>
    <mergeCell ref="B103:C103"/>
    <mergeCell ref="B91:D91"/>
    <mergeCell ref="B88:D88"/>
    <mergeCell ref="B89:D89"/>
    <mergeCell ref="A87:J87"/>
    <mergeCell ref="A80:J80"/>
    <mergeCell ref="B85:D85"/>
    <mergeCell ref="B83:D83"/>
    <mergeCell ref="B84:D84"/>
    <mergeCell ref="B81:D81"/>
    <mergeCell ref="B82:D82"/>
    <mergeCell ref="B78:D78"/>
    <mergeCell ref="B75:D75"/>
    <mergeCell ref="B48:D48"/>
    <mergeCell ref="B49:D49"/>
    <mergeCell ref="B77:D77"/>
    <mergeCell ref="B76:D76"/>
    <mergeCell ref="A59:J59"/>
    <mergeCell ref="B74:D74"/>
    <mergeCell ref="B71:D71"/>
    <mergeCell ref="B72:D72"/>
    <mergeCell ref="B73:D73"/>
    <mergeCell ref="B70:D70"/>
    <mergeCell ref="B63:D63"/>
    <mergeCell ref="B64:D64"/>
    <mergeCell ref="B38:D38"/>
    <mergeCell ref="B40:D40"/>
    <mergeCell ref="B43:D43"/>
    <mergeCell ref="A69:J69"/>
    <mergeCell ref="B66:D66"/>
    <mergeCell ref="B67:D67"/>
    <mergeCell ref="B60:D60"/>
    <mergeCell ref="B61:D61"/>
    <mergeCell ref="B51:G51"/>
    <mergeCell ref="B47:D47"/>
    <mergeCell ref="B54:D54"/>
    <mergeCell ref="B62:D62"/>
  </mergeCells>
  <pageMargins left="0.7" right="0.7" top="0.75" bottom="0.75" header="0.3" footer="0.3"/>
  <pageSetup orientation="portrait" horizontalDpi="1200" verticalDpi="1200" r:id="rId3"/>
  <ignoredErrors>
    <ignoredError sqref="J18:J1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rgb="FF9CC5CA"/>
  </sheetPr>
  <dimension ref="A1:Y95"/>
  <sheetViews>
    <sheetView workbookViewId="0">
      <selection activeCell="D20" sqref="D20:G24"/>
    </sheetView>
  </sheetViews>
  <sheetFormatPr defaultRowHeight="14.5" x14ac:dyDescent="0.35"/>
  <cols>
    <col min="1" max="1" width="6.81640625" customWidth="1"/>
    <col min="2" max="2" width="16" customWidth="1"/>
    <col min="3" max="3" width="29.1796875" customWidth="1"/>
    <col min="4" max="6" width="19" customWidth="1"/>
    <col min="7" max="9" width="21.1796875" customWidth="1"/>
    <col min="10" max="10" width="28.453125" customWidth="1"/>
    <col min="11" max="11" width="32.54296875" customWidth="1"/>
    <col min="12" max="12" width="37.453125" customWidth="1"/>
  </cols>
  <sheetData>
    <row r="1" spans="1:12" ht="26" x14ac:dyDescent="0.6">
      <c r="A1" s="3" t="s">
        <v>774</v>
      </c>
    </row>
    <row r="2" spans="1:12" ht="21" x14ac:dyDescent="0.5">
      <c r="A2" s="2" t="s">
        <v>772</v>
      </c>
    </row>
    <row r="3" spans="1:12" ht="25" customHeight="1" x14ac:dyDescent="0.5">
      <c r="A3" s="495" t="s">
        <v>763</v>
      </c>
      <c r="B3" s="495"/>
      <c r="C3" s="495"/>
      <c r="D3" s="495"/>
      <c r="E3" s="495"/>
      <c r="F3" s="495"/>
      <c r="G3" s="495"/>
      <c r="H3" s="495"/>
      <c r="I3" s="495"/>
      <c r="J3" s="495"/>
    </row>
    <row r="4" spans="1:12" x14ac:dyDescent="0.35">
      <c r="H4" s="61"/>
      <c r="J4" s="129"/>
      <c r="K4" s="129"/>
      <c r="L4" s="129"/>
    </row>
    <row r="5" spans="1:12" x14ac:dyDescent="0.35">
      <c r="A5" s="1" t="s">
        <v>773</v>
      </c>
      <c r="C5" s="415" t="str">
        <f>'As-Filed Schedule 1'!C5</f>
        <v>AllHealth Network</v>
      </c>
      <c r="H5" s="48"/>
      <c r="J5" s="40"/>
      <c r="K5" s="40"/>
      <c r="L5" s="40"/>
    </row>
    <row r="6" spans="1:12" x14ac:dyDescent="0.35">
      <c r="A6" s="1" t="s">
        <v>0</v>
      </c>
      <c r="C6" s="35">
        <f>'As-Filed Schedule 1'!C6</f>
        <v>45473</v>
      </c>
      <c r="D6" s="35"/>
      <c r="E6" s="35"/>
      <c r="F6" s="35"/>
      <c r="G6" s="35"/>
      <c r="H6" s="60"/>
      <c r="J6" s="40"/>
      <c r="K6" s="40"/>
      <c r="L6" s="40"/>
    </row>
    <row r="7" spans="1:12" x14ac:dyDescent="0.35">
      <c r="H7" s="48"/>
      <c r="J7" s="40"/>
      <c r="K7" s="40"/>
      <c r="L7" s="40"/>
    </row>
    <row r="8" spans="1:12" x14ac:dyDescent="0.35">
      <c r="A8" s="1" t="s">
        <v>264</v>
      </c>
      <c r="D8" s="117">
        <v>332850</v>
      </c>
      <c r="F8" s="78"/>
      <c r="G8" s="48"/>
      <c r="H8" s="48"/>
      <c r="J8" s="40"/>
      <c r="K8" s="40"/>
      <c r="L8" s="40"/>
    </row>
    <row r="9" spans="1:12" ht="6.75" customHeight="1" x14ac:dyDescent="0.35">
      <c r="H9" s="48"/>
      <c r="J9" s="40"/>
      <c r="K9" s="40"/>
      <c r="L9" s="40"/>
    </row>
    <row r="10" spans="1:12" x14ac:dyDescent="0.35">
      <c r="A10" s="1" t="s">
        <v>265</v>
      </c>
      <c r="D10" s="77" t="s">
        <v>266</v>
      </c>
      <c r="E10" s="78"/>
      <c r="F10" s="78"/>
      <c r="H10" s="48"/>
      <c r="J10" s="40"/>
      <c r="K10" s="40"/>
      <c r="L10" s="40"/>
    </row>
    <row r="11" spans="1:12" x14ac:dyDescent="0.35">
      <c r="A11" s="1"/>
      <c r="D11" s="78"/>
      <c r="E11" s="78"/>
      <c r="F11" s="78"/>
      <c r="H11" s="48"/>
      <c r="J11" s="130"/>
    </row>
    <row r="12" spans="1:12" x14ac:dyDescent="0.35">
      <c r="A12" s="1" t="s">
        <v>267</v>
      </c>
      <c r="D12" s="48"/>
      <c r="E12" s="48"/>
      <c r="F12" s="48"/>
      <c r="J12" s="130"/>
    </row>
    <row r="13" spans="1:12" ht="15" customHeight="1" x14ac:dyDescent="0.35">
      <c r="A13" s="496" t="s">
        <v>488</v>
      </c>
      <c r="B13" s="496"/>
      <c r="C13" s="496"/>
      <c r="D13" s="496"/>
      <c r="E13" s="496"/>
      <c r="F13" s="496"/>
      <c r="G13" s="496"/>
      <c r="H13" s="496"/>
      <c r="I13" s="79"/>
      <c r="J13" s="62"/>
    </row>
    <row r="14" spans="1:12" ht="15" customHeight="1" x14ac:dyDescent="0.35">
      <c r="A14" s="496"/>
      <c r="B14" s="496"/>
      <c r="C14" s="496"/>
      <c r="D14" s="496"/>
      <c r="E14" s="496"/>
      <c r="F14" s="496"/>
      <c r="G14" s="496"/>
      <c r="H14" s="496"/>
      <c r="I14" s="79"/>
      <c r="J14" s="62"/>
    </row>
    <row r="15" spans="1:12" ht="15" customHeight="1" x14ac:dyDescent="0.35">
      <c r="A15" s="496"/>
      <c r="B15" s="496"/>
      <c r="C15" s="496"/>
      <c r="D15" s="496"/>
      <c r="E15" s="496"/>
      <c r="F15" s="496"/>
      <c r="G15" s="496"/>
      <c r="H15" s="496"/>
      <c r="I15" s="79"/>
      <c r="J15" s="62"/>
    </row>
    <row r="16" spans="1:12" x14ac:dyDescent="0.35">
      <c r="A16" s="496"/>
      <c r="B16" s="496"/>
      <c r="C16" s="496"/>
      <c r="D16" s="496"/>
      <c r="E16" s="496"/>
      <c r="F16" s="496"/>
      <c r="G16" s="496"/>
      <c r="H16" s="496"/>
      <c r="I16" s="62"/>
    </row>
    <row r="17" spans="1:25" x14ac:dyDescent="0.35">
      <c r="A17" s="173"/>
      <c r="B17" s="173"/>
      <c r="C17" s="173"/>
      <c r="D17" s="173"/>
      <c r="E17" s="173"/>
      <c r="F17" s="173"/>
      <c r="G17" s="173"/>
      <c r="H17" s="173"/>
      <c r="I17" s="126"/>
    </row>
    <row r="18" spans="1:25" x14ac:dyDescent="0.35">
      <c r="A18" s="173"/>
      <c r="B18" s="497">
        <v>1</v>
      </c>
      <c r="C18" s="498"/>
      <c r="D18" s="174">
        <v>2</v>
      </c>
      <c r="E18" s="174">
        <v>3</v>
      </c>
      <c r="F18" s="174">
        <v>4</v>
      </c>
      <c r="G18" s="174">
        <v>5</v>
      </c>
      <c r="H18" s="174">
        <v>6</v>
      </c>
      <c r="I18" s="126"/>
    </row>
    <row r="19" spans="1:25" s="4" customFormat="1" ht="52.5" customHeight="1" x14ac:dyDescent="0.35">
      <c r="A19" s="175"/>
      <c r="B19" s="499" t="s">
        <v>181</v>
      </c>
      <c r="C19" s="499"/>
      <c r="D19" s="150" t="s">
        <v>268</v>
      </c>
      <c r="E19" s="150" t="s">
        <v>457</v>
      </c>
      <c r="F19" s="150" t="s">
        <v>453</v>
      </c>
      <c r="G19" s="150" t="s">
        <v>489</v>
      </c>
      <c r="H19" s="150" t="s">
        <v>490</v>
      </c>
      <c r="I19" s="36"/>
    </row>
    <row r="20" spans="1:25" x14ac:dyDescent="0.35">
      <c r="A20" s="176">
        <v>1</v>
      </c>
      <c r="B20" s="470" t="s">
        <v>972</v>
      </c>
      <c r="C20" s="471"/>
      <c r="D20" s="177">
        <v>2</v>
      </c>
      <c r="E20" s="178">
        <v>12</v>
      </c>
      <c r="F20" s="178">
        <v>1</v>
      </c>
      <c r="G20" s="179">
        <v>503751</v>
      </c>
      <c r="H20" s="180">
        <f>IF(G20-$D$8&gt;0,G20-$D$8,0)</f>
        <v>170901</v>
      </c>
      <c r="I20" s="36"/>
    </row>
    <row r="21" spans="1:25" x14ac:dyDescent="0.35">
      <c r="A21" s="176">
        <f>A20+1</f>
        <v>2</v>
      </c>
      <c r="B21" s="470" t="s">
        <v>973</v>
      </c>
      <c r="C21" s="471"/>
      <c r="D21" s="177">
        <v>2</v>
      </c>
      <c r="E21" s="178">
        <v>12</v>
      </c>
      <c r="F21" s="178">
        <v>1</v>
      </c>
      <c r="G21" s="179">
        <v>343682</v>
      </c>
      <c r="H21" s="180">
        <f>IF(G21-$D$8&gt;0,G21-$D$8,0)</f>
        <v>10832</v>
      </c>
      <c r="I21" s="48"/>
    </row>
    <row r="22" spans="1:25" x14ac:dyDescent="0.35">
      <c r="A22" s="176">
        <f t="shared" ref="A22:A30" si="0">A21+1</f>
        <v>3</v>
      </c>
      <c r="B22" s="470"/>
      <c r="C22" s="471"/>
      <c r="D22" s="177"/>
      <c r="E22" s="178"/>
      <c r="F22" s="178"/>
      <c r="G22" s="179"/>
      <c r="H22" s="180">
        <f>IF(G22-$D$8&gt;0,G22-$D$8,0)</f>
        <v>0</v>
      </c>
      <c r="I22" s="48"/>
    </row>
    <row r="23" spans="1:25" x14ac:dyDescent="0.35">
      <c r="A23" s="176">
        <f t="shared" si="0"/>
        <v>4</v>
      </c>
      <c r="B23" s="470"/>
      <c r="C23" s="471"/>
      <c r="D23" s="177"/>
      <c r="E23" s="178"/>
      <c r="F23" s="178"/>
      <c r="G23" s="179"/>
      <c r="H23" s="180">
        <f>IF(G23-$D$8&gt;0,G23-$D$8,0)</f>
        <v>0</v>
      </c>
      <c r="I23" s="48"/>
    </row>
    <row r="24" spans="1:25" x14ac:dyDescent="0.35">
      <c r="A24" s="176">
        <f t="shared" si="0"/>
        <v>5</v>
      </c>
      <c r="B24" s="470"/>
      <c r="C24" s="471"/>
      <c r="D24" s="177"/>
      <c r="E24" s="178"/>
      <c r="F24" s="178"/>
      <c r="G24" s="179"/>
      <c r="H24" s="180">
        <f>IF(G24-$D$8&gt;0,G24-$D$8,0)</f>
        <v>0</v>
      </c>
    </row>
    <row r="25" spans="1:25" x14ac:dyDescent="0.35">
      <c r="A25" s="181">
        <f t="shared" si="0"/>
        <v>6</v>
      </c>
      <c r="B25" s="100"/>
      <c r="C25" s="100"/>
      <c r="D25" s="100"/>
      <c r="E25" s="100"/>
      <c r="F25" s="100"/>
      <c r="G25" s="100"/>
      <c r="H25" s="182">
        <f>SUM(H20:H24)</f>
        <v>181733</v>
      </c>
      <c r="I25" s="48"/>
    </row>
    <row r="26" spans="1:25" x14ac:dyDescent="0.35">
      <c r="A26" s="100"/>
      <c r="B26" s="100"/>
      <c r="C26" s="100"/>
      <c r="D26" s="100"/>
      <c r="E26" s="100"/>
      <c r="F26" s="100"/>
      <c r="G26" s="100"/>
      <c r="H26" s="100"/>
    </row>
    <row r="27" spans="1:25" x14ac:dyDescent="0.35">
      <c r="A27" s="181">
        <v>7</v>
      </c>
      <c r="B27" s="100"/>
      <c r="C27" s="100"/>
      <c r="D27" s="100"/>
      <c r="E27" s="100"/>
      <c r="F27" s="100"/>
      <c r="G27" s="183" t="s">
        <v>184</v>
      </c>
      <c r="H27" s="184">
        <f>SUMIF($D$20:$D$24,2,$H$20:$H$24)</f>
        <v>181733</v>
      </c>
    </row>
    <row r="28" spans="1:25" x14ac:dyDescent="0.35">
      <c r="A28" s="181">
        <v>8</v>
      </c>
      <c r="B28" s="100"/>
      <c r="C28" s="100"/>
      <c r="D28" s="100"/>
      <c r="E28" s="100"/>
      <c r="F28" s="100"/>
      <c r="G28" s="183" t="s">
        <v>182</v>
      </c>
      <c r="H28" s="184">
        <f>SUMIF($D$20:$D$24,3,$H$20:$H$24)</f>
        <v>0</v>
      </c>
    </row>
    <row r="29" spans="1:25" x14ac:dyDescent="0.35">
      <c r="A29" s="181">
        <v>9</v>
      </c>
      <c r="B29" s="100"/>
      <c r="C29" s="100"/>
      <c r="D29" s="100"/>
      <c r="E29" s="100"/>
      <c r="F29" s="100"/>
      <c r="G29" s="183" t="s">
        <v>183</v>
      </c>
      <c r="H29" s="184">
        <f>SUMIF($D$20:$D$24,4,$H$20:$H$24)</f>
        <v>0</v>
      </c>
    </row>
    <row r="30" spans="1:25" x14ac:dyDescent="0.35">
      <c r="A30" s="181">
        <f t="shared" si="0"/>
        <v>10</v>
      </c>
      <c r="B30" s="100"/>
      <c r="C30" s="100"/>
      <c r="D30" s="100"/>
      <c r="E30" s="100"/>
      <c r="F30" s="100"/>
      <c r="G30" s="183" t="s">
        <v>185</v>
      </c>
      <c r="H30" s="184">
        <f>SUMIF($D$20:$D$24,5,$H$20:$H$24)</f>
        <v>0</v>
      </c>
    </row>
    <row r="31" spans="1:25" x14ac:dyDescent="0.35">
      <c r="A31" s="100"/>
      <c r="B31" s="100"/>
      <c r="C31" s="100"/>
      <c r="D31" s="100"/>
      <c r="E31" s="100"/>
      <c r="F31" s="100"/>
      <c r="G31" s="100"/>
      <c r="H31" s="185" t="str">
        <f>IF(SUM(H27:H30)&lt;&gt;H25,"error","")</f>
        <v/>
      </c>
    </row>
    <row r="32" spans="1:25" ht="15.65" customHeight="1" x14ac:dyDescent="0.35">
      <c r="A32" s="100"/>
      <c r="B32" s="186"/>
      <c r="C32" s="186"/>
      <c r="D32" s="186"/>
      <c r="E32" s="186"/>
      <c r="F32" s="186"/>
      <c r="G32" s="186"/>
      <c r="H32" s="187" t="s">
        <v>269</v>
      </c>
      <c r="I32" s="80"/>
      <c r="J32" s="80"/>
      <c r="K32" s="64"/>
      <c r="U32" s="65"/>
      <c r="V32" s="65"/>
      <c r="W32" s="65"/>
      <c r="X32" s="65"/>
      <c r="Y32" s="65"/>
    </row>
    <row r="33" spans="1:8" x14ac:dyDescent="0.35">
      <c r="A33" s="100"/>
      <c r="B33" s="100"/>
      <c r="C33" s="100"/>
      <c r="D33" s="100"/>
      <c r="E33" s="100"/>
      <c r="F33" s="100"/>
      <c r="G33" s="100"/>
      <c r="H33" s="100"/>
    </row>
    <row r="34" spans="1:8" x14ac:dyDescent="0.35">
      <c r="A34" s="100"/>
      <c r="B34" s="100"/>
      <c r="C34" s="100"/>
      <c r="D34" s="100"/>
      <c r="E34" s="100"/>
      <c r="F34" s="100"/>
      <c r="G34" s="100"/>
      <c r="H34" s="100"/>
    </row>
    <row r="35" spans="1:8" x14ac:dyDescent="0.35">
      <c r="A35" s="100"/>
      <c r="B35" s="100"/>
      <c r="C35" s="100"/>
      <c r="D35" s="100"/>
      <c r="E35" s="100"/>
      <c r="F35" s="100"/>
      <c r="G35" s="100"/>
      <c r="H35" s="100"/>
    </row>
    <row r="36" spans="1:8" x14ac:dyDescent="0.35">
      <c r="A36" s="100"/>
      <c r="B36" s="100"/>
      <c r="C36" s="100"/>
      <c r="D36" s="100"/>
      <c r="E36" s="100"/>
      <c r="F36" s="100"/>
      <c r="G36" s="100"/>
      <c r="H36" s="100"/>
    </row>
    <row r="37" spans="1:8" x14ac:dyDescent="0.35">
      <c r="A37" s="100"/>
      <c r="B37" s="100"/>
      <c r="C37" s="100"/>
      <c r="D37" s="100"/>
      <c r="E37" s="100"/>
      <c r="F37" s="100"/>
      <c r="G37" s="100"/>
      <c r="H37" s="100"/>
    </row>
    <row r="38" spans="1:8" x14ac:dyDescent="0.35">
      <c r="A38" s="100"/>
      <c r="B38" s="100"/>
      <c r="C38" s="100"/>
      <c r="D38" s="100"/>
      <c r="E38" s="100"/>
      <c r="F38" s="100"/>
      <c r="G38" s="100"/>
      <c r="H38" s="100"/>
    </row>
    <row r="39" spans="1:8" x14ac:dyDescent="0.35">
      <c r="A39" s="100"/>
      <c r="B39" s="100"/>
      <c r="C39" s="100"/>
      <c r="D39" s="100"/>
      <c r="E39" s="100"/>
      <c r="F39" s="100"/>
      <c r="G39" s="100"/>
      <c r="H39" s="100"/>
    </row>
    <row r="40" spans="1:8" x14ac:dyDescent="0.35">
      <c r="A40" s="100"/>
      <c r="B40" s="100"/>
      <c r="C40" s="100"/>
      <c r="D40" s="100"/>
      <c r="E40" s="100"/>
      <c r="F40" s="100"/>
      <c r="G40" s="100"/>
      <c r="H40" s="100"/>
    </row>
    <row r="41" spans="1:8" x14ac:dyDescent="0.35">
      <c r="A41" s="100"/>
      <c r="B41" s="100"/>
      <c r="C41" s="100"/>
      <c r="D41" s="100"/>
      <c r="E41" s="100"/>
      <c r="F41" s="100"/>
      <c r="G41" s="100"/>
      <c r="H41" s="100"/>
    </row>
    <row r="42" spans="1:8" x14ac:dyDescent="0.35">
      <c r="A42" s="100"/>
      <c r="B42" s="100"/>
      <c r="C42" s="100"/>
      <c r="D42" s="100"/>
      <c r="E42" s="100"/>
      <c r="F42" s="100"/>
      <c r="G42" s="100"/>
      <c r="H42" s="100"/>
    </row>
    <row r="43" spans="1:8" x14ac:dyDescent="0.35">
      <c r="A43" s="100"/>
      <c r="B43" s="100"/>
      <c r="C43" s="100"/>
      <c r="D43" s="100"/>
      <c r="E43" s="100"/>
      <c r="F43" s="100"/>
      <c r="G43" s="100"/>
      <c r="H43" s="100"/>
    </row>
    <row r="44" spans="1:8" x14ac:dyDescent="0.35">
      <c r="A44" s="100"/>
      <c r="B44" s="100"/>
      <c r="C44" s="100"/>
      <c r="D44" s="100"/>
      <c r="E44" s="100"/>
      <c r="F44" s="100"/>
      <c r="G44" s="100"/>
      <c r="H44" s="100"/>
    </row>
    <row r="45" spans="1:8" x14ac:dyDescent="0.35">
      <c r="A45" s="100"/>
      <c r="B45" s="100"/>
      <c r="C45" s="100"/>
      <c r="D45" s="100"/>
      <c r="E45" s="100"/>
      <c r="F45" s="100"/>
      <c r="G45" s="100"/>
      <c r="H45" s="100"/>
    </row>
    <row r="46" spans="1:8" x14ac:dyDescent="0.35">
      <c r="A46" s="100"/>
      <c r="B46" s="100"/>
      <c r="C46" s="100"/>
      <c r="D46" s="100"/>
      <c r="E46" s="100"/>
      <c r="F46" s="100"/>
      <c r="G46" s="100"/>
      <c r="H46" s="100"/>
    </row>
    <row r="47" spans="1:8" x14ac:dyDescent="0.35">
      <c r="A47" s="100"/>
      <c r="B47" s="100"/>
      <c r="C47" s="100"/>
      <c r="D47" s="100"/>
      <c r="E47" s="100"/>
      <c r="F47" s="100"/>
      <c r="G47" s="100"/>
      <c r="H47" s="100"/>
    </row>
    <row r="48" spans="1:8" x14ac:dyDescent="0.35">
      <c r="A48" s="100"/>
      <c r="B48" s="100"/>
      <c r="C48" s="100"/>
      <c r="D48" s="100"/>
      <c r="E48" s="100"/>
      <c r="F48" s="100"/>
      <c r="G48" s="100"/>
      <c r="H48" s="100"/>
    </row>
    <row r="49" spans="1:8" x14ac:dyDescent="0.35">
      <c r="A49" s="100"/>
      <c r="B49" s="100"/>
      <c r="C49" s="100"/>
      <c r="D49" s="100"/>
      <c r="E49" s="100"/>
      <c r="F49" s="100"/>
      <c r="G49" s="100"/>
      <c r="H49" s="100"/>
    </row>
    <row r="50" spans="1:8" x14ac:dyDescent="0.35">
      <c r="A50" s="100"/>
      <c r="B50" s="100"/>
      <c r="C50" s="100"/>
      <c r="D50" s="100"/>
      <c r="E50" s="100"/>
      <c r="F50" s="100"/>
      <c r="G50" s="100"/>
      <c r="H50" s="100"/>
    </row>
    <row r="51" spans="1:8" x14ac:dyDescent="0.35">
      <c r="A51" s="100"/>
      <c r="B51" s="100"/>
      <c r="C51" s="100"/>
      <c r="D51" s="100"/>
      <c r="E51" s="100"/>
      <c r="F51" s="100"/>
      <c r="G51" s="100"/>
      <c r="H51" s="100"/>
    </row>
    <row r="52" spans="1:8" x14ac:dyDescent="0.35">
      <c r="A52" s="100"/>
      <c r="B52" s="100"/>
      <c r="C52" s="100"/>
      <c r="D52" s="100"/>
      <c r="E52" s="100"/>
      <c r="F52" s="100"/>
      <c r="G52" s="100"/>
      <c r="H52" s="100"/>
    </row>
    <row r="53" spans="1:8" x14ac:dyDescent="0.35">
      <c r="A53" s="100"/>
      <c r="B53" s="100"/>
      <c r="C53" s="100"/>
      <c r="D53" s="100"/>
      <c r="E53" s="100"/>
      <c r="F53" s="100"/>
      <c r="G53" s="100"/>
      <c r="H53" s="100"/>
    </row>
    <row r="54" spans="1:8" x14ac:dyDescent="0.35">
      <c r="A54" s="100"/>
      <c r="B54" s="100"/>
      <c r="C54" s="100"/>
      <c r="D54" s="100"/>
      <c r="E54" s="100"/>
      <c r="F54" s="100"/>
      <c r="G54" s="100"/>
      <c r="H54" s="100"/>
    </row>
    <row r="55" spans="1:8" x14ac:dyDescent="0.35">
      <c r="A55" s="100"/>
      <c r="B55" s="100"/>
      <c r="C55" s="100"/>
      <c r="D55" s="100"/>
      <c r="E55" s="100"/>
      <c r="F55" s="100"/>
      <c r="G55" s="100"/>
      <c r="H55" s="100"/>
    </row>
    <row r="56" spans="1:8" x14ac:dyDescent="0.35">
      <c r="A56" s="100"/>
      <c r="B56" s="100"/>
      <c r="C56" s="100"/>
      <c r="D56" s="100"/>
      <c r="E56" s="100"/>
      <c r="F56" s="100"/>
      <c r="G56" s="100"/>
      <c r="H56" s="100"/>
    </row>
    <row r="57" spans="1:8" x14ac:dyDescent="0.35">
      <c r="A57" s="100"/>
      <c r="B57" s="100"/>
      <c r="C57" s="100"/>
      <c r="D57" s="100"/>
      <c r="E57" s="100"/>
      <c r="F57" s="100"/>
      <c r="G57" s="100"/>
      <c r="H57" s="100"/>
    </row>
    <row r="58" spans="1:8" x14ac:dyDescent="0.35">
      <c r="A58" s="100"/>
      <c r="B58" s="100"/>
      <c r="C58" s="100"/>
      <c r="D58" s="100"/>
      <c r="E58" s="100"/>
      <c r="F58" s="100"/>
      <c r="G58" s="100"/>
      <c r="H58" s="100"/>
    </row>
    <row r="59" spans="1:8" x14ac:dyDescent="0.35">
      <c r="A59" s="100"/>
      <c r="B59" s="100"/>
      <c r="C59" s="100"/>
      <c r="D59" s="100"/>
      <c r="E59" s="100"/>
      <c r="F59" s="100"/>
      <c r="G59" s="100"/>
      <c r="H59" s="100"/>
    </row>
    <row r="60" spans="1:8" x14ac:dyDescent="0.35">
      <c r="A60" s="100"/>
      <c r="B60" s="100"/>
      <c r="C60" s="100"/>
      <c r="D60" s="100"/>
      <c r="E60" s="100"/>
      <c r="F60" s="100"/>
      <c r="G60" s="100"/>
      <c r="H60" s="100"/>
    </row>
    <row r="61" spans="1:8" x14ac:dyDescent="0.35">
      <c r="A61" s="100"/>
      <c r="B61" s="100"/>
      <c r="C61" s="100"/>
      <c r="D61" s="100"/>
      <c r="E61" s="100"/>
      <c r="F61" s="100"/>
      <c r="G61" s="100"/>
      <c r="H61" s="100"/>
    </row>
    <row r="62" spans="1:8" x14ac:dyDescent="0.35">
      <c r="A62" s="100"/>
      <c r="B62" s="100"/>
      <c r="C62" s="100"/>
      <c r="D62" s="100"/>
      <c r="E62" s="100"/>
      <c r="F62" s="100"/>
      <c r="G62" s="100"/>
      <c r="H62" s="100"/>
    </row>
    <row r="63" spans="1:8" x14ac:dyDescent="0.35">
      <c r="A63" s="100"/>
      <c r="B63" s="100"/>
      <c r="C63" s="100"/>
      <c r="D63" s="100"/>
      <c r="E63" s="100"/>
      <c r="F63" s="100"/>
      <c r="G63" s="100"/>
      <c r="H63" s="100"/>
    </row>
    <row r="64" spans="1:8" x14ac:dyDescent="0.35">
      <c r="A64" s="100"/>
      <c r="B64" s="100"/>
      <c r="C64" s="100"/>
      <c r="D64" s="100"/>
      <c r="E64" s="100"/>
      <c r="F64" s="100"/>
      <c r="G64" s="100"/>
      <c r="H64" s="100"/>
    </row>
    <row r="65" spans="1:8" x14ac:dyDescent="0.35">
      <c r="A65" s="100"/>
      <c r="B65" s="100"/>
      <c r="C65" s="100"/>
      <c r="D65" s="100"/>
      <c r="E65" s="100"/>
      <c r="F65" s="100"/>
      <c r="G65" s="100"/>
      <c r="H65" s="100"/>
    </row>
    <row r="66" spans="1:8" x14ac:dyDescent="0.35">
      <c r="A66" s="100"/>
      <c r="B66" s="100"/>
      <c r="C66" s="100"/>
      <c r="D66" s="100"/>
      <c r="E66" s="100"/>
      <c r="F66" s="100"/>
      <c r="G66" s="100"/>
      <c r="H66" s="100"/>
    </row>
    <row r="67" spans="1:8" x14ac:dyDescent="0.35">
      <c r="A67" s="100"/>
      <c r="B67" s="100"/>
      <c r="C67" s="100"/>
      <c r="D67" s="100"/>
      <c r="E67" s="100"/>
      <c r="F67" s="100"/>
      <c r="G67" s="100"/>
      <c r="H67" s="100"/>
    </row>
    <row r="92" spans="4:4" hidden="1" x14ac:dyDescent="0.35">
      <c r="D92">
        <v>2</v>
      </c>
    </row>
    <row r="93" spans="4:4" hidden="1" x14ac:dyDescent="0.35">
      <c r="D93">
        <v>3</v>
      </c>
    </row>
    <row r="94" spans="4:4" hidden="1" x14ac:dyDescent="0.35">
      <c r="D94">
        <v>4</v>
      </c>
    </row>
    <row r="95" spans="4:4" hidden="1" x14ac:dyDescent="0.35">
      <c r="D95">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4">
    <mergeCell ref="A3:J3"/>
    <mergeCell ref="B19:C19"/>
    <mergeCell ref="A13:H16"/>
    <mergeCell ref="B18:C18"/>
  </mergeCells>
  <dataValidations count="1">
    <dataValidation type="list" allowBlank="1" showInputMessage="1" showErrorMessage="1" sqref="D20:D24" xr:uid="{00000000-0002-0000-1900-000000000000}">
      <formula1>$D$92:$D$95</formula1>
    </dataValidation>
  </dataValidations>
  <pageMargins left="0.7" right="0.7" top="0.75" bottom="0.75" header="0.3" footer="0.3"/>
  <pageSetup orientation="portrait" horizontalDpi="1200" verticalDpi="1200"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rgb="FF9CC5CA"/>
  </sheetPr>
  <dimension ref="A1:D44"/>
  <sheetViews>
    <sheetView workbookViewId="0">
      <selection activeCell="C6" sqref="C6"/>
    </sheetView>
  </sheetViews>
  <sheetFormatPr defaultRowHeight="14.5" x14ac:dyDescent="0.35"/>
  <cols>
    <col min="1" max="1" width="10.26953125" customWidth="1"/>
    <col min="2" max="2" width="12.7265625" customWidth="1"/>
    <col min="3" max="3" width="48.54296875" customWidth="1"/>
    <col min="4" max="4" width="16.1796875" customWidth="1"/>
  </cols>
  <sheetData>
    <row r="1" spans="1:4" ht="26" x14ac:dyDescent="0.6">
      <c r="A1" s="3" t="s">
        <v>774</v>
      </c>
      <c r="B1" s="3"/>
    </row>
    <row r="2" spans="1:4" ht="21" x14ac:dyDescent="0.5">
      <c r="A2" s="2" t="s">
        <v>772</v>
      </c>
      <c r="B2" s="2"/>
    </row>
    <row r="3" spans="1:4" ht="25" customHeight="1" x14ac:dyDescent="0.5">
      <c r="A3" s="5" t="s">
        <v>764</v>
      </c>
    </row>
    <row r="5" spans="1:4" x14ac:dyDescent="0.35">
      <c r="A5" s="1" t="s">
        <v>773</v>
      </c>
      <c r="C5" s="415" t="str">
        <f>'As-Filed Schedule 1'!C5</f>
        <v>AllHealth Network</v>
      </c>
    </row>
    <row r="6" spans="1:4" x14ac:dyDescent="0.35">
      <c r="A6" s="1" t="s">
        <v>0</v>
      </c>
      <c r="C6" s="35">
        <f>'As-Filed Schedule 1'!C6</f>
        <v>45473</v>
      </c>
      <c r="D6" s="56"/>
    </row>
    <row r="8" spans="1:4" ht="15" customHeight="1" x14ac:dyDescent="0.35">
      <c r="A8" t="s">
        <v>249</v>
      </c>
    </row>
    <row r="9" spans="1:4" ht="15" customHeight="1" x14ac:dyDescent="0.35"/>
    <row r="10" spans="1:4" ht="15" customHeight="1" x14ac:dyDescent="0.35">
      <c r="A10" t="s">
        <v>244</v>
      </c>
      <c r="B10" s="546" t="s">
        <v>974</v>
      </c>
      <c r="C10" s="546"/>
      <c r="D10" s="546"/>
    </row>
    <row r="11" spans="1:4" ht="15" customHeight="1" x14ac:dyDescent="0.35">
      <c r="B11" s="546"/>
      <c r="C11" s="546"/>
      <c r="D11" s="546"/>
    </row>
    <row r="12" spans="1:4" x14ac:dyDescent="0.35">
      <c r="B12" s="546"/>
      <c r="C12" s="546"/>
      <c r="D12" s="546"/>
    </row>
    <row r="13" spans="1:4" x14ac:dyDescent="0.35">
      <c r="B13" s="546"/>
      <c r="C13" s="546"/>
      <c r="D13" s="546"/>
    </row>
    <row r="15" spans="1:4" ht="15" customHeight="1" x14ac:dyDescent="0.35">
      <c r="A15" t="s">
        <v>245</v>
      </c>
      <c r="B15" s="546" t="s">
        <v>1028</v>
      </c>
      <c r="C15" s="546"/>
      <c r="D15" s="546"/>
    </row>
    <row r="16" spans="1:4" ht="15" customHeight="1" x14ac:dyDescent="0.35">
      <c r="B16" s="546"/>
      <c r="C16" s="546"/>
      <c r="D16" s="546"/>
    </row>
    <row r="17" spans="1:4" x14ac:dyDescent="0.35">
      <c r="B17" s="546"/>
      <c r="C17" s="546"/>
      <c r="D17" s="546"/>
    </row>
    <row r="18" spans="1:4" x14ac:dyDescent="0.35">
      <c r="B18" s="546"/>
      <c r="C18" s="546"/>
      <c r="D18" s="546"/>
    </row>
    <row r="20" spans="1:4" ht="15" customHeight="1" x14ac:dyDescent="0.35">
      <c r="A20" t="s">
        <v>246</v>
      </c>
      <c r="B20" s="546" t="s">
        <v>1029</v>
      </c>
      <c r="C20" s="546"/>
      <c r="D20" s="546"/>
    </row>
    <row r="21" spans="1:4" ht="15" customHeight="1" x14ac:dyDescent="0.35">
      <c r="B21" s="546"/>
      <c r="C21" s="546"/>
      <c r="D21" s="546"/>
    </row>
    <row r="22" spans="1:4" x14ac:dyDescent="0.35">
      <c r="B22" s="546"/>
      <c r="C22" s="546"/>
      <c r="D22" s="546"/>
    </row>
    <row r="23" spans="1:4" x14ac:dyDescent="0.35">
      <c r="B23" s="546"/>
      <c r="C23" s="546"/>
      <c r="D23" s="546"/>
    </row>
    <row r="25" spans="1:4" ht="15" customHeight="1" x14ac:dyDescent="0.35">
      <c r="A25" t="s">
        <v>247</v>
      </c>
      <c r="B25" s="546" t="s">
        <v>1030</v>
      </c>
      <c r="C25" s="546"/>
      <c r="D25" s="546"/>
    </row>
    <row r="26" spans="1:4" ht="15" customHeight="1" x14ac:dyDescent="0.35">
      <c r="B26" s="546"/>
      <c r="C26" s="546"/>
      <c r="D26" s="546"/>
    </row>
    <row r="27" spans="1:4" x14ac:dyDescent="0.35">
      <c r="B27" s="546"/>
      <c r="C27" s="546"/>
      <c r="D27" s="546"/>
    </row>
    <row r="28" spans="1:4" x14ac:dyDescent="0.35">
      <c r="B28" s="546"/>
      <c r="C28" s="546"/>
      <c r="D28" s="546"/>
    </row>
    <row r="30" spans="1:4" ht="15" customHeight="1" x14ac:dyDescent="0.35">
      <c r="A30" t="s">
        <v>248</v>
      </c>
      <c r="B30" s="546"/>
      <c r="C30" s="546"/>
      <c r="D30" s="546"/>
    </row>
    <row r="31" spans="1:4" ht="15" customHeight="1" x14ac:dyDescent="0.35">
      <c r="B31" s="546"/>
      <c r="C31" s="546"/>
      <c r="D31" s="546"/>
    </row>
    <row r="32" spans="1:4" x14ac:dyDescent="0.35">
      <c r="B32" s="546"/>
      <c r="C32" s="546"/>
      <c r="D32" s="546"/>
    </row>
    <row r="33" spans="1:4" x14ac:dyDescent="0.35">
      <c r="B33" s="546"/>
      <c r="C33" s="546"/>
      <c r="D33" s="546"/>
    </row>
    <row r="35" spans="1:4" x14ac:dyDescent="0.35">
      <c r="A35" t="s">
        <v>205</v>
      </c>
      <c r="D35" s="442" t="s">
        <v>177</v>
      </c>
    </row>
    <row r="37" spans="1:4" x14ac:dyDescent="0.35">
      <c r="A37" t="s">
        <v>206</v>
      </c>
    </row>
    <row r="38" spans="1:4" x14ac:dyDescent="0.35">
      <c r="A38" s="547"/>
      <c r="B38" s="547"/>
      <c r="C38" s="547"/>
      <c r="D38" s="547"/>
    </row>
    <row r="39" spans="1:4" x14ac:dyDescent="0.35">
      <c r="A39" s="547"/>
      <c r="B39" s="547"/>
      <c r="C39" s="547"/>
      <c r="D39" s="547"/>
    </row>
    <row r="40" spans="1:4" x14ac:dyDescent="0.35">
      <c r="A40" s="547"/>
      <c r="B40" s="547"/>
      <c r="C40" s="547"/>
      <c r="D40" s="547"/>
    </row>
    <row r="41" spans="1:4" x14ac:dyDescent="0.35">
      <c r="A41" s="547"/>
      <c r="B41" s="547"/>
      <c r="C41" s="547"/>
      <c r="D41" s="547"/>
    </row>
    <row r="42" spans="1:4" x14ac:dyDescent="0.35">
      <c r="A42" s="547"/>
      <c r="B42" s="547"/>
      <c r="C42" s="547"/>
      <c r="D42" s="547"/>
    </row>
    <row r="43" spans="1:4" x14ac:dyDescent="0.35">
      <c r="A43" s="547"/>
      <c r="B43" s="547"/>
      <c r="C43" s="547"/>
      <c r="D43" s="547"/>
    </row>
    <row r="44" spans="1:4" x14ac:dyDescent="0.35">
      <c r="A44" s="547"/>
      <c r="B44" s="547"/>
      <c r="C44" s="547"/>
      <c r="D44" s="547"/>
    </row>
  </sheetData>
  <sheetProtection sheet="1" objects="1" scenarios="1"/>
  <customSheetViews>
    <customSheetView guid="{D0F83CC0-0361-4280-BCA4-9A92C986158B}">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
    <mergeCell ref="B10:D13"/>
    <mergeCell ref="A38:D44"/>
    <mergeCell ref="B15:D18"/>
    <mergeCell ref="B20:D23"/>
    <mergeCell ref="B25:D28"/>
    <mergeCell ref="B30:D3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tabColor rgb="FF9CC5CA"/>
  </sheetPr>
  <dimension ref="A1:X99"/>
  <sheetViews>
    <sheetView workbookViewId="0">
      <selection activeCell="C6" sqref="C6"/>
    </sheetView>
  </sheetViews>
  <sheetFormatPr defaultRowHeight="14.5" x14ac:dyDescent="0.35"/>
  <cols>
    <col min="1" max="1" width="6.54296875" customWidth="1"/>
    <col min="2" max="2" width="18.453125" customWidth="1"/>
    <col min="3" max="3" width="13.81640625" customWidth="1"/>
    <col min="4" max="7" width="20.26953125" customWidth="1"/>
    <col min="8" max="8" width="20.81640625" style="69" customWidth="1"/>
    <col min="9" max="9" width="36.7265625" customWidth="1"/>
    <col min="11" max="11" width="43.81640625" customWidth="1"/>
    <col min="12" max="13" width="32.7265625" customWidth="1"/>
  </cols>
  <sheetData>
    <row r="1" spans="1:24" ht="26" x14ac:dyDescent="0.6">
      <c r="A1" s="3" t="s">
        <v>774</v>
      </c>
      <c r="B1" s="3"/>
      <c r="C1" s="3"/>
    </row>
    <row r="2" spans="1:24" ht="21" x14ac:dyDescent="0.5">
      <c r="A2" s="2" t="s">
        <v>772</v>
      </c>
      <c r="B2" s="2"/>
      <c r="C2" s="2"/>
    </row>
    <row r="3" spans="1:24" ht="25" customHeight="1" x14ac:dyDescent="0.5">
      <c r="A3" s="5" t="s">
        <v>765</v>
      </c>
    </row>
    <row r="5" spans="1:24" x14ac:dyDescent="0.35">
      <c r="A5" s="1" t="s">
        <v>773</v>
      </c>
      <c r="C5" s="415" t="str">
        <f>'As-Filed Schedule 1'!C5</f>
        <v>AllHealth Network</v>
      </c>
      <c r="D5" s="407"/>
    </row>
    <row r="6" spans="1:24" x14ac:dyDescent="0.35">
      <c r="A6" s="1" t="s">
        <v>0</v>
      </c>
      <c r="C6" s="35">
        <f>'As-Filed Schedule 1'!C6</f>
        <v>45473</v>
      </c>
      <c r="D6" s="408"/>
      <c r="E6" s="56"/>
      <c r="G6" s="40"/>
      <c r="K6" s="129"/>
      <c r="L6" s="129"/>
      <c r="M6" s="129"/>
    </row>
    <row r="7" spans="1:24" x14ac:dyDescent="0.35">
      <c r="G7" s="40"/>
      <c r="K7" s="40"/>
      <c r="L7" s="40"/>
      <c r="M7" s="40"/>
    </row>
    <row r="8" spans="1:24" x14ac:dyDescent="0.35">
      <c r="A8" s="1" t="s">
        <v>272</v>
      </c>
      <c r="G8" s="40"/>
      <c r="K8" s="40"/>
      <c r="L8" s="40"/>
      <c r="M8" s="40"/>
    </row>
    <row r="9" spans="1:24" ht="15" customHeight="1" x14ac:dyDescent="0.35">
      <c r="A9" s="502" t="s">
        <v>922</v>
      </c>
      <c r="B9" s="502"/>
      <c r="C9" s="502"/>
      <c r="D9" s="502"/>
      <c r="E9" s="502"/>
      <c r="F9" s="502"/>
      <c r="G9" s="502"/>
      <c r="H9" s="502"/>
      <c r="I9" s="502"/>
      <c r="J9" s="64"/>
      <c r="K9" s="40"/>
      <c r="L9" s="40"/>
      <c r="M9" s="40"/>
      <c r="T9" s="65"/>
      <c r="U9" s="65"/>
      <c r="V9" s="65"/>
      <c r="W9" s="65"/>
      <c r="X9" s="65"/>
    </row>
    <row r="10" spans="1:24" ht="15" customHeight="1" x14ac:dyDescent="0.35">
      <c r="A10" s="502"/>
      <c r="B10" s="502"/>
      <c r="C10" s="502"/>
      <c r="D10" s="502"/>
      <c r="E10" s="502"/>
      <c r="F10" s="502"/>
      <c r="G10" s="502"/>
      <c r="H10" s="502"/>
      <c r="I10" s="502"/>
      <c r="J10" s="64"/>
      <c r="K10" s="40"/>
      <c r="L10" s="40"/>
      <c r="M10" s="40"/>
      <c r="T10" s="65"/>
      <c r="U10" s="65"/>
      <c r="V10" s="65"/>
      <c r="W10" s="65"/>
      <c r="X10" s="65"/>
    </row>
    <row r="11" spans="1:24" x14ac:dyDescent="0.35">
      <c r="A11" s="502"/>
      <c r="B11" s="502"/>
      <c r="C11" s="502"/>
      <c r="D11" s="502"/>
      <c r="E11" s="502"/>
      <c r="F11" s="502"/>
      <c r="G11" s="502"/>
      <c r="H11" s="502"/>
      <c r="I11" s="502"/>
      <c r="J11" s="64"/>
      <c r="T11" s="65"/>
      <c r="U11" s="65"/>
      <c r="V11" s="65"/>
      <c r="W11" s="65"/>
      <c r="X11" s="65"/>
    </row>
    <row r="12" spans="1:24" x14ac:dyDescent="0.35">
      <c r="A12" s="188"/>
      <c r="B12" s="188"/>
      <c r="C12" s="188"/>
      <c r="D12" s="188"/>
      <c r="E12" s="188"/>
      <c r="F12" s="188"/>
      <c r="G12" s="188"/>
      <c r="H12" s="188"/>
      <c r="I12" s="188"/>
      <c r="J12" s="64"/>
      <c r="T12" s="65"/>
      <c r="U12" s="65"/>
      <c r="V12" s="65"/>
      <c r="W12" s="65"/>
      <c r="X12" s="65"/>
    </row>
    <row r="13" spans="1:24" ht="15" customHeight="1" x14ac:dyDescent="0.35">
      <c r="A13" s="189"/>
      <c r="B13" s="503">
        <v>1</v>
      </c>
      <c r="C13" s="503"/>
      <c r="D13" s="174">
        <v>2</v>
      </c>
      <c r="E13" s="174">
        <v>3</v>
      </c>
      <c r="F13" s="174">
        <v>4</v>
      </c>
      <c r="G13" s="174">
        <v>5</v>
      </c>
      <c r="H13" s="174">
        <v>6</v>
      </c>
      <c r="I13" s="174">
        <v>7</v>
      </c>
      <c r="J13" s="64"/>
      <c r="T13" s="65"/>
      <c r="U13" s="65"/>
      <c r="V13" s="65"/>
      <c r="W13" s="65"/>
      <c r="X13" s="65"/>
    </row>
    <row r="14" spans="1:24" s="4" customFormat="1" ht="61.5" customHeight="1" x14ac:dyDescent="0.35">
      <c r="A14" s="190"/>
      <c r="B14" s="499" t="s">
        <v>277</v>
      </c>
      <c r="C14" s="504"/>
      <c r="D14" s="150" t="s">
        <v>781</v>
      </c>
      <c r="E14" s="191" t="s">
        <v>263</v>
      </c>
      <c r="F14" s="150" t="s">
        <v>785</v>
      </c>
      <c r="G14" s="192" t="s">
        <v>268</v>
      </c>
      <c r="H14" s="191" t="s">
        <v>243</v>
      </c>
      <c r="I14" s="150" t="s">
        <v>278</v>
      </c>
      <c r="J14" s="66"/>
      <c r="T14" s="67"/>
      <c r="U14" s="67"/>
      <c r="V14" s="67"/>
      <c r="W14" s="67"/>
      <c r="X14" s="67"/>
    </row>
    <row r="15" spans="1:24" s="4" customFormat="1" x14ac:dyDescent="0.35">
      <c r="A15" s="181">
        <v>1</v>
      </c>
      <c r="B15" s="494"/>
      <c r="C15" s="494"/>
      <c r="D15" s="179"/>
      <c r="E15" s="179"/>
      <c r="F15" s="193">
        <f>IF(D15-E15&lt;0,0,D15-E15)</f>
        <v>0</v>
      </c>
      <c r="G15" s="445"/>
      <c r="H15" s="446"/>
      <c r="I15" s="444"/>
      <c r="J15" s="66"/>
      <c r="T15" s="67"/>
      <c r="U15" s="67"/>
      <c r="V15" s="67"/>
      <c r="W15" s="67"/>
      <c r="X15" s="67"/>
    </row>
    <row r="16" spans="1:24" s="4" customFormat="1" x14ac:dyDescent="0.35">
      <c r="A16" s="181">
        <f>A15+1</f>
        <v>2</v>
      </c>
      <c r="B16" s="548"/>
      <c r="C16" s="548"/>
      <c r="D16" s="179"/>
      <c r="E16" s="443"/>
      <c r="F16" s="193">
        <f t="shared" ref="F16:F24" si="0">IF(D16-E16&lt;0,0,D16-E16)</f>
        <v>0</v>
      </c>
      <c r="G16" s="445"/>
      <c r="H16" s="446"/>
      <c r="I16" s="444"/>
      <c r="J16" s="141"/>
      <c r="T16" s="67"/>
      <c r="U16" s="67"/>
      <c r="V16" s="67"/>
      <c r="W16" s="67"/>
      <c r="X16" s="67"/>
    </row>
    <row r="17" spans="1:24" s="4" customFormat="1" ht="15" customHeight="1" x14ac:dyDescent="0.35">
      <c r="A17" s="181">
        <f t="shared" ref="A17:A30" si="1">A16+1</f>
        <v>3</v>
      </c>
      <c r="B17" s="494"/>
      <c r="C17" s="494"/>
      <c r="D17" s="179"/>
      <c r="E17" s="179"/>
      <c r="F17" s="193">
        <f t="shared" si="0"/>
        <v>0</v>
      </c>
      <c r="G17" s="194"/>
      <c r="H17" s="177"/>
      <c r="I17" s="195"/>
      <c r="J17" s="66"/>
      <c r="T17" s="67"/>
      <c r="U17" s="67"/>
      <c r="V17" s="67"/>
      <c r="W17" s="67"/>
      <c r="X17" s="67"/>
    </row>
    <row r="18" spans="1:24" s="4" customFormat="1" ht="15" customHeight="1" x14ac:dyDescent="0.35">
      <c r="A18" s="181">
        <f t="shared" si="1"/>
        <v>4</v>
      </c>
      <c r="B18" s="494"/>
      <c r="C18" s="494"/>
      <c r="D18" s="179"/>
      <c r="E18" s="179"/>
      <c r="F18" s="193">
        <f t="shared" si="0"/>
        <v>0</v>
      </c>
      <c r="G18" s="194"/>
      <c r="H18" s="177"/>
      <c r="I18" s="195"/>
      <c r="J18" s="66"/>
      <c r="T18" s="67"/>
      <c r="U18" s="67"/>
      <c r="V18" s="67"/>
      <c r="W18" s="67"/>
      <c r="X18" s="67"/>
    </row>
    <row r="19" spans="1:24" s="4" customFormat="1" ht="15" customHeight="1" x14ac:dyDescent="0.35">
      <c r="A19" s="181">
        <f t="shared" si="1"/>
        <v>5</v>
      </c>
      <c r="B19" s="494"/>
      <c r="C19" s="494"/>
      <c r="D19" s="179"/>
      <c r="E19" s="179"/>
      <c r="F19" s="193">
        <f t="shared" si="0"/>
        <v>0</v>
      </c>
      <c r="G19" s="194"/>
      <c r="H19" s="177"/>
      <c r="I19" s="195"/>
      <c r="J19" s="66"/>
      <c r="T19" s="67"/>
      <c r="U19" s="67"/>
      <c r="V19" s="67"/>
      <c r="W19" s="67"/>
      <c r="X19" s="67"/>
    </row>
    <row r="20" spans="1:24" s="4" customFormat="1" ht="15" customHeight="1" x14ac:dyDescent="0.35">
      <c r="A20" s="181">
        <f t="shared" si="1"/>
        <v>6</v>
      </c>
      <c r="B20" s="494"/>
      <c r="C20" s="494"/>
      <c r="D20" s="179"/>
      <c r="E20" s="179"/>
      <c r="F20" s="193">
        <f t="shared" si="0"/>
        <v>0</v>
      </c>
      <c r="G20" s="194"/>
      <c r="H20" s="177"/>
      <c r="I20" s="195"/>
      <c r="J20" s="66"/>
      <c r="T20" s="67"/>
      <c r="U20" s="67"/>
      <c r="V20" s="67"/>
      <c r="W20" s="67"/>
      <c r="X20" s="67"/>
    </row>
    <row r="21" spans="1:24" s="4" customFormat="1" ht="15" customHeight="1" x14ac:dyDescent="0.35">
      <c r="A21" s="181">
        <f t="shared" si="1"/>
        <v>7</v>
      </c>
      <c r="B21" s="494"/>
      <c r="C21" s="494"/>
      <c r="D21" s="179"/>
      <c r="E21" s="179"/>
      <c r="F21" s="193">
        <f t="shared" si="0"/>
        <v>0</v>
      </c>
      <c r="G21" s="194"/>
      <c r="H21" s="177"/>
      <c r="I21" s="195"/>
      <c r="J21" s="66"/>
      <c r="T21" s="67"/>
      <c r="U21" s="67"/>
      <c r="V21" s="67"/>
      <c r="W21" s="67"/>
      <c r="X21" s="67"/>
    </row>
    <row r="22" spans="1:24" s="4" customFormat="1" ht="15" customHeight="1" x14ac:dyDescent="0.35">
      <c r="A22" s="181">
        <f t="shared" si="1"/>
        <v>8</v>
      </c>
      <c r="B22" s="494"/>
      <c r="C22" s="494"/>
      <c r="D22" s="179"/>
      <c r="E22" s="179"/>
      <c r="F22" s="193">
        <f t="shared" si="0"/>
        <v>0</v>
      </c>
      <c r="G22" s="194"/>
      <c r="H22" s="177"/>
      <c r="I22" s="195"/>
      <c r="J22" s="66"/>
      <c r="T22" s="67"/>
      <c r="U22" s="67"/>
      <c r="V22" s="67"/>
      <c r="W22" s="67"/>
      <c r="X22" s="67"/>
    </row>
    <row r="23" spans="1:24" s="4" customFormat="1" ht="15" customHeight="1" x14ac:dyDescent="0.35">
      <c r="A23" s="181">
        <f t="shared" si="1"/>
        <v>9</v>
      </c>
      <c r="B23" s="494"/>
      <c r="C23" s="494"/>
      <c r="D23" s="179"/>
      <c r="E23" s="179"/>
      <c r="F23" s="193">
        <f t="shared" si="0"/>
        <v>0</v>
      </c>
      <c r="G23" s="194"/>
      <c r="H23" s="177"/>
      <c r="I23" s="195"/>
      <c r="J23" s="66"/>
      <c r="T23" s="67"/>
      <c r="U23" s="67"/>
      <c r="V23" s="67"/>
      <c r="W23" s="67"/>
      <c r="X23" s="67"/>
    </row>
    <row r="24" spans="1:24" s="4" customFormat="1" ht="15" customHeight="1" x14ac:dyDescent="0.35">
      <c r="A24" s="181">
        <f t="shared" si="1"/>
        <v>10</v>
      </c>
      <c r="B24" s="494"/>
      <c r="C24" s="494"/>
      <c r="D24" s="179"/>
      <c r="E24" s="179"/>
      <c r="F24" s="193">
        <f t="shared" si="0"/>
        <v>0</v>
      </c>
      <c r="G24" s="194"/>
      <c r="H24" s="177"/>
      <c r="I24" s="195"/>
      <c r="J24" s="66"/>
      <c r="T24" s="67"/>
      <c r="U24" s="67"/>
      <c r="V24" s="67"/>
      <c r="W24" s="67"/>
      <c r="X24" s="67"/>
    </row>
    <row r="25" spans="1:24" s="4" customFormat="1" ht="15" customHeight="1" x14ac:dyDescent="0.35">
      <c r="A25" s="181">
        <f t="shared" si="1"/>
        <v>11</v>
      </c>
      <c r="B25" s="190"/>
      <c r="C25" s="190"/>
      <c r="D25" s="196"/>
      <c r="E25" s="190"/>
      <c r="F25" s="184">
        <f>SUM(F15:F24)</f>
        <v>0</v>
      </c>
      <c r="G25" s="190"/>
      <c r="H25" s="197"/>
      <c r="I25" s="190"/>
      <c r="J25" s="66"/>
      <c r="T25" s="67"/>
      <c r="U25" s="67"/>
      <c r="V25" s="67"/>
      <c r="W25" s="67"/>
      <c r="X25" s="67"/>
    </row>
    <row r="26" spans="1:24" s="4" customFormat="1" ht="15" customHeight="1" x14ac:dyDescent="0.35">
      <c r="A26" s="198"/>
      <c r="B26" s="190"/>
      <c r="C26" s="190"/>
      <c r="D26" s="196"/>
      <c r="E26" s="190"/>
      <c r="F26" s="190"/>
      <c r="G26" s="190"/>
      <c r="H26" s="197"/>
      <c r="I26" s="190"/>
      <c r="J26" s="66"/>
      <c r="T26" s="67"/>
      <c r="U26" s="67"/>
      <c r="V26" s="67"/>
      <c r="W26" s="67"/>
      <c r="X26" s="67"/>
    </row>
    <row r="27" spans="1:24" x14ac:dyDescent="0.35">
      <c r="A27" s="181">
        <v>12</v>
      </c>
      <c r="B27" s="100"/>
      <c r="C27" s="100"/>
      <c r="D27" s="100"/>
      <c r="E27" s="183" t="s">
        <v>184</v>
      </c>
      <c r="F27" s="184">
        <f>SUMIF($G$15:$G$24,2,$F$15:$F$24)</f>
        <v>0</v>
      </c>
      <c r="G27" s="190"/>
      <c r="H27" s="100"/>
      <c r="I27" s="100"/>
    </row>
    <row r="28" spans="1:24" x14ac:dyDescent="0.35">
      <c r="A28" s="181">
        <v>13</v>
      </c>
      <c r="B28" s="100"/>
      <c r="C28" s="100"/>
      <c r="D28" s="100"/>
      <c r="E28" s="183" t="s">
        <v>182</v>
      </c>
      <c r="F28" s="184">
        <f>SUMIF($G$15:$G$24,3,$F$15:$F$24)</f>
        <v>0</v>
      </c>
      <c r="G28" s="190"/>
      <c r="H28" s="100"/>
      <c r="I28" s="100"/>
    </row>
    <row r="29" spans="1:24" x14ac:dyDescent="0.35">
      <c r="A29" s="181">
        <f t="shared" si="1"/>
        <v>14</v>
      </c>
      <c r="B29" s="100"/>
      <c r="C29" s="100"/>
      <c r="D29" s="100"/>
      <c r="E29" s="183" t="s">
        <v>183</v>
      </c>
      <c r="F29" s="184">
        <f>SUMIF($G$15:$G$24,4,$F$15:$F$24)</f>
        <v>0</v>
      </c>
      <c r="G29" s="190"/>
      <c r="H29" s="100"/>
      <c r="I29" s="100"/>
    </row>
    <row r="30" spans="1:24" x14ac:dyDescent="0.35">
      <c r="A30" s="181">
        <f t="shared" si="1"/>
        <v>15</v>
      </c>
      <c r="B30" s="100"/>
      <c r="C30" s="100"/>
      <c r="D30" s="100"/>
      <c r="E30" s="183" t="s">
        <v>185</v>
      </c>
      <c r="F30" s="184">
        <f>SUMIF($G$15:$G$24,5,$F$15:$F$24)</f>
        <v>0</v>
      </c>
      <c r="G30" s="190"/>
      <c r="H30" s="100"/>
      <c r="I30" s="100"/>
    </row>
    <row r="31" spans="1:24" x14ac:dyDescent="0.35">
      <c r="A31" s="100"/>
      <c r="B31" s="100"/>
      <c r="C31" s="100"/>
      <c r="D31" s="100"/>
      <c r="E31" s="100"/>
      <c r="F31" s="185" t="str">
        <f>IF(SUM(F27:F30)&lt;&gt;F25,"error","")</f>
        <v/>
      </c>
      <c r="G31" s="190"/>
      <c r="H31" s="100"/>
      <c r="I31" s="100"/>
    </row>
    <row r="32" spans="1:24" ht="15.65" customHeight="1" x14ac:dyDescent="0.35">
      <c r="A32" s="100"/>
      <c r="B32" s="186"/>
      <c r="C32" s="186"/>
      <c r="D32" s="186"/>
      <c r="E32" s="186"/>
      <c r="F32" s="187" t="s">
        <v>271</v>
      </c>
      <c r="G32" s="187"/>
      <c r="H32" s="186"/>
      <c r="I32" s="186"/>
      <c r="J32" s="64"/>
      <c r="T32" s="65"/>
      <c r="U32" s="65"/>
      <c r="V32" s="65"/>
      <c r="W32" s="65"/>
      <c r="X32" s="65"/>
    </row>
    <row r="33" spans="1:24" x14ac:dyDescent="0.35">
      <c r="A33" s="199"/>
      <c r="B33" s="200"/>
      <c r="C33" s="200"/>
      <c r="D33" s="201"/>
      <c r="E33" s="200"/>
      <c r="F33" s="200"/>
      <c r="G33" s="200"/>
      <c r="H33" s="202"/>
      <c r="I33" s="200"/>
      <c r="J33" s="64"/>
      <c r="T33" s="65"/>
      <c r="U33" s="65"/>
      <c r="V33" s="65"/>
      <c r="W33" s="65"/>
      <c r="X33" s="65"/>
    </row>
    <row r="34" spans="1:24" ht="15.65" customHeight="1" x14ac:dyDescent="0.35">
      <c r="A34" s="505" t="s">
        <v>923</v>
      </c>
      <c r="B34" s="505"/>
      <c r="C34" s="505"/>
      <c r="D34" s="505"/>
      <c r="E34" s="505"/>
      <c r="F34" s="505"/>
      <c r="G34" s="505"/>
      <c r="H34" s="505"/>
      <c r="I34" s="505"/>
      <c r="J34" s="64"/>
      <c r="T34" s="65"/>
      <c r="U34" s="65"/>
      <c r="V34" s="65"/>
      <c r="W34" s="65"/>
      <c r="X34" s="65"/>
    </row>
    <row r="35" spans="1:24" x14ac:dyDescent="0.35">
      <c r="A35" s="505"/>
      <c r="B35" s="505"/>
      <c r="C35" s="505"/>
      <c r="D35" s="505"/>
      <c r="E35" s="505"/>
      <c r="F35" s="505"/>
      <c r="G35" s="505"/>
      <c r="H35" s="505"/>
      <c r="I35" s="505"/>
      <c r="J35" s="64"/>
      <c r="T35" s="65"/>
      <c r="U35" s="65"/>
      <c r="V35" s="65"/>
      <c r="W35" s="65"/>
      <c r="X35" s="65"/>
    </row>
    <row r="36" spans="1:24" x14ac:dyDescent="0.35">
      <c r="A36" s="505"/>
      <c r="B36" s="505"/>
      <c r="C36" s="505"/>
      <c r="D36" s="505"/>
      <c r="E36" s="505"/>
      <c r="F36" s="505"/>
      <c r="G36" s="505"/>
      <c r="H36" s="505"/>
      <c r="I36" s="505"/>
      <c r="J36" s="64"/>
      <c r="T36" s="65"/>
      <c r="U36" s="65"/>
      <c r="V36" s="65"/>
      <c r="W36" s="65"/>
      <c r="X36" s="65"/>
    </row>
    <row r="37" spans="1:24" x14ac:dyDescent="0.35">
      <c r="A37" s="505"/>
      <c r="B37" s="505"/>
      <c r="C37" s="505"/>
      <c r="D37" s="505"/>
      <c r="E37" s="505"/>
      <c r="F37" s="505"/>
      <c r="G37" s="505"/>
      <c r="H37" s="505"/>
      <c r="I37" s="505"/>
      <c r="J37" s="64"/>
      <c r="T37" s="65"/>
      <c r="U37" s="65"/>
      <c r="V37" s="65"/>
      <c r="W37" s="65"/>
      <c r="X37" s="65"/>
    </row>
    <row r="38" spans="1:24" x14ac:dyDescent="0.35">
      <c r="A38" s="505"/>
      <c r="B38" s="505"/>
      <c r="C38" s="505"/>
      <c r="D38" s="505"/>
      <c r="E38" s="505"/>
      <c r="F38" s="505"/>
      <c r="G38" s="505"/>
      <c r="H38" s="505"/>
      <c r="I38" s="505"/>
      <c r="J38" s="64"/>
      <c r="T38" s="65"/>
      <c r="U38" s="65"/>
      <c r="V38" s="65"/>
      <c r="W38" s="65"/>
      <c r="X38" s="65"/>
    </row>
    <row r="39" spans="1:24" x14ac:dyDescent="0.35">
      <c r="A39" s="505"/>
      <c r="B39" s="505"/>
      <c r="C39" s="505"/>
      <c r="D39" s="505"/>
      <c r="E39" s="505"/>
      <c r="F39" s="505"/>
      <c r="G39" s="505"/>
      <c r="H39" s="505"/>
      <c r="I39" s="505"/>
      <c r="J39" s="64"/>
      <c r="T39" s="65"/>
      <c r="U39" s="65"/>
      <c r="V39" s="65"/>
      <c r="W39" s="65"/>
      <c r="X39" s="65"/>
    </row>
    <row r="40" spans="1:24" ht="14.25" customHeight="1" x14ac:dyDescent="0.35">
      <c r="A40" s="100"/>
      <c r="B40" s="100"/>
      <c r="C40" s="100"/>
      <c r="D40" s="100"/>
      <c r="E40" s="100"/>
      <c r="F40" s="100"/>
      <c r="G40" s="100"/>
      <c r="H40" s="113"/>
      <c r="I40" s="100"/>
    </row>
    <row r="41" spans="1:24" x14ac:dyDescent="0.35">
      <c r="A41" s="100"/>
      <c r="B41" s="100"/>
      <c r="C41" s="100"/>
      <c r="D41" s="100"/>
      <c r="E41" s="100"/>
      <c r="F41" s="100"/>
      <c r="G41" s="100"/>
      <c r="H41" s="113"/>
      <c r="I41" s="100"/>
    </row>
    <row r="42" spans="1:24" x14ac:dyDescent="0.35">
      <c r="A42" s="100"/>
      <c r="B42" s="100"/>
      <c r="C42" s="100"/>
      <c r="D42" s="100"/>
      <c r="E42" s="100"/>
      <c r="F42" s="100"/>
      <c r="G42" s="100"/>
      <c r="H42" s="113"/>
      <c r="I42" s="100"/>
    </row>
    <row r="43" spans="1:24" x14ac:dyDescent="0.35">
      <c r="A43" s="100"/>
      <c r="B43" s="100"/>
      <c r="C43" s="100"/>
      <c r="D43" s="100"/>
      <c r="E43" s="100"/>
      <c r="F43" s="100"/>
      <c r="G43" s="100"/>
      <c r="H43" s="113"/>
      <c r="I43" s="100"/>
    </row>
    <row r="44" spans="1:24" x14ac:dyDescent="0.35">
      <c r="A44" s="100"/>
      <c r="B44" s="100"/>
      <c r="C44" s="100"/>
      <c r="D44" s="100"/>
      <c r="E44" s="100"/>
      <c r="F44" s="100"/>
      <c r="G44" s="100"/>
      <c r="H44" s="113"/>
      <c r="I44" s="100"/>
    </row>
    <row r="45" spans="1:24" x14ac:dyDescent="0.35">
      <c r="A45" s="100"/>
      <c r="B45" s="100"/>
      <c r="C45" s="100"/>
      <c r="D45" s="100"/>
      <c r="E45" s="100"/>
      <c r="F45" s="100"/>
      <c r="G45" s="100"/>
      <c r="H45" s="113"/>
      <c r="I45" s="100"/>
    </row>
    <row r="46" spans="1:24" x14ac:dyDescent="0.35">
      <c r="A46" s="100"/>
      <c r="B46" s="100"/>
      <c r="C46" s="100"/>
      <c r="D46" s="100"/>
      <c r="E46" s="100"/>
      <c r="F46" s="100"/>
      <c r="G46" s="100"/>
      <c r="H46" s="113"/>
      <c r="I46" s="100"/>
    </row>
    <row r="47" spans="1:24" x14ac:dyDescent="0.35">
      <c r="A47" s="100"/>
      <c r="B47" s="100"/>
      <c r="C47" s="100"/>
      <c r="D47" s="100"/>
      <c r="E47" s="100"/>
      <c r="F47" s="100"/>
      <c r="G47" s="100"/>
      <c r="H47" s="113"/>
      <c r="I47" s="100"/>
    </row>
    <row r="48" spans="1:24" x14ac:dyDescent="0.35">
      <c r="A48" s="100"/>
      <c r="B48" s="100"/>
      <c r="C48" s="100"/>
      <c r="D48" s="100"/>
      <c r="E48" s="100"/>
      <c r="F48" s="100"/>
      <c r="G48" s="100"/>
      <c r="H48" s="113"/>
      <c r="I48" s="100"/>
    </row>
    <row r="49" spans="1:9" x14ac:dyDescent="0.35">
      <c r="A49" s="100"/>
      <c r="B49" s="100"/>
      <c r="C49" s="100"/>
      <c r="D49" s="100"/>
      <c r="E49" s="100"/>
      <c r="F49" s="100"/>
      <c r="G49" s="100"/>
      <c r="H49" s="113"/>
      <c r="I49" s="100"/>
    </row>
    <row r="50" spans="1:9" x14ac:dyDescent="0.35">
      <c r="A50" s="100"/>
      <c r="B50" s="100"/>
      <c r="C50" s="100"/>
      <c r="D50" s="100"/>
      <c r="E50" s="100"/>
      <c r="F50" s="100"/>
      <c r="G50" s="100"/>
      <c r="H50" s="113"/>
      <c r="I50" s="100"/>
    </row>
    <row r="51" spans="1:9" x14ac:dyDescent="0.35">
      <c r="A51" s="100"/>
      <c r="B51" s="100"/>
      <c r="C51" s="100"/>
      <c r="D51" s="100"/>
      <c r="E51" s="100"/>
      <c r="F51" s="100"/>
      <c r="G51" s="100"/>
      <c r="H51" s="113"/>
      <c r="I51" s="100"/>
    </row>
    <row r="52" spans="1:9" x14ac:dyDescent="0.35">
      <c r="A52" s="100"/>
      <c r="B52" s="100"/>
      <c r="C52" s="100"/>
      <c r="D52" s="100"/>
      <c r="E52" s="100"/>
      <c r="F52" s="100"/>
      <c r="G52" s="100"/>
      <c r="H52" s="113"/>
      <c r="I52" s="100"/>
    </row>
    <row r="53" spans="1:9" x14ac:dyDescent="0.35">
      <c r="A53" s="100"/>
      <c r="B53" s="100"/>
      <c r="C53" s="100"/>
      <c r="D53" s="100"/>
      <c r="E53" s="100"/>
      <c r="F53" s="100"/>
      <c r="G53" s="100"/>
      <c r="H53" s="113"/>
      <c r="I53" s="100"/>
    </row>
    <row r="54" spans="1:9" x14ac:dyDescent="0.35">
      <c r="A54" s="100"/>
      <c r="B54" s="100"/>
      <c r="C54" s="100"/>
      <c r="D54" s="100"/>
      <c r="E54" s="100"/>
      <c r="F54" s="100"/>
      <c r="G54" s="100"/>
      <c r="H54" s="113"/>
      <c r="I54" s="100"/>
    </row>
    <row r="55" spans="1:9" x14ac:dyDescent="0.35">
      <c r="A55" s="100"/>
      <c r="B55" s="100"/>
      <c r="C55" s="100"/>
      <c r="D55" s="100"/>
      <c r="E55" s="100"/>
      <c r="F55" s="100"/>
      <c r="G55" s="100"/>
      <c r="H55" s="113"/>
      <c r="I55" s="100"/>
    </row>
    <row r="56" spans="1:9" x14ac:dyDescent="0.35">
      <c r="A56" s="100"/>
      <c r="B56" s="100"/>
      <c r="C56" s="100"/>
      <c r="D56" s="100"/>
      <c r="E56" s="100"/>
      <c r="F56" s="100"/>
      <c r="G56" s="100"/>
      <c r="H56" s="113"/>
      <c r="I56" s="100"/>
    </row>
    <row r="57" spans="1:9" x14ac:dyDescent="0.35">
      <c r="A57" s="100"/>
      <c r="B57" s="100"/>
      <c r="C57" s="100"/>
      <c r="D57" s="100"/>
      <c r="E57" s="100"/>
      <c r="F57" s="100"/>
      <c r="G57" s="100"/>
      <c r="H57" s="113"/>
      <c r="I57" s="100"/>
    </row>
    <row r="58" spans="1:9" x14ac:dyDescent="0.35">
      <c r="A58" s="100"/>
      <c r="B58" s="100"/>
      <c r="C58" s="100"/>
      <c r="D58" s="100"/>
      <c r="E58" s="100"/>
      <c r="F58" s="100"/>
      <c r="G58" s="100"/>
      <c r="H58" s="113"/>
      <c r="I58" s="100"/>
    </row>
    <row r="59" spans="1:9" x14ac:dyDescent="0.35">
      <c r="A59" s="100"/>
      <c r="B59" s="100"/>
      <c r="C59" s="100"/>
      <c r="D59" s="100"/>
      <c r="E59" s="100"/>
      <c r="F59" s="100"/>
      <c r="G59" s="100"/>
      <c r="H59" s="113"/>
      <c r="I59" s="100"/>
    </row>
    <row r="60" spans="1:9" x14ac:dyDescent="0.35">
      <c r="A60" s="100"/>
      <c r="B60" s="100"/>
      <c r="C60" s="100"/>
      <c r="D60" s="100"/>
      <c r="E60" s="100"/>
      <c r="F60" s="100"/>
      <c r="G60" s="100"/>
      <c r="H60" s="113"/>
      <c r="I60" s="100"/>
    </row>
    <row r="61" spans="1:9" x14ac:dyDescent="0.35">
      <c r="A61" s="100"/>
      <c r="B61" s="100"/>
      <c r="C61" s="100"/>
      <c r="D61" s="100"/>
      <c r="E61" s="100"/>
      <c r="F61" s="100"/>
      <c r="G61" s="100"/>
      <c r="H61" s="113"/>
      <c r="I61" s="100"/>
    </row>
    <row r="62" spans="1:9" x14ac:dyDescent="0.35">
      <c r="A62" s="100"/>
      <c r="B62" s="100"/>
      <c r="C62" s="100"/>
      <c r="D62" s="100"/>
      <c r="E62" s="100"/>
      <c r="F62" s="100"/>
      <c r="G62" s="100"/>
      <c r="H62" s="113"/>
      <c r="I62" s="100"/>
    </row>
    <row r="63" spans="1:9" x14ac:dyDescent="0.35">
      <c r="A63" s="100"/>
      <c r="B63" s="100"/>
      <c r="C63" s="100"/>
      <c r="D63" s="100"/>
      <c r="E63" s="100"/>
      <c r="F63" s="100"/>
      <c r="G63" s="100"/>
      <c r="H63" s="113"/>
      <c r="I63" s="100"/>
    </row>
    <row r="64" spans="1:9" x14ac:dyDescent="0.35">
      <c r="A64" s="100"/>
      <c r="B64" s="100"/>
      <c r="C64" s="100"/>
      <c r="D64" s="100"/>
      <c r="E64" s="100"/>
      <c r="F64" s="100"/>
      <c r="G64" s="100"/>
      <c r="H64" s="113"/>
      <c r="I64" s="100"/>
    </row>
    <row r="65" spans="1:9" x14ac:dyDescent="0.35">
      <c r="A65" s="100"/>
      <c r="B65" s="100"/>
      <c r="C65" s="100"/>
      <c r="D65" s="100"/>
      <c r="E65" s="100"/>
      <c r="F65" s="100"/>
      <c r="G65" s="100"/>
      <c r="H65" s="113"/>
      <c r="I65" s="100"/>
    </row>
    <row r="66" spans="1:9" x14ac:dyDescent="0.35">
      <c r="A66" s="100"/>
      <c r="B66" s="100"/>
      <c r="C66" s="100"/>
      <c r="D66" s="100"/>
      <c r="E66" s="100"/>
      <c r="F66" s="100"/>
      <c r="G66" s="100"/>
      <c r="H66" s="113"/>
      <c r="I66" s="100"/>
    </row>
    <row r="67" spans="1:9" x14ac:dyDescent="0.35">
      <c r="A67" s="100"/>
      <c r="B67" s="100"/>
      <c r="C67" s="100"/>
      <c r="D67" s="100"/>
      <c r="E67" s="100"/>
      <c r="F67" s="100"/>
      <c r="G67" s="100"/>
      <c r="H67" s="113"/>
      <c r="I67" s="100"/>
    </row>
    <row r="68" spans="1:9" x14ac:dyDescent="0.35">
      <c r="A68" s="100"/>
      <c r="B68" s="100"/>
      <c r="C68" s="100"/>
      <c r="D68" s="100"/>
      <c r="E68" s="100"/>
      <c r="F68" s="100"/>
      <c r="G68" s="100"/>
      <c r="H68" s="113"/>
      <c r="I68" s="100"/>
    </row>
    <row r="69" spans="1:9" x14ac:dyDescent="0.35">
      <c r="A69" s="100"/>
      <c r="B69" s="100"/>
      <c r="C69" s="100"/>
      <c r="D69" s="100"/>
      <c r="E69" s="100"/>
      <c r="F69" s="100"/>
      <c r="G69" s="100"/>
      <c r="H69" s="113"/>
      <c r="I69" s="100"/>
    </row>
    <row r="70" spans="1:9" x14ac:dyDescent="0.35">
      <c r="A70" s="100"/>
      <c r="B70" s="100"/>
      <c r="C70" s="100"/>
      <c r="D70" s="100"/>
      <c r="E70" s="100"/>
      <c r="F70" s="100"/>
      <c r="G70" s="100"/>
      <c r="H70" s="113"/>
      <c r="I70" s="100"/>
    </row>
    <row r="71" spans="1:9" x14ac:dyDescent="0.35">
      <c r="A71" s="100"/>
      <c r="B71" s="100"/>
      <c r="C71" s="100"/>
      <c r="D71" s="100"/>
      <c r="E71" s="100"/>
      <c r="F71" s="100"/>
      <c r="G71" s="100"/>
      <c r="H71" s="113"/>
      <c r="I71" s="100"/>
    </row>
    <row r="72" spans="1:9" x14ac:dyDescent="0.35">
      <c r="A72" s="100"/>
      <c r="B72" s="100"/>
      <c r="C72" s="100"/>
      <c r="D72" s="100"/>
      <c r="E72" s="100"/>
      <c r="F72" s="100"/>
      <c r="G72" s="100"/>
      <c r="H72" s="113"/>
      <c r="I72" s="100"/>
    </row>
    <row r="73" spans="1:9" x14ac:dyDescent="0.35">
      <c r="A73" s="100"/>
      <c r="B73" s="100"/>
      <c r="C73" s="100"/>
      <c r="D73" s="100"/>
      <c r="E73" s="100"/>
      <c r="F73" s="100"/>
      <c r="G73" s="100"/>
      <c r="H73" s="113"/>
      <c r="I73" s="100"/>
    </row>
    <row r="74" spans="1:9" x14ac:dyDescent="0.35">
      <c r="A74" s="100"/>
      <c r="B74" s="100"/>
      <c r="C74" s="100"/>
      <c r="D74" s="100"/>
      <c r="E74" s="100"/>
      <c r="F74" s="100"/>
      <c r="G74" s="100"/>
      <c r="H74" s="113"/>
      <c r="I74" s="100"/>
    </row>
    <row r="75" spans="1:9" x14ac:dyDescent="0.35">
      <c r="A75" s="100"/>
      <c r="B75" s="100"/>
      <c r="C75" s="100"/>
      <c r="D75" s="100"/>
      <c r="E75" s="100"/>
      <c r="F75" s="100"/>
      <c r="G75" s="100"/>
      <c r="H75" s="113"/>
      <c r="I75" s="100"/>
    </row>
    <row r="76" spans="1:9" x14ac:dyDescent="0.35">
      <c r="A76" s="100"/>
      <c r="B76" s="100"/>
      <c r="C76" s="100"/>
      <c r="D76" s="100"/>
      <c r="E76" s="100"/>
      <c r="F76" s="100"/>
      <c r="G76" s="100"/>
      <c r="H76" s="113"/>
      <c r="I76" s="100"/>
    </row>
    <row r="77" spans="1:9" x14ac:dyDescent="0.35">
      <c r="A77" s="100"/>
      <c r="B77" s="100"/>
      <c r="C77" s="100"/>
      <c r="D77" s="100"/>
      <c r="E77" s="100"/>
      <c r="F77" s="100"/>
      <c r="G77" s="100"/>
      <c r="H77" s="113"/>
      <c r="I77" s="100"/>
    </row>
    <row r="78" spans="1:9" x14ac:dyDescent="0.35">
      <c r="A78" s="100"/>
      <c r="B78" s="100"/>
      <c r="C78" s="100"/>
      <c r="D78" s="100"/>
      <c r="E78" s="100"/>
      <c r="F78" s="100"/>
      <c r="G78" s="100"/>
      <c r="H78" s="113"/>
      <c r="I78" s="100"/>
    </row>
    <row r="79" spans="1:9" x14ac:dyDescent="0.35">
      <c r="A79" s="100"/>
      <c r="B79" s="100"/>
      <c r="C79" s="100"/>
      <c r="D79" s="100"/>
      <c r="E79" s="100"/>
      <c r="F79" s="100"/>
      <c r="G79" s="100"/>
      <c r="H79" s="113"/>
      <c r="I79" s="100"/>
    </row>
    <row r="80" spans="1:9" x14ac:dyDescent="0.35">
      <c r="A80" s="100"/>
      <c r="B80" s="100"/>
      <c r="C80" s="100"/>
      <c r="D80" s="100"/>
      <c r="E80" s="100"/>
      <c r="F80" s="100"/>
      <c r="G80" s="100"/>
      <c r="H80" s="113"/>
      <c r="I80" s="100"/>
    </row>
    <row r="81" spans="1:9" x14ac:dyDescent="0.35">
      <c r="A81" s="100"/>
      <c r="B81" s="100"/>
      <c r="C81" s="100"/>
      <c r="D81" s="100"/>
      <c r="E81" s="100"/>
      <c r="F81" s="100"/>
      <c r="G81" s="100"/>
      <c r="H81" s="113"/>
      <c r="I81" s="100"/>
    </row>
    <row r="82" spans="1:9" x14ac:dyDescent="0.35">
      <c r="A82" s="100"/>
      <c r="B82" s="100"/>
      <c r="C82" s="100"/>
      <c r="D82" s="100"/>
      <c r="E82" s="100"/>
      <c r="F82" s="100"/>
      <c r="G82" s="100"/>
      <c r="H82" s="113"/>
      <c r="I82" s="100"/>
    </row>
    <row r="83" spans="1:9" x14ac:dyDescent="0.35">
      <c r="A83" s="100"/>
      <c r="B83" s="100"/>
      <c r="C83" s="100"/>
      <c r="D83" s="100"/>
      <c r="E83" s="100"/>
      <c r="F83" s="100"/>
      <c r="G83" s="100"/>
      <c r="H83" s="113"/>
      <c r="I83" s="100"/>
    </row>
    <row r="84" spans="1:9" x14ac:dyDescent="0.35">
      <c r="A84" s="100"/>
      <c r="B84" s="100"/>
      <c r="C84" s="100"/>
      <c r="D84" s="100"/>
      <c r="E84" s="100"/>
      <c r="F84" s="100"/>
      <c r="G84" s="100"/>
      <c r="H84" s="113"/>
      <c r="I84" s="100"/>
    </row>
    <row r="85" spans="1:9" x14ac:dyDescent="0.35">
      <c r="A85" s="100"/>
      <c r="B85" s="100"/>
      <c r="C85" s="100"/>
      <c r="D85" s="100"/>
      <c r="E85" s="100"/>
      <c r="F85" s="100"/>
      <c r="G85" s="100"/>
      <c r="H85" s="113"/>
      <c r="I85" s="100"/>
    </row>
    <row r="86" spans="1:9" x14ac:dyDescent="0.35">
      <c r="A86" s="100"/>
      <c r="B86" s="100"/>
      <c r="C86" s="100"/>
      <c r="D86" s="100"/>
      <c r="E86" s="100"/>
      <c r="F86" s="100"/>
      <c r="G86" s="100"/>
      <c r="H86" s="113"/>
      <c r="I86" s="100"/>
    </row>
    <row r="87" spans="1:9" x14ac:dyDescent="0.35">
      <c r="A87" s="100"/>
      <c r="B87" s="100"/>
      <c r="C87" s="100"/>
      <c r="D87" s="100"/>
      <c r="E87" s="100"/>
      <c r="F87" s="100"/>
      <c r="G87" s="100"/>
      <c r="H87" s="113"/>
      <c r="I87" s="100"/>
    </row>
    <row r="96" spans="1:9" hidden="1" x14ac:dyDescent="0.35">
      <c r="G96">
        <v>2</v>
      </c>
    </row>
    <row r="97" spans="7:7" hidden="1" x14ac:dyDescent="0.35">
      <c r="G97">
        <v>3</v>
      </c>
    </row>
    <row r="98" spans="7:7" hidden="1" x14ac:dyDescent="0.35">
      <c r="G98">
        <v>4</v>
      </c>
    </row>
    <row r="99" spans="7:7" hidden="1" x14ac:dyDescent="0.35">
      <c r="G99">
        <v>5</v>
      </c>
    </row>
  </sheetData>
  <sheetProtection sheet="1" objects="1" scenarios="1"/>
  <customSheetViews>
    <customSheetView guid="{D0F83CC0-0361-4280-BCA4-9A92C986158B}" hiddenRows="1">
      <selection activeCell="C6" sqref="C6"/>
      <pageMargins left="0.7" right="0.7" top="0.75" bottom="0.75" header="0.3" footer="0.3"/>
      <pageSetup orientation="portrait" horizontalDpi="1200" verticalDpi="1200" r:id="rId1"/>
    </customSheetView>
    <customSheetView guid="{27BAF95E-10B4-4025-9660-F5A8EBC66DC3}" hiddenRows="1">
      <selection activeCell="C6" sqref="C6"/>
      <pageMargins left="0.7" right="0.7" top="0.75" bottom="0.75" header="0.3" footer="0.3"/>
      <pageSetup orientation="portrait" horizontalDpi="1200" verticalDpi="1200" r:id="rId2"/>
    </customSheetView>
  </customSheetViews>
  <mergeCells count="14">
    <mergeCell ref="B23:C23"/>
    <mergeCell ref="B24:C24"/>
    <mergeCell ref="A34:I39"/>
    <mergeCell ref="B14:C14"/>
    <mergeCell ref="B17:C17"/>
    <mergeCell ref="B18:C18"/>
    <mergeCell ref="B19:C19"/>
    <mergeCell ref="B15:C15"/>
    <mergeCell ref="B16:C16"/>
    <mergeCell ref="A9:I11"/>
    <mergeCell ref="B20:C20"/>
    <mergeCell ref="B21:C21"/>
    <mergeCell ref="B13:C13"/>
    <mergeCell ref="B22:C22"/>
  </mergeCells>
  <dataValidations count="1">
    <dataValidation type="list" allowBlank="1" showInputMessage="1" showErrorMessage="1" sqref="G15:G24" xr:uid="{00000000-0002-0000-1B00-000000000000}">
      <formula1>$G$96:$G$99</formula1>
    </dataValidation>
  </dataValidations>
  <pageMargins left="0.7" right="0.7" top="0.75" bottom="0.75" header="0.3" footer="0.3"/>
  <pageSetup orientation="portrait"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tabColor rgb="FF9CC5CA"/>
  </sheetPr>
  <dimension ref="A1:K38"/>
  <sheetViews>
    <sheetView workbookViewId="0">
      <selection activeCell="C6" sqref="C6"/>
    </sheetView>
  </sheetViews>
  <sheetFormatPr defaultRowHeight="14.5" x14ac:dyDescent="0.35"/>
  <cols>
    <col min="1" max="1" width="4" customWidth="1"/>
    <col min="2" max="4" width="19.453125" customWidth="1"/>
    <col min="5" max="9" width="18.453125" customWidth="1"/>
    <col min="10" max="10" width="9.453125" customWidth="1"/>
    <col min="11" max="11" width="36.1796875" bestFit="1" customWidth="1"/>
  </cols>
  <sheetData>
    <row r="1" spans="1:11" ht="26" x14ac:dyDescent="0.6">
      <c r="A1" s="3" t="s">
        <v>774</v>
      </c>
    </row>
    <row r="2" spans="1:11" ht="21" x14ac:dyDescent="0.5">
      <c r="A2" s="2" t="s">
        <v>772</v>
      </c>
    </row>
    <row r="3" spans="1:11" ht="25" customHeight="1" x14ac:dyDescent="0.5">
      <c r="A3" s="495" t="s">
        <v>766</v>
      </c>
      <c r="B3" s="495"/>
      <c r="C3" s="495"/>
      <c r="D3" s="495"/>
      <c r="E3" s="495"/>
      <c r="F3" s="495"/>
      <c r="G3" s="495"/>
      <c r="H3" s="495"/>
      <c r="I3" s="495"/>
      <c r="J3" s="495"/>
    </row>
    <row r="5" spans="1:11" x14ac:dyDescent="0.35">
      <c r="A5" s="1" t="s">
        <v>773</v>
      </c>
      <c r="C5" s="415" t="str">
        <f>'As-Filed Schedule 1'!C5</f>
        <v>AllHealth Network</v>
      </c>
    </row>
    <row r="6" spans="1:11" x14ac:dyDescent="0.35">
      <c r="A6" s="1" t="s">
        <v>0</v>
      </c>
      <c r="C6" s="35">
        <f>'As-Filed Schedule 1'!C6</f>
        <v>45473</v>
      </c>
      <c r="D6" s="35"/>
    </row>
    <row r="8" spans="1:11" x14ac:dyDescent="0.35">
      <c r="A8" s="1" t="s">
        <v>311</v>
      </c>
    </row>
    <row r="9" spans="1:11" x14ac:dyDescent="0.35">
      <c r="A9" s="1"/>
      <c r="B9" s="82"/>
      <c r="C9" s="82"/>
      <c r="D9" s="82"/>
    </row>
    <row r="10" spans="1:11" x14ac:dyDescent="0.35">
      <c r="A10" s="70"/>
      <c r="B10" s="506">
        <v>1</v>
      </c>
      <c r="C10" s="506"/>
      <c r="D10" s="23">
        <v>2</v>
      </c>
      <c r="E10" s="23">
        <v>3</v>
      </c>
      <c r="F10" s="23">
        <v>4</v>
      </c>
      <c r="G10" s="23">
        <v>5</v>
      </c>
      <c r="H10" s="23">
        <v>6</v>
      </c>
      <c r="I10" s="23">
        <v>7</v>
      </c>
    </row>
    <row r="11" spans="1:11" x14ac:dyDescent="0.35">
      <c r="B11" s="507" t="s">
        <v>178</v>
      </c>
      <c r="C11" s="507"/>
      <c r="D11" s="508" t="s">
        <v>180</v>
      </c>
      <c r="E11" s="509" t="s">
        <v>207</v>
      </c>
      <c r="F11" s="510"/>
      <c r="G11" s="509" t="s">
        <v>210</v>
      </c>
      <c r="H11" s="510"/>
      <c r="I11" s="507" t="s">
        <v>218</v>
      </c>
    </row>
    <row r="12" spans="1:11" ht="30" customHeight="1" x14ac:dyDescent="0.35">
      <c r="B12" s="507"/>
      <c r="C12" s="507"/>
      <c r="D12" s="508"/>
      <c r="E12" s="10" t="s">
        <v>208</v>
      </c>
      <c r="F12" s="10" t="s">
        <v>209</v>
      </c>
      <c r="G12" s="10" t="s">
        <v>208</v>
      </c>
      <c r="H12" s="10" t="s">
        <v>209</v>
      </c>
      <c r="I12" s="507"/>
    </row>
    <row r="13" spans="1:11" x14ac:dyDescent="0.35">
      <c r="A13" s="420" t="s">
        <v>838</v>
      </c>
      <c r="B13" s="203"/>
      <c r="C13" s="203"/>
      <c r="D13" s="203"/>
      <c r="E13" s="203"/>
      <c r="F13" s="203"/>
      <c r="G13" s="203"/>
      <c r="H13" s="203"/>
      <c r="I13" s="203"/>
      <c r="J13" s="100"/>
    </row>
    <row r="14" spans="1:11" x14ac:dyDescent="0.35">
      <c r="A14" s="24">
        <v>1</v>
      </c>
      <c r="B14" s="511" t="s">
        <v>211</v>
      </c>
      <c r="C14" s="511"/>
      <c r="D14" s="24" t="s">
        <v>12</v>
      </c>
      <c r="E14" s="26">
        <f>'As-Filed Schedule 2A'!F73</f>
        <v>3116962</v>
      </c>
      <c r="F14" s="26">
        <f>'As-Filed Schedule 2A'!G73</f>
        <v>1053122.8957980517</v>
      </c>
      <c r="G14" s="26">
        <f>'As-Filed Schedule 2A'!J73</f>
        <v>0</v>
      </c>
      <c r="H14" s="26">
        <f>'As-Filed Schedule 2A'!K73</f>
        <v>0</v>
      </c>
      <c r="I14" s="68">
        <f>SUM(E14:H14)</f>
        <v>4170084.8957980517</v>
      </c>
    </row>
    <row r="15" spans="1:11" x14ac:dyDescent="0.35">
      <c r="A15" s="24">
        <v>2</v>
      </c>
      <c r="B15" s="511" t="s">
        <v>213</v>
      </c>
      <c r="C15" s="511"/>
      <c r="D15" s="24" t="s">
        <v>13</v>
      </c>
      <c r="E15" s="26">
        <f>'As-Filed Schedule 2B'!$F$73</f>
        <v>0</v>
      </c>
      <c r="F15" s="26">
        <f>'As-Filed Schedule 2B'!G73</f>
        <v>0</v>
      </c>
      <c r="G15" s="26">
        <f>'As-Filed Schedule 2B'!$J$73</f>
        <v>435518</v>
      </c>
      <c r="H15" s="26">
        <f>'As-Filed Schedule 2B'!K73</f>
        <v>147147.76032950543</v>
      </c>
      <c r="I15" s="68">
        <f>SUM(E15:H15)</f>
        <v>582665.76032950543</v>
      </c>
    </row>
    <row r="16" spans="1:11" x14ac:dyDescent="0.35">
      <c r="A16" s="24">
        <v>3</v>
      </c>
      <c r="B16" s="511" t="s">
        <v>201</v>
      </c>
      <c r="C16" s="511"/>
      <c r="D16" s="24" t="s">
        <v>14</v>
      </c>
      <c r="E16" s="26">
        <f>'As-Filed Schedule 2C'!$F$73</f>
        <v>27048343</v>
      </c>
      <c r="F16" s="26">
        <f>'As-Filed Schedule 2C'!G73</f>
        <v>9138779.7819476016</v>
      </c>
      <c r="G16" s="26">
        <f>'As-Filed Schedule 2C'!$J$73</f>
        <v>15196338</v>
      </c>
      <c r="H16" s="26">
        <f>'As-Filed Schedule 2C'!K73</f>
        <v>5134362.0743807508</v>
      </c>
      <c r="I16" s="68">
        <f>SUM(E16:H16)</f>
        <v>56517822.856328346</v>
      </c>
      <c r="K16" s="48"/>
    </row>
    <row r="17" spans="1:11" x14ac:dyDescent="0.35">
      <c r="A17" s="24">
        <v>4</v>
      </c>
      <c r="B17" s="511" t="s">
        <v>212</v>
      </c>
      <c r="C17" s="511"/>
      <c r="D17" s="24" t="s">
        <v>179</v>
      </c>
      <c r="E17" s="26">
        <f>'As-Filed Schedule 2D'!$F$73</f>
        <v>0</v>
      </c>
      <c r="F17" s="26">
        <f>'As-Filed Schedule 2D'!G73</f>
        <v>0</v>
      </c>
      <c r="G17" s="26">
        <f>'As-Filed Schedule 2D'!$J$73</f>
        <v>0</v>
      </c>
      <c r="H17" s="26">
        <f>'As-Filed Schedule 2D'!K73</f>
        <v>0</v>
      </c>
      <c r="I17" s="68">
        <f>SUM(E17:H17)</f>
        <v>0</v>
      </c>
    </row>
    <row r="18" spans="1:11" x14ac:dyDescent="0.35">
      <c r="A18" s="420" t="s">
        <v>791</v>
      </c>
      <c r="B18" s="203"/>
      <c r="C18" s="203"/>
      <c r="D18" s="203"/>
      <c r="E18" s="203"/>
      <c r="F18" s="203"/>
      <c r="G18" s="203"/>
      <c r="H18" s="203"/>
      <c r="I18" s="203"/>
      <c r="J18" s="100"/>
      <c r="K18" s="48"/>
    </row>
    <row r="19" spans="1:11" x14ac:dyDescent="0.35">
      <c r="A19" s="154">
        <v>5</v>
      </c>
      <c r="B19" s="512" t="s">
        <v>792</v>
      </c>
      <c r="C19" s="512"/>
      <c r="D19" s="154" t="s">
        <v>793</v>
      </c>
      <c r="E19" s="26">
        <f>'As-Filed Schedule 2E'!F$73</f>
        <v>0</v>
      </c>
      <c r="F19" s="26">
        <f>'As-Filed Schedule 2E'!G$73</f>
        <v>0</v>
      </c>
      <c r="G19" s="26">
        <f>'As-Filed Schedule 2E'!J$73</f>
        <v>0</v>
      </c>
      <c r="H19" s="26">
        <f>'As-Filed Schedule 2E'!K$73</f>
        <v>0</v>
      </c>
      <c r="I19" s="180">
        <f t="shared" ref="I19:I26" si="0">SUM(E19:H19)</f>
        <v>0</v>
      </c>
      <c r="J19" s="100"/>
      <c r="K19" s="48"/>
    </row>
    <row r="20" spans="1:11" x14ac:dyDescent="0.35">
      <c r="A20" s="154">
        <v>6</v>
      </c>
      <c r="B20" s="512" t="s">
        <v>794</v>
      </c>
      <c r="C20" s="512"/>
      <c r="D20" s="154" t="s">
        <v>795</v>
      </c>
      <c r="E20" s="26">
        <f>'As-Filed Schedule 2F'!F$73</f>
        <v>0</v>
      </c>
      <c r="F20" s="26">
        <f>'As-Filed Schedule 2F'!G$73</f>
        <v>0</v>
      </c>
      <c r="G20" s="26">
        <f>'As-Filed Schedule 2F'!J$73</f>
        <v>0</v>
      </c>
      <c r="H20" s="26">
        <f>'As-Filed Schedule 2F'!K$73</f>
        <v>0</v>
      </c>
      <c r="I20" s="180">
        <f t="shared" si="0"/>
        <v>0</v>
      </c>
      <c r="J20" s="100"/>
      <c r="K20" s="48"/>
    </row>
    <row r="21" spans="1:11" x14ac:dyDescent="0.35">
      <c r="A21" s="154">
        <v>7</v>
      </c>
      <c r="B21" s="512" t="s">
        <v>796</v>
      </c>
      <c r="C21" s="512"/>
      <c r="D21" s="154" t="s">
        <v>797</v>
      </c>
      <c r="E21" s="26">
        <f>'As-Filed Schedule 2G'!F$73</f>
        <v>0</v>
      </c>
      <c r="F21" s="26">
        <f>'As-Filed Schedule 2G'!G$73</f>
        <v>0</v>
      </c>
      <c r="G21" s="26">
        <f>'As-Filed Schedule 2G'!J$73</f>
        <v>0</v>
      </c>
      <c r="H21" s="26">
        <f>'As-Filed Schedule 2G'!K$73</f>
        <v>0</v>
      </c>
      <c r="I21" s="180">
        <f t="shared" si="0"/>
        <v>0</v>
      </c>
      <c r="J21" s="100"/>
      <c r="K21" s="48"/>
    </row>
    <row r="22" spans="1:11" x14ac:dyDescent="0.35">
      <c r="A22" s="154">
        <v>8</v>
      </c>
      <c r="B22" s="512" t="s">
        <v>798</v>
      </c>
      <c r="C22" s="512"/>
      <c r="D22" s="154" t="s">
        <v>799</v>
      </c>
      <c r="E22" s="26">
        <f>'As-Filed Schedule 2H'!F$73</f>
        <v>0</v>
      </c>
      <c r="F22" s="26">
        <f>'As-Filed Schedule 2H'!G$73</f>
        <v>0</v>
      </c>
      <c r="G22" s="26">
        <f>'As-Filed Schedule 2H'!J$73</f>
        <v>0</v>
      </c>
      <c r="H22" s="26">
        <f>'As-Filed Schedule 2H'!K$73</f>
        <v>0</v>
      </c>
      <c r="I22" s="180">
        <f t="shared" si="0"/>
        <v>0</v>
      </c>
      <c r="J22" s="100"/>
      <c r="K22" s="48"/>
    </row>
    <row r="23" spans="1:11" x14ac:dyDescent="0.35">
      <c r="A23" s="154">
        <v>9</v>
      </c>
      <c r="B23" s="512" t="s">
        <v>800</v>
      </c>
      <c r="C23" s="512"/>
      <c r="D23" s="154" t="s">
        <v>801</v>
      </c>
      <c r="E23" s="26">
        <f>'As-Filed Schedule 2I'!F$73</f>
        <v>0</v>
      </c>
      <c r="F23" s="26">
        <f>'As-Filed Schedule 2I'!G$73</f>
        <v>0</v>
      </c>
      <c r="G23" s="26">
        <f>'As-Filed Schedule 2I'!J$73</f>
        <v>0</v>
      </c>
      <c r="H23" s="26">
        <f>'As-Filed Schedule 2I'!K$73</f>
        <v>0</v>
      </c>
      <c r="I23" s="180">
        <f t="shared" si="0"/>
        <v>0</v>
      </c>
      <c r="J23" s="100"/>
      <c r="K23" s="48"/>
    </row>
    <row r="24" spans="1:11" x14ac:dyDescent="0.35">
      <c r="A24" s="154">
        <v>10</v>
      </c>
      <c r="B24" s="512" t="s">
        <v>802</v>
      </c>
      <c r="C24" s="512"/>
      <c r="D24" s="154" t="s">
        <v>803</v>
      </c>
      <c r="E24" s="26">
        <f>'As-Filed Schedule 2J'!F$73</f>
        <v>0</v>
      </c>
      <c r="F24" s="26">
        <f>'As-Filed Schedule 2J'!G$73</f>
        <v>0</v>
      </c>
      <c r="G24" s="26">
        <f>'As-Filed Schedule 2J'!J$73</f>
        <v>0</v>
      </c>
      <c r="H24" s="26">
        <f>'As-Filed Schedule 2J'!K$73</f>
        <v>0</v>
      </c>
      <c r="I24" s="180">
        <f t="shared" si="0"/>
        <v>0</v>
      </c>
      <c r="J24" s="100"/>
      <c r="K24" s="48"/>
    </row>
    <row r="25" spans="1:11" x14ac:dyDescent="0.35">
      <c r="A25" s="154">
        <v>11</v>
      </c>
      <c r="B25" s="512" t="s">
        <v>804</v>
      </c>
      <c r="C25" s="512"/>
      <c r="D25" s="154" t="s">
        <v>805</v>
      </c>
      <c r="E25" s="26">
        <f>'As-Filed Schedule 2K'!F$73</f>
        <v>0</v>
      </c>
      <c r="F25" s="26">
        <f>'As-Filed Schedule 2K'!G$73</f>
        <v>0</v>
      </c>
      <c r="G25" s="26">
        <f>'As-Filed Schedule 2K'!J$73</f>
        <v>0</v>
      </c>
      <c r="H25" s="26">
        <f>'As-Filed Schedule 2K'!K$73</f>
        <v>0</v>
      </c>
      <c r="I25" s="180">
        <f t="shared" si="0"/>
        <v>0</v>
      </c>
      <c r="J25" s="100"/>
      <c r="K25" s="48"/>
    </row>
    <row r="26" spans="1:11" x14ac:dyDescent="0.35">
      <c r="A26" s="154">
        <v>12</v>
      </c>
      <c r="B26" s="512" t="s">
        <v>806</v>
      </c>
      <c r="C26" s="512"/>
      <c r="D26" s="154" t="s">
        <v>807</v>
      </c>
      <c r="E26" s="26">
        <f>'As-Filed Schedule 2L'!F$73</f>
        <v>0</v>
      </c>
      <c r="F26" s="26">
        <f>'As-Filed Schedule 2L'!G$73</f>
        <v>0</v>
      </c>
      <c r="G26" s="26">
        <f>'As-Filed Schedule 2L'!J$73</f>
        <v>0</v>
      </c>
      <c r="H26" s="26">
        <f>'As-Filed Schedule 2L'!K$73</f>
        <v>0</v>
      </c>
      <c r="I26" s="180">
        <f t="shared" si="0"/>
        <v>0</v>
      </c>
      <c r="J26" s="100"/>
      <c r="K26" s="48"/>
    </row>
    <row r="27" spans="1:11" ht="29.25" customHeight="1" x14ac:dyDescent="0.35">
      <c r="A27" s="154">
        <v>13</v>
      </c>
      <c r="B27" s="513" t="s">
        <v>808</v>
      </c>
      <c r="C27" s="513"/>
      <c r="D27" s="154" t="s">
        <v>809</v>
      </c>
      <c r="E27" s="26">
        <f>'As-Filed Schedule 2M'!F$73</f>
        <v>0</v>
      </c>
      <c r="F27" s="26">
        <f>'As-Filed Schedule 2M'!G$73</f>
        <v>0</v>
      </c>
      <c r="G27" s="26">
        <f>'As-Filed Schedule 2M'!J$73</f>
        <v>0</v>
      </c>
      <c r="H27" s="26">
        <f>'As-Filed Schedule 2M'!K$73</f>
        <v>0</v>
      </c>
      <c r="I27" s="180">
        <f>SUM(E27:H27)</f>
        <v>0</v>
      </c>
      <c r="J27" s="100"/>
    </row>
    <row r="28" spans="1:11" x14ac:dyDescent="0.35">
      <c r="A28" s="24">
        <v>14</v>
      </c>
      <c r="E28" s="18">
        <f>SUM(E14:E27)</f>
        <v>30165305</v>
      </c>
      <c r="F28" s="18">
        <f t="shared" ref="F28:G28" si="1">SUM(F14:F27)</f>
        <v>10191902.677745653</v>
      </c>
      <c r="G28" s="18">
        <f t="shared" si="1"/>
        <v>15631856</v>
      </c>
      <c r="H28" s="18">
        <f>SUM(H14:H27)</f>
        <v>5281509.8347102562</v>
      </c>
    </row>
    <row r="29" spans="1:11" s="57" customFormat="1" ht="12" x14ac:dyDescent="0.3">
      <c r="D29" s="76" t="s">
        <v>216</v>
      </c>
      <c r="E29" s="58">
        <f>'As-Filed Schedule 1'!F91</f>
        <v>30885272</v>
      </c>
      <c r="G29" s="58">
        <f>'As-Filed Schedule 1'!H91</f>
        <v>16141343</v>
      </c>
    </row>
    <row r="30" spans="1:11" s="57" customFormat="1" ht="12" x14ac:dyDescent="0.3">
      <c r="D30" s="76" t="s">
        <v>10</v>
      </c>
      <c r="E30" s="421">
        <f>E28-E29</f>
        <v>-719967</v>
      </c>
      <c r="G30" s="421">
        <f>G28-G29</f>
        <v>-509487</v>
      </c>
    </row>
    <row r="31" spans="1:11" s="57" customFormat="1" ht="12" x14ac:dyDescent="0.3">
      <c r="E31" s="76"/>
      <c r="F31" s="421"/>
      <c r="H31" s="421"/>
    </row>
    <row r="33" spans="1:10" x14ac:dyDescent="0.35">
      <c r="E33" s="10" t="s">
        <v>218</v>
      </c>
    </row>
    <row r="34" spans="1:10" x14ac:dyDescent="0.35">
      <c r="A34" s="24">
        <v>15</v>
      </c>
      <c r="B34" s="511" t="s">
        <v>219</v>
      </c>
      <c r="C34" s="511"/>
      <c r="D34" s="24" t="s">
        <v>110</v>
      </c>
      <c r="E34" s="26">
        <f>'As-Filed Schedule 3'!M167</f>
        <v>8909516</v>
      </c>
      <c r="I34" s="18">
        <f>SUM(I14:I27)+E34</f>
        <v>70180089.51245591</v>
      </c>
      <c r="J34" s="71" t="s">
        <v>3</v>
      </c>
    </row>
    <row r="35" spans="1:10" ht="12.75" customHeight="1" x14ac:dyDescent="0.35">
      <c r="D35" s="76" t="s">
        <v>217</v>
      </c>
      <c r="E35" s="58">
        <f>'As-Filed Schedule 1'!G95</f>
        <v>11942608</v>
      </c>
    </row>
    <row r="36" spans="1:10" ht="12.75" customHeight="1" x14ac:dyDescent="0.35">
      <c r="D36" s="76" t="s">
        <v>10</v>
      </c>
      <c r="E36" s="59">
        <f>E34-E35</f>
        <v>-3033092</v>
      </c>
    </row>
    <row r="38" spans="1:10" x14ac:dyDescent="0.35">
      <c r="B38" s="48"/>
    </row>
  </sheetData>
  <sheetProtection sheet="1" objects="1" scenarios="1"/>
  <customSheetViews>
    <customSheetView guid="{D0F83CC0-0361-4280-BCA4-9A92C986158B}">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21">
    <mergeCell ref="B23:C23"/>
    <mergeCell ref="B24:C24"/>
    <mergeCell ref="B25:C25"/>
    <mergeCell ref="B26:C26"/>
    <mergeCell ref="B27:C27"/>
    <mergeCell ref="A3:J3"/>
    <mergeCell ref="B34:C34"/>
    <mergeCell ref="B16:C16"/>
    <mergeCell ref="B14:C14"/>
    <mergeCell ref="B17:C17"/>
    <mergeCell ref="B15:C15"/>
    <mergeCell ref="E11:F11"/>
    <mergeCell ref="G11:H11"/>
    <mergeCell ref="B10:C10"/>
    <mergeCell ref="I11:I12"/>
    <mergeCell ref="D11:D12"/>
    <mergeCell ref="B11:C12"/>
    <mergeCell ref="B19:C19"/>
    <mergeCell ref="B20:C20"/>
    <mergeCell ref="B21:C21"/>
    <mergeCell ref="B22:C22"/>
  </mergeCells>
  <pageMargins left="0.7" right="0.7" top="0.75" bottom="0.75" header="0.3" footer="0.3"/>
  <pageSetup orientation="portrait"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AA697"/>
  <sheetViews>
    <sheetView workbookViewId="0">
      <selection activeCell="G216" sqref="G216"/>
    </sheetView>
  </sheetViews>
  <sheetFormatPr defaultColWidth="9.1796875" defaultRowHeight="12.5" x14ac:dyDescent="0.25"/>
  <cols>
    <col min="1" max="1" width="2.54296875" style="280" customWidth="1"/>
    <col min="2" max="2" width="13" style="280" customWidth="1"/>
    <col min="3" max="3" width="11.26953125" style="280" customWidth="1"/>
    <col min="4" max="4" width="14" style="280" customWidth="1"/>
    <col min="5" max="6" width="10.7265625" style="280" customWidth="1"/>
    <col min="7" max="7" width="12.7265625" style="393" customWidth="1"/>
    <col min="8" max="8" width="10.81640625" style="399" customWidth="1"/>
    <col min="9" max="9" width="13.1796875" style="399" customWidth="1"/>
    <col min="10" max="10" width="10.54296875" style="399" bestFit="1" customWidth="1"/>
    <col min="11" max="11" width="12.81640625" style="280" customWidth="1"/>
    <col min="12" max="12" width="9.1796875" style="281"/>
    <col min="13" max="13" width="2" style="281" customWidth="1"/>
    <col min="14" max="26" width="9.1796875" style="281"/>
    <col min="27" max="27" width="9.1796875" style="281" hidden="1" customWidth="1"/>
    <col min="28" max="16384" width="9.1796875" style="281"/>
  </cols>
  <sheetData>
    <row r="1" spans="1:27" customFormat="1" ht="26" x14ac:dyDescent="0.6">
      <c r="A1" s="3" t="s">
        <v>774</v>
      </c>
      <c r="G1" s="392"/>
      <c r="H1" s="69"/>
      <c r="I1" s="69"/>
      <c r="J1" s="69"/>
    </row>
    <row r="2" spans="1:27" customFormat="1" ht="21" x14ac:dyDescent="0.5">
      <c r="A2" s="2" t="s">
        <v>772</v>
      </c>
      <c r="G2" s="392"/>
      <c r="H2" s="69"/>
      <c r="I2" s="69"/>
      <c r="J2" s="69"/>
      <c r="AA2" s="40" t="s">
        <v>496</v>
      </c>
    </row>
    <row r="3" spans="1:27" customFormat="1" ht="25" customHeight="1" x14ac:dyDescent="0.5">
      <c r="A3" s="242" t="str">
        <f>Results!A4</f>
        <v>Final Adjustments</v>
      </c>
      <c r="G3" s="392"/>
      <c r="H3" s="69"/>
      <c r="I3" s="69"/>
      <c r="J3" s="69"/>
      <c r="AA3" s="40" t="s">
        <v>497</v>
      </c>
    </row>
    <row r="4" spans="1:27" customFormat="1" ht="14.5" x14ac:dyDescent="0.35">
      <c r="F4" s="36"/>
      <c r="G4" s="392"/>
      <c r="H4" s="69"/>
      <c r="I4" s="69"/>
      <c r="J4" s="69"/>
    </row>
    <row r="5" spans="1:27" customFormat="1" ht="14.5" x14ac:dyDescent="0.35">
      <c r="A5" s="1" t="s">
        <v>773</v>
      </c>
      <c r="D5" s="416" t="str">
        <f>Results!$C$6</f>
        <v>AllHealth Network</v>
      </c>
      <c r="G5" s="392"/>
      <c r="H5" s="69"/>
      <c r="I5" s="69"/>
      <c r="J5" s="69"/>
    </row>
    <row r="6" spans="1:27" customFormat="1" ht="14.5" x14ac:dyDescent="0.35">
      <c r="A6" s="1" t="s">
        <v>0</v>
      </c>
      <c r="D6" s="35">
        <f>Results!$C$7</f>
        <v>45473</v>
      </c>
      <c r="F6" s="40"/>
      <c r="G6" s="392"/>
      <c r="H6" s="69"/>
      <c r="I6" s="69"/>
      <c r="J6" s="69"/>
    </row>
    <row r="7" spans="1:27" ht="13" thickBot="1" x14ac:dyDescent="0.3"/>
    <row r="8" spans="1:27" ht="13.5" thickBot="1" x14ac:dyDescent="0.3">
      <c r="B8" s="282" t="s">
        <v>578</v>
      </c>
      <c r="C8" s="283"/>
      <c r="D8" s="283"/>
      <c r="E8" s="283"/>
      <c r="F8" s="283"/>
      <c r="G8" s="394"/>
      <c r="H8" s="400"/>
      <c r="I8" s="400"/>
      <c r="J8" s="400"/>
      <c r="K8" s="284"/>
    </row>
    <row r="9" spans="1:27" ht="13" x14ac:dyDescent="0.25">
      <c r="B9" s="285"/>
      <c r="C9" s="285"/>
      <c r="D9" s="285"/>
      <c r="E9" s="285"/>
      <c r="F9" s="285"/>
      <c r="G9" s="395"/>
      <c r="H9" s="287"/>
      <c r="I9" s="287"/>
      <c r="J9" s="287"/>
      <c r="K9" s="285"/>
    </row>
    <row r="10" spans="1:27" ht="13" x14ac:dyDescent="0.25">
      <c r="A10" s="286"/>
      <c r="B10" s="287" t="s">
        <v>579</v>
      </c>
      <c r="C10" s="288"/>
      <c r="D10" s="288"/>
      <c r="E10" s="288"/>
      <c r="F10" s="288"/>
      <c r="G10" s="396"/>
      <c r="H10" s="288"/>
      <c r="I10" s="288"/>
      <c r="J10" s="288"/>
      <c r="K10" s="288"/>
    </row>
    <row r="11" spans="1:27" ht="13" x14ac:dyDescent="0.25">
      <c r="A11" s="286"/>
      <c r="B11" s="289" t="s">
        <v>580</v>
      </c>
      <c r="C11" s="290" t="s">
        <v>11</v>
      </c>
      <c r="D11" s="291"/>
      <c r="E11" s="289"/>
      <c r="F11" s="289"/>
      <c r="G11" s="397" t="s">
        <v>581</v>
      </c>
      <c r="H11" s="289" t="s">
        <v>582</v>
      </c>
      <c r="I11" s="289" t="s">
        <v>583</v>
      </c>
      <c r="J11" s="289" t="s">
        <v>584</v>
      </c>
      <c r="K11" s="289" t="s">
        <v>585</v>
      </c>
      <c r="M11" s="292"/>
      <c r="N11" s="293"/>
      <c r="O11" s="293"/>
      <c r="P11" s="293"/>
      <c r="Q11" s="293"/>
      <c r="R11" s="293"/>
      <c r="S11" s="293"/>
      <c r="T11" s="293"/>
      <c r="U11" s="293"/>
      <c r="V11" s="293"/>
    </row>
    <row r="12" spans="1:27" ht="13" x14ac:dyDescent="0.3">
      <c r="A12" s="294"/>
      <c r="B12" s="295">
        <v>1</v>
      </c>
      <c r="C12" s="469" t="s">
        <v>939</v>
      </c>
      <c r="D12" s="294"/>
      <c r="E12" s="294"/>
      <c r="F12" s="294"/>
      <c r="G12" s="296">
        <v>-281735</v>
      </c>
      <c r="H12" s="297">
        <v>1</v>
      </c>
      <c r="I12" s="297">
        <v>2</v>
      </c>
      <c r="J12" s="468">
        <v>11</v>
      </c>
      <c r="K12" s="302" t="s">
        <v>1042</v>
      </c>
    </row>
    <row r="13" spans="1:27" ht="13" x14ac:dyDescent="0.3">
      <c r="A13" s="294"/>
      <c r="B13" s="295"/>
      <c r="C13" s="469"/>
      <c r="D13" s="294"/>
      <c r="E13" s="294"/>
      <c r="F13" s="294"/>
      <c r="G13" s="296"/>
      <c r="H13" s="297"/>
      <c r="I13" s="297"/>
      <c r="J13" s="468"/>
      <c r="K13" s="302"/>
    </row>
    <row r="14" spans="1:27" ht="13" x14ac:dyDescent="0.3">
      <c r="A14" s="294"/>
      <c r="B14" s="295">
        <v>2</v>
      </c>
      <c r="C14" s="469" t="s">
        <v>940</v>
      </c>
      <c r="D14" s="294"/>
      <c r="E14" s="294"/>
      <c r="F14" s="294"/>
      <c r="G14" s="296">
        <v>-205</v>
      </c>
      <c r="H14" s="297">
        <v>1</v>
      </c>
      <c r="I14" s="297">
        <v>2</v>
      </c>
      <c r="J14" s="468">
        <v>41</v>
      </c>
      <c r="K14" s="302" t="s">
        <v>941</v>
      </c>
    </row>
    <row r="15" spans="1:27" ht="13" x14ac:dyDescent="0.3">
      <c r="A15" s="294"/>
      <c r="B15" s="295"/>
      <c r="C15" s="469"/>
      <c r="D15" s="294"/>
      <c r="E15" s="294"/>
      <c r="F15" s="294"/>
      <c r="G15" s="296">
        <v>-150</v>
      </c>
      <c r="H15" s="297">
        <v>1</v>
      </c>
      <c r="I15" s="297">
        <v>3</v>
      </c>
      <c r="J15" s="468">
        <v>41</v>
      </c>
      <c r="K15" s="302" t="s">
        <v>941</v>
      </c>
    </row>
    <row r="16" spans="1:27" ht="13" x14ac:dyDescent="0.3">
      <c r="A16" s="294"/>
      <c r="B16" s="295"/>
      <c r="C16" s="469"/>
      <c r="D16" s="294"/>
      <c r="E16" s="294"/>
      <c r="F16" s="294"/>
      <c r="G16" s="296">
        <v>-2320</v>
      </c>
      <c r="H16" s="297">
        <v>1</v>
      </c>
      <c r="I16" s="297">
        <v>5</v>
      </c>
      <c r="J16" s="468">
        <v>41</v>
      </c>
      <c r="K16" s="302" t="s">
        <v>941</v>
      </c>
    </row>
    <row r="17" spans="1:11" ht="13" x14ac:dyDescent="0.3">
      <c r="A17" s="294"/>
      <c r="B17" s="295"/>
      <c r="C17" s="469"/>
      <c r="D17" s="294"/>
      <c r="E17" s="294"/>
      <c r="F17" s="294"/>
      <c r="G17" s="296">
        <v>2675</v>
      </c>
      <c r="H17" s="297">
        <v>1</v>
      </c>
      <c r="I17" s="297">
        <v>6</v>
      </c>
      <c r="J17" s="468">
        <v>41</v>
      </c>
      <c r="K17" s="302" t="s">
        <v>941</v>
      </c>
    </row>
    <row r="18" spans="1:11" ht="13" x14ac:dyDescent="0.3">
      <c r="A18" s="294"/>
      <c r="B18" s="295"/>
      <c r="C18" s="469"/>
      <c r="D18" s="294"/>
      <c r="E18" s="294"/>
      <c r="F18" s="294"/>
      <c r="G18" s="296"/>
      <c r="H18" s="297"/>
      <c r="I18" s="297"/>
      <c r="J18" s="468"/>
      <c r="K18" s="302"/>
    </row>
    <row r="19" spans="1:11" ht="13" x14ac:dyDescent="0.3">
      <c r="A19" s="294"/>
      <c r="B19" s="295">
        <v>3</v>
      </c>
      <c r="C19" s="469" t="s">
        <v>942</v>
      </c>
      <c r="D19" s="294"/>
      <c r="E19" s="294"/>
      <c r="F19" s="294"/>
      <c r="G19" s="296">
        <v>-210425</v>
      </c>
      <c r="H19" s="297">
        <v>1</v>
      </c>
      <c r="I19" s="297">
        <v>2</v>
      </c>
      <c r="J19" s="468">
        <v>45</v>
      </c>
      <c r="K19" s="302" t="s">
        <v>941</v>
      </c>
    </row>
    <row r="20" spans="1:11" ht="13" x14ac:dyDescent="0.3">
      <c r="A20" s="294"/>
      <c r="B20" s="295"/>
      <c r="C20" s="469"/>
      <c r="D20" s="294"/>
      <c r="E20" s="294"/>
      <c r="F20" s="294"/>
      <c r="G20" s="296">
        <v>-1003</v>
      </c>
      <c r="H20" s="297">
        <v>1</v>
      </c>
      <c r="I20" s="297">
        <v>3</v>
      </c>
      <c r="J20" s="468">
        <v>45</v>
      </c>
      <c r="K20" s="302" t="s">
        <v>941</v>
      </c>
    </row>
    <row r="21" spans="1:11" ht="13" x14ac:dyDescent="0.3">
      <c r="A21" s="294"/>
      <c r="B21" s="295"/>
      <c r="C21" s="469"/>
      <c r="D21" s="294"/>
      <c r="E21" s="294"/>
      <c r="F21" s="294"/>
      <c r="G21" s="296">
        <v>-1448</v>
      </c>
      <c r="H21" s="297">
        <v>1</v>
      </c>
      <c r="I21" s="297">
        <v>5</v>
      </c>
      <c r="J21" s="468">
        <v>45</v>
      </c>
      <c r="K21" s="302" t="s">
        <v>941</v>
      </c>
    </row>
    <row r="22" spans="1:11" ht="13" x14ac:dyDescent="0.3">
      <c r="A22" s="294"/>
      <c r="B22" s="295"/>
      <c r="C22" s="469"/>
      <c r="D22" s="294"/>
      <c r="E22" s="294"/>
      <c r="F22" s="294"/>
      <c r="G22" s="296">
        <v>212876</v>
      </c>
      <c r="H22" s="297">
        <v>1</v>
      </c>
      <c r="I22" s="297">
        <v>6</v>
      </c>
      <c r="J22" s="468">
        <v>45</v>
      </c>
      <c r="K22" s="302" t="s">
        <v>941</v>
      </c>
    </row>
    <row r="23" spans="1:11" ht="13" x14ac:dyDescent="0.3">
      <c r="A23" s="294"/>
      <c r="B23" s="295"/>
      <c r="C23" s="469"/>
      <c r="D23" s="294"/>
      <c r="E23" s="294"/>
      <c r="F23" s="294"/>
      <c r="G23" s="296"/>
      <c r="H23" s="297"/>
      <c r="I23" s="297"/>
      <c r="J23" s="468"/>
      <c r="K23" s="302"/>
    </row>
    <row r="24" spans="1:11" ht="13" x14ac:dyDescent="0.3">
      <c r="A24" s="294"/>
      <c r="B24" s="295">
        <v>4</v>
      </c>
      <c r="C24" s="469" t="s">
        <v>943</v>
      </c>
      <c r="D24" s="294"/>
      <c r="E24" s="294"/>
      <c r="F24" s="294"/>
      <c r="G24" s="296">
        <v>-5637</v>
      </c>
      <c r="H24" s="297">
        <v>1</v>
      </c>
      <c r="I24" s="297">
        <v>2</v>
      </c>
      <c r="J24" s="468">
        <v>26</v>
      </c>
      <c r="K24" s="302" t="s">
        <v>944</v>
      </c>
    </row>
    <row r="25" spans="1:11" ht="13" x14ac:dyDescent="0.3">
      <c r="A25" s="294"/>
      <c r="B25" s="295"/>
      <c r="C25" s="469"/>
      <c r="D25" s="294"/>
      <c r="E25" s="294"/>
      <c r="F25" s="294"/>
      <c r="G25" s="296">
        <v>-635</v>
      </c>
      <c r="H25" s="297">
        <v>1</v>
      </c>
      <c r="I25" s="297">
        <v>3</v>
      </c>
      <c r="J25" s="468">
        <v>24</v>
      </c>
      <c r="K25" s="302" t="s">
        <v>944</v>
      </c>
    </row>
    <row r="26" spans="1:11" ht="13" x14ac:dyDescent="0.3">
      <c r="A26" s="294"/>
      <c r="B26" s="295"/>
      <c r="C26" s="469"/>
      <c r="D26" s="294"/>
      <c r="E26" s="294"/>
      <c r="F26" s="294"/>
      <c r="G26" s="296">
        <v>185</v>
      </c>
      <c r="H26" s="297">
        <v>1</v>
      </c>
      <c r="I26" s="297">
        <v>3</v>
      </c>
      <c r="J26" s="468">
        <v>26</v>
      </c>
      <c r="K26" s="302" t="s">
        <v>944</v>
      </c>
    </row>
    <row r="27" spans="1:11" ht="13" x14ac:dyDescent="0.3">
      <c r="A27" s="294"/>
      <c r="B27" s="295"/>
      <c r="C27" s="469"/>
      <c r="D27" s="294"/>
      <c r="E27" s="294"/>
      <c r="F27" s="294"/>
      <c r="G27" s="296">
        <v>-1422</v>
      </c>
      <c r="H27" s="297">
        <v>1</v>
      </c>
      <c r="I27" s="297">
        <v>3</v>
      </c>
      <c r="J27" s="468">
        <v>48</v>
      </c>
      <c r="K27" s="302" t="s">
        <v>944</v>
      </c>
    </row>
    <row r="28" spans="1:11" ht="13" x14ac:dyDescent="0.3">
      <c r="A28" s="294"/>
      <c r="B28" s="295"/>
      <c r="C28" s="469"/>
      <c r="D28" s="294"/>
      <c r="E28" s="294"/>
      <c r="F28" s="294"/>
      <c r="G28" s="296">
        <v>635</v>
      </c>
      <c r="H28" s="297">
        <v>1</v>
      </c>
      <c r="I28" s="297">
        <v>5</v>
      </c>
      <c r="J28" s="468">
        <v>24</v>
      </c>
      <c r="K28" s="302" t="s">
        <v>944</v>
      </c>
    </row>
    <row r="29" spans="1:11" ht="13" x14ac:dyDescent="0.3">
      <c r="A29" s="294"/>
      <c r="B29" s="295"/>
      <c r="C29" s="469"/>
      <c r="D29" s="294"/>
      <c r="E29" s="294"/>
      <c r="F29" s="294"/>
      <c r="G29" s="296">
        <v>5452</v>
      </c>
      <c r="H29" s="297">
        <v>1</v>
      </c>
      <c r="I29" s="297">
        <v>5</v>
      </c>
      <c r="J29" s="468">
        <v>26</v>
      </c>
      <c r="K29" s="302" t="s">
        <v>944</v>
      </c>
    </row>
    <row r="30" spans="1:11" ht="13" x14ac:dyDescent="0.3">
      <c r="A30" s="294"/>
      <c r="B30" s="295"/>
      <c r="C30" s="469"/>
      <c r="D30" s="294"/>
      <c r="E30" s="294"/>
      <c r="F30" s="294"/>
      <c r="G30" s="296">
        <v>1422</v>
      </c>
      <c r="H30" s="297">
        <v>1</v>
      </c>
      <c r="I30" s="297">
        <v>5</v>
      </c>
      <c r="J30" s="468">
        <v>48</v>
      </c>
      <c r="K30" s="302" t="s">
        <v>944</v>
      </c>
    </row>
    <row r="31" spans="1:11" ht="13" x14ac:dyDescent="0.3">
      <c r="A31" s="294"/>
      <c r="B31" s="295"/>
      <c r="C31" s="469"/>
      <c r="D31" s="294"/>
      <c r="E31" s="294"/>
      <c r="F31" s="294"/>
      <c r="G31" s="296"/>
      <c r="H31" s="297"/>
      <c r="I31" s="297"/>
      <c r="J31" s="468"/>
      <c r="K31" s="302"/>
    </row>
    <row r="32" spans="1:11" ht="13" x14ac:dyDescent="0.3">
      <c r="A32" s="294"/>
      <c r="B32" s="295">
        <v>5</v>
      </c>
      <c r="C32" s="469" t="s">
        <v>945</v>
      </c>
      <c r="D32" s="294"/>
      <c r="E32" s="294"/>
      <c r="F32" s="294"/>
      <c r="G32" s="296">
        <v>-164714</v>
      </c>
      <c r="H32" s="297">
        <v>1</v>
      </c>
      <c r="I32" s="297">
        <v>3</v>
      </c>
      <c r="J32" s="468">
        <v>2</v>
      </c>
      <c r="K32" s="302" t="s">
        <v>944</v>
      </c>
    </row>
    <row r="33" spans="1:11" ht="13" x14ac:dyDescent="0.3">
      <c r="A33" s="294"/>
      <c r="B33" s="295"/>
      <c r="C33" s="469"/>
      <c r="D33" s="294"/>
      <c r="E33" s="294"/>
      <c r="F33" s="294"/>
      <c r="G33" s="296">
        <v>-88868</v>
      </c>
      <c r="H33" s="297">
        <v>1</v>
      </c>
      <c r="I33" s="297">
        <v>3</v>
      </c>
      <c r="J33" s="468">
        <v>3</v>
      </c>
      <c r="K33" s="302" t="s">
        <v>944</v>
      </c>
    </row>
    <row r="34" spans="1:11" ht="13" x14ac:dyDescent="0.3">
      <c r="A34" s="294"/>
      <c r="B34" s="295"/>
      <c r="C34" s="469"/>
      <c r="D34" s="294"/>
      <c r="E34" s="294"/>
      <c r="F34" s="294"/>
      <c r="G34" s="296">
        <v>-87223</v>
      </c>
      <c r="H34" s="297">
        <v>1</v>
      </c>
      <c r="I34" s="297">
        <v>3</v>
      </c>
      <c r="J34" s="468">
        <v>11</v>
      </c>
      <c r="K34" s="302" t="s">
        <v>944</v>
      </c>
    </row>
    <row r="35" spans="1:11" ht="13" x14ac:dyDescent="0.3">
      <c r="A35" s="294"/>
      <c r="B35" s="295"/>
      <c r="C35" s="469"/>
      <c r="D35" s="294"/>
      <c r="E35" s="294"/>
      <c r="F35" s="294"/>
      <c r="G35" s="296">
        <v>-230</v>
      </c>
      <c r="H35" s="297">
        <v>1</v>
      </c>
      <c r="I35" s="297">
        <v>3</v>
      </c>
      <c r="J35" s="468">
        <v>12</v>
      </c>
      <c r="K35" s="302" t="s">
        <v>944</v>
      </c>
    </row>
    <row r="36" spans="1:11" ht="13" x14ac:dyDescent="0.3">
      <c r="A36" s="294"/>
      <c r="B36" s="295"/>
      <c r="C36" s="469"/>
      <c r="D36" s="294"/>
      <c r="E36" s="294"/>
      <c r="F36" s="294"/>
      <c r="G36" s="296">
        <v>-6</v>
      </c>
      <c r="H36" s="297">
        <v>1</v>
      </c>
      <c r="I36" s="297">
        <v>3</v>
      </c>
      <c r="J36" s="468">
        <v>42</v>
      </c>
      <c r="K36" s="302" t="s">
        <v>944</v>
      </c>
    </row>
    <row r="37" spans="1:11" ht="13" x14ac:dyDescent="0.3">
      <c r="A37" s="294"/>
      <c r="B37" s="295"/>
      <c r="C37" s="469"/>
      <c r="D37" s="294"/>
      <c r="E37" s="294"/>
      <c r="F37" s="294"/>
      <c r="G37" s="296">
        <v>-2</v>
      </c>
      <c r="H37" s="297">
        <v>1</v>
      </c>
      <c r="I37" s="297">
        <v>3</v>
      </c>
      <c r="J37" s="468">
        <v>44</v>
      </c>
      <c r="K37" s="302" t="s">
        <v>944</v>
      </c>
    </row>
    <row r="38" spans="1:11" ht="13" x14ac:dyDescent="0.3">
      <c r="A38" s="294"/>
      <c r="B38" s="295"/>
      <c r="C38" s="469"/>
      <c r="D38" s="294"/>
      <c r="E38" s="294"/>
      <c r="F38" s="294"/>
      <c r="G38" s="296">
        <v>-2053</v>
      </c>
      <c r="H38" s="297">
        <v>1</v>
      </c>
      <c r="I38" s="297">
        <v>3</v>
      </c>
      <c r="J38" s="468">
        <v>48</v>
      </c>
      <c r="K38" s="302" t="s">
        <v>944</v>
      </c>
    </row>
    <row r="39" spans="1:11" ht="13" x14ac:dyDescent="0.3">
      <c r="A39" s="294"/>
      <c r="B39" s="295"/>
      <c r="C39" s="469"/>
      <c r="D39" s="294"/>
      <c r="E39" s="294"/>
      <c r="F39" s="294"/>
      <c r="G39" s="296">
        <v>164714</v>
      </c>
      <c r="H39" s="297">
        <v>1</v>
      </c>
      <c r="I39" s="297">
        <v>5</v>
      </c>
      <c r="J39" s="468">
        <v>2</v>
      </c>
      <c r="K39" s="302" t="s">
        <v>944</v>
      </c>
    </row>
    <row r="40" spans="1:11" ht="13" x14ac:dyDescent="0.3">
      <c r="A40" s="294"/>
      <c r="B40" s="295"/>
      <c r="C40" s="469"/>
      <c r="D40" s="294"/>
      <c r="E40" s="294"/>
      <c r="F40" s="294"/>
      <c r="G40" s="296">
        <v>88868</v>
      </c>
      <c r="H40" s="297">
        <v>1</v>
      </c>
      <c r="I40" s="297">
        <v>5</v>
      </c>
      <c r="J40" s="468">
        <v>3</v>
      </c>
      <c r="K40" s="302" t="s">
        <v>944</v>
      </c>
    </row>
    <row r="41" spans="1:11" ht="13" x14ac:dyDescent="0.3">
      <c r="A41" s="294"/>
      <c r="B41" s="295"/>
      <c r="C41" s="469"/>
      <c r="D41" s="294"/>
      <c r="E41" s="294"/>
      <c r="F41" s="294"/>
      <c r="G41" s="296">
        <v>87223</v>
      </c>
      <c r="H41" s="297">
        <v>1</v>
      </c>
      <c r="I41" s="297">
        <v>5</v>
      </c>
      <c r="J41" s="468">
        <v>11</v>
      </c>
      <c r="K41" s="302" t="s">
        <v>944</v>
      </c>
    </row>
    <row r="42" spans="1:11" ht="13" x14ac:dyDescent="0.3">
      <c r="A42" s="294"/>
      <c r="B42" s="295"/>
      <c r="C42" s="469"/>
      <c r="D42" s="294"/>
      <c r="E42" s="294"/>
      <c r="F42" s="294"/>
      <c r="G42" s="296">
        <v>230</v>
      </c>
      <c r="H42" s="297">
        <v>1</v>
      </c>
      <c r="I42" s="297">
        <v>5</v>
      </c>
      <c r="J42" s="468">
        <v>12</v>
      </c>
      <c r="K42" s="302" t="s">
        <v>944</v>
      </c>
    </row>
    <row r="43" spans="1:11" ht="13" x14ac:dyDescent="0.3">
      <c r="A43" s="294"/>
      <c r="B43" s="295"/>
      <c r="C43" s="469"/>
      <c r="D43" s="294"/>
      <c r="E43" s="294"/>
      <c r="F43" s="294"/>
      <c r="G43" s="296">
        <v>6</v>
      </c>
      <c r="H43" s="297">
        <v>1</v>
      </c>
      <c r="I43" s="297">
        <v>5</v>
      </c>
      <c r="J43" s="468">
        <v>42</v>
      </c>
      <c r="K43" s="302" t="s">
        <v>944</v>
      </c>
    </row>
    <row r="44" spans="1:11" ht="13" x14ac:dyDescent="0.3">
      <c r="A44" s="294"/>
      <c r="B44" s="295"/>
      <c r="C44" s="469"/>
      <c r="D44" s="294"/>
      <c r="E44" s="294"/>
      <c r="F44" s="294"/>
      <c r="G44" s="296">
        <v>2</v>
      </c>
      <c r="H44" s="297">
        <v>1</v>
      </c>
      <c r="I44" s="297">
        <v>5</v>
      </c>
      <c r="J44" s="468">
        <v>44</v>
      </c>
      <c r="K44" s="302" t="s">
        <v>944</v>
      </c>
    </row>
    <row r="45" spans="1:11" ht="13" x14ac:dyDescent="0.3">
      <c r="A45" s="294"/>
      <c r="B45" s="295"/>
      <c r="C45" s="469"/>
      <c r="D45" s="294"/>
      <c r="E45" s="294"/>
      <c r="F45" s="294"/>
      <c r="G45" s="296">
        <v>2053</v>
      </c>
      <c r="H45" s="297">
        <v>1</v>
      </c>
      <c r="I45" s="297">
        <v>5</v>
      </c>
      <c r="J45" s="468">
        <v>48</v>
      </c>
      <c r="K45" s="302" t="s">
        <v>944</v>
      </c>
    </row>
    <row r="46" spans="1:11" ht="13" x14ac:dyDescent="0.3">
      <c r="A46" s="294"/>
      <c r="B46" s="295"/>
      <c r="C46" s="469"/>
      <c r="D46" s="294"/>
      <c r="E46" s="294"/>
      <c r="F46" s="294"/>
      <c r="G46" s="296"/>
      <c r="H46" s="297"/>
      <c r="I46" s="297"/>
      <c r="J46" s="468"/>
      <c r="K46" s="302"/>
    </row>
    <row r="47" spans="1:11" ht="13" x14ac:dyDescent="0.3">
      <c r="A47" s="294"/>
      <c r="B47" s="295">
        <v>6</v>
      </c>
      <c r="C47" s="469" t="s">
        <v>946</v>
      </c>
      <c r="D47" s="294"/>
      <c r="E47" s="294"/>
      <c r="F47" s="294"/>
      <c r="G47" s="296">
        <v>-66520</v>
      </c>
      <c r="H47" s="297">
        <v>1</v>
      </c>
      <c r="I47" s="297">
        <v>3</v>
      </c>
      <c r="J47" s="468">
        <v>2</v>
      </c>
      <c r="K47" s="302" t="s">
        <v>944</v>
      </c>
    </row>
    <row r="48" spans="1:11" ht="13" x14ac:dyDescent="0.3">
      <c r="A48" s="294"/>
      <c r="B48" s="295"/>
      <c r="C48" s="469"/>
      <c r="D48" s="294"/>
      <c r="E48" s="294"/>
      <c r="F48" s="294"/>
      <c r="G48" s="296">
        <v>-3572</v>
      </c>
      <c r="H48" s="297">
        <v>1</v>
      </c>
      <c r="I48" s="297">
        <v>3</v>
      </c>
      <c r="J48" s="468">
        <v>3</v>
      </c>
      <c r="K48" s="302" t="s">
        <v>944</v>
      </c>
    </row>
    <row r="49" spans="1:11" ht="13" x14ac:dyDescent="0.3">
      <c r="A49" s="294"/>
      <c r="B49" s="295"/>
      <c r="C49" s="469"/>
      <c r="D49" s="294"/>
      <c r="E49" s="294"/>
      <c r="F49" s="294"/>
      <c r="G49" s="296">
        <v>-5849</v>
      </c>
      <c r="H49" s="297">
        <v>1</v>
      </c>
      <c r="I49" s="297">
        <v>3</v>
      </c>
      <c r="J49" s="468">
        <v>6</v>
      </c>
      <c r="K49" s="302" t="s">
        <v>944</v>
      </c>
    </row>
    <row r="50" spans="1:11" ht="13" x14ac:dyDescent="0.3">
      <c r="A50" s="294"/>
      <c r="B50" s="295"/>
      <c r="C50" s="469"/>
      <c r="D50" s="294"/>
      <c r="E50" s="294"/>
      <c r="F50" s="294"/>
      <c r="G50" s="296">
        <v>-15400</v>
      </c>
      <c r="H50" s="297">
        <v>1</v>
      </c>
      <c r="I50" s="297">
        <v>3</v>
      </c>
      <c r="J50" s="468">
        <v>11</v>
      </c>
      <c r="K50" s="302" t="s">
        <v>944</v>
      </c>
    </row>
    <row r="51" spans="1:11" ht="13" x14ac:dyDescent="0.3">
      <c r="A51" s="294"/>
      <c r="B51" s="295"/>
      <c r="C51" s="469"/>
      <c r="D51" s="294"/>
      <c r="E51" s="294"/>
      <c r="F51" s="294"/>
      <c r="G51" s="296">
        <v>-54</v>
      </c>
      <c r="H51" s="297">
        <v>1</v>
      </c>
      <c r="I51" s="297">
        <v>3</v>
      </c>
      <c r="J51" s="468">
        <v>12</v>
      </c>
      <c r="K51" s="302" t="s">
        <v>944</v>
      </c>
    </row>
    <row r="52" spans="1:11" ht="13" x14ac:dyDescent="0.3">
      <c r="A52" s="294"/>
      <c r="B52" s="295"/>
      <c r="C52" s="469"/>
      <c r="D52" s="294"/>
      <c r="E52" s="294"/>
      <c r="F52" s="294"/>
      <c r="G52" s="296">
        <v>-29989</v>
      </c>
      <c r="H52" s="297">
        <v>1</v>
      </c>
      <c r="I52" s="297">
        <v>3</v>
      </c>
      <c r="J52" s="468">
        <v>15</v>
      </c>
      <c r="K52" s="302" t="s">
        <v>944</v>
      </c>
    </row>
    <row r="53" spans="1:11" ht="13" x14ac:dyDescent="0.3">
      <c r="A53" s="294"/>
      <c r="B53" s="295"/>
      <c r="C53" s="469"/>
      <c r="D53" s="294"/>
      <c r="E53" s="294"/>
      <c r="F53" s="294"/>
      <c r="G53" s="296">
        <v>-9437</v>
      </c>
      <c r="H53" s="297">
        <v>1</v>
      </c>
      <c r="I53" s="297">
        <v>3</v>
      </c>
      <c r="J53" s="468">
        <v>39</v>
      </c>
      <c r="K53" s="302" t="s">
        <v>944</v>
      </c>
    </row>
    <row r="54" spans="1:11" ht="13" x14ac:dyDescent="0.3">
      <c r="A54" s="294"/>
      <c r="B54" s="295"/>
      <c r="C54" s="469"/>
      <c r="D54" s="294"/>
      <c r="E54" s="294"/>
      <c r="F54" s="294"/>
      <c r="G54" s="296">
        <v>-59</v>
      </c>
      <c r="H54" s="297">
        <v>1</v>
      </c>
      <c r="I54" s="297">
        <v>3</v>
      </c>
      <c r="J54" s="468">
        <v>42</v>
      </c>
      <c r="K54" s="302" t="s">
        <v>944</v>
      </c>
    </row>
    <row r="55" spans="1:11" ht="13" x14ac:dyDescent="0.3">
      <c r="A55" s="294"/>
      <c r="B55" s="295"/>
      <c r="C55" s="469"/>
      <c r="D55" s="294"/>
      <c r="E55" s="294"/>
      <c r="F55" s="294"/>
      <c r="G55" s="296">
        <v>-334</v>
      </c>
      <c r="H55" s="297">
        <v>1</v>
      </c>
      <c r="I55" s="297">
        <v>3</v>
      </c>
      <c r="J55" s="468">
        <v>48</v>
      </c>
      <c r="K55" s="302" t="s">
        <v>944</v>
      </c>
    </row>
    <row r="56" spans="1:11" ht="13" x14ac:dyDescent="0.3">
      <c r="A56" s="294"/>
      <c r="B56" s="295"/>
      <c r="C56" s="469"/>
      <c r="D56" s="294"/>
      <c r="E56" s="294"/>
      <c r="F56" s="294"/>
      <c r="G56" s="296">
        <v>66520</v>
      </c>
      <c r="H56" s="297">
        <v>1</v>
      </c>
      <c r="I56" s="297">
        <v>5</v>
      </c>
      <c r="J56" s="468">
        <v>2</v>
      </c>
      <c r="K56" s="302" t="s">
        <v>944</v>
      </c>
    </row>
    <row r="57" spans="1:11" ht="13" x14ac:dyDescent="0.3">
      <c r="A57" s="294"/>
      <c r="B57" s="295"/>
      <c r="C57" s="469"/>
      <c r="D57" s="294"/>
      <c r="E57" s="294"/>
      <c r="F57" s="294"/>
      <c r="G57" s="296">
        <v>3572</v>
      </c>
      <c r="H57" s="297">
        <v>1</v>
      </c>
      <c r="I57" s="297">
        <v>5</v>
      </c>
      <c r="J57" s="468">
        <v>3</v>
      </c>
      <c r="K57" s="302" t="s">
        <v>944</v>
      </c>
    </row>
    <row r="58" spans="1:11" ht="13" x14ac:dyDescent="0.3">
      <c r="A58" s="294"/>
      <c r="B58" s="295"/>
      <c r="C58" s="469"/>
      <c r="D58" s="294"/>
      <c r="E58" s="294"/>
      <c r="F58" s="294"/>
      <c r="G58" s="296">
        <v>5849</v>
      </c>
      <c r="H58" s="297">
        <v>1</v>
      </c>
      <c r="I58" s="297">
        <v>5</v>
      </c>
      <c r="J58" s="468">
        <v>6</v>
      </c>
      <c r="K58" s="302" t="s">
        <v>944</v>
      </c>
    </row>
    <row r="59" spans="1:11" ht="13" x14ac:dyDescent="0.3">
      <c r="A59" s="294"/>
      <c r="B59" s="295"/>
      <c r="C59" s="469"/>
      <c r="D59" s="294"/>
      <c r="E59" s="294"/>
      <c r="F59" s="294"/>
      <c r="G59" s="296">
        <v>15400</v>
      </c>
      <c r="H59" s="297">
        <v>1</v>
      </c>
      <c r="I59" s="297">
        <v>5</v>
      </c>
      <c r="J59" s="468">
        <v>11</v>
      </c>
      <c r="K59" s="302" t="s">
        <v>944</v>
      </c>
    </row>
    <row r="60" spans="1:11" ht="13" x14ac:dyDescent="0.3">
      <c r="A60" s="294"/>
      <c r="B60" s="295"/>
      <c r="C60" s="469"/>
      <c r="D60" s="294"/>
      <c r="E60" s="294"/>
      <c r="F60" s="294"/>
      <c r="G60" s="296">
        <v>54</v>
      </c>
      <c r="H60" s="297">
        <v>1</v>
      </c>
      <c r="I60" s="297">
        <v>5</v>
      </c>
      <c r="J60" s="468">
        <v>12</v>
      </c>
      <c r="K60" s="302" t="s">
        <v>944</v>
      </c>
    </row>
    <row r="61" spans="1:11" ht="13" x14ac:dyDescent="0.3">
      <c r="A61" s="294"/>
      <c r="B61" s="295"/>
      <c r="C61" s="469"/>
      <c r="D61" s="294"/>
      <c r="E61" s="294"/>
      <c r="F61" s="294"/>
      <c r="G61" s="296">
        <v>29989</v>
      </c>
      <c r="H61" s="297">
        <v>1</v>
      </c>
      <c r="I61" s="297">
        <v>5</v>
      </c>
      <c r="J61" s="468">
        <v>15</v>
      </c>
      <c r="K61" s="302" t="s">
        <v>944</v>
      </c>
    </row>
    <row r="62" spans="1:11" ht="13" x14ac:dyDescent="0.3">
      <c r="A62" s="294"/>
      <c r="B62" s="295"/>
      <c r="C62" s="469"/>
      <c r="D62" s="294"/>
      <c r="E62" s="294"/>
      <c r="F62" s="294"/>
      <c r="G62" s="296">
        <v>9437</v>
      </c>
      <c r="H62" s="297">
        <v>1</v>
      </c>
      <c r="I62" s="297">
        <v>5</v>
      </c>
      <c r="J62" s="468">
        <v>39</v>
      </c>
      <c r="K62" s="302" t="s">
        <v>944</v>
      </c>
    </row>
    <row r="63" spans="1:11" ht="13" x14ac:dyDescent="0.3">
      <c r="A63" s="294"/>
      <c r="B63" s="295"/>
      <c r="C63" s="469"/>
      <c r="D63" s="294"/>
      <c r="E63" s="294"/>
      <c r="F63" s="294"/>
      <c r="G63" s="296">
        <v>59</v>
      </c>
      <c r="H63" s="297">
        <v>1</v>
      </c>
      <c r="I63" s="297">
        <v>5</v>
      </c>
      <c r="J63" s="468">
        <v>42</v>
      </c>
      <c r="K63" s="302" t="s">
        <v>944</v>
      </c>
    </row>
    <row r="64" spans="1:11" ht="13" x14ac:dyDescent="0.3">
      <c r="A64" s="294"/>
      <c r="B64" s="295"/>
      <c r="C64" s="469"/>
      <c r="D64" s="294"/>
      <c r="E64" s="294"/>
      <c r="F64" s="294"/>
      <c r="G64" s="296">
        <v>334</v>
      </c>
      <c r="H64" s="297">
        <v>1</v>
      </c>
      <c r="I64" s="297">
        <v>5</v>
      </c>
      <c r="J64" s="468">
        <v>48</v>
      </c>
      <c r="K64" s="302" t="s">
        <v>944</v>
      </c>
    </row>
    <row r="65" spans="1:11" ht="13" x14ac:dyDescent="0.3">
      <c r="A65" s="294"/>
      <c r="B65" s="295"/>
      <c r="C65" s="469"/>
      <c r="D65" s="294"/>
      <c r="E65" s="294"/>
      <c r="F65" s="294"/>
      <c r="G65" s="296"/>
      <c r="H65" s="297"/>
      <c r="I65" s="297"/>
      <c r="J65" s="468"/>
      <c r="K65" s="302"/>
    </row>
    <row r="66" spans="1:11" ht="13" x14ac:dyDescent="0.3">
      <c r="A66" s="294"/>
      <c r="B66" s="295">
        <v>7</v>
      </c>
      <c r="C66" s="469" t="s">
        <v>947</v>
      </c>
      <c r="D66" s="294"/>
      <c r="E66" s="294"/>
      <c r="F66" s="294"/>
      <c r="G66" s="296">
        <v>-234617</v>
      </c>
      <c r="H66" s="297">
        <v>1</v>
      </c>
      <c r="I66" s="297">
        <v>3</v>
      </c>
      <c r="J66" s="468">
        <v>2</v>
      </c>
      <c r="K66" s="302" t="s">
        <v>1043</v>
      </c>
    </row>
    <row r="67" spans="1:11" ht="13" x14ac:dyDescent="0.3">
      <c r="A67" s="294"/>
      <c r="B67" s="295"/>
      <c r="C67" s="469"/>
      <c r="D67" s="294"/>
      <c r="E67" s="294"/>
      <c r="F67" s="294"/>
      <c r="G67" s="296">
        <v>-43112</v>
      </c>
      <c r="H67" s="297">
        <v>1</v>
      </c>
      <c r="I67" s="297">
        <v>3</v>
      </c>
      <c r="J67" s="468">
        <v>3</v>
      </c>
      <c r="K67" s="302" t="s">
        <v>1043</v>
      </c>
    </row>
    <row r="68" spans="1:11" ht="13" x14ac:dyDescent="0.3">
      <c r="A68" s="294"/>
      <c r="B68" s="295"/>
      <c r="C68" s="469"/>
      <c r="D68" s="294"/>
      <c r="E68" s="294"/>
      <c r="F68" s="294"/>
      <c r="G68" s="296">
        <v>-8918</v>
      </c>
      <c r="H68" s="297">
        <v>1</v>
      </c>
      <c r="I68" s="297">
        <v>3</v>
      </c>
      <c r="J68" s="468">
        <v>6</v>
      </c>
      <c r="K68" s="302" t="s">
        <v>1043</v>
      </c>
    </row>
    <row r="69" spans="1:11" ht="13" x14ac:dyDescent="0.3">
      <c r="A69" s="294"/>
      <c r="B69" s="295"/>
      <c r="C69" s="469"/>
      <c r="D69" s="294"/>
      <c r="E69" s="294"/>
      <c r="F69" s="294"/>
      <c r="G69" s="296">
        <v>-51524</v>
      </c>
      <c r="H69" s="297">
        <v>1</v>
      </c>
      <c r="I69" s="297">
        <v>3</v>
      </c>
      <c r="J69" s="468">
        <v>11</v>
      </c>
      <c r="K69" s="302" t="s">
        <v>1043</v>
      </c>
    </row>
    <row r="70" spans="1:11" ht="13" x14ac:dyDescent="0.3">
      <c r="A70" s="294"/>
      <c r="B70" s="295"/>
      <c r="C70" s="469"/>
      <c r="D70" s="294"/>
      <c r="E70" s="294"/>
      <c r="F70" s="294"/>
      <c r="G70" s="296">
        <v>-871</v>
      </c>
      <c r="H70" s="297">
        <v>1</v>
      </c>
      <c r="I70" s="297">
        <v>3</v>
      </c>
      <c r="J70" s="468">
        <v>12</v>
      </c>
      <c r="K70" s="302" t="s">
        <v>1043</v>
      </c>
    </row>
    <row r="71" spans="1:11" ht="13" x14ac:dyDescent="0.3">
      <c r="A71" s="294"/>
      <c r="B71" s="295"/>
      <c r="C71" s="469"/>
      <c r="D71" s="294"/>
      <c r="E71" s="294"/>
      <c r="F71" s="294"/>
      <c r="G71" s="296">
        <v>-6</v>
      </c>
      <c r="H71" s="297">
        <v>1</v>
      </c>
      <c r="I71" s="297">
        <v>3</v>
      </c>
      <c r="J71" s="468">
        <v>15</v>
      </c>
      <c r="K71" s="302" t="s">
        <v>1043</v>
      </c>
    </row>
    <row r="72" spans="1:11" ht="13" x14ac:dyDescent="0.3">
      <c r="A72" s="294"/>
      <c r="B72" s="295"/>
      <c r="C72" s="469"/>
      <c r="D72" s="294"/>
      <c r="E72" s="294"/>
      <c r="F72" s="294"/>
      <c r="G72" s="296">
        <v>-491</v>
      </c>
      <c r="H72" s="297">
        <v>1</v>
      </c>
      <c r="I72" s="297">
        <v>3</v>
      </c>
      <c r="J72" s="468">
        <v>22</v>
      </c>
      <c r="K72" s="302" t="s">
        <v>1043</v>
      </c>
    </row>
    <row r="73" spans="1:11" ht="13" x14ac:dyDescent="0.3">
      <c r="A73" s="294"/>
      <c r="B73" s="295"/>
      <c r="C73" s="469"/>
      <c r="D73" s="294"/>
      <c r="E73" s="294"/>
      <c r="F73" s="294"/>
      <c r="G73" s="296">
        <v>-3351</v>
      </c>
      <c r="H73" s="297">
        <v>1</v>
      </c>
      <c r="I73" s="297">
        <v>3</v>
      </c>
      <c r="J73" s="468">
        <v>26</v>
      </c>
      <c r="K73" s="302" t="s">
        <v>1043</v>
      </c>
    </row>
    <row r="74" spans="1:11" ht="13" x14ac:dyDescent="0.3">
      <c r="A74" s="294"/>
      <c r="B74" s="295"/>
      <c r="C74" s="469"/>
      <c r="D74" s="294"/>
      <c r="E74" s="294"/>
      <c r="F74" s="294"/>
      <c r="G74" s="296">
        <v>-32</v>
      </c>
      <c r="H74" s="297">
        <v>1</v>
      </c>
      <c r="I74" s="297">
        <v>3</v>
      </c>
      <c r="J74" s="468">
        <v>30</v>
      </c>
      <c r="K74" s="302" t="s">
        <v>1043</v>
      </c>
    </row>
    <row r="75" spans="1:11" ht="13" x14ac:dyDescent="0.3">
      <c r="A75" s="294"/>
      <c r="B75" s="295"/>
      <c r="C75" s="469"/>
      <c r="D75" s="294"/>
      <c r="E75" s="294"/>
      <c r="F75" s="294"/>
      <c r="G75" s="296">
        <v>-1421</v>
      </c>
      <c r="H75" s="297">
        <v>1</v>
      </c>
      <c r="I75" s="297">
        <v>3</v>
      </c>
      <c r="J75" s="468">
        <v>31</v>
      </c>
      <c r="K75" s="302" t="s">
        <v>1043</v>
      </c>
    </row>
    <row r="76" spans="1:11" ht="13" x14ac:dyDescent="0.3">
      <c r="A76" s="294"/>
      <c r="B76" s="295"/>
      <c r="C76" s="469"/>
      <c r="D76" s="294"/>
      <c r="E76" s="294"/>
      <c r="F76" s="294"/>
      <c r="G76" s="296">
        <v>-56464</v>
      </c>
      <c r="H76" s="297">
        <v>1</v>
      </c>
      <c r="I76" s="297">
        <v>3</v>
      </c>
      <c r="J76" s="468">
        <v>39</v>
      </c>
      <c r="K76" s="302" t="s">
        <v>1043</v>
      </c>
    </row>
    <row r="77" spans="1:11" ht="13" x14ac:dyDescent="0.3">
      <c r="A77" s="294"/>
      <c r="B77" s="295"/>
      <c r="C77" s="469"/>
      <c r="D77" s="294"/>
      <c r="E77" s="294"/>
      <c r="F77" s="294"/>
      <c r="G77" s="296">
        <v>-98</v>
      </c>
      <c r="H77" s="297">
        <v>1</v>
      </c>
      <c r="I77" s="297">
        <v>3</v>
      </c>
      <c r="J77" s="468">
        <v>42</v>
      </c>
      <c r="K77" s="302" t="s">
        <v>1043</v>
      </c>
    </row>
    <row r="78" spans="1:11" ht="13" x14ac:dyDescent="0.3">
      <c r="A78" s="294"/>
      <c r="B78" s="295"/>
      <c r="C78" s="469"/>
      <c r="D78" s="294"/>
      <c r="E78" s="294"/>
      <c r="F78" s="294"/>
      <c r="G78" s="296">
        <v>-366</v>
      </c>
      <c r="H78" s="297">
        <v>1</v>
      </c>
      <c r="I78" s="297">
        <v>3</v>
      </c>
      <c r="J78" s="468">
        <v>44</v>
      </c>
      <c r="K78" s="302" t="s">
        <v>1043</v>
      </c>
    </row>
    <row r="79" spans="1:11" ht="13" x14ac:dyDescent="0.3">
      <c r="A79" s="294"/>
      <c r="B79" s="295"/>
      <c r="C79" s="469"/>
      <c r="D79" s="294"/>
      <c r="E79" s="294"/>
      <c r="F79" s="294"/>
      <c r="G79" s="296">
        <v>-3308</v>
      </c>
      <c r="H79" s="297">
        <v>1</v>
      </c>
      <c r="I79" s="297">
        <v>3</v>
      </c>
      <c r="J79" s="468">
        <v>48</v>
      </c>
      <c r="K79" s="302" t="s">
        <v>1043</v>
      </c>
    </row>
    <row r="80" spans="1:11" ht="13" x14ac:dyDescent="0.3">
      <c r="A80" s="294"/>
      <c r="B80" s="295"/>
      <c r="C80" s="469"/>
      <c r="D80" s="294"/>
      <c r="E80" s="294"/>
      <c r="F80" s="294"/>
      <c r="G80" s="296">
        <v>234617</v>
      </c>
      <c r="H80" s="297">
        <v>1</v>
      </c>
      <c r="I80" s="297">
        <v>5</v>
      </c>
      <c r="J80" s="468">
        <v>2</v>
      </c>
      <c r="K80" s="302" t="s">
        <v>1043</v>
      </c>
    </row>
    <row r="81" spans="1:11" ht="13" x14ac:dyDescent="0.3">
      <c r="A81" s="294"/>
      <c r="B81" s="295"/>
      <c r="C81" s="469"/>
      <c r="D81" s="294"/>
      <c r="E81" s="294"/>
      <c r="F81" s="294"/>
      <c r="G81" s="296">
        <v>43112</v>
      </c>
      <c r="H81" s="297">
        <v>1</v>
      </c>
      <c r="I81" s="297">
        <v>5</v>
      </c>
      <c r="J81" s="468">
        <v>3</v>
      </c>
      <c r="K81" s="302" t="s">
        <v>1043</v>
      </c>
    </row>
    <row r="82" spans="1:11" ht="13" x14ac:dyDescent="0.3">
      <c r="A82" s="294"/>
      <c r="B82" s="295"/>
      <c r="C82" s="469"/>
      <c r="D82" s="294"/>
      <c r="E82" s="294"/>
      <c r="F82" s="294"/>
      <c r="G82" s="296">
        <v>8918</v>
      </c>
      <c r="H82" s="297">
        <v>1</v>
      </c>
      <c r="I82" s="297">
        <v>5</v>
      </c>
      <c r="J82" s="468">
        <v>6</v>
      </c>
      <c r="K82" s="302" t="s">
        <v>1043</v>
      </c>
    </row>
    <row r="83" spans="1:11" ht="13" x14ac:dyDescent="0.3">
      <c r="A83" s="294"/>
      <c r="B83" s="295"/>
      <c r="C83" s="469"/>
      <c r="D83" s="294"/>
      <c r="E83" s="294"/>
      <c r="F83" s="294"/>
      <c r="G83" s="296">
        <v>51524</v>
      </c>
      <c r="H83" s="297">
        <v>1</v>
      </c>
      <c r="I83" s="297">
        <v>5</v>
      </c>
      <c r="J83" s="468">
        <v>11</v>
      </c>
      <c r="K83" s="302" t="s">
        <v>1043</v>
      </c>
    </row>
    <row r="84" spans="1:11" ht="13" x14ac:dyDescent="0.3">
      <c r="A84" s="294"/>
      <c r="B84" s="295"/>
      <c r="C84" s="469"/>
      <c r="D84" s="294"/>
      <c r="E84" s="294"/>
      <c r="F84" s="294"/>
      <c r="G84" s="296">
        <v>871</v>
      </c>
      <c r="H84" s="297">
        <v>1</v>
      </c>
      <c r="I84" s="297">
        <v>5</v>
      </c>
      <c r="J84" s="468">
        <v>12</v>
      </c>
      <c r="K84" s="302" t="s">
        <v>1043</v>
      </c>
    </row>
    <row r="85" spans="1:11" ht="13" x14ac:dyDescent="0.3">
      <c r="A85" s="294"/>
      <c r="B85" s="295"/>
      <c r="C85" s="469"/>
      <c r="D85" s="294"/>
      <c r="E85" s="294"/>
      <c r="F85" s="294"/>
      <c r="G85" s="296">
        <v>6</v>
      </c>
      <c r="H85" s="297">
        <v>1</v>
      </c>
      <c r="I85" s="297">
        <v>5</v>
      </c>
      <c r="J85" s="468">
        <v>15</v>
      </c>
      <c r="K85" s="302" t="s">
        <v>1043</v>
      </c>
    </row>
    <row r="86" spans="1:11" ht="13" x14ac:dyDescent="0.3">
      <c r="A86" s="294"/>
      <c r="B86" s="295"/>
      <c r="C86" s="469"/>
      <c r="D86" s="294"/>
      <c r="E86" s="294"/>
      <c r="F86" s="294"/>
      <c r="G86" s="296">
        <v>491</v>
      </c>
      <c r="H86" s="297">
        <v>1</v>
      </c>
      <c r="I86" s="297">
        <v>5</v>
      </c>
      <c r="J86" s="468">
        <v>22</v>
      </c>
      <c r="K86" s="302" t="s">
        <v>1043</v>
      </c>
    </row>
    <row r="87" spans="1:11" ht="13" x14ac:dyDescent="0.3">
      <c r="A87" s="294"/>
      <c r="B87" s="295"/>
      <c r="C87" s="469"/>
      <c r="D87" s="294"/>
      <c r="E87" s="294"/>
      <c r="F87" s="294"/>
      <c r="G87" s="296">
        <v>3351</v>
      </c>
      <c r="H87" s="297">
        <v>1</v>
      </c>
      <c r="I87" s="297">
        <v>5</v>
      </c>
      <c r="J87" s="468">
        <v>26</v>
      </c>
      <c r="K87" s="302" t="s">
        <v>1043</v>
      </c>
    </row>
    <row r="88" spans="1:11" ht="13" x14ac:dyDescent="0.3">
      <c r="A88" s="294"/>
      <c r="B88" s="295"/>
      <c r="C88" s="469"/>
      <c r="D88" s="294"/>
      <c r="E88" s="294"/>
      <c r="F88" s="294"/>
      <c r="G88" s="296">
        <v>32</v>
      </c>
      <c r="H88" s="297">
        <v>1</v>
      </c>
      <c r="I88" s="297">
        <v>5</v>
      </c>
      <c r="J88" s="468">
        <v>30</v>
      </c>
      <c r="K88" s="302" t="s">
        <v>1043</v>
      </c>
    </row>
    <row r="89" spans="1:11" ht="13" x14ac:dyDescent="0.3">
      <c r="A89" s="294"/>
      <c r="B89" s="295"/>
      <c r="C89" s="469"/>
      <c r="D89" s="294"/>
      <c r="E89" s="294"/>
      <c r="F89" s="294"/>
      <c r="G89" s="296">
        <v>1421</v>
      </c>
      <c r="H89" s="297">
        <v>1</v>
      </c>
      <c r="I89" s="297">
        <v>5</v>
      </c>
      <c r="J89" s="468">
        <v>31</v>
      </c>
      <c r="K89" s="302" t="s">
        <v>1043</v>
      </c>
    </row>
    <row r="90" spans="1:11" ht="13" x14ac:dyDescent="0.3">
      <c r="A90" s="294"/>
      <c r="B90" s="295"/>
      <c r="C90" s="469"/>
      <c r="D90" s="294"/>
      <c r="E90" s="294"/>
      <c r="F90" s="294"/>
      <c r="G90" s="296">
        <v>56464</v>
      </c>
      <c r="H90" s="297">
        <v>1</v>
      </c>
      <c r="I90" s="297">
        <v>5</v>
      </c>
      <c r="J90" s="468">
        <v>39</v>
      </c>
      <c r="K90" s="302" t="s">
        <v>1043</v>
      </c>
    </row>
    <row r="91" spans="1:11" ht="13" x14ac:dyDescent="0.3">
      <c r="A91" s="294"/>
      <c r="B91" s="295"/>
      <c r="C91" s="469"/>
      <c r="D91" s="294"/>
      <c r="E91" s="294"/>
      <c r="F91" s="294"/>
      <c r="G91" s="296">
        <v>98</v>
      </c>
      <c r="H91" s="297">
        <v>1</v>
      </c>
      <c r="I91" s="297">
        <v>5</v>
      </c>
      <c r="J91" s="468">
        <v>42</v>
      </c>
      <c r="K91" s="302" t="s">
        <v>1043</v>
      </c>
    </row>
    <row r="92" spans="1:11" ht="13" x14ac:dyDescent="0.3">
      <c r="A92" s="294"/>
      <c r="B92" s="295"/>
      <c r="C92" s="469"/>
      <c r="D92" s="294"/>
      <c r="E92" s="294"/>
      <c r="F92" s="294"/>
      <c r="G92" s="296">
        <v>366</v>
      </c>
      <c r="H92" s="297">
        <v>1</v>
      </c>
      <c r="I92" s="297">
        <v>5</v>
      </c>
      <c r="J92" s="468">
        <v>44</v>
      </c>
      <c r="K92" s="302" t="s">
        <v>1043</v>
      </c>
    </row>
    <row r="93" spans="1:11" ht="13" x14ac:dyDescent="0.3">
      <c r="A93" s="294"/>
      <c r="B93" s="295"/>
      <c r="C93" s="469"/>
      <c r="D93" s="294"/>
      <c r="E93" s="294"/>
      <c r="F93" s="294"/>
      <c r="G93" s="296">
        <v>3308</v>
      </c>
      <c r="H93" s="297">
        <v>1</v>
      </c>
      <c r="I93" s="297">
        <v>5</v>
      </c>
      <c r="J93" s="468">
        <v>48</v>
      </c>
      <c r="K93" s="302" t="s">
        <v>1043</v>
      </c>
    </row>
    <row r="94" spans="1:11" ht="13" x14ac:dyDescent="0.3">
      <c r="A94" s="294"/>
      <c r="B94" s="295"/>
      <c r="C94" s="469"/>
      <c r="D94" s="294"/>
      <c r="E94" s="294"/>
      <c r="F94" s="294"/>
      <c r="G94" s="296"/>
      <c r="H94" s="297"/>
      <c r="I94" s="297"/>
      <c r="J94" s="468"/>
      <c r="K94" s="302"/>
    </row>
    <row r="95" spans="1:11" ht="13" x14ac:dyDescent="0.3">
      <c r="A95" s="294"/>
      <c r="B95" s="295">
        <v>8</v>
      </c>
      <c r="C95" s="469" t="s">
        <v>948</v>
      </c>
      <c r="D95" s="294"/>
      <c r="E95" s="294"/>
      <c r="F95" s="294"/>
      <c r="G95" s="296">
        <v>-369084</v>
      </c>
      <c r="H95" s="297">
        <v>1</v>
      </c>
      <c r="I95" s="297">
        <v>5</v>
      </c>
      <c r="J95" s="468">
        <v>2</v>
      </c>
      <c r="K95" s="302" t="s">
        <v>944</v>
      </c>
    </row>
    <row r="96" spans="1:11" ht="13" x14ac:dyDescent="0.3">
      <c r="A96" s="294"/>
      <c r="B96" s="295"/>
      <c r="C96" s="469"/>
      <c r="D96" s="294"/>
      <c r="E96" s="294"/>
      <c r="F96" s="294"/>
      <c r="G96" s="296">
        <v>-191446</v>
      </c>
      <c r="H96" s="297">
        <v>1</v>
      </c>
      <c r="I96" s="297">
        <v>5</v>
      </c>
      <c r="J96" s="468">
        <v>3</v>
      </c>
      <c r="K96" s="302" t="s">
        <v>944</v>
      </c>
    </row>
    <row r="97" spans="1:11" ht="13" x14ac:dyDescent="0.3">
      <c r="A97" s="294"/>
      <c r="B97" s="295"/>
      <c r="C97" s="469"/>
      <c r="D97" s="294"/>
      <c r="E97" s="294"/>
      <c r="F97" s="294"/>
      <c r="G97" s="296">
        <v>-151922</v>
      </c>
      <c r="H97" s="297">
        <v>1</v>
      </c>
      <c r="I97" s="297">
        <v>5</v>
      </c>
      <c r="J97" s="468">
        <v>11</v>
      </c>
      <c r="K97" s="302" t="s">
        <v>944</v>
      </c>
    </row>
    <row r="98" spans="1:11" ht="13" x14ac:dyDescent="0.3">
      <c r="A98" s="294"/>
      <c r="B98" s="295"/>
      <c r="C98" s="469"/>
      <c r="D98" s="294"/>
      <c r="E98" s="294"/>
      <c r="F98" s="294"/>
      <c r="G98" s="296">
        <v>-224</v>
      </c>
      <c r="H98" s="297">
        <v>1</v>
      </c>
      <c r="I98" s="297">
        <v>5</v>
      </c>
      <c r="J98" s="468">
        <v>12</v>
      </c>
      <c r="K98" s="302" t="s">
        <v>944</v>
      </c>
    </row>
    <row r="99" spans="1:11" ht="13" x14ac:dyDescent="0.3">
      <c r="A99" s="294"/>
      <c r="B99" s="295"/>
      <c r="C99" s="469"/>
      <c r="D99" s="294"/>
      <c r="E99" s="294"/>
      <c r="F99" s="294"/>
      <c r="G99" s="296">
        <v>-62905</v>
      </c>
      <c r="H99" s="297">
        <v>1</v>
      </c>
      <c r="I99" s="297">
        <v>5</v>
      </c>
      <c r="J99" s="468">
        <v>15</v>
      </c>
      <c r="K99" s="302" t="s">
        <v>944</v>
      </c>
    </row>
    <row r="100" spans="1:11" ht="13" x14ac:dyDescent="0.3">
      <c r="A100" s="294"/>
      <c r="B100" s="295"/>
      <c r="C100" s="469"/>
      <c r="D100" s="294"/>
      <c r="E100" s="294"/>
      <c r="F100" s="294"/>
      <c r="G100" s="296">
        <v>-284</v>
      </c>
      <c r="H100" s="297">
        <v>1</v>
      </c>
      <c r="I100" s="297">
        <v>5</v>
      </c>
      <c r="J100" s="468">
        <v>22</v>
      </c>
      <c r="K100" s="302" t="s">
        <v>944</v>
      </c>
    </row>
    <row r="101" spans="1:11" ht="13" x14ac:dyDescent="0.3">
      <c r="A101" s="294"/>
      <c r="B101" s="295"/>
      <c r="C101" s="469"/>
      <c r="D101" s="294"/>
      <c r="E101" s="294"/>
      <c r="F101" s="294"/>
      <c r="G101" s="296">
        <v>-1693</v>
      </c>
      <c r="H101" s="297">
        <v>1</v>
      </c>
      <c r="I101" s="297">
        <v>5</v>
      </c>
      <c r="J101" s="468">
        <v>26</v>
      </c>
      <c r="K101" s="302" t="s">
        <v>944</v>
      </c>
    </row>
    <row r="102" spans="1:11" ht="13" x14ac:dyDescent="0.3">
      <c r="A102" s="294"/>
      <c r="B102" s="295"/>
      <c r="C102" s="469"/>
      <c r="D102" s="294"/>
      <c r="E102" s="294"/>
      <c r="F102" s="294"/>
      <c r="G102" s="296">
        <v>-97141</v>
      </c>
      <c r="H102" s="297">
        <v>1</v>
      </c>
      <c r="I102" s="297">
        <v>5</v>
      </c>
      <c r="J102" s="468">
        <v>39</v>
      </c>
      <c r="K102" s="302" t="s">
        <v>944</v>
      </c>
    </row>
    <row r="103" spans="1:11" ht="13" x14ac:dyDescent="0.3">
      <c r="A103" s="294"/>
      <c r="B103" s="295"/>
      <c r="C103" s="469"/>
      <c r="D103" s="294"/>
      <c r="E103" s="294"/>
      <c r="F103" s="294"/>
      <c r="G103" s="296">
        <v>-692</v>
      </c>
      <c r="H103" s="297">
        <v>1</v>
      </c>
      <c r="I103" s="297">
        <v>5</v>
      </c>
      <c r="J103" s="468">
        <v>42</v>
      </c>
      <c r="K103" s="302" t="s">
        <v>944</v>
      </c>
    </row>
    <row r="104" spans="1:11" ht="13" x14ac:dyDescent="0.3">
      <c r="A104" s="294"/>
      <c r="B104" s="295"/>
      <c r="C104" s="469"/>
      <c r="D104" s="294"/>
      <c r="E104" s="294"/>
      <c r="F104" s="294"/>
      <c r="G104" s="296">
        <v>-15</v>
      </c>
      <c r="H104" s="297">
        <v>1</v>
      </c>
      <c r="I104" s="297">
        <v>5</v>
      </c>
      <c r="J104" s="468">
        <v>44</v>
      </c>
      <c r="K104" s="302" t="s">
        <v>944</v>
      </c>
    </row>
    <row r="105" spans="1:11" ht="13" x14ac:dyDescent="0.3">
      <c r="A105" s="294"/>
      <c r="B105" s="295"/>
      <c r="C105" s="469"/>
      <c r="D105" s="294"/>
      <c r="E105" s="294"/>
      <c r="F105" s="294"/>
      <c r="G105" s="296">
        <v>-26656</v>
      </c>
      <c r="H105" s="297">
        <v>1</v>
      </c>
      <c r="I105" s="297">
        <v>5</v>
      </c>
      <c r="J105" s="468">
        <v>48</v>
      </c>
      <c r="K105" s="302" t="s">
        <v>944</v>
      </c>
    </row>
    <row r="106" spans="1:11" ht="13" x14ac:dyDescent="0.3">
      <c r="A106" s="294"/>
      <c r="B106" s="295"/>
      <c r="C106" s="469"/>
      <c r="D106" s="294"/>
      <c r="E106" s="294"/>
      <c r="F106" s="294"/>
      <c r="G106" s="296">
        <v>369084</v>
      </c>
      <c r="H106" s="297">
        <v>1</v>
      </c>
      <c r="I106" s="297">
        <v>3</v>
      </c>
      <c r="J106" s="468">
        <v>2</v>
      </c>
      <c r="K106" s="302" t="s">
        <v>944</v>
      </c>
    </row>
    <row r="107" spans="1:11" ht="13" x14ac:dyDescent="0.3">
      <c r="A107" s="294"/>
      <c r="B107" s="295"/>
      <c r="C107" s="469"/>
      <c r="D107" s="294"/>
      <c r="E107" s="294"/>
      <c r="F107" s="294"/>
      <c r="G107" s="296">
        <v>191446</v>
      </c>
      <c r="H107" s="297">
        <v>1</v>
      </c>
      <c r="I107" s="297">
        <v>3</v>
      </c>
      <c r="J107" s="468">
        <v>3</v>
      </c>
      <c r="K107" s="302" t="s">
        <v>944</v>
      </c>
    </row>
    <row r="108" spans="1:11" ht="13" x14ac:dyDescent="0.3">
      <c r="A108" s="294"/>
      <c r="B108" s="295"/>
      <c r="C108" s="469"/>
      <c r="D108" s="294"/>
      <c r="E108" s="294"/>
      <c r="F108" s="294"/>
      <c r="G108" s="296">
        <v>151922</v>
      </c>
      <c r="H108" s="297">
        <v>1</v>
      </c>
      <c r="I108" s="297">
        <v>3</v>
      </c>
      <c r="J108" s="468">
        <v>11</v>
      </c>
      <c r="K108" s="302" t="s">
        <v>944</v>
      </c>
    </row>
    <row r="109" spans="1:11" ht="13" x14ac:dyDescent="0.3">
      <c r="A109" s="294"/>
      <c r="B109" s="295"/>
      <c r="C109" s="469"/>
      <c r="D109" s="294"/>
      <c r="E109" s="294"/>
      <c r="F109" s="294"/>
      <c r="G109" s="296">
        <v>224</v>
      </c>
      <c r="H109" s="297">
        <v>1</v>
      </c>
      <c r="I109" s="297">
        <v>3</v>
      </c>
      <c r="J109" s="468">
        <v>12</v>
      </c>
      <c r="K109" s="302" t="s">
        <v>944</v>
      </c>
    </row>
    <row r="110" spans="1:11" ht="13" x14ac:dyDescent="0.3">
      <c r="A110" s="294"/>
      <c r="B110" s="295"/>
      <c r="C110" s="469"/>
      <c r="D110" s="294"/>
      <c r="E110" s="294"/>
      <c r="F110" s="294"/>
      <c r="G110" s="296">
        <v>62905</v>
      </c>
      <c r="H110" s="297">
        <v>1</v>
      </c>
      <c r="I110" s="297">
        <v>3</v>
      </c>
      <c r="J110" s="468">
        <v>15</v>
      </c>
      <c r="K110" s="302" t="s">
        <v>944</v>
      </c>
    </row>
    <row r="111" spans="1:11" ht="13" x14ac:dyDescent="0.3">
      <c r="A111" s="294"/>
      <c r="B111" s="295"/>
      <c r="C111" s="469"/>
      <c r="D111" s="294"/>
      <c r="E111" s="294"/>
      <c r="F111" s="294"/>
      <c r="G111" s="296">
        <v>284</v>
      </c>
      <c r="H111" s="297">
        <v>1</v>
      </c>
      <c r="I111" s="297">
        <v>3</v>
      </c>
      <c r="J111" s="468">
        <v>22</v>
      </c>
      <c r="K111" s="302" t="s">
        <v>944</v>
      </c>
    </row>
    <row r="112" spans="1:11" ht="13" x14ac:dyDescent="0.3">
      <c r="A112" s="294"/>
      <c r="B112" s="295"/>
      <c r="C112" s="469"/>
      <c r="D112" s="294"/>
      <c r="E112" s="294"/>
      <c r="F112" s="294"/>
      <c r="G112" s="296">
        <v>1693</v>
      </c>
      <c r="H112" s="297">
        <v>1</v>
      </c>
      <c r="I112" s="297">
        <v>3</v>
      </c>
      <c r="J112" s="468">
        <v>26</v>
      </c>
      <c r="K112" s="302" t="s">
        <v>944</v>
      </c>
    </row>
    <row r="113" spans="1:11" ht="13" x14ac:dyDescent="0.3">
      <c r="A113" s="294"/>
      <c r="B113" s="295"/>
      <c r="C113" s="469"/>
      <c r="D113" s="294"/>
      <c r="E113" s="294"/>
      <c r="F113" s="294"/>
      <c r="G113" s="296">
        <v>97141</v>
      </c>
      <c r="H113" s="297">
        <v>1</v>
      </c>
      <c r="I113" s="297">
        <v>3</v>
      </c>
      <c r="J113" s="468">
        <v>39</v>
      </c>
      <c r="K113" s="302" t="s">
        <v>944</v>
      </c>
    </row>
    <row r="114" spans="1:11" ht="13" x14ac:dyDescent="0.3">
      <c r="A114" s="294"/>
      <c r="B114" s="295"/>
      <c r="C114" s="469"/>
      <c r="D114" s="294"/>
      <c r="E114" s="294"/>
      <c r="F114" s="294"/>
      <c r="G114" s="296">
        <v>692</v>
      </c>
      <c r="H114" s="297">
        <v>1</v>
      </c>
      <c r="I114" s="297">
        <v>3</v>
      </c>
      <c r="J114" s="468">
        <v>42</v>
      </c>
      <c r="K114" s="302" t="s">
        <v>944</v>
      </c>
    </row>
    <row r="115" spans="1:11" ht="13" x14ac:dyDescent="0.3">
      <c r="A115" s="294"/>
      <c r="B115" s="295"/>
      <c r="C115" s="469"/>
      <c r="D115" s="294"/>
      <c r="E115" s="294"/>
      <c r="F115" s="294"/>
      <c r="G115" s="296">
        <v>15</v>
      </c>
      <c r="H115" s="297">
        <v>1</v>
      </c>
      <c r="I115" s="297">
        <v>3</v>
      </c>
      <c r="J115" s="468">
        <v>44</v>
      </c>
      <c r="K115" s="302" t="s">
        <v>944</v>
      </c>
    </row>
    <row r="116" spans="1:11" ht="13" x14ac:dyDescent="0.3">
      <c r="A116" s="294"/>
      <c r="B116" s="295"/>
      <c r="C116" s="469"/>
      <c r="D116" s="294"/>
      <c r="E116" s="294"/>
      <c r="F116" s="294"/>
      <c r="G116" s="296">
        <v>26656</v>
      </c>
      <c r="H116" s="297">
        <v>1</v>
      </c>
      <c r="I116" s="297">
        <v>3</v>
      </c>
      <c r="J116" s="468">
        <v>48</v>
      </c>
      <c r="K116" s="302" t="s">
        <v>944</v>
      </c>
    </row>
    <row r="117" spans="1:11" ht="13" x14ac:dyDescent="0.3">
      <c r="A117" s="294"/>
      <c r="B117" s="295"/>
      <c r="C117" s="469"/>
      <c r="D117" s="294"/>
      <c r="E117" s="294"/>
      <c r="F117" s="294"/>
      <c r="G117" s="296"/>
      <c r="H117" s="297"/>
      <c r="I117" s="297"/>
      <c r="J117" s="468"/>
      <c r="K117" s="302"/>
    </row>
    <row r="118" spans="1:11" ht="13" x14ac:dyDescent="0.3">
      <c r="A118" s="294"/>
      <c r="B118" s="295">
        <v>9</v>
      </c>
      <c r="C118" s="469" t="s">
        <v>949</v>
      </c>
      <c r="D118" s="294"/>
      <c r="E118" s="294"/>
      <c r="F118" s="294"/>
      <c r="G118" s="296">
        <v>-10400</v>
      </c>
      <c r="H118" s="297">
        <v>1</v>
      </c>
      <c r="I118" s="297">
        <v>2</v>
      </c>
      <c r="J118" s="468">
        <v>2</v>
      </c>
      <c r="K118" s="302" t="s">
        <v>944</v>
      </c>
    </row>
    <row r="119" spans="1:11" ht="13" x14ac:dyDescent="0.3">
      <c r="A119" s="294"/>
      <c r="B119" s="295"/>
      <c r="C119" s="469"/>
      <c r="D119" s="294"/>
      <c r="E119" s="294"/>
      <c r="F119" s="294"/>
      <c r="G119" s="296">
        <v>-7800</v>
      </c>
      <c r="H119" s="297">
        <v>1</v>
      </c>
      <c r="I119" s="297">
        <v>2</v>
      </c>
      <c r="J119" s="468">
        <v>3</v>
      </c>
      <c r="K119" s="302" t="s">
        <v>944</v>
      </c>
    </row>
    <row r="120" spans="1:11" ht="13" x14ac:dyDescent="0.3">
      <c r="A120" s="294"/>
      <c r="B120" s="295"/>
      <c r="C120" s="469"/>
      <c r="D120" s="294"/>
      <c r="E120" s="294"/>
      <c r="F120" s="294"/>
      <c r="G120" s="296">
        <v>-291</v>
      </c>
      <c r="H120" s="297">
        <v>1</v>
      </c>
      <c r="I120" s="297">
        <v>2</v>
      </c>
      <c r="J120" s="468">
        <v>22</v>
      </c>
      <c r="K120" s="302" t="s">
        <v>944</v>
      </c>
    </row>
    <row r="121" spans="1:11" ht="13" x14ac:dyDescent="0.3">
      <c r="A121" s="294"/>
      <c r="B121" s="295"/>
      <c r="C121" s="469"/>
      <c r="D121" s="294"/>
      <c r="E121" s="294"/>
      <c r="F121" s="294"/>
      <c r="G121" s="296">
        <v>10400</v>
      </c>
      <c r="H121" s="297">
        <v>1</v>
      </c>
      <c r="I121" s="297">
        <v>5</v>
      </c>
      <c r="J121" s="468">
        <v>2</v>
      </c>
      <c r="K121" s="302" t="s">
        <v>944</v>
      </c>
    </row>
    <row r="122" spans="1:11" ht="13" x14ac:dyDescent="0.3">
      <c r="A122" s="294"/>
      <c r="B122" s="295"/>
      <c r="C122" s="469"/>
      <c r="D122" s="294"/>
      <c r="E122" s="294"/>
      <c r="F122" s="294"/>
      <c r="G122" s="296">
        <v>7800</v>
      </c>
      <c r="H122" s="297">
        <v>1</v>
      </c>
      <c r="I122" s="297">
        <v>5</v>
      </c>
      <c r="J122" s="468">
        <v>3</v>
      </c>
      <c r="K122" s="302" t="s">
        <v>944</v>
      </c>
    </row>
    <row r="123" spans="1:11" ht="13" x14ac:dyDescent="0.3">
      <c r="A123" s="294"/>
      <c r="B123" s="295"/>
      <c r="C123" s="469"/>
      <c r="D123" s="294"/>
      <c r="E123" s="294"/>
      <c r="F123" s="294"/>
      <c r="G123" s="296">
        <v>291</v>
      </c>
      <c r="H123" s="297">
        <v>1</v>
      </c>
      <c r="I123" s="297">
        <v>5</v>
      </c>
      <c r="J123" s="468">
        <v>22</v>
      </c>
      <c r="K123" s="302" t="s">
        <v>944</v>
      </c>
    </row>
    <row r="124" spans="1:11" ht="13" x14ac:dyDescent="0.3">
      <c r="A124" s="294"/>
      <c r="B124" s="295"/>
      <c r="C124" s="469"/>
      <c r="D124" s="294"/>
      <c r="E124" s="294"/>
      <c r="F124" s="294"/>
      <c r="G124" s="296"/>
      <c r="H124" s="297"/>
      <c r="I124" s="297"/>
      <c r="J124" s="468"/>
      <c r="K124" s="302"/>
    </row>
    <row r="125" spans="1:11" ht="13" x14ac:dyDescent="0.3">
      <c r="A125" s="294"/>
      <c r="B125" s="295">
        <v>10</v>
      </c>
      <c r="C125" s="469" t="s">
        <v>950</v>
      </c>
      <c r="D125" s="294"/>
      <c r="E125" s="294"/>
      <c r="F125" s="294"/>
      <c r="G125" s="296">
        <v>-74067</v>
      </c>
      <c r="H125" s="297">
        <v>1</v>
      </c>
      <c r="I125" s="297">
        <v>3</v>
      </c>
      <c r="J125" s="468">
        <v>2</v>
      </c>
      <c r="K125" s="302" t="s">
        <v>944</v>
      </c>
    </row>
    <row r="126" spans="1:11" ht="13" x14ac:dyDescent="0.3">
      <c r="A126" s="294"/>
      <c r="B126" s="295"/>
      <c r="C126" s="469"/>
      <c r="D126" s="294"/>
      <c r="E126" s="294"/>
      <c r="F126" s="294"/>
      <c r="G126" s="296">
        <v>-31673</v>
      </c>
      <c r="H126" s="297">
        <v>1</v>
      </c>
      <c r="I126" s="297">
        <v>3</v>
      </c>
      <c r="J126" s="468">
        <v>3</v>
      </c>
      <c r="K126" s="302" t="s">
        <v>944</v>
      </c>
    </row>
    <row r="127" spans="1:11" ht="13" x14ac:dyDescent="0.3">
      <c r="A127" s="294"/>
      <c r="B127" s="295"/>
      <c r="C127" s="469"/>
      <c r="D127" s="294"/>
      <c r="E127" s="294"/>
      <c r="F127" s="294"/>
      <c r="G127" s="296">
        <v>-1530</v>
      </c>
      <c r="H127" s="297">
        <v>1</v>
      </c>
      <c r="I127" s="297">
        <v>3</v>
      </c>
      <c r="J127" s="468">
        <v>6</v>
      </c>
      <c r="K127" s="302" t="s">
        <v>944</v>
      </c>
    </row>
    <row r="128" spans="1:11" ht="13" x14ac:dyDescent="0.3">
      <c r="A128" s="294"/>
      <c r="B128" s="295"/>
      <c r="C128" s="469"/>
      <c r="D128" s="294"/>
      <c r="E128" s="294"/>
      <c r="F128" s="294"/>
      <c r="G128" s="296">
        <v>-30133</v>
      </c>
      <c r="H128" s="297">
        <v>1</v>
      </c>
      <c r="I128" s="297">
        <v>3</v>
      </c>
      <c r="J128" s="468">
        <v>11</v>
      </c>
      <c r="K128" s="302" t="s">
        <v>944</v>
      </c>
    </row>
    <row r="129" spans="1:11" ht="13" x14ac:dyDescent="0.3">
      <c r="A129" s="294"/>
      <c r="B129" s="295"/>
      <c r="C129" s="469"/>
      <c r="D129" s="294"/>
      <c r="E129" s="294"/>
      <c r="F129" s="294"/>
      <c r="G129" s="296">
        <v>-228</v>
      </c>
      <c r="H129" s="297">
        <v>1</v>
      </c>
      <c r="I129" s="297">
        <v>3</v>
      </c>
      <c r="J129" s="468">
        <v>12</v>
      </c>
      <c r="K129" s="302" t="s">
        <v>944</v>
      </c>
    </row>
    <row r="130" spans="1:11" ht="13" x14ac:dyDescent="0.3">
      <c r="A130" s="294"/>
      <c r="B130" s="295"/>
      <c r="C130" s="469"/>
      <c r="D130" s="294"/>
      <c r="E130" s="294"/>
      <c r="F130" s="294"/>
      <c r="G130" s="296">
        <v>-208</v>
      </c>
      <c r="H130" s="297">
        <v>1</v>
      </c>
      <c r="I130" s="297">
        <v>3</v>
      </c>
      <c r="J130" s="468">
        <v>22</v>
      </c>
      <c r="K130" s="302" t="s">
        <v>944</v>
      </c>
    </row>
    <row r="131" spans="1:11" ht="13" x14ac:dyDescent="0.3">
      <c r="A131" s="294"/>
      <c r="B131" s="295"/>
      <c r="C131" s="469"/>
      <c r="D131" s="294"/>
      <c r="E131" s="294"/>
      <c r="F131" s="294"/>
      <c r="G131" s="296">
        <v>-3</v>
      </c>
      <c r="H131" s="297">
        <v>1</v>
      </c>
      <c r="I131" s="297">
        <v>3</v>
      </c>
      <c r="J131" s="468">
        <v>26</v>
      </c>
      <c r="K131" s="302" t="s">
        <v>944</v>
      </c>
    </row>
    <row r="132" spans="1:11" ht="13" x14ac:dyDescent="0.3">
      <c r="A132" s="294"/>
      <c r="B132" s="295"/>
      <c r="C132" s="469"/>
      <c r="D132" s="294"/>
      <c r="E132" s="294"/>
      <c r="F132" s="294"/>
      <c r="G132" s="296">
        <v>-74976</v>
      </c>
      <c r="H132" s="297">
        <v>1</v>
      </c>
      <c r="I132" s="297">
        <v>3</v>
      </c>
      <c r="J132" s="468">
        <v>39</v>
      </c>
      <c r="K132" s="302" t="s">
        <v>944</v>
      </c>
    </row>
    <row r="133" spans="1:11" ht="13" x14ac:dyDescent="0.3">
      <c r="A133" s="294"/>
      <c r="B133" s="295"/>
      <c r="C133" s="469"/>
      <c r="D133" s="294"/>
      <c r="E133" s="294"/>
      <c r="F133" s="294"/>
      <c r="G133" s="296">
        <v>-142</v>
      </c>
      <c r="H133" s="297">
        <v>1</v>
      </c>
      <c r="I133" s="297">
        <v>3</v>
      </c>
      <c r="J133" s="468">
        <v>42</v>
      </c>
      <c r="K133" s="302" t="s">
        <v>944</v>
      </c>
    </row>
    <row r="134" spans="1:11" ht="13" x14ac:dyDescent="0.3">
      <c r="A134" s="294"/>
      <c r="B134" s="295"/>
      <c r="C134" s="469"/>
      <c r="D134" s="294"/>
      <c r="E134" s="294"/>
      <c r="F134" s="294"/>
      <c r="G134" s="296">
        <v>-943</v>
      </c>
      <c r="H134" s="297">
        <v>1</v>
      </c>
      <c r="I134" s="297">
        <v>3</v>
      </c>
      <c r="J134" s="468">
        <v>44</v>
      </c>
      <c r="K134" s="302" t="s">
        <v>944</v>
      </c>
    </row>
    <row r="135" spans="1:11" ht="13" x14ac:dyDescent="0.3">
      <c r="A135" s="294"/>
      <c r="B135" s="295"/>
      <c r="C135" s="469"/>
      <c r="D135" s="294"/>
      <c r="E135" s="294"/>
      <c r="F135" s="294"/>
      <c r="G135" s="296">
        <v>-2620</v>
      </c>
      <c r="H135" s="297">
        <v>1</v>
      </c>
      <c r="I135" s="297">
        <v>3</v>
      </c>
      <c r="J135" s="468">
        <v>48</v>
      </c>
      <c r="K135" s="302" t="s">
        <v>944</v>
      </c>
    </row>
    <row r="136" spans="1:11" ht="13" x14ac:dyDescent="0.3">
      <c r="A136" s="294"/>
      <c r="B136" s="295"/>
      <c r="C136" s="469"/>
      <c r="D136" s="294"/>
      <c r="E136" s="294"/>
      <c r="F136" s="294"/>
      <c r="G136" s="296">
        <v>74067</v>
      </c>
      <c r="H136" s="297">
        <v>1</v>
      </c>
      <c r="I136" s="297">
        <v>5</v>
      </c>
      <c r="J136" s="468">
        <v>2</v>
      </c>
      <c r="K136" s="302" t="s">
        <v>944</v>
      </c>
    </row>
    <row r="137" spans="1:11" ht="13" x14ac:dyDescent="0.3">
      <c r="A137" s="294"/>
      <c r="B137" s="295"/>
      <c r="C137" s="469"/>
      <c r="D137" s="294"/>
      <c r="E137" s="294"/>
      <c r="F137" s="294"/>
      <c r="G137" s="296">
        <v>31673</v>
      </c>
      <c r="H137" s="297">
        <v>1</v>
      </c>
      <c r="I137" s="297">
        <v>5</v>
      </c>
      <c r="J137" s="468">
        <v>3</v>
      </c>
      <c r="K137" s="302" t="s">
        <v>944</v>
      </c>
    </row>
    <row r="138" spans="1:11" ht="13" x14ac:dyDescent="0.3">
      <c r="A138" s="294"/>
      <c r="B138" s="295"/>
      <c r="C138" s="469"/>
      <c r="D138" s="294"/>
      <c r="E138" s="294"/>
      <c r="F138" s="294"/>
      <c r="G138" s="296">
        <v>1530</v>
      </c>
      <c r="H138" s="297">
        <v>1</v>
      </c>
      <c r="I138" s="297">
        <v>5</v>
      </c>
      <c r="J138" s="468">
        <v>6</v>
      </c>
      <c r="K138" s="302" t="s">
        <v>944</v>
      </c>
    </row>
    <row r="139" spans="1:11" ht="13" x14ac:dyDescent="0.3">
      <c r="A139" s="294"/>
      <c r="B139" s="295"/>
      <c r="C139" s="469"/>
      <c r="D139" s="294"/>
      <c r="E139" s="294"/>
      <c r="F139" s="294"/>
      <c r="G139" s="296">
        <v>30133</v>
      </c>
      <c r="H139" s="297">
        <v>1</v>
      </c>
      <c r="I139" s="297">
        <v>5</v>
      </c>
      <c r="J139" s="468">
        <v>11</v>
      </c>
      <c r="K139" s="302" t="s">
        <v>944</v>
      </c>
    </row>
    <row r="140" spans="1:11" ht="13" x14ac:dyDescent="0.3">
      <c r="A140" s="294"/>
      <c r="B140" s="295"/>
      <c r="C140" s="469"/>
      <c r="D140" s="294"/>
      <c r="E140" s="294"/>
      <c r="F140" s="294"/>
      <c r="G140" s="296">
        <v>228</v>
      </c>
      <c r="H140" s="297">
        <v>1</v>
      </c>
      <c r="I140" s="297">
        <v>5</v>
      </c>
      <c r="J140" s="468">
        <v>12</v>
      </c>
      <c r="K140" s="302" t="s">
        <v>944</v>
      </c>
    </row>
    <row r="141" spans="1:11" ht="13" x14ac:dyDescent="0.3">
      <c r="A141" s="294"/>
      <c r="B141" s="295"/>
      <c r="C141" s="469"/>
      <c r="D141" s="294"/>
      <c r="E141" s="294"/>
      <c r="F141" s="294"/>
      <c r="G141" s="296">
        <v>208</v>
      </c>
      <c r="H141" s="297">
        <v>1</v>
      </c>
      <c r="I141" s="297">
        <v>5</v>
      </c>
      <c r="J141" s="468">
        <v>22</v>
      </c>
      <c r="K141" s="302" t="s">
        <v>944</v>
      </c>
    </row>
    <row r="142" spans="1:11" ht="13" x14ac:dyDescent="0.3">
      <c r="A142" s="294"/>
      <c r="B142" s="295"/>
      <c r="C142" s="469"/>
      <c r="D142" s="294"/>
      <c r="E142" s="294"/>
      <c r="F142" s="294"/>
      <c r="G142" s="296">
        <v>3</v>
      </c>
      <c r="H142" s="297">
        <v>1</v>
      </c>
      <c r="I142" s="297">
        <v>5</v>
      </c>
      <c r="J142" s="468">
        <v>26</v>
      </c>
      <c r="K142" s="302" t="s">
        <v>944</v>
      </c>
    </row>
    <row r="143" spans="1:11" ht="13" x14ac:dyDescent="0.3">
      <c r="A143" s="294"/>
      <c r="B143" s="295"/>
      <c r="C143" s="469"/>
      <c r="D143" s="294"/>
      <c r="E143" s="294"/>
      <c r="F143" s="294"/>
      <c r="G143" s="296">
        <v>74976</v>
      </c>
      <c r="H143" s="297">
        <v>1</v>
      </c>
      <c r="I143" s="297">
        <v>5</v>
      </c>
      <c r="J143" s="468">
        <v>39</v>
      </c>
      <c r="K143" s="302" t="s">
        <v>944</v>
      </c>
    </row>
    <row r="144" spans="1:11" ht="13" x14ac:dyDescent="0.3">
      <c r="A144" s="294"/>
      <c r="B144" s="295"/>
      <c r="C144" s="469"/>
      <c r="D144" s="294"/>
      <c r="E144" s="294"/>
      <c r="F144" s="294"/>
      <c r="G144" s="296">
        <v>142</v>
      </c>
      <c r="H144" s="297">
        <v>1</v>
      </c>
      <c r="I144" s="297">
        <v>5</v>
      </c>
      <c r="J144" s="468">
        <v>42</v>
      </c>
      <c r="K144" s="302" t="s">
        <v>944</v>
      </c>
    </row>
    <row r="145" spans="1:11" ht="13" x14ac:dyDescent="0.3">
      <c r="A145" s="294"/>
      <c r="B145" s="295"/>
      <c r="C145" s="469"/>
      <c r="D145" s="294"/>
      <c r="E145" s="294"/>
      <c r="F145" s="294"/>
      <c r="G145" s="296">
        <v>943</v>
      </c>
      <c r="H145" s="297">
        <v>1</v>
      </c>
      <c r="I145" s="297">
        <v>5</v>
      </c>
      <c r="J145" s="468">
        <v>44</v>
      </c>
      <c r="K145" s="302" t="s">
        <v>944</v>
      </c>
    </row>
    <row r="146" spans="1:11" ht="13" x14ac:dyDescent="0.3">
      <c r="A146" s="294"/>
      <c r="B146" s="295"/>
      <c r="C146" s="469"/>
      <c r="D146" s="294"/>
      <c r="E146" s="294"/>
      <c r="F146" s="294"/>
      <c r="G146" s="296">
        <v>2620</v>
      </c>
      <c r="H146" s="297">
        <v>1</v>
      </c>
      <c r="I146" s="297">
        <v>5</v>
      </c>
      <c r="J146" s="468">
        <v>48</v>
      </c>
      <c r="K146" s="302" t="s">
        <v>944</v>
      </c>
    </row>
    <row r="147" spans="1:11" ht="13" x14ac:dyDescent="0.3">
      <c r="A147" s="294"/>
      <c r="B147" s="295"/>
      <c r="C147" s="469"/>
      <c r="D147" s="294"/>
      <c r="E147" s="294"/>
      <c r="F147" s="294"/>
      <c r="G147" s="296"/>
      <c r="H147" s="297"/>
      <c r="I147" s="297"/>
      <c r="J147" s="468"/>
      <c r="K147" s="302"/>
    </row>
    <row r="148" spans="1:11" ht="13" x14ac:dyDescent="0.3">
      <c r="A148" s="294"/>
      <c r="B148" s="295">
        <v>11</v>
      </c>
      <c r="C148" s="469" t="s">
        <v>951</v>
      </c>
      <c r="D148" s="294"/>
      <c r="E148" s="294"/>
      <c r="F148" s="294"/>
      <c r="G148" s="296">
        <v>12934</v>
      </c>
      <c r="H148" s="297">
        <v>1</v>
      </c>
      <c r="I148" s="297">
        <v>2</v>
      </c>
      <c r="J148" s="468">
        <v>11</v>
      </c>
      <c r="K148" s="302" t="s">
        <v>952</v>
      </c>
    </row>
    <row r="149" spans="1:11" ht="13" x14ac:dyDescent="0.3">
      <c r="A149" s="294"/>
      <c r="B149" s="295"/>
      <c r="C149" s="469"/>
      <c r="D149" s="294"/>
      <c r="E149" s="294"/>
      <c r="F149" s="294"/>
      <c r="G149" s="296">
        <v>-12934</v>
      </c>
      <c r="H149" s="297">
        <v>1</v>
      </c>
      <c r="I149" s="297">
        <v>2</v>
      </c>
      <c r="J149" s="468">
        <v>6</v>
      </c>
      <c r="K149" s="302" t="s">
        <v>952</v>
      </c>
    </row>
    <row r="150" spans="1:11" ht="13" x14ac:dyDescent="0.3">
      <c r="A150" s="294"/>
      <c r="B150" s="295"/>
      <c r="C150" s="469"/>
      <c r="D150" s="294"/>
      <c r="E150" s="294"/>
      <c r="F150" s="294"/>
      <c r="G150" s="296">
        <v>-600850</v>
      </c>
      <c r="H150" s="297">
        <v>1</v>
      </c>
      <c r="I150" s="297">
        <v>3</v>
      </c>
      <c r="J150" s="468">
        <v>11</v>
      </c>
      <c r="K150" s="302" t="s">
        <v>952</v>
      </c>
    </row>
    <row r="151" spans="1:11" ht="13" x14ac:dyDescent="0.3">
      <c r="A151" s="294"/>
      <c r="B151" s="295"/>
      <c r="C151" s="469"/>
      <c r="D151" s="294"/>
      <c r="E151" s="294"/>
      <c r="F151" s="294"/>
      <c r="G151" s="296">
        <v>41116</v>
      </c>
      <c r="H151" s="297">
        <v>1</v>
      </c>
      <c r="I151" s="297">
        <v>3</v>
      </c>
      <c r="J151" s="468">
        <v>1</v>
      </c>
      <c r="K151" s="302" t="s">
        <v>952</v>
      </c>
    </row>
    <row r="152" spans="1:11" ht="13" x14ac:dyDescent="0.3">
      <c r="A152" s="294"/>
      <c r="B152" s="295"/>
      <c r="C152" s="469"/>
      <c r="D152" s="294"/>
      <c r="E152" s="294"/>
      <c r="F152" s="294"/>
      <c r="G152" s="296">
        <v>446057</v>
      </c>
      <c r="H152" s="297">
        <v>1</v>
      </c>
      <c r="I152" s="297">
        <v>3</v>
      </c>
      <c r="J152" s="468">
        <v>2</v>
      </c>
      <c r="K152" s="302" t="s">
        <v>952</v>
      </c>
    </row>
    <row r="153" spans="1:11" ht="13" x14ac:dyDescent="0.3">
      <c r="A153" s="294"/>
      <c r="B153" s="295"/>
      <c r="C153" s="469"/>
      <c r="D153" s="294"/>
      <c r="E153" s="294"/>
      <c r="F153" s="294"/>
      <c r="G153" s="296">
        <v>113677</v>
      </c>
      <c r="H153" s="297">
        <v>1</v>
      </c>
      <c r="I153" s="297">
        <v>3</v>
      </c>
      <c r="J153" s="468">
        <v>3</v>
      </c>
      <c r="K153" s="302" t="s">
        <v>952</v>
      </c>
    </row>
    <row r="154" spans="1:11" ht="13" x14ac:dyDescent="0.3">
      <c r="A154" s="294"/>
      <c r="B154" s="295"/>
      <c r="C154" s="469"/>
      <c r="D154" s="294"/>
      <c r="E154" s="294"/>
      <c r="F154" s="294"/>
      <c r="G154" s="296">
        <v>-145835</v>
      </c>
      <c r="H154" s="297">
        <v>1</v>
      </c>
      <c r="I154" s="297">
        <v>4</v>
      </c>
      <c r="J154" s="468">
        <v>11</v>
      </c>
      <c r="K154" s="302" t="s">
        <v>952</v>
      </c>
    </row>
    <row r="155" spans="1:11" ht="13" x14ac:dyDescent="0.3">
      <c r="A155" s="294"/>
      <c r="B155" s="295"/>
      <c r="C155" s="469"/>
      <c r="D155" s="294"/>
      <c r="E155" s="294"/>
      <c r="F155" s="294"/>
      <c r="G155" s="296">
        <v>6241</v>
      </c>
      <c r="H155" s="297">
        <v>1</v>
      </c>
      <c r="I155" s="297">
        <v>4</v>
      </c>
      <c r="J155" s="468">
        <v>1</v>
      </c>
      <c r="K155" s="302" t="s">
        <v>952</v>
      </c>
    </row>
    <row r="156" spans="1:11" ht="13" x14ac:dyDescent="0.3">
      <c r="A156" s="294"/>
      <c r="B156" s="295"/>
      <c r="C156" s="469"/>
      <c r="D156" s="294"/>
      <c r="E156" s="294"/>
      <c r="F156" s="294"/>
      <c r="G156" s="296">
        <v>128500</v>
      </c>
      <c r="H156" s="297">
        <v>1</v>
      </c>
      <c r="I156" s="297">
        <v>4</v>
      </c>
      <c r="J156" s="468">
        <v>2</v>
      </c>
      <c r="K156" s="302" t="s">
        <v>952</v>
      </c>
    </row>
    <row r="157" spans="1:11" ht="13" x14ac:dyDescent="0.3">
      <c r="A157" s="294"/>
      <c r="B157" s="295"/>
      <c r="C157" s="469"/>
      <c r="D157" s="294"/>
      <c r="E157" s="294"/>
      <c r="F157" s="294"/>
      <c r="G157" s="296">
        <v>11095</v>
      </c>
      <c r="H157" s="297">
        <v>1</v>
      </c>
      <c r="I157" s="297">
        <v>4</v>
      </c>
      <c r="J157" s="468">
        <v>3</v>
      </c>
      <c r="K157" s="302" t="s">
        <v>952</v>
      </c>
    </row>
    <row r="158" spans="1:11" ht="13" x14ac:dyDescent="0.3">
      <c r="A158" s="294"/>
      <c r="B158" s="295"/>
      <c r="C158" s="469"/>
      <c r="D158" s="294"/>
      <c r="E158" s="294"/>
      <c r="F158" s="294"/>
      <c r="G158" s="296">
        <v>-37830</v>
      </c>
      <c r="H158" s="297">
        <v>1</v>
      </c>
      <c r="I158" s="297">
        <v>5</v>
      </c>
      <c r="J158" s="468">
        <v>11</v>
      </c>
      <c r="K158" s="302" t="s">
        <v>952</v>
      </c>
    </row>
    <row r="159" spans="1:11" ht="13" x14ac:dyDescent="0.3">
      <c r="A159" s="294"/>
      <c r="B159" s="295"/>
      <c r="C159" s="469"/>
      <c r="D159" s="294"/>
      <c r="E159" s="294"/>
      <c r="F159" s="294"/>
      <c r="G159" s="296">
        <v>206</v>
      </c>
      <c r="H159" s="297">
        <v>1</v>
      </c>
      <c r="I159" s="297">
        <v>5</v>
      </c>
      <c r="J159" s="468">
        <v>1</v>
      </c>
      <c r="K159" s="302" t="s">
        <v>952</v>
      </c>
    </row>
    <row r="160" spans="1:11" ht="13" x14ac:dyDescent="0.3">
      <c r="A160" s="294"/>
      <c r="B160" s="295"/>
      <c r="C160" s="469"/>
      <c r="D160" s="294"/>
      <c r="E160" s="294"/>
      <c r="F160" s="294"/>
      <c r="G160" s="296">
        <v>27802</v>
      </c>
      <c r="H160" s="297">
        <v>1</v>
      </c>
      <c r="I160" s="297">
        <v>5</v>
      </c>
      <c r="J160" s="468">
        <v>2</v>
      </c>
      <c r="K160" s="302" t="s">
        <v>952</v>
      </c>
    </row>
    <row r="161" spans="1:11" ht="13" x14ac:dyDescent="0.3">
      <c r="A161" s="294"/>
      <c r="B161" s="295"/>
      <c r="C161" s="469"/>
      <c r="D161" s="294"/>
      <c r="E161" s="294"/>
      <c r="F161" s="294"/>
      <c r="G161" s="296">
        <v>9822</v>
      </c>
      <c r="H161" s="297">
        <v>1</v>
      </c>
      <c r="I161" s="297">
        <v>5</v>
      </c>
      <c r="J161" s="468">
        <v>3</v>
      </c>
      <c r="K161" s="302" t="s">
        <v>952</v>
      </c>
    </row>
    <row r="162" spans="1:11" ht="13" x14ac:dyDescent="0.3">
      <c r="A162" s="294"/>
      <c r="B162" s="295"/>
      <c r="C162" s="469"/>
      <c r="D162" s="294"/>
      <c r="E162" s="294"/>
      <c r="F162" s="294"/>
      <c r="G162" s="296"/>
      <c r="H162" s="297"/>
      <c r="I162" s="297"/>
      <c r="J162" s="468"/>
      <c r="K162" s="302"/>
    </row>
    <row r="163" spans="1:11" ht="13" x14ac:dyDescent="0.3">
      <c r="A163" s="294"/>
      <c r="B163" s="295">
        <v>12</v>
      </c>
      <c r="C163" s="469" t="s">
        <v>953</v>
      </c>
      <c r="D163" s="294"/>
      <c r="E163" s="294"/>
      <c r="F163" s="294"/>
      <c r="G163" s="296">
        <v>-96290</v>
      </c>
      <c r="H163" s="297">
        <v>1</v>
      </c>
      <c r="I163" s="297">
        <v>2</v>
      </c>
      <c r="J163" s="468">
        <v>34</v>
      </c>
      <c r="K163" s="302" t="s">
        <v>952</v>
      </c>
    </row>
    <row r="164" spans="1:11" ht="13" x14ac:dyDescent="0.3">
      <c r="A164" s="294"/>
      <c r="B164" s="295"/>
      <c r="C164" s="469"/>
      <c r="D164" s="294"/>
      <c r="E164" s="294"/>
      <c r="F164" s="294"/>
      <c r="G164" s="296">
        <v>96290</v>
      </c>
      <c r="H164" s="297">
        <v>1</v>
      </c>
      <c r="I164" s="297">
        <v>2</v>
      </c>
      <c r="J164" s="468">
        <v>31</v>
      </c>
      <c r="K164" s="302" t="s">
        <v>952</v>
      </c>
    </row>
    <row r="165" spans="1:11" ht="13" x14ac:dyDescent="0.3">
      <c r="A165" s="294"/>
      <c r="B165" s="295"/>
      <c r="C165" s="469"/>
      <c r="D165" s="294"/>
      <c r="E165" s="294"/>
      <c r="F165" s="294"/>
      <c r="G165" s="296">
        <v>-7887</v>
      </c>
      <c r="H165" s="297">
        <v>1</v>
      </c>
      <c r="I165" s="297">
        <v>3</v>
      </c>
      <c r="J165" s="468">
        <v>34</v>
      </c>
      <c r="K165" s="302" t="s">
        <v>952</v>
      </c>
    </row>
    <row r="166" spans="1:11" ht="13" x14ac:dyDescent="0.3">
      <c r="A166" s="294"/>
      <c r="B166" s="295"/>
      <c r="C166" s="469"/>
      <c r="D166" s="294"/>
      <c r="E166" s="294"/>
      <c r="F166" s="294"/>
      <c r="G166" s="296">
        <v>7887</v>
      </c>
      <c r="H166" s="297">
        <v>1</v>
      </c>
      <c r="I166" s="297">
        <v>3</v>
      </c>
      <c r="J166" s="468">
        <v>31</v>
      </c>
      <c r="K166" s="302" t="s">
        <v>952</v>
      </c>
    </row>
    <row r="167" spans="1:11" ht="13" x14ac:dyDescent="0.3">
      <c r="A167" s="294"/>
      <c r="B167" s="295"/>
      <c r="C167" s="469"/>
      <c r="D167" s="294"/>
      <c r="E167" s="294"/>
      <c r="F167" s="294"/>
      <c r="G167" s="296">
        <v>-3010</v>
      </c>
      <c r="H167" s="297">
        <v>1</v>
      </c>
      <c r="I167" s="297">
        <v>4</v>
      </c>
      <c r="J167" s="468">
        <v>34</v>
      </c>
      <c r="K167" s="302" t="s">
        <v>952</v>
      </c>
    </row>
    <row r="168" spans="1:11" ht="13" x14ac:dyDescent="0.3">
      <c r="A168" s="294"/>
      <c r="B168" s="295"/>
      <c r="C168" s="469"/>
      <c r="D168" s="294"/>
      <c r="E168" s="294"/>
      <c r="F168" s="294"/>
      <c r="G168" s="296">
        <v>3010</v>
      </c>
      <c r="H168" s="297">
        <v>1</v>
      </c>
      <c r="I168" s="297">
        <v>4</v>
      </c>
      <c r="J168" s="468">
        <v>31</v>
      </c>
      <c r="K168" s="302" t="s">
        <v>952</v>
      </c>
    </row>
    <row r="169" spans="1:11" ht="13" x14ac:dyDescent="0.3">
      <c r="A169" s="294"/>
      <c r="B169" s="295"/>
      <c r="C169" s="469"/>
      <c r="D169" s="294"/>
      <c r="E169" s="294"/>
      <c r="F169" s="294"/>
      <c r="G169" s="296">
        <v>-2300</v>
      </c>
      <c r="H169" s="297">
        <v>1</v>
      </c>
      <c r="I169" s="297">
        <v>5</v>
      </c>
      <c r="J169" s="468">
        <v>34</v>
      </c>
      <c r="K169" s="302" t="s">
        <v>952</v>
      </c>
    </row>
    <row r="170" spans="1:11" ht="13" x14ac:dyDescent="0.3">
      <c r="A170" s="294"/>
      <c r="B170" s="295"/>
      <c r="C170" s="469"/>
      <c r="D170" s="294"/>
      <c r="E170" s="294"/>
      <c r="F170" s="294"/>
      <c r="G170" s="296">
        <v>2300</v>
      </c>
      <c r="H170" s="297">
        <v>1</v>
      </c>
      <c r="I170" s="297">
        <v>5</v>
      </c>
      <c r="J170" s="468">
        <v>31</v>
      </c>
      <c r="K170" s="302" t="s">
        <v>952</v>
      </c>
    </row>
    <row r="171" spans="1:11" ht="13" x14ac:dyDescent="0.3">
      <c r="A171" s="294"/>
      <c r="B171" s="295"/>
      <c r="C171" s="469"/>
      <c r="D171" s="294"/>
      <c r="E171" s="294"/>
      <c r="F171" s="294"/>
      <c r="G171" s="296"/>
      <c r="H171" s="297"/>
      <c r="I171" s="297"/>
      <c r="J171" s="468"/>
      <c r="K171" s="302"/>
    </row>
    <row r="172" spans="1:11" ht="13" x14ac:dyDescent="0.3">
      <c r="A172" s="294"/>
      <c r="B172" s="295">
        <v>13</v>
      </c>
      <c r="C172" s="469" t="s">
        <v>954</v>
      </c>
      <c r="D172" s="294"/>
      <c r="E172" s="294"/>
      <c r="F172" s="294"/>
      <c r="G172" s="296">
        <v>-10143</v>
      </c>
      <c r="H172" s="297">
        <v>1</v>
      </c>
      <c r="I172" s="297">
        <v>2</v>
      </c>
      <c r="J172" s="468">
        <v>39</v>
      </c>
      <c r="K172" s="302" t="s">
        <v>952</v>
      </c>
    </row>
    <row r="173" spans="1:11" ht="13" x14ac:dyDescent="0.3">
      <c r="A173" s="294"/>
      <c r="B173" s="295"/>
      <c r="C173" s="469"/>
      <c r="D173" s="294"/>
      <c r="E173" s="294"/>
      <c r="F173" s="294"/>
      <c r="G173" s="296">
        <v>10143</v>
      </c>
      <c r="H173" s="297">
        <v>1</v>
      </c>
      <c r="I173" s="297">
        <v>2</v>
      </c>
      <c r="J173" s="468">
        <v>36</v>
      </c>
      <c r="K173" s="302" t="s">
        <v>952</v>
      </c>
    </row>
    <row r="174" spans="1:11" ht="13" x14ac:dyDescent="0.3">
      <c r="A174" s="294"/>
      <c r="B174" s="295"/>
      <c r="C174" s="469"/>
      <c r="D174" s="294"/>
      <c r="E174" s="294"/>
      <c r="F174" s="294"/>
      <c r="G174" s="296">
        <v>-158856</v>
      </c>
      <c r="H174" s="297">
        <v>1</v>
      </c>
      <c r="I174" s="297">
        <v>3</v>
      </c>
      <c r="J174" s="468">
        <v>39</v>
      </c>
      <c r="K174" s="302" t="s">
        <v>952</v>
      </c>
    </row>
    <row r="175" spans="1:11" ht="13" x14ac:dyDescent="0.3">
      <c r="A175" s="294"/>
      <c r="B175" s="295"/>
      <c r="C175" s="469"/>
      <c r="D175" s="294"/>
      <c r="E175" s="294"/>
      <c r="F175" s="294"/>
      <c r="G175" s="296">
        <v>158856</v>
      </c>
      <c r="H175" s="297">
        <v>1</v>
      </c>
      <c r="I175" s="297">
        <v>3</v>
      </c>
      <c r="J175" s="468">
        <v>36</v>
      </c>
      <c r="K175" s="302" t="s">
        <v>952</v>
      </c>
    </row>
    <row r="176" spans="1:11" ht="13" x14ac:dyDescent="0.3">
      <c r="A176" s="294"/>
      <c r="B176" s="295"/>
      <c r="C176" s="469"/>
      <c r="D176" s="294"/>
      <c r="E176" s="294"/>
      <c r="F176" s="294"/>
      <c r="G176" s="296">
        <v>-95219</v>
      </c>
      <c r="H176" s="297">
        <v>1</v>
      </c>
      <c r="I176" s="297">
        <v>4</v>
      </c>
      <c r="J176" s="468">
        <v>39</v>
      </c>
      <c r="K176" s="302" t="s">
        <v>952</v>
      </c>
    </row>
    <row r="177" spans="1:11" ht="13" x14ac:dyDescent="0.3">
      <c r="A177" s="294"/>
      <c r="B177" s="295"/>
      <c r="C177" s="469"/>
      <c r="D177" s="294"/>
      <c r="E177" s="294"/>
      <c r="F177" s="294"/>
      <c r="G177" s="296">
        <v>95219</v>
      </c>
      <c r="H177" s="297">
        <v>1</v>
      </c>
      <c r="I177" s="297">
        <v>4</v>
      </c>
      <c r="J177" s="468">
        <v>36</v>
      </c>
      <c r="K177" s="302" t="s">
        <v>952</v>
      </c>
    </row>
    <row r="178" spans="1:11" ht="13" x14ac:dyDescent="0.3">
      <c r="A178" s="294"/>
      <c r="B178" s="295"/>
      <c r="C178" s="469"/>
      <c r="D178" s="294"/>
      <c r="E178" s="294"/>
      <c r="F178" s="294"/>
      <c r="G178" s="296">
        <v>-611</v>
      </c>
      <c r="H178" s="297">
        <v>1</v>
      </c>
      <c r="I178" s="297">
        <v>5</v>
      </c>
      <c r="J178" s="468">
        <v>39</v>
      </c>
      <c r="K178" s="302" t="s">
        <v>952</v>
      </c>
    </row>
    <row r="179" spans="1:11" ht="13" x14ac:dyDescent="0.3">
      <c r="A179" s="294"/>
      <c r="B179" s="295"/>
      <c r="C179" s="469"/>
      <c r="D179" s="294"/>
      <c r="E179" s="294"/>
      <c r="F179" s="294"/>
      <c r="G179" s="296">
        <v>611</v>
      </c>
      <c r="H179" s="297">
        <v>1</v>
      </c>
      <c r="I179" s="297">
        <v>5</v>
      </c>
      <c r="J179" s="468">
        <v>36</v>
      </c>
      <c r="K179" s="302" t="s">
        <v>952</v>
      </c>
    </row>
    <row r="180" spans="1:11" ht="13" x14ac:dyDescent="0.3">
      <c r="A180" s="294"/>
      <c r="B180" s="295"/>
      <c r="C180" s="469"/>
      <c r="D180" s="294"/>
      <c r="E180" s="294"/>
      <c r="F180" s="294"/>
      <c r="G180" s="296"/>
      <c r="H180" s="297"/>
      <c r="I180" s="297"/>
      <c r="J180" s="468"/>
      <c r="K180" s="302"/>
    </row>
    <row r="181" spans="1:11" ht="13" x14ac:dyDescent="0.3">
      <c r="A181" s="294"/>
      <c r="B181" s="295">
        <v>14</v>
      </c>
      <c r="C181" s="469" t="s">
        <v>955</v>
      </c>
      <c r="D181" s="294"/>
      <c r="E181" s="294"/>
      <c r="F181" s="294"/>
      <c r="G181" s="296">
        <v>-635</v>
      </c>
      <c r="H181" s="297">
        <v>1</v>
      </c>
      <c r="I181" s="297">
        <v>3</v>
      </c>
      <c r="J181" s="468">
        <v>26</v>
      </c>
      <c r="K181" s="302" t="s">
        <v>952</v>
      </c>
    </row>
    <row r="182" spans="1:11" ht="13" x14ac:dyDescent="0.3">
      <c r="A182" s="294"/>
      <c r="B182" s="295"/>
      <c r="C182" s="469"/>
      <c r="D182" s="294"/>
      <c r="E182" s="294"/>
      <c r="F182" s="294"/>
      <c r="G182" s="296">
        <v>635</v>
      </c>
      <c r="H182" s="297">
        <v>1</v>
      </c>
      <c r="I182" s="297">
        <v>3</v>
      </c>
      <c r="J182" s="468">
        <v>24</v>
      </c>
      <c r="K182" s="302" t="s">
        <v>952</v>
      </c>
    </row>
    <row r="183" spans="1:11" ht="13" x14ac:dyDescent="0.3">
      <c r="A183" s="294"/>
      <c r="B183" s="295"/>
      <c r="C183" s="469"/>
      <c r="D183" s="294"/>
      <c r="E183" s="294"/>
      <c r="F183" s="294"/>
      <c r="G183" s="296">
        <v>-46979</v>
      </c>
      <c r="H183" s="297">
        <v>1</v>
      </c>
      <c r="I183" s="297">
        <v>4</v>
      </c>
      <c r="J183" s="468">
        <v>26</v>
      </c>
      <c r="K183" s="302" t="s">
        <v>952</v>
      </c>
    </row>
    <row r="184" spans="1:11" ht="13" x14ac:dyDescent="0.3">
      <c r="A184" s="294"/>
      <c r="B184" s="295"/>
      <c r="C184" s="469"/>
      <c r="D184" s="294"/>
      <c r="E184" s="294"/>
      <c r="F184" s="294"/>
      <c r="G184" s="296">
        <v>46979</v>
      </c>
      <c r="H184" s="297">
        <v>1</v>
      </c>
      <c r="I184" s="297">
        <v>4</v>
      </c>
      <c r="J184" s="468">
        <v>24</v>
      </c>
      <c r="K184" s="302" t="s">
        <v>952</v>
      </c>
    </row>
    <row r="185" spans="1:11" ht="13" x14ac:dyDescent="0.3">
      <c r="A185" s="294"/>
      <c r="B185" s="295"/>
      <c r="C185" s="469"/>
      <c r="D185" s="294"/>
      <c r="E185" s="294"/>
      <c r="F185" s="294"/>
      <c r="G185" s="296">
        <v>-11950998</v>
      </c>
      <c r="H185" s="297">
        <v>1</v>
      </c>
      <c r="I185" s="297">
        <v>5</v>
      </c>
      <c r="J185" s="468">
        <v>26</v>
      </c>
      <c r="K185" s="302" t="s">
        <v>952</v>
      </c>
    </row>
    <row r="186" spans="1:11" ht="13" x14ac:dyDescent="0.3">
      <c r="A186" s="294"/>
      <c r="B186" s="295"/>
      <c r="C186" s="469"/>
      <c r="D186" s="294"/>
      <c r="E186" s="294"/>
      <c r="F186" s="294"/>
      <c r="G186" s="296">
        <v>11950998</v>
      </c>
      <c r="H186" s="297">
        <v>1</v>
      </c>
      <c r="I186" s="297">
        <v>5</v>
      </c>
      <c r="J186" s="468">
        <v>24</v>
      </c>
      <c r="K186" s="302" t="s">
        <v>952</v>
      </c>
    </row>
    <row r="187" spans="1:11" ht="13" x14ac:dyDescent="0.3">
      <c r="A187" s="294"/>
      <c r="B187" s="295"/>
      <c r="C187" s="469"/>
      <c r="D187" s="294"/>
      <c r="E187" s="294"/>
      <c r="F187" s="294"/>
      <c r="G187" s="296"/>
      <c r="H187" s="297"/>
      <c r="I187" s="297"/>
      <c r="J187" s="468"/>
      <c r="K187" s="302"/>
    </row>
    <row r="188" spans="1:11" ht="13" x14ac:dyDescent="0.3">
      <c r="A188" s="294"/>
      <c r="B188" s="295">
        <v>15</v>
      </c>
      <c r="C188" s="469" t="s">
        <v>956</v>
      </c>
      <c r="D188" s="294"/>
      <c r="E188" s="294"/>
      <c r="F188" s="294"/>
      <c r="G188" s="296">
        <v>-122062</v>
      </c>
      <c r="H188" s="297">
        <v>1</v>
      </c>
      <c r="I188" s="297">
        <v>2</v>
      </c>
      <c r="J188" s="468">
        <v>46</v>
      </c>
      <c r="K188" s="302" t="s">
        <v>952</v>
      </c>
    </row>
    <row r="189" spans="1:11" ht="13" x14ac:dyDescent="0.3">
      <c r="A189" s="294"/>
      <c r="B189" s="295"/>
      <c r="C189" s="469"/>
      <c r="D189" s="294"/>
      <c r="E189" s="294"/>
      <c r="F189" s="294"/>
      <c r="G189" s="296">
        <v>122062</v>
      </c>
      <c r="H189" s="297">
        <v>1</v>
      </c>
      <c r="I189" s="297">
        <v>2</v>
      </c>
      <c r="J189" s="468">
        <v>43</v>
      </c>
      <c r="K189" s="302" t="s">
        <v>952</v>
      </c>
    </row>
    <row r="190" spans="1:11" ht="13" x14ac:dyDescent="0.3">
      <c r="A190" s="294"/>
      <c r="B190" s="295"/>
      <c r="C190" s="469"/>
      <c r="D190" s="294"/>
      <c r="E190" s="294"/>
      <c r="F190" s="294"/>
      <c r="G190" s="296">
        <v>-1095</v>
      </c>
      <c r="H190" s="297">
        <v>1</v>
      </c>
      <c r="I190" s="297">
        <v>3</v>
      </c>
      <c r="J190" s="468">
        <v>46</v>
      </c>
      <c r="K190" s="302" t="s">
        <v>952</v>
      </c>
    </row>
    <row r="191" spans="1:11" ht="13" x14ac:dyDescent="0.3">
      <c r="A191" s="294"/>
      <c r="B191" s="295"/>
      <c r="C191" s="469"/>
      <c r="D191" s="294"/>
      <c r="E191" s="294"/>
      <c r="F191" s="294"/>
      <c r="G191" s="296">
        <v>1095</v>
      </c>
      <c r="H191" s="297">
        <v>1</v>
      </c>
      <c r="I191" s="297">
        <v>3</v>
      </c>
      <c r="J191" s="468">
        <v>43</v>
      </c>
      <c r="K191" s="302" t="s">
        <v>952</v>
      </c>
    </row>
    <row r="192" spans="1:11" ht="13" x14ac:dyDescent="0.3">
      <c r="A192" s="294"/>
      <c r="B192" s="295"/>
      <c r="C192" s="469"/>
      <c r="D192" s="294"/>
      <c r="E192" s="294"/>
      <c r="F192" s="294"/>
      <c r="G192" s="296"/>
      <c r="H192" s="297"/>
      <c r="I192" s="297"/>
      <c r="J192" s="468"/>
      <c r="K192" s="302"/>
    </row>
    <row r="193" spans="1:11" ht="13" x14ac:dyDescent="0.3">
      <c r="A193" s="294"/>
      <c r="B193" s="295">
        <v>16</v>
      </c>
      <c r="C193" s="469" t="s">
        <v>957</v>
      </c>
      <c r="D193" s="294"/>
      <c r="E193" s="294"/>
      <c r="F193" s="294"/>
      <c r="G193" s="296">
        <v>-13</v>
      </c>
      <c r="H193" s="297">
        <v>1</v>
      </c>
      <c r="I193" s="297">
        <v>4</v>
      </c>
      <c r="J193" s="468">
        <v>26</v>
      </c>
      <c r="K193" s="302">
        <v>200.5</v>
      </c>
    </row>
    <row r="194" spans="1:11" ht="13" x14ac:dyDescent="0.3">
      <c r="A194" s="294"/>
      <c r="B194" s="295"/>
      <c r="C194" s="469"/>
      <c r="D194" s="294"/>
      <c r="E194" s="294"/>
      <c r="F194" s="294"/>
      <c r="G194" s="296">
        <v>-14321</v>
      </c>
      <c r="H194" s="297">
        <v>1</v>
      </c>
      <c r="I194" s="297">
        <v>4</v>
      </c>
      <c r="J194" s="468">
        <v>30</v>
      </c>
      <c r="K194" s="302">
        <v>200.5</v>
      </c>
    </row>
    <row r="195" spans="1:11" ht="13" x14ac:dyDescent="0.3">
      <c r="A195" s="294"/>
      <c r="B195" s="295"/>
      <c r="C195" s="469"/>
      <c r="D195" s="294"/>
      <c r="E195" s="294"/>
      <c r="F195" s="294"/>
      <c r="G195" s="296">
        <v>-36000</v>
      </c>
      <c r="H195" s="297">
        <v>1</v>
      </c>
      <c r="I195" s="297">
        <v>4</v>
      </c>
      <c r="J195" s="468">
        <v>33</v>
      </c>
      <c r="K195" s="302">
        <v>200.5</v>
      </c>
    </row>
    <row r="196" spans="1:11" ht="13" x14ac:dyDescent="0.3">
      <c r="A196" s="294"/>
      <c r="B196" s="295"/>
      <c r="C196" s="469"/>
      <c r="D196" s="294"/>
      <c r="E196" s="294"/>
      <c r="F196" s="294"/>
      <c r="G196" s="296">
        <v>-244137</v>
      </c>
      <c r="H196" s="297">
        <v>1</v>
      </c>
      <c r="I196" s="297">
        <v>4</v>
      </c>
      <c r="J196" s="468">
        <v>34</v>
      </c>
      <c r="K196" s="302">
        <v>200.5</v>
      </c>
    </row>
    <row r="197" spans="1:11" ht="13" x14ac:dyDescent="0.3">
      <c r="A197" s="294"/>
      <c r="B197" s="295"/>
      <c r="C197" s="469"/>
      <c r="D197" s="294"/>
      <c r="E197" s="294"/>
      <c r="F197" s="294"/>
      <c r="G197" s="296">
        <v>-1636</v>
      </c>
      <c r="H197" s="297">
        <v>1</v>
      </c>
      <c r="I197" s="297">
        <v>4</v>
      </c>
      <c r="J197" s="468">
        <v>37</v>
      </c>
      <c r="K197" s="302">
        <v>200.5</v>
      </c>
    </row>
    <row r="198" spans="1:11" ht="13" x14ac:dyDescent="0.3">
      <c r="A198" s="294"/>
      <c r="B198" s="295"/>
      <c r="C198" s="469"/>
      <c r="D198" s="294"/>
      <c r="E198" s="294"/>
      <c r="F198" s="294"/>
      <c r="G198" s="296">
        <v>901726</v>
      </c>
      <c r="H198" s="297">
        <v>1</v>
      </c>
      <c r="I198" s="297">
        <v>4</v>
      </c>
      <c r="J198" s="468">
        <v>39</v>
      </c>
      <c r="K198" s="302">
        <v>200.5</v>
      </c>
    </row>
    <row r="199" spans="1:11" ht="13" x14ac:dyDescent="0.3">
      <c r="A199" s="294"/>
      <c r="B199" s="295"/>
      <c r="C199" s="469"/>
      <c r="D199" s="294"/>
      <c r="E199" s="294"/>
      <c r="F199" s="294"/>
      <c r="G199" s="296">
        <v>-1253</v>
      </c>
      <c r="H199" s="297">
        <v>1</v>
      </c>
      <c r="I199" s="297">
        <v>4</v>
      </c>
      <c r="J199" s="468">
        <v>44</v>
      </c>
      <c r="K199" s="302">
        <v>200.5</v>
      </c>
    </row>
    <row r="200" spans="1:11" ht="13" x14ac:dyDescent="0.3">
      <c r="A200" s="294"/>
      <c r="B200" s="295"/>
      <c r="C200" s="469"/>
      <c r="D200" s="294"/>
      <c r="E200" s="294"/>
      <c r="F200" s="294"/>
      <c r="G200" s="296">
        <v>-364962</v>
      </c>
      <c r="H200" s="297">
        <v>1</v>
      </c>
      <c r="I200" s="297">
        <v>4</v>
      </c>
      <c r="J200" s="468">
        <v>46</v>
      </c>
      <c r="K200" s="302">
        <v>200.5</v>
      </c>
    </row>
    <row r="201" spans="1:11" ht="13" x14ac:dyDescent="0.3">
      <c r="A201" s="294"/>
      <c r="B201" s="295"/>
      <c r="C201" s="469"/>
      <c r="D201" s="294"/>
      <c r="E201" s="294"/>
      <c r="F201" s="294"/>
      <c r="G201" s="296">
        <v>-12753</v>
      </c>
      <c r="H201" s="297">
        <v>1</v>
      </c>
      <c r="I201" s="297">
        <v>4</v>
      </c>
      <c r="J201" s="468">
        <v>48</v>
      </c>
      <c r="K201" s="302">
        <v>200.5</v>
      </c>
    </row>
    <row r="202" spans="1:11" ht="13" x14ac:dyDescent="0.3">
      <c r="A202" s="294"/>
      <c r="B202" s="295"/>
      <c r="C202" s="469"/>
      <c r="D202" s="294"/>
      <c r="E202" s="294"/>
      <c r="F202" s="294"/>
      <c r="G202" s="296">
        <v>13</v>
      </c>
      <c r="H202" s="297">
        <v>1</v>
      </c>
      <c r="I202" s="297">
        <v>5</v>
      </c>
      <c r="J202" s="468">
        <v>26</v>
      </c>
      <c r="K202" s="302">
        <v>200.5</v>
      </c>
    </row>
    <row r="203" spans="1:11" ht="13" x14ac:dyDescent="0.3">
      <c r="A203" s="294"/>
      <c r="B203" s="295"/>
      <c r="C203" s="469"/>
      <c r="D203" s="294"/>
      <c r="E203" s="294"/>
      <c r="F203" s="294"/>
      <c r="G203" s="296">
        <v>14321</v>
      </c>
      <c r="H203" s="297">
        <v>1</v>
      </c>
      <c r="I203" s="297">
        <v>5</v>
      </c>
      <c r="J203" s="468">
        <v>30</v>
      </c>
      <c r="K203" s="302">
        <v>200.5</v>
      </c>
    </row>
    <row r="204" spans="1:11" ht="13" x14ac:dyDescent="0.3">
      <c r="A204" s="294"/>
      <c r="B204" s="295"/>
      <c r="C204" s="469"/>
      <c r="D204" s="294"/>
      <c r="E204" s="294"/>
      <c r="F204" s="294"/>
      <c r="G204" s="296">
        <v>36000</v>
      </c>
      <c r="H204" s="297">
        <v>1</v>
      </c>
      <c r="I204" s="297">
        <v>5</v>
      </c>
      <c r="J204" s="468">
        <v>33</v>
      </c>
      <c r="K204" s="302">
        <v>200.5</v>
      </c>
    </row>
    <row r="205" spans="1:11" ht="13" x14ac:dyDescent="0.3">
      <c r="A205" s="294"/>
      <c r="B205" s="295"/>
      <c r="C205" s="469"/>
      <c r="D205" s="294"/>
      <c r="E205" s="294"/>
      <c r="F205" s="294"/>
      <c r="G205" s="296">
        <v>244137</v>
      </c>
      <c r="H205" s="297">
        <v>1</v>
      </c>
      <c r="I205" s="297">
        <v>5</v>
      </c>
      <c r="J205" s="468">
        <v>34</v>
      </c>
      <c r="K205" s="302">
        <v>200.5</v>
      </c>
    </row>
    <row r="206" spans="1:11" ht="13" x14ac:dyDescent="0.3">
      <c r="A206" s="294"/>
      <c r="B206" s="295"/>
      <c r="C206" s="469"/>
      <c r="D206" s="294"/>
      <c r="E206" s="294"/>
      <c r="F206" s="294"/>
      <c r="G206" s="296">
        <v>1636</v>
      </c>
      <c r="H206" s="297">
        <v>1</v>
      </c>
      <c r="I206" s="297">
        <v>5</v>
      </c>
      <c r="J206" s="468">
        <v>37</v>
      </c>
      <c r="K206" s="302">
        <v>200.5</v>
      </c>
    </row>
    <row r="207" spans="1:11" ht="13" x14ac:dyDescent="0.3">
      <c r="A207" s="294"/>
      <c r="B207" s="295"/>
      <c r="C207" s="469"/>
      <c r="D207" s="294"/>
      <c r="E207" s="294"/>
      <c r="F207" s="294"/>
      <c r="G207" s="296">
        <v>-901726</v>
      </c>
      <c r="H207" s="297">
        <v>1</v>
      </c>
      <c r="I207" s="297">
        <v>5</v>
      </c>
      <c r="J207" s="468">
        <v>39</v>
      </c>
      <c r="K207" s="302">
        <v>200.5</v>
      </c>
    </row>
    <row r="208" spans="1:11" ht="13" x14ac:dyDescent="0.3">
      <c r="A208" s="294"/>
      <c r="B208" s="295"/>
      <c r="C208" s="469"/>
      <c r="D208" s="294"/>
      <c r="E208" s="294"/>
      <c r="F208" s="294"/>
      <c r="G208" s="296">
        <v>1253</v>
      </c>
      <c r="H208" s="297">
        <v>1</v>
      </c>
      <c r="I208" s="297">
        <v>5</v>
      </c>
      <c r="J208" s="468">
        <v>44</v>
      </c>
      <c r="K208" s="302">
        <v>200.5</v>
      </c>
    </row>
    <row r="209" spans="1:22" ht="13" x14ac:dyDescent="0.3">
      <c r="A209" s="294"/>
      <c r="B209" s="295"/>
      <c r="C209" s="469"/>
      <c r="D209" s="294"/>
      <c r="E209" s="294"/>
      <c r="F209" s="294"/>
      <c r="G209" s="296">
        <v>364962</v>
      </c>
      <c r="H209" s="297">
        <v>1</v>
      </c>
      <c r="I209" s="297">
        <v>5</v>
      </c>
      <c r="J209" s="468">
        <v>46</v>
      </c>
      <c r="K209" s="302">
        <v>200.5</v>
      </c>
    </row>
    <row r="210" spans="1:22" ht="13" x14ac:dyDescent="0.3">
      <c r="A210" s="294"/>
      <c r="B210" s="295"/>
      <c r="C210" s="469"/>
      <c r="D210" s="294"/>
      <c r="E210" s="294"/>
      <c r="F210" s="294"/>
      <c r="G210" s="296">
        <v>12753</v>
      </c>
      <c r="H210" s="297">
        <v>1</v>
      </c>
      <c r="I210" s="297">
        <v>5</v>
      </c>
      <c r="J210" s="468">
        <v>48</v>
      </c>
      <c r="K210" s="302">
        <v>200.5</v>
      </c>
    </row>
    <row r="211" spans="1:22" ht="13" x14ac:dyDescent="0.3">
      <c r="A211" s="294"/>
      <c r="B211" s="295"/>
      <c r="C211" s="469"/>
      <c r="D211" s="294"/>
      <c r="E211" s="294"/>
      <c r="F211" s="294"/>
      <c r="G211" s="296"/>
      <c r="H211" s="297"/>
      <c r="I211" s="297"/>
      <c r="J211" s="468"/>
      <c r="K211" s="302"/>
    </row>
    <row r="212" spans="1:22" ht="13" x14ac:dyDescent="0.3">
      <c r="A212" s="294"/>
      <c r="B212" s="295">
        <v>17</v>
      </c>
      <c r="C212" s="469" t="s">
        <v>958</v>
      </c>
      <c r="D212" s="294"/>
      <c r="E212" s="294"/>
      <c r="F212" s="294"/>
      <c r="G212" s="296">
        <v>-679094</v>
      </c>
      <c r="H212" s="297">
        <v>1</v>
      </c>
      <c r="I212" s="297">
        <v>3</v>
      </c>
      <c r="J212" s="468">
        <v>58</v>
      </c>
      <c r="K212" s="302" t="s">
        <v>1044</v>
      </c>
    </row>
    <row r="213" spans="1:22" ht="13" x14ac:dyDescent="0.3">
      <c r="A213" s="294"/>
      <c r="B213" s="295"/>
      <c r="C213" s="469"/>
      <c r="D213" s="294"/>
      <c r="E213" s="294"/>
      <c r="F213" s="294"/>
      <c r="G213" s="296">
        <v>-131022</v>
      </c>
      <c r="H213" s="297">
        <v>1</v>
      </c>
      <c r="I213" s="297">
        <v>4</v>
      </c>
      <c r="J213" s="468">
        <v>58</v>
      </c>
      <c r="K213" s="302" t="s">
        <v>1044</v>
      </c>
    </row>
    <row r="214" spans="1:22" ht="13" x14ac:dyDescent="0.3">
      <c r="A214" s="294"/>
      <c r="B214" s="295"/>
      <c r="C214" s="469"/>
      <c r="D214" s="294"/>
      <c r="E214" s="294"/>
      <c r="F214" s="294"/>
      <c r="G214" s="296">
        <v>50554</v>
      </c>
      <c r="H214" s="297">
        <v>1</v>
      </c>
      <c r="I214" s="297">
        <v>5</v>
      </c>
      <c r="J214" s="468">
        <v>58</v>
      </c>
      <c r="K214" s="302" t="s">
        <v>1044</v>
      </c>
    </row>
    <row r="215" spans="1:22" ht="13" x14ac:dyDescent="0.3">
      <c r="A215" s="294"/>
      <c r="B215" s="295"/>
      <c r="C215" s="469"/>
      <c r="D215" s="294"/>
      <c r="E215" s="294"/>
      <c r="F215" s="294"/>
      <c r="G215" s="296">
        <v>243070</v>
      </c>
      <c r="H215" s="297">
        <v>1</v>
      </c>
      <c r="I215" s="297">
        <v>6</v>
      </c>
      <c r="J215" s="468">
        <v>58</v>
      </c>
      <c r="K215" s="302" t="s">
        <v>1044</v>
      </c>
    </row>
    <row r="216" spans="1:22" ht="13.5" thickBot="1" x14ac:dyDescent="0.3">
      <c r="A216" s="294"/>
      <c r="B216" s="295"/>
      <c r="C216" s="469"/>
      <c r="D216" s="294"/>
      <c r="E216" s="294"/>
      <c r="F216" s="294"/>
      <c r="G216" s="296"/>
      <c r="H216" s="297"/>
      <c r="I216" s="297"/>
      <c r="J216" s="401"/>
      <c r="K216" s="302"/>
    </row>
    <row r="217" spans="1:22" ht="13.5" thickBot="1" x14ac:dyDescent="0.3">
      <c r="B217" s="282" t="s">
        <v>586</v>
      </c>
      <c r="C217" s="283"/>
      <c r="D217" s="283"/>
      <c r="E217" s="283"/>
      <c r="F217" s="283"/>
      <c r="G217" s="394"/>
      <c r="H217" s="400"/>
      <c r="I217" s="400"/>
      <c r="J217" s="400"/>
      <c r="K217" s="284"/>
    </row>
    <row r="218" spans="1:22" ht="13" x14ac:dyDescent="0.25">
      <c r="B218" s="285"/>
      <c r="C218" s="285"/>
      <c r="D218" s="285"/>
      <c r="E218" s="285"/>
      <c r="F218" s="285"/>
      <c r="G218" s="395"/>
      <c r="H218" s="287"/>
      <c r="I218" s="287"/>
      <c r="J218" s="287"/>
      <c r="K218" s="285"/>
    </row>
    <row r="219" spans="1:22" ht="13" x14ac:dyDescent="0.25">
      <c r="A219" s="286"/>
      <c r="B219" s="287" t="s">
        <v>579</v>
      </c>
      <c r="C219" s="288"/>
      <c r="D219" s="288"/>
      <c r="E219" s="288"/>
      <c r="F219" s="288"/>
      <c r="G219" s="396"/>
      <c r="H219" s="288"/>
      <c r="I219" s="288"/>
      <c r="J219" s="288"/>
      <c r="K219" s="288"/>
    </row>
    <row r="220" spans="1:22" ht="13" x14ac:dyDescent="0.25">
      <c r="A220" s="286"/>
      <c r="B220" s="289" t="s">
        <v>580</v>
      </c>
      <c r="C220" s="290" t="s">
        <v>11</v>
      </c>
      <c r="D220" s="291"/>
      <c r="E220" s="289"/>
      <c r="F220" s="289"/>
      <c r="G220" s="397" t="s">
        <v>581</v>
      </c>
      <c r="H220" s="289" t="s">
        <v>582</v>
      </c>
      <c r="I220" s="289" t="s">
        <v>583</v>
      </c>
      <c r="J220" s="289" t="s">
        <v>584</v>
      </c>
      <c r="K220" s="289" t="s">
        <v>585</v>
      </c>
      <c r="M220" s="292"/>
      <c r="N220" s="293"/>
      <c r="O220" s="293"/>
      <c r="P220" s="293"/>
      <c r="Q220" s="293"/>
      <c r="R220" s="293"/>
      <c r="S220" s="293"/>
      <c r="T220" s="293"/>
      <c r="U220" s="293"/>
      <c r="V220" s="293"/>
    </row>
    <row r="221" spans="1:22" ht="13" x14ac:dyDescent="0.25">
      <c r="A221" s="294"/>
      <c r="B221" s="295" t="s">
        <v>934</v>
      </c>
      <c r="C221" s="469"/>
      <c r="D221" s="294"/>
      <c r="E221" s="294"/>
      <c r="F221" s="294"/>
      <c r="G221" s="298"/>
      <c r="H221" s="297"/>
      <c r="I221" s="297"/>
      <c r="J221" s="297"/>
      <c r="K221" s="302"/>
    </row>
    <row r="222" spans="1:22" ht="13" x14ac:dyDescent="0.25">
      <c r="A222" s="294"/>
      <c r="B222" s="295"/>
      <c r="C222" s="469"/>
      <c r="D222" s="294"/>
      <c r="E222" s="294"/>
      <c r="F222" s="294"/>
      <c r="G222" s="296"/>
      <c r="H222" s="297"/>
      <c r="I222" s="297"/>
      <c r="J222" s="401"/>
      <c r="K222" s="302"/>
    </row>
    <row r="223" spans="1:22" ht="13" x14ac:dyDescent="0.25">
      <c r="A223" s="294"/>
      <c r="B223" s="295"/>
      <c r="C223" s="469"/>
      <c r="D223" s="294"/>
      <c r="E223" s="294"/>
      <c r="F223" s="294"/>
      <c r="G223" s="296"/>
      <c r="H223" s="297"/>
      <c r="I223" s="297"/>
      <c r="J223" s="401"/>
      <c r="K223" s="302"/>
    </row>
    <row r="224" spans="1:22" ht="13" x14ac:dyDescent="0.25">
      <c r="A224" s="294"/>
      <c r="B224" s="295"/>
      <c r="C224" s="469"/>
      <c r="D224" s="294"/>
      <c r="E224" s="294"/>
      <c r="F224" s="294"/>
      <c r="G224" s="296"/>
      <c r="H224" s="297"/>
      <c r="I224" s="297"/>
      <c r="J224" s="401"/>
      <c r="K224" s="302"/>
    </row>
    <row r="225" spans="1:22" ht="13" x14ac:dyDescent="0.25">
      <c r="A225" s="294"/>
      <c r="B225" s="295"/>
      <c r="C225" s="469"/>
      <c r="D225" s="294"/>
      <c r="E225" s="294"/>
      <c r="F225" s="294"/>
      <c r="G225" s="296"/>
      <c r="H225" s="297"/>
      <c r="I225" s="297"/>
      <c r="J225" s="401"/>
      <c r="K225" s="302"/>
    </row>
    <row r="226" spans="1:22" ht="13.5" thickBot="1" x14ac:dyDescent="0.3">
      <c r="A226" s="294"/>
      <c r="B226" s="295"/>
      <c r="C226" s="469"/>
      <c r="D226" s="294"/>
      <c r="E226" s="294"/>
      <c r="F226" s="294"/>
      <c r="G226" s="296"/>
      <c r="H226" s="297"/>
      <c r="I226" s="297"/>
      <c r="J226" s="401"/>
      <c r="K226" s="302"/>
    </row>
    <row r="227" spans="1:22" ht="13.5" thickBot="1" x14ac:dyDescent="0.3">
      <c r="B227" s="282" t="s">
        <v>587</v>
      </c>
      <c r="C227" s="283"/>
      <c r="D227" s="283"/>
      <c r="E227" s="283"/>
      <c r="F227" s="283"/>
      <c r="G227" s="394"/>
      <c r="H227" s="400"/>
      <c r="I227" s="400"/>
      <c r="J227" s="400"/>
      <c r="K227" s="284"/>
    </row>
    <row r="228" spans="1:22" ht="13" x14ac:dyDescent="0.25">
      <c r="B228" s="285"/>
      <c r="C228" s="285"/>
      <c r="D228" s="285"/>
      <c r="E228" s="285"/>
      <c r="F228" s="285"/>
      <c r="G228" s="395"/>
      <c r="H228" s="287"/>
      <c r="I228" s="287"/>
      <c r="J228" s="287"/>
      <c r="K228" s="285"/>
    </row>
    <row r="229" spans="1:22" ht="13" x14ac:dyDescent="0.25">
      <c r="A229" s="286"/>
      <c r="B229" s="287" t="s">
        <v>579</v>
      </c>
      <c r="C229" s="288"/>
      <c r="D229" s="288"/>
      <c r="E229" s="288"/>
      <c r="F229" s="288"/>
      <c r="G229" s="396"/>
      <c r="H229" s="288"/>
      <c r="I229" s="288"/>
      <c r="J229" s="288"/>
      <c r="K229" s="288"/>
    </row>
    <row r="230" spans="1:22" ht="13" x14ac:dyDescent="0.25">
      <c r="A230" s="286"/>
      <c r="B230" s="289" t="s">
        <v>580</v>
      </c>
      <c r="C230" s="290" t="s">
        <v>11</v>
      </c>
      <c r="D230" s="291"/>
      <c r="E230" s="289"/>
      <c r="F230" s="289"/>
      <c r="G230" s="397" t="s">
        <v>581</v>
      </c>
      <c r="H230" s="289" t="s">
        <v>582</v>
      </c>
      <c r="I230" s="289" t="s">
        <v>583</v>
      </c>
      <c r="J230" s="289" t="s">
        <v>584</v>
      </c>
      <c r="K230" s="289" t="s">
        <v>585</v>
      </c>
      <c r="M230" s="292"/>
      <c r="N230" s="293"/>
      <c r="O230" s="293"/>
      <c r="P230" s="293"/>
      <c r="Q230" s="293"/>
      <c r="R230" s="293"/>
      <c r="S230" s="293"/>
      <c r="T230" s="293"/>
      <c r="U230" s="293"/>
      <c r="V230" s="293"/>
    </row>
    <row r="231" spans="1:22" ht="13" x14ac:dyDescent="0.25">
      <c r="A231" s="294"/>
      <c r="B231" s="295" t="s">
        <v>934</v>
      </c>
      <c r="C231" s="469"/>
      <c r="D231" s="294"/>
      <c r="E231" s="294"/>
      <c r="F231" s="294"/>
      <c r="G231" s="298"/>
      <c r="H231" s="297"/>
      <c r="I231" s="299"/>
      <c r="J231" s="299"/>
      <c r="K231" s="302"/>
    </row>
    <row r="232" spans="1:22" ht="13" x14ac:dyDescent="0.25">
      <c r="A232" s="294"/>
      <c r="B232" s="295"/>
      <c r="C232" s="469"/>
      <c r="D232" s="294"/>
      <c r="E232" s="294"/>
      <c r="F232" s="294"/>
      <c r="G232" s="298"/>
      <c r="H232" s="297"/>
      <c r="I232" s="299"/>
      <c r="J232" s="299"/>
      <c r="K232" s="302"/>
    </row>
    <row r="233" spans="1:22" ht="13" x14ac:dyDescent="0.25">
      <c r="A233" s="294"/>
      <c r="B233" s="295"/>
      <c r="C233" s="469"/>
      <c r="D233" s="294"/>
      <c r="E233" s="294"/>
      <c r="F233" s="294"/>
      <c r="G233" s="298"/>
      <c r="H233" s="297"/>
      <c r="I233" s="299"/>
      <c r="J233" s="299"/>
      <c r="K233" s="302"/>
    </row>
    <row r="234" spans="1:22" ht="13" x14ac:dyDescent="0.25">
      <c r="A234" s="294"/>
      <c r="B234" s="295"/>
      <c r="C234" s="469"/>
      <c r="D234" s="294"/>
      <c r="E234" s="294"/>
      <c r="F234" s="294"/>
      <c r="G234" s="298"/>
      <c r="H234" s="297"/>
      <c r="I234" s="299"/>
      <c r="J234" s="299"/>
      <c r="K234" s="302"/>
    </row>
    <row r="235" spans="1:22" ht="13" x14ac:dyDescent="0.25">
      <c r="A235" s="294"/>
      <c r="B235" s="295"/>
      <c r="C235" s="469"/>
      <c r="D235" s="294"/>
      <c r="E235" s="294"/>
      <c r="F235" s="294"/>
      <c r="G235" s="298"/>
      <c r="H235" s="297"/>
      <c r="I235" s="299"/>
      <c r="J235" s="299"/>
      <c r="K235" s="302"/>
    </row>
    <row r="236" spans="1:22" ht="13" x14ac:dyDescent="0.25">
      <c r="A236" s="294"/>
      <c r="B236" s="295"/>
      <c r="C236" s="469"/>
      <c r="D236" s="294"/>
      <c r="E236" s="294"/>
      <c r="F236" s="294"/>
      <c r="G236" s="298"/>
      <c r="H236" s="297"/>
      <c r="I236" s="299"/>
      <c r="J236" s="299"/>
      <c r="K236" s="302"/>
    </row>
    <row r="237" spans="1:22" ht="13.5" thickBot="1" x14ac:dyDescent="0.3">
      <c r="A237" s="294"/>
      <c r="B237" s="295"/>
      <c r="C237" s="469"/>
      <c r="D237" s="294"/>
      <c r="E237" s="294"/>
      <c r="F237" s="294"/>
      <c r="G237" s="296"/>
      <c r="H237" s="297"/>
      <c r="I237" s="297"/>
      <c r="J237" s="401"/>
      <c r="K237" s="302"/>
    </row>
    <row r="238" spans="1:22" ht="13.5" thickBot="1" x14ac:dyDescent="0.3">
      <c r="A238" s="286"/>
      <c r="B238" s="282" t="s">
        <v>588</v>
      </c>
      <c r="C238" s="283"/>
      <c r="D238" s="283"/>
      <c r="E238" s="283"/>
      <c r="F238" s="283"/>
      <c r="G238" s="394"/>
      <c r="H238" s="400"/>
      <c r="I238" s="400"/>
      <c r="J238" s="400"/>
      <c r="K238" s="284"/>
    </row>
    <row r="239" spans="1:22" x14ac:dyDescent="0.25">
      <c r="A239" s="286"/>
      <c r="B239" s="300"/>
      <c r="C239" s="301"/>
      <c r="D239" s="286"/>
      <c r="E239" s="286"/>
      <c r="F239" s="286"/>
      <c r="G239" s="398"/>
      <c r="H239" s="300"/>
      <c r="I239" s="300"/>
      <c r="J239" s="300"/>
      <c r="K239" s="286"/>
    </row>
    <row r="240" spans="1:22" ht="13" x14ac:dyDescent="0.25">
      <c r="A240" s="286"/>
      <c r="B240" s="287" t="s">
        <v>579</v>
      </c>
      <c r="C240" s="301"/>
      <c r="D240" s="286"/>
      <c r="E240" s="286"/>
      <c r="F240" s="286"/>
      <c r="G240" s="398"/>
      <c r="H240" s="300"/>
      <c r="I240" s="300"/>
      <c r="J240" s="300"/>
      <c r="K240" s="286"/>
    </row>
    <row r="241" spans="1:11" ht="13" x14ac:dyDescent="0.25">
      <c r="A241" s="286"/>
      <c r="B241" s="289" t="s">
        <v>580</v>
      </c>
      <c r="C241" s="290" t="s">
        <v>11</v>
      </c>
      <c r="D241" s="291"/>
      <c r="E241" s="289"/>
      <c r="F241" s="289"/>
      <c r="G241" s="397" t="s">
        <v>581</v>
      </c>
      <c r="H241" s="289" t="s">
        <v>582</v>
      </c>
      <c r="I241" s="289" t="s">
        <v>583</v>
      </c>
      <c r="J241" s="289" t="s">
        <v>584</v>
      </c>
      <c r="K241" s="289" t="s">
        <v>585</v>
      </c>
    </row>
    <row r="242" spans="1:11" ht="13" x14ac:dyDescent="0.25">
      <c r="A242" s="286"/>
      <c r="B242" s="300">
        <v>18</v>
      </c>
      <c r="C242" s="286" t="s">
        <v>959</v>
      </c>
      <c r="D242" s="286"/>
      <c r="E242" s="286"/>
      <c r="F242" s="286"/>
      <c r="G242" s="467">
        <v>-48842</v>
      </c>
      <c r="H242" s="297" t="s">
        <v>960</v>
      </c>
      <c r="I242" s="297">
        <v>2</v>
      </c>
      <c r="J242" s="297">
        <v>1</v>
      </c>
      <c r="K242" s="302">
        <v>200.6</v>
      </c>
    </row>
    <row r="243" spans="1:11" ht="13" x14ac:dyDescent="0.25">
      <c r="A243" s="286"/>
      <c r="B243" s="300"/>
      <c r="C243" s="286"/>
      <c r="D243" s="286"/>
      <c r="E243" s="286"/>
      <c r="F243" s="286"/>
      <c r="G243" s="467"/>
      <c r="H243" s="297"/>
      <c r="I243" s="297"/>
      <c r="J243" s="297"/>
      <c r="K243" s="302"/>
    </row>
    <row r="244" spans="1:11" ht="13" x14ac:dyDescent="0.25">
      <c r="A244" s="286"/>
      <c r="B244" s="300">
        <v>19</v>
      </c>
      <c r="C244" s="286" t="s">
        <v>961</v>
      </c>
      <c r="D244" s="286"/>
      <c r="E244" s="286"/>
      <c r="F244" s="286"/>
      <c r="G244" s="467">
        <v>-312084</v>
      </c>
      <c r="H244" s="297" t="s">
        <v>960</v>
      </c>
      <c r="I244" s="297">
        <v>5</v>
      </c>
      <c r="J244" s="297">
        <v>36</v>
      </c>
      <c r="K244" s="302">
        <v>200.6</v>
      </c>
    </row>
    <row r="245" spans="1:11" ht="13" x14ac:dyDescent="0.25">
      <c r="A245" s="286"/>
      <c r="B245" s="300"/>
      <c r="C245" s="286"/>
      <c r="D245" s="286"/>
      <c r="E245" s="286"/>
      <c r="F245" s="286"/>
      <c r="G245" s="467">
        <v>312084</v>
      </c>
      <c r="H245" s="297" t="s">
        <v>962</v>
      </c>
      <c r="I245" s="297">
        <v>5</v>
      </c>
      <c r="J245" s="297">
        <v>3</v>
      </c>
      <c r="K245" s="302">
        <v>200.6</v>
      </c>
    </row>
    <row r="246" spans="1:11" ht="13" x14ac:dyDescent="0.25">
      <c r="A246" s="286"/>
      <c r="B246" s="300"/>
      <c r="C246" s="286"/>
      <c r="D246" s="286"/>
      <c r="E246" s="286"/>
      <c r="F246" s="286"/>
      <c r="G246" s="474">
        <v>-3</v>
      </c>
      <c r="H246" s="297" t="s">
        <v>960</v>
      </c>
      <c r="I246" s="297">
        <v>8</v>
      </c>
      <c r="J246" s="297">
        <v>36</v>
      </c>
      <c r="K246" s="302">
        <v>200.6</v>
      </c>
    </row>
    <row r="247" spans="1:11" ht="13" x14ac:dyDescent="0.25">
      <c r="A247" s="286"/>
      <c r="B247" s="300"/>
      <c r="C247" s="286"/>
      <c r="D247" s="286"/>
      <c r="E247" s="286"/>
      <c r="F247" s="286"/>
      <c r="G247" s="474">
        <v>3</v>
      </c>
      <c r="H247" s="297" t="s">
        <v>962</v>
      </c>
      <c r="I247" s="297">
        <v>8</v>
      </c>
      <c r="J247" s="297">
        <v>3</v>
      </c>
      <c r="K247" s="302">
        <v>200.6</v>
      </c>
    </row>
    <row r="248" spans="1:11" ht="13" x14ac:dyDescent="0.25">
      <c r="A248" s="286"/>
      <c r="B248" s="300"/>
      <c r="C248" s="286"/>
      <c r="D248" s="286"/>
      <c r="E248" s="286"/>
      <c r="F248" s="286"/>
      <c r="G248" s="467"/>
      <c r="H248" s="297"/>
      <c r="I248" s="297"/>
      <c r="J248" s="297"/>
      <c r="K248" s="302"/>
    </row>
    <row r="249" spans="1:11" ht="13" x14ac:dyDescent="0.25">
      <c r="A249" s="286"/>
      <c r="B249" s="300">
        <v>20</v>
      </c>
      <c r="C249" s="286" t="s">
        <v>963</v>
      </c>
      <c r="D249" s="286"/>
      <c r="E249" s="286"/>
      <c r="F249" s="286"/>
      <c r="G249" s="467">
        <v>721323</v>
      </c>
      <c r="H249" s="297" t="s">
        <v>960</v>
      </c>
      <c r="I249" s="297">
        <v>2</v>
      </c>
      <c r="J249" s="297">
        <v>45</v>
      </c>
      <c r="K249" s="302">
        <v>200.6</v>
      </c>
    </row>
    <row r="250" spans="1:11" ht="13" x14ac:dyDescent="0.25">
      <c r="A250" s="286"/>
      <c r="B250" s="300"/>
      <c r="C250" s="286"/>
      <c r="D250" s="286"/>
      <c r="E250" s="286"/>
      <c r="F250" s="286"/>
      <c r="G250" s="467"/>
      <c r="H250" s="297"/>
      <c r="I250" s="297"/>
      <c r="J250" s="297"/>
      <c r="K250" s="302"/>
    </row>
    <row r="251" spans="1:11" ht="13" x14ac:dyDescent="0.25">
      <c r="A251" s="286"/>
      <c r="B251" s="300">
        <v>21</v>
      </c>
      <c r="C251" s="286" t="s">
        <v>964</v>
      </c>
      <c r="D251" s="286"/>
      <c r="E251" s="286"/>
      <c r="F251" s="286"/>
      <c r="G251" s="467">
        <v>509878</v>
      </c>
      <c r="H251" s="297" t="s">
        <v>960</v>
      </c>
      <c r="I251" s="297">
        <v>5</v>
      </c>
      <c r="J251" s="297">
        <v>46</v>
      </c>
      <c r="K251" s="302">
        <v>200.6</v>
      </c>
    </row>
    <row r="252" spans="1:11" ht="13" x14ac:dyDescent="0.25">
      <c r="A252" s="286"/>
      <c r="B252" s="300"/>
      <c r="C252" s="286"/>
      <c r="D252" s="286"/>
      <c r="E252" s="286"/>
      <c r="F252" s="286"/>
      <c r="G252" s="467"/>
      <c r="H252" s="297"/>
      <c r="I252" s="297"/>
      <c r="J252" s="297"/>
      <c r="K252" s="302"/>
    </row>
    <row r="253" spans="1:11" ht="13" x14ac:dyDescent="0.25">
      <c r="A253" s="286"/>
      <c r="B253" s="300">
        <v>22</v>
      </c>
      <c r="C253" s="286" t="s">
        <v>965</v>
      </c>
      <c r="D253" s="286"/>
      <c r="E253" s="286"/>
      <c r="F253" s="286"/>
      <c r="G253" s="467">
        <v>232834</v>
      </c>
      <c r="H253" s="297" t="s">
        <v>960</v>
      </c>
      <c r="I253" s="297">
        <v>2</v>
      </c>
      <c r="J253" s="297">
        <v>47</v>
      </c>
      <c r="K253" s="302">
        <v>200.6</v>
      </c>
    </row>
    <row r="254" spans="1:11" ht="13" x14ac:dyDescent="0.25">
      <c r="A254" s="286"/>
      <c r="B254" s="300"/>
      <c r="C254" s="286"/>
      <c r="D254" s="286"/>
      <c r="E254" s="286"/>
      <c r="F254" s="286"/>
      <c r="G254" s="467"/>
      <c r="H254" s="297"/>
      <c r="I254" s="297"/>
      <c r="J254" s="297"/>
      <c r="K254" s="302"/>
    </row>
    <row r="255" spans="1:11" ht="13" x14ac:dyDescent="0.25">
      <c r="A255" s="286"/>
      <c r="B255" s="300">
        <v>23</v>
      </c>
      <c r="C255" s="286" t="s">
        <v>966</v>
      </c>
      <c r="D255" s="286"/>
      <c r="E255" s="286"/>
      <c r="F255" s="286"/>
      <c r="G255" s="467">
        <v>694</v>
      </c>
      <c r="H255" s="297" t="s">
        <v>960</v>
      </c>
      <c r="I255" s="297">
        <v>2</v>
      </c>
      <c r="J255" s="297">
        <v>48</v>
      </c>
      <c r="K255" s="302">
        <v>200.6</v>
      </c>
    </row>
    <row r="256" spans="1:11" ht="13" x14ac:dyDescent="0.25">
      <c r="A256" s="286"/>
      <c r="B256" s="300"/>
      <c r="C256" s="286"/>
      <c r="D256" s="286"/>
      <c r="E256" s="286"/>
      <c r="F256" s="286"/>
      <c r="G256" s="467"/>
      <c r="H256" s="297"/>
      <c r="I256" s="297"/>
      <c r="J256" s="297"/>
      <c r="K256" s="302"/>
    </row>
    <row r="257" spans="1:11" ht="13" x14ac:dyDescent="0.25">
      <c r="A257" s="286"/>
      <c r="B257" s="300">
        <v>24</v>
      </c>
      <c r="C257" s="286" t="s">
        <v>967</v>
      </c>
      <c r="D257" s="286"/>
      <c r="E257" s="286"/>
      <c r="F257" s="286"/>
      <c r="G257" s="467">
        <v>126</v>
      </c>
      <c r="H257" s="297" t="s">
        <v>960</v>
      </c>
      <c r="I257" s="297">
        <v>2</v>
      </c>
      <c r="J257" s="297">
        <v>49</v>
      </c>
      <c r="K257" s="302">
        <v>200.6</v>
      </c>
    </row>
    <row r="258" spans="1:11" ht="13" x14ac:dyDescent="0.25">
      <c r="A258" s="286"/>
      <c r="B258" s="300"/>
      <c r="C258" s="286"/>
      <c r="D258" s="286"/>
      <c r="E258" s="286"/>
      <c r="F258" s="286"/>
      <c r="G258" s="467"/>
      <c r="H258" s="297"/>
      <c r="I258" s="297"/>
      <c r="J258" s="297"/>
      <c r="K258" s="302"/>
    </row>
    <row r="259" spans="1:11" ht="13" x14ac:dyDescent="0.25">
      <c r="A259" s="286"/>
      <c r="B259" s="300">
        <v>25</v>
      </c>
      <c r="C259" s="286" t="s">
        <v>968</v>
      </c>
      <c r="D259" s="286"/>
      <c r="E259" s="286"/>
      <c r="F259" s="286"/>
      <c r="G259" s="467">
        <v>-390</v>
      </c>
      <c r="H259" s="297" t="s">
        <v>962</v>
      </c>
      <c r="I259" s="297">
        <v>5</v>
      </c>
      <c r="J259" s="297">
        <v>1</v>
      </c>
      <c r="K259" s="302">
        <v>200.6</v>
      </c>
    </row>
    <row r="260" spans="1:11" ht="13" x14ac:dyDescent="0.25">
      <c r="A260" s="286"/>
      <c r="B260" s="300"/>
      <c r="C260" s="286"/>
      <c r="D260" s="286"/>
      <c r="E260" s="286"/>
      <c r="F260" s="286"/>
      <c r="G260" s="467">
        <v>-13362</v>
      </c>
      <c r="H260" s="297" t="s">
        <v>960</v>
      </c>
      <c r="I260" s="297">
        <v>2</v>
      </c>
      <c r="J260" s="297">
        <v>10</v>
      </c>
      <c r="K260" s="302">
        <v>200.6</v>
      </c>
    </row>
    <row r="261" spans="1:11" ht="13" x14ac:dyDescent="0.25">
      <c r="A261" s="286"/>
      <c r="B261" s="300"/>
      <c r="C261" s="286"/>
      <c r="D261" s="286"/>
      <c r="E261" s="286"/>
      <c r="F261" s="286"/>
      <c r="G261" s="467">
        <v>-29160</v>
      </c>
      <c r="H261" s="297" t="s">
        <v>960</v>
      </c>
      <c r="I261" s="297">
        <v>2</v>
      </c>
      <c r="J261" s="297">
        <v>22</v>
      </c>
      <c r="K261" s="302">
        <v>200.6</v>
      </c>
    </row>
    <row r="262" spans="1:11" ht="13" x14ac:dyDescent="0.25">
      <c r="A262" s="286"/>
      <c r="B262" s="300"/>
      <c r="C262" s="286"/>
      <c r="D262" s="286"/>
      <c r="E262" s="286"/>
      <c r="F262" s="286"/>
      <c r="G262" s="467">
        <v>-9936</v>
      </c>
      <c r="H262" s="297" t="s">
        <v>960</v>
      </c>
      <c r="I262" s="297">
        <v>2</v>
      </c>
      <c r="J262" s="297">
        <v>11</v>
      </c>
      <c r="K262" s="302">
        <v>200.6</v>
      </c>
    </row>
    <row r="263" spans="1:11" ht="13" x14ac:dyDescent="0.25">
      <c r="A263" s="286"/>
      <c r="B263" s="300"/>
      <c r="C263" s="286"/>
      <c r="D263" s="286"/>
      <c r="E263" s="286"/>
      <c r="F263" s="286"/>
      <c r="G263" s="467">
        <v>-108996</v>
      </c>
      <c r="H263" s="297" t="s">
        <v>960</v>
      </c>
      <c r="I263" s="297">
        <v>2</v>
      </c>
      <c r="J263" s="297">
        <v>33</v>
      </c>
      <c r="K263" s="302">
        <v>200.6</v>
      </c>
    </row>
    <row r="264" spans="1:11" ht="13" x14ac:dyDescent="0.25">
      <c r="A264" s="286"/>
      <c r="B264" s="300"/>
      <c r="C264" s="286"/>
      <c r="D264" s="286"/>
      <c r="E264" s="286"/>
      <c r="F264" s="286"/>
      <c r="G264" s="467">
        <v>-22392</v>
      </c>
      <c r="H264" s="297" t="s">
        <v>960</v>
      </c>
      <c r="I264" s="297">
        <v>2</v>
      </c>
      <c r="J264" s="297">
        <v>35</v>
      </c>
      <c r="K264" s="302">
        <v>200.6</v>
      </c>
    </row>
    <row r="265" spans="1:11" ht="13" x14ac:dyDescent="0.25">
      <c r="A265" s="286"/>
      <c r="B265" s="300"/>
      <c r="C265" s="286"/>
      <c r="D265" s="286"/>
      <c r="E265" s="286"/>
      <c r="F265" s="286"/>
      <c r="G265" s="467">
        <v>-27696</v>
      </c>
      <c r="H265" s="297" t="s">
        <v>960</v>
      </c>
      <c r="I265" s="297">
        <v>2</v>
      </c>
      <c r="J265" s="297">
        <v>20</v>
      </c>
      <c r="K265" s="302">
        <v>200.6</v>
      </c>
    </row>
    <row r="266" spans="1:11" ht="13" x14ac:dyDescent="0.25">
      <c r="A266" s="286"/>
      <c r="B266" s="300"/>
      <c r="C266" s="286"/>
      <c r="D266" s="286"/>
      <c r="E266" s="286"/>
      <c r="F266" s="286"/>
      <c r="G266" s="467">
        <v>-33300</v>
      </c>
      <c r="H266" s="297" t="s">
        <v>960</v>
      </c>
      <c r="I266" s="297">
        <v>2</v>
      </c>
      <c r="J266" s="297">
        <v>5</v>
      </c>
      <c r="K266" s="302">
        <v>200.6</v>
      </c>
    </row>
    <row r="267" spans="1:11" ht="13" x14ac:dyDescent="0.25">
      <c r="A267" s="286"/>
      <c r="B267" s="300"/>
      <c r="C267" s="286"/>
      <c r="D267" s="286"/>
      <c r="E267" s="286"/>
      <c r="F267" s="286"/>
      <c r="G267" s="467">
        <v>-36564</v>
      </c>
      <c r="H267" s="297" t="s">
        <v>960</v>
      </c>
      <c r="I267" s="297">
        <v>2</v>
      </c>
      <c r="J267" s="297">
        <v>27</v>
      </c>
      <c r="K267" s="302">
        <v>200.6</v>
      </c>
    </row>
    <row r="268" spans="1:11" ht="13" x14ac:dyDescent="0.25">
      <c r="A268" s="286"/>
      <c r="B268" s="300"/>
      <c r="C268" s="286"/>
      <c r="D268" s="286"/>
      <c r="E268" s="286"/>
      <c r="F268" s="286"/>
      <c r="G268" s="467">
        <v>-22044</v>
      </c>
      <c r="H268" s="297" t="s">
        <v>960</v>
      </c>
      <c r="I268" s="297">
        <v>2</v>
      </c>
      <c r="J268" s="297">
        <v>3</v>
      </c>
      <c r="K268" s="302">
        <v>200.6</v>
      </c>
    </row>
    <row r="269" spans="1:11" ht="13" x14ac:dyDescent="0.25">
      <c r="A269" s="286"/>
      <c r="B269" s="300"/>
      <c r="C269" s="286"/>
      <c r="D269" s="286"/>
      <c r="E269" s="286"/>
      <c r="F269" s="286"/>
      <c r="G269" s="467">
        <v>-99240</v>
      </c>
      <c r="H269" s="297" t="s">
        <v>960</v>
      </c>
      <c r="I269" s="297">
        <v>2</v>
      </c>
      <c r="J269" s="297">
        <v>13</v>
      </c>
      <c r="K269" s="302">
        <v>200.6</v>
      </c>
    </row>
    <row r="270" spans="1:11" ht="13" x14ac:dyDescent="0.25">
      <c r="A270" s="286"/>
      <c r="B270" s="300"/>
      <c r="C270" s="286"/>
      <c r="D270" s="286"/>
      <c r="E270" s="286"/>
      <c r="F270" s="286"/>
      <c r="G270" s="467"/>
      <c r="H270" s="297"/>
      <c r="I270" s="297"/>
      <c r="J270" s="297"/>
      <c r="K270" s="302"/>
    </row>
    <row r="271" spans="1:11" ht="13" x14ac:dyDescent="0.25">
      <c r="A271" s="286"/>
      <c r="B271" s="300">
        <v>26</v>
      </c>
      <c r="C271" s="286" t="s">
        <v>969</v>
      </c>
      <c r="D271" s="286"/>
      <c r="E271" s="286"/>
      <c r="F271" s="286"/>
      <c r="G271" s="467">
        <v>-3134</v>
      </c>
      <c r="H271" s="297" t="s">
        <v>962</v>
      </c>
      <c r="I271" s="297">
        <v>5</v>
      </c>
      <c r="J271" s="297">
        <v>1</v>
      </c>
      <c r="K271" s="302">
        <v>200.6</v>
      </c>
    </row>
    <row r="272" spans="1:11" ht="13" x14ac:dyDescent="0.25">
      <c r="A272" s="286"/>
      <c r="B272" s="300"/>
      <c r="C272" s="286"/>
      <c r="D272" s="286"/>
      <c r="E272" s="286"/>
      <c r="F272" s="286"/>
      <c r="G272" s="467">
        <v>-30</v>
      </c>
      <c r="H272" s="297" t="s">
        <v>960</v>
      </c>
      <c r="I272" s="297">
        <v>5</v>
      </c>
      <c r="J272" s="297">
        <v>41</v>
      </c>
      <c r="K272" s="302">
        <v>200.6</v>
      </c>
    </row>
    <row r="273" spans="1:11" ht="13" x14ac:dyDescent="0.25">
      <c r="A273" s="286"/>
      <c r="B273" s="300"/>
      <c r="C273" s="286"/>
      <c r="D273" s="286"/>
      <c r="E273" s="286"/>
      <c r="F273" s="286"/>
      <c r="G273" s="467">
        <v>-603</v>
      </c>
      <c r="H273" s="297" t="s">
        <v>960</v>
      </c>
      <c r="I273" s="297">
        <v>2</v>
      </c>
      <c r="J273" s="297">
        <v>10</v>
      </c>
      <c r="K273" s="302">
        <v>200.6</v>
      </c>
    </row>
    <row r="274" spans="1:11" ht="13" x14ac:dyDescent="0.25">
      <c r="A274" s="286"/>
      <c r="B274" s="300"/>
      <c r="C274" s="286"/>
      <c r="D274" s="286"/>
      <c r="E274" s="286"/>
      <c r="F274" s="286"/>
      <c r="G274" s="467">
        <v>-605</v>
      </c>
      <c r="H274" s="297" t="s">
        <v>960</v>
      </c>
      <c r="I274" s="297">
        <v>5</v>
      </c>
      <c r="J274" s="297">
        <v>40</v>
      </c>
      <c r="K274" s="302">
        <v>200.6</v>
      </c>
    </row>
    <row r="275" spans="1:11" ht="13" x14ac:dyDescent="0.25">
      <c r="A275" s="286"/>
      <c r="B275" s="300"/>
      <c r="C275" s="286"/>
      <c r="D275" s="286"/>
      <c r="E275" s="286"/>
      <c r="F275" s="286"/>
      <c r="G275" s="467">
        <v>-400</v>
      </c>
      <c r="H275" s="297" t="s">
        <v>960</v>
      </c>
      <c r="I275" s="297">
        <v>2</v>
      </c>
      <c r="J275" s="297">
        <v>44</v>
      </c>
      <c r="K275" s="302">
        <v>200.6</v>
      </c>
    </row>
    <row r="276" spans="1:11" ht="13" x14ac:dyDescent="0.25">
      <c r="A276" s="286"/>
      <c r="B276" s="300"/>
      <c r="C276" s="286"/>
      <c r="D276" s="286"/>
      <c r="E276" s="286"/>
      <c r="F276" s="286"/>
      <c r="G276" s="467">
        <v>-343096</v>
      </c>
      <c r="H276" s="297" t="s">
        <v>960</v>
      </c>
      <c r="I276" s="297">
        <v>2</v>
      </c>
      <c r="J276" s="297">
        <v>2</v>
      </c>
      <c r="K276" s="302">
        <v>200.6</v>
      </c>
    </row>
    <row r="277" spans="1:11" ht="13" x14ac:dyDescent="0.25">
      <c r="A277" s="286"/>
      <c r="B277" s="300"/>
      <c r="C277" s="286"/>
      <c r="D277" s="286"/>
      <c r="E277" s="286"/>
      <c r="F277" s="286"/>
      <c r="G277" s="467">
        <v>343096</v>
      </c>
      <c r="H277" s="297" t="s">
        <v>960</v>
      </c>
      <c r="I277" s="297">
        <v>5</v>
      </c>
      <c r="J277" s="297">
        <v>2</v>
      </c>
      <c r="K277" s="302">
        <v>200.6</v>
      </c>
    </row>
    <row r="278" spans="1:11" ht="13" x14ac:dyDescent="0.25">
      <c r="A278" s="286"/>
      <c r="B278" s="300"/>
      <c r="C278" s="286"/>
      <c r="D278" s="286"/>
      <c r="E278" s="286"/>
      <c r="F278" s="286"/>
      <c r="G278" s="467">
        <v>-131215</v>
      </c>
      <c r="H278" s="297" t="s">
        <v>960</v>
      </c>
      <c r="I278" s="297">
        <v>2</v>
      </c>
      <c r="J278" s="297">
        <v>25</v>
      </c>
      <c r="K278" s="302">
        <v>200.6</v>
      </c>
    </row>
    <row r="279" spans="1:11" ht="13" x14ac:dyDescent="0.25">
      <c r="A279" s="286"/>
      <c r="B279" s="300"/>
      <c r="C279" s="286"/>
      <c r="D279" s="286"/>
      <c r="E279" s="286"/>
      <c r="F279" s="286"/>
      <c r="G279" s="467">
        <v>131215</v>
      </c>
      <c r="H279" s="297" t="s">
        <v>960</v>
      </c>
      <c r="I279" s="297">
        <v>5</v>
      </c>
      <c r="J279" s="297">
        <v>25</v>
      </c>
      <c r="K279" s="302">
        <v>200.6</v>
      </c>
    </row>
    <row r="280" spans="1:11" ht="13" x14ac:dyDescent="0.25">
      <c r="A280" s="286"/>
      <c r="B280" s="300"/>
      <c r="C280" s="286"/>
      <c r="D280" s="286"/>
      <c r="E280" s="286"/>
      <c r="F280" s="286"/>
      <c r="G280" s="467">
        <v>18491</v>
      </c>
      <c r="H280" s="297" t="s">
        <v>970</v>
      </c>
      <c r="I280" s="297">
        <v>5</v>
      </c>
      <c r="J280" s="297">
        <v>3</v>
      </c>
      <c r="K280" s="302">
        <v>200.6</v>
      </c>
    </row>
    <row r="281" spans="1:11" ht="13" x14ac:dyDescent="0.25">
      <c r="A281" s="286"/>
      <c r="B281" s="300"/>
      <c r="C281" s="286"/>
      <c r="D281" s="286"/>
      <c r="E281" s="286"/>
      <c r="F281" s="286"/>
      <c r="G281" s="467">
        <v>216523</v>
      </c>
      <c r="H281" s="297" t="s">
        <v>962</v>
      </c>
      <c r="I281" s="297">
        <v>5</v>
      </c>
      <c r="J281" s="297">
        <v>5</v>
      </c>
      <c r="K281" s="302">
        <v>200.6</v>
      </c>
    </row>
    <row r="282" spans="1:11" ht="13" x14ac:dyDescent="0.25">
      <c r="A282" s="286"/>
      <c r="B282" s="300"/>
      <c r="C282" s="286"/>
      <c r="D282" s="286"/>
      <c r="E282" s="286"/>
      <c r="F282" s="286"/>
      <c r="G282" s="467">
        <v>-46</v>
      </c>
      <c r="H282" s="297" t="s">
        <v>960</v>
      </c>
      <c r="I282" s="297">
        <v>2</v>
      </c>
      <c r="J282" s="297">
        <v>4</v>
      </c>
      <c r="K282" s="302">
        <v>200.6</v>
      </c>
    </row>
    <row r="283" spans="1:11" ht="13" x14ac:dyDescent="0.25">
      <c r="A283" s="286"/>
      <c r="B283" s="300"/>
      <c r="C283" s="286"/>
      <c r="D283" s="286"/>
      <c r="E283" s="286"/>
      <c r="F283" s="286"/>
      <c r="G283" s="467">
        <v>46</v>
      </c>
      <c r="H283" s="297" t="s">
        <v>960</v>
      </c>
      <c r="I283" s="297">
        <v>5</v>
      </c>
      <c r="J283" s="297">
        <v>4</v>
      </c>
      <c r="K283" s="302">
        <v>200.6</v>
      </c>
    </row>
    <row r="284" spans="1:11" ht="13" x14ac:dyDescent="0.25">
      <c r="A284" s="286"/>
      <c r="B284" s="300"/>
      <c r="C284" s="286"/>
      <c r="D284" s="286"/>
      <c r="E284" s="286"/>
      <c r="F284" s="286"/>
      <c r="G284" s="467">
        <v>231</v>
      </c>
      <c r="H284" s="297" t="s">
        <v>960</v>
      </c>
      <c r="I284" s="297">
        <v>2</v>
      </c>
      <c r="J284" s="297">
        <v>12</v>
      </c>
      <c r="K284" s="302">
        <v>200.6</v>
      </c>
    </row>
    <row r="285" spans="1:11" ht="13" x14ac:dyDescent="0.25">
      <c r="A285" s="286"/>
      <c r="B285" s="300"/>
      <c r="C285" s="286"/>
      <c r="D285" s="286"/>
      <c r="E285" s="286"/>
      <c r="F285" s="286"/>
      <c r="G285" s="467">
        <v>-231</v>
      </c>
      <c r="H285" s="297" t="s">
        <v>960</v>
      </c>
      <c r="I285" s="297">
        <v>5</v>
      </c>
      <c r="J285" s="297">
        <v>12</v>
      </c>
      <c r="K285" s="302">
        <v>200.6</v>
      </c>
    </row>
    <row r="286" spans="1:11" ht="13" x14ac:dyDescent="0.25">
      <c r="A286" s="286"/>
      <c r="B286" s="300"/>
      <c r="C286" s="286"/>
      <c r="D286" s="286"/>
      <c r="E286" s="286"/>
      <c r="F286" s="286"/>
      <c r="G286" s="467">
        <v>-56</v>
      </c>
      <c r="H286" s="297" t="s">
        <v>960</v>
      </c>
      <c r="I286" s="297">
        <v>2</v>
      </c>
      <c r="J286" s="297">
        <v>26</v>
      </c>
      <c r="K286" s="302">
        <v>200.6</v>
      </c>
    </row>
    <row r="287" spans="1:11" ht="13" x14ac:dyDescent="0.25">
      <c r="A287" s="286"/>
      <c r="B287" s="300"/>
      <c r="C287" s="286"/>
      <c r="D287" s="286"/>
      <c r="E287" s="286"/>
      <c r="F287" s="286"/>
      <c r="G287" s="467">
        <v>56</v>
      </c>
      <c r="H287" s="297" t="s">
        <v>960</v>
      </c>
      <c r="I287" s="297">
        <v>5</v>
      </c>
      <c r="J287" s="297">
        <v>26</v>
      </c>
      <c r="K287" s="302">
        <v>200.6</v>
      </c>
    </row>
    <row r="288" spans="1:11" ht="13" x14ac:dyDescent="0.25">
      <c r="A288" s="286"/>
      <c r="B288" s="300"/>
      <c r="C288" s="286"/>
      <c r="D288" s="286"/>
      <c r="E288" s="286"/>
      <c r="F288" s="286"/>
      <c r="G288" s="467">
        <v>-218</v>
      </c>
      <c r="H288" s="297" t="s">
        <v>960</v>
      </c>
      <c r="I288" s="297">
        <v>2</v>
      </c>
      <c r="J288" s="297">
        <v>9</v>
      </c>
      <c r="K288" s="302">
        <v>200.6</v>
      </c>
    </row>
    <row r="289" spans="1:11" ht="13" x14ac:dyDescent="0.25">
      <c r="A289" s="286"/>
      <c r="B289" s="300"/>
      <c r="C289" s="286"/>
      <c r="D289" s="286"/>
      <c r="E289" s="286"/>
      <c r="F289" s="286"/>
      <c r="G289" s="467">
        <v>218</v>
      </c>
      <c r="H289" s="297" t="s">
        <v>960</v>
      </c>
      <c r="I289" s="297">
        <v>5</v>
      </c>
      <c r="J289" s="297">
        <v>9</v>
      </c>
      <c r="K289" s="302">
        <v>200.6</v>
      </c>
    </row>
    <row r="290" spans="1:11" ht="13" x14ac:dyDescent="0.25">
      <c r="A290" s="286"/>
      <c r="B290" s="300"/>
      <c r="C290" s="286"/>
      <c r="D290" s="286"/>
      <c r="E290" s="286"/>
      <c r="F290" s="286"/>
      <c r="G290" s="467">
        <v>-61</v>
      </c>
      <c r="H290" s="297" t="s">
        <v>960</v>
      </c>
      <c r="I290" s="297">
        <v>2</v>
      </c>
      <c r="J290" s="297">
        <v>7</v>
      </c>
      <c r="K290" s="302">
        <v>200.6</v>
      </c>
    </row>
    <row r="291" spans="1:11" ht="13" x14ac:dyDescent="0.25">
      <c r="A291" s="286"/>
      <c r="B291" s="300"/>
      <c r="C291" s="286"/>
      <c r="D291" s="286"/>
      <c r="E291" s="286"/>
      <c r="F291" s="286"/>
      <c r="G291" s="467">
        <v>61</v>
      </c>
      <c r="H291" s="297" t="s">
        <v>960</v>
      </c>
      <c r="I291" s="297">
        <v>5</v>
      </c>
      <c r="J291" s="297">
        <v>7</v>
      </c>
      <c r="K291" s="302">
        <v>200.6</v>
      </c>
    </row>
    <row r="292" spans="1:11" ht="13" x14ac:dyDescent="0.25">
      <c r="A292" s="286"/>
      <c r="B292" s="300"/>
      <c r="C292" s="286"/>
      <c r="D292" s="286"/>
      <c r="E292" s="286"/>
      <c r="F292" s="286"/>
      <c r="G292" s="467">
        <v>-1304</v>
      </c>
      <c r="H292" s="297" t="s">
        <v>960</v>
      </c>
      <c r="I292" s="297">
        <v>2</v>
      </c>
      <c r="J292" s="297">
        <v>29</v>
      </c>
      <c r="K292" s="302">
        <v>200.6</v>
      </c>
    </row>
    <row r="293" spans="1:11" ht="13" x14ac:dyDescent="0.25">
      <c r="A293" s="286"/>
      <c r="B293" s="300"/>
      <c r="C293" s="286"/>
      <c r="D293" s="286"/>
      <c r="E293" s="286"/>
      <c r="F293" s="286"/>
      <c r="G293" s="467">
        <v>1304</v>
      </c>
      <c r="H293" s="297" t="s">
        <v>960</v>
      </c>
      <c r="I293" s="297">
        <v>5</v>
      </c>
      <c r="J293" s="297">
        <v>29</v>
      </c>
      <c r="K293" s="302">
        <v>200.6</v>
      </c>
    </row>
    <row r="294" spans="1:11" ht="13" x14ac:dyDescent="0.25">
      <c r="A294" s="286"/>
      <c r="B294" s="300"/>
      <c r="C294" s="286"/>
      <c r="D294" s="286"/>
      <c r="E294" s="286"/>
      <c r="F294" s="286"/>
      <c r="G294" s="467">
        <v>-417</v>
      </c>
      <c r="H294" s="297" t="s">
        <v>970</v>
      </c>
      <c r="I294" s="297">
        <v>2</v>
      </c>
      <c r="J294" s="297">
        <v>2</v>
      </c>
      <c r="K294" s="302">
        <v>200.6</v>
      </c>
    </row>
    <row r="295" spans="1:11" ht="13" x14ac:dyDescent="0.25">
      <c r="A295" s="286"/>
      <c r="B295" s="300"/>
      <c r="C295" s="286"/>
      <c r="D295" s="286"/>
      <c r="E295" s="286"/>
      <c r="F295" s="286"/>
      <c r="G295" s="467">
        <v>417</v>
      </c>
      <c r="H295" s="297" t="s">
        <v>970</v>
      </c>
      <c r="I295" s="297">
        <v>5</v>
      </c>
      <c r="J295" s="297">
        <v>2</v>
      </c>
      <c r="K295" s="302">
        <v>200.6</v>
      </c>
    </row>
    <row r="296" spans="1:11" ht="13" x14ac:dyDescent="0.25">
      <c r="A296" s="286"/>
      <c r="B296" s="300"/>
      <c r="C296" s="286"/>
      <c r="D296" s="286"/>
      <c r="E296" s="286"/>
      <c r="F296" s="286"/>
      <c r="G296" s="467">
        <v>5637</v>
      </c>
      <c r="H296" s="297" t="s">
        <v>960</v>
      </c>
      <c r="I296" s="297">
        <v>5</v>
      </c>
      <c r="J296" s="297">
        <v>51</v>
      </c>
      <c r="K296" s="302">
        <v>200.6</v>
      </c>
    </row>
    <row r="297" spans="1:11" ht="13" x14ac:dyDescent="0.25">
      <c r="A297" s="286"/>
      <c r="B297" s="300"/>
      <c r="C297" s="286"/>
      <c r="D297" s="286"/>
      <c r="E297" s="286"/>
      <c r="F297" s="286"/>
      <c r="G297" s="467">
        <v>-226651</v>
      </c>
      <c r="H297" s="297" t="s">
        <v>960</v>
      </c>
      <c r="I297" s="297">
        <v>5</v>
      </c>
      <c r="J297" s="297">
        <v>52</v>
      </c>
      <c r="K297" s="302">
        <v>200.6</v>
      </c>
    </row>
    <row r="298" spans="1:11" ht="13" x14ac:dyDescent="0.25">
      <c r="A298" s="286"/>
      <c r="B298" s="300"/>
      <c r="C298" s="286"/>
      <c r="D298" s="286"/>
      <c r="E298" s="286"/>
      <c r="F298" s="286"/>
      <c r="G298" s="467">
        <v>902063</v>
      </c>
      <c r="H298" s="297" t="s">
        <v>960</v>
      </c>
      <c r="I298" s="297">
        <v>2</v>
      </c>
      <c r="J298" s="297">
        <v>38</v>
      </c>
      <c r="K298" s="302" t="s">
        <v>1045</v>
      </c>
    </row>
    <row r="299" spans="1:11" ht="13" x14ac:dyDescent="0.25">
      <c r="A299" s="286"/>
      <c r="B299" s="300"/>
      <c r="C299" s="286"/>
      <c r="D299" s="286"/>
      <c r="E299" s="286"/>
      <c r="F299" s="286"/>
      <c r="G299" s="467">
        <v>-902063</v>
      </c>
      <c r="H299" s="297" t="s">
        <v>960</v>
      </c>
      <c r="I299" s="297">
        <v>5</v>
      </c>
      <c r="J299" s="297">
        <v>38</v>
      </c>
      <c r="K299" s="302" t="s">
        <v>1045</v>
      </c>
    </row>
    <row r="300" spans="1:11" ht="13" x14ac:dyDescent="0.25">
      <c r="A300" s="286"/>
      <c r="B300" s="300"/>
      <c r="C300" s="286"/>
      <c r="D300" s="286"/>
      <c r="E300" s="286"/>
      <c r="F300" s="286"/>
      <c r="G300" s="467">
        <v>-150</v>
      </c>
      <c r="H300" s="297" t="s">
        <v>960</v>
      </c>
      <c r="I300" s="297">
        <v>2</v>
      </c>
      <c r="J300" s="297">
        <v>31</v>
      </c>
      <c r="K300" s="302" t="s">
        <v>1045</v>
      </c>
    </row>
    <row r="301" spans="1:11" ht="13" x14ac:dyDescent="0.25">
      <c r="A301" s="286"/>
      <c r="B301" s="300"/>
      <c r="C301" s="286"/>
      <c r="D301" s="286"/>
      <c r="E301" s="286"/>
      <c r="F301" s="286"/>
      <c r="G301" s="467">
        <v>-404579</v>
      </c>
      <c r="H301" s="297" t="s">
        <v>970</v>
      </c>
      <c r="I301" s="297">
        <v>2</v>
      </c>
      <c r="J301" s="297">
        <v>2</v>
      </c>
      <c r="K301" s="302" t="s">
        <v>1045</v>
      </c>
    </row>
    <row r="302" spans="1:11" ht="13" x14ac:dyDescent="0.25">
      <c r="A302" s="286"/>
      <c r="B302" s="300"/>
      <c r="C302" s="286"/>
      <c r="D302" s="286"/>
      <c r="E302" s="286"/>
      <c r="F302" s="286"/>
      <c r="G302" s="467">
        <v>404579</v>
      </c>
      <c r="H302" s="297" t="s">
        <v>970</v>
      </c>
      <c r="I302" s="297">
        <v>5</v>
      </c>
      <c r="J302" s="297">
        <v>2</v>
      </c>
      <c r="K302" s="302" t="s">
        <v>1045</v>
      </c>
    </row>
    <row r="303" spans="1:11" ht="13" thickBot="1" x14ac:dyDescent="0.3">
      <c r="A303" s="286"/>
      <c r="B303" s="300"/>
      <c r="C303" s="286"/>
      <c r="D303" s="286"/>
      <c r="E303" s="286"/>
      <c r="F303" s="286"/>
      <c r="G303" s="398"/>
      <c r="H303" s="299"/>
      <c r="I303" s="299"/>
      <c r="J303" s="299"/>
      <c r="K303" s="302"/>
    </row>
    <row r="304" spans="1:11" ht="13.5" thickBot="1" x14ac:dyDescent="0.3">
      <c r="A304" s="286"/>
      <c r="B304" s="282" t="s">
        <v>589</v>
      </c>
      <c r="C304" s="283"/>
      <c r="D304" s="283"/>
      <c r="E304" s="283"/>
      <c r="F304" s="283"/>
      <c r="G304" s="394"/>
      <c r="H304" s="400"/>
      <c r="I304" s="400"/>
      <c r="J304" s="400"/>
      <c r="K304" s="284"/>
    </row>
    <row r="305" spans="1:11" x14ac:dyDescent="0.25">
      <c r="A305" s="286"/>
      <c r="B305" s="300"/>
      <c r="C305" s="301"/>
      <c r="D305" s="286"/>
      <c r="E305" s="286"/>
      <c r="F305" s="286"/>
      <c r="G305" s="398"/>
      <c r="H305" s="300"/>
      <c r="I305" s="300"/>
      <c r="J305" s="300"/>
      <c r="K305" s="286"/>
    </row>
    <row r="306" spans="1:11" ht="13" x14ac:dyDescent="0.25">
      <c r="A306" s="286"/>
      <c r="B306" s="287" t="s">
        <v>579</v>
      </c>
      <c r="C306" s="301"/>
      <c r="D306" s="286"/>
      <c r="E306" s="286"/>
      <c r="F306" s="286"/>
      <c r="G306" s="398"/>
      <c r="H306" s="300"/>
      <c r="I306" s="300"/>
      <c r="J306" s="300"/>
      <c r="K306" s="286"/>
    </row>
    <row r="307" spans="1:11" ht="13" x14ac:dyDescent="0.25">
      <c r="A307" s="286"/>
      <c r="B307" s="289" t="s">
        <v>580</v>
      </c>
      <c r="C307" s="290" t="s">
        <v>11</v>
      </c>
      <c r="D307" s="291"/>
      <c r="E307" s="289"/>
      <c r="F307" s="289"/>
      <c r="G307" s="397" t="s">
        <v>581</v>
      </c>
      <c r="H307" s="289" t="s">
        <v>582</v>
      </c>
      <c r="I307" s="289" t="s">
        <v>583</v>
      </c>
      <c r="J307" s="289" t="s">
        <v>584</v>
      </c>
      <c r="K307" s="289" t="s">
        <v>585</v>
      </c>
    </row>
    <row r="308" spans="1:11" ht="13" x14ac:dyDescent="0.25">
      <c r="A308" s="286"/>
      <c r="B308" s="300">
        <v>27</v>
      </c>
      <c r="C308" s="301" t="s">
        <v>938</v>
      </c>
      <c r="D308" s="300"/>
      <c r="E308" s="300"/>
      <c r="F308" s="300"/>
      <c r="G308" s="467">
        <v>1294647</v>
      </c>
      <c r="H308" s="297">
        <v>3</v>
      </c>
      <c r="I308" s="297">
        <v>11</v>
      </c>
      <c r="J308" s="297">
        <v>1</v>
      </c>
      <c r="K308" s="302" t="s">
        <v>1046</v>
      </c>
    </row>
    <row r="309" spans="1:11" ht="13" x14ac:dyDescent="0.3">
      <c r="A309" s="294"/>
      <c r="B309" s="295"/>
      <c r="C309" s="469"/>
      <c r="D309" s="294"/>
      <c r="E309" s="294"/>
      <c r="F309" s="294"/>
      <c r="G309" s="296">
        <v>1834073</v>
      </c>
      <c r="H309" s="297">
        <v>3</v>
      </c>
      <c r="I309" s="297">
        <v>11</v>
      </c>
      <c r="J309" s="468">
        <v>2</v>
      </c>
      <c r="K309" s="302" t="s">
        <v>1046</v>
      </c>
    </row>
    <row r="310" spans="1:11" ht="13.5" thickBot="1" x14ac:dyDescent="0.3">
      <c r="A310" s="294"/>
      <c r="B310" s="295"/>
      <c r="C310" s="469"/>
      <c r="D310" s="294"/>
      <c r="E310" s="294"/>
      <c r="F310" s="294"/>
      <c r="G310" s="296"/>
      <c r="H310" s="297"/>
      <c r="I310" s="297"/>
      <c r="J310" s="401"/>
      <c r="K310" s="302"/>
    </row>
    <row r="311" spans="1:11" ht="13.5" thickBot="1" x14ac:dyDescent="0.3">
      <c r="A311" s="286"/>
      <c r="B311" s="282" t="s">
        <v>590</v>
      </c>
      <c r="C311" s="283"/>
      <c r="D311" s="283"/>
      <c r="E311" s="283"/>
      <c r="F311" s="283"/>
      <c r="G311" s="394"/>
      <c r="H311" s="400"/>
      <c r="I311" s="400"/>
      <c r="J311" s="400"/>
      <c r="K311" s="284"/>
    </row>
    <row r="312" spans="1:11" x14ac:dyDescent="0.25">
      <c r="A312" s="286"/>
      <c r="B312" s="300"/>
      <c r="C312" s="301"/>
      <c r="D312" s="286"/>
      <c r="E312" s="286"/>
      <c r="F312" s="286"/>
      <c r="G312" s="398"/>
      <c r="H312" s="300"/>
      <c r="I312" s="300"/>
      <c r="J312" s="300"/>
      <c r="K312" s="286"/>
    </row>
    <row r="313" spans="1:11" ht="13" x14ac:dyDescent="0.25">
      <c r="A313" s="286"/>
      <c r="B313" s="287" t="s">
        <v>579</v>
      </c>
      <c r="C313" s="301"/>
      <c r="D313" s="286"/>
      <c r="E313" s="286"/>
      <c r="F313" s="286"/>
      <c r="G313" s="398"/>
      <c r="H313" s="300"/>
      <c r="I313" s="300"/>
      <c r="J313" s="300"/>
      <c r="K313" s="286"/>
    </row>
    <row r="314" spans="1:11" ht="13" x14ac:dyDescent="0.25">
      <c r="A314" s="286"/>
      <c r="B314" s="289" t="s">
        <v>580</v>
      </c>
      <c r="C314" s="290" t="s">
        <v>11</v>
      </c>
      <c r="D314" s="291"/>
      <c r="E314" s="289"/>
      <c r="F314" s="289"/>
      <c r="G314" s="397" t="s">
        <v>581</v>
      </c>
      <c r="H314" s="289" t="s">
        <v>582</v>
      </c>
      <c r="I314" s="289" t="s">
        <v>583</v>
      </c>
      <c r="J314" s="289" t="s">
        <v>584</v>
      </c>
      <c r="K314" s="289" t="s">
        <v>585</v>
      </c>
    </row>
    <row r="315" spans="1:11" ht="13" x14ac:dyDescent="0.25">
      <c r="A315" s="286"/>
      <c r="B315" s="300">
        <v>28</v>
      </c>
      <c r="C315" s="301" t="s">
        <v>935</v>
      </c>
      <c r="D315" s="300"/>
      <c r="E315" s="300"/>
      <c r="F315" s="300"/>
      <c r="G315" s="467">
        <v>379</v>
      </c>
      <c r="H315" s="287">
        <v>4</v>
      </c>
      <c r="I315" s="287">
        <v>1</v>
      </c>
      <c r="J315" s="287">
        <v>119</v>
      </c>
      <c r="K315" s="300">
        <v>300.10000000000002</v>
      </c>
    </row>
    <row r="316" spans="1:11" ht="13" x14ac:dyDescent="0.25">
      <c r="A316" s="286"/>
      <c r="B316" s="286"/>
      <c r="C316" s="301"/>
      <c r="D316" s="286"/>
      <c r="E316" s="286"/>
      <c r="F316" s="286"/>
      <c r="G316" s="467">
        <v>4</v>
      </c>
      <c r="H316" s="287">
        <v>4</v>
      </c>
      <c r="I316" s="287">
        <v>5</v>
      </c>
      <c r="J316" s="287">
        <v>119</v>
      </c>
      <c r="K316" s="300">
        <v>300.10000000000002</v>
      </c>
    </row>
    <row r="317" spans="1:11" ht="13" x14ac:dyDescent="0.25">
      <c r="A317" s="286"/>
      <c r="B317" s="286"/>
      <c r="C317" s="301"/>
      <c r="D317" s="286"/>
      <c r="E317" s="286"/>
      <c r="F317" s="286"/>
      <c r="G317" s="467"/>
      <c r="H317" s="287"/>
      <c r="I317" s="287"/>
      <c r="J317" s="287"/>
      <c r="K317" s="300"/>
    </row>
    <row r="318" spans="1:11" ht="13" x14ac:dyDescent="0.25">
      <c r="A318" s="286"/>
      <c r="B318" s="300">
        <v>29</v>
      </c>
      <c r="C318" s="301" t="s">
        <v>936</v>
      </c>
      <c r="D318" s="286"/>
      <c r="E318" s="286"/>
      <c r="F318" s="286"/>
      <c r="G318" s="467">
        <v>7596</v>
      </c>
      <c r="H318" s="287">
        <v>4</v>
      </c>
      <c r="I318" s="287">
        <v>1</v>
      </c>
      <c r="J318" s="287">
        <v>183</v>
      </c>
      <c r="K318" s="300">
        <v>300.10000000000002</v>
      </c>
    </row>
    <row r="319" spans="1:11" ht="13" x14ac:dyDescent="0.25">
      <c r="A319" s="286"/>
      <c r="B319" s="286"/>
      <c r="C319" s="301"/>
      <c r="D319" s="286"/>
      <c r="E319" s="286"/>
      <c r="F319" s="286"/>
      <c r="G319" s="467">
        <v>16528</v>
      </c>
      <c r="H319" s="287">
        <v>4</v>
      </c>
      <c r="I319" s="287">
        <v>5</v>
      </c>
      <c r="J319" s="287">
        <v>183</v>
      </c>
      <c r="K319" s="300">
        <v>300.10000000000002</v>
      </c>
    </row>
    <row r="320" spans="1:11" ht="13" x14ac:dyDescent="0.25">
      <c r="A320" s="286"/>
      <c r="B320" s="286"/>
      <c r="C320" s="301"/>
      <c r="D320" s="286"/>
      <c r="E320" s="286"/>
      <c r="F320" s="286"/>
      <c r="G320" s="467"/>
      <c r="H320" s="287"/>
      <c r="I320" s="287"/>
      <c r="J320" s="287"/>
      <c r="K320" s="300"/>
    </row>
    <row r="321" spans="1:11" ht="13" x14ac:dyDescent="0.25">
      <c r="A321" s="286"/>
      <c r="B321" s="300">
        <v>30</v>
      </c>
      <c r="C321" s="301" t="s">
        <v>937</v>
      </c>
      <c r="D321" s="286"/>
      <c r="E321" s="286"/>
      <c r="F321" s="286"/>
      <c r="G321" s="467">
        <v>-4672</v>
      </c>
      <c r="H321" s="287">
        <v>4</v>
      </c>
      <c r="I321" s="287">
        <v>8</v>
      </c>
      <c r="J321" s="287">
        <v>1</v>
      </c>
      <c r="K321" s="300" t="s">
        <v>1047</v>
      </c>
    </row>
    <row r="322" spans="1:11" ht="13" thickBot="1" x14ac:dyDescent="0.3">
      <c r="A322" s="286"/>
      <c r="B322" s="286"/>
      <c r="C322" s="286"/>
      <c r="D322" s="286"/>
      <c r="E322" s="286"/>
      <c r="F322" s="286"/>
      <c r="G322" s="398"/>
      <c r="H322" s="300"/>
      <c r="I322" s="300"/>
      <c r="J322" s="300"/>
      <c r="K322" s="286"/>
    </row>
    <row r="323" spans="1:11" ht="13.5" thickBot="1" x14ac:dyDescent="0.3">
      <c r="A323" s="286"/>
      <c r="B323" s="282" t="s">
        <v>926</v>
      </c>
      <c r="C323" s="283"/>
      <c r="D323" s="283"/>
      <c r="E323" s="283"/>
      <c r="F323" s="283"/>
      <c r="G323" s="283"/>
      <c r="H323" s="283"/>
      <c r="I323" s="283"/>
      <c r="J323" s="283"/>
      <c r="K323" s="284"/>
    </row>
    <row r="324" spans="1:11" x14ac:dyDescent="0.25">
      <c r="A324" s="286"/>
      <c r="B324" s="300"/>
      <c r="C324" s="301"/>
      <c r="D324" s="286"/>
      <c r="E324" s="286"/>
      <c r="F324" s="286"/>
      <c r="G324" s="286"/>
      <c r="H324" s="286"/>
      <c r="I324" s="286"/>
      <c r="J324" s="286"/>
      <c r="K324" s="286"/>
    </row>
    <row r="325" spans="1:11" ht="13" x14ac:dyDescent="0.25">
      <c r="A325" s="286"/>
      <c r="B325" s="287" t="s">
        <v>579</v>
      </c>
      <c r="C325" s="301"/>
      <c r="D325" s="286"/>
      <c r="E325" s="286"/>
      <c r="F325" s="286"/>
      <c r="G325" s="286"/>
      <c r="H325" s="286"/>
      <c r="I325" s="286"/>
      <c r="J325" s="286"/>
      <c r="K325" s="286"/>
    </row>
    <row r="326" spans="1:11" ht="13" x14ac:dyDescent="0.25">
      <c r="A326" s="286"/>
      <c r="B326" s="289" t="s">
        <v>580</v>
      </c>
      <c r="C326" s="290" t="s">
        <v>11</v>
      </c>
      <c r="D326" s="291"/>
      <c r="E326" s="289"/>
      <c r="F326" s="289"/>
      <c r="G326" s="289" t="s">
        <v>581</v>
      </c>
      <c r="H326" s="289" t="s">
        <v>582</v>
      </c>
      <c r="I326" s="289" t="s">
        <v>583</v>
      </c>
      <c r="J326" s="289" t="s">
        <v>584</v>
      </c>
      <c r="K326" s="289" t="s">
        <v>585</v>
      </c>
    </row>
    <row r="327" spans="1:11" ht="13" x14ac:dyDescent="0.25">
      <c r="A327" s="286"/>
      <c r="B327" s="300">
        <v>31</v>
      </c>
      <c r="C327" s="301" t="s">
        <v>939</v>
      </c>
      <c r="D327" s="286"/>
      <c r="E327" s="286"/>
      <c r="F327" s="286"/>
      <c r="G327" s="467">
        <v>877836</v>
      </c>
      <c r="H327" s="287">
        <v>5</v>
      </c>
      <c r="I327" s="287">
        <v>1</v>
      </c>
      <c r="J327" s="287">
        <v>1</v>
      </c>
      <c r="K327" s="462" t="s">
        <v>1042</v>
      </c>
    </row>
    <row r="328" spans="1:11" ht="13" x14ac:dyDescent="0.25">
      <c r="A328" s="286"/>
      <c r="B328" s="286"/>
      <c r="C328" s="301"/>
      <c r="D328" s="286"/>
      <c r="E328" s="286"/>
      <c r="F328" s="286"/>
      <c r="G328" s="467">
        <v>-318066</v>
      </c>
      <c r="H328" s="287">
        <v>5</v>
      </c>
      <c r="I328" s="287">
        <v>1</v>
      </c>
      <c r="J328" s="287">
        <v>23</v>
      </c>
      <c r="K328" s="462" t="s">
        <v>1042</v>
      </c>
    </row>
    <row r="329" spans="1:11" x14ac:dyDescent="0.25">
      <c r="A329" s="286"/>
      <c r="B329" s="286"/>
      <c r="C329" s="286"/>
      <c r="D329" s="286"/>
      <c r="E329" s="286"/>
      <c r="F329" s="286"/>
      <c r="G329" s="398"/>
      <c r="H329" s="300"/>
      <c r="I329" s="300"/>
      <c r="J329" s="300"/>
      <c r="K329" s="286"/>
    </row>
    <row r="330" spans="1:11" x14ac:dyDescent="0.25">
      <c r="A330" s="286"/>
      <c r="B330" s="286"/>
      <c r="C330" s="286"/>
      <c r="D330" s="286"/>
      <c r="E330" s="286"/>
      <c r="F330" s="286"/>
      <c r="G330" s="398"/>
      <c r="H330" s="300"/>
      <c r="I330" s="300"/>
      <c r="J330" s="300"/>
      <c r="K330" s="286"/>
    </row>
    <row r="331" spans="1:11" x14ac:dyDescent="0.25">
      <c r="A331" s="286"/>
      <c r="B331" s="286"/>
      <c r="C331" s="286"/>
      <c r="D331" s="286"/>
      <c r="E331" s="286"/>
      <c r="F331" s="286"/>
      <c r="G331" s="398"/>
      <c r="H331" s="300"/>
      <c r="I331" s="300"/>
      <c r="J331" s="300"/>
      <c r="K331" s="286"/>
    </row>
    <row r="332" spans="1:11" x14ac:dyDescent="0.25">
      <c r="A332" s="286"/>
      <c r="B332" s="286"/>
      <c r="C332" s="286"/>
      <c r="D332" s="286"/>
      <c r="E332" s="286"/>
      <c r="F332" s="286"/>
      <c r="G332" s="398"/>
      <c r="H332" s="300"/>
      <c r="I332" s="300"/>
      <c r="J332" s="300"/>
      <c r="K332" s="286"/>
    </row>
    <row r="333" spans="1:11" x14ac:dyDescent="0.25">
      <c r="A333" s="286"/>
      <c r="B333" s="286"/>
      <c r="C333" s="286"/>
      <c r="D333" s="286"/>
      <c r="E333" s="286"/>
      <c r="F333" s="286"/>
      <c r="G333" s="398"/>
      <c r="H333" s="300"/>
      <c r="I333" s="300"/>
      <c r="J333" s="300"/>
      <c r="K333" s="286"/>
    </row>
    <row r="334" spans="1:11" x14ac:dyDescent="0.25">
      <c r="A334" s="286"/>
      <c r="B334" s="286"/>
      <c r="C334" s="286"/>
      <c r="D334" s="286"/>
      <c r="E334" s="286"/>
      <c r="F334" s="286"/>
      <c r="G334" s="398"/>
      <c r="H334" s="300"/>
      <c r="I334" s="300"/>
      <c r="J334" s="300"/>
      <c r="K334" s="286"/>
    </row>
    <row r="335" spans="1:11" x14ac:dyDescent="0.25">
      <c r="A335" s="286"/>
      <c r="B335" s="286"/>
      <c r="C335" s="286"/>
      <c r="D335" s="286"/>
      <c r="E335" s="286"/>
      <c r="F335" s="286"/>
      <c r="G335" s="398"/>
      <c r="H335" s="300"/>
      <c r="I335" s="300"/>
      <c r="J335" s="300"/>
      <c r="K335" s="286"/>
    </row>
    <row r="336" spans="1:11" x14ac:dyDescent="0.25">
      <c r="A336" s="286"/>
      <c r="B336" s="286"/>
      <c r="C336" s="286"/>
      <c r="D336" s="286"/>
      <c r="E336" s="286"/>
      <c r="F336" s="286"/>
      <c r="G336" s="398"/>
      <c r="H336" s="300"/>
      <c r="I336" s="300"/>
      <c r="J336" s="300"/>
      <c r="K336" s="286"/>
    </row>
    <row r="337" spans="1:11" x14ac:dyDescent="0.25">
      <c r="A337" s="286"/>
      <c r="B337" s="286"/>
      <c r="C337" s="286"/>
      <c r="D337" s="286"/>
      <c r="E337" s="286"/>
      <c r="F337" s="286"/>
      <c r="G337" s="398"/>
      <c r="H337" s="300"/>
      <c r="I337" s="300"/>
      <c r="J337" s="300"/>
      <c r="K337" s="286"/>
    </row>
    <row r="338" spans="1:11" x14ac:dyDescent="0.25">
      <c r="A338" s="286"/>
      <c r="B338" s="286"/>
      <c r="C338" s="286"/>
      <c r="D338" s="286"/>
      <c r="E338" s="286"/>
      <c r="F338" s="286"/>
      <c r="G338" s="398"/>
      <c r="H338" s="300"/>
      <c r="I338" s="300"/>
      <c r="J338" s="300"/>
      <c r="K338" s="286"/>
    </row>
    <row r="339" spans="1:11" x14ac:dyDescent="0.25">
      <c r="A339" s="286"/>
      <c r="B339" s="286"/>
      <c r="C339" s="286"/>
      <c r="D339" s="286"/>
      <c r="E339" s="286"/>
      <c r="F339" s="286"/>
      <c r="G339" s="398"/>
      <c r="H339" s="300"/>
      <c r="I339" s="300"/>
      <c r="J339" s="300"/>
      <c r="K339" s="286"/>
    </row>
    <row r="340" spans="1:11" x14ac:dyDescent="0.25">
      <c r="A340" s="286"/>
      <c r="B340" s="286"/>
      <c r="C340" s="286"/>
      <c r="D340" s="286"/>
      <c r="E340" s="286"/>
      <c r="F340" s="286"/>
      <c r="G340" s="398"/>
      <c r="H340" s="300"/>
      <c r="I340" s="300"/>
      <c r="J340" s="300"/>
      <c r="K340" s="286"/>
    </row>
    <row r="341" spans="1:11" x14ac:dyDescent="0.25">
      <c r="A341" s="286"/>
      <c r="B341" s="286"/>
      <c r="C341" s="286"/>
      <c r="D341" s="286"/>
      <c r="E341" s="286"/>
      <c r="F341" s="286"/>
      <c r="G341" s="398"/>
      <c r="H341" s="300"/>
      <c r="I341" s="300"/>
      <c r="J341" s="300"/>
      <c r="K341" s="286"/>
    </row>
    <row r="342" spans="1:11" x14ac:dyDescent="0.25">
      <c r="A342" s="286"/>
      <c r="B342" s="286"/>
      <c r="C342" s="286"/>
      <c r="D342" s="286"/>
      <c r="E342" s="286"/>
      <c r="F342" s="286"/>
      <c r="G342" s="398"/>
      <c r="H342" s="300"/>
      <c r="I342" s="300"/>
      <c r="J342" s="300"/>
      <c r="K342" s="286"/>
    </row>
    <row r="343" spans="1:11" x14ac:dyDescent="0.25">
      <c r="A343" s="286"/>
      <c r="B343" s="286"/>
      <c r="C343" s="286"/>
      <c r="D343" s="286"/>
      <c r="E343" s="286"/>
      <c r="F343" s="286"/>
      <c r="G343" s="398"/>
      <c r="H343" s="300"/>
      <c r="I343" s="300"/>
      <c r="J343" s="300"/>
      <c r="K343" s="286"/>
    </row>
    <row r="344" spans="1:11" x14ac:dyDescent="0.25">
      <c r="A344" s="286"/>
      <c r="B344" s="286"/>
      <c r="C344" s="286"/>
      <c r="D344" s="286"/>
      <c r="E344" s="286"/>
      <c r="F344" s="286"/>
      <c r="G344" s="398"/>
      <c r="H344" s="300"/>
      <c r="I344" s="300"/>
      <c r="J344" s="300"/>
      <c r="K344" s="286"/>
    </row>
    <row r="345" spans="1:11" x14ac:dyDescent="0.25">
      <c r="A345" s="286"/>
      <c r="B345" s="286"/>
      <c r="C345" s="286"/>
      <c r="D345" s="286"/>
      <c r="E345" s="286"/>
      <c r="F345" s="286"/>
      <c r="G345" s="398"/>
      <c r="H345" s="300"/>
      <c r="I345" s="300"/>
      <c r="J345" s="300"/>
      <c r="K345" s="286"/>
    </row>
    <row r="346" spans="1:11" x14ac:dyDescent="0.25">
      <c r="A346" s="286"/>
      <c r="B346" s="286"/>
      <c r="C346" s="286"/>
      <c r="D346" s="286"/>
      <c r="E346" s="286"/>
      <c r="F346" s="286"/>
      <c r="G346" s="398"/>
      <c r="H346" s="300"/>
      <c r="I346" s="300"/>
      <c r="J346" s="300"/>
      <c r="K346" s="286"/>
    </row>
    <row r="347" spans="1:11" x14ac:dyDescent="0.25">
      <c r="A347" s="286"/>
      <c r="B347" s="286"/>
      <c r="C347" s="286"/>
      <c r="D347" s="286"/>
      <c r="E347" s="286"/>
      <c r="F347" s="286"/>
      <c r="G347" s="398"/>
      <c r="H347" s="300"/>
      <c r="I347" s="300"/>
      <c r="J347" s="300"/>
      <c r="K347" s="286"/>
    </row>
    <row r="348" spans="1:11" x14ac:dyDescent="0.25">
      <c r="A348" s="286"/>
      <c r="B348" s="286"/>
      <c r="C348" s="286"/>
      <c r="D348" s="286"/>
      <c r="E348" s="286"/>
      <c r="F348" s="286"/>
      <c r="G348" s="398"/>
      <c r="H348" s="300"/>
      <c r="I348" s="300"/>
      <c r="J348" s="300"/>
      <c r="K348" s="286"/>
    </row>
    <row r="349" spans="1:11" x14ac:dyDescent="0.25">
      <c r="A349" s="286"/>
      <c r="B349" s="286"/>
      <c r="C349" s="286"/>
      <c r="D349" s="286"/>
      <c r="E349" s="286"/>
      <c r="F349" s="286"/>
      <c r="G349" s="398"/>
      <c r="H349" s="300"/>
      <c r="I349" s="300"/>
      <c r="J349" s="300"/>
      <c r="K349" s="286"/>
    </row>
    <row r="350" spans="1:11" x14ac:dyDescent="0.25">
      <c r="A350" s="286"/>
      <c r="B350" s="286"/>
      <c r="C350" s="286"/>
      <c r="D350" s="286"/>
      <c r="E350" s="286"/>
      <c r="F350" s="286"/>
      <c r="G350" s="398"/>
      <c r="H350" s="300"/>
      <c r="I350" s="300"/>
      <c r="J350" s="300"/>
      <c r="K350" s="286"/>
    </row>
    <row r="351" spans="1:11" x14ac:dyDescent="0.25">
      <c r="A351" s="286"/>
      <c r="B351" s="286"/>
      <c r="C351" s="286"/>
      <c r="D351" s="286"/>
      <c r="E351" s="286"/>
      <c r="F351" s="286"/>
      <c r="G351" s="398"/>
      <c r="H351" s="300"/>
      <c r="I351" s="300"/>
      <c r="J351" s="300"/>
      <c r="K351" s="286"/>
    </row>
    <row r="352" spans="1:11" x14ac:dyDescent="0.25">
      <c r="A352" s="286"/>
      <c r="B352" s="286"/>
      <c r="C352" s="286"/>
      <c r="D352" s="286"/>
      <c r="E352" s="286"/>
      <c r="F352" s="286"/>
      <c r="G352" s="398"/>
      <c r="H352" s="300"/>
      <c r="I352" s="300"/>
      <c r="J352" s="300"/>
      <c r="K352" s="286"/>
    </row>
    <row r="353" spans="1:11" x14ac:dyDescent="0.25">
      <c r="A353" s="286"/>
      <c r="B353" s="286"/>
      <c r="C353" s="286"/>
      <c r="D353" s="286"/>
      <c r="E353" s="286"/>
      <c r="F353" s="286"/>
      <c r="G353" s="398"/>
      <c r="H353" s="300"/>
      <c r="I353" s="300"/>
      <c r="J353" s="300"/>
      <c r="K353" s="286"/>
    </row>
    <row r="354" spans="1:11" x14ac:dyDescent="0.25">
      <c r="A354" s="286"/>
      <c r="B354" s="286"/>
      <c r="C354" s="286"/>
      <c r="D354" s="286"/>
      <c r="E354" s="286"/>
      <c r="F354" s="286"/>
      <c r="G354" s="398"/>
      <c r="H354" s="300"/>
      <c r="I354" s="300"/>
      <c r="J354" s="300"/>
      <c r="K354" s="286"/>
    </row>
    <row r="355" spans="1:11" x14ac:dyDescent="0.25">
      <c r="A355" s="286"/>
      <c r="B355" s="286"/>
      <c r="C355" s="286"/>
      <c r="D355" s="286"/>
      <c r="E355" s="286"/>
      <c r="F355" s="286"/>
      <c r="G355" s="398"/>
      <c r="H355" s="300"/>
      <c r="I355" s="300"/>
      <c r="J355" s="300"/>
      <c r="K355" s="286"/>
    </row>
    <row r="356" spans="1:11" x14ac:dyDescent="0.25">
      <c r="A356" s="286"/>
      <c r="B356" s="286"/>
      <c r="C356" s="286"/>
      <c r="D356" s="286"/>
      <c r="E356" s="286"/>
      <c r="F356" s="286"/>
      <c r="G356" s="398"/>
      <c r="H356" s="300"/>
      <c r="I356" s="300"/>
      <c r="J356" s="300"/>
      <c r="K356" s="286"/>
    </row>
    <row r="357" spans="1:11" x14ac:dyDescent="0.25">
      <c r="A357" s="286"/>
      <c r="B357" s="286"/>
      <c r="C357" s="286"/>
      <c r="D357" s="286"/>
      <c r="E357" s="286"/>
      <c r="F357" s="286"/>
      <c r="G357" s="398"/>
      <c r="H357" s="300"/>
      <c r="I357" s="300"/>
      <c r="J357" s="300"/>
      <c r="K357" s="286"/>
    </row>
    <row r="358" spans="1:11" x14ac:dyDescent="0.25">
      <c r="A358" s="286"/>
      <c r="B358" s="286"/>
      <c r="C358" s="286"/>
      <c r="D358" s="286"/>
      <c r="E358" s="286"/>
      <c r="F358" s="286"/>
      <c r="G358" s="398"/>
      <c r="H358" s="300"/>
      <c r="I358" s="300"/>
      <c r="J358" s="300"/>
      <c r="K358" s="286"/>
    </row>
    <row r="359" spans="1:11" x14ac:dyDescent="0.25">
      <c r="A359" s="286"/>
      <c r="B359" s="286"/>
      <c r="C359" s="286"/>
      <c r="D359" s="286"/>
      <c r="E359" s="286"/>
      <c r="F359" s="286"/>
      <c r="G359" s="398"/>
      <c r="H359" s="300"/>
      <c r="I359" s="300"/>
      <c r="J359" s="300"/>
      <c r="K359" s="286"/>
    </row>
    <row r="360" spans="1:11" x14ac:dyDescent="0.25">
      <c r="A360" s="286"/>
      <c r="B360" s="286"/>
      <c r="C360" s="286"/>
      <c r="D360" s="286"/>
      <c r="E360" s="286"/>
      <c r="F360" s="286"/>
      <c r="G360" s="398"/>
      <c r="H360" s="300"/>
      <c r="I360" s="300"/>
      <c r="J360" s="300"/>
      <c r="K360" s="286"/>
    </row>
    <row r="361" spans="1:11" x14ac:dyDescent="0.25">
      <c r="A361" s="286"/>
      <c r="B361" s="286"/>
      <c r="C361" s="286"/>
      <c r="D361" s="286"/>
      <c r="E361" s="286"/>
      <c r="F361" s="286"/>
      <c r="G361" s="398"/>
      <c r="H361" s="300"/>
      <c r="I361" s="300"/>
      <c r="J361" s="300"/>
      <c r="K361" s="286"/>
    </row>
    <row r="362" spans="1:11" x14ac:dyDescent="0.25">
      <c r="A362" s="286"/>
      <c r="B362" s="286"/>
      <c r="C362" s="286"/>
      <c r="D362" s="286"/>
      <c r="E362" s="286"/>
      <c r="F362" s="286"/>
      <c r="G362" s="398"/>
      <c r="H362" s="300"/>
      <c r="I362" s="300"/>
      <c r="J362" s="300"/>
      <c r="K362" s="286"/>
    </row>
    <row r="363" spans="1:11" x14ac:dyDescent="0.25">
      <c r="A363" s="286"/>
      <c r="B363" s="286"/>
      <c r="C363" s="286"/>
      <c r="D363" s="286"/>
      <c r="E363" s="286"/>
      <c r="F363" s="286"/>
      <c r="G363" s="398"/>
      <c r="H363" s="300"/>
      <c r="I363" s="300"/>
      <c r="J363" s="300"/>
      <c r="K363" s="286"/>
    </row>
    <row r="364" spans="1:11" x14ac:dyDescent="0.25">
      <c r="A364" s="286"/>
      <c r="B364" s="286"/>
      <c r="C364" s="286"/>
      <c r="D364" s="286"/>
      <c r="E364" s="286"/>
      <c r="F364" s="286"/>
      <c r="G364" s="398"/>
      <c r="H364" s="300"/>
      <c r="I364" s="300"/>
      <c r="J364" s="300"/>
      <c r="K364" s="286"/>
    </row>
    <row r="365" spans="1:11" x14ac:dyDescent="0.25">
      <c r="A365" s="286"/>
      <c r="B365" s="286"/>
      <c r="C365" s="286"/>
      <c r="D365" s="286"/>
      <c r="E365" s="286"/>
      <c r="F365" s="286"/>
      <c r="G365" s="398"/>
      <c r="H365" s="300"/>
      <c r="I365" s="300"/>
      <c r="J365" s="300"/>
      <c r="K365" s="286"/>
    </row>
    <row r="366" spans="1:11" x14ac:dyDescent="0.25">
      <c r="A366" s="286"/>
      <c r="B366" s="286"/>
      <c r="C366" s="286"/>
      <c r="D366" s="286"/>
      <c r="E366" s="286"/>
      <c r="F366" s="286"/>
      <c r="G366" s="398"/>
      <c r="H366" s="300"/>
      <c r="I366" s="300"/>
      <c r="J366" s="300"/>
      <c r="K366" s="286"/>
    </row>
    <row r="367" spans="1:11" x14ac:dyDescent="0.25">
      <c r="A367" s="286"/>
      <c r="B367" s="286"/>
      <c r="C367" s="286"/>
      <c r="D367" s="286"/>
      <c r="E367" s="286"/>
      <c r="F367" s="286"/>
      <c r="G367" s="398"/>
      <c r="H367" s="300"/>
      <c r="I367" s="300"/>
      <c r="J367" s="300"/>
      <c r="K367" s="286"/>
    </row>
    <row r="368" spans="1:11" x14ac:dyDescent="0.25">
      <c r="A368" s="286"/>
      <c r="B368" s="286"/>
      <c r="C368" s="286"/>
      <c r="D368" s="286"/>
      <c r="E368" s="286"/>
      <c r="F368" s="286"/>
      <c r="G368" s="398"/>
      <c r="H368" s="300"/>
      <c r="I368" s="300"/>
      <c r="J368" s="300"/>
      <c r="K368" s="286"/>
    </row>
    <row r="369" spans="1:11" x14ac:dyDescent="0.25">
      <c r="A369" s="286"/>
      <c r="B369" s="286"/>
      <c r="C369" s="286"/>
      <c r="D369" s="286"/>
      <c r="E369" s="286"/>
      <c r="F369" s="286"/>
      <c r="G369" s="398"/>
      <c r="H369" s="300"/>
      <c r="I369" s="300"/>
      <c r="J369" s="300"/>
      <c r="K369" s="286"/>
    </row>
    <row r="370" spans="1:11" x14ac:dyDescent="0.25">
      <c r="A370" s="286"/>
      <c r="B370" s="286"/>
      <c r="C370" s="286"/>
      <c r="D370" s="286"/>
      <c r="E370" s="286"/>
      <c r="F370" s="286"/>
      <c r="G370" s="398"/>
      <c r="H370" s="300"/>
      <c r="I370" s="300"/>
      <c r="J370" s="300"/>
      <c r="K370" s="286"/>
    </row>
    <row r="371" spans="1:11" x14ac:dyDescent="0.25">
      <c r="A371" s="286"/>
      <c r="B371" s="286"/>
      <c r="C371" s="286"/>
      <c r="D371" s="286"/>
      <c r="E371" s="286"/>
      <c r="F371" s="286"/>
      <c r="G371" s="398"/>
      <c r="H371" s="300"/>
      <c r="I371" s="300"/>
      <c r="J371" s="300"/>
      <c r="K371" s="286"/>
    </row>
    <row r="372" spans="1:11" x14ac:dyDescent="0.25">
      <c r="A372" s="286"/>
      <c r="B372" s="286"/>
      <c r="C372" s="286"/>
      <c r="D372" s="286"/>
      <c r="E372" s="286"/>
      <c r="F372" s="286"/>
      <c r="G372" s="398"/>
      <c r="H372" s="300"/>
      <c r="I372" s="300"/>
      <c r="J372" s="300"/>
      <c r="K372" s="286"/>
    </row>
    <row r="373" spans="1:11" x14ac:dyDescent="0.25">
      <c r="A373" s="286"/>
      <c r="B373" s="286"/>
      <c r="C373" s="286"/>
      <c r="D373" s="286"/>
      <c r="E373" s="286"/>
      <c r="F373" s="286"/>
      <c r="G373" s="398"/>
      <c r="H373" s="300"/>
      <c r="I373" s="300"/>
      <c r="J373" s="300"/>
      <c r="K373" s="286"/>
    </row>
    <row r="374" spans="1:11" x14ac:dyDescent="0.25">
      <c r="A374" s="286"/>
      <c r="B374" s="286"/>
      <c r="C374" s="286"/>
      <c r="D374" s="286"/>
      <c r="E374" s="286"/>
      <c r="F374" s="286"/>
      <c r="G374" s="398"/>
      <c r="H374" s="300"/>
      <c r="I374" s="300"/>
      <c r="J374" s="300"/>
      <c r="K374" s="286"/>
    </row>
    <row r="375" spans="1:11" x14ac:dyDescent="0.25">
      <c r="A375" s="286"/>
      <c r="B375" s="286"/>
      <c r="C375" s="286"/>
      <c r="D375" s="286"/>
      <c r="E375" s="286"/>
      <c r="F375" s="286"/>
      <c r="G375" s="398"/>
      <c r="H375" s="300"/>
      <c r="I375" s="300"/>
      <c r="J375" s="300"/>
      <c r="K375" s="286"/>
    </row>
    <row r="376" spans="1:11" x14ac:dyDescent="0.25">
      <c r="A376" s="286"/>
      <c r="B376" s="286"/>
      <c r="C376" s="286"/>
      <c r="D376" s="286"/>
      <c r="E376" s="286"/>
      <c r="F376" s="286"/>
      <c r="G376" s="398"/>
      <c r="H376" s="300"/>
      <c r="I376" s="300"/>
      <c r="J376" s="300"/>
      <c r="K376" s="286"/>
    </row>
    <row r="377" spans="1:11" x14ac:dyDescent="0.25">
      <c r="A377" s="286"/>
      <c r="B377" s="286"/>
      <c r="C377" s="286"/>
      <c r="D377" s="286"/>
      <c r="E377" s="286"/>
      <c r="F377" s="286"/>
      <c r="G377" s="398"/>
      <c r="H377" s="300"/>
      <c r="I377" s="300"/>
      <c r="J377" s="300"/>
      <c r="K377" s="286"/>
    </row>
    <row r="378" spans="1:11" x14ac:dyDescent="0.25">
      <c r="A378" s="286"/>
      <c r="B378" s="286"/>
      <c r="C378" s="286"/>
      <c r="D378" s="286"/>
      <c r="E378" s="286"/>
      <c r="F378" s="286"/>
      <c r="G378" s="398"/>
      <c r="H378" s="300"/>
      <c r="I378" s="300"/>
      <c r="J378" s="300"/>
      <c r="K378" s="286"/>
    </row>
    <row r="379" spans="1:11" x14ac:dyDescent="0.25">
      <c r="A379" s="286"/>
      <c r="B379" s="286"/>
      <c r="C379" s="286"/>
      <c r="D379" s="286"/>
      <c r="E379" s="286"/>
      <c r="F379" s="286"/>
      <c r="G379" s="398"/>
      <c r="H379" s="300"/>
      <c r="I379" s="300"/>
      <c r="J379" s="300"/>
      <c r="K379" s="286"/>
    </row>
    <row r="380" spans="1:11" x14ac:dyDescent="0.25">
      <c r="A380" s="286"/>
      <c r="B380" s="286"/>
      <c r="C380" s="286"/>
      <c r="D380" s="286"/>
      <c r="E380" s="286"/>
      <c r="F380" s="286"/>
      <c r="G380" s="398"/>
      <c r="H380" s="300"/>
      <c r="I380" s="300"/>
      <c r="J380" s="300"/>
      <c r="K380" s="286"/>
    </row>
    <row r="381" spans="1:11" x14ac:dyDescent="0.25">
      <c r="A381" s="286"/>
      <c r="B381" s="286"/>
      <c r="C381" s="286"/>
      <c r="D381" s="286"/>
      <c r="E381" s="286"/>
      <c r="F381" s="286"/>
      <c r="G381" s="398"/>
      <c r="H381" s="300"/>
      <c r="I381" s="300"/>
      <c r="J381" s="300"/>
      <c r="K381" s="286"/>
    </row>
    <row r="382" spans="1:11" x14ac:dyDescent="0.25">
      <c r="A382" s="286"/>
      <c r="B382" s="286"/>
      <c r="C382" s="286"/>
      <c r="D382" s="286"/>
      <c r="E382" s="286"/>
      <c r="F382" s="286"/>
      <c r="G382" s="398"/>
      <c r="H382" s="300"/>
      <c r="I382" s="300"/>
      <c r="J382" s="300"/>
      <c r="K382" s="286"/>
    </row>
    <row r="383" spans="1:11" x14ac:dyDescent="0.25">
      <c r="A383" s="286"/>
      <c r="B383" s="286"/>
      <c r="C383" s="286"/>
      <c r="D383" s="286"/>
      <c r="E383" s="286"/>
      <c r="F383" s="286"/>
      <c r="G383" s="398"/>
      <c r="H383" s="300"/>
      <c r="I383" s="300"/>
      <c r="J383" s="300"/>
      <c r="K383" s="286"/>
    </row>
    <row r="384" spans="1:11" x14ac:dyDescent="0.25">
      <c r="A384" s="286"/>
      <c r="B384" s="286"/>
      <c r="C384" s="286"/>
      <c r="D384" s="286"/>
      <c r="E384" s="286"/>
      <c r="F384" s="286"/>
      <c r="G384" s="398"/>
      <c r="H384" s="300"/>
      <c r="I384" s="300"/>
      <c r="J384" s="300"/>
      <c r="K384" s="286"/>
    </row>
    <row r="385" spans="1:11" x14ac:dyDescent="0.25">
      <c r="A385" s="286"/>
      <c r="B385" s="286"/>
      <c r="C385" s="286"/>
      <c r="D385" s="286"/>
      <c r="E385" s="286"/>
      <c r="F385" s="286"/>
      <c r="G385" s="398"/>
      <c r="H385" s="300"/>
      <c r="I385" s="300"/>
      <c r="J385" s="300"/>
      <c r="K385" s="286"/>
    </row>
    <row r="386" spans="1:11" x14ac:dyDescent="0.25">
      <c r="A386" s="286"/>
      <c r="B386" s="286"/>
      <c r="C386" s="286"/>
      <c r="D386" s="286"/>
      <c r="E386" s="286"/>
      <c r="F386" s="286"/>
      <c r="G386" s="398"/>
      <c r="H386" s="300"/>
      <c r="I386" s="300"/>
      <c r="J386" s="300"/>
      <c r="K386" s="286"/>
    </row>
    <row r="387" spans="1:11" x14ac:dyDescent="0.25">
      <c r="A387" s="286"/>
      <c r="B387" s="286"/>
      <c r="C387" s="286"/>
      <c r="D387" s="286"/>
      <c r="E387" s="286"/>
      <c r="F387" s="286"/>
      <c r="G387" s="398"/>
      <c r="H387" s="300"/>
      <c r="I387" s="300"/>
      <c r="J387" s="300"/>
      <c r="K387" s="286"/>
    </row>
    <row r="388" spans="1:11" x14ac:dyDescent="0.25">
      <c r="A388" s="286"/>
      <c r="B388" s="286"/>
      <c r="C388" s="286"/>
      <c r="D388" s="286"/>
      <c r="E388" s="286"/>
      <c r="F388" s="286"/>
      <c r="G388" s="398"/>
      <c r="H388" s="300"/>
      <c r="I388" s="300"/>
      <c r="J388" s="300"/>
      <c r="K388" s="286"/>
    </row>
    <row r="389" spans="1:11" x14ac:dyDescent="0.25">
      <c r="A389" s="286"/>
      <c r="B389" s="286"/>
      <c r="C389" s="286"/>
      <c r="D389" s="286"/>
      <c r="E389" s="286"/>
      <c r="F389" s="286"/>
      <c r="G389" s="398"/>
      <c r="H389" s="300"/>
      <c r="I389" s="300"/>
      <c r="J389" s="300"/>
      <c r="K389" s="286"/>
    </row>
    <row r="390" spans="1:11" x14ac:dyDescent="0.25">
      <c r="A390" s="286"/>
      <c r="B390" s="286"/>
      <c r="C390" s="286"/>
      <c r="D390" s="286"/>
      <c r="E390" s="286"/>
      <c r="F390" s="286"/>
      <c r="G390" s="398"/>
      <c r="H390" s="300"/>
      <c r="I390" s="300"/>
      <c r="J390" s="300"/>
      <c r="K390" s="286"/>
    </row>
    <row r="391" spans="1:11" x14ac:dyDescent="0.25">
      <c r="A391" s="286"/>
      <c r="B391" s="286"/>
      <c r="C391" s="286"/>
      <c r="D391" s="286"/>
      <c r="E391" s="286"/>
      <c r="F391" s="286"/>
      <c r="G391" s="398"/>
      <c r="H391" s="300"/>
      <c r="I391" s="300"/>
      <c r="J391" s="300"/>
      <c r="K391" s="286"/>
    </row>
    <row r="392" spans="1:11" x14ac:dyDescent="0.25">
      <c r="A392" s="286"/>
      <c r="B392" s="286"/>
      <c r="C392" s="286"/>
      <c r="D392" s="286"/>
      <c r="E392" s="286"/>
      <c r="F392" s="286"/>
      <c r="G392" s="398"/>
      <c r="H392" s="300"/>
      <c r="I392" s="300"/>
      <c r="J392" s="300"/>
      <c r="K392" s="286"/>
    </row>
    <row r="393" spans="1:11" x14ac:dyDescent="0.25">
      <c r="A393" s="286"/>
      <c r="B393" s="286"/>
      <c r="C393" s="286"/>
      <c r="D393" s="286"/>
      <c r="E393" s="286"/>
      <c r="F393" s="286"/>
      <c r="G393" s="398"/>
      <c r="H393" s="300"/>
      <c r="I393" s="300"/>
      <c r="J393" s="300"/>
      <c r="K393" s="286"/>
    </row>
    <row r="394" spans="1:11" x14ac:dyDescent="0.25">
      <c r="A394" s="286"/>
      <c r="B394" s="286"/>
      <c r="C394" s="286"/>
      <c r="D394" s="286"/>
      <c r="E394" s="286"/>
      <c r="F394" s="286"/>
      <c r="G394" s="398"/>
      <c r="H394" s="300"/>
      <c r="I394" s="300"/>
      <c r="J394" s="300"/>
      <c r="K394" s="286"/>
    </row>
    <row r="395" spans="1:11" x14ac:dyDescent="0.25">
      <c r="A395" s="286"/>
      <c r="B395" s="286"/>
      <c r="C395" s="286"/>
      <c r="D395" s="286"/>
      <c r="E395" s="286"/>
      <c r="F395" s="286"/>
      <c r="G395" s="398"/>
      <c r="H395" s="300"/>
      <c r="I395" s="300"/>
      <c r="J395" s="300"/>
      <c r="K395" s="286"/>
    </row>
    <row r="396" spans="1:11" x14ac:dyDescent="0.25">
      <c r="A396" s="286"/>
      <c r="B396" s="286"/>
      <c r="C396" s="286"/>
      <c r="D396" s="286"/>
      <c r="E396" s="286"/>
      <c r="F396" s="286"/>
      <c r="G396" s="398"/>
      <c r="H396" s="300"/>
      <c r="I396" s="300"/>
      <c r="J396" s="300"/>
      <c r="K396" s="286"/>
    </row>
    <row r="397" spans="1:11" x14ac:dyDescent="0.25">
      <c r="A397" s="286"/>
      <c r="B397" s="286"/>
      <c r="C397" s="286"/>
      <c r="D397" s="286"/>
      <c r="E397" s="286"/>
      <c r="F397" s="286"/>
      <c r="G397" s="398"/>
      <c r="H397" s="300"/>
      <c r="I397" s="300"/>
      <c r="J397" s="300"/>
      <c r="K397" s="286"/>
    </row>
    <row r="398" spans="1:11" x14ac:dyDescent="0.25">
      <c r="A398" s="286"/>
      <c r="B398" s="286"/>
      <c r="C398" s="286"/>
      <c r="D398" s="286"/>
      <c r="E398" s="286"/>
      <c r="F398" s="286"/>
      <c r="G398" s="398"/>
      <c r="H398" s="300"/>
      <c r="I398" s="300"/>
      <c r="J398" s="300"/>
      <c r="K398" s="286"/>
    </row>
    <row r="399" spans="1:11" x14ac:dyDescent="0.25">
      <c r="A399" s="286"/>
      <c r="B399" s="286"/>
      <c r="C399" s="286"/>
      <c r="D399" s="286"/>
      <c r="E399" s="286"/>
      <c r="F399" s="286"/>
      <c r="G399" s="398"/>
      <c r="H399" s="300"/>
      <c r="I399" s="300"/>
      <c r="J399" s="300"/>
      <c r="K399" s="286"/>
    </row>
    <row r="400" spans="1:11" x14ac:dyDescent="0.25">
      <c r="A400" s="286"/>
      <c r="B400" s="286"/>
      <c r="C400" s="286"/>
      <c r="D400" s="286"/>
      <c r="E400" s="286"/>
      <c r="F400" s="286"/>
      <c r="G400" s="398"/>
      <c r="H400" s="300"/>
      <c r="I400" s="300"/>
      <c r="J400" s="300"/>
      <c r="K400" s="286"/>
    </row>
    <row r="401" spans="1:11" x14ac:dyDescent="0.25">
      <c r="A401" s="286"/>
      <c r="B401" s="286"/>
      <c r="C401" s="286"/>
      <c r="D401" s="286"/>
      <c r="E401" s="286"/>
      <c r="F401" s="286"/>
      <c r="G401" s="398"/>
      <c r="H401" s="300"/>
      <c r="I401" s="300"/>
      <c r="J401" s="300"/>
      <c r="K401" s="286"/>
    </row>
    <row r="402" spans="1:11" x14ac:dyDescent="0.25">
      <c r="A402" s="286"/>
      <c r="B402" s="286"/>
      <c r="C402" s="286"/>
      <c r="D402" s="286"/>
      <c r="E402" s="286"/>
      <c r="F402" s="286"/>
      <c r="G402" s="398"/>
      <c r="H402" s="300"/>
      <c r="I402" s="300"/>
      <c r="J402" s="300"/>
      <c r="K402" s="286"/>
    </row>
    <row r="403" spans="1:11" x14ac:dyDescent="0.25">
      <c r="A403" s="286"/>
      <c r="B403" s="286"/>
      <c r="C403" s="286"/>
      <c r="D403" s="286"/>
      <c r="E403" s="286"/>
      <c r="F403" s="286"/>
      <c r="G403" s="398"/>
      <c r="H403" s="300"/>
      <c r="I403" s="300"/>
      <c r="J403" s="300"/>
      <c r="K403" s="286"/>
    </row>
    <row r="404" spans="1:11" x14ac:dyDescent="0.25">
      <c r="A404" s="286"/>
      <c r="B404" s="286"/>
      <c r="C404" s="286"/>
      <c r="D404" s="286"/>
      <c r="E404" s="286"/>
      <c r="F404" s="286"/>
      <c r="G404" s="398"/>
      <c r="H404" s="300"/>
      <c r="I404" s="300"/>
      <c r="J404" s="300"/>
      <c r="K404" s="286"/>
    </row>
    <row r="405" spans="1:11" x14ac:dyDescent="0.25">
      <c r="A405" s="286"/>
      <c r="B405" s="286"/>
      <c r="C405" s="286"/>
      <c r="D405" s="286"/>
      <c r="E405" s="286"/>
      <c r="F405" s="286"/>
      <c r="G405" s="398"/>
      <c r="H405" s="300"/>
      <c r="I405" s="300"/>
      <c r="J405" s="300"/>
      <c r="K405" s="286"/>
    </row>
    <row r="406" spans="1:11" x14ac:dyDescent="0.25">
      <c r="A406" s="286"/>
      <c r="B406" s="286"/>
      <c r="C406" s="286"/>
      <c r="D406" s="286"/>
      <c r="E406" s="286"/>
      <c r="F406" s="286"/>
      <c r="G406" s="398"/>
      <c r="H406" s="300"/>
      <c r="I406" s="300"/>
      <c r="J406" s="300"/>
      <c r="K406" s="286"/>
    </row>
    <row r="407" spans="1:11" x14ac:dyDescent="0.25">
      <c r="A407" s="286"/>
      <c r="B407" s="286"/>
      <c r="C407" s="286"/>
      <c r="D407" s="286"/>
      <c r="E407" s="286"/>
      <c r="F407" s="286"/>
      <c r="G407" s="398"/>
      <c r="H407" s="300"/>
      <c r="I407" s="300"/>
      <c r="J407" s="300"/>
      <c r="K407" s="286"/>
    </row>
    <row r="408" spans="1:11" x14ac:dyDescent="0.25">
      <c r="A408" s="286"/>
      <c r="B408" s="286"/>
      <c r="C408" s="286"/>
      <c r="D408" s="286"/>
      <c r="E408" s="286"/>
      <c r="F408" s="286"/>
      <c r="G408" s="398"/>
      <c r="H408" s="300"/>
      <c r="I408" s="300"/>
      <c r="J408" s="300"/>
      <c r="K408" s="286"/>
    </row>
    <row r="409" spans="1:11" x14ac:dyDescent="0.25">
      <c r="A409" s="286"/>
      <c r="B409" s="286"/>
      <c r="C409" s="286"/>
      <c r="D409" s="286"/>
      <c r="E409" s="286"/>
      <c r="F409" s="286"/>
      <c r="G409" s="398"/>
      <c r="H409" s="300"/>
      <c r="I409" s="300"/>
      <c r="J409" s="300"/>
      <c r="K409" s="286"/>
    </row>
    <row r="410" spans="1:11" x14ac:dyDescent="0.25">
      <c r="A410" s="286"/>
      <c r="B410" s="286"/>
      <c r="C410" s="286"/>
      <c r="D410" s="286"/>
      <c r="E410" s="286"/>
      <c r="F410" s="286"/>
      <c r="G410" s="398"/>
      <c r="H410" s="300"/>
      <c r="I410" s="300"/>
      <c r="J410" s="300"/>
      <c r="K410" s="286"/>
    </row>
    <row r="411" spans="1:11" x14ac:dyDescent="0.25">
      <c r="A411" s="286"/>
      <c r="B411" s="286"/>
      <c r="C411" s="286"/>
      <c r="D411" s="286"/>
      <c r="E411" s="286"/>
      <c r="F411" s="286"/>
      <c r="G411" s="398"/>
      <c r="H411" s="300"/>
      <c r="I411" s="300"/>
      <c r="J411" s="300"/>
      <c r="K411" s="286"/>
    </row>
    <row r="412" spans="1:11" x14ac:dyDescent="0.25">
      <c r="A412" s="286"/>
      <c r="B412" s="286"/>
      <c r="C412" s="286"/>
      <c r="D412" s="286"/>
      <c r="E412" s="286"/>
      <c r="F412" s="286"/>
      <c r="G412" s="398"/>
      <c r="H412" s="300"/>
      <c r="I412" s="300"/>
      <c r="J412" s="300"/>
      <c r="K412" s="286"/>
    </row>
    <row r="413" spans="1:11" x14ac:dyDescent="0.25">
      <c r="A413" s="286"/>
      <c r="B413" s="286"/>
      <c r="C413" s="286"/>
      <c r="D413" s="286"/>
      <c r="E413" s="286"/>
      <c r="F413" s="286"/>
      <c r="G413" s="398"/>
      <c r="H413" s="300"/>
      <c r="I413" s="300"/>
      <c r="J413" s="300"/>
      <c r="K413" s="286"/>
    </row>
    <row r="414" spans="1:11" x14ac:dyDescent="0.25">
      <c r="A414" s="286"/>
      <c r="B414" s="286"/>
      <c r="C414" s="286"/>
      <c r="D414" s="286"/>
      <c r="E414" s="286"/>
      <c r="F414" s="286"/>
      <c r="G414" s="398"/>
      <c r="H414" s="300"/>
      <c r="I414" s="300"/>
      <c r="J414" s="300"/>
      <c r="K414" s="286"/>
    </row>
    <row r="415" spans="1:11" x14ac:dyDescent="0.25">
      <c r="A415" s="286"/>
      <c r="B415" s="286"/>
      <c r="C415" s="286"/>
      <c r="D415" s="286"/>
      <c r="E415" s="286"/>
      <c r="F415" s="286"/>
      <c r="G415" s="398"/>
      <c r="H415" s="300"/>
      <c r="I415" s="300"/>
      <c r="J415" s="300"/>
      <c r="K415" s="286"/>
    </row>
    <row r="416" spans="1:11" x14ac:dyDescent="0.25">
      <c r="A416" s="286"/>
      <c r="B416" s="286"/>
      <c r="C416" s="286"/>
      <c r="D416" s="286"/>
      <c r="E416" s="286"/>
      <c r="F416" s="286"/>
      <c r="G416" s="398"/>
      <c r="H416" s="300"/>
      <c r="I416" s="300"/>
      <c r="J416" s="300"/>
      <c r="K416" s="286"/>
    </row>
    <row r="417" spans="1:11" x14ac:dyDescent="0.25">
      <c r="A417" s="286"/>
      <c r="B417" s="286"/>
      <c r="C417" s="286"/>
      <c r="D417" s="286"/>
      <c r="E417" s="286"/>
      <c r="F417" s="286"/>
      <c r="G417" s="398"/>
      <c r="H417" s="300"/>
      <c r="I417" s="300"/>
      <c r="J417" s="300"/>
      <c r="K417" s="286"/>
    </row>
    <row r="418" spans="1:11" x14ac:dyDescent="0.25">
      <c r="A418" s="286"/>
      <c r="B418" s="286"/>
      <c r="C418" s="286"/>
      <c r="D418" s="286"/>
      <c r="E418" s="286"/>
      <c r="F418" s="286"/>
      <c r="G418" s="398"/>
      <c r="H418" s="300"/>
      <c r="I418" s="300"/>
      <c r="J418" s="300"/>
      <c r="K418" s="286"/>
    </row>
    <row r="419" spans="1:11" x14ac:dyDescent="0.25">
      <c r="A419" s="286"/>
      <c r="B419" s="286"/>
      <c r="C419" s="286"/>
      <c r="D419" s="286"/>
      <c r="E419" s="286"/>
      <c r="F419" s="286"/>
      <c r="G419" s="398"/>
      <c r="H419" s="300"/>
      <c r="I419" s="300"/>
      <c r="J419" s="300"/>
      <c r="K419" s="286"/>
    </row>
    <row r="420" spans="1:11" x14ac:dyDescent="0.25">
      <c r="A420" s="286"/>
      <c r="B420" s="286"/>
      <c r="C420" s="286"/>
      <c r="D420" s="286"/>
      <c r="E420" s="286"/>
      <c r="F420" s="286"/>
      <c r="G420" s="398"/>
      <c r="H420" s="300"/>
      <c r="I420" s="300"/>
      <c r="J420" s="300"/>
      <c r="K420" s="286"/>
    </row>
    <row r="421" spans="1:11" x14ac:dyDescent="0.25">
      <c r="A421" s="286"/>
      <c r="B421" s="286"/>
      <c r="C421" s="286"/>
      <c r="D421" s="286"/>
      <c r="E421" s="286"/>
      <c r="F421" s="286"/>
      <c r="G421" s="398"/>
      <c r="H421" s="300"/>
      <c r="I421" s="300"/>
      <c r="J421" s="300"/>
      <c r="K421" s="286"/>
    </row>
    <row r="422" spans="1:11" x14ac:dyDescent="0.25">
      <c r="A422" s="286"/>
      <c r="B422" s="286"/>
      <c r="C422" s="286"/>
      <c r="D422" s="286"/>
      <c r="E422" s="286"/>
      <c r="F422" s="286"/>
      <c r="G422" s="398"/>
      <c r="H422" s="300"/>
      <c r="I422" s="300"/>
      <c r="J422" s="300"/>
      <c r="K422" s="286"/>
    </row>
    <row r="423" spans="1:11" x14ac:dyDescent="0.25">
      <c r="A423" s="286"/>
      <c r="B423" s="286"/>
      <c r="C423" s="286"/>
      <c r="D423" s="286"/>
      <c r="E423" s="286"/>
      <c r="F423" s="286"/>
      <c r="G423" s="398"/>
      <c r="H423" s="300"/>
      <c r="I423" s="300"/>
      <c r="J423" s="300"/>
      <c r="K423" s="286"/>
    </row>
    <row r="424" spans="1:11" x14ac:dyDescent="0.25">
      <c r="A424" s="286"/>
      <c r="B424" s="286"/>
      <c r="C424" s="286"/>
      <c r="D424" s="286"/>
      <c r="E424" s="286"/>
      <c r="F424" s="286"/>
      <c r="G424" s="398"/>
      <c r="H424" s="300"/>
      <c r="I424" s="300"/>
      <c r="J424" s="300"/>
      <c r="K424" s="286"/>
    </row>
    <row r="425" spans="1:11" x14ac:dyDescent="0.25">
      <c r="A425" s="286"/>
      <c r="B425" s="286"/>
      <c r="C425" s="286"/>
      <c r="D425" s="286"/>
      <c r="E425" s="286"/>
      <c r="F425" s="286"/>
      <c r="G425" s="398"/>
      <c r="H425" s="300"/>
      <c r="I425" s="300"/>
      <c r="J425" s="300"/>
      <c r="K425" s="286"/>
    </row>
    <row r="426" spans="1:11" x14ac:dyDescent="0.25">
      <c r="A426" s="286"/>
      <c r="B426" s="286"/>
      <c r="C426" s="286"/>
      <c r="D426" s="286"/>
      <c r="E426" s="286"/>
      <c r="F426" s="286"/>
      <c r="G426" s="398"/>
      <c r="H426" s="300"/>
      <c r="I426" s="300"/>
      <c r="J426" s="300"/>
      <c r="K426" s="286"/>
    </row>
    <row r="427" spans="1:11" x14ac:dyDescent="0.25">
      <c r="A427" s="286"/>
      <c r="B427" s="286"/>
      <c r="C427" s="286"/>
      <c r="D427" s="286"/>
      <c r="E427" s="286"/>
      <c r="F427" s="286"/>
      <c r="G427" s="398"/>
      <c r="H427" s="300"/>
      <c r="I427" s="300"/>
      <c r="J427" s="300"/>
      <c r="K427" s="286"/>
    </row>
    <row r="428" spans="1:11" x14ac:dyDescent="0.25">
      <c r="A428" s="286"/>
      <c r="B428" s="286"/>
      <c r="C428" s="286"/>
      <c r="D428" s="286"/>
      <c r="E428" s="286"/>
      <c r="F428" s="286"/>
      <c r="G428" s="398"/>
      <c r="H428" s="300"/>
      <c r="I428" s="300"/>
      <c r="J428" s="300"/>
      <c r="K428" s="286"/>
    </row>
    <row r="429" spans="1:11" x14ac:dyDescent="0.25">
      <c r="A429" s="286"/>
      <c r="B429" s="286"/>
      <c r="C429" s="286"/>
      <c r="D429" s="286"/>
      <c r="E429" s="286"/>
      <c r="F429" s="286"/>
      <c r="G429" s="398"/>
      <c r="H429" s="300"/>
      <c r="I429" s="300"/>
      <c r="J429" s="300"/>
      <c r="K429" s="286"/>
    </row>
    <row r="430" spans="1:11" x14ac:dyDescent="0.25">
      <c r="A430" s="286"/>
      <c r="B430" s="286"/>
      <c r="C430" s="286"/>
      <c r="D430" s="286"/>
      <c r="E430" s="286"/>
      <c r="F430" s="286"/>
      <c r="G430" s="398"/>
      <c r="H430" s="300"/>
      <c r="I430" s="300"/>
      <c r="J430" s="300"/>
      <c r="K430" s="286"/>
    </row>
    <row r="431" spans="1:11" x14ac:dyDescent="0.25">
      <c r="A431" s="286"/>
      <c r="B431" s="286"/>
      <c r="C431" s="286"/>
      <c r="D431" s="286"/>
      <c r="E431" s="286"/>
      <c r="F431" s="286"/>
      <c r="G431" s="398"/>
      <c r="H431" s="300"/>
      <c r="I431" s="300"/>
      <c r="J431" s="300"/>
      <c r="K431" s="286"/>
    </row>
    <row r="432" spans="1:11" x14ac:dyDescent="0.25">
      <c r="A432" s="286"/>
      <c r="B432" s="286"/>
      <c r="C432" s="286"/>
      <c r="D432" s="286"/>
      <c r="E432" s="286"/>
      <c r="F432" s="286"/>
      <c r="G432" s="398"/>
      <c r="H432" s="300"/>
      <c r="I432" s="300"/>
      <c r="J432" s="300"/>
      <c r="K432" s="286"/>
    </row>
    <row r="433" spans="1:11" x14ac:dyDescent="0.25">
      <c r="A433" s="286"/>
      <c r="B433" s="286"/>
      <c r="C433" s="286"/>
      <c r="D433" s="286"/>
      <c r="E433" s="286"/>
      <c r="F433" s="286"/>
      <c r="G433" s="398"/>
      <c r="H433" s="300"/>
      <c r="I433" s="300"/>
      <c r="J433" s="300"/>
      <c r="K433" s="286"/>
    </row>
    <row r="434" spans="1:11" x14ac:dyDescent="0.25">
      <c r="A434" s="286"/>
      <c r="B434" s="286"/>
      <c r="C434" s="286"/>
      <c r="D434" s="286"/>
      <c r="E434" s="286"/>
      <c r="F434" s="286"/>
      <c r="G434" s="398"/>
      <c r="H434" s="300"/>
      <c r="I434" s="300"/>
      <c r="J434" s="300"/>
      <c r="K434" s="286"/>
    </row>
    <row r="435" spans="1:11" x14ac:dyDescent="0.25">
      <c r="A435" s="286"/>
      <c r="B435" s="286"/>
      <c r="C435" s="286"/>
      <c r="D435" s="286"/>
      <c r="E435" s="286"/>
      <c r="F435" s="286"/>
      <c r="G435" s="398"/>
      <c r="H435" s="300"/>
      <c r="I435" s="300"/>
      <c r="J435" s="300"/>
      <c r="K435" s="286"/>
    </row>
    <row r="436" spans="1:11" x14ac:dyDescent="0.25">
      <c r="A436" s="286"/>
      <c r="B436" s="286"/>
      <c r="C436" s="286"/>
      <c r="D436" s="286"/>
      <c r="E436" s="286"/>
      <c r="F436" s="286"/>
      <c r="G436" s="398"/>
      <c r="H436" s="300"/>
      <c r="I436" s="300"/>
      <c r="J436" s="300"/>
      <c r="K436" s="286"/>
    </row>
    <row r="437" spans="1:11" x14ac:dyDescent="0.25">
      <c r="A437" s="286"/>
      <c r="B437" s="286"/>
      <c r="C437" s="286"/>
      <c r="D437" s="286"/>
      <c r="E437" s="286"/>
      <c r="F437" s="286"/>
      <c r="G437" s="398"/>
      <c r="H437" s="300"/>
      <c r="I437" s="300"/>
      <c r="J437" s="300"/>
      <c r="K437" s="286"/>
    </row>
    <row r="438" spans="1:11" x14ac:dyDescent="0.25">
      <c r="A438" s="286"/>
      <c r="B438" s="286"/>
      <c r="C438" s="286"/>
      <c r="D438" s="286"/>
      <c r="E438" s="286"/>
      <c r="F438" s="286"/>
      <c r="G438" s="398"/>
      <c r="H438" s="300"/>
      <c r="I438" s="300"/>
      <c r="J438" s="300"/>
      <c r="K438" s="286"/>
    </row>
    <row r="439" spans="1:11" x14ac:dyDescent="0.25">
      <c r="A439" s="286"/>
      <c r="B439" s="286"/>
      <c r="C439" s="286"/>
      <c r="D439" s="286"/>
      <c r="E439" s="286"/>
      <c r="F439" s="286"/>
      <c r="G439" s="398"/>
      <c r="H439" s="300"/>
      <c r="I439" s="300"/>
      <c r="J439" s="300"/>
      <c r="K439" s="286"/>
    </row>
    <row r="440" spans="1:11" x14ac:dyDescent="0.25">
      <c r="A440" s="286"/>
      <c r="B440" s="286"/>
      <c r="C440" s="286"/>
      <c r="D440" s="286"/>
      <c r="E440" s="286"/>
      <c r="F440" s="286"/>
      <c r="G440" s="398"/>
      <c r="H440" s="300"/>
      <c r="I440" s="300"/>
      <c r="J440" s="300"/>
      <c r="K440" s="286"/>
    </row>
    <row r="441" spans="1:11" x14ac:dyDescent="0.25">
      <c r="A441" s="286"/>
      <c r="B441" s="286"/>
      <c r="C441" s="286"/>
      <c r="D441" s="286"/>
      <c r="E441" s="286"/>
      <c r="F441" s="286"/>
      <c r="G441" s="398"/>
      <c r="H441" s="300"/>
      <c r="I441" s="300"/>
      <c r="J441" s="300"/>
      <c r="K441" s="286"/>
    </row>
    <row r="442" spans="1:11" x14ac:dyDescent="0.25">
      <c r="A442" s="286"/>
      <c r="B442" s="286"/>
      <c r="C442" s="286"/>
      <c r="D442" s="286"/>
      <c r="E442" s="286"/>
      <c r="F442" s="286"/>
      <c r="G442" s="398"/>
      <c r="H442" s="300"/>
      <c r="I442" s="300"/>
      <c r="J442" s="300"/>
      <c r="K442" s="286"/>
    </row>
    <row r="443" spans="1:11" x14ac:dyDescent="0.25">
      <c r="A443" s="286"/>
      <c r="B443" s="286"/>
      <c r="C443" s="286"/>
      <c r="D443" s="286"/>
      <c r="E443" s="286"/>
      <c r="F443" s="286"/>
      <c r="G443" s="398"/>
      <c r="H443" s="300"/>
      <c r="I443" s="300"/>
      <c r="J443" s="300"/>
      <c r="K443" s="286"/>
    </row>
    <row r="444" spans="1:11" x14ac:dyDescent="0.25">
      <c r="A444" s="286"/>
      <c r="B444" s="286"/>
      <c r="C444" s="286"/>
      <c r="D444" s="286"/>
      <c r="E444" s="286"/>
      <c r="F444" s="286"/>
      <c r="G444" s="398"/>
      <c r="H444" s="300"/>
      <c r="I444" s="300"/>
      <c r="J444" s="300"/>
      <c r="K444" s="286"/>
    </row>
    <row r="445" spans="1:11" x14ac:dyDescent="0.25">
      <c r="A445" s="286"/>
      <c r="B445" s="286"/>
      <c r="C445" s="286"/>
      <c r="D445" s="286"/>
      <c r="E445" s="286"/>
      <c r="F445" s="286"/>
      <c r="G445" s="398"/>
      <c r="H445" s="300"/>
      <c r="I445" s="300"/>
      <c r="J445" s="300"/>
      <c r="K445" s="286"/>
    </row>
    <row r="446" spans="1:11" x14ac:dyDescent="0.25">
      <c r="A446" s="286"/>
      <c r="B446" s="286"/>
      <c r="C446" s="286"/>
      <c r="D446" s="286"/>
      <c r="E446" s="286"/>
      <c r="F446" s="286"/>
      <c r="G446" s="398"/>
      <c r="H446" s="300"/>
      <c r="I446" s="300"/>
      <c r="J446" s="300"/>
      <c r="K446" s="286"/>
    </row>
    <row r="447" spans="1:11" x14ac:dyDescent="0.25">
      <c r="A447" s="286"/>
      <c r="B447" s="286"/>
      <c r="C447" s="286"/>
      <c r="D447" s="286"/>
      <c r="E447" s="286"/>
      <c r="F447" s="286"/>
      <c r="G447" s="398"/>
      <c r="H447" s="300"/>
      <c r="I447" s="300"/>
      <c r="J447" s="300"/>
      <c r="K447" s="286"/>
    </row>
    <row r="448" spans="1:11" x14ac:dyDescent="0.25">
      <c r="A448" s="286"/>
      <c r="B448" s="286"/>
      <c r="C448" s="286"/>
      <c r="D448" s="286"/>
      <c r="E448" s="286"/>
      <c r="F448" s="286"/>
      <c r="G448" s="398"/>
      <c r="H448" s="300"/>
      <c r="I448" s="300"/>
      <c r="J448" s="300"/>
      <c r="K448" s="286"/>
    </row>
    <row r="449" spans="1:11" x14ac:dyDescent="0.25">
      <c r="A449" s="286"/>
      <c r="B449" s="286"/>
      <c r="C449" s="286"/>
      <c r="D449" s="286"/>
      <c r="E449" s="286"/>
      <c r="F449" s="286"/>
      <c r="G449" s="398"/>
      <c r="H449" s="300"/>
      <c r="I449" s="300"/>
      <c r="J449" s="300"/>
      <c r="K449" s="286"/>
    </row>
    <row r="450" spans="1:11" x14ac:dyDescent="0.25">
      <c r="A450" s="286"/>
      <c r="B450" s="286"/>
      <c r="C450" s="286"/>
      <c r="D450" s="286"/>
      <c r="E450" s="286"/>
      <c r="F450" s="286"/>
      <c r="G450" s="398"/>
      <c r="H450" s="300"/>
      <c r="I450" s="300"/>
      <c r="J450" s="300"/>
      <c r="K450" s="286"/>
    </row>
    <row r="451" spans="1:11" x14ac:dyDescent="0.25">
      <c r="A451" s="286"/>
      <c r="B451" s="286"/>
      <c r="C451" s="286"/>
      <c r="D451" s="286"/>
      <c r="E451" s="286"/>
      <c r="F451" s="286"/>
      <c r="G451" s="398"/>
      <c r="H451" s="300"/>
      <c r="I451" s="300"/>
      <c r="J451" s="300"/>
      <c r="K451" s="286"/>
    </row>
    <row r="452" spans="1:11" x14ac:dyDescent="0.25">
      <c r="A452" s="286"/>
      <c r="B452" s="286"/>
      <c r="C452" s="286"/>
      <c r="D452" s="286"/>
      <c r="E452" s="286"/>
      <c r="F452" s="286"/>
      <c r="G452" s="398"/>
      <c r="H452" s="300"/>
      <c r="I452" s="300"/>
      <c r="J452" s="300"/>
      <c r="K452" s="286"/>
    </row>
    <row r="453" spans="1:11" x14ac:dyDescent="0.25">
      <c r="A453" s="286"/>
      <c r="B453" s="286"/>
      <c r="C453" s="286"/>
      <c r="D453" s="286"/>
      <c r="E453" s="286"/>
      <c r="F453" s="286"/>
      <c r="G453" s="398"/>
      <c r="H453" s="300"/>
      <c r="I453" s="300"/>
      <c r="J453" s="300"/>
      <c r="K453" s="286"/>
    </row>
    <row r="454" spans="1:11" x14ac:dyDescent="0.25">
      <c r="A454" s="286"/>
      <c r="B454" s="286"/>
      <c r="C454" s="286"/>
      <c r="D454" s="286"/>
      <c r="E454" s="286"/>
      <c r="F454" s="286"/>
      <c r="G454" s="398"/>
      <c r="H454" s="300"/>
      <c r="I454" s="300"/>
      <c r="J454" s="300"/>
      <c r="K454" s="286"/>
    </row>
    <row r="455" spans="1:11" x14ac:dyDescent="0.25">
      <c r="A455" s="286"/>
      <c r="B455" s="286"/>
      <c r="C455" s="286"/>
      <c r="D455" s="286"/>
      <c r="E455" s="286"/>
      <c r="F455" s="286"/>
      <c r="G455" s="398"/>
      <c r="H455" s="300"/>
      <c r="I455" s="300"/>
      <c r="J455" s="300"/>
      <c r="K455" s="286"/>
    </row>
    <row r="456" spans="1:11" x14ac:dyDescent="0.25">
      <c r="A456" s="286"/>
      <c r="B456" s="286"/>
      <c r="C456" s="286"/>
      <c r="D456" s="286"/>
      <c r="E456" s="286"/>
      <c r="F456" s="286"/>
      <c r="G456" s="398"/>
      <c r="H456" s="300"/>
      <c r="I456" s="300"/>
      <c r="J456" s="300"/>
      <c r="K456" s="286"/>
    </row>
    <row r="457" spans="1:11" x14ac:dyDescent="0.25">
      <c r="A457" s="286"/>
      <c r="B457" s="286"/>
      <c r="C457" s="286"/>
      <c r="D457" s="286"/>
      <c r="E457" s="286"/>
      <c r="F457" s="286"/>
      <c r="G457" s="398"/>
      <c r="H457" s="300"/>
      <c r="I457" s="300"/>
      <c r="J457" s="300"/>
      <c r="K457" s="286"/>
    </row>
    <row r="458" spans="1:11" x14ac:dyDescent="0.25">
      <c r="A458" s="286"/>
      <c r="B458" s="286"/>
      <c r="C458" s="286"/>
      <c r="D458" s="286"/>
      <c r="E458" s="286"/>
      <c r="F458" s="286"/>
      <c r="G458" s="398"/>
      <c r="H458" s="300"/>
      <c r="I458" s="300"/>
      <c r="J458" s="300"/>
      <c r="K458" s="286"/>
    </row>
    <row r="459" spans="1:11" x14ac:dyDescent="0.25">
      <c r="A459" s="286"/>
      <c r="B459" s="286"/>
      <c r="C459" s="286"/>
      <c r="D459" s="286"/>
      <c r="E459" s="286"/>
      <c r="F459" s="286"/>
      <c r="G459" s="398"/>
      <c r="H459" s="300"/>
      <c r="I459" s="300"/>
      <c r="J459" s="300"/>
      <c r="K459" s="286"/>
    </row>
    <row r="460" spans="1:11" x14ac:dyDescent="0.25">
      <c r="A460" s="286"/>
      <c r="B460" s="286"/>
      <c r="C460" s="286"/>
      <c r="D460" s="286"/>
      <c r="E460" s="286"/>
      <c r="F460" s="286"/>
      <c r="G460" s="398"/>
      <c r="H460" s="300"/>
      <c r="I460" s="300"/>
      <c r="J460" s="300"/>
      <c r="K460" s="286"/>
    </row>
    <row r="461" spans="1:11" x14ac:dyDescent="0.25">
      <c r="A461" s="286"/>
      <c r="B461" s="286"/>
      <c r="C461" s="286"/>
      <c r="D461" s="286"/>
      <c r="E461" s="286"/>
      <c r="F461" s="286"/>
      <c r="G461" s="398"/>
      <c r="H461" s="300"/>
      <c r="I461" s="300"/>
      <c r="J461" s="300"/>
      <c r="K461" s="286"/>
    </row>
    <row r="462" spans="1:11" x14ac:dyDescent="0.25">
      <c r="A462" s="286"/>
      <c r="B462" s="286"/>
      <c r="C462" s="286"/>
      <c r="D462" s="286"/>
      <c r="E462" s="286"/>
      <c r="F462" s="286"/>
      <c r="G462" s="398"/>
      <c r="H462" s="300"/>
      <c r="I462" s="300"/>
      <c r="J462" s="300"/>
      <c r="K462" s="286"/>
    </row>
    <row r="463" spans="1:11" x14ac:dyDescent="0.25">
      <c r="A463" s="286"/>
      <c r="B463" s="286"/>
      <c r="C463" s="286"/>
      <c r="D463" s="286"/>
      <c r="E463" s="286"/>
      <c r="F463" s="286"/>
      <c r="G463" s="398"/>
      <c r="H463" s="300"/>
      <c r="I463" s="300"/>
      <c r="J463" s="300"/>
      <c r="K463" s="286"/>
    </row>
    <row r="464" spans="1:11" x14ac:dyDescent="0.25">
      <c r="A464" s="286"/>
      <c r="B464" s="286"/>
      <c r="C464" s="286"/>
      <c r="D464" s="286"/>
      <c r="E464" s="286"/>
      <c r="F464" s="286"/>
      <c r="G464" s="398"/>
      <c r="H464" s="300"/>
      <c r="I464" s="300"/>
      <c r="J464" s="300"/>
      <c r="K464" s="286"/>
    </row>
    <row r="465" spans="1:11" x14ac:dyDescent="0.25">
      <c r="A465" s="286"/>
      <c r="B465" s="286"/>
      <c r="C465" s="286"/>
      <c r="D465" s="286"/>
      <c r="E465" s="286"/>
      <c r="F465" s="286"/>
      <c r="G465" s="398"/>
      <c r="H465" s="300"/>
      <c r="I465" s="300"/>
      <c r="J465" s="300"/>
      <c r="K465" s="286"/>
    </row>
    <row r="466" spans="1:11" x14ac:dyDescent="0.25">
      <c r="A466" s="286"/>
      <c r="B466" s="286"/>
      <c r="C466" s="286"/>
      <c r="D466" s="286"/>
      <c r="E466" s="286"/>
      <c r="F466" s="286"/>
      <c r="G466" s="398"/>
      <c r="H466" s="300"/>
      <c r="I466" s="300"/>
      <c r="J466" s="300"/>
      <c r="K466" s="286"/>
    </row>
    <row r="467" spans="1:11" x14ac:dyDescent="0.25">
      <c r="A467" s="286"/>
      <c r="B467" s="286"/>
      <c r="C467" s="286"/>
      <c r="D467" s="286"/>
      <c r="E467" s="286"/>
      <c r="F467" s="286"/>
      <c r="G467" s="398"/>
      <c r="H467" s="300"/>
      <c r="I467" s="300"/>
      <c r="J467" s="300"/>
      <c r="K467" s="286"/>
    </row>
    <row r="468" spans="1:11" x14ac:dyDescent="0.25">
      <c r="A468" s="286"/>
      <c r="B468" s="286"/>
      <c r="C468" s="286"/>
      <c r="D468" s="286"/>
      <c r="E468" s="286"/>
      <c r="F468" s="286"/>
      <c r="G468" s="398"/>
      <c r="H468" s="300"/>
      <c r="I468" s="300"/>
      <c r="J468" s="300"/>
      <c r="K468" s="286"/>
    </row>
    <row r="469" spans="1:11" x14ac:dyDescent="0.25">
      <c r="A469" s="286"/>
      <c r="B469" s="286"/>
      <c r="C469" s="286"/>
      <c r="D469" s="286"/>
      <c r="E469" s="286"/>
      <c r="F469" s="286"/>
      <c r="G469" s="398"/>
      <c r="H469" s="300"/>
      <c r="I469" s="300"/>
      <c r="J469" s="300"/>
      <c r="K469" s="286"/>
    </row>
    <row r="470" spans="1:11" x14ac:dyDescent="0.25">
      <c r="A470" s="286"/>
      <c r="B470" s="286"/>
      <c r="C470" s="286"/>
      <c r="D470" s="286"/>
      <c r="E470" s="286"/>
      <c r="F470" s="286"/>
      <c r="G470" s="398"/>
      <c r="H470" s="300"/>
      <c r="I470" s="300"/>
      <c r="J470" s="300"/>
      <c r="K470" s="286"/>
    </row>
    <row r="471" spans="1:11" x14ac:dyDescent="0.25">
      <c r="A471" s="286"/>
      <c r="B471" s="286"/>
      <c r="C471" s="286"/>
      <c r="D471" s="286"/>
      <c r="E471" s="286"/>
      <c r="F471" s="286"/>
      <c r="G471" s="398"/>
      <c r="H471" s="300"/>
      <c r="I471" s="300"/>
      <c r="J471" s="300"/>
      <c r="K471" s="286"/>
    </row>
    <row r="472" spans="1:11" x14ac:dyDescent="0.25">
      <c r="A472" s="286"/>
      <c r="B472" s="286"/>
      <c r="C472" s="286"/>
      <c r="D472" s="286"/>
      <c r="E472" s="286"/>
      <c r="F472" s="286"/>
      <c r="G472" s="398"/>
      <c r="H472" s="300"/>
      <c r="I472" s="300"/>
      <c r="J472" s="300"/>
      <c r="K472" s="286"/>
    </row>
    <row r="473" spans="1:11" x14ac:dyDescent="0.25">
      <c r="A473" s="286"/>
      <c r="B473" s="286"/>
      <c r="C473" s="286"/>
      <c r="D473" s="286"/>
      <c r="E473" s="286"/>
      <c r="F473" s="286"/>
      <c r="G473" s="398"/>
      <c r="H473" s="300"/>
      <c r="I473" s="300"/>
      <c r="J473" s="300"/>
      <c r="K473" s="286"/>
    </row>
    <row r="474" spans="1:11" x14ac:dyDescent="0.25">
      <c r="A474" s="286"/>
      <c r="B474" s="286"/>
      <c r="C474" s="286"/>
      <c r="D474" s="286"/>
      <c r="E474" s="286"/>
      <c r="F474" s="286"/>
      <c r="G474" s="398"/>
      <c r="H474" s="300"/>
      <c r="I474" s="300"/>
      <c r="J474" s="300"/>
      <c r="K474" s="286"/>
    </row>
    <row r="475" spans="1:11" x14ac:dyDescent="0.25">
      <c r="A475" s="286"/>
      <c r="B475" s="286"/>
      <c r="C475" s="286"/>
      <c r="D475" s="286"/>
      <c r="E475" s="286"/>
      <c r="F475" s="286"/>
      <c r="G475" s="398"/>
      <c r="H475" s="300"/>
      <c r="I475" s="300"/>
      <c r="J475" s="300"/>
      <c r="K475" s="286"/>
    </row>
    <row r="476" spans="1:11" x14ac:dyDescent="0.25">
      <c r="A476" s="286"/>
      <c r="B476" s="286"/>
      <c r="C476" s="286"/>
      <c r="D476" s="286"/>
      <c r="E476" s="286"/>
      <c r="F476" s="286"/>
      <c r="G476" s="398"/>
      <c r="H476" s="300"/>
      <c r="I476" s="300"/>
      <c r="J476" s="300"/>
      <c r="K476" s="286"/>
    </row>
    <row r="477" spans="1:11" x14ac:dyDescent="0.25">
      <c r="A477" s="286"/>
      <c r="B477" s="286"/>
      <c r="C477" s="286"/>
      <c r="D477" s="286"/>
      <c r="E477" s="286"/>
      <c r="F477" s="286"/>
      <c r="G477" s="398"/>
      <c r="H477" s="300"/>
      <c r="I477" s="300"/>
      <c r="J477" s="300"/>
      <c r="K477" s="286"/>
    </row>
    <row r="478" spans="1:11" x14ac:dyDescent="0.25">
      <c r="A478" s="286"/>
      <c r="B478" s="286"/>
      <c r="C478" s="286"/>
      <c r="D478" s="286"/>
      <c r="E478" s="286"/>
      <c r="F478" s="286"/>
      <c r="G478" s="398"/>
      <c r="H478" s="300"/>
      <c r="I478" s="300"/>
      <c r="J478" s="300"/>
      <c r="K478" s="286"/>
    </row>
    <row r="479" spans="1:11" x14ac:dyDescent="0.25">
      <c r="A479" s="286"/>
      <c r="B479" s="286"/>
      <c r="C479" s="286"/>
      <c r="D479" s="286"/>
      <c r="E479" s="286"/>
      <c r="F479" s="286"/>
      <c r="G479" s="398"/>
      <c r="H479" s="300"/>
      <c r="I479" s="300"/>
      <c r="J479" s="300"/>
      <c r="K479" s="286"/>
    </row>
    <row r="480" spans="1:11" x14ac:dyDescent="0.25">
      <c r="A480" s="286"/>
      <c r="B480" s="286"/>
      <c r="C480" s="286"/>
      <c r="D480" s="286"/>
      <c r="E480" s="286"/>
      <c r="F480" s="286"/>
      <c r="G480" s="398"/>
      <c r="H480" s="300"/>
      <c r="I480" s="300"/>
      <c r="J480" s="300"/>
      <c r="K480" s="286"/>
    </row>
    <row r="481" spans="1:11" x14ac:dyDescent="0.25">
      <c r="A481" s="286"/>
      <c r="B481" s="286"/>
      <c r="C481" s="286"/>
      <c r="D481" s="286"/>
      <c r="E481" s="286"/>
      <c r="F481" s="286"/>
      <c r="G481" s="398"/>
      <c r="H481" s="300"/>
      <c r="I481" s="300"/>
      <c r="J481" s="300"/>
      <c r="K481" s="286"/>
    </row>
    <row r="482" spans="1:11" x14ac:dyDescent="0.25">
      <c r="A482" s="286"/>
      <c r="B482" s="286"/>
      <c r="C482" s="286"/>
      <c r="D482" s="286"/>
      <c r="E482" s="286"/>
      <c r="F482" s="286"/>
      <c r="G482" s="398"/>
      <c r="H482" s="300"/>
      <c r="I482" s="300"/>
      <c r="J482" s="300"/>
      <c r="K482" s="286"/>
    </row>
    <row r="483" spans="1:11" x14ac:dyDescent="0.25">
      <c r="A483" s="286"/>
      <c r="B483" s="286"/>
      <c r="C483" s="286"/>
      <c r="D483" s="286"/>
      <c r="E483" s="286"/>
      <c r="F483" s="286"/>
      <c r="G483" s="398"/>
      <c r="H483" s="300"/>
      <c r="I483" s="300"/>
      <c r="J483" s="300"/>
      <c r="K483" s="286"/>
    </row>
    <row r="484" spans="1:11" x14ac:dyDescent="0.25">
      <c r="A484" s="286"/>
      <c r="B484" s="286"/>
      <c r="C484" s="286"/>
      <c r="D484" s="286"/>
      <c r="E484" s="286"/>
      <c r="F484" s="286"/>
      <c r="G484" s="398"/>
      <c r="H484" s="300"/>
      <c r="I484" s="300"/>
      <c r="J484" s="300"/>
      <c r="K484" s="286"/>
    </row>
    <row r="485" spans="1:11" x14ac:dyDescent="0.25">
      <c r="A485" s="286"/>
      <c r="B485" s="286"/>
      <c r="C485" s="286"/>
      <c r="D485" s="286"/>
      <c r="E485" s="286"/>
      <c r="F485" s="286"/>
      <c r="G485" s="398"/>
      <c r="H485" s="300"/>
      <c r="I485" s="300"/>
      <c r="J485" s="300"/>
      <c r="K485" s="286"/>
    </row>
    <row r="486" spans="1:11" x14ac:dyDescent="0.25">
      <c r="A486" s="286"/>
      <c r="B486" s="286"/>
      <c r="C486" s="286"/>
      <c r="D486" s="286"/>
      <c r="E486" s="286"/>
      <c r="F486" s="286"/>
      <c r="G486" s="398"/>
      <c r="H486" s="300"/>
      <c r="I486" s="300"/>
      <c r="J486" s="300"/>
      <c r="K486" s="286"/>
    </row>
    <row r="487" spans="1:11" x14ac:dyDescent="0.25">
      <c r="A487" s="286"/>
      <c r="B487" s="286"/>
      <c r="C487" s="286"/>
      <c r="D487" s="286"/>
      <c r="E487" s="286"/>
      <c r="F487" s="286"/>
      <c r="G487" s="398"/>
      <c r="H487" s="300"/>
      <c r="I487" s="300"/>
      <c r="J487" s="300"/>
      <c r="K487" s="286"/>
    </row>
    <row r="488" spans="1:11" x14ac:dyDescent="0.25">
      <c r="A488" s="286"/>
      <c r="B488" s="286"/>
      <c r="C488" s="286"/>
      <c r="D488" s="286"/>
      <c r="E488" s="286"/>
      <c r="F488" s="286"/>
      <c r="G488" s="398"/>
      <c r="H488" s="300"/>
      <c r="I488" s="300"/>
      <c r="J488" s="300"/>
      <c r="K488" s="286"/>
    </row>
    <row r="489" spans="1:11" x14ac:dyDescent="0.25">
      <c r="A489" s="286"/>
      <c r="B489" s="286"/>
      <c r="C489" s="286"/>
      <c r="D489" s="286"/>
      <c r="E489" s="286"/>
      <c r="F489" s="286"/>
      <c r="G489" s="398"/>
      <c r="H489" s="300"/>
      <c r="I489" s="300"/>
      <c r="J489" s="300"/>
      <c r="K489" s="286"/>
    </row>
    <row r="490" spans="1:11" x14ac:dyDescent="0.25">
      <c r="A490" s="286"/>
      <c r="B490" s="286"/>
      <c r="C490" s="286"/>
      <c r="D490" s="286"/>
      <c r="E490" s="286"/>
      <c r="F490" s="286"/>
      <c r="G490" s="398"/>
      <c r="H490" s="300"/>
      <c r="I490" s="300"/>
      <c r="J490" s="300"/>
      <c r="K490" s="286"/>
    </row>
    <row r="491" spans="1:11" x14ac:dyDescent="0.25">
      <c r="A491" s="286"/>
      <c r="B491" s="286"/>
      <c r="C491" s="286"/>
      <c r="D491" s="286"/>
      <c r="E491" s="286"/>
      <c r="F491" s="286"/>
      <c r="G491" s="398"/>
      <c r="H491" s="300"/>
      <c r="I491" s="300"/>
      <c r="J491" s="300"/>
      <c r="K491" s="286"/>
    </row>
    <row r="492" spans="1:11" x14ac:dyDescent="0.25">
      <c r="A492" s="286"/>
      <c r="B492" s="286"/>
      <c r="C492" s="286"/>
      <c r="D492" s="286"/>
      <c r="E492" s="286"/>
      <c r="F492" s="286"/>
      <c r="G492" s="398"/>
      <c r="H492" s="300"/>
      <c r="I492" s="300"/>
      <c r="J492" s="300"/>
      <c r="K492" s="286"/>
    </row>
    <row r="493" spans="1:11" x14ac:dyDescent="0.25">
      <c r="A493" s="286"/>
      <c r="B493" s="286"/>
      <c r="C493" s="286"/>
      <c r="D493" s="286"/>
      <c r="E493" s="286"/>
      <c r="F493" s="286"/>
      <c r="G493" s="398"/>
      <c r="H493" s="300"/>
      <c r="I493" s="300"/>
      <c r="J493" s="300"/>
      <c r="K493" s="286"/>
    </row>
    <row r="494" spans="1:11" x14ac:dyDescent="0.25">
      <c r="A494" s="286"/>
      <c r="B494" s="286"/>
      <c r="C494" s="286"/>
      <c r="D494" s="286"/>
      <c r="E494" s="286"/>
      <c r="F494" s="286"/>
      <c r="G494" s="398"/>
      <c r="H494" s="300"/>
      <c r="I494" s="300"/>
      <c r="J494" s="300"/>
      <c r="K494" s="286"/>
    </row>
    <row r="495" spans="1:11" x14ac:dyDescent="0.25">
      <c r="A495" s="286"/>
      <c r="B495" s="286"/>
      <c r="C495" s="286"/>
      <c r="D495" s="286"/>
      <c r="E495" s="286"/>
      <c r="F495" s="286"/>
      <c r="G495" s="398"/>
      <c r="H495" s="300"/>
      <c r="I495" s="300"/>
      <c r="J495" s="300"/>
      <c r="K495" s="286"/>
    </row>
    <row r="496" spans="1:11" x14ac:dyDescent="0.25">
      <c r="A496" s="286"/>
      <c r="B496" s="286"/>
      <c r="C496" s="286"/>
      <c r="D496" s="286"/>
      <c r="E496" s="286"/>
      <c r="F496" s="286"/>
      <c r="G496" s="398"/>
      <c r="H496" s="300"/>
      <c r="I496" s="300"/>
      <c r="J496" s="300"/>
      <c r="K496" s="286"/>
    </row>
    <row r="497" spans="1:11" x14ac:dyDescent="0.25">
      <c r="A497" s="286"/>
      <c r="B497" s="286"/>
      <c r="C497" s="286"/>
      <c r="D497" s="286"/>
      <c r="E497" s="286"/>
      <c r="F497" s="286"/>
      <c r="G497" s="398"/>
      <c r="H497" s="300"/>
      <c r="I497" s="300"/>
      <c r="J497" s="300"/>
      <c r="K497" s="286"/>
    </row>
    <row r="498" spans="1:11" x14ac:dyDescent="0.25">
      <c r="A498" s="286"/>
      <c r="B498" s="286"/>
      <c r="C498" s="286"/>
      <c r="D498" s="286"/>
      <c r="E498" s="286"/>
      <c r="F498" s="286"/>
      <c r="G498" s="398"/>
      <c r="H498" s="300"/>
      <c r="I498" s="300"/>
      <c r="J498" s="300"/>
      <c r="K498" s="286"/>
    </row>
    <row r="499" spans="1:11" x14ac:dyDescent="0.25">
      <c r="A499" s="286"/>
      <c r="B499" s="286"/>
      <c r="C499" s="286"/>
      <c r="D499" s="286"/>
      <c r="E499" s="286"/>
      <c r="F499" s="286"/>
      <c r="G499" s="398"/>
      <c r="H499" s="300"/>
      <c r="I499" s="300"/>
      <c r="J499" s="300"/>
      <c r="K499" s="286"/>
    </row>
    <row r="500" spans="1:11" x14ac:dyDescent="0.25">
      <c r="A500" s="286"/>
      <c r="B500" s="286"/>
      <c r="C500" s="286"/>
      <c r="D500" s="286"/>
      <c r="E500" s="286"/>
      <c r="F500" s="286"/>
      <c r="G500" s="398"/>
      <c r="H500" s="300"/>
      <c r="I500" s="300"/>
      <c r="J500" s="300"/>
      <c r="K500" s="286"/>
    </row>
    <row r="501" spans="1:11" x14ac:dyDescent="0.25">
      <c r="A501" s="286"/>
      <c r="B501" s="286"/>
      <c r="C501" s="286"/>
      <c r="D501" s="286"/>
      <c r="E501" s="286"/>
      <c r="F501" s="286"/>
      <c r="G501" s="398"/>
      <c r="H501" s="300"/>
      <c r="I501" s="300"/>
      <c r="J501" s="300"/>
      <c r="K501" s="286"/>
    </row>
    <row r="502" spans="1:11" x14ac:dyDescent="0.25">
      <c r="A502" s="286"/>
      <c r="B502" s="286"/>
      <c r="C502" s="286"/>
      <c r="D502" s="286"/>
      <c r="E502" s="286"/>
      <c r="F502" s="286"/>
      <c r="G502" s="398"/>
      <c r="H502" s="300"/>
      <c r="I502" s="300"/>
      <c r="J502" s="300"/>
      <c r="K502" s="286"/>
    </row>
    <row r="503" spans="1:11" x14ac:dyDescent="0.25">
      <c r="A503" s="286"/>
      <c r="B503" s="286"/>
      <c r="C503" s="286"/>
      <c r="D503" s="286"/>
      <c r="E503" s="286"/>
      <c r="F503" s="286"/>
      <c r="G503" s="398"/>
      <c r="H503" s="300"/>
      <c r="I503" s="300"/>
      <c r="J503" s="300"/>
      <c r="K503" s="286"/>
    </row>
    <row r="504" spans="1:11" x14ac:dyDescent="0.25">
      <c r="A504" s="286"/>
      <c r="B504" s="286"/>
      <c r="C504" s="286"/>
      <c r="D504" s="286"/>
      <c r="E504" s="286"/>
      <c r="F504" s="286"/>
      <c r="G504" s="398"/>
      <c r="H504" s="300"/>
      <c r="I504" s="300"/>
      <c r="J504" s="300"/>
      <c r="K504" s="286"/>
    </row>
    <row r="505" spans="1:11" x14ac:dyDescent="0.25">
      <c r="A505" s="286"/>
      <c r="B505" s="286"/>
      <c r="C505" s="286"/>
      <c r="D505" s="286"/>
      <c r="E505" s="286"/>
      <c r="F505" s="286"/>
      <c r="G505" s="398"/>
      <c r="H505" s="300"/>
      <c r="I505" s="300"/>
      <c r="J505" s="300"/>
      <c r="K505" s="286"/>
    </row>
    <row r="506" spans="1:11" x14ac:dyDescent="0.25">
      <c r="A506" s="286"/>
      <c r="B506" s="286"/>
      <c r="C506" s="286"/>
      <c r="D506" s="286"/>
      <c r="E506" s="286"/>
      <c r="F506" s="286"/>
      <c r="G506" s="398"/>
      <c r="H506" s="300"/>
      <c r="I506" s="300"/>
      <c r="J506" s="300"/>
      <c r="K506" s="286"/>
    </row>
    <row r="507" spans="1:11" x14ac:dyDescent="0.25">
      <c r="A507" s="286"/>
      <c r="B507" s="286"/>
      <c r="C507" s="286"/>
      <c r="D507" s="286"/>
      <c r="E507" s="286"/>
      <c r="F507" s="286"/>
      <c r="G507" s="398"/>
      <c r="H507" s="300"/>
      <c r="I507" s="300"/>
      <c r="J507" s="300"/>
      <c r="K507" s="286"/>
    </row>
    <row r="508" spans="1:11" x14ac:dyDescent="0.25">
      <c r="A508" s="286"/>
      <c r="B508" s="286"/>
      <c r="C508" s="286"/>
      <c r="D508" s="286"/>
      <c r="E508" s="286"/>
      <c r="F508" s="286"/>
      <c r="G508" s="398"/>
      <c r="H508" s="300"/>
      <c r="I508" s="300"/>
      <c r="J508" s="300"/>
      <c r="K508" s="286"/>
    </row>
    <row r="509" spans="1:11" x14ac:dyDescent="0.25">
      <c r="A509" s="286"/>
      <c r="B509" s="286"/>
      <c r="C509" s="286"/>
      <c r="D509" s="286"/>
      <c r="E509" s="286"/>
      <c r="F509" s="286"/>
      <c r="G509" s="398"/>
      <c r="H509" s="300"/>
      <c r="I509" s="300"/>
      <c r="J509" s="300"/>
      <c r="K509" s="286"/>
    </row>
    <row r="510" spans="1:11" x14ac:dyDescent="0.25">
      <c r="A510" s="286"/>
      <c r="B510" s="286"/>
      <c r="C510" s="286"/>
      <c r="D510" s="286"/>
      <c r="E510" s="286"/>
      <c r="F510" s="286"/>
      <c r="G510" s="398"/>
      <c r="H510" s="300"/>
      <c r="I510" s="300"/>
      <c r="J510" s="300"/>
      <c r="K510" s="286"/>
    </row>
    <row r="511" spans="1:11" x14ac:dyDescent="0.25">
      <c r="A511" s="286"/>
      <c r="B511" s="286"/>
      <c r="C511" s="286"/>
      <c r="D511" s="286"/>
      <c r="E511" s="286"/>
      <c r="F511" s="286"/>
      <c r="G511" s="398"/>
      <c r="H511" s="300"/>
      <c r="I511" s="300"/>
      <c r="J511" s="300"/>
      <c r="K511" s="286"/>
    </row>
    <row r="512" spans="1:11" x14ac:dyDescent="0.25">
      <c r="A512" s="286"/>
      <c r="B512" s="286"/>
      <c r="C512" s="286"/>
      <c r="D512" s="286"/>
      <c r="E512" s="286"/>
      <c r="F512" s="286"/>
      <c r="G512" s="398"/>
      <c r="H512" s="300"/>
      <c r="I512" s="300"/>
      <c r="J512" s="300"/>
      <c r="K512" s="286"/>
    </row>
    <row r="513" spans="1:11" x14ac:dyDescent="0.25">
      <c r="A513" s="286"/>
      <c r="B513" s="286"/>
      <c r="C513" s="286"/>
      <c r="D513" s="286"/>
      <c r="E513" s="286"/>
      <c r="F513" s="286"/>
      <c r="G513" s="398"/>
      <c r="H513" s="300"/>
      <c r="I513" s="300"/>
      <c r="J513" s="300"/>
      <c r="K513" s="286"/>
    </row>
    <row r="514" spans="1:11" x14ac:dyDescent="0.25">
      <c r="A514" s="286"/>
      <c r="B514" s="286"/>
      <c r="C514" s="286"/>
      <c r="D514" s="286"/>
      <c r="E514" s="286"/>
      <c r="F514" s="286"/>
      <c r="G514" s="398"/>
      <c r="H514" s="300"/>
      <c r="I514" s="300"/>
      <c r="J514" s="300"/>
      <c r="K514" s="286"/>
    </row>
    <row r="515" spans="1:11" x14ac:dyDescent="0.25">
      <c r="A515" s="286"/>
      <c r="B515" s="286"/>
      <c r="C515" s="286"/>
      <c r="D515" s="286"/>
      <c r="E515" s="286"/>
      <c r="F515" s="286"/>
      <c r="G515" s="398"/>
      <c r="H515" s="300"/>
      <c r="I515" s="300"/>
      <c r="J515" s="300"/>
      <c r="K515" s="286"/>
    </row>
    <row r="516" spans="1:11" x14ac:dyDescent="0.25">
      <c r="A516" s="286"/>
      <c r="B516" s="286"/>
      <c r="C516" s="286"/>
      <c r="D516" s="286"/>
      <c r="E516" s="286"/>
      <c r="F516" s="286"/>
      <c r="G516" s="398"/>
      <c r="H516" s="300"/>
      <c r="I516" s="300"/>
      <c r="J516" s="300"/>
      <c r="K516" s="286"/>
    </row>
    <row r="517" spans="1:11" x14ac:dyDescent="0.25">
      <c r="A517" s="286"/>
      <c r="B517" s="286"/>
      <c r="C517" s="286"/>
      <c r="D517" s="286"/>
      <c r="E517" s="286"/>
      <c r="F517" s="286"/>
      <c r="G517" s="398"/>
      <c r="H517" s="300"/>
      <c r="I517" s="300"/>
      <c r="J517" s="300"/>
      <c r="K517" s="286"/>
    </row>
    <row r="518" spans="1:11" x14ac:dyDescent="0.25">
      <c r="A518" s="286"/>
      <c r="B518" s="286"/>
      <c r="C518" s="286"/>
      <c r="D518" s="286"/>
      <c r="E518" s="286"/>
      <c r="F518" s="286"/>
      <c r="G518" s="398"/>
      <c r="H518" s="300"/>
      <c r="I518" s="300"/>
      <c r="J518" s="300"/>
      <c r="K518" s="286"/>
    </row>
    <row r="519" spans="1:11" x14ac:dyDescent="0.25">
      <c r="A519" s="286"/>
      <c r="B519" s="286"/>
      <c r="C519" s="286"/>
      <c r="D519" s="286"/>
      <c r="E519" s="286"/>
      <c r="F519" s="286"/>
      <c r="G519" s="398"/>
      <c r="H519" s="300"/>
      <c r="I519" s="300"/>
      <c r="J519" s="300"/>
      <c r="K519" s="286"/>
    </row>
    <row r="520" spans="1:11" x14ac:dyDescent="0.25">
      <c r="A520" s="286"/>
      <c r="B520" s="286"/>
      <c r="C520" s="286"/>
      <c r="D520" s="286"/>
      <c r="E520" s="286"/>
      <c r="F520" s="286"/>
      <c r="G520" s="398"/>
      <c r="H520" s="300"/>
      <c r="I520" s="300"/>
      <c r="J520" s="300"/>
      <c r="K520" s="286"/>
    </row>
    <row r="521" spans="1:11" x14ac:dyDescent="0.25">
      <c r="A521" s="286"/>
      <c r="B521" s="286"/>
      <c r="C521" s="286"/>
      <c r="D521" s="286"/>
      <c r="E521" s="286"/>
      <c r="F521" s="286"/>
      <c r="G521" s="398"/>
      <c r="H521" s="300"/>
      <c r="I521" s="300"/>
      <c r="J521" s="300"/>
      <c r="K521" s="286"/>
    </row>
    <row r="522" spans="1:11" x14ac:dyDescent="0.25">
      <c r="A522" s="286"/>
      <c r="B522" s="286"/>
      <c r="C522" s="286"/>
      <c r="D522" s="286"/>
      <c r="E522" s="286"/>
      <c r="F522" s="286"/>
      <c r="G522" s="398"/>
      <c r="H522" s="300"/>
      <c r="I522" s="300"/>
      <c r="J522" s="300"/>
      <c r="K522" s="286"/>
    </row>
    <row r="523" spans="1:11" x14ac:dyDescent="0.25">
      <c r="A523" s="286"/>
      <c r="B523" s="286"/>
      <c r="C523" s="286"/>
      <c r="D523" s="286"/>
      <c r="E523" s="286"/>
      <c r="F523" s="286"/>
      <c r="G523" s="398"/>
      <c r="H523" s="300"/>
      <c r="I523" s="300"/>
      <c r="J523" s="300"/>
      <c r="K523" s="286"/>
    </row>
    <row r="524" spans="1:11" x14ac:dyDescent="0.25">
      <c r="A524" s="286"/>
      <c r="B524" s="286"/>
      <c r="C524" s="286"/>
      <c r="D524" s="286"/>
      <c r="E524" s="286"/>
      <c r="F524" s="286"/>
      <c r="G524" s="398"/>
      <c r="H524" s="300"/>
      <c r="I524" s="300"/>
      <c r="J524" s="300"/>
      <c r="K524" s="286"/>
    </row>
    <row r="525" spans="1:11" x14ac:dyDescent="0.25">
      <c r="A525" s="286"/>
      <c r="B525" s="286"/>
      <c r="C525" s="286"/>
      <c r="D525" s="286"/>
      <c r="E525" s="286"/>
      <c r="F525" s="286"/>
      <c r="G525" s="398"/>
      <c r="H525" s="300"/>
      <c r="I525" s="300"/>
      <c r="J525" s="300"/>
      <c r="K525" s="286"/>
    </row>
    <row r="526" spans="1:11" x14ac:dyDescent="0.25">
      <c r="A526" s="286"/>
      <c r="B526" s="286"/>
      <c r="C526" s="286"/>
      <c r="D526" s="286"/>
      <c r="E526" s="286"/>
      <c r="F526" s="286"/>
      <c r="G526" s="398"/>
      <c r="H526" s="300"/>
      <c r="I526" s="300"/>
      <c r="J526" s="300"/>
      <c r="K526" s="286"/>
    </row>
    <row r="527" spans="1:11" x14ac:dyDescent="0.25">
      <c r="A527" s="286"/>
      <c r="B527" s="286"/>
      <c r="C527" s="286"/>
      <c r="D527" s="286"/>
      <c r="E527" s="286"/>
      <c r="F527" s="286"/>
      <c r="G527" s="398"/>
      <c r="H527" s="300"/>
      <c r="I527" s="300"/>
      <c r="J527" s="300"/>
      <c r="K527" s="286"/>
    </row>
    <row r="528" spans="1:11" x14ac:dyDescent="0.25">
      <c r="A528" s="286"/>
      <c r="B528" s="286"/>
      <c r="C528" s="286"/>
      <c r="D528" s="286"/>
      <c r="E528" s="286"/>
      <c r="F528" s="286"/>
      <c r="G528" s="398"/>
      <c r="H528" s="300"/>
      <c r="I528" s="300"/>
      <c r="J528" s="300"/>
      <c r="K528" s="286"/>
    </row>
    <row r="529" spans="1:11" x14ac:dyDescent="0.25">
      <c r="A529" s="286"/>
      <c r="B529" s="286"/>
      <c r="C529" s="286"/>
      <c r="D529" s="286"/>
      <c r="E529" s="286"/>
      <c r="F529" s="286"/>
      <c r="G529" s="398"/>
      <c r="H529" s="300"/>
      <c r="I529" s="300"/>
      <c r="J529" s="300"/>
      <c r="K529" s="286"/>
    </row>
    <row r="530" spans="1:11" x14ac:dyDescent="0.25">
      <c r="A530" s="286"/>
      <c r="B530" s="286"/>
      <c r="C530" s="286"/>
      <c r="D530" s="286"/>
      <c r="E530" s="286"/>
      <c r="F530" s="286"/>
      <c r="G530" s="398"/>
      <c r="H530" s="300"/>
      <c r="I530" s="300"/>
      <c r="J530" s="300"/>
      <c r="K530" s="286"/>
    </row>
    <row r="531" spans="1:11" x14ac:dyDescent="0.25">
      <c r="A531" s="286"/>
      <c r="B531" s="286"/>
      <c r="C531" s="286"/>
      <c r="D531" s="286"/>
      <c r="E531" s="286"/>
      <c r="F531" s="286"/>
      <c r="G531" s="398"/>
      <c r="H531" s="300"/>
      <c r="I531" s="300"/>
      <c r="J531" s="300"/>
      <c r="K531" s="286"/>
    </row>
    <row r="532" spans="1:11" x14ac:dyDescent="0.25">
      <c r="A532" s="286"/>
      <c r="B532" s="286"/>
      <c r="C532" s="286"/>
      <c r="D532" s="286"/>
      <c r="E532" s="286"/>
      <c r="F532" s="286"/>
      <c r="G532" s="398"/>
      <c r="H532" s="300"/>
      <c r="I532" s="300"/>
      <c r="J532" s="300"/>
      <c r="K532" s="286"/>
    </row>
    <row r="533" spans="1:11" x14ac:dyDescent="0.25">
      <c r="A533" s="286"/>
      <c r="B533" s="286"/>
      <c r="C533" s="286"/>
      <c r="D533" s="286"/>
      <c r="E533" s="286"/>
      <c r="F533" s="286"/>
      <c r="G533" s="398"/>
      <c r="H533" s="300"/>
      <c r="I533" s="300"/>
      <c r="J533" s="300"/>
      <c r="K533" s="286"/>
    </row>
    <row r="534" spans="1:11" x14ac:dyDescent="0.25">
      <c r="A534" s="286"/>
      <c r="B534" s="286"/>
      <c r="C534" s="286"/>
      <c r="D534" s="286"/>
      <c r="E534" s="286"/>
      <c r="F534" s="286"/>
      <c r="G534" s="398"/>
      <c r="H534" s="300"/>
      <c r="I534" s="300"/>
      <c r="J534" s="300"/>
      <c r="K534" s="286"/>
    </row>
    <row r="535" spans="1:11" x14ac:dyDescent="0.25">
      <c r="A535" s="286"/>
      <c r="B535" s="286"/>
      <c r="C535" s="286"/>
      <c r="D535" s="286"/>
      <c r="E535" s="286"/>
      <c r="F535" s="286"/>
      <c r="G535" s="398"/>
      <c r="H535" s="300"/>
      <c r="I535" s="300"/>
      <c r="J535" s="300"/>
      <c r="K535" s="286"/>
    </row>
    <row r="536" spans="1:11" x14ac:dyDescent="0.25">
      <c r="A536" s="286"/>
      <c r="B536" s="286"/>
      <c r="C536" s="286"/>
      <c r="D536" s="286"/>
      <c r="E536" s="286"/>
      <c r="F536" s="286"/>
      <c r="G536" s="398"/>
      <c r="H536" s="300"/>
      <c r="I536" s="300"/>
      <c r="J536" s="300"/>
      <c r="K536" s="286"/>
    </row>
    <row r="537" spans="1:11" x14ac:dyDescent="0.25">
      <c r="A537" s="286"/>
      <c r="B537" s="286"/>
      <c r="C537" s="286"/>
      <c r="D537" s="286"/>
      <c r="E537" s="286"/>
      <c r="F537" s="286"/>
      <c r="G537" s="398"/>
      <c r="H537" s="300"/>
      <c r="I537" s="300"/>
      <c r="J537" s="300"/>
      <c r="K537" s="286"/>
    </row>
    <row r="538" spans="1:11" x14ac:dyDescent="0.25">
      <c r="A538" s="286"/>
      <c r="B538" s="286"/>
      <c r="C538" s="286"/>
      <c r="D538" s="286"/>
      <c r="E538" s="286"/>
      <c r="F538" s="286"/>
      <c r="G538" s="398"/>
      <c r="H538" s="300"/>
      <c r="I538" s="300"/>
      <c r="J538" s="300"/>
      <c r="K538" s="286"/>
    </row>
    <row r="539" spans="1:11" x14ac:dyDescent="0.25">
      <c r="A539" s="286"/>
      <c r="B539" s="286"/>
      <c r="C539" s="286"/>
      <c r="D539" s="286"/>
      <c r="E539" s="286"/>
      <c r="F539" s="286"/>
      <c r="G539" s="398"/>
      <c r="H539" s="300"/>
      <c r="I539" s="300"/>
      <c r="J539" s="300"/>
      <c r="K539" s="286"/>
    </row>
    <row r="540" spans="1:11" x14ac:dyDescent="0.25">
      <c r="A540" s="286"/>
      <c r="B540" s="286"/>
      <c r="C540" s="286"/>
      <c r="D540" s="286"/>
      <c r="E540" s="286"/>
      <c r="F540" s="286"/>
      <c r="G540" s="398"/>
      <c r="H540" s="300"/>
      <c r="I540" s="300"/>
      <c r="J540" s="300"/>
      <c r="K540" s="286"/>
    </row>
    <row r="541" spans="1:11" x14ac:dyDescent="0.25">
      <c r="A541" s="286"/>
      <c r="B541" s="286"/>
      <c r="C541" s="286"/>
      <c r="D541" s="286"/>
      <c r="E541" s="286"/>
      <c r="F541" s="286"/>
      <c r="G541" s="398"/>
      <c r="H541" s="300"/>
      <c r="I541" s="300"/>
      <c r="J541" s="300"/>
      <c r="K541" s="286"/>
    </row>
    <row r="542" spans="1:11" x14ac:dyDescent="0.25">
      <c r="A542" s="286"/>
      <c r="B542" s="286"/>
      <c r="C542" s="286"/>
      <c r="D542" s="286"/>
      <c r="E542" s="286"/>
      <c r="F542" s="286"/>
      <c r="G542" s="398"/>
      <c r="H542" s="300"/>
      <c r="I542" s="300"/>
      <c r="J542" s="300"/>
      <c r="K542" s="286"/>
    </row>
    <row r="543" spans="1:11" x14ac:dyDescent="0.25">
      <c r="A543" s="286"/>
      <c r="B543" s="286"/>
      <c r="C543" s="286"/>
      <c r="D543" s="286"/>
      <c r="E543" s="286"/>
      <c r="F543" s="286"/>
      <c r="G543" s="398"/>
      <c r="H543" s="300"/>
      <c r="I543" s="300"/>
      <c r="J543" s="300"/>
      <c r="K543" s="286"/>
    </row>
    <row r="544" spans="1:11" x14ac:dyDescent="0.25">
      <c r="A544" s="286"/>
      <c r="B544" s="286"/>
      <c r="C544" s="286"/>
      <c r="D544" s="286"/>
      <c r="E544" s="286"/>
      <c r="F544" s="286"/>
      <c r="G544" s="398"/>
      <c r="H544" s="300"/>
      <c r="I544" s="300"/>
      <c r="J544" s="300"/>
      <c r="K544" s="286"/>
    </row>
    <row r="545" spans="1:11" x14ac:dyDescent="0.25">
      <c r="A545" s="286"/>
      <c r="B545" s="286"/>
      <c r="C545" s="286"/>
      <c r="D545" s="286"/>
      <c r="E545" s="286"/>
      <c r="F545" s="286"/>
      <c r="G545" s="398"/>
      <c r="H545" s="300"/>
      <c r="I545" s="300"/>
      <c r="J545" s="300"/>
      <c r="K545" s="286"/>
    </row>
    <row r="546" spans="1:11" x14ac:dyDescent="0.25">
      <c r="A546" s="286"/>
      <c r="B546" s="286"/>
      <c r="C546" s="286"/>
      <c r="D546" s="286"/>
      <c r="E546" s="286"/>
      <c r="F546" s="286"/>
      <c r="G546" s="398"/>
      <c r="H546" s="300"/>
      <c r="I546" s="300"/>
      <c r="J546" s="300"/>
      <c r="K546" s="286"/>
    </row>
    <row r="547" spans="1:11" x14ac:dyDescent="0.25">
      <c r="A547" s="286"/>
      <c r="B547" s="286"/>
      <c r="C547" s="286"/>
      <c r="D547" s="286"/>
      <c r="E547" s="286"/>
      <c r="F547" s="286"/>
      <c r="G547" s="398"/>
      <c r="H547" s="300"/>
      <c r="I547" s="300"/>
      <c r="J547" s="300"/>
      <c r="K547" s="286"/>
    </row>
    <row r="548" spans="1:11" x14ac:dyDescent="0.25">
      <c r="A548" s="286"/>
      <c r="B548" s="286"/>
      <c r="C548" s="286"/>
      <c r="D548" s="286"/>
      <c r="E548" s="286"/>
      <c r="F548" s="286"/>
      <c r="G548" s="398"/>
      <c r="H548" s="300"/>
      <c r="I548" s="300"/>
      <c r="J548" s="300"/>
      <c r="K548" s="286"/>
    </row>
    <row r="549" spans="1:11" x14ac:dyDescent="0.25">
      <c r="A549" s="286"/>
      <c r="B549" s="286"/>
      <c r="C549" s="286"/>
      <c r="D549" s="286"/>
      <c r="E549" s="286"/>
      <c r="F549" s="286"/>
      <c r="G549" s="398"/>
      <c r="H549" s="300"/>
      <c r="I549" s="300"/>
      <c r="J549" s="300"/>
      <c r="K549" s="286"/>
    </row>
    <row r="550" spans="1:11" x14ac:dyDescent="0.25">
      <c r="A550" s="286"/>
      <c r="B550" s="286"/>
      <c r="C550" s="286"/>
      <c r="D550" s="286"/>
      <c r="E550" s="286"/>
      <c r="F550" s="286"/>
      <c r="G550" s="398"/>
      <c r="H550" s="300"/>
      <c r="I550" s="300"/>
      <c r="J550" s="300"/>
      <c r="K550" s="286"/>
    </row>
    <row r="551" spans="1:11" x14ac:dyDescent="0.25">
      <c r="A551" s="286"/>
      <c r="B551" s="286"/>
      <c r="C551" s="286"/>
      <c r="D551" s="286"/>
      <c r="E551" s="286"/>
      <c r="F551" s="286"/>
      <c r="G551" s="398"/>
      <c r="H551" s="300"/>
      <c r="I551" s="300"/>
      <c r="J551" s="300"/>
      <c r="K551" s="286"/>
    </row>
    <row r="552" spans="1:11" x14ac:dyDescent="0.25">
      <c r="A552" s="286"/>
      <c r="B552" s="286"/>
      <c r="C552" s="286"/>
      <c r="D552" s="286"/>
      <c r="E552" s="286"/>
      <c r="F552" s="286"/>
      <c r="G552" s="398"/>
      <c r="H552" s="300"/>
      <c r="I552" s="300"/>
      <c r="J552" s="300"/>
      <c r="K552" s="286"/>
    </row>
    <row r="553" spans="1:11" x14ac:dyDescent="0.25">
      <c r="A553" s="286"/>
      <c r="B553" s="286"/>
      <c r="C553" s="286"/>
      <c r="D553" s="286"/>
      <c r="E553" s="286"/>
      <c r="F553" s="286"/>
      <c r="G553" s="398"/>
      <c r="H553" s="300"/>
      <c r="I553" s="300"/>
      <c r="J553" s="300"/>
      <c r="K553" s="286"/>
    </row>
    <row r="554" spans="1:11" x14ac:dyDescent="0.25">
      <c r="A554" s="286"/>
      <c r="B554" s="286"/>
      <c r="C554" s="286"/>
      <c r="D554" s="286"/>
      <c r="E554" s="286"/>
      <c r="F554" s="286"/>
      <c r="G554" s="398"/>
      <c r="H554" s="300"/>
      <c r="I554" s="300"/>
      <c r="J554" s="300"/>
      <c r="K554" s="286"/>
    </row>
    <row r="555" spans="1:11" x14ac:dyDescent="0.25">
      <c r="A555" s="286"/>
      <c r="B555" s="286"/>
      <c r="C555" s="286"/>
      <c r="D555" s="286"/>
      <c r="E555" s="286"/>
      <c r="F555" s="286"/>
      <c r="G555" s="398"/>
      <c r="H555" s="300"/>
      <c r="I555" s="300"/>
      <c r="J555" s="300"/>
      <c r="K555" s="286"/>
    </row>
    <row r="556" spans="1:11" x14ac:dyDescent="0.25">
      <c r="A556" s="286"/>
      <c r="B556" s="286"/>
      <c r="C556" s="286"/>
      <c r="D556" s="286"/>
      <c r="E556" s="286"/>
      <c r="F556" s="286"/>
      <c r="G556" s="398"/>
      <c r="H556" s="300"/>
      <c r="I556" s="300"/>
      <c r="J556" s="300"/>
      <c r="K556" s="286"/>
    </row>
    <row r="557" spans="1:11" x14ac:dyDescent="0.25">
      <c r="A557" s="286"/>
      <c r="B557" s="286"/>
      <c r="C557" s="286"/>
      <c r="D557" s="286"/>
      <c r="E557" s="286"/>
      <c r="F557" s="286"/>
      <c r="G557" s="398"/>
      <c r="H557" s="300"/>
      <c r="I557" s="300"/>
      <c r="J557" s="300"/>
      <c r="K557" s="286"/>
    </row>
    <row r="558" spans="1:11" x14ac:dyDescent="0.25">
      <c r="A558" s="286"/>
      <c r="B558" s="286"/>
      <c r="C558" s="286"/>
      <c r="D558" s="286"/>
      <c r="E558" s="286"/>
      <c r="F558" s="286"/>
      <c r="G558" s="398"/>
      <c r="H558" s="300"/>
      <c r="I558" s="300"/>
      <c r="J558" s="300"/>
      <c r="K558" s="286"/>
    </row>
    <row r="559" spans="1:11" x14ac:dyDescent="0.25">
      <c r="A559" s="286"/>
      <c r="B559" s="286"/>
      <c r="C559" s="286"/>
      <c r="D559" s="286"/>
      <c r="E559" s="286"/>
      <c r="F559" s="286"/>
      <c r="G559" s="398"/>
      <c r="H559" s="300"/>
      <c r="I559" s="300"/>
      <c r="J559" s="300"/>
      <c r="K559" s="286"/>
    </row>
    <row r="560" spans="1:11" x14ac:dyDescent="0.25">
      <c r="A560" s="286"/>
      <c r="B560" s="286"/>
      <c r="C560" s="286"/>
      <c r="D560" s="286"/>
      <c r="E560" s="286"/>
      <c r="F560" s="286"/>
      <c r="G560" s="398"/>
      <c r="H560" s="300"/>
      <c r="I560" s="300"/>
      <c r="J560" s="300"/>
      <c r="K560" s="286"/>
    </row>
    <row r="561" spans="1:11" x14ac:dyDescent="0.25">
      <c r="A561" s="286"/>
      <c r="B561" s="286"/>
      <c r="C561" s="286"/>
      <c r="D561" s="286"/>
      <c r="E561" s="286"/>
      <c r="F561" s="286"/>
      <c r="G561" s="398"/>
      <c r="H561" s="300"/>
      <c r="I561" s="300"/>
      <c r="J561" s="300"/>
      <c r="K561" s="286"/>
    </row>
    <row r="562" spans="1:11" x14ac:dyDescent="0.25">
      <c r="A562" s="286"/>
      <c r="B562" s="286"/>
      <c r="C562" s="286"/>
      <c r="D562" s="286"/>
      <c r="E562" s="286"/>
      <c r="F562" s="286"/>
      <c r="G562" s="398"/>
      <c r="H562" s="300"/>
      <c r="I562" s="300"/>
      <c r="J562" s="300"/>
      <c r="K562" s="286"/>
    </row>
    <row r="563" spans="1:11" x14ac:dyDescent="0.25">
      <c r="A563" s="286"/>
      <c r="B563" s="286"/>
      <c r="C563" s="286"/>
      <c r="D563" s="286"/>
      <c r="E563" s="286"/>
      <c r="F563" s="286"/>
      <c r="G563" s="398"/>
      <c r="H563" s="300"/>
      <c r="I563" s="300"/>
      <c r="J563" s="300"/>
      <c r="K563" s="286"/>
    </row>
    <row r="564" spans="1:11" x14ac:dyDescent="0.25">
      <c r="A564" s="286"/>
      <c r="B564" s="286"/>
      <c r="C564" s="286"/>
      <c r="D564" s="286"/>
      <c r="E564" s="286"/>
      <c r="F564" s="286"/>
      <c r="G564" s="398"/>
      <c r="H564" s="300"/>
      <c r="I564" s="300"/>
      <c r="J564" s="300"/>
      <c r="K564" s="286"/>
    </row>
    <row r="565" spans="1:11" x14ac:dyDescent="0.25">
      <c r="A565" s="286"/>
      <c r="B565" s="286"/>
      <c r="C565" s="286"/>
      <c r="D565" s="286"/>
      <c r="E565" s="286"/>
      <c r="F565" s="286"/>
      <c r="G565" s="398"/>
      <c r="H565" s="300"/>
      <c r="I565" s="300"/>
      <c r="J565" s="300"/>
      <c r="K565" s="286"/>
    </row>
    <row r="566" spans="1:11" x14ac:dyDescent="0.25">
      <c r="A566" s="286"/>
      <c r="B566" s="286"/>
      <c r="C566" s="286"/>
      <c r="D566" s="286"/>
      <c r="E566" s="286"/>
      <c r="F566" s="286"/>
      <c r="G566" s="398"/>
      <c r="H566" s="300"/>
      <c r="I566" s="300"/>
      <c r="J566" s="300"/>
      <c r="K566" s="286"/>
    </row>
    <row r="567" spans="1:11" x14ac:dyDescent="0.25">
      <c r="A567" s="286"/>
      <c r="B567" s="286"/>
      <c r="C567" s="286"/>
      <c r="D567" s="286"/>
      <c r="E567" s="286"/>
      <c r="F567" s="286"/>
      <c r="G567" s="398"/>
      <c r="H567" s="300"/>
      <c r="I567" s="300"/>
      <c r="J567" s="300"/>
      <c r="K567" s="286"/>
    </row>
    <row r="568" spans="1:11" x14ac:dyDescent="0.25">
      <c r="A568" s="286"/>
      <c r="B568" s="286"/>
      <c r="C568" s="286"/>
      <c r="D568" s="286"/>
      <c r="E568" s="286"/>
      <c r="F568" s="286"/>
      <c r="G568" s="398"/>
      <c r="H568" s="300"/>
      <c r="I568" s="300"/>
      <c r="J568" s="300"/>
      <c r="K568" s="286"/>
    </row>
    <row r="569" spans="1:11" x14ac:dyDescent="0.25">
      <c r="A569" s="286"/>
      <c r="B569" s="286"/>
      <c r="C569" s="286"/>
      <c r="D569" s="286"/>
      <c r="E569" s="286"/>
      <c r="F569" s="286"/>
      <c r="G569" s="398"/>
      <c r="H569" s="300"/>
      <c r="I569" s="300"/>
      <c r="J569" s="300"/>
      <c r="K569" s="286"/>
    </row>
    <row r="570" spans="1:11" x14ac:dyDescent="0.25">
      <c r="A570" s="286"/>
      <c r="B570" s="286"/>
      <c r="C570" s="286"/>
      <c r="D570" s="286"/>
      <c r="E570" s="286"/>
      <c r="F570" s="286"/>
      <c r="G570" s="398"/>
      <c r="H570" s="300"/>
      <c r="I570" s="300"/>
      <c r="J570" s="300"/>
      <c r="K570" s="286"/>
    </row>
    <row r="571" spans="1:11" x14ac:dyDescent="0.25">
      <c r="A571" s="286"/>
      <c r="B571" s="286"/>
      <c r="C571" s="286"/>
      <c r="D571" s="286"/>
      <c r="E571" s="286"/>
      <c r="F571" s="286"/>
      <c r="G571" s="398"/>
      <c r="H571" s="300"/>
      <c r="I571" s="300"/>
      <c r="J571" s="300"/>
      <c r="K571" s="286"/>
    </row>
    <row r="572" spans="1:11" x14ac:dyDescent="0.25">
      <c r="A572" s="286"/>
      <c r="B572" s="286"/>
      <c r="C572" s="286"/>
      <c r="D572" s="286"/>
      <c r="E572" s="286"/>
      <c r="F572" s="286"/>
      <c r="G572" s="398"/>
      <c r="H572" s="300"/>
      <c r="I572" s="300"/>
      <c r="J572" s="300"/>
      <c r="K572" s="286"/>
    </row>
    <row r="573" spans="1:11" x14ac:dyDescent="0.25">
      <c r="A573" s="286"/>
      <c r="B573" s="286"/>
      <c r="C573" s="286"/>
      <c r="D573" s="286"/>
      <c r="E573" s="286"/>
      <c r="F573" s="286"/>
      <c r="G573" s="398"/>
      <c r="H573" s="300"/>
      <c r="I573" s="300"/>
      <c r="J573" s="300"/>
      <c r="K573" s="286"/>
    </row>
    <row r="574" spans="1:11" x14ac:dyDescent="0.25">
      <c r="A574" s="286"/>
      <c r="B574" s="286"/>
      <c r="C574" s="286"/>
      <c r="D574" s="286"/>
      <c r="E574" s="286"/>
      <c r="F574" s="286"/>
      <c r="G574" s="398"/>
      <c r="H574" s="300"/>
      <c r="I574" s="300"/>
      <c r="J574" s="300"/>
      <c r="K574" s="286"/>
    </row>
    <row r="575" spans="1:11" x14ac:dyDescent="0.25">
      <c r="A575" s="286"/>
      <c r="B575" s="286"/>
      <c r="C575" s="286"/>
      <c r="D575" s="286"/>
      <c r="E575" s="286"/>
      <c r="F575" s="286"/>
      <c r="G575" s="398"/>
      <c r="H575" s="300"/>
      <c r="I575" s="300"/>
      <c r="J575" s="300"/>
      <c r="K575" s="286"/>
    </row>
    <row r="576" spans="1:11" x14ac:dyDescent="0.25">
      <c r="A576" s="286"/>
      <c r="B576" s="286"/>
      <c r="C576" s="286"/>
      <c r="D576" s="286"/>
      <c r="E576" s="286"/>
      <c r="F576" s="286"/>
      <c r="G576" s="398"/>
      <c r="H576" s="300"/>
      <c r="I576" s="300"/>
      <c r="J576" s="300"/>
      <c r="K576" s="286"/>
    </row>
    <row r="577" spans="1:11" x14ac:dyDescent="0.25">
      <c r="A577" s="286"/>
      <c r="B577" s="286"/>
      <c r="C577" s="286"/>
      <c r="D577" s="286"/>
      <c r="E577" s="286"/>
      <c r="F577" s="286"/>
      <c r="G577" s="398"/>
      <c r="H577" s="300"/>
      <c r="I577" s="300"/>
      <c r="J577" s="300"/>
      <c r="K577" s="286"/>
    </row>
    <row r="578" spans="1:11" x14ac:dyDescent="0.25">
      <c r="A578" s="286"/>
      <c r="B578" s="286"/>
      <c r="C578" s="286"/>
      <c r="D578" s="286"/>
      <c r="E578" s="286"/>
      <c r="F578" s="286"/>
      <c r="G578" s="398"/>
      <c r="H578" s="300"/>
      <c r="I578" s="300"/>
      <c r="J578" s="300"/>
      <c r="K578" s="286"/>
    </row>
    <row r="579" spans="1:11" x14ac:dyDescent="0.25">
      <c r="A579" s="286"/>
      <c r="B579" s="286"/>
      <c r="C579" s="286"/>
      <c r="D579" s="286"/>
      <c r="E579" s="286"/>
      <c r="F579" s="286"/>
      <c r="G579" s="398"/>
      <c r="H579" s="300"/>
      <c r="I579" s="300"/>
      <c r="J579" s="300"/>
      <c r="K579" s="286"/>
    </row>
    <row r="580" spans="1:11" x14ac:dyDescent="0.25">
      <c r="A580" s="286"/>
      <c r="B580" s="286"/>
      <c r="C580" s="286"/>
      <c r="D580" s="286"/>
      <c r="E580" s="286"/>
      <c r="F580" s="286"/>
      <c r="G580" s="398"/>
      <c r="H580" s="300"/>
      <c r="I580" s="300"/>
      <c r="J580" s="300"/>
      <c r="K580" s="286"/>
    </row>
    <row r="581" spans="1:11" x14ac:dyDescent="0.25">
      <c r="A581" s="286"/>
      <c r="B581" s="286"/>
      <c r="C581" s="286"/>
      <c r="D581" s="286"/>
      <c r="E581" s="286"/>
      <c r="F581" s="286"/>
      <c r="G581" s="398"/>
      <c r="H581" s="300"/>
      <c r="I581" s="300"/>
      <c r="J581" s="300"/>
      <c r="K581" s="286"/>
    </row>
    <row r="582" spans="1:11" x14ac:dyDescent="0.25">
      <c r="A582" s="286"/>
      <c r="B582" s="286"/>
      <c r="C582" s="286"/>
      <c r="D582" s="286"/>
      <c r="E582" s="286"/>
      <c r="F582" s="286"/>
      <c r="G582" s="398"/>
      <c r="H582" s="300"/>
      <c r="I582" s="300"/>
      <c r="J582" s="300"/>
      <c r="K582" s="286"/>
    </row>
    <row r="583" spans="1:11" x14ac:dyDescent="0.25">
      <c r="A583" s="286"/>
      <c r="B583" s="286"/>
      <c r="C583" s="286"/>
      <c r="D583" s="286"/>
      <c r="E583" s="286"/>
      <c r="F583" s="286"/>
      <c r="G583" s="398"/>
      <c r="H583" s="300"/>
      <c r="I583" s="300"/>
      <c r="J583" s="300"/>
      <c r="K583" s="286"/>
    </row>
    <row r="584" spans="1:11" x14ac:dyDescent="0.25">
      <c r="A584" s="286"/>
      <c r="B584" s="286"/>
      <c r="C584" s="286"/>
      <c r="D584" s="286"/>
      <c r="E584" s="286"/>
      <c r="F584" s="286"/>
      <c r="G584" s="398"/>
      <c r="H584" s="300"/>
      <c r="I584" s="300"/>
      <c r="J584" s="300"/>
      <c r="K584" s="286"/>
    </row>
    <row r="585" spans="1:11" x14ac:dyDescent="0.25">
      <c r="A585" s="286"/>
      <c r="B585" s="286"/>
      <c r="C585" s="286"/>
      <c r="D585" s="286"/>
      <c r="E585" s="286"/>
      <c r="F585" s="286"/>
      <c r="G585" s="398"/>
      <c r="H585" s="300"/>
      <c r="I585" s="300"/>
      <c r="J585" s="300"/>
      <c r="K585" s="286"/>
    </row>
    <row r="586" spans="1:11" x14ac:dyDescent="0.25">
      <c r="A586" s="286"/>
      <c r="B586" s="286"/>
      <c r="C586" s="286"/>
      <c r="D586" s="286"/>
      <c r="E586" s="286"/>
      <c r="F586" s="286"/>
      <c r="G586" s="398"/>
      <c r="H586" s="300"/>
      <c r="I586" s="300"/>
      <c r="J586" s="300"/>
      <c r="K586" s="286"/>
    </row>
    <row r="587" spans="1:11" x14ac:dyDescent="0.25">
      <c r="A587" s="286"/>
      <c r="B587" s="286"/>
      <c r="C587" s="286"/>
      <c r="D587" s="286"/>
      <c r="E587" s="286"/>
      <c r="F587" s="286"/>
      <c r="G587" s="398"/>
      <c r="H587" s="300"/>
      <c r="I587" s="300"/>
      <c r="J587" s="300"/>
      <c r="K587" s="286"/>
    </row>
    <row r="588" spans="1:11" x14ac:dyDescent="0.25">
      <c r="A588" s="286"/>
      <c r="B588" s="286"/>
      <c r="C588" s="286"/>
      <c r="D588" s="286"/>
      <c r="E588" s="286"/>
      <c r="F588" s="286"/>
      <c r="G588" s="398"/>
      <c r="H588" s="300"/>
      <c r="I588" s="300"/>
      <c r="J588" s="300"/>
      <c r="K588" s="286"/>
    </row>
    <row r="589" spans="1:11" x14ac:dyDescent="0.25">
      <c r="A589" s="286"/>
      <c r="B589" s="286"/>
      <c r="C589" s="286"/>
      <c r="D589" s="286"/>
      <c r="E589" s="286"/>
      <c r="F589" s="286"/>
      <c r="G589" s="398"/>
      <c r="H589" s="300"/>
      <c r="I589" s="300"/>
      <c r="J589" s="300"/>
      <c r="K589" s="286"/>
    </row>
    <row r="590" spans="1:11" x14ac:dyDescent="0.25">
      <c r="A590" s="286"/>
      <c r="B590" s="286"/>
      <c r="C590" s="286"/>
      <c r="D590" s="286"/>
      <c r="E590" s="286"/>
      <c r="F590" s="286"/>
      <c r="G590" s="398"/>
      <c r="H590" s="300"/>
      <c r="I590" s="300"/>
      <c r="J590" s="300"/>
      <c r="K590" s="286"/>
    </row>
    <row r="591" spans="1:11" x14ac:dyDescent="0.25">
      <c r="A591" s="286"/>
      <c r="B591" s="286"/>
      <c r="C591" s="286"/>
      <c r="D591" s="286"/>
      <c r="E591" s="286"/>
      <c r="F591" s="286"/>
      <c r="G591" s="398"/>
      <c r="H591" s="300"/>
      <c r="I591" s="300"/>
      <c r="J591" s="300"/>
      <c r="K591" s="286"/>
    </row>
    <row r="592" spans="1:11" x14ac:dyDescent="0.25">
      <c r="A592" s="286"/>
      <c r="B592" s="286"/>
      <c r="C592" s="286"/>
      <c r="D592" s="286"/>
      <c r="E592" s="286"/>
      <c r="F592" s="286"/>
      <c r="G592" s="398"/>
      <c r="H592" s="300"/>
      <c r="I592" s="300"/>
      <c r="J592" s="300"/>
      <c r="K592" s="286"/>
    </row>
    <row r="593" spans="1:11" x14ac:dyDescent="0.25">
      <c r="A593" s="286"/>
      <c r="B593" s="286"/>
      <c r="C593" s="286"/>
      <c r="D593" s="286"/>
      <c r="E593" s="286"/>
      <c r="F593" s="286"/>
      <c r="G593" s="398"/>
      <c r="H593" s="300"/>
      <c r="I593" s="300"/>
      <c r="J593" s="300"/>
      <c r="K593" s="286"/>
    </row>
    <row r="594" spans="1:11" x14ac:dyDescent="0.25">
      <c r="A594" s="286"/>
      <c r="B594" s="286"/>
      <c r="C594" s="286"/>
      <c r="D594" s="286"/>
      <c r="E594" s="286"/>
      <c r="F594" s="286"/>
      <c r="G594" s="398"/>
      <c r="H594" s="300"/>
      <c r="I594" s="300"/>
      <c r="J594" s="300"/>
      <c r="K594" s="286"/>
    </row>
    <row r="595" spans="1:11" x14ac:dyDescent="0.25">
      <c r="A595" s="286"/>
      <c r="B595" s="286"/>
      <c r="C595" s="286"/>
      <c r="D595" s="286"/>
      <c r="E595" s="286"/>
      <c r="F595" s="286"/>
      <c r="G595" s="398"/>
      <c r="H595" s="300"/>
      <c r="I595" s="300"/>
      <c r="J595" s="300"/>
      <c r="K595" s="286"/>
    </row>
    <row r="596" spans="1:11" x14ac:dyDescent="0.25">
      <c r="A596" s="286"/>
      <c r="B596" s="286"/>
      <c r="C596" s="286"/>
      <c r="D596" s="286"/>
      <c r="E596" s="286"/>
      <c r="F596" s="286"/>
      <c r="G596" s="398"/>
      <c r="H596" s="300"/>
      <c r="I596" s="300"/>
      <c r="J596" s="300"/>
      <c r="K596" s="286"/>
    </row>
    <row r="597" spans="1:11" x14ac:dyDescent="0.25">
      <c r="A597" s="286"/>
      <c r="B597" s="286"/>
      <c r="C597" s="286"/>
      <c r="D597" s="286"/>
      <c r="E597" s="286"/>
      <c r="F597" s="286"/>
      <c r="G597" s="398"/>
      <c r="H597" s="300"/>
      <c r="I597" s="300"/>
      <c r="J597" s="300"/>
      <c r="K597" s="286"/>
    </row>
    <row r="598" spans="1:11" x14ac:dyDescent="0.25">
      <c r="A598" s="286"/>
      <c r="B598" s="286"/>
      <c r="C598" s="286"/>
      <c r="D598" s="286"/>
      <c r="E598" s="286"/>
      <c r="F598" s="286"/>
      <c r="G598" s="398"/>
      <c r="H598" s="300"/>
      <c r="I598" s="300"/>
      <c r="J598" s="300"/>
      <c r="K598" s="286"/>
    </row>
    <row r="599" spans="1:11" x14ac:dyDescent="0.25">
      <c r="A599" s="286"/>
      <c r="B599" s="286"/>
      <c r="C599" s="286"/>
      <c r="D599" s="286"/>
      <c r="E599" s="286"/>
      <c r="F599" s="286"/>
      <c r="G599" s="398"/>
      <c r="H599" s="300"/>
      <c r="I599" s="300"/>
      <c r="J599" s="300"/>
      <c r="K599" s="286"/>
    </row>
    <row r="600" spans="1:11" x14ac:dyDescent="0.25">
      <c r="A600" s="286"/>
      <c r="B600" s="286"/>
      <c r="C600" s="286"/>
      <c r="D600" s="286"/>
      <c r="E600" s="286"/>
      <c r="F600" s="286"/>
      <c r="G600" s="398"/>
      <c r="H600" s="300"/>
      <c r="I600" s="300"/>
      <c r="J600" s="300"/>
      <c r="K600" s="286"/>
    </row>
    <row r="601" spans="1:11" x14ac:dyDescent="0.25">
      <c r="A601" s="286"/>
      <c r="B601" s="286"/>
      <c r="C601" s="286"/>
      <c r="D601" s="286"/>
      <c r="E601" s="286"/>
      <c r="F601" s="286"/>
      <c r="G601" s="398"/>
      <c r="H601" s="300"/>
      <c r="I601" s="300"/>
      <c r="J601" s="300"/>
      <c r="K601" s="286"/>
    </row>
    <row r="602" spans="1:11" x14ac:dyDescent="0.25">
      <c r="A602" s="286"/>
      <c r="B602" s="286"/>
      <c r="C602" s="286"/>
      <c r="D602" s="286"/>
      <c r="E602" s="286"/>
      <c r="F602" s="286"/>
      <c r="G602" s="398"/>
      <c r="H602" s="300"/>
      <c r="I602" s="300"/>
      <c r="J602" s="300"/>
      <c r="K602" s="286"/>
    </row>
    <row r="603" spans="1:11" x14ac:dyDescent="0.25">
      <c r="A603" s="286"/>
      <c r="B603" s="286"/>
      <c r="C603" s="286"/>
      <c r="D603" s="286"/>
      <c r="E603" s="286"/>
      <c r="F603" s="286"/>
      <c r="G603" s="398"/>
      <c r="H603" s="300"/>
      <c r="I603" s="300"/>
      <c r="J603" s="300"/>
      <c r="K603" s="286"/>
    </row>
    <row r="604" spans="1:11" x14ac:dyDescent="0.25">
      <c r="A604" s="286"/>
      <c r="B604" s="286"/>
      <c r="C604" s="286"/>
      <c r="D604" s="286"/>
      <c r="E604" s="286"/>
      <c r="F604" s="286"/>
      <c r="G604" s="398"/>
      <c r="H604" s="300"/>
      <c r="I604" s="300"/>
      <c r="J604" s="300"/>
      <c r="K604" s="286"/>
    </row>
    <row r="605" spans="1:11" x14ac:dyDescent="0.25">
      <c r="A605" s="286"/>
      <c r="B605" s="286"/>
      <c r="C605" s="286"/>
      <c r="D605" s="286"/>
      <c r="E605" s="286"/>
      <c r="F605" s="286"/>
      <c r="G605" s="398"/>
      <c r="H605" s="300"/>
      <c r="I605" s="300"/>
      <c r="J605" s="300"/>
      <c r="K605" s="286"/>
    </row>
    <row r="606" spans="1:11" x14ac:dyDescent="0.25">
      <c r="A606" s="286"/>
      <c r="B606" s="286"/>
      <c r="C606" s="286"/>
      <c r="D606" s="286"/>
      <c r="E606" s="286"/>
      <c r="F606" s="286"/>
      <c r="G606" s="398"/>
      <c r="H606" s="300"/>
      <c r="I606" s="300"/>
      <c r="J606" s="300"/>
      <c r="K606" s="286"/>
    </row>
    <row r="607" spans="1:11" x14ac:dyDescent="0.25">
      <c r="A607" s="286"/>
      <c r="B607" s="286"/>
      <c r="C607" s="286"/>
      <c r="D607" s="286"/>
      <c r="E607" s="286"/>
      <c r="F607" s="286"/>
      <c r="G607" s="398"/>
      <c r="H607" s="300"/>
      <c r="I607" s="300"/>
      <c r="J607" s="300"/>
      <c r="K607" s="286"/>
    </row>
    <row r="608" spans="1:11" x14ac:dyDescent="0.25">
      <c r="A608" s="286"/>
      <c r="B608" s="286"/>
      <c r="C608" s="286"/>
      <c r="D608" s="286"/>
      <c r="E608" s="286"/>
      <c r="F608" s="286"/>
      <c r="G608" s="398"/>
      <c r="H608" s="300"/>
      <c r="I608" s="300"/>
      <c r="J608" s="300"/>
      <c r="K608" s="286"/>
    </row>
    <row r="609" spans="1:11" x14ac:dyDescent="0.25">
      <c r="A609" s="286"/>
      <c r="B609" s="286"/>
      <c r="C609" s="286"/>
      <c r="D609" s="286"/>
      <c r="E609" s="286"/>
      <c r="F609" s="286"/>
      <c r="G609" s="398"/>
      <c r="H609" s="300"/>
      <c r="I609" s="300"/>
      <c r="J609" s="300"/>
      <c r="K609" s="286"/>
    </row>
    <row r="610" spans="1:11" x14ac:dyDescent="0.25">
      <c r="A610" s="286"/>
      <c r="B610" s="286"/>
      <c r="C610" s="286"/>
      <c r="D610" s="286"/>
      <c r="E610" s="286"/>
      <c r="F610" s="286"/>
      <c r="G610" s="398"/>
      <c r="H610" s="300"/>
      <c r="I610" s="300"/>
      <c r="J610" s="300"/>
      <c r="K610" s="286"/>
    </row>
    <row r="611" spans="1:11" x14ac:dyDescent="0.25">
      <c r="A611" s="286"/>
      <c r="B611" s="286"/>
      <c r="C611" s="286"/>
      <c r="D611" s="286"/>
      <c r="E611" s="286"/>
      <c r="F611" s="286"/>
      <c r="G611" s="398"/>
      <c r="H611" s="300"/>
      <c r="I611" s="300"/>
      <c r="J611" s="300"/>
      <c r="K611" s="286"/>
    </row>
    <row r="612" spans="1:11" x14ac:dyDescent="0.25">
      <c r="A612" s="286"/>
      <c r="B612" s="286"/>
      <c r="C612" s="286"/>
      <c r="D612" s="286"/>
      <c r="E612" s="286"/>
      <c r="F612" s="286"/>
      <c r="G612" s="398"/>
      <c r="H612" s="300"/>
      <c r="I612" s="300"/>
      <c r="J612" s="300"/>
      <c r="K612" s="286"/>
    </row>
    <row r="613" spans="1:11" x14ac:dyDescent="0.25">
      <c r="A613" s="286"/>
      <c r="B613" s="286"/>
      <c r="C613" s="286"/>
      <c r="D613" s="286"/>
      <c r="E613" s="286"/>
      <c r="F613" s="286"/>
      <c r="G613" s="398"/>
      <c r="H613" s="300"/>
      <c r="I613" s="300"/>
      <c r="J613" s="300"/>
      <c r="K613" s="286"/>
    </row>
    <row r="614" spans="1:11" x14ac:dyDescent="0.25">
      <c r="A614" s="286"/>
      <c r="B614" s="286"/>
      <c r="C614" s="286"/>
      <c r="D614" s="286"/>
      <c r="E614" s="286"/>
      <c r="F614" s="286"/>
      <c r="G614" s="398"/>
      <c r="H614" s="300"/>
      <c r="I614" s="300"/>
      <c r="J614" s="300"/>
      <c r="K614" s="286"/>
    </row>
    <row r="615" spans="1:11" x14ac:dyDescent="0.25">
      <c r="A615" s="286"/>
      <c r="B615" s="286"/>
      <c r="C615" s="286"/>
      <c r="D615" s="286"/>
      <c r="E615" s="286"/>
      <c r="F615" s="286"/>
      <c r="G615" s="398"/>
      <c r="H615" s="300"/>
      <c r="I615" s="300"/>
      <c r="J615" s="300"/>
      <c r="K615" s="286"/>
    </row>
    <row r="616" spans="1:11" x14ac:dyDescent="0.25">
      <c r="A616" s="286"/>
      <c r="B616" s="286"/>
      <c r="C616" s="286"/>
      <c r="D616" s="286"/>
      <c r="E616" s="286"/>
      <c r="F616" s="286"/>
      <c r="G616" s="398"/>
      <c r="H616" s="300"/>
      <c r="I616" s="300"/>
      <c r="J616" s="300"/>
      <c r="K616" s="286"/>
    </row>
    <row r="617" spans="1:11" x14ac:dyDescent="0.25">
      <c r="A617" s="286"/>
      <c r="B617" s="286"/>
      <c r="C617" s="286"/>
      <c r="D617" s="286"/>
      <c r="E617" s="286"/>
      <c r="F617" s="286"/>
      <c r="G617" s="398"/>
      <c r="H617" s="300"/>
      <c r="I617" s="300"/>
      <c r="J617" s="300"/>
      <c r="K617" s="286"/>
    </row>
    <row r="618" spans="1:11" x14ac:dyDescent="0.25">
      <c r="A618" s="286"/>
      <c r="B618" s="286"/>
      <c r="C618" s="286"/>
      <c r="D618" s="286"/>
      <c r="E618" s="286"/>
      <c r="F618" s="286"/>
      <c r="G618" s="398"/>
      <c r="H618" s="300"/>
      <c r="I618" s="300"/>
      <c r="J618" s="300"/>
      <c r="K618" s="286"/>
    </row>
    <row r="619" spans="1:11" x14ac:dyDescent="0.25">
      <c r="A619" s="286"/>
      <c r="B619" s="286"/>
      <c r="C619" s="286"/>
      <c r="D619" s="286"/>
      <c r="E619" s="286"/>
      <c r="F619" s="286"/>
      <c r="G619" s="398"/>
      <c r="H619" s="300"/>
      <c r="I619" s="300"/>
      <c r="J619" s="300"/>
      <c r="K619" s="286"/>
    </row>
    <row r="620" spans="1:11" x14ac:dyDescent="0.25">
      <c r="A620" s="286"/>
      <c r="B620" s="286"/>
      <c r="C620" s="286"/>
      <c r="D620" s="286"/>
      <c r="E620" s="286"/>
      <c r="F620" s="286"/>
      <c r="G620" s="398"/>
      <c r="H620" s="300"/>
      <c r="I620" s="300"/>
      <c r="J620" s="300"/>
      <c r="K620" s="286"/>
    </row>
    <row r="621" spans="1:11" x14ac:dyDescent="0.25">
      <c r="A621" s="286"/>
      <c r="B621" s="286"/>
      <c r="C621" s="286"/>
      <c r="D621" s="286"/>
      <c r="E621" s="286"/>
      <c r="F621" s="286"/>
      <c r="G621" s="398"/>
      <c r="H621" s="300"/>
      <c r="I621" s="300"/>
      <c r="J621" s="300"/>
      <c r="K621" s="286"/>
    </row>
    <row r="622" spans="1:11" x14ac:dyDescent="0.25">
      <c r="A622" s="286"/>
      <c r="B622" s="286"/>
      <c r="C622" s="286"/>
      <c r="D622" s="286"/>
      <c r="E622" s="286"/>
      <c r="F622" s="286"/>
      <c r="G622" s="398"/>
      <c r="H622" s="300"/>
      <c r="I622" s="300"/>
      <c r="J622" s="300"/>
      <c r="K622" s="286"/>
    </row>
    <row r="623" spans="1:11" x14ac:dyDescent="0.25">
      <c r="A623" s="286"/>
      <c r="B623" s="286"/>
      <c r="C623" s="286"/>
      <c r="D623" s="286"/>
      <c r="E623" s="286"/>
      <c r="F623" s="286"/>
      <c r="G623" s="398"/>
      <c r="H623" s="300"/>
      <c r="I623" s="300"/>
      <c r="J623" s="300"/>
      <c r="K623" s="286"/>
    </row>
    <row r="624" spans="1:11" x14ac:dyDescent="0.25">
      <c r="A624" s="286"/>
      <c r="B624" s="286"/>
      <c r="C624" s="286"/>
      <c r="D624" s="286"/>
      <c r="E624" s="286"/>
      <c r="F624" s="286"/>
      <c r="G624" s="398"/>
      <c r="H624" s="300"/>
      <c r="I624" s="300"/>
      <c r="J624" s="300"/>
      <c r="K624" s="286"/>
    </row>
    <row r="625" spans="1:11" x14ac:dyDescent="0.25">
      <c r="A625" s="286"/>
      <c r="B625" s="286"/>
      <c r="C625" s="286"/>
      <c r="D625" s="286"/>
      <c r="E625" s="286"/>
      <c r="F625" s="286"/>
      <c r="G625" s="398"/>
      <c r="H625" s="300"/>
      <c r="I625" s="300"/>
      <c r="J625" s="300"/>
      <c r="K625" s="286"/>
    </row>
    <row r="626" spans="1:11" x14ac:dyDescent="0.25">
      <c r="A626" s="286"/>
      <c r="B626" s="286"/>
      <c r="C626" s="286"/>
      <c r="D626" s="286"/>
      <c r="E626" s="286"/>
      <c r="F626" s="286"/>
      <c r="G626" s="398"/>
      <c r="H626" s="300"/>
      <c r="I626" s="300"/>
      <c r="J626" s="300"/>
      <c r="K626" s="286"/>
    </row>
    <row r="627" spans="1:11" x14ac:dyDescent="0.25">
      <c r="A627" s="286"/>
      <c r="B627" s="286"/>
      <c r="C627" s="286"/>
      <c r="D627" s="286"/>
      <c r="E627" s="286"/>
      <c r="F627" s="286"/>
      <c r="G627" s="398"/>
      <c r="H627" s="300"/>
      <c r="I627" s="300"/>
      <c r="J627" s="300"/>
      <c r="K627" s="286"/>
    </row>
    <row r="628" spans="1:11" x14ac:dyDescent="0.25">
      <c r="A628" s="286"/>
      <c r="B628" s="286"/>
      <c r="C628" s="286"/>
      <c r="D628" s="286"/>
      <c r="E628" s="286"/>
      <c r="F628" s="286"/>
      <c r="G628" s="398"/>
      <c r="H628" s="300"/>
      <c r="I628" s="300"/>
      <c r="J628" s="300"/>
      <c r="K628" s="286"/>
    </row>
    <row r="629" spans="1:11" x14ac:dyDescent="0.25">
      <c r="A629" s="286"/>
      <c r="B629" s="286"/>
      <c r="C629" s="286"/>
      <c r="D629" s="286"/>
      <c r="E629" s="286"/>
      <c r="F629" s="286"/>
      <c r="G629" s="398"/>
      <c r="H629" s="300"/>
      <c r="I629" s="300"/>
      <c r="J629" s="300"/>
      <c r="K629" s="286"/>
    </row>
    <row r="630" spans="1:11" x14ac:dyDescent="0.25">
      <c r="A630" s="286"/>
      <c r="B630" s="286"/>
      <c r="C630" s="286"/>
      <c r="D630" s="286"/>
      <c r="E630" s="286"/>
      <c r="F630" s="286"/>
      <c r="G630" s="398"/>
      <c r="H630" s="300"/>
      <c r="I630" s="300"/>
      <c r="J630" s="300"/>
      <c r="K630" s="286"/>
    </row>
    <row r="631" spans="1:11" x14ac:dyDescent="0.25">
      <c r="A631" s="286"/>
      <c r="B631" s="286"/>
      <c r="C631" s="286"/>
      <c r="D631" s="286"/>
      <c r="E631" s="286"/>
      <c r="F631" s="286"/>
      <c r="G631" s="398"/>
      <c r="H631" s="300"/>
      <c r="I631" s="300"/>
      <c r="J631" s="300"/>
      <c r="K631" s="286"/>
    </row>
    <row r="632" spans="1:11" x14ac:dyDescent="0.25">
      <c r="A632" s="286"/>
      <c r="B632" s="286"/>
      <c r="C632" s="286"/>
      <c r="D632" s="286"/>
      <c r="E632" s="286"/>
      <c r="F632" s="286"/>
      <c r="G632" s="398"/>
      <c r="H632" s="300"/>
      <c r="I632" s="300"/>
      <c r="J632" s="300"/>
      <c r="K632" s="286"/>
    </row>
    <row r="633" spans="1:11" x14ac:dyDescent="0.25">
      <c r="A633" s="286"/>
      <c r="B633" s="286"/>
      <c r="C633" s="286"/>
      <c r="D633" s="286"/>
      <c r="E633" s="286"/>
      <c r="F633" s="286"/>
      <c r="G633" s="398"/>
      <c r="H633" s="300"/>
      <c r="I633" s="300"/>
      <c r="J633" s="300"/>
      <c r="K633" s="286"/>
    </row>
    <row r="634" spans="1:11" x14ac:dyDescent="0.25">
      <c r="A634" s="286"/>
      <c r="B634" s="286"/>
      <c r="C634" s="286"/>
      <c r="D634" s="286"/>
      <c r="E634" s="286"/>
      <c r="F634" s="286"/>
      <c r="G634" s="398"/>
      <c r="H634" s="300"/>
      <c r="I634" s="300"/>
      <c r="J634" s="300"/>
      <c r="K634" s="286"/>
    </row>
    <row r="635" spans="1:11" x14ac:dyDescent="0.25">
      <c r="A635" s="286"/>
      <c r="B635" s="286"/>
      <c r="C635" s="286"/>
      <c r="D635" s="286"/>
      <c r="E635" s="286"/>
      <c r="F635" s="286"/>
      <c r="G635" s="398"/>
      <c r="H635" s="300"/>
      <c r="I635" s="300"/>
      <c r="J635" s="300"/>
      <c r="K635" s="286"/>
    </row>
    <row r="636" spans="1:11" x14ac:dyDescent="0.25">
      <c r="A636" s="286"/>
      <c r="B636" s="286"/>
      <c r="C636" s="286"/>
      <c r="D636" s="286"/>
      <c r="E636" s="286"/>
      <c r="F636" s="286"/>
      <c r="G636" s="398"/>
      <c r="H636" s="300"/>
      <c r="I636" s="300"/>
      <c r="J636" s="300"/>
      <c r="K636" s="286"/>
    </row>
    <row r="637" spans="1:11" x14ac:dyDescent="0.25">
      <c r="A637" s="286"/>
      <c r="B637" s="286"/>
      <c r="C637" s="286"/>
      <c r="D637" s="286"/>
      <c r="E637" s="286"/>
      <c r="F637" s="286"/>
      <c r="G637" s="398"/>
      <c r="H637" s="300"/>
      <c r="I637" s="300"/>
      <c r="J637" s="300"/>
      <c r="K637" s="286"/>
    </row>
    <row r="638" spans="1:11" x14ac:dyDescent="0.25">
      <c r="A638" s="286"/>
      <c r="B638" s="286"/>
      <c r="C638" s="286"/>
      <c r="D638" s="286"/>
      <c r="E638" s="286"/>
      <c r="F638" s="286"/>
      <c r="G638" s="398"/>
      <c r="H638" s="300"/>
      <c r="I638" s="300"/>
      <c r="J638" s="300"/>
      <c r="K638" s="286"/>
    </row>
    <row r="639" spans="1:11" x14ac:dyDescent="0.25">
      <c r="A639" s="286"/>
      <c r="B639" s="286"/>
      <c r="C639" s="286"/>
      <c r="D639" s="286"/>
      <c r="E639" s="286"/>
      <c r="F639" s="286"/>
      <c r="G639" s="398"/>
      <c r="H639" s="300"/>
      <c r="I639" s="300"/>
      <c r="J639" s="300"/>
      <c r="K639" s="286"/>
    </row>
    <row r="640" spans="1:11" x14ac:dyDescent="0.25">
      <c r="A640" s="286"/>
      <c r="B640" s="286"/>
      <c r="C640" s="286"/>
      <c r="D640" s="286"/>
      <c r="E640" s="286"/>
      <c r="F640" s="286"/>
      <c r="G640" s="398"/>
      <c r="H640" s="300"/>
      <c r="I640" s="300"/>
      <c r="J640" s="300"/>
      <c r="K640" s="286"/>
    </row>
    <row r="641" spans="1:11" x14ac:dyDescent="0.25">
      <c r="A641" s="286"/>
      <c r="B641" s="286"/>
      <c r="C641" s="286"/>
      <c r="D641" s="286"/>
      <c r="E641" s="286"/>
      <c r="F641" s="286"/>
      <c r="G641" s="398"/>
      <c r="H641" s="300"/>
      <c r="I641" s="300"/>
      <c r="J641" s="300"/>
      <c r="K641" s="286"/>
    </row>
    <row r="642" spans="1:11" x14ac:dyDescent="0.25">
      <c r="A642" s="286"/>
      <c r="B642" s="286"/>
      <c r="C642" s="286"/>
      <c r="D642" s="286"/>
      <c r="E642" s="286"/>
      <c r="F642" s="286"/>
      <c r="G642" s="398"/>
      <c r="H642" s="300"/>
      <c r="I642" s="300"/>
      <c r="J642" s="300"/>
      <c r="K642" s="286"/>
    </row>
    <row r="643" spans="1:11" x14ac:dyDescent="0.25">
      <c r="A643" s="286"/>
      <c r="B643" s="286"/>
      <c r="C643" s="286"/>
      <c r="D643" s="286"/>
      <c r="E643" s="286"/>
      <c r="F643" s="286"/>
      <c r="G643" s="398"/>
      <c r="H643" s="300"/>
      <c r="I643" s="300"/>
      <c r="J643" s="300"/>
      <c r="K643" s="286"/>
    </row>
    <row r="644" spans="1:11" x14ac:dyDescent="0.25">
      <c r="A644" s="286"/>
      <c r="B644" s="286"/>
      <c r="C644" s="286"/>
      <c r="D644" s="286"/>
      <c r="E644" s="286"/>
      <c r="F644" s="286"/>
      <c r="G644" s="398"/>
      <c r="H644" s="300"/>
      <c r="I644" s="300"/>
      <c r="J644" s="300"/>
      <c r="K644" s="286"/>
    </row>
    <row r="645" spans="1:11" x14ac:dyDescent="0.25">
      <c r="A645" s="286"/>
      <c r="B645" s="286"/>
      <c r="C645" s="286"/>
      <c r="D645" s="286"/>
      <c r="E645" s="286"/>
      <c r="F645" s="286"/>
      <c r="G645" s="398"/>
      <c r="H645" s="300"/>
      <c r="I645" s="300"/>
      <c r="J645" s="300"/>
      <c r="K645" s="286"/>
    </row>
    <row r="646" spans="1:11" x14ac:dyDescent="0.25">
      <c r="A646" s="286"/>
      <c r="B646" s="286"/>
      <c r="C646" s="286"/>
      <c r="D646" s="286"/>
      <c r="E646" s="286"/>
      <c r="F646" s="286"/>
      <c r="G646" s="398"/>
      <c r="H646" s="300"/>
      <c r="I646" s="300"/>
      <c r="J646" s="300"/>
      <c r="K646" s="286"/>
    </row>
    <row r="647" spans="1:11" x14ac:dyDescent="0.25">
      <c r="A647" s="286"/>
      <c r="B647" s="286"/>
      <c r="C647" s="286"/>
      <c r="D647" s="286"/>
      <c r="E647" s="286"/>
      <c r="F647" s="286"/>
      <c r="G647" s="398"/>
      <c r="H647" s="300"/>
      <c r="I647" s="300"/>
      <c r="J647" s="300"/>
      <c r="K647" s="286"/>
    </row>
    <row r="648" spans="1:11" x14ac:dyDescent="0.25">
      <c r="A648" s="286"/>
      <c r="B648" s="286"/>
      <c r="C648" s="286"/>
      <c r="D648" s="286"/>
      <c r="E648" s="286"/>
      <c r="F648" s="286"/>
      <c r="G648" s="398"/>
      <c r="H648" s="300"/>
      <c r="I648" s="300"/>
      <c r="J648" s="300"/>
      <c r="K648" s="286"/>
    </row>
    <row r="649" spans="1:11" x14ac:dyDescent="0.25">
      <c r="A649" s="286"/>
      <c r="B649" s="286"/>
      <c r="C649" s="286"/>
      <c r="D649" s="286"/>
      <c r="E649" s="286"/>
      <c r="F649" s="286"/>
      <c r="G649" s="398"/>
      <c r="H649" s="300"/>
      <c r="I649" s="300"/>
      <c r="J649" s="300"/>
      <c r="K649" s="286"/>
    </row>
    <row r="650" spans="1:11" x14ac:dyDescent="0.25">
      <c r="A650" s="286"/>
      <c r="B650" s="286"/>
      <c r="C650" s="286"/>
      <c r="D650" s="286"/>
      <c r="E650" s="286"/>
      <c r="F650" s="286"/>
      <c r="G650" s="398"/>
      <c r="H650" s="300"/>
      <c r="I650" s="300"/>
      <c r="J650" s="300"/>
      <c r="K650" s="286"/>
    </row>
    <row r="651" spans="1:11" x14ac:dyDescent="0.25">
      <c r="A651" s="286"/>
      <c r="B651" s="286"/>
      <c r="C651" s="286"/>
      <c r="D651" s="286"/>
      <c r="E651" s="286"/>
      <c r="F651" s="286"/>
      <c r="G651" s="398"/>
      <c r="H651" s="300"/>
      <c r="I651" s="300"/>
      <c r="J651" s="300"/>
      <c r="K651" s="286"/>
    </row>
    <row r="652" spans="1:11" x14ac:dyDescent="0.25">
      <c r="A652" s="286"/>
      <c r="B652" s="286"/>
      <c r="C652" s="286"/>
      <c r="D652" s="286"/>
      <c r="E652" s="286"/>
      <c r="F652" s="286"/>
      <c r="G652" s="398"/>
      <c r="H652" s="300"/>
      <c r="I652" s="300"/>
      <c r="J652" s="300"/>
      <c r="K652" s="286"/>
    </row>
    <row r="653" spans="1:11" x14ac:dyDescent="0.25">
      <c r="A653" s="286"/>
      <c r="B653" s="286"/>
      <c r="C653" s="286"/>
      <c r="D653" s="286"/>
      <c r="E653" s="286"/>
      <c r="F653" s="286"/>
      <c r="G653" s="398"/>
      <c r="H653" s="300"/>
      <c r="I653" s="300"/>
      <c r="J653" s="300"/>
      <c r="K653" s="286"/>
    </row>
    <row r="654" spans="1:11" x14ac:dyDescent="0.25">
      <c r="A654" s="286"/>
      <c r="B654" s="286"/>
      <c r="C654" s="286"/>
      <c r="D654" s="286"/>
      <c r="E654" s="286"/>
      <c r="F654" s="286"/>
      <c r="G654" s="398"/>
      <c r="H654" s="300"/>
      <c r="I654" s="300"/>
      <c r="J654" s="300"/>
      <c r="K654" s="286"/>
    </row>
    <row r="655" spans="1:11" x14ac:dyDescent="0.25">
      <c r="A655" s="286"/>
      <c r="B655" s="286"/>
      <c r="C655" s="286"/>
      <c r="D655" s="286"/>
      <c r="E655" s="286"/>
      <c r="F655" s="286"/>
      <c r="G655" s="398"/>
      <c r="H655" s="300"/>
      <c r="I655" s="300"/>
      <c r="J655" s="300"/>
      <c r="K655" s="286"/>
    </row>
    <row r="656" spans="1:11" x14ac:dyDescent="0.25">
      <c r="A656" s="286"/>
      <c r="B656" s="286"/>
      <c r="C656" s="286"/>
      <c r="D656" s="286"/>
      <c r="E656" s="286"/>
      <c r="F656" s="286"/>
      <c r="G656" s="398"/>
      <c r="H656" s="300"/>
      <c r="I656" s="300"/>
      <c r="J656" s="300"/>
      <c r="K656" s="286"/>
    </row>
    <row r="657" spans="1:11" x14ac:dyDescent="0.25">
      <c r="A657" s="286"/>
      <c r="B657" s="286"/>
      <c r="C657" s="286"/>
      <c r="D657" s="286"/>
      <c r="E657" s="286"/>
      <c r="F657" s="286"/>
      <c r="G657" s="398"/>
      <c r="H657" s="300"/>
      <c r="I657" s="300"/>
      <c r="J657" s="300"/>
      <c r="K657" s="286"/>
    </row>
    <row r="658" spans="1:11" x14ac:dyDescent="0.25">
      <c r="A658" s="286"/>
      <c r="B658" s="286"/>
      <c r="C658" s="286"/>
      <c r="D658" s="286"/>
      <c r="E658" s="286"/>
      <c r="F658" s="286"/>
      <c r="G658" s="398"/>
      <c r="H658" s="300"/>
      <c r="I658" s="300"/>
      <c r="J658" s="300"/>
      <c r="K658" s="286"/>
    </row>
    <row r="659" spans="1:11" x14ac:dyDescent="0.25">
      <c r="A659" s="286"/>
      <c r="B659" s="286"/>
      <c r="C659" s="286"/>
      <c r="D659" s="286"/>
      <c r="E659" s="286"/>
      <c r="F659" s="286"/>
      <c r="G659" s="398"/>
      <c r="H659" s="300"/>
      <c r="I659" s="300"/>
      <c r="J659" s="300"/>
      <c r="K659" s="286"/>
    </row>
    <row r="660" spans="1:11" x14ac:dyDescent="0.25">
      <c r="A660" s="286"/>
      <c r="B660" s="286"/>
      <c r="C660" s="286"/>
      <c r="D660" s="286"/>
      <c r="E660" s="286"/>
      <c r="F660" s="286"/>
      <c r="G660" s="398"/>
      <c r="H660" s="300"/>
      <c r="I660" s="300"/>
      <c r="J660" s="300"/>
      <c r="K660" s="286"/>
    </row>
    <row r="661" spans="1:11" x14ac:dyDescent="0.25">
      <c r="A661" s="286"/>
      <c r="B661" s="286"/>
      <c r="C661" s="286"/>
      <c r="D661" s="286"/>
      <c r="E661" s="286"/>
      <c r="F661" s="286"/>
      <c r="G661" s="398"/>
      <c r="H661" s="300"/>
      <c r="I661" s="300"/>
      <c r="J661" s="300"/>
      <c r="K661" s="286"/>
    </row>
    <row r="662" spans="1:11" x14ac:dyDescent="0.25">
      <c r="A662" s="286"/>
      <c r="B662" s="286"/>
      <c r="C662" s="286"/>
      <c r="D662" s="286"/>
      <c r="E662" s="286"/>
      <c r="F662" s="286"/>
      <c r="G662" s="398"/>
      <c r="H662" s="300"/>
      <c r="I662" s="300"/>
      <c r="J662" s="300"/>
      <c r="K662" s="286"/>
    </row>
    <row r="663" spans="1:11" x14ac:dyDescent="0.25">
      <c r="A663" s="286"/>
      <c r="B663" s="286"/>
      <c r="C663" s="286"/>
      <c r="D663" s="286"/>
      <c r="E663" s="286"/>
      <c r="F663" s="286"/>
      <c r="G663" s="398"/>
      <c r="H663" s="300"/>
      <c r="I663" s="300"/>
      <c r="J663" s="300"/>
      <c r="K663" s="286"/>
    </row>
    <row r="664" spans="1:11" x14ac:dyDescent="0.25">
      <c r="A664" s="286"/>
      <c r="B664" s="286"/>
      <c r="C664" s="286"/>
      <c r="D664" s="286"/>
      <c r="E664" s="286"/>
      <c r="F664" s="286"/>
      <c r="G664" s="398"/>
      <c r="H664" s="300"/>
      <c r="I664" s="300"/>
      <c r="J664" s="300"/>
      <c r="K664" s="286"/>
    </row>
    <row r="665" spans="1:11" x14ac:dyDescent="0.25">
      <c r="A665" s="286"/>
      <c r="B665" s="286"/>
      <c r="C665" s="286"/>
      <c r="D665" s="286"/>
      <c r="E665" s="286"/>
      <c r="F665" s="286"/>
      <c r="G665" s="398"/>
      <c r="H665" s="300"/>
      <c r="I665" s="300"/>
      <c r="J665" s="300"/>
      <c r="K665" s="286"/>
    </row>
    <row r="666" spans="1:11" x14ac:dyDescent="0.25">
      <c r="A666" s="286"/>
      <c r="B666" s="286"/>
      <c r="C666" s="286"/>
      <c r="D666" s="286"/>
      <c r="E666" s="286"/>
      <c r="F666" s="286"/>
      <c r="G666" s="398"/>
      <c r="H666" s="300"/>
      <c r="I666" s="300"/>
      <c r="J666" s="300"/>
      <c r="K666" s="286"/>
    </row>
    <row r="667" spans="1:11" x14ac:dyDescent="0.25">
      <c r="A667" s="286"/>
      <c r="B667" s="286"/>
      <c r="C667" s="286"/>
      <c r="D667" s="286"/>
      <c r="E667" s="286"/>
      <c r="F667" s="286"/>
      <c r="G667" s="398"/>
      <c r="H667" s="300"/>
      <c r="I667" s="300"/>
      <c r="J667" s="300"/>
      <c r="K667" s="286"/>
    </row>
    <row r="668" spans="1:11" x14ac:dyDescent="0.25">
      <c r="A668" s="286"/>
      <c r="B668" s="286"/>
      <c r="C668" s="286"/>
      <c r="D668" s="286"/>
      <c r="E668" s="286"/>
      <c r="F668" s="286"/>
      <c r="G668" s="398"/>
      <c r="H668" s="300"/>
      <c r="I668" s="300"/>
      <c r="J668" s="300"/>
      <c r="K668" s="286"/>
    </row>
    <row r="669" spans="1:11" x14ac:dyDescent="0.25">
      <c r="A669" s="286"/>
      <c r="B669" s="286"/>
      <c r="C669" s="286"/>
      <c r="D669" s="286"/>
      <c r="E669" s="286"/>
      <c r="F669" s="286"/>
      <c r="G669" s="398"/>
      <c r="H669" s="300"/>
      <c r="I669" s="300"/>
      <c r="J669" s="300"/>
      <c r="K669" s="286"/>
    </row>
    <row r="670" spans="1:11" x14ac:dyDescent="0.25">
      <c r="A670" s="286"/>
      <c r="B670" s="286"/>
      <c r="C670" s="286"/>
      <c r="D670" s="286"/>
      <c r="E670" s="286"/>
      <c r="F670" s="286"/>
      <c r="G670" s="398"/>
      <c r="H670" s="300"/>
      <c r="I670" s="300"/>
      <c r="J670" s="300"/>
      <c r="K670" s="286"/>
    </row>
    <row r="671" spans="1:11" x14ac:dyDescent="0.25">
      <c r="A671" s="286"/>
      <c r="B671" s="286"/>
      <c r="C671" s="286"/>
      <c r="D671" s="286"/>
      <c r="E671" s="286"/>
      <c r="F671" s="286"/>
      <c r="G671" s="398"/>
      <c r="H671" s="300"/>
      <c r="I671" s="300"/>
      <c r="J671" s="300"/>
      <c r="K671" s="286"/>
    </row>
    <row r="672" spans="1:11" x14ac:dyDescent="0.25">
      <c r="A672" s="286"/>
      <c r="B672" s="286"/>
      <c r="C672" s="286"/>
      <c r="D672" s="286"/>
      <c r="E672" s="286"/>
      <c r="F672" s="286"/>
      <c r="G672" s="398"/>
      <c r="H672" s="300"/>
      <c r="I672" s="300"/>
      <c r="J672" s="300"/>
      <c r="K672" s="286"/>
    </row>
    <row r="673" spans="1:11" x14ac:dyDescent="0.25">
      <c r="A673" s="286"/>
      <c r="B673" s="286"/>
      <c r="C673" s="286"/>
      <c r="D673" s="286"/>
      <c r="E673" s="286"/>
      <c r="F673" s="286"/>
      <c r="G673" s="398"/>
      <c r="H673" s="300"/>
      <c r="I673" s="300"/>
      <c r="J673" s="300"/>
      <c r="K673" s="286"/>
    </row>
    <row r="674" spans="1:11" x14ac:dyDescent="0.25">
      <c r="A674" s="286"/>
      <c r="B674" s="286"/>
      <c r="C674" s="286"/>
      <c r="D674" s="286"/>
      <c r="E674" s="286"/>
      <c r="F674" s="286"/>
      <c r="G674" s="398"/>
      <c r="H674" s="300"/>
      <c r="I674" s="300"/>
      <c r="J674" s="300"/>
      <c r="K674" s="286"/>
    </row>
    <row r="675" spans="1:11" x14ac:dyDescent="0.25">
      <c r="A675" s="286"/>
      <c r="B675" s="286"/>
      <c r="C675" s="286"/>
      <c r="D675" s="286"/>
      <c r="E675" s="286"/>
      <c r="F675" s="286"/>
      <c r="G675" s="398"/>
      <c r="H675" s="300"/>
      <c r="I675" s="300"/>
      <c r="J675" s="300"/>
      <c r="K675" s="286"/>
    </row>
    <row r="676" spans="1:11" x14ac:dyDescent="0.25">
      <c r="A676" s="286"/>
      <c r="B676" s="286"/>
      <c r="C676" s="286"/>
      <c r="D676" s="286"/>
      <c r="E676" s="286"/>
      <c r="F676" s="286"/>
      <c r="G676" s="398"/>
      <c r="H676" s="300"/>
      <c r="I676" s="300"/>
      <c r="J676" s="300"/>
      <c r="K676" s="286"/>
    </row>
    <row r="677" spans="1:11" x14ac:dyDescent="0.25">
      <c r="A677" s="286"/>
      <c r="B677" s="286"/>
      <c r="C677" s="286"/>
      <c r="D677" s="286"/>
      <c r="E677" s="286"/>
      <c r="F677" s="286"/>
      <c r="G677" s="398"/>
      <c r="H677" s="300"/>
      <c r="I677" s="300"/>
      <c r="J677" s="300"/>
      <c r="K677" s="286"/>
    </row>
    <row r="678" spans="1:11" x14ac:dyDescent="0.25">
      <c r="A678" s="286"/>
      <c r="B678" s="286"/>
      <c r="C678" s="286"/>
      <c r="D678" s="286"/>
      <c r="E678" s="286"/>
      <c r="F678" s="286"/>
      <c r="G678" s="398"/>
      <c r="H678" s="300"/>
      <c r="I678" s="300"/>
      <c r="J678" s="300"/>
      <c r="K678" s="286"/>
    </row>
    <row r="679" spans="1:11" x14ac:dyDescent="0.25">
      <c r="A679" s="286"/>
      <c r="B679" s="286"/>
      <c r="C679" s="286"/>
      <c r="D679" s="286"/>
      <c r="E679" s="286"/>
      <c r="F679" s="286"/>
      <c r="G679" s="398"/>
      <c r="H679" s="300"/>
      <c r="I679" s="300"/>
      <c r="J679" s="300"/>
      <c r="K679" s="286"/>
    </row>
    <row r="680" spans="1:11" x14ac:dyDescent="0.25">
      <c r="A680" s="286"/>
      <c r="B680" s="286"/>
      <c r="C680" s="286"/>
      <c r="D680" s="286"/>
      <c r="E680" s="286"/>
      <c r="F680" s="286"/>
      <c r="G680" s="398"/>
      <c r="H680" s="300"/>
      <c r="I680" s="300"/>
      <c r="J680" s="300"/>
      <c r="K680" s="286"/>
    </row>
    <row r="681" spans="1:11" x14ac:dyDescent="0.25">
      <c r="A681" s="286"/>
      <c r="B681" s="286"/>
      <c r="C681" s="286"/>
      <c r="D681" s="286"/>
      <c r="E681" s="286"/>
      <c r="F681" s="286"/>
      <c r="G681" s="398"/>
      <c r="H681" s="300"/>
      <c r="I681" s="300"/>
      <c r="J681" s="300"/>
      <c r="K681" s="286"/>
    </row>
    <row r="682" spans="1:11" x14ac:dyDescent="0.25">
      <c r="A682" s="286"/>
      <c r="B682" s="286"/>
      <c r="C682" s="286"/>
      <c r="D682" s="286"/>
      <c r="E682" s="286"/>
      <c r="F682" s="286"/>
      <c r="G682" s="398"/>
      <c r="H682" s="300"/>
      <c r="I682" s="300"/>
      <c r="J682" s="300"/>
      <c r="K682" s="286"/>
    </row>
    <row r="683" spans="1:11" x14ac:dyDescent="0.25">
      <c r="A683" s="286"/>
      <c r="B683" s="286"/>
      <c r="C683" s="286"/>
      <c r="D683" s="286"/>
      <c r="E683" s="286"/>
      <c r="F683" s="286"/>
      <c r="G683" s="398"/>
      <c r="H683" s="300"/>
      <c r="I683" s="300"/>
      <c r="J683" s="300"/>
      <c r="K683" s="286"/>
    </row>
    <row r="684" spans="1:11" x14ac:dyDescent="0.25">
      <c r="A684" s="286"/>
      <c r="B684" s="286"/>
      <c r="C684" s="286"/>
      <c r="D684" s="286"/>
      <c r="E684" s="286"/>
      <c r="F684" s="286"/>
      <c r="G684" s="398"/>
      <c r="H684" s="300"/>
      <c r="I684" s="300"/>
      <c r="J684" s="300"/>
      <c r="K684" s="286"/>
    </row>
    <row r="685" spans="1:11" x14ac:dyDescent="0.25">
      <c r="A685" s="286"/>
      <c r="B685" s="286"/>
      <c r="C685" s="286"/>
      <c r="D685" s="286"/>
      <c r="E685" s="286"/>
      <c r="F685" s="286"/>
      <c r="G685" s="398"/>
      <c r="H685" s="300"/>
      <c r="I685" s="300"/>
      <c r="J685" s="300"/>
      <c r="K685" s="286"/>
    </row>
    <row r="686" spans="1:11" x14ac:dyDescent="0.25">
      <c r="A686" s="286"/>
      <c r="B686" s="286"/>
      <c r="C686" s="286"/>
      <c r="D686" s="286"/>
      <c r="E686" s="286"/>
      <c r="F686" s="286"/>
      <c r="G686" s="398"/>
      <c r="H686" s="300"/>
      <c r="I686" s="300"/>
      <c r="J686" s="300"/>
      <c r="K686" s="286"/>
    </row>
    <row r="687" spans="1:11" x14ac:dyDescent="0.25">
      <c r="A687" s="286"/>
      <c r="B687" s="286"/>
      <c r="C687" s="286"/>
      <c r="D687" s="286"/>
      <c r="E687" s="286"/>
      <c r="F687" s="286"/>
      <c r="G687" s="398"/>
      <c r="H687" s="300"/>
      <c r="I687" s="300"/>
      <c r="J687" s="300"/>
      <c r="K687" s="286"/>
    </row>
    <row r="688" spans="1:11" x14ac:dyDescent="0.25">
      <c r="A688" s="286"/>
      <c r="B688" s="286"/>
      <c r="C688" s="286"/>
      <c r="D688" s="286"/>
      <c r="E688" s="286"/>
      <c r="F688" s="286"/>
      <c r="G688" s="398"/>
      <c r="H688" s="300"/>
      <c r="I688" s="300"/>
      <c r="J688" s="300"/>
      <c r="K688" s="286"/>
    </row>
    <row r="689" spans="1:11" x14ac:dyDescent="0.25">
      <c r="A689" s="286"/>
      <c r="B689" s="286"/>
      <c r="C689" s="286"/>
      <c r="D689" s="286"/>
      <c r="E689" s="286"/>
      <c r="F689" s="286"/>
      <c r="G689" s="398"/>
      <c r="H689" s="300"/>
      <c r="I689" s="300"/>
      <c r="J689" s="300"/>
      <c r="K689" s="286"/>
    </row>
    <row r="690" spans="1:11" x14ac:dyDescent="0.25">
      <c r="A690" s="286"/>
      <c r="B690" s="286"/>
      <c r="C690" s="286"/>
      <c r="D690" s="286"/>
      <c r="E690" s="286"/>
      <c r="F690" s="286"/>
      <c r="G690" s="398"/>
      <c r="H690" s="300"/>
      <c r="I690" s="300"/>
      <c r="J690" s="300"/>
      <c r="K690" s="286"/>
    </row>
    <row r="691" spans="1:11" x14ac:dyDescent="0.25">
      <c r="A691" s="286"/>
      <c r="B691" s="286"/>
      <c r="C691" s="286"/>
      <c r="D691" s="286"/>
      <c r="E691" s="286"/>
      <c r="F691" s="286"/>
      <c r="G691" s="398"/>
      <c r="H691" s="300"/>
      <c r="I691" s="300"/>
      <c r="J691" s="300"/>
      <c r="K691" s="286"/>
    </row>
    <row r="692" spans="1:11" x14ac:dyDescent="0.25">
      <c r="A692" s="286"/>
      <c r="B692" s="286"/>
      <c r="C692" s="286"/>
      <c r="D692" s="286"/>
      <c r="E692" s="286"/>
      <c r="F692" s="286"/>
      <c r="G692" s="398"/>
      <c r="H692" s="300"/>
      <c r="I692" s="300"/>
      <c r="J692" s="300"/>
      <c r="K692" s="286"/>
    </row>
    <row r="693" spans="1:11" x14ac:dyDescent="0.25">
      <c r="A693" s="286"/>
      <c r="B693" s="286"/>
      <c r="C693" s="286"/>
      <c r="D693" s="286"/>
      <c r="E693" s="286"/>
      <c r="F693" s="286"/>
      <c r="G693" s="398"/>
      <c r="H693" s="300"/>
      <c r="I693" s="300"/>
      <c r="J693" s="300"/>
      <c r="K693" s="286"/>
    </row>
    <row r="694" spans="1:11" x14ac:dyDescent="0.25">
      <c r="A694" s="286"/>
      <c r="B694" s="286"/>
      <c r="C694" s="286"/>
      <c r="D694" s="286"/>
      <c r="E694" s="286"/>
      <c r="F694" s="286"/>
      <c r="G694" s="398"/>
      <c r="H694" s="300"/>
      <c r="I694" s="300"/>
      <c r="J694" s="300"/>
      <c r="K694" s="286"/>
    </row>
    <row r="695" spans="1:11" x14ac:dyDescent="0.25">
      <c r="A695" s="286"/>
      <c r="B695" s="286"/>
      <c r="C695" s="286"/>
      <c r="D695" s="286"/>
      <c r="E695" s="286"/>
      <c r="F695" s="286"/>
      <c r="G695" s="398"/>
      <c r="H695" s="300"/>
      <c r="I695" s="300"/>
      <c r="J695" s="300"/>
      <c r="K695" s="286"/>
    </row>
    <row r="696" spans="1:11" x14ac:dyDescent="0.25">
      <c r="A696" s="286"/>
      <c r="B696" s="286"/>
      <c r="C696" s="286"/>
      <c r="D696" s="286"/>
      <c r="E696" s="286"/>
      <c r="F696" s="286"/>
      <c r="G696" s="398"/>
      <c r="H696" s="300"/>
      <c r="I696" s="300"/>
      <c r="J696" s="300"/>
      <c r="K696" s="286"/>
    </row>
    <row r="697" spans="1:11" x14ac:dyDescent="0.25">
      <c r="A697" s="286"/>
      <c r="B697" s="286"/>
      <c r="C697" s="286"/>
      <c r="D697" s="286"/>
      <c r="E697" s="286"/>
      <c r="F697" s="286"/>
      <c r="G697" s="398"/>
      <c r="H697" s="300"/>
      <c r="I697" s="300"/>
      <c r="J697" s="300"/>
      <c r="K697" s="286"/>
    </row>
  </sheetData>
  <sheetProtection sheet="1" objects="1" scenarios="1"/>
  <customSheetViews>
    <customSheetView guid="{D0F83CC0-0361-4280-BCA4-9A92C986158B}" hiddenColumns="1">
      <pageMargins left="0.7" right="0.7" top="0.75" bottom="0.75" header="0.3" footer="0.3"/>
      <pageSetup orientation="portrait" horizontalDpi="1200" verticalDpi="1200" r:id="rId1"/>
    </customSheetView>
    <customSheetView guid="{27BAF95E-10B4-4025-9660-F5A8EBC66DC3}" hiddenColumns="1">
      <pageMargins left="0.7" right="0.7" top="0.75" bottom="0.75" header="0.3" footer="0.3"/>
      <pageSetup orientation="portrait" horizontalDpi="1200" verticalDpi="1200" r:id="rId2"/>
    </customSheetView>
  </customSheetViews>
  <pageMargins left="0.7" right="0.7" top="0.75" bottom="0.75" header="0.3" footer="0.3"/>
  <pageSetup orientation="portrait" horizontalDpi="1200" verticalDpi="1200"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tabColor rgb="FF9CC5CA"/>
  </sheetPr>
  <dimension ref="A1:S75"/>
  <sheetViews>
    <sheetView workbookViewId="0">
      <selection activeCell="C6" sqref="C6"/>
    </sheetView>
  </sheetViews>
  <sheetFormatPr defaultRowHeight="14.5" x14ac:dyDescent="0.35"/>
  <cols>
    <col min="1" max="1" width="9.7265625" customWidth="1"/>
    <col min="2" max="2" width="16" customWidth="1"/>
    <col min="3" max="3" width="19.453125" customWidth="1"/>
    <col min="4" max="4" width="15.453125" customWidth="1"/>
    <col min="5" max="5" width="2.26953125" customWidth="1"/>
    <col min="6" max="8" width="18.54296875" customWidth="1"/>
    <col min="9" max="9" width="2.7265625" customWidth="1"/>
    <col min="10" max="12" width="18.54296875" customWidth="1"/>
    <col min="13" max="13" width="2.7265625" customWidth="1"/>
    <col min="14" max="15" width="12.1796875" customWidth="1"/>
    <col min="16" max="16" width="24.54296875" customWidth="1"/>
  </cols>
  <sheetData>
    <row r="1" spans="1:19" ht="26" x14ac:dyDescent="0.6">
      <c r="A1" s="3" t="s">
        <v>774</v>
      </c>
    </row>
    <row r="2" spans="1:19" ht="21" x14ac:dyDescent="0.5">
      <c r="A2" s="2" t="s">
        <v>772</v>
      </c>
    </row>
    <row r="3" spans="1:19" ht="25" customHeight="1" x14ac:dyDescent="0.5">
      <c r="A3" s="495" t="s">
        <v>767</v>
      </c>
      <c r="B3" s="495"/>
      <c r="C3" s="495"/>
      <c r="D3" s="495"/>
      <c r="E3" s="495"/>
      <c r="F3" s="495"/>
    </row>
    <row r="4" spans="1:19" x14ac:dyDescent="0.35">
      <c r="A4" s="48"/>
    </row>
    <row r="5" spans="1:19" x14ac:dyDescent="0.35">
      <c r="A5" s="1" t="s">
        <v>773</v>
      </c>
      <c r="C5" s="415" t="str">
        <f>'As-Filed Schedule 1'!C5</f>
        <v>AllHealth Network</v>
      </c>
    </row>
    <row r="6" spans="1:19" x14ac:dyDescent="0.35">
      <c r="A6" s="1" t="s">
        <v>0</v>
      </c>
      <c r="C6" s="35">
        <f>'As-Filed Schedule 1'!C6</f>
        <v>45473</v>
      </c>
      <c r="F6" s="35"/>
      <c r="N6" s="129"/>
      <c r="O6" s="129"/>
      <c r="P6" s="129"/>
    </row>
    <row r="7" spans="1:19" x14ac:dyDescent="0.35">
      <c r="N7" s="40"/>
      <c r="O7" s="40"/>
      <c r="P7" s="40"/>
    </row>
    <row r="8" spans="1:19" x14ac:dyDescent="0.35">
      <c r="A8" s="1" t="s">
        <v>253</v>
      </c>
      <c r="B8" s="1" t="s">
        <v>252</v>
      </c>
      <c r="C8" s="1"/>
      <c r="D8" s="118" t="s">
        <v>978</v>
      </c>
      <c r="E8" s="41" t="s">
        <v>259</v>
      </c>
      <c r="N8" s="40"/>
      <c r="O8" s="40"/>
      <c r="P8" s="40"/>
    </row>
    <row r="9" spans="1:19" x14ac:dyDescent="0.35">
      <c r="N9" s="129"/>
      <c r="O9" s="129"/>
      <c r="P9" s="129"/>
    </row>
    <row r="10" spans="1:19" x14ac:dyDescent="0.35">
      <c r="A10" s="1" t="s">
        <v>254</v>
      </c>
      <c r="B10" s="1" t="s">
        <v>256</v>
      </c>
      <c r="C10" s="1"/>
      <c r="N10" s="40"/>
      <c r="O10" s="40"/>
      <c r="P10" s="40"/>
    </row>
    <row r="11" spans="1:19" x14ac:dyDescent="0.35">
      <c r="A11" s="1"/>
      <c r="B11" s="1"/>
      <c r="C11" s="1"/>
      <c r="N11" s="40"/>
      <c r="O11" s="40"/>
      <c r="P11" s="40"/>
    </row>
    <row r="12" spans="1:19" x14ac:dyDescent="0.35">
      <c r="B12" s="506">
        <v>1</v>
      </c>
      <c r="C12" s="506"/>
      <c r="D12" s="506"/>
      <c r="F12" s="23">
        <v>2</v>
      </c>
      <c r="G12" s="23">
        <v>3</v>
      </c>
      <c r="H12" s="23">
        <v>4</v>
      </c>
      <c r="J12" s="23">
        <v>5</v>
      </c>
      <c r="K12" s="23">
        <v>6</v>
      </c>
      <c r="L12" s="23">
        <v>7</v>
      </c>
      <c r="N12" s="23">
        <v>8</v>
      </c>
      <c r="O12" s="23">
        <v>9</v>
      </c>
      <c r="Q12" s="40"/>
      <c r="R12" s="40"/>
      <c r="S12" s="40"/>
    </row>
    <row r="13" spans="1:19" x14ac:dyDescent="0.35">
      <c r="B13" s="515" t="s">
        <v>255</v>
      </c>
      <c r="C13" s="516"/>
      <c r="D13" s="517"/>
      <c r="F13" s="509" t="s">
        <v>261</v>
      </c>
      <c r="G13" s="521"/>
      <c r="H13" s="510"/>
      <c r="J13" s="509" t="s">
        <v>262</v>
      </c>
      <c r="K13" s="521"/>
      <c r="L13" s="510"/>
      <c r="N13" s="522" t="s">
        <v>250</v>
      </c>
      <c r="O13" s="522" t="s">
        <v>312</v>
      </c>
      <c r="Q13" s="40"/>
      <c r="R13" s="40"/>
      <c r="S13" s="40"/>
    </row>
    <row r="14" spans="1:19" ht="56.25" customHeight="1" x14ac:dyDescent="0.35">
      <c r="B14" s="518"/>
      <c r="C14" s="519"/>
      <c r="D14" s="520"/>
      <c r="F14" s="10" t="s">
        <v>214</v>
      </c>
      <c r="G14" s="150" t="s">
        <v>491</v>
      </c>
      <c r="H14" s="150" t="s">
        <v>215</v>
      </c>
      <c r="I14" s="100"/>
      <c r="J14" s="150" t="s">
        <v>214</v>
      </c>
      <c r="K14" s="150" t="s">
        <v>491</v>
      </c>
      <c r="L14" s="10" t="s">
        <v>215</v>
      </c>
      <c r="N14" s="523"/>
      <c r="O14" s="523"/>
    </row>
    <row r="15" spans="1:19" x14ac:dyDescent="0.35">
      <c r="A15" s="24">
        <v>1</v>
      </c>
      <c r="B15" s="453" t="s">
        <v>975</v>
      </c>
      <c r="C15" s="454"/>
      <c r="D15" s="455"/>
      <c r="F15" s="117">
        <v>1208061</v>
      </c>
      <c r="G15" s="68">
        <f>IFERROR(F15*'As-Filed Schedule 1'!$E$103,0)</f>
        <v>408165.61081613769</v>
      </c>
      <c r="H15" s="68">
        <f>SUM(F15:G15)</f>
        <v>1616226.6108161376</v>
      </c>
      <c r="J15" s="117" t="s">
        <v>977</v>
      </c>
      <c r="K15" s="68">
        <f>IFERROR(J15*'As-Filed Schedule 1'!$E$103,0)</f>
        <v>0</v>
      </c>
      <c r="L15" s="68">
        <f>SUM(J15:K15)</f>
        <v>0</v>
      </c>
      <c r="N15" s="119">
        <v>11</v>
      </c>
      <c r="O15" s="119">
        <v>458</v>
      </c>
    </row>
    <row r="16" spans="1:19" x14ac:dyDescent="0.35">
      <c r="A16" s="24">
        <v>2</v>
      </c>
      <c r="B16" s="453" t="s">
        <v>976</v>
      </c>
      <c r="C16" s="454"/>
      <c r="D16" s="455"/>
      <c r="F16" s="117">
        <v>1908901</v>
      </c>
      <c r="G16" s="68">
        <f>IFERROR(F16*'As-Filed Schedule 1'!$E$103,0)</f>
        <v>644957.28498191398</v>
      </c>
      <c r="H16" s="68">
        <f t="shared" ref="H16:H72" si="0">SUM(F16:G16)</f>
        <v>2553858.2849819139</v>
      </c>
      <c r="J16" s="117" t="s">
        <v>977</v>
      </c>
      <c r="K16" s="68">
        <f>IFERROR(J16*'As-Filed Schedule 1'!$E$103,0)</f>
        <v>0</v>
      </c>
      <c r="L16" s="68">
        <f t="shared" ref="L16:L72" si="1">SUM(J16:K16)</f>
        <v>0</v>
      </c>
      <c r="N16" s="119">
        <v>17.14</v>
      </c>
      <c r="O16" s="119">
        <v>1204</v>
      </c>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449"/>
    </row>
    <row r="18" spans="1:15" x14ac:dyDescent="0.35">
      <c r="A18" s="24">
        <v>4</v>
      </c>
      <c r="B18" s="549"/>
      <c r="C18" s="550"/>
      <c r="D18" s="551"/>
      <c r="F18" s="117"/>
      <c r="G18" s="68">
        <f>IFERROR(F18*'As-Filed Schedule 1'!$E$103,0)</f>
        <v>0</v>
      </c>
      <c r="H18" s="68">
        <f t="shared" si="0"/>
        <v>0</v>
      </c>
      <c r="J18" s="117"/>
      <c r="K18" s="68">
        <f>IFERROR(J18*'As-Filed Schedule 1'!$E$103,0)</f>
        <v>0</v>
      </c>
      <c r="L18" s="68">
        <f t="shared" si="1"/>
        <v>0</v>
      </c>
      <c r="N18" s="119"/>
      <c r="O18" s="44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44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44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3116962</v>
      </c>
      <c r="G73" s="18">
        <f t="shared" ref="G73:H73" si="2">SUM(G15:G72)</f>
        <v>1053122.8957980517</v>
      </c>
      <c r="H73" s="18">
        <f t="shared" si="2"/>
        <v>4170084.8957980517</v>
      </c>
      <c r="J73" s="18">
        <f>SUM(J15:J72)</f>
        <v>0</v>
      </c>
      <c r="K73" s="18">
        <f t="shared" ref="K73:L73" si="3">SUM(K15:K72)</f>
        <v>0</v>
      </c>
      <c r="L73" s="18">
        <f t="shared" si="3"/>
        <v>0</v>
      </c>
      <c r="O73" s="83" t="s">
        <v>313</v>
      </c>
    </row>
    <row r="74" spans="1:15" ht="15" thickBot="1" x14ac:dyDescent="0.4">
      <c r="H74" s="37" t="s">
        <v>257</v>
      </c>
      <c r="L74" s="37" t="s">
        <v>258</v>
      </c>
    </row>
    <row r="75" spans="1:15" ht="16" thickBot="1" x14ac:dyDescent="0.4">
      <c r="A75" s="24">
        <v>60</v>
      </c>
      <c r="B75" s="142" t="s">
        <v>463</v>
      </c>
      <c r="C75" s="72"/>
      <c r="E75" s="72"/>
      <c r="F75" s="75">
        <f>H73+L73</f>
        <v>4170084.8957980517</v>
      </c>
      <c r="I75" s="74"/>
      <c r="J75" s="74"/>
      <c r="K75" s="74"/>
      <c r="L75" s="74"/>
      <c r="N75" s="72"/>
      <c r="O75" s="72"/>
    </row>
  </sheetData>
  <sheetProtection sheet="1" objects="1" scenarios="1"/>
  <customSheetViews>
    <customSheetView guid="{D0F83CC0-0361-4280-BCA4-9A92C986158B}">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63">
    <mergeCell ref="B12:D12"/>
    <mergeCell ref="A3:F3"/>
    <mergeCell ref="B71:D71"/>
    <mergeCell ref="B60:D60"/>
    <mergeCell ref="B61:D61"/>
    <mergeCell ref="B62:D62"/>
    <mergeCell ref="B63:D63"/>
    <mergeCell ref="B64:D64"/>
    <mergeCell ref="B65:D65"/>
    <mergeCell ref="B66:D66"/>
    <mergeCell ref="B67:D67"/>
    <mergeCell ref="B68:D68"/>
    <mergeCell ref="B69:D69"/>
    <mergeCell ref="B70:D70"/>
    <mergeCell ref="B51:D51"/>
    <mergeCell ref="B52:D52"/>
    <mergeCell ref="B41:D41"/>
    <mergeCell ref="B42:D42"/>
    <mergeCell ref="B43:D43"/>
    <mergeCell ref="B44:D44"/>
    <mergeCell ref="B45:D45"/>
    <mergeCell ref="B46:D46"/>
    <mergeCell ref="B47:D47"/>
    <mergeCell ref="B48:D48"/>
    <mergeCell ref="B49:D49"/>
    <mergeCell ref="B50:D50"/>
    <mergeCell ref="B25:D25"/>
    <mergeCell ref="B26:D26"/>
    <mergeCell ref="B27:D27"/>
    <mergeCell ref="B28:D28"/>
    <mergeCell ref="B20:D20"/>
    <mergeCell ref="B21:D21"/>
    <mergeCell ref="B22:D22"/>
    <mergeCell ref="B23:D23"/>
    <mergeCell ref="B24:D24"/>
    <mergeCell ref="B30:D30"/>
    <mergeCell ref="B31:D31"/>
    <mergeCell ref="B32:D32"/>
    <mergeCell ref="B33:D33"/>
    <mergeCell ref="B34:D34"/>
    <mergeCell ref="B72:D72"/>
    <mergeCell ref="N13:N14"/>
    <mergeCell ref="B40:D40"/>
    <mergeCell ref="B58:D58"/>
    <mergeCell ref="B59:D59"/>
    <mergeCell ref="B53:D53"/>
    <mergeCell ref="B54:D54"/>
    <mergeCell ref="B55:D55"/>
    <mergeCell ref="B56:D56"/>
    <mergeCell ref="B57:D57"/>
    <mergeCell ref="B35:D35"/>
    <mergeCell ref="B36:D36"/>
    <mergeCell ref="B29:D29"/>
    <mergeCell ref="B37:D37"/>
    <mergeCell ref="B38:D38"/>
    <mergeCell ref="B39:D39"/>
    <mergeCell ref="B17:D17"/>
    <mergeCell ref="B18:D18"/>
    <mergeCell ref="B19:D19"/>
    <mergeCell ref="O13:O14"/>
    <mergeCell ref="F13:H13"/>
    <mergeCell ref="J13:L13"/>
    <mergeCell ref="B13:D14"/>
  </mergeCell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9CC5CA"/>
  </sheetPr>
  <dimension ref="A1:O75"/>
  <sheetViews>
    <sheetView workbookViewId="0">
      <selection activeCell="C6" sqref="C6"/>
    </sheetView>
  </sheetViews>
  <sheetFormatPr defaultRowHeight="14.5" x14ac:dyDescent="0.35"/>
  <cols>
    <col min="1" max="1" width="9.54296875" customWidth="1"/>
    <col min="2" max="2" width="16" customWidth="1"/>
    <col min="3" max="3" width="22.5429687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495" t="s">
        <v>768</v>
      </c>
      <c r="B3" s="495"/>
      <c r="C3" s="495"/>
      <c r="D3" s="495"/>
      <c r="E3" s="495"/>
      <c r="F3" s="495"/>
      <c r="G3" s="495"/>
      <c r="H3" s="49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260</v>
      </c>
      <c r="C8" s="1"/>
      <c r="F8" s="118" t="s">
        <v>978</v>
      </c>
      <c r="G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15" t="s">
        <v>255</v>
      </c>
      <c r="C13" s="516"/>
      <c r="D13" s="517"/>
      <c r="F13" s="509" t="s">
        <v>261</v>
      </c>
      <c r="G13" s="521"/>
      <c r="H13" s="510"/>
      <c r="J13" s="509" t="s">
        <v>262</v>
      </c>
      <c r="K13" s="521"/>
      <c r="L13" s="510"/>
      <c r="N13" s="522" t="s">
        <v>250</v>
      </c>
      <c r="O13" s="508" t="s">
        <v>312</v>
      </c>
    </row>
    <row r="14" spans="1:15" ht="55.5" customHeight="1" x14ac:dyDescent="0.35">
      <c r="B14" s="518"/>
      <c r="C14" s="519"/>
      <c r="D14" s="520"/>
      <c r="E14" s="48"/>
      <c r="F14" s="10" t="s">
        <v>214</v>
      </c>
      <c r="G14" s="150" t="s">
        <v>491</v>
      </c>
      <c r="H14" s="150" t="s">
        <v>215</v>
      </c>
      <c r="I14" s="100"/>
      <c r="J14" s="150" t="s">
        <v>214</v>
      </c>
      <c r="K14" s="150" t="s">
        <v>491</v>
      </c>
      <c r="L14" s="10" t="s">
        <v>215</v>
      </c>
      <c r="M14" s="48"/>
      <c r="N14" s="523"/>
      <c r="O14" s="508"/>
    </row>
    <row r="15" spans="1:15" x14ac:dyDescent="0.35">
      <c r="A15" s="24">
        <v>1</v>
      </c>
      <c r="B15" s="453" t="s">
        <v>979</v>
      </c>
      <c r="C15" s="454"/>
      <c r="D15" s="455"/>
      <c r="F15" s="117" t="s">
        <v>980</v>
      </c>
      <c r="G15" s="180">
        <f>IFERROR(F15*'As-Filed Schedule 1'!$E$103,0)</f>
        <v>0</v>
      </c>
      <c r="H15" s="180">
        <f>SUM(F15:G15)</f>
        <v>0</v>
      </c>
      <c r="I15" s="100"/>
      <c r="J15" s="179">
        <v>435518</v>
      </c>
      <c r="K15" s="180">
        <f>IFERROR(J15*'As-Filed Schedule 1'!$E$103,0)</f>
        <v>147147.76032950543</v>
      </c>
      <c r="L15" s="68">
        <f>SUM(J15:K15)</f>
        <v>582665.76032950543</v>
      </c>
      <c r="N15" s="119">
        <v>4.37</v>
      </c>
      <c r="O15" s="119">
        <v>2</v>
      </c>
    </row>
    <row r="16" spans="1:15" x14ac:dyDescent="0.35">
      <c r="A16" s="24">
        <v>2</v>
      </c>
      <c r="B16" s="514"/>
      <c r="C16" s="514"/>
      <c r="D16" s="514"/>
      <c r="F16" s="117"/>
      <c r="G16" s="68">
        <f>IFERROR(F16*'As-Filed Schedule 1'!$E$103,0)</f>
        <v>0</v>
      </c>
      <c r="H16" s="68">
        <f t="shared" ref="H16:H72" si="0">SUM(F16:G16)</f>
        <v>0</v>
      </c>
      <c r="J16" s="117"/>
      <c r="K16" s="68">
        <f>IFERROR(J16*'As-Filed Schedule 1'!$E$103,0)</f>
        <v>0</v>
      </c>
      <c r="L16" s="68">
        <f t="shared" ref="L16:L72" si="1">SUM(J16:K16)</f>
        <v>0</v>
      </c>
      <c r="N16" s="119"/>
      <c r="O16" s="44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44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44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44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H73" si="2">SUM(G15:G72)</f>
        <v>0</v>
      </c>
      <c r="H73" s="18">
        <f t="shared" si="2"/>
        <v>0</v>
      </c>
      <c r="J73" s="18">
        <f>SUM(J15:J72)</f>
        <v>435518</v>
      </c>
      <c r="K73" s="18">
        <f t="shared" ref="K73:L73" si="3">SUM(K15:K72)</f>
        <v>147147.76032950543</v>
      </c>
      <c r="L73" s="18">
        <f t="shared" si="3"/>
        <v>582665.76032950543</v>
      </c>
      <c r="O73" s="83" t="s">
        <v>313</v>
      </c>
    </row>
    <row r="74" spans="1:15" ht="15" thickBot="1" x14ac:dyDescent="0.4">
      <c r="H74" s="37" t="s">
        <v>257</v>
      </c>
      <c r="L74" s="37" t="s">
        <v>258</v>
      </c>
    </row>
    <row r="75" spans="1:15" s="72" customFormat="1" ht="16" thickBot="1" x14ac:dyDescent="0.4">
      <c r="A75" s="24">
        <v>60</v>
      </c>
      <c r="B75" s="73" t="s">
        <v>460</v>
      </c>
      <c r="F75" s="75">
        <f>H73+L73</f>
        <v>582665.76032950543</v>
      </c>
      <c r="G75" s="74"/>
      <c r="H75" s="74"/>
      <c r="I75" s="74"/>
      <c r="J75" s="74"/>
      <c r="K75" s="74"/>
    </row>
  </sheetData>
  <sheetProtection sheet="1" objects="1" scenarios="1"/>
  <customSheetViews>
    <customSheetView guid="{D0F83CC0-0361-4280-BCA4-9A92C986158B}">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64">
    <mergeCell ref="O13:O14"/>
    <mergeCell ref="B37:D37"/>
    <mergeCell ref="B32:D32"/>
    <mergeCell ref="B33:D33"/>
    <mergeCell ref="B34:D34"/>
    <mergeCell ref="B35:D35"/>
    <mergeCell ref="B36:D36"/>
    <mergeCell ref="J13:L13"/>
    <mergeCell ref="B27:D27"/>
    <mergeCell ref="B28:D28"/>
    <mergeCell ref="B19:D19"/>
    <mergeCell ref="B13:D14"/>
    <mergeCell ref="N13:N14"/>
    <mergeCell ref="B38:D38"/>
    <mergeCell ref="B39:D39"/>
    <mergeCell ref="B53:D53"/>
    <mergeCell ref="B54:D54"/>
    <mergeCell ref="B47:D47"/>
    <mergeCell ref="B48:D48"/>
    <mergeCell ref="B49:D49"/>
    <mergeCell ref="B40:D40"/>
    <mergeCell ref="B41:D41"/>
    <mergeCell ref="B42:D42"/>
    <mergeCell ref="B43:D43"/>
    <mergeCell ref="B44:D44"/>
    <mergeCell ref="B45:D45"/>
    <mergeCell ref="B46:D46"/>
    <mergeCell ref="A3:H3"/>
    <mergeCell ref="F13:H13"/>
    <mergeCell ref="B29:D29"/>
    <mergeCell ref="B30:D30"/>
    <mergeCell ref="B31:D31"/>
    <mergeCell ref="B20:D20"/>
    <mergeCell ref="B21:D21"/>
    <mergeCell ref="B22:D22"/>
    <mergeCell ref="B23:D23"/>
    <mergeCell ref="B24:D24"/>
    <mergeCell ref="B25:D25"/>
    <mergeCell ref="B26:D26"/>
    <mergeCell ref="B16:D16"/>
    <mergeCell ref="B17:D17"/>
    <mergeCell ref="B18:D18"/>
    <mergeCell ref="B12:D12"/>
    <mergeCell ref="B55:D55"/>
    <mergeCell ref="B56:D56"/>
    <mergeCell ref="B57:D57"/>
    <mergeCell ref="B50:D50"/>
    <mergeCell ref="B51:D51"/>
    <mergeCell ref="B52:D52"/>
    <mergeCell ref="B58:D58"/>
    <mergeCell ref="B59:D59"/>
    <mergeCell ref="B60:D60"/>
    <mergeCell ref="B61:D61"/>
    <mergeCell ref="B62:D62"/>
    <mergeCell ref="B63:D63"/>
    <mergeCell ref="B64:D64"/>
    <mergeCell ref="B70:D70"/>
    <mergeCell ref="B71:D71"/>
    <mergeCell ref="B72:D72"/>
    <mergeCell ref="B65:D65"/>
    <mergeCell ref="B66:D66"/>
    <mergeCell ref="B67:D67"/>
    <mergeCell ref="B68:D68"/>
    <mergeCell ref="B69:D69"/>
  </mergeCells>
  <pageMargins left="0.7" right="0.7" top="0.75" bottom="0.75" header="0.3" footer="0.3"/>
  <pageSetup orientation="portrait" horizontalDpi="1200" verticalDpi="120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tabColor rgb="FF9CC5CA"/>
  </sheetPr>
  <dimension ref="A1:O75"/>
  <sheetViews>
    <sheetView workbookViewId="0">
      <selection activeCell="C6" sqref="C6"/>
    </sheetView>
  </sheetViews>
  <sheetFormatPr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495" t="s">
        <v>769</v>
      </c>
      <c r="B3" s="495"/>
      <c r="C3" s="495"/>
      <c r="D3" s="495"/>
      <c r="E3" s="495"/>
      <c r="F3" s="495"/>
      <c r="G3" s="495"/>
      <c r="H3" s="49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204</v>
      </c>
      <c r="C8" s="1"/>
      <c r="D8" s="118" t="s">
        <v>978</v>
      </c>
      <c r="E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15" t="s">
        <v>255</v>
      </c>
      <c r="C13" s="516"/>
      <c r="D13" s="517"/>
      <c r="F13" s="509" t="s">
        <v>261</v>
      </c>
      <c r="G13" s="521"/>
      <c r="H13" s="510"/>
      <c r="J13" s="509" t="s">
        <v>262</v>
      </c>
      <c r="K13" s="521"/>
      <c r="L13" s="510"/>
      <c r="N13" s="522" t="s">
        <v>250</v>
      </c>
      <c r="O13" s="508" t="s">
        <v>312</v>
      </c>
    </row>
    <row r="14" spans="1:15" ht="55.5" customHeight="1" x14ac:dyDescent="0.35">
      <c r="B14" s="518"/>
      <c r="C14" s="519"/>
      <c r="D14" s="520"/>
      <c r="E14" s="48"/>
      <c r="F14" s="10" t="s">
        <v>214</v>
      </c>
      <c r="G14" s="150" t="s">
        <v>491</v>
      </c>
      <c r="H14" s="150" t="s">
        <v>215</v>
      </c>
      <c r="I14" s="100"/>
      <c r="J14" s="150" t="s">
        <v>214</v>
      </c>
      <c r="K14" s="150" t="s">
        <v>491</v>
      </c>
      <c r="L14" s="10" t="s">
        <v>215</v>
      </c>
      <c r="M14" s="48"/>
      <c r="N14" s="523"/>
      <c r="O14" s="508"/>
    </row>
    <row r="15" spans="1:15" x14ac:dyDescent="0.35">
      <c r="A15" s="24">
        <v>1</v>
      </c>
      <c r="B15" s="453" t="s">
        <v>981</v>
      </c>
      <c r="C15" s="454"/>
      <c r="D15" s="455"/>
      <c r="F15" s="117">
        <v>48842</v>
      </c>
      <c r="G15" s="68">
        <f>IFERROR(F15*'As-Filed Schedule 1'!$E$103,0)</f>
        <v>16502.167327214269</v>
      </c>
      <c r="H15" s="68">
        <f>SUM(F15:G15)</f>
        <v>65344.167327214265</v>
      </c>
      <c r="J15" s="117" t="s">
        <v>980</v>
      </c>
      <c r="K15" s="68">
        <f>IFERROR(J15*'As-Filed Schedule 1'!$E$103,0)</f>
        <v>0</v>
      </c>
      <c r="L15" s="68">
        <f>SUM(J15:K15)</f>
        <v>0</v>
      </c>
      <c r="N15" s="119" t="s">
        <v>1025</v>
      </c>
      <c r="O15" s="119" t="s">
        <v>1026</v>
      </c>
    </row>
    <row r="16" spans="1:15" x14ac:dyDescent="0.35">
      <c r="A16" s="24">
        <v>2</v>
      </c>
      <c r="B16" s="453" t="s">
        <v>982</v>
      </c>
      <c r="C16" s="454"/>
      <c r="D16" s="455"/>
      <c r="F16" s="117">
        <v>348416</v>
      </c>
      <c r="G16" s="68">
        <f>IFERROR(F16*'As-Filed Schedule 1'!$E$103,0)</f>
        <v>117718.74885300943</v>
      </c>
      <c r="H16" s="68">
        <f t="shared" ref="H16:H72" si="0">SUM(F16:G16)</f>
        <v>466134.74885300943</v>
      </c>
      <c r="J16" s="117" t="s">
        <v>980</v>
      </c>
      <c r="K16" s="68">
        <f>IFERROR(J16*'As-Filed Schedule 1'!$E$103,0)</f>
        <v>0</v>
      </c>
      <c r="L16" s="68">
        <f t="shared" ref="L16:L72" si="1">SUM(J16:K16)</f>
        <v>0</v>
      </c>
      <c r="N16" s="119">
        <v>3.67</v>
      </c>
      <c r="O16" s="119">
        <v>1204</v>
      </c>
    </row>
    <row r="17" spans="1:15" x14ac:dyDescent="0.35">
      <c r="A17" s="24">
        <v>3</v>
      </c>
      <c r="B17" s="453" t="s">
        <v>983</v>
      </c>
      <c r="C17" s="454"/>
      <c r="D17" s="455"/>
      <c r="F17" s="117">
        <v>58374</v>
      </c>
      <c r="G17" s="68">
        <f>IFERROR(F17*'As-Filed Schedule 1'!$E$103,0)</f>
        <v>19722.728708054659</v>
      </c>
      <c r="H17" s="68">
        <f t="shared" si="0"/>
        <v>78096.728708054667</v>
      </c>
      <c r="J17" s="117" t="s">
        <v>980</v>
      </c>
      <c r="K17" s="68">
        <f>IFERROR(J17*'As-Filed Schedule 1'!$E$103,0)</f>
        <v>0</v>
      </c>
      <c r="L17" s="68">
        <f t="shared" si="1"/>
        <v>0</v>
      </c>
      <c r="N17" s="119" t="s">
        <v>1025</v>
      </c>
      <c r="O17" s="119" t="s">
        <v>1026</v>
      </c>
    </row>
    <row r="18" spans="1:15" x14ac:dyDescent="0.35">
      <c r="A18" s="24">
        <v>4</v>
      </c>
      <c r="B18" s="453" t="s">
        <v>984</v>
      </c>
      <c r="C18" s="454"/>
      <c r="D18" s="455"/>
      <c r="F18" s="117">
        <v>2164788</v>
      </c>
      <c r="G18" s="68">
        <f>IFERROR(F18*'As-Filed Schedule 1'!$E$103,0)</f>
        <v>731413.4106700283</v>
      </c>
      <c r="H18" s="68">
        <f t="shared" si="0"/>
        <v>2896201.4106700281</v>
      </c>
      <c r="J18" s="117" t="s">
        <v>980</v>
      </c>
      <c r="K18" s="68">
        <f>IFERROR(J18*'As-Filed Schedule 1'!$E$103,0)</f>
        <v>0</v>
      </c>
      <c r="L18" s="68">
        <f t="shared" si="1"/>
        <v>0</v>
      </c>
      <c r="N18" s="119">
        <v>15.56</v>
      </c>
      <c r="O18" s="119">
        <v>1034</v>
      </c>
    </row>
    <row r="19" spans="1:15" x14ac:dyDescent="0.35">
      <c r="A19" s="24">
        <v>5</v>
      </c>
      <c r="B19" s="453" t="s">
        <v>985</v>
      </c>
      <c r="C19" s="454"/>
      <c r="D19" s="455"/>
      <c r="F19" s="117">
        <v>-6636</v>
      </c>
      <c r="G19" s="68">
        <f>IFERROR(F19*'As-Filed Schedule 1'!$E$103,0)</f>
        <v>-2242.094557622413</v>
      </c>
      <c r="H19" s="68">
        <f t="shared" si="0"/>
        <v>-8878.094557622413</v>
      </c>
      <c r="J19" s="117" t="s">
        <v>980</v>
      </c>
      <c r="K19" s="68">
        <f>IFERROR(J19*'As-Filed Schedule 1'!$E$103,0)</f>
        <v>0</v>
      </c>
      <c r="L19" s="68">
        <f t="shared" si="1"/>
        <v>0</v>
      </c>
      <c r="N19" s="119" t="s">
        <v>1025</v>
      </c>
      <c r="O19" s="119" t="s">
        <v>1026</v>
      </c>
    </row>
    <row r="20" spans="1:15" x14ac:dyDescent="0.35">
      <c r="A20" s="24">
        <v>6</v>
      </c>
      <c r="B20" s="453" t="s">
        <v>986</v>
      </c>
      <c r="C20" s="454"/>
      <c r="D20" s="455"/>
      <c r="F20" s="117">
        <v>577958</v>
      </c>
      <c r="G20" s="68">
        <f>IFERROR(F20*'As-Filed Schedule 1'!$E$103,0)</f>
        <v>195273.73211789248</v>
      </c>
      <c r="H20" s="68">
        <f t="shared" si="0"/>
        <v>773231.73211789248</v>
      </c>
      <c r="J20" s="117" t="s">
        <v>980</v>
      </c>
      <c r="K20" s="68">
        <f>IFERROR(J20*'As-Filed Schedule 1'!$E$103,0)</f>
        <v>0</v>
      </c>
      <c r="L20" s="68">
        <f t="shared" si="1"/>
        <v>0</v>
      </c>
      <c r="N20" s="119">
        <v>6.8</v>
      </c>
      <c r="O20" s="119">
        <v>45</v>
      </c>
    </row>
    <row r="21" spans="1:15" x14ac:dyDescent="0.35">
      <c r="A21" s="24">
        <v>7</v>
      </c>
      <c r="B21" s="453" t="s">
        <v>987</v>
      </c>
      <c r="C21" s="454"/>
      <c r="D21" s="455"/>
      <c r="F21" s="117">
        <v>825222</v>
      </c>
      <c r="G21" s="68">
        <f>IFERROR(F21*'As-Filed Schedule 1'!$E$103,0)</f>
        <v>278816.41878093471</v>
      </c>
      <c r="H21" s="68">
        <f t="shared" si="0"/>
        <v>1104038.4187809348</v>
      </c>
      <c r="J21" s="117" t="s">
        <v>980</v>
      </c>
      <c r="K21" s="68">
        <f>IFERROR(J21*'As-Filed Schedule 1'!$E$103,0)</f>
        <v>0</v>
      </c>
      <c r="L21" s="68">
        <f t="shared" si="1"/>
        <v>0</v>
      </c>
      <c r="N21" s="119">
        <v>6.94</v>
      </c>
      <c r="O21" s="119">
        <v>47</v>
      </c>
    </row>
    <row r="22" spans="1:15" x14ac:dyDescent="0.35">
      <c r="A22" s="24">
        <v>8</v>
      </c>
      <c r="B22" s="453" t="s">
        <v>988</v>
      </c>
      <c r="C22" s="454"/>
      <c r="D22" s="455"/>
      <c r="F22" s="117">
        <v>-8805</v>
      </c>
      <c r="G22" s="68">
        <f>IFERROR(F22*'As-Filed Schedule 1'!$E$103,0)</f>
        <v>-2974.9310699013481</v>
      </c>
      <c r="H22" s="68">
        <f t="shared" si="0"/>
        <v>-11779.931069901348</v>
      </c>
      <c r="J22" s="117" t="s">
        <v>980</v>
      </c>
      <c r="K22" s="68">
        <f>IFERROR(J22*'As-Filed Schedule 1'!$E$103,0)</f>
        <v>0</v>
      </c>
      <c r="L22" s="68">
        <f t="shared" si="1"/>
        <v>0</v>
      </c>
      <c r="N22" s="119" t="s">
        <v>1025</v>
      </c>
      <c r="O22" s="119" t="s">
        <v>1026</v>
      </c>
    </row>
    <row r="23" spans="1:15" x14ac:dyDescent="0.35">
      <c r="A23" s="24">
        <v>9</v>
      </c>
      <c r="B23" s="453" t="s">
        <v>989</v>
      </c>
      <c r="C23" s="454"/>
      <c r="D23" s="455"/>
      <c r="F23" s="117">
        <v>765551</v>
      </c>
      <c r="G23" s="68">
        <f>IFERROR(F23*'As-Filed Schedule 1'!$E$103,0)</f>
        <v>258655.4747863767</v>
      </c>
      <c r="H23" s="68">
        <f t="shared" si="0"/>
        <v>1024206.4747863767</v>
      </c>
      <c r="J23" s="117" t="s">
        <v>980</v>
      </c>
      <c r="K23" s="68">
        <f>IFERROR(J23*'As-Filed Schedule 1'!$E$103,0)</f>
        <v>0</v>
      </c>
      <c r="L23" s="68">
        <f t="shared" si="1"/>
        <v>0</v>
      </c>
      <c r="N23" s="119">
        <v>6.05</v>
      </c>
      <c r="O23" s="119">
        <v>70</v>
      </c>
    </row>
    <row r="24" spans="1:15" x14ac:dyDescent="0.35">
      <c r="A24" s="24">
        <v>10</v>
      </c>
      <c r="B24" s="453" t="s">
        <v>990</v>
      </c>
      <c r="C24" s="454"/>
      <c r="D24" s="455"/>
      <c r="F24" s="117">
        <v>72868</v>
      </c>
      <c r="G24" s="68">
        <f>IFERROR(F24*'As-Filed Schedule 1'!$E$103,0)</f>
        <v>24619.792981439117</v>
      </c>
      <c r="H24" s="68">
        <f t="shared" si="0"/>
        <v>97487.792981439125</v>
      </c>
      <c r="J24" s="117" t="s">
        <v>980</v>
      </c>
      <c r="K24" s="68">
        <f>IFERROR(J24*'As-Filed Schedule 1'!$E$103,0)</f>
        <v>0</v>
      </c>
      <c r="L24" s="68">
        <f t="shared" si="1"/>
        <v>0</v>
      </c>
      <c r="N24" s="119" t="s">
        <v>1025</v>
      </c>
      <c r="O24" s="119" t="s">
        <v>1026</v>
      </c>
    </row>
    <row r="25" spans="1:15" x14ac:dyDescent="0.35">
      <c r="A25" s="24">
        <v>11</v>
      </c>
      <c r="B25" s="453" t="s">
        <v>991</v>
      </c>
      <c r="C25" s="454"/>
      <c r="D25" s="455"/>
      <c r="F25" s="117">
        <v>48842</v>
      </c>
      <c r="G25" s="68">
        <f>IFERROR(F25*'As-Filed Schedule 1'!$E$103,0)</f>
        <v>16502.167327214269</v>
      </c>
      <c r="H25" s="68">
        <f t="shared" si="0"/>
        <v>65344.167327214265</v>
      </c>
      <c r="J25" s="117" t="s">
        <v>980</v>
      </c>
      <c r="K25" s="68">
        <f>IFERROR(J25*'As-Filed Schedule 1'!$E$103,0)</f>
        <v>0</v>
      </c>
      <c r="L25" s="68">
        <f t="shared" si="1"/>
        <v>0</v>
      </c>
      <c r="N25" s="119" t="s">
        <v>1025</v>
      </c>
      <c r="O25" s="119" t="s">
        <v>1026</v>
      </c>
    </row>
    <row r="26" spans="1:15" x14ac:dyDescent="0.35">
      <c r="A26" s="24">
        <v>12</v>
      </c>
      <c r="B26" s="453" t="s">
        <v>992</v>
      </c>
      <c r="C26" s="454"/>
      <c r="D26" s="455"/>
      <c r="F26" s="117">
        <v>606069</v>
      </c>
      <c r="G26" s="68">
        <f>IFERROR(F26*'As-Filed Schedule 1'!$E$103,0)</f>
        <v>204771.55009699491</v>
      </c>
      <c r="H26" s="68">
        <f t="shared" si="0"/>
        <v>810840.55009699496</v>
      </c>
      <c r="J26" s="117" t="s">
        <v>980</v>
      </c>
      <c r="K26" s="68">
        <f>IFERROR(J26*'As-Filed Schedule 1'!$E$103,0)</f>
        <v>0</v>
      </c>
      <c r="L26" s="68">
        <f t="shared" si="1"/>
        <v>0</v>
      </c>
      <c r="N26" s="119">
        <v>6.2</v>
      </c>
      <c r="O26" s="119">
        <v>763</v>
      </c>
    </row>
    <row r="27" spans="1:15" x14ac:dyDescent="0.35">
      <c r="A27" s="24">
        <v>13</v>
      </c>
      <c r="B27" s="453" t="s">
        <v>993</v>
      </c>
      <c r="C27" s="454"/>
      <c r="D27" s="455"/>
      <c r="F27" s="117">
        <v>116668</v>
      </c>
      <c r="G27" s="68">
        <f>IFERROR(F27*'As-Filed Schedule 1'!$E$103,0)</f>
        <v>39418.427945854681</v>
      </c>
      <c r="H27" s="68">
        <f t="shared" si="0"/>
        <v>156086.42794585467</v>
      </c>
      <c r="J27" s="117" t="s">
        <v>980</v>
      </c>
      <c r="K27" s="68">
        <f>IFERROR(J27*'As-Filed Schedule 1'!$E$103,0)</f>
        <v>0</v>
      </c>
      <c r="L27" s="68">
        <f t="shared" si="1"/>
        <v>0</v>
      </c>
      <c r="N27" s="119" t="s">
        <v>1025</v>
      </c>
      <c r="O27" s="119" t="s">
        <v>1026</v>
      </c>
    </row>
    <row r="28" spans="1:15" x14ac:dyDescent="0.35">
      <c r="A28" s="24">
        <v>14</v>
      </c>
      <c r="B28" s="453" t="s">
        <v>994</v>
      </c>
      <c r="C28" s="454"/>
      <c r="D28" s="455"/>
      <c r="F28" s="117">
        <v>3694</v>
      </c>
      <c r="G28" s="68">
        <f>IFERROR(F28*'As-Filed Schedule 1'!$E$103,0)</f>
        <v>1248.0857890080158</v>
      </c>
      <c r="H28" s="68">
        <f t="shared" si="0"/>
        <v>4942.085789008016</v>
      </c>
      <c r="J28" s="117" t="s">
        <v>980</v>
      </c>
      <c r="K28" s="68">
        <f>IFERROR(J28*'As-Filed Schedule 1'!$E$103,0)</f>
        <v>0</v>
      </c>
      <c r="L28" s="68">
        <f t="shared" si="1"/>
        <v>0</v>
      </c>
      <c r="N28" s="119" t="s">
        <v>1025</v>
      </c>
      <c r="O28" s="119" t="s">
        <v>1026</v>
      </c>
    </row>
    <row r="29" spans="1:15" x14ac:dyDescent="0.35">
      <c r="A29" s="24">
        <v>15</v>
      </c>
      <c r="B29" s="453" t="s">
        <v>995</v>
      </c>
      <c r="C29" s="454"/>
      <c r="D29" s="455"/>
      <c r="F29" s="117">
        <v>1105199</v>
      </c>
      <c r="G29" s="68">
        <f>IFERROR(F29*'As-Filed Schedule 1'!$E$103,0)</f>
        <v>373411.79369947757</v>
      </c>
      <c r="H29" s="68">
        <f t="shared" si="0"/>
        <v>1478610.7936994776</v>
      </c>
      <c r="J29" s="117" t="s">
        <v>980</v>
      </c>
      <c r="K29" s="68">
        <f>IFERROR(J29*'As-Filed Schedule 1'!$E$103,0)</f>
        <v>0</v>
      </c>
      <c r="L29" s="68">
        <f t="shared" si="1"/>
        <v>0</v>
      </c>
      <c r="N29" s="119">
        <v>8.8000000000000007</v>
      </c>
      <c r="O29" s="119">
        <v>735</v>
      </c>
    </row>
    <row r="30" spans="1:15" x14ac:dyDescent="0.35">
      <c r="A30" s="24">
        <v>16</v>
      </c>
      <c r="B30" s="453" t="s">
        <v>996</v>
      </c>
      <c r="C30" s="454"/>
      <c r="D30" s="455"/>
      <c r="F30" s="117">
        <v>863863</v>
      </c>
      <c r="G30" s="68">
        <f>IFERROR(F30*'As-Filed Schedule 1'!$E$103,0)</f>
        <v>291871.99078230414</v>
      </c>
      <c r="H30" s="68">
        <f t="shared" si="0"/>
        <v>1155734.9907823042</v>
      </c>
      <c r="J30" s="117" t="s">
        <v>980</v>
      </c>
      <c r="K30" s="68">
        <f>IFERROR(J30*'As-Filed Schedule 1'!$E$103,0)</f>
        <v>0</v>
      </c>
      <c r="L30" s="68">
        <f t="shared" si="1"/>
        <v>0</v>
      </c>
      <c r="N30" s="119">
        <v>8.7799999999999994</v>
      </c>
      <c r="O30" s="119">
        <v>646</v>
      </c>
    </row>
    <row r="31" spans="1:15" x14ac:dyDescent="0.35">
      <c r="A31" s="24">
        <v>17</v>
      </c>
      <c r="B31" s="453" t="s">
        <v>997</v>
      </c>
      <c r="C31" s="454"/>
      <c r="D31" s="455"/>
      <c r="F31" s="117">
        <v>345448</v>
      </c>
      <c r="G31" s="68">
        <f>IFERROR(F31*'As-Filed Schedule 1'!$E$103,0)</f>
        <v>116715.95550656228</v>
      </c>
      <c r="H31" s="68">
        <f t="shared" si="0"/>
        <v>462163.95550656226</v>
      </c>
      <c r="J31" s="117" t="s">
        <v>980</v>
      </c>
      <c r="K31" s="68">
        <f>IFERROR(J31*'As-Filed Schedule 1'!$E$103,0)</f>
        <v>0</v>
      </c>
      <c r="L31" s="68">
        <f t="shared" si="1"/>
        <v>0</v>
      </c>
      <c r="N31" s="119">
        <v>2.48</v>
      </c>
      <c r="O31" s="119">
        <v>176</v>
      </c>
    </row>
    <row r="32" spans="1:15" x14ac:dyDescent="0.35">
      <c r="A32" s="24">
        <v>18</v>
      </c>
      <c r="B32" s="453" t="s">
        <v>998</v>
      </c>
      <c r="C32" s="454"/>
      <c r="D32" s="455"/>
      <c r="F32" s="117">
        <v>383577</v>
      </c>
      <c r="G32" s="68">
        <f>IFERROR(F32*'As-Filed Schedule 1'!$E$103,0)</f>
        <v>129598.53889830202</v>
      </c>
      <c r="H32" s="68">
        <f t="shared" si="0"/>
        <v>513175.53889830201</v>
      </c>
      <c r="J32" s="117" t="s">
        <v>980</v>
      </c>
      <c r="K32" s="68">
        <f>IFERROR(J32*'As-Filed Schedule 1'!$E$103,0)</f>
        <v>0</v>
      </c>
      <c r="L32" s="68">
        <f t="shared" si="1"/>
        <v>0</v>
      </c>
      <c r="N32" s="119">
        <v>4.3899999999999997</v>
      </c>
      <c r="O32" s="119">
        <v>299</v>
      </c>
    </row>
    <row r="33" spans="1:15" x14ac:dyDescent="0.35">
      <c r="A33" s="24">
        <v>19</v>
      </c>
      <c r="B33" s="453" t="s">
        <v>999</v>
      </c>
      <c r="C33" s="454"/>
      <c r="D33" s="455"/>
      <c r="F33" s="117">
        <v>1486257</v>
      </c>
      <c r="G33" s="68">
        <f>IFERROR(F33*'As-Filed Schedule 1'!$E$103,0)</f>
        <v>502159.24215313658</v>
      </c>
      <c r="H33" s="68">
        <f t="shared" si="0"/>
        <v>1988416.2421531365</v>
      </c>
      <c r="J33" s="117" t="s">
        <v>980</v>
      </c>
      <c r="K33" s="68">
        <f>IFERROR(J33*'As-Filed Schedule 1'!$E$103,0)</f>
        <v>0</v>
      </c>
      <c r="L33" s="68">
        <f t="shared" si="1"/>
        <v>0</v>
      </c>
      <c r="N33" s="119">
        <v>13.94</v>
      </c>
      <c r="O33" s="119">
        <v>3092</v>
      </c>
    </row>
    <row r="34" spans="1:15" x14ac:dyDescent="0.35">
      <c r="A34" s="24">
        <v>20</v>
      </c>
      <c r="B34" s="453" t="s">
        <v>1000</v>
      </c>
      <c r="C34" s="454"/>
      <c r="D34" s="455"/>
      <c r="F34" s="117">
        <v>5239</v>
      </c>
      <c r="G34" s="68">
        <f>IFERROR(F34*'As-Filed Schedule 1'!$E$103,0)</f>
        <v>1770.0924333007567</v>
      </c>
      <c r="H34" s="68">
        <f t="shared" si="0"/>
        <v>7009.092433300757</v>
      </c>
      <c r="J34" s="117" t="s">
        <v>980</v>
      </c>
      <c r="K34" s="68">
        <f>IFERROR(J34*'As-Filed Schedule 1'!$E$103,0)</f>
        <v>0</v>
      </c>
      <c r="L34" s="68">
        <f t="shared" si="1"/>
        <v>0</v>
      </c>
      <c r="N34" s="119" t="s">
        <v>1025</v>
      </c>
      <c r="O34" s="119" t="s">
        <v>1026</v>
      </c>
    </row>
    <row r="35" spans="1:15" x14ac:dyDescent="0.35">
      <c r="A35" s="24">
        <v>21</v>
      </c>
      <c r="B35" s="453" t="s">
        <v>1001</v>
      </c>
      <c r="C35" s="454"/>
      <c r="D35" s="455"/>
      <c r="F35" s="117">
        <v>961249</v>
      </c>
      <c r="G35" s="68">
        <f>IFERROR(F35*'As-Filed Schedule 1'!$E$103,0)</f>
        <v>324775.64066003414</v>
      </c>
      <c r="H35" s="68">
        <f t="shared" si="0"/>
        <v>1286024.640660034</v>
      </c>
      <c r="J35" s="117" t="s">
        <v>980</v>
      </c>
      <c r="K35" s="68">
        <f>IFERROR(J35*'As-Filed Schedule 1'!$E$103,0)</f>
        <v>0</v>
      </c>
      <c r="L35" s="68">
        <f t="shared" si="1"/>
        <v>0</v>
      </c>
      <c r="N35" s="119">
        <v>9.0399999999999991</v>
      </c>
      <c r="O35" s="119">
        <v>580</v>
      </c>
    </row>
    <row r="36" spans="1:15" x14ac:dyDescent="0.35">
      <c r="A36" s="24">
        <v>22</v>
      </c>
      <c r="B36" s="453" t="s">
        <v>1002</v>
      </c>
      <c r="C36" s="454"/>
      <c r="D36" s="455"/>
      <c r="F36" s="117">
        <v>-25613</v>
      </c>
      <c r="G36" s="68">
        <f>IFERROR(F36*'As-Filed Schedule 1'!$E$103,0)</f>
        <v>-8653.8227704012752</v>
      </c>
      <c r="H36" s="68">
        <f t="shared" si="0"/>
        <v>-34266.822770401275</v>
      </c>
      <c r="J36" s="117" t="s">
        <v>980</v>
      </c>
      <c r="K36" s="68">
        <f>IFERROR(J36*'As-Filed Schedule 1'!$E$103,0)</f>
        <v>0</v>
      </c>
      <c r="L36" s="68">
        <f t="shared" si="1"/>
        <v>0</v>
      </c>
      <c r="N36" s="119" t="s">
        <v>1025</v>
      </c>
      <c r="O36" s="119" t="s">
        <v>1026</v>
      </c>
    </row>
    <row r="37" spans="1:15" x14ac:dyDescent="0.35">
      <c r="A37" s="24">
        <v>23</v>
      </c>
      <c r="B37" s="453" t="s">
        <v>1003</v>
      </c>
      <c r="C37" s="454"/>
      <c r="D37" s="455"/>
      <c r="F37" s="117">
        <v>1110149</v>
      </c>
      <c r="G37" s="68">
        <f>IFERROR(F37*'As-Filed Schedule 1'!$E$103,0)</f>
        <v>375084.24217148341</v>
      </c>
      <c r="H37" s="68">
        <f t="shared" si="0"/>
        <v>1485233.2421714833</v>
      </c>
      <c r="J37" s="117" t="s">
        <v>980</v>
      </c>
      <c r="K37" s="68">
        <f>IFERROR(J37*'As-Filed Schedule 1'!$E$103,0)</f>
        <v>0</v>
      </c>
      <c r="L37" s="68">
        <f t="shared" si="1"/>
        <v>0</v>
      </c>
      <c r="N37" s="119">
        <v>11.19</v>
      </c>
      <c r="O37" s="449">
        <v>687</v>
      </c>
    </row>
    <row r="38" spans="1:15" x14ac:dyDescent="0.35">
      <c r="A38" s="24">
        <v>24</v>
      </c>
      <c r="B38" s="453" t="s">
        <v>1004</v>
      </c>
      <c r="C38" s="454"/>
      <c r="D38" s="455"/>
      <c r="F38" s="117">
        <v>381130</v>
      </c>
      <c r="G38" s="68">
        <f>IFERROR(F38*'As-Filed Schedule 1'!$E$103,0)</f>
        <v>128771.77497688822</v>
      </c>
      <c r="H38" s="68">
        <f t="shared" si="0"/>
        <v>509901.77497688821</v>
      </c>
      <c r="J38" s="117" t="s">
        <v>980</v>
      </c>
      <c r="K38" s="68">
        <f>IFERROR(J38*'As-Filed Schedule 1'!$E$103,0)</f>
        <v>0</v>
      </c>
      <c r="L38" s="68">
        <f t="shared" si="1"/>
        <v>0</v>
      </c>
      <c r="N38" s="119">
        <v>4.47</v>
      </c>
      <c r="O38" s="449">
        <v>132</v>
      </c>
    </row>
    <row r="39" spans="1:15" x14ac:dyDescent="0.35">
      <c r="A39" s="24">
        <v>25</v>
      </c>
      <c r="B39" s="453" t="s">
        <v>1005</v>
      </c>
      <c r="C39" s="454"/>
      <c r="D39" s="455"/>
      <c r="F39" s="117">
        <v>344548</v>
      </c>
      <c r="G39" s="68">
        <f>IFERROR(F39*'As-Filed Schedule 1'!$E$103,0)</f>
        <v>116411.87396619757</v>
      </c>
      <c r="H39" s="68">
        <f t="shared" si="0"/>
        <v>460959.8739661976</v>
      </c>
      <c r="J39" s="117" t="s">
        <v>980</v>
      </c>
      <c r="K39" s="68">
        <f>IFERROR(J39*'As-Filed Schedule 1'!$E$103,0)</f>
        <v>0</v>
      </c>
      <c r="L39" s="68">
        <f t="shared" si="1"/>
        <v>0</v>
      </c>
      <c r="N39" s="119">
        <v>2</v>
      </c>
      <c r="O39" s="449">
        <v>177</v>
      </c>
    </row>
    <row r="40" spans="1:15" x14ac:dyDescent="0.35">
      <c r="A40" s="24">
        <v>26</v>
      </c>
      <c r="B40" s="453" t="s">
        <v>1006</v>
      </c>
      <c r="C40" s="454"/>
      <c r="D40" s="455"/>
      <c r="F40" s="117">
        <v>360768</v>
      </c>
      <c r="G40" s="68">
        <f>IFERROR(F40*'As-Filed Schedule 1'!$E$103,0)</f>
        <v>121892.0990603259</v>
      </c>
      <c r="H40" s="68">
        <f t="shared" si="0"/>
        <v>482660.09906032588</v>
      </c>
      <c r="J40" s="117" t="s">
        <v>980</v>
      </c>
      <c r="K40" s="68">
        <f>IFERROR(J40*'As-Filed Schedule 1'!$E$103,0)</f>
        <v>0</v>
      </c>
      <c r="L40" s="68">
        <f t="shared" si="1"/>
        <v>0</v>
      </c>
      <c r="N40" s="119">
        <v>2.66</v>
      </c>
      <c r="O40" s="447">
        <v>158</v>
      </c>
    </row>
    <row r="41" spans="1:15" x14ac:dyDescent="0.35">
      <c r="A41" s="24">
        <v>27</v>
      </c>
      <c r="B41" s="453" t="s">
        <v>1007</v>
      </c>
      <c r="C41" s="454"/>
      <c r="D41" s="455"/>
      <c r="F41" s="117">
        <v>154159</v>
      </c>
      <c r="G41" s="68">
        <f>IFERROR(F41*'As-Filed Schedule 1'!$E$103,0)</f>
        <v>52085.451312313671</v>
      </c>
      <c r="H41" s="68">
        <f t="shared" si="0"/>
        <v>206244.45131231367</v>
      </c>
      <c r="J41" s="117" t="s">
        <v>980</v>
      </c>
      <c r="K41" s="68">
        <f>IFERROR(J41*'As-Filed Schedule 1'!$E$103,0)</f>
        <v>0</v>
      </c>
      <c r="L41" s="68">
        <f t="shared" si="1"/>
        <v>0</v>
      </c>
      <c r="N41" s="119" t="s">
        <v>1025</v>
      </c>
      <c r="O41" s="447" t="s">
        <v>1026</v>
      </c>
    </row>
    <row r="42" spans="1:15" x14ac:dyDescent="0.35">
      <c r="A42" s="24">
        <v>28</v>
      </c>
      <c r="B42" s="453" t="s">
        <v>1008</v>
      </c>
      <c r="C42" s="454"/>
      <c r="D42" s="455"/>
      <c r="F42" s="117">
        <v>1275112</v>
      </c>
      <c r="G42" s="68">
        <f>IFERROR(F42*'As-Filed Schedule 1'!$E$103,0)</f>
        <v>430820.02344168629</v>
      </c>
      <c r="H42" s="68">
        <f t="shared" si="0"/>
        <v>1705932.0234416863</v>
      </c>
      <c r="J42" s="117" t="s">
        <v>980</v>
      </c>
      <c r="K42" s="68">
        <f>IFERROR(J42*'As-Filed Schedule 1'!$E$103,0)</f>
        <v>0</v>
      </c>
      <c r="L42" s="68">
        <f t="shared" si="1"/>
        <v>0</v>
      </c>
      <c r="N42" s="119">
        <v>10.56</v>
      </c>
      <c r="O42" s="447">
        <v>877</v>
      </c>
    </row>
    <row r="43" spans="1:15" x14ac:dyDescent="0.35">
      <c r="A43" s="24">
        <v>29</v>
      </c>
      <c r="B43" s="453" t="s">
        <v>1009</v>
      </c>
      <c r="C43" s="454"/>
      <c r="D43" s="455"/>
      <c r="F43" s="117">
        <v>3043034</v>
      </c>
      <c r="G43" s="68">
        <f>IFERROR(F43*'As-Filed Schedule 1'!$E$103,0)</f>
        <v>1028144.9623357386</v>
      </c>
      <c r="H43" s="68">
        <f t="shared" si="0"/>
        <v>4071178.9623357384</v>
      </c>
      <c r="J43" s="117" t="s">
        <v>980</v>
      </c>
      <c r="K43" s="68">
        <f>IFERROR(J43*'As-Filed Schedule 1'!$E$103,0)</f>
        <v>0</v>
      </c>
      <c r="L43" s="68">
        <f t="shared" si="1"/>
        <v>0</v>
      </c>
      <c r="N43" s="119">
        <v>16.920000000000002</v>
      </c>
      <c r="O43" s="447">
        <v>2718</v>
      </c>
    </row>
    <row r="44" spans="1:15" x14ac:dyDescent="0.35">
      <c r="A44" s="24">
        <v>30</v>
      </c>
      <c r="B44" s="453" t="s">
        <v>1010</v>
      </c>
      <c r="C44" s="454"/>
      <c r="D44" s="455"/>
      <c r="F44" s="117">
        <v>1222318</v>
      </c>
      <c r="G44" s="68">
        <f>IFERROR(F44*'As-Filed Schedule 1'!$E$103,0)</f>
        <v>412982.60028389277</v>
      </c>
      <c r="H44" s="68">
        <f t="shared" si="0"/>
        <v>1635300.6002838928</v>
      </c>
      <c r="J44" s="117" t="s">
        <v>980</v>
      </c>
      <c r="K44" s="68">
        <f>IFERROR(J44*'As-Filed Schedule 1'!$E$103,0)</f>
        <v>0</v>
      </c>
      <c r="L44" s="68">
        <f t="shared" si="1"/>
        <v>0</v>
      </c>
      <c r="N44" s="119">
        <v>12.18</v>
      </c>
      <c r="O44" s="447">
        <v>489</v>
      </c>
    </row>
    <row r="45" spans="1:15" x14ac:dyDescent="0.35">
      <c r="A45" s="24">
        <v>31</v>
      </c>
      <c r="B45" s="453" t="s">
        <v>1011</v>
      </c>
      <c r="C45" s="454"/>
      <c r="D45" s="455"/>
      <c r="F45" s="117">
        <v>2076981</v>
      </c>
      <c r="G45" s="68">
        <f>IFERROR(F45*'As-Filed Schedule 1'!$E$103,0)</f>
        <v>701746.20198691334</v>
      </c>
      <c r="H45" s="68">
        <f t="shared" si="0"/>
        <v>2778727.2019869136</v>
      </c>
      <c r="J45" s="117" t="s">
        <v>980</v>
      </c>
      <c r="K45" s="68">
        <f>IFERROR(J45*'As-Filed Schedule 1'!$E$103,0)</f>
        <v>0</v>
      </c>
      <c r="L45" s="68">
        <f t="shared" si="1"/>
        <v>0</v>
      </c>
      <c r="N45" s="119">
        <v>23.89</v>
      </c>
      <c r="O45" s="119">
        <v>913</v>
      </c>
    </row>
    <row r="46" spans="1:15" x14ac:dyDescent="0.35">
      <c r="A46" s="24">
        <v>32</v>
      </c>
      <c r="B46" s="453" t="s">
        <v>1012</v>
      </c>
      <c r="C46" s="454"/>
      <c r="D46" s="455"/>
      <c r="F46" s="117">
        <v>369171</v>
      </c>
      <c r="G46" s="68">
        <f>IFERROR(F46*'As-Filed Schedule 1'!$E$103,0)</f>
        <v>124731.20704219768</v>
      </c>
      <c r="H46" s="68">
        <f t="shared" si="0"/>
        <v>493902.2070421977</v>
      </c>
      <c r="J46" s="117" t="s">
        <v>980</v>
      </c>
      <c r="K46" s="68">
        <f>IFERROR(J46*'As-Filed Schedule 1'!$E$103,0)</f>
        <v>0</v>
      </c>
      <c r="L46" s="68">
        <f t="shared" si="1"/>
        <v>0</v>
      </c>
      <c r="N46" s="119">
        <v>2</v>
      </c>
      <c r="O46" s="119">
        <v>212</v>
      </c>
    </row>
    <row r="47" spans="1:15" x14ac:dyDescent="0.35">
      <c r="A47" s="24">
        <v>33</v>
      </c>
      <c r="B47" s="453" t="s">
        <v>1013</v>
      </c>
      <c r="C47" s="454"/>
      <c r="D47" s="455"/>
      <c r="F47" s="117">
        <v>-95922</v>
      </c>
      <c r="G47" s="68">
        <f>IFERROR(F47*'As-Filed Schedule 1'!$E$103,0)</f>
        <v>-32409.010572070085</v>
      </c>
      <c r="H47" s="68">
        <f t="shared" si="0"/>
        <v>-128331.01057207008</v>
      </c>
      <c r="J47" s="117" t="s">
        <v>980</v>
      </c>
      <c r="K47" s="68">
        <f>IFERROR(J47*'As-Filed Schedule 1'!$E$103,0)</f>
        <v>0</v>
      </c>
      <c r="L47" s="68">
        <f t="shared" si="1"/>
        <v>0</v>
      </c>
      <c r="N47" s="119" t="s">
        <v>1025</v>
      </c>
      <c r="O47" s="119" t="s">
        <v>1026</v>
      </c>
    </row>
    <row r="48" spans="1:15" x14ac:dyDescent="0.35">
      <c r="A48" s="24">
        <v>34</v>
      </c>
      <c r="B48" s="453" t="s">
        <v>1014</v>
      </c>
      <c r="C48" s="454"/>
      <c r="D48" s="455"/>
      <c r="F48" s="117">
        <v>903070</v>
      </c>
      <c r="G48" s="68">
        <f>IFERROR(F48*'As-Filed Schedule 1'!$E$103,0)</f>
        <v>305118.7962857252</v>
      </c>
      <c r="H48" s="68">
        <f t="shared" si="0"/>
        <v>1208188.7962857252</v>
      </c>
      <c r="J48" s="117" t="s">
        <v>980</v>
      </c>
      <c r="K48" s="68">
        <f>IFERROR(J48*'As-Filed Schedule 1'!$E$103,0)</f>
        <v>0</v>
      </c>
      <c r="L48" s="68">
        <f t="shared" si="1"/>
        <v>0</v>
      </c>
      <c r="N48" s="119">
        <v>7.05</v>
      </c>
      <c r="O48" s="119">
        <v>465</v>
      </c>
    </row>
    <row r="49" spans="1:15" x14ac:dyDescent="0.35">
      <c r="A49" s="24">
        <v>35</v>
      </c>
      <c r="B49" s="453" t="s">
        <v>1015</v>
      </c>
      <c r="C49" s="454"/>
      <c r="D49" s="455"/>
      <c r="F49" s="117">
        <v>1739</v>
      </c>
      <c r="G49" s="68">
        <f>IFERROR(F49*'As-Filed Schedule 1'!$E$103,0)</f>
        <v>587.55310966024354</v>
      </c>
      <c r="H49" s="68">
        <f t="shared" si="0"/>
        <v>2326.5531096602435</v>
      </c>
      <c r="J49" s="117" t="s">
        <v>980</v>
      </c>
      <c r="K49" s="68">
        <f>IFERROR(J49*'As-Filed Schedule 1'!$E$103,0)</f>
        <v>0</v>
      </c>
      <c r="L49" s="68">
        <f t="shared" si="1"/>
        <v>0</v>
      </c>
      <c r="N49" s="119">
        <v>1.9</v>
      </c>
      <c r="O49" s="119">
        <v>29</v>
      </c>
    </row>
    <row r="50" spans="1:15" x14ac:dyDescent="0.35">
      <c r="A50" s="24">
        <v>36</v>
      </c>
      <c r="B50" s="453" t="s">
        <v>1016</v>
      </c>
      <c r="C50" s="454"/>
      <c r="D50" s="455"/>
      <c r="F50" s="117" t="s">
        <v>980</v>
      </c>
      <c r="G50" s="68">
        <f>IFERROR(F50*'As-Filed Schedule 1'!$E$103,0)</f>
        <v>0</v>
      </c>
      <c r="H50" s="68">
        <f t="shared" si="0"/>
        <v>0</v>
      </c>
      <c r="J50" s="117">
        <v>312084</v>
      </c>
      <c r="K50" s="68">
        <f>IFERROR(J50*'As-Filed Schedule 1'!$E$103,0)</f>
        <v>105443.31493686454</v>
      </c>
      <c r="L50" s="68">
        <f t="shared" si="1"/>
        <v>417527.31493686454</v>
      </c>
      <c r="N50" s="119">
        <v>3</v>
      </c>
      <c r="O50" s="119" t="s">
        <v>1026</v>
      </c>
    </row>
    <row r="51" spans="1:15" x14ac:dyDescent="0.35">
      <c r="A51" s="24">
        <v>37</v>
      </c>
      <c r="B51" s="453" t="s">
        <v>1017</v>
      </c>
      <c r="C51" s="454"/>
      <c r="D51" s="455"/>
      <c r="F51" s="117" t="s">
        <v>980</v>
      </c>
      <c r="G51" s="68">
        <f>IFERROR(F51*'As-Filed Schedule 1'!$E$103,0)</f>
        <v>0</v>
      </c>
      <c r="H51" s="68">
        <f t="shared" si="0"/>
        <v>0</v>
      </c>
      <c r="J51" s="117">
        <v>235531</v>
      </c>
      <c r="K51" s="68">
        <f>IFERROR(J51*'As-Filed Schedule 1'!$E$103,0)</f>
        <v>79578.476981821063</v>
      </c>
      <c r="L51" s="68">
        <f t="shared" si="1"/>
        <v>315109.47698182106</v>
      </c>
      <c r="N51" s="119">
        <v>2.88</v>
      </c>
      <c r="O51" s="119">
        <v>4</v>
      </c>
    </row>
    <row r="52" spans="1:15" x14ac:dyDescent="0.35">
      <c r="A52" s="24">
        <v>38</v>
      </c>
      <c r="B52" s="453" t="s">
        <v>1018</v>
      </c>
      <c r="C52" s="454"/>
      <c r="D52" s="455"/>
      <c r="F52" s="117" t="s">
        <v>980</v>
      </c>
      <c r="G52" s="68">
        <f>IFERROR(F52*'As-Filed Schedule 1'!$E$103,0)</f>
        <v>0</v>
      </c>
      <c r="H52" s="68">
        <f t="shared" si="0"/>
        <v>0</v>
      </c>
      <c r="J52" s="117">
        <v>902063</v>
      </c>
      <c r="K52" s="68">
        <f>IFERROR(J52*'As-Filed Schedule 1'!$E$103,0)</f>
        <v>304778.56282889494</v>
      </c>
      <c r="L52" s="68">
        <f t="shared" si="1"/>
        <v>1206841.5628288949</v>
      </c>
      <c r="N52" s="119">
        <v>7</v>
      </c>
      <c r="O52" s="119">
        <v>310</v>
      </c>
    </row>
    <row r="53" spans="1:15" x14ac:dyDescent="0.35">
      <c r="A53" s="24">
        <v>39</v>
      </c>
      <c r="B53" s="453" t="s">
        <v>1019</v>
      </c>
      <c r="C53" s="454"/>
      <c r="D53" s="455"/>
      <c r="F53" s="117">
        <v>899098</v>
      </c>
      <c r="G53" s="68">
        <f>IFERROR(F53*'As-Filed Schedule 1'!$E$103,0)</f>
        <v>303776.78308758233</v>
      </c>
      <c r="H53" s="68">
        <f t="shared" si="0"/>
        <v>1202874.7830875823</v>
      </c>
      <c r="J53" s="117" t="s">
        <v>980</v>
      </c>
      <c r="K53" s="68">
        <f>IFERROR(J53*'As-Filed Schedule 1'!$E$103,0)</f>
        <v>0</v>
      </c>
      <c r="L53" s="68">
        <f t="shared" si="1"/>
        <v>0</v>
      </c>
      <c r="N53" s="119">
        <v>23.84</v>
      </c>
      <c r="O53" s="119">
        <v>2</v>
      </c>
    </row>
    <row r="54" spans="1:15" x14ac:dyDescent="0.35">
      <c r="A54" s="24">
        <v>40</v>
      </c>
      <c r="B54" s="453" t="s">
        <v>1020</v>
      </c>
      <c r="C54" s="454"/>
      <c r="D54" s="455"/>
      <c r="F54" s="117" t="s">
        <v>980</v>
      </c>
      <c r="G54" s="68">
        <f>IFERROR(F54*'As-Filed Schedule 1'!$E$103,0)</f>
        <v>0</v>
      </c>
      <c r="H54" s="68">
        <f t="shared" si="0"/>
        <v>0</v>
      </c>
      <c r="J54" s="117">
        <v>13253753</v>
      </c>
      <c r="K54" s="68">
        <f>IFERROR(J54*'As-Filed Schedule 1'!$E$103,0)</f>
        <v>4478024.0309481202</v>
      </c>
      <c r="L54" s="68">
        <f t="shared" si="1"/>
        <v>17731777.030948121</v>
      </c>
      <c r="N54" s="119">
        <v>8.93</v>
      </c>
      <c r="O54" s="119" t="s">
        <v>1026</v>
      </c>
    </row>
    <row r="55" spans="1:15" x14ac:dyDescent="0.35">
      <c r="A55" s="24">
        <v>41</v>
      </c>
      <c r="B55" s="453" t="s">
        <v>1021</v>
      </c>
      <c r="C55" s="454"/>
      <c r="D55" s="455"/>
      <c r="F55" s="117" t="s">
        <v>980</v>
      </c>
      <c r="G55" s="68">
        <f>IFERROR(F55*'As-Filed Schedule 1'!$E$103,0)</f>
        <v>0</v>
      </c>
      <c r="H55" s="68">
        <f t="shared" si="0"/>
        <v>0</v>
      </c>
      <c r="J55" s="117">
        <v>492907</v>
      </c>
      <c r="K55" s="68">
        <f>IFERROR(J55*'As-Filed Schedule 1'!$E$103,0)</f>
        <v>166537.68868504983</v>
      </c>
      <c r="L55" s="68">
        <f t="shared" si="1"/>
        <v>659444.68868504977</v>
      </c>
      <c r="N55" s="119">
        <v>3.86</v>
      </c>
      <c r="O55" s="119" t="s">
        <v>1026</v>
      </c>
    </row>
    <row r="56" spans="1:15" x14ac:dyDescent="0.35">
      <c r="A56" s="24">
        <v>42</v>
      </c>
      <c r="B56" s="453" t="s">
        <v>1022</v>
      </c>
      <c r="C56" s="454"/>
      <c r="D56" s="455"/>
      <c r="F56" s="117">
        <v>266046</v>
      </c>
      <c r="G56" s="68">
        <f>IFERROR(F56*'As-Filed Schedule 1'!$E$103,0)</f>
        <v>89888.530542075416</v>
      </c>
      <c r="H56" s="68">
        <f t="shared" si="0"/>
        <v>355934.5305420754</v>
      </c>
      <c r="J56" s="117" t="s">
        <v>980</v>
      </c>
      <c r="K56" s="68">
        <f>IFERROR(J56*'As-Filed Schedule 1'!$E$103,0)</f>
        <v>0</v>
      </c>
      <c r="L56" s="68">
        <f t="shared" si="1"/>
        <v>0</v>
      </c>
      <c r="N56" s="119">
        <v>2.97</v>
      </c>
      <c r="O56" s="119">
        <v>107</v>
      </c>
    </row>
    <row r="57" spans="1:15" x14ac:dyDescent="0.35">
      <c r="A57" s="24">
        <v>43</v>
      </c>
      <c r="B57" s="453" t="s">
        <v>1023</v>
      </c>
      <c r="C57" s="454"/>
      <c r="D57" s="455"/>
      <c r="F57" s="117">
        <v>485203</v>
      </c>
      <c r="G57" s="68">
        <f>IFERROR(F57*'As-Filed Schedule 1'!$E$103,0)</f>
        <v>163934.75069952797</v>
      </c>
      <c r="H57" s="68">
        <f t="shared" si="0"/>
        <v>649137.75069952803</v>
      </c>
      <c r="J57" s="117" t="s">
        <v>980</v>
      </c>
      <c r="K57" s="68">
        <f>IFERROR(J57*'As-Filed Schedule 1'!$E$103,0)</f>
        <v>0</v>
      </c>
      <c r="L57" s="68">
        <f t="shared" si="1"/>
        <v>0</v>
      </c>
      <c r="N57" s="119">
        <v>4.4400000000000004</v>
      </c>
      <c r="O57" s="119">
        <v>182</v>
      </c>
    </row>
    <row r="58" spans="1:15" x14ac:dyDescent="0.35">
      <c r="A58" s="24">
        <v>44</v>
      </c>
      <c r="B58" s="453" t="s">
        <v>1024</v>
      </c>
      <c r="C58" s="454"/>
      <c r="D58" s="455"/>
      <c r="F58" s="117">
        <v>3504669</v>
      </c>
      <c r="G58" s="68">
        <f>IFERROR(F58*'As-Filed Schedule 1'!$E$103,0)</f>
        <v>1184116.8310982496</v>
      </c>
      <c r="H58" s="68">
        <f t="shared" si="0"/>
        <v>4688785.8310982492</v>
      </c>
      <c r="J58" s="117" t="s">
        <v>980</v>
      </c>
      <c r="K58" s="68">
        <f>IFERROR(J58*'As-Filed Schedule 1'!$E$103,0)</f>
        <v>0</v>
      </c>
      <c r="L58" s="68">
        <f t="shared" si="1"/>
        <v>0</v>
      </c>
      <c r="N58" s="119">
        <v>27.62</v>
      </c>
      <c r="O58" s="119" t="s">
        <v>1026</v>
      </c>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27048343</v>
      </c>
      <c r="G73" s="18">
        <f t="shared" ref="G73:H73" si="2">SUM(G15:G72)</f>
        <v>9138779.7819476016</v>
      </c>
      <c r="H73" s="18">
        <f t="shared" si="2"/>
        <v>36187122.781947605</v>
      </c>
      <c r="J73" s="18">
        <f>SUM(J15:J72)</f>
        <v>15196338</v>
      </c>
      <c r="K73" s="18">
        <f>SUM(K15:K72)</f>
        <v>5134362.0743807508</v>
      </c>
      <c r="L73" s="18">
        <f>SUM(L15:L72)</f>
        <v>20330700.074380752</v>
      </c>
      <c r="O73" s="83" t="s">
        <v>313</v>
      </c>
    </row>
    <row r="74" spans="1:15" ht="15" thickBot="1" x14ac:dyDescent="0.4">
      <c r="H74" s="37" t="s">
        <v>257</v>
      </c>
      <c r="L74" s="37" t="s">
        <v>258</v>
      </c>
    </row>
    <row r="75" spans="1:15" s="72" customFormat="1" ht="16" thickBot="1" x14ac:dyDescent="0.4">
      <c r="A75" s="24">
        <v>60</v>
      </c>
      <c r="B75" s="73" t="s">
        <v>461</v>
      </c>
      <c r="F75" s="75">
        <f>H73+L73</f>
        <v>56517822.856328353</v>
      </c>
      <c r="G75" s="74"/>
      <c r="H75" s="74"/>
      <c r="I75" s="74"/>
      <c r="J75" s="74"/>
      <c r="K75" s="74"/>
    </row>
  </sheetData>
  <sheetProtection sheet="1" objects="1" scenarios="1"/>
  <customSheetViews>
    <customSheetView guid="{D0F83CC0-0361-4280-BCA4-9A92C986158B}">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21">
    <mergeCell ref="A3:H3"/>
    <mergeCell ref="F13:H13"/>
    <mergeCell ref="B12:D12"/>
    <mergeCell ref="B13:D14"/>
    <mergeCell ref="N13:N14"/>
    <mergeCell ref="O13:O14"/>
    <mergeCell ref="J13:L13"/>
    <mergeCell ref="B59:D59"/>
    <mergeCell ref="B60:D60"/>
    <mergeCell ref="B61:D61"/>
    <mergeCell ref="B62:D62"/>
    <mergeCell ref="B63:D63"/>
    <mergeCell ref="B64:D64"/>
    <mergeCell ref="B65:D65"/>
    <mergeCell ref="B66:D66"/>
    <mergeCell ref="B72:D72"/>
    <mergeCell ref="B67:D67"/>
    <mergeCell ref="B68:D68"/>
    <mergeCell ref="B69:D69"/>
    <mergeCell ref="B70:D70"/>
    <mergeCell ref="B71:D7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9CC5CA"/>
  </sheetPr>
  <dimension ref="A1:O75"/>
  <sheetViews>
    <sheetView workbookViewId="0">
      <selection activeCell="C6" sqref="C6"/>
    </sheetView>
  </sheetViews>
  <sheetFormatPr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495" t="s">
        <v>770</v>
      </c>
      <c r="B3" s="495"/>
      <c r="C3" s="495"/>
      <c r="D3" s="495"/>
      <c r="E3" s="495"/>
      <c r="F3" s="495"/>
      <c r="G3" s="495"/>
      <c r="H3" s="49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203</v>
      </c>
      <c r="C8" s="1"/>
      <c r="F8" s="118"/>
      <c r="G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07" t="s">
        <v>255</v>
      </c>
      <c r="C13" s="507"/>
      <c r="D13" s="507"/>
      <c r="F13" s="509" t="s">
        <v>261</v>
      </c>
      <c r="G13" s="521"/>
      <c r="H13" s="510"/>
      <c r="J13" s="509" t="s">
        <v>262</v>
      </c>
      <c r="K13" s="521"/>
      <c r="L13" s="510"/>
      <c r="N13" s="508" t="s">
        <v>250</v>
      </c>
      <c r="O13" s="508" t="s">
        <v>312</v>
      </c>
    </row>
    <row r="14" spans="1:15" ht="55.5" customHeight="1" x14ac:dyDescent="0.35">
      <c r="B14" s="507"/>
      <c r="C14" s="507"/>
      <c r="D14" s="507"/>
      <c r="E14" s="48"/>
      <c r="F14" s="10" t="s">
        <v>214</v>
      </c>
      <c r="G14" s="150" t="s">
        <v>491</v>
      </c>
      <c r="H14" s="150" t="s">
        <v>215</v>
      </c>
      <c r="I14" s="100"/>
      <c r="J14" s="150" t="s">
        <v>214</v>
      </c>
      <c r="K14" s="150" t="s">
        <v>491</v>
      </c>
      <c r="L14" s="10" t="s">
        <v>215</v>
      </c>
      <c r="M14" s="48"/>
      <c r="N14" s="508"/>
      <c r="O14" s="508"/>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14"/>
      <c r="C16" s="514"/>
      <c r="D16" s="514"/>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44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44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44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44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44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44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44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44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44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44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44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44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44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44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44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44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44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44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44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44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462</v>
      </c>
      <c r="F75" s="75">
        <f>H73+L73</f>
        <v>0</v>
      </c>
      <c r="G75" s="74"/>
      <c r="H75" s="74"/>
      <c r="I75" s="74"/>
      <c r="J75" s="74"/>
      <c r="K75" s="74"/>
    </row>
  </sheetData>
  <sheetProtection sheet="1" objects="1" scenarios="1"/>
  <customSheetViews>
    <customSheetView guid="{D0F83CC0-0361-4280-BCA4-9A92C986158B}">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65">
    <mergeCell ref="A3:H3"/>
    <mergeCell ref="F13:H13"/>
    <mergeCell ref="B12:D12"/>
    <mergeCell ref="B13:D14"/>
    <mergeCell ref="O13:O14"/>
    <mergeCell ref="N13:N14"/>
    <mergeCell ref="J13:L13"/>
    <mergeCell ref="B33:D33"/>
    <mergeCell ref="B15:D15"/>
    <mergeCell ref="B16:D16"/>
    <mergeCell ref="B17:D17"/>
    <mergeCell ref="B32:D32"/>
    <mergeCell ref="B30:D30"/>
    <mergeCell ref="B31:D31"/>
    <mergeCell ref="B18:D18"/>
    <mergeCell ref="B19:D19"/>
    <mergeCell ref="B20:D20"/>
    <mergeCell ref="B28:D28"/>
    <mergeCell ref="B29:D29"/>
    <mergeCell ref="B21:D21"/>
    <mergeCell ref="B22:D22"/>
    <mergeCell ref="B23:D23"/>
    <mergeCell ref="B24:D24"/>
    <mergeCell ref="B38:D38"/>
    <mergeCell ref="B34:D34"/>
    <mergeCell ref="B35:D35"/>
    <mergeCell ref="B36:D36"/>
    <mergeCell ref="B37:D37"/>
    <mergeCell ref="B39:D39"/>
    <mergeCell ref="B40:D40"/>
    <mergeCell ref="B41:D41"/>
    <mergeCell ref="B46:D46"/>
    <mergeCell ref="B47:D47"/>
    <mergeCell ref="B42:D42"/>
    <mergeCell ref="B43:D43"/>
    <mergeCell ref="B44:D44"/>
    <mergeCell ref="B45:D45"/>
    <mergeCell ref="B48:D48"/>
    <mergeCell ref="B49:D49"/>
    <mergeCell ref="B50:D50"/>
    <mergeCell ref="B51:D51"/>
    <mergeCell ref="B52:D52"/>
    <mergeCell ref="B66:D66"/>
    <mergeCell ref="B72:D72"/>
    <mergeCell ref="B67:D67"/>
    <mergeCell ref="B68:D68"/>
    <mergeCell ref="B69:D69"/>
    <mergeCell ref="B70:D70"/>
    <mergeCell ref="B71:D71"/>
    <mergeCell ref="B25:D25"/>
    <mergeCell ref="B26:D26"/>
    <mergeCell ref="B27:D27"/>
    <mergeCell ref="B64:D64"/>
    <mergeCell ref="B65:D65"/>
    <mergeCell ref="B59:D59"/>
    <mergeCell ref="B60:D60"/>
    <mergeCell ref="B61:D61"/>
    <mergeCell ref="B62:D62"/>
    <mergeCell ref="B63:D63"/>
    <mergeCell ref="B53:D53"/>
    <mergeCell ref="B54:D54"/>
    <mergeCell ref="B55:D55"/>
    <mergeCell ref="B57:D57"/>
    <mergeCell ref="B58:D58"/>
    <mergeCell ref="B56:D56"/>
  </mergeCells>
  <pageMargins left="0.7" right="0.7" top="0.75" bottom="0.75" header="0.3" footer="0.3"/>
  <pageSetup orientation="portrait" horizontalDpi="1200" verticalDpi="1200"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5">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20.81640625" customWidth="1"/>
    <col min="3" max="3" width="22.81640625" customWidth="1"/>
    <col min="4" max="4" width="22.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812</v>
      </c>
      <c r="B3" s="5"/>
      <c r="C3" s="5"/>
      <c r="D3" s="5"/>
      <c r="E3" s="5"/>
      <c r="F3" s="5"/>
      <c r="G3" s="5"/>
      <c r="H3" s="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810</v>
      </c>
      <c r="C8" s="1"/>
      <c r="F8" s="118" t="s">
        <v>177</v>
      </c>
      <c r="G8" s="41" t="s">
        <v>259</v>
      </c>
    </row>
    <row r="10" spans="1:15" x14ac:dyDescent="0.35">
      <c r="A10" s="1" t="s">
        <v>254</v>
      </c>
      <c r="B10" s="1" t="s">
        <v>256</v>
      </c>
      <c r="C10" s="1"/>
    </row>
    <row r="12" spans="1:15" x14ac:dyDescent="0.35">
      <c r="B12" s="552">
        <v>1</v>
      </c>
      <c r="C12" s="553"/>
      <c r="D12" s="554"/>
      <c r="F12" s="23">
        <v>2</v>
      </c>
      <c r="G12" s="23">
        <v>3</v>
      </c>
      <c r="H12" s="23">
        <v>4</v>
      </c>
      <c r="J12" s="23">
        <v>5</v>
      </c>
      <c r="K12" s="23">
        <v>6</v>
      </c>
      <c r="L12" s="23">
        <v>7</v>
      </c>
      <c r="N12" s="23">
        <v>8</v>
      </c>
      <c r="O12" s="23">
        <v>9</v>
      </c>
    </row>
    <row r="13" spans="1:15" ht="15" customHeight="1" x14ac:dyDescent="0.35">
      <c r="B13" s="515" t="s">
        <v>255</v>
      </c>
      <c r="C13" s="516"/>
      <c r="D13" s="517"/>
      <c r="F13" s="509" t="s">
        <v>261</v>
      </c>
      <c r="G13" s="521"/>
      <c r="H13" s="510"/>
      <c r="J13" s="509" t="s">
        <v>262</v>
      </c>
      <c r="K13" s="521"/>
      <c r="L13" s="510"/>
      <c r="N13" s="522" t="s">
        <v>250</v>
      </c>
      <c r="O13" s="522" t="s">
        <v>312</v>
      </c>
    </row>
    <row r="14" spans="1:15" ht="55.5" customHeight="1" x14ac:dyDescent="0.35">
      <c r="B14" s="518"/>
      <c r="C14" s="519"/>
      <c r="D14" s="520"/>
      <c r="E14" s="48"/>
      <c r="F14" s="10" t="s">
        <v>214</v>
      </c>
      <c r="G14" s="150" t="s">
        <v>491</v>
      </c>
      <c r="H14" s="150" t="s">
        <v>215</v>
      </c>
      <c r="I14" s="100"/>
      <c r="J14" s="150" t="s">
        <v>214</v>
      </c>
      <c r="K14" s="150" t="s">
        <v>491</v>
      </c>
      <c r="L14" s="10" t="s">
        <v>215</v>
      </c>
      <c r="M14" s="48"/>
      <c r="N14" s="523"/>
      <c r="O14" s="523"/>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49"/>
      <c r="C16" s="550"/>
      <c r="D16" s="551"/>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49"/>
      <c r="C17" s="550"/>
      <c r="D17" s="551"/>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49"/>
      <c r="C18" s="550"/>
      <c r="D18" s="551"/>
      <c r="F18" s="117"/>
      <c r="G18" s="68">
        <f>IFERROR(F18*'As-Filed Schedule 1'!$E$103,0)</f>
        <v>0</v>
      </c>
      <c r="H18" s="68">
        <f t="shared" si="0"/>
        <v>0</v>
      </c>
      <c r="J18" s="117"/>
      <c r="K18" s="68">
        <f>IFERROR(J18*'As-Filed Schedule 1'!$E$103,0)</f>
        <v>0</v>
      </c>
      <c r="L18" s="68">
        <f t="shared" si="1"/>
        <v>0</v>
      </c>
      <c r="N18" s="119"/>
      <c r="O18" s="119"/>
    </row>
    <row r="19" spans="1:15" x14ac:dyDescent="0.35">
      <c r="A19" s="24">
        <v>5</v>
      </c>
      <c r="B19" s="549"/>
      <c r="C19" s="550"/>
      <c r="D19" s="551"/>
      <c r="F19" s="117"/>
      <c r="G19" s="68">
        <f>IFERROR(F19*'As-Filed Schedule 1'!$E$103,0)</f>
        <v>0</v>
      </c>
      <c r="H19" s="68">
        <f t="shared" si="0"/>
        <v>0</v>
      </c>
      <c r="J19" s="117"/>
      <c r="K19" s="68">
        <f>IFERROR(J19*'As-Filed Schedule 1'!$E$103,0)</f>
        <v>0</v>
      </c>
      <c r="L19" s="68">
        <f t="shared" si="1"/>
        <v>0</v>
      </c>
      <c r="N19" s="119"/>
      <c r="O19" s="119"/>
    </row>
    <row r="20" spans="1:15" x14ac:dyDescent="0.35">
      <c r="A20" s="24">
        <v>6</v>
      </c>
      <c r="B20" s="549"/>
      <c r="C20" s="550"/>
      <c r="D20" s="551"/>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49"/>
      <c r="C21" s="550"/>
      <c r="D21" s="551"/>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49"/>
      <c r="C22" s="550"/>
      <c r="D22" s="551"/>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49"/>
      <c r="C23" s="550"/>
      <c r="D23" s="551"/>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49"/>
      <c r="C24" s="550"/>
      <c r="D24" s="551"/>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49"/>
      <c r="C25" s="550"/>
      <c r="D25" s="551"/>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49"/>
      <c r="C26" s="550"/>
      <c r="D26" s="551"/>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49"/>
      <c r="C27" s="550"/>
      <c r="D27" s="551"/>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49"/>
      <c r="C28" s="550"/>
      <c r="D28" s="551"/>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49"/>
      <c r="C29" s="550"/>
      <c r="D29" s="551"/>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49"/>
      <c r="C30" s="550"/>
      <c r="D30" s="551"/>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49"/>
      <c r="C31" s="550"/>
      <c r="D31" s="551"/>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49"/>
      <c r="C32" s="550"/>
      <c r="D32" s="551"/>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49"/>
      <c r="C33" s="550"/>
      <c r="D33" s="551"/>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49"/>
      <c r="C34" s="550"/>
      <c r="D34" s="551"/>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49"/>
      <c r="C35" s="550"/>
      <c r="D35" s="551"/>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49"/>
      <c r="C36" s="550"/>
      <c r="D36" s="551"/>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49"/>
      <c r="C37" s="550"/>
      <c r="D37" s="551"/>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49"/>
      <c r="C38" s="550"/>
      <c r="D38" s="551"/>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49"/>
      <c r="C39" s="550"/>
      <c r="D39" s="551"/>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49"/>
      <c r="C40" s="550"/>
      <c r="D40" s="551"/>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49"/>
      <c r="C41" s="550"/>
      <c r="D41" s="551"/>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49"/>
      <c r="C42" s="550"/>
      <c r="D42" s="551"/>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49"/>
      <c r="C43" s="550"/>
      <c r="D43" s="551"/>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49"/>
      <c r="C44" s="550"/>
      <c r="D44" s="551"/>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49"/>
      <c r="C45" s="550"/>
      <c r="D45" s="551"/>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49"/>
      <c r="C46" s="550"/>
      <c r="D46" s="551"/>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49"/>
      <c r="C47" s="550"/>
      <c r="D47" s="551"/>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49"/>
      <c r="C48" s="550"/>
      <c r="D48" s="551"/>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49"/>
      <c r="C49" s="550"/>
      <c r="D49" s="551"/>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49"/>
      <c r="C50" s="550"/>
      <c r="D50" s="551"/>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49"/>
      <c r="C51" s="550"/>
      <c r="D51" s="551"/>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49"/>
      <c r="C52" s="550"/>
      <c r="D52" s="551"/>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49"/>
      <c r="C53" s="550"/>
      <c r="D53" s="551"/>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49"/>
      <c r="C54" s="550"/>
      <c r="D54" s="551"/>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49"/>
      <c r="C55" s="550"/>
      <c r="D55" s="551"/>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49"/>
      <c r="C56" s="550"/>
      <c r="D56" s="551"/>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49"/>
      <c r="C57" s="550"/>
      <c r="D57" s="551"/>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49"/>
      <c r="C58" s="550"/>
      <c r="D58" s="551"/>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49"/>
      <c r="C59" s="550"/>
      <c r="D59" s="551"/>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49"/>
      <c r="C60" s="550"/>
      <c r="D60" s="551"/>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49"/>
      <c r="C61" s="550"/>
      <c r="D61" s="551"/>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49"/>
      <c r="C62" s="550"/>
      <c r="D62" s="551"/>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49"/>
      <c r="C63" s="550"/>
      <c r="D63" s="551"/>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49"/>
      <c r="C64" s="550"/>
      <c r="D64" s="551"/>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49"/>
      <c r="C65" s="550"/>
      <c r="D65" s="551"/>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49"/>
      <c r="C66" s="550"/>
      <c r="D66" s="551"/>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49"/>
      <c r="C67" s="550"/>
      <c r="D67" s="551"/>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49"/>
      <c r="C68" s="550"/>
      <c r="D68" s="551"/>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49"/>
      <c r="C69" s="550"/>
      <c r="D69" s="551"/>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49"/>
      <c r="C70" s="550"/>
      <c r="D70" s="551"/>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49"/>
      <c r="C71" s="550"/>
      <c r="D71" s="551"/>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49"/>
      <c r="C72" s="550"/>
      <c r="D72" s="551"/>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 si="2">SUM(G15:G72)</f>
        <v>0</v>
      </c>
      <c r="H73" s="18">
        <f>SUM(H15:H72)</f>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811</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26:D26"/>
    <mergeCell ref="B16:D1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7:D37"/>
    <mergeCell ref="B23:D23"/>
    <mergeCell ref="B24:D24"/>
    <mergeCell ref="B25:D25"/>
    <mergeCell ref="O13:O14"/>
    <mergeCell ref="B18:D18"/>
    <mergeCell ref="B19:D19"/>
    <mergeCell ref="B20:D20"/>
    <mergeCell ref="B21:D21"/>
    <mergeCell ref="B22:D22"/>
    <mergeCell ref="B15:D15"/>
    <mergeCell ref="B32:D32"/>
    <mergeCell ref="B33:D33"/>
    <mergeCell ref="B34:D34"/>
    <mergeCell ref="B35:D35"/>
    <mergeCell ref="B36:D36"/>
    <mergeCell ref="B12:D12"/>
    <mergeCell ref="B13:D14"/>
    <mergeCell ref="F13:H13"/>
    <mergeCell ref="J13:L13"/>
    <mergeCell ref="N13:N1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6">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815</v>
      </c>
      <c r="B3" s="5"/>
      <c r="C3" s="5"/>
      <c r="D3" s="5"/>
      <c r="E3" s="5"/>
      <c r="F3" s="5"/>
      <c r="G3" s="5"/>
      <c r="H3" s="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813</v>
      </c>
      <c r="C8" s="1"/>
      <c r="F8" s="118" t="s">
        <v>177</v>
      </c>
      <c r="G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07" t="s">
        <v>255</v>
      </c>
      <c r="C13" s="507"/>
      <c r="D13" s="507"/>
      <c r="F13" s="509" t="s">
        <v>261</v>
      </c>
      <c r="G13" s="521"/>
      <c r="H13" s="510"/>
      <c r="J13" s="509" t="s">
        <v>262</v>
      </c>
      <c r="K13" s="521"/>
      <c r="L13" s="510"/>
      <c r="N13" s="508" t="s">
        <v>250</v>
      </c>
      <c r="O13" s="508" t="s">
        <v>312</v>
      </c>
    </row>
    <row r="14" spans="1:15" ht="55.5" customHeight="1" x14ac:dyDescent="0.35">
      <c r="B14" s="507"/>
      <c r="C14" s="507"/>
      <c r="D14" s="507"/>
      <c r="E14" s="48"/>
      <c r="F14" s="10" t="s">
        <v>214</v>
      </c>
      <c r="G14" s="150" t="s">
        <v>491</v>
      </c>
      <c r="H14" s="150" t="s">
        <v>215</v>
      </c>
      <c r="I14" s="100"/>
      <c r="J14" s="150" t="s">
        <v>214</v>
      </c>
      <c r="K14" s="150" t="s">
        <v>491</v>
      </c>
      <c r="L14" s="10" t="s">
        <v>215</v>
      </c>
      <c r="M14" s="48"/>
      <c r="N14" s="508"/>
      <c r="O14" s="508"/>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14"/>
      <c r="C16" s="514"/>
      <c r="D16" s="514"/>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11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11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453"/>
      <c r="C22" s="454"/>
      <c r="D22" s="455"/>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453"/>
      <c r="C23" s="454"/>
      <c r="D23" s="455"/>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453"/>
      <c r="C24" s="454"/>
      <c r="D24" s="455"/>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453"/>
      <c r="C27" s="454"/>
      <c r="D27" s="455"/>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450"/>
      <c r="C28" s="451"/>
      <c r="D28" s="452"/>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450"/>
      <c r="C29" s="451"/>
      <c r="D29" s="452"/>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55"/>
      <c r="C30" s="556"/>
      <c r="D30" s="557"/>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55"/>
      <c r="C31" s="556"/>
      <c r="D31" s="557"/>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55"/>
      <c r="C32" s="556"/>
      <c r="D32" s="557"/>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55"/>
      <c r="C33" s="556"/>
      <c r="D33" s="557"/>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55"/>
      <c r="C34" s="556"/>
      <c r="D34" s="557"/>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55"/>
      <c r="C35" s="556"/>
      <c r="D35" s="557"/>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55"/>
      <c r="C36" s="556"/>
      <c r="D36" s="557"/>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55"/>
      <c r="C37" s="556"/>
      <c r="D37" s="557"/>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55"/>
      <c r="C38" s="556"/>
      <c r="D38" s="557"/>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55"/>
      <c r="C39" s="556"/>
      <c r="D39" s="557"/>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55"/>
      <c r="C40" s="556"/>
      <c r="D40" s="557"/>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 si="2">SUM(G15:G72)</f>
        <v>0</v>
      </c>
      <c r="H73" s="18">
        <f>SUM(H15:H72)</f>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814</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58">
    <mergeCell ref="B69:D69"/>
    <mergeCell ref="B70:D70"/>
    <mergeCell ref="B71:D71"/>
    <mergeCell ref="B72:D72"/>
    <mergeCell ref="B63:D63"/>
    <mergeCell ref="B64:D64"/>
    <mergeCell ref="B65:D65"/>
    <mergeCell ref="B66:D66"/>
    <mergeCell ref="B67:D67"/>
    <mergeCell ref="B68:D68"/>
    <mergeCell ref="B40:D40"/>
    <mergeCell ref="B62:D62"/>
    <mergeCell ref="B51:D51"/>
    <mergeCell ref="B52:D52"/>
    <mergeCell ref="B53:D53"/>
    <mergeCell ref="B54:D54"/>
    <mergeCell ref="B55:D55"/>
    <mergeCell ref="B56:D56"/>
    <mergeCell ref="B57:D57"/>
    <mergeCell ref="B58:D58"/>
    <mergeCell ref="B59:D59"/>
    <mergeCell ref="B60:D60"/>
    <mergeCell ref="B61:D61"/>
    <mergeCell ref="B34:D34"/>
    <mergeCell ref="B35:D35"/>
    <mergeCell ref="B50:D50"/>
    <mergeCell ref="B41:D41"/>
    <mergeCell ref="B42:D42"/>
    <mergeCell ref="B43:D43"/>
    <mergeCell ref="B44:D44"/>
    <mergeCell ref="B45:D45"/>
    <mergeCell ref="B46:D46"/>
    <mergeCell ref="B47:D47"/>
    <mergeCell ref="B48:D48"/>
    <mergeCell ref="B49:D49"/>
    <mergeCell ref="B36:D36"/>
    <mergeCell ref="B37:D37"/>
    <mergeCell ref="B38:D38"/>
    <mergeCell ref="B39:D39"/>
    <mergeCell ref="O13:O14"/>
    <mergeCell ref="B12:D12"/>
    <mergeCell ref="B13:D14"/>
    <mergeCell ref="F13:H13"/>
    <mergeCell ref="J13:L13"/>
    <mergeCell ref="N13:N14"/>
    <mergeCell ref="B15:D15"/>
    <mergeCell ref="B16:D16"/>
    <mergeCell ref="B17:D17"/>
    <mergeCell ref="B32:D32"/>
    <mergeCell ref="B33:D33"/>
    <mergeCell ref="B18:D18"/>
    <mergeCell ref="B31:D31"/>
    <mergeCell ref="B20:D20"/>
    <mergeCell ref="B21:D21"/>
    <mergeCell ref="B25:D25"/>
    <mergeCell ref="B26:D26"/>
    <mergeCell ref="B30:D30"/>
    <mergeCell ref="B19:D1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5.54296875" customWidth="1"/>
    <col min="4" max="4" width="30"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818</v>
      </c>
      <c r="B3" s="5"/>
      <c r="C3" s="5"/>
      <c r="D3" s="5"/>
      <c r="E3" s="5"/>
      <c r="F3" s="5"/>
      <c r="G3" s="5"/>
      <c r="H3" s="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816</v>
      </c>
      <c r="C8" s="1"/>
      <c r="F8" s="118" t="s">
        <v>177</v>
      </c>
      <c r="G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07" t="s">
        <v>255</v>
      </c>
      <c r="C13" s="507"/>
      <c r="D13" s="507"/>
      <c r="F13" s="509" t="s">
        <v>261</v>
      </c>
      <c r="G13" s="521"/>
      <c r="H13" s="510"/>
      <c r="J13" s="509" t="s">
        <v>262</v>
      </c>
      <c r="K13" s="521"/>
      <c r="L13" s="510"/>
      <c r="N13" s="508" t="s">
        <v>250</v>
      </c>
      <c r="O13" s="508" t="s">
        <v>312</v>
      </c>
    </row>
    <row r="14" spans="1:15" ht="55.5" customHeight="1" x14ac:dyDescent="0.35">
      <c r="B14" s="507"/>
      <c r="C14" s="507"/>
      <c r="D14" s="507"/>
      <c r="E14" s="48"/>
      <c r="F14" s="10" t="s">
        <v>214</v>
      </c>
      <c r="G14" s="150" t="s">
        <v>491</v>
      </c>
      <c r="H14" s="150" t="s">
        <v>215</v>
      </c>
      <c r="I14" s="100"/>
      <c r="J14" s="150" t="s">
        <v>214</v>
      </c>
      <c r="K14" s="150" t="s">
        <v>491</v>
      </c>
      <c r="L14" s="10" t="s">
        <v>215</v>
      </c>
      <c r="M14" s="48"/>
      <c r="N14" s="508"/>
      <c r="O14" s="508"/>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55"/>
      <c r="C16" s="556"/>
      <c r="D16" s="557"/>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11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11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H73" si="2">SUM(G15:G72)</f>
        <v>0</v>
      </c>
      <c r="H73" s="18">
        <f t="shared" si="2"/>
        <v>0</v>
      </c>
      <c r="J73" s="18">
        <f>SUM(J15:J72)</f>
        <v>0</v>
      </c>
      <c r="K73" s="18">
        <f>SUM(K15:K72)</f>
        <v>0</v>
      </c>
      <c r="L73" s="18">
        <f t="shared" ref="L73" si="3">SUM(L15:L72)</f>
        <v>0</v>
      </c>
      <c r="O73" s="83" t="s">
        <v>313</v>
      </c>
    </row>
    <row r="74" spans="1:15" ht="15" thickBot="1" x14ac:dyDescent="0.4">
      <c r="H74" s="37" t="s">
        <v>257</v>
      </c>
      <c r="L74" s="37" t="s">
        <v>258</v>
      </c>
    </row>
    <row r="75" spans="1:15" s="72" customFormat="1" ht="16" thickBot="1" x14ac:dyDescent="0.4">
      <c r="A75" s="24">
        <v>60</v>
      </c>
      <c r="B75" s="73" t="s">
        <v>817</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8">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821</v>
      </c>
      <c r="B3" s="5"/>
      <c r="C3" s="5"/>
      <c r="D3" s="5"/>
      <c r="E3" s="5"/>
      <c r="F3" s="5"/>
      <c r="G3" s="5"/>
      <c r="H3" s="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819</v>
      </c>
      <c r="C8" s="1"/>
      <c r="F8" s="118" t="s">
        <v>177</v>
      </c>
      <c r="G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07" t="s">
        <v>255</v>
      </c>
      <c r="C13" s="507"/>
      <c r="D13" s="507"/>
      <c r="F13" s="509" t="s">
        <v>261</v>
      </c>
      <c r="G13" s="521"/>
      <c r="H13" s="510"/>
      <c r="J13" s="509" t="s">
        <v>262</v>
      </c>
      <c r="K13" s="521"/>
      <c r="L13" s="510"/>
      <c r="N13" s="508" t="s">
        <v>250</v>
      </c>
      <c r="O13" s="508" t="s">
        <v>312</v>
      </c>
    </row>
    <row r="14" spans="1:15" ht="55.5" customHeight="1" x14ac:dyDescent="0.35">
      <c r="B14" s="507"/>
      <c r="C14" s="507"/>
      <c r="D14" s="507"/>
      <c r="E14" s="48"/>
      <c r="F14" s="10" t="s">
        <v>214</v>
      </c>
      <c r="G14" s="150" t="s">
        <v>491</v>
      </c>
      <c r="H14" s="150" t="s">
        <v>215</v>
      </c>
      <c r="I14" s="100"/>
      <c r="J14" s="150" t="s">
        <v>214</v>
      </c>
      <c r="K14" s="150" t="s">
        <v>491</v>
      </c>
      <c r="L14" s="10" t="s">
        <v>215</v>
      </c>
      <c r="M14" s="48"/>
      <c r="N14" s="508"/>
      <c r="O14" s="508"/>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14"/>
      <c r="C16" s="514"/>
      <c r="D16" s="514"/>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11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11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820</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19:D19"/>
    <mergeCell ref="B15:D15"/>
    <mergeCell ref="B16:D16"/>
    <mergeCell ref="B17:D17"/>
    <mergeCell ref="B38:D38"/>
    <mergeCell ref="B27:D27"/>
    <mergeCell ref="B28:D28"/>
    <mergeCell ref="B29:D29"/>
    <mergeCell ref="B30:D30"/>
    <mergeCell ref="B31:D31"/>
    <mergeCell ref="B32:D32"/>
    <mergeCell ref="B33:D33"/>
    <mergeCell ref="B34:D34"/>
    <mergeCell ref="B35:D35"/>
    <mergeCell ref="B36:D36"/>
    <mergeCell ref="B37:D37"/>
    <mergeCell ref="B26:D26"/>
    <mergeCell ref="B20:D20"/>
    <mergeCell ref="B21:D21"/>
    <mergeCell ref="B22:D22"/>
    <mergeCell ref="B23:D23"/>
    <mergeCell ref="B24:D24"/>
    <mergeCell ref="B25:D25"/>
    <mergeCell ref="B18:D18"/>
    <mergeCell ref="O13:O14"/>
    <mergeCell ref="B12:D12"/>
    <mergeCell ref="B13:D14"/>
    <mergeCell ref="F13:H13"/>
    <mergeCell ref="J13:L13"/>
    <mergeCell ref="N13:N1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9">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6.7265625" customWidth="1"/>
    <col min="4" max="4" width="24.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824</v>
      </c>
      <c r="B3" s="5"/>
      <c r="C3" s="5"/>
      <c r="D3" s="5"/>
      <c r="E3" s="5"/>
      <c r="F3" s="5"/>
      <c r="G3" s="5"/>
      <c r="H3" s="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822</v>
      </c>
      <c r="C8" s="1"/>
      <c r="F8" s="118" t="s">
        <v>177</v>
      </c>
      <c r="G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07" t="s">
        <v>255</v>
      </c>
      <c r="C13" s="507"/>
      <c r="D13" s="507"/>
      <c r="F13" s="509" t="s">
        <v>261</v>
      </c>
      <c r="G13" s="521"/>
      <c r="H13" s="510"/>
      <c r="J13" s="509" t="s">
        <v>262</v>
      </c>
      <c r="K13" s="521"/>
      <c r="L13" s="510"/>
      <c r="N13" s="508" t="s">
        <v>250</v>
      </c>
      <c r="O13" s="508" t="s">
        <v>312</v>
      </c>
    </row>
    <row r="14" spans="1:15" ht="55.5" customHeight="1" x14ac:dyDescent="0.35">
      <c r="B14" s="507"/>
      <c r="C14" s="507"/>
      <c r="D14" s="507"/>
      <c r="E14" s="48"/>
      <c r="F14" s="10" t="s">
        <v>214</v>
      </c>
      <c r="G14" s="150" t="s">
        <v>491</v>
      </c>
      <c r="H14" s="150" t="s">
        <v>215</v>
      </c>
      <c r="I14" s="100"/>
      <c r="J14" s="150" t="s">
        <v>214</v>
      </c>
      <c r="K14" s="150" t="s">
        <v>491</v>
      </c>
      <c r="L14" s="10" t="s">
        <v>215</v>
      </c>
      <c r="M14" s="48"/>
      <c r="N14" s="508"/>
      <c r="O14" s="508"/>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14"/>
      <c r="C16" s="514"/>
      <c r="D16" s="514"/>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11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11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SUM(J69:K69)</f>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823</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6:D26"/>
    <mergeCell ref="B25:D25"/>
    <mergeCell ref="B19:D19"/>
    <mergeCell ref="B15:D15"/>
    <mergeCell ref="B16:D16"/>
    <mergeCell ref="B17:D17"/>
    <mergeCell ref="B24:D24"/>
    <mergeCell ref="B18:D18"/>
    <mergeCell ref="B20:D20"/>
    <mergeCell ref="B21:D21"/>
    <mergeCell ref="B22:D22"/>
    <mergeCell ref="B23:D23"/>
    <mergeCell ref="O13:O14"/>
    <mergeCell ref="B12:D12"/>
    <mergeCell ref="B13:D14"/>
    <mergeCell ref="F13:H13"/>
    <mergeCell ref="J13:L13"/>
    <mergeCell ref="N13:N1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0">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23.1796875" customWidth="1"/>
    <col min="3" max="3" width="26.7265625" customWidth="1"/>
    <col min="4" max="4" width="21.816406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827</v>
      </c>
      <c r="B3" s="5"/>
      <c r="C3" s="5"/>
      <c r="D3" s="5"/>
      <c r="E3" s="5"/>
      <c r="F3" s="5"/>
      <c r="G3" s="5"/>
      <c r="H3" s="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825</v>
      </c>
      <c r="C8" s="1"/>
      <c r="F8" s="118" t="s">
        <v>177</v>
      </c>
      <c r="G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07" t="s">
        <v>255</v>
      </c>
      <c r="C13" s="507"/>
      <c r="D13" s="507"/>
      <c r="F13" s="509" t="s">
        <v>261</v>
      </c>
      <c r="G13" s="521"/>
      <c r="H13" s="510"/>
      <c r="J13" s="509" t="s">
        <v>262</v>
      </c>
      <c r="K13" s="521"/>
      <c r="L13" s="510"/>
      <c r="N13" s="508" t="s">
        <v>250</v>
      </c>
      <c r="O13" s="508" t="s">
        <v>312</v>
      </c>
    </row>
    <row r="14" spans="1:15" ht="55.5" customHeight="1" x14ac:dyDescent="0.35">
      <c r="B14" s="507"/>
      <c r="C14" s="507"/>
      <c r="D14" s="507"/>
      <c r="E14" s="48"/>
      <c r="F14" s="10" t="s">
        <v>214</v>
      </c>
      <c r="G14" s="150" t="s">
        <v>491</v>
      </c>
      <c r="H14" s="150" t="s">
        <v>215</v>
      </c>
      <c r="I14" s="100"/>
      <c r="J14" s="150" t="s">
        <v>214</v>
      </c>
      <c r="K14" s="150" t="s">
        <v>491</v>
      </c>
      <c r="L14" s="10" t="s">
        <v>215</v>
      </c>
      <c r="M14" s="48"/>
      <c r="N14" s="508"/>
      <c r="O14" s="508"/>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14"/>
      <c r="C16" s="514"/>
      <c r="D16" s="514"/>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11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11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826</v>
      </c>
      <c r="F75" s="75">
        <f>H73+L73</f>
        <v>0</v>
      </c>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6:D26"/>
    <mergeCell ref="B22:D22"/>
    <mergeCell ref="B23:D23"/>
    <mergeCell ref="B24:D24"/>
    <mergeCell ref="B25:D25"/>
    <mergeCell ref="B18:D18"/>
    <mergeCell ref="B20:D20"/>
    <mergeCell ref="B21:D21"/>
    <mergeCell ref="O13:O14"/>
    <mergeCell ref="B12:D12"/>
    <mergeCell ref="B13:D14"/>
    <mergeCell ref="F13:H13"/>
    <mergeCell ref="J13:L13"/>
    <mergeCell ref="N13:N14"/>
    <mergeCell ref="B19:D19"/>
    <mergeCell ref="B15:D15"/>
    <mergeCell ref="B16:D16"/>
    <mergeCell ref="B17:D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8971D"/>
  </sheetPr>
  <dimension ref="A1:S104"/>
  <sheetViews>
    <sheetView workbookViewId="0">
      <selection activeCell="G100" sqref="G100"/>
    </sheetView>
  </sheetViews>
  <sheetFormatPr defaultColWidth="9.1796875" defaultRowHeight="14.5" x14ac:dyDescent="0.35"/>
  <cols>
    <col min="2" max="2" width="15.81640625" customWidth="1"/>
    <col min="3" max="3" width="43.81640625" customWidth="1"/>
    <col min="4" max="4" width="12.26953125" customWidth="1"/>
    <col min="5" max="10" width="20.26953125" customWidth="1"/>
    <col min="11" max="11" width="3" customWidth="1"/>
    <col min="12" max="12" width="9.1796875" customWidth="1"/>
    <col min="13" max="13" width="33.26953125" style="48" customWidth="1"/>
    <col min="14" max="14" width="30.26953125" customWidth="1"/>
    <col min="15" max="15" width="23.54296875" customWidth="1"/>
  </cols>
  <sheetData>
    <row r="1" spans="1:19" ht="26" x14ac:dyDescent="0.6">
      <c r="A1" s="3" t="s">
        <v>774</v>
      </c>
    </row>
    <row r="2" spans="1:19" ht="21" x14ac:dyDescent="0.5">
      <c r="A2" s="2" t="s">
        <v>772</v>
      </c>
      <c r="N2" s="40"/>
      <c r="O2" s="40"/>
      <c r="P2" s="40"/>
      <c r="Q2" s="40"/>
      <c r="R2" s="40"/>
      <c r="S2" s="40"/>
    </row>
    <row r="3" spans="1:19" ht="25" customHeight="1" x14ac:dyDescent="0.5">
      <c r="A3" s="5" t="s">
        <v>669</v>
      </c>
      <c r="M3" s="129"/>
      <c r="N3" s="129"/>
      <c r="O3" s="129"/>
      <c r="P3" s="40"/>
      <c r="Q3" s="40"/>
      <c r="R3" s="40"/>
      <c r="S3" s="40"/>
    </row>
    <row r="4" spans="1:19" ht="25" customHeight="1" x14ac:dyDescent="0.5">
      <c r="A4" s="242" t="str">
        <f>Results!A4</f>
        <v>Final Adjustments</v>
      </c>
      <c r="M4" s="129"/>
      <c r="N4" s="129"/>
      <c r="O4" s="129"/>
      <c r="P4" s="40"/>
      <c r="Q4" s="40"/>
      <c r="R4" s="40"/>
      <c r="S4" s="40"/>
    </row>
    <row r="5" spans="1:19" x14ac:dyDescent="0.35">
      <c r="F5" s="36"/>
      <c r="M5" s="40"/>
      <c r="N5" s="40"/>
      <c r="O5" s="40"/>
      <c r="P5" s="40"/>
      <c r="Q5" s="40"/>
      <c r="R5" s="40"/>
      <c r="S5" s="40"/>
    </row>
    <row r="6" spans="1:19" x14ac:dyDescent="0.35">
      <c r="A6" s="1" t="s">
        <v>773</v>
      </c>
      <c r="C6" s="416" t="str">
        <f>Results!$C$6</f>
        <v>AllHealth Network</v>
      </c>
      <c r="F6" s="48"/>
      <c r="M6" s="40"/>
      <c r="N6" s="40"/>
      <c r="O6" s="40"/>
      <c r="P6" s="40"/>
      <c r="Q6" s="40"/>
      <c r="R6" s="40"/>
      <c r="S6" s="40"/>
    </row>
    <row r="7" spans="1:19" x14ac:dyDescent="0.35">
      <c r="A7" s="1" t="s">
        <v>0</v>
      </c>
      <c r="C7" s="35">
        <f>Results!$C$7</f>
        <v>45473</v>
      </c>
      <c r="F7" s="40"/>
      <c r="M7" s="40"/>
      <c r="N7" s="40"/>
      <c r="O7" s="40"/>
      <c r="P7" s="40"/>
      <c r="Q7" s="40"/>
      <c r="R7" s="40"/>
      <c r="S7" s="40"/>
    </row>
    <row r="8" spans="1:19" s="1" customFormat="1" x14ac:dyDescent="0.35">
      <c r="E8"/>
      <c r="F8"/>
      <c r="G8" s="48"/>
      <c r="H8"/>
      <c r="M8" s="40"/>
      <c r="N8" s="40"/>
      <c r="O8" s="40"/>
      <c r="P8" s="40"/>
      <c r="Q8" s="40"/>
      <c r="R8" s="40"/>
      <c r="S8" s="40"/>
    </row>
    <row r="9" spans="1:19" x14ac:dyDescent="0.35">
      <c r="D9" s="23">
        <v>1</v>
      </c>
      <c r="E9" s="23">
        <v>2</v>
      </c>
      <c r="F9" s="23">
        <v>3</v>
      </c>
      <c r="G9" s="23">
        <v>4</v>
      </c>
      <c r="H9" s="23">
        <v>5</v>
      </c>
      <c r="I9" s="23">
        <v>6</v>
      </c>
      <c r="J9" s="23">
        <v>7</v>
      </c>
      <c r="M9" s="40"/>
      <c r="N9" s="40"/>
      <c r="O9" s="40"/>
      <c r="P9" s="40"/>
      <c r="Q9" s="40"/>
      <c r="R9" s="40"/>
      <c r="S9" s="40"/>
    </row>
    <row r="10" spans="1:19" s="6" customFormat="1" ht="116" x14ac:dyDescent="0.35">
      <c r="A10" s="97"/>
      <c r="B10" s="481" t="s">
        <v>1</v>
      </c>
      <c r="C10" s="481"/>
      <c r="D10" s="150" t="s">
        <v>670</v>
      </c>
      <c r="E10" s="150" t="s">
        <v>671</v>
      </c>
      <c r="F10" s="150" t="s">
        <v>672</v>
      </c>
      <c r="G10" s="150" t="s">
        <v>779</v>
      </c>
      <c r="H10" s="150" t="s">
        <v>673</v>
      </c>
      <c r="I10" s="150" t="s">
        <v>674</v>
      </c>
      <c r="J10" s="150" t="s">
        <v>675</v>
      </c>
      <c r="M10" s="128"/>
      <c r="N10" s="128"/>
      <c r="O10" s="128"/>
      <c r="P10" s="128"/>
      <c r="Q10" s="128"/>
      <c r="R10" s="128"/>
      <c r="S10" s="128"/>
    </row>
    <row r="11" spans="1:19" s="6" customFormat="1" x14ac:dyDescent="0.35">
      <c r="A11" s="97"/>
      <c r="B11" s="151"/>
      <c r="C11" s="152"/>
      <c r="D11" s="153"/>
      <c r="E11" s="153"/>
      <c r="F11" s="153"/>
      <c r="G11" s="153"/>
      <c r="H11" s="153"/>
      <c r="I11" s="153"/>
      <c r="J11" s="153"/>
      <c r="M11" s="128"/>
      <c r="N11" s="128"/>
      <c r="O11" s="128"/>
      <c r="P11" s="128"/>
      <c r="Q11" s="128"/>
      <c r="R11" s="128"/>
      <c r="S11" s="128"/>
    </row>
    <row r="12" spans="1:19" s="22" customFormat="1" x14ac:dyDescent="0.35">
      <c r="A12" s="482" t="s">
        <v>280</v>
      </c>
      <c r="B12" s="483"/>
      <c r="C12" s="483"/>
      <c r="D12" s="483"/>
      <c r="E12" s="483"/>
      <c r="F12" s="483"/>
      <c r="G12" s="483"/>
      <c r="H12" s="483"/>
      <c r="I12" s="483"/>
      <c r="J12" s="484"/>
      <c r="M12" s="127"/>
      <c r="N12" s="127"/>
      <c r="O12" s="127"/>
      <c r="P12" s="127"/>
      <c r="Q12" s="127"/>
      <c r="R12" s="127"/>
      <c r="S12" s="127"/>
    </row>
    <row r="13" spans="1:19" s="22" customFormat="1" x14ac:dyDescent="0.35">
      <c r="A13" s="154">
        <v>1</v>
      </c>
      <c r="B13" s="485" t="s">
        <v>458</v>
      </c>
      <c r="C13" s="486"/>
      <c r="D13" s="155">
        <f>'Schedule 1 Adjustments'!F13</f>
        <v>25.33</v>
      </c>
      <c r="E13" s="156">
        <f>'Schedule 1 Adjustments'!I13</f>
        <v>0</v>
      </c>
      <c r="F13" s="156">
        <f>'Schedule 1 Adjustments'!L13</f>
        <v>1446683</v>
      </c>
      <c r="G13" s="156">
        <f>'Schedule 1 Adjustments'!O13</f>
        <v>218146</v>
      </c>
      <c r="H13" s="156">
        <f>'Schedule 1 Adjustments'!R13</f>
        <v>7679</v>
      </c>
      <c r="I13" s="156">
        <f>'Schedule 1 Adjustments'!U13</f>
        <v>0</v>
      </c>
      <c r="J13" s="157">
        <f t="shared" ref="J13:J16" si="0">SUM(E13:I13)</f>
        <v>1672508</v>
      </c>
      <c r="M13" s="139"/>
    </row>
    <row r="14" spans="1:19" s="22" customFormat="1" x14ac:dyDescent="0.35">
      <c r="A14" s="154">
        <v>2</v>
      </c>
      <c r="B14" s="485" t="s">
        <v>291</v>
      </c>
      <c r="C14" s="486"/>
      <c r="D14" s="155">
        <f>'Schedule 1 Adjustments'!F14</f>
        <v>321.56</v>
      </c>
      <c r="E14" s="156">
        <f>'Schedule 1 Adjustments'!I14</f>
        <v>240</v>
      </c>
      <c r="F14" s="156">
        <f>'Schedule 1 Adjustments'!L14</f>
        <v>15523918</v>
      </c>
      <c r="G14" s="156">
        <f>'Schedule 1 Adjustments'!O14</f>
        <v>4491566</v>
      </c>
      <c r="H14" s="156">
        <f>'Schedule 1 Adjustments'!R14</f>
        <v>1217289</v>
      </c>
      <c r="I14" s="156">
        <f>'Schedule 1 Adjustments'!U14</f>
        <v>0</v>
      </c>
      <c r="J14" s="157">
        <f t="shared" si="0"/>
        <v>21233013</v>
      </c>
      <c r="M14" s="139"/>
    </row>
    <row r="15" spans="1:19" s="22" customFormat="1" x14ac:dyDescent="0.35">
      <c r="A15" s="154">
        <v>3</v>
      </c>
      <c r="B15" s="485" t="s">
        <v>301</v>
      </c>
      <c r="C15" s="486"/>
      <c r="D15" s="155">
        <f>'Schedule 1 Adjustments'!F15</f>
        <v>79.95</v>
      </c>
      <c r="E15" s="156">
        <f>'Schedule 1 Adjustments'!I15</f>
        <v>502807</v>
      </c>
      <c r="F15" s="156">
        <f>'Schedule 1 Adjustments'!L15</f>
        <v>4024001</v>
      </c>
      <c r="G15" s="156">
        <f>'Schedule 1 Adjustments'!O15</f>
        <v>387801</v>
      </c>
      <c r="H15" s="156">
        <f>'Schedule 1 Adjustments'!R15</f>
        <v>349613</v>
      </c>
      <c r="I15" s="156">
        <f>'Schedule 1 Adjustments'!U15</f>
        <v>0</v>
      </c>
      <c r="J15" s="157">
        <f t="shared" si="0"/>
        <v>5264222</v>
      </c>
      <c r="M15" s="139"/>
    </row>
    <row r="16" spans="1:19" s="22" customFormat="1" x14ac:dyDescent="0.35">
      <c r="A16" s="154">
        <v>4</v>
      </c>
      <c r="B16" s="479" t="s">
        <v>290</v>
      </c>
      <c r="C16" s="480"/>
      <c r="D16" s="158">
        <f t="shared" ref="D16:I16" si="1">SUM(D13:D15)</f>
        <v>426.84</v>
      </c>
      <c r="E16" s="159">
        <f t="shared" si="1"/>
        <v>503047</v>
      </c>
      <c r="F16" s="159">
        <f t="shared" si="1"/>
        <v>20994602</v>
      </c>
      <c r="G16" s="159">
        <f t="shared" si="1"/>
        <v>5097513</v>
      </c>
      <c r="H16" s="159">
        <f t="shared" si="1"/>
        <v>1574581</v>
      </c>
      <c r="I16" s="159">
        <f t="shared" si="1"/>
        <v>0</v>
      </c>
      <c r="J16" s="159">
        <f t="shared" si="0"/>
        <v>28169743</v>
      </c>
      <c r="M16" s="139"/>
    </row>
    <row r="17" spans="1:13" s="22" customFormat="1" x14ac:dyDescent="0.35">
      <c r="A17" s="160"/>
      <c r="B17" s="161"/>
      <c r="C17" s="161"/>
      <c r="D17" s="162"/>
      <c r="E17" s="163"/>
      <c r="F17" s="163"/>
      <c r="G17" s="163"/>
      <c r="H17" s="163"/>
      <c r="I17" s="163"/>
      <c r="J17" s="163"/>
      <c r="M17" s="139"/>
    </row>
    <row r="18" spans="1:13" s="22" customFormat="1" x14ac:dyDescent="0.35">
      <c r="A18" s="482" t="s">
        <v>281</v>
      </c>
      <c r="B18" s="483"/>
      <c r="C18" s="483"/>
      <c r="D18" s="483"/>
      <c r="E18" s="483"/>
      <c r="F18" s="483"/>
      <c r="G18" s="483"/>
      <c r="H18" s="483"/>
      <c r="I18" s="483"/>
      <c r="J18" s="484"/>
      <c r="M18" s="139"/>
    </row>
    <row r="19" spans="1:13" s="22" customFormat="1" x14ac:dyDescent="0.35">
      <c r="A19" s="154">
        <v>5</v>
      </c>
      <c r="B19" s="485" t="s">
        <v>221</v>
      </c>
      <c r="C19" s="486"/>
      <c r="D19" s="155">
        <f>'Schedule 1 Adjustments'!F19</f>
        <v>5</v>
      </c>
      <c r="E19" s="156">
        <f>'Schedule 1 Adjustments'!I19</f>
        <v>0</v>
      </c>
      <c r="F19" s="156">
        <f>'Schedule 1 Adjustments'!L19</f>
        <v>0</v>
      </c>
      <c r="G19" s="156">
        <f>'Schedule 1 Adjustments'!O19</f>
        <v>0</v>
      </c>
      <c r="H19" s="156">
        <f>'Schedule 1 Adjustments'!R19</f>
        <v>0</v>
      </c>
      <c r="I19" s="156">
        <f>'Schedule 1 Adjustments'!U19</f>
        <v>0</v>
      </c>
      <c r="J19" s="157">
        <f>SUM(E19:I19)</f>
        <v>0</v>
      </c>
      <c r="M19" s="139"/>
    </row>
    <row r="20" spans="1:13" s="22" customFormat="1" x14ac:dyDescent="0.35">
      <c r="A20" s="154">
        <v>6</v>
      </c>
      <c r="B20" s="485" t="s">
        <v>293</v>
      </c>
      <c r="C20" s="486"/>
      <c r="D20" s="155">
        <f>'Schedule 1 Adjustments'!F20</f>
        <v>76.150000000000006</v>
      </c>
      <c r="E20" s="156">
        <f>'Schedule 1 Adjustments'!I20</f>
        <v>9331538</v>
      </c>
      <c r="F20" s="156">
        <f>'Schedule 1 Adjustments'!L20</f>
        <v>1451406</v>
      </c>
      <c r="G20" s="156">
        <f>'Schedule 1 Adjustments'!O20</f>
        <v>685715</v>
      </c>
      <c r="H20" s="156">
        <f>'Schedule 1 Adjustments'!R20</f>
        <v>1395287</v>
      </c>
      <c r="I20" s="156">
        <f>'Schedule 1 Adjustments'!U20</f>
        <v>0</v>
      </c>
      <c r="J20" s="157">
        <f>SUM(E20:I20)</f>
        <v>12863946</v>
      </c>
      <c r="M20" s="139"/>
    </row>
    <row r="21" spans="1:13" s="22" customFormat="1" x14ac:dyDescent="0.35">
      <c r="A21" s="154">
        <v>7</v>
      </c>
      <c r="B21" s="479" t="s">
        <v>220</v>
      </c>
      <c r="C21" s="480"/>
      <c r="D21" s="158">
        <f t="shared" ref="D21:I21" si="2">SUM(D19:D20)</f>
        <v>81.150000000000006</v>
      </c>
      <c r="E21" s="159">
        <f t="shared" si="2"/>
        <v>9331538</v>
      </c>
      <c r="F21" s="159">
        <f t="shared" si="2"/>
        <v>1451406</v>
      </c>
      <c r="G21" s="159">
        <f t="shared" si="2"/>
        <v>685715</v>
      </c>
      <c r="H21" s="159">
        <f t="shared" si="2"/>
        <v>1395287</v>
      </c>
      <c r="I21" s="159">
        <f t="shared" si="2"/>
        <v>0</v>
      </c>
      <c r="J21" s="159">
        <f>SUM(E21:I21)</f>
        <v>12863946</v>
      </c>
      <c r="M21" s="139"/>
    </row>
    <row r="22" spans="1:13" s="22" customFormat="1" x14ac:dyDescent="0.35">
      <c r="A22" s="160"/>
      <c r="B22" s="161"/>
      <c r="C22" s="161"/>
      <c r="D22" s="162"/>
      <c r="E22" s="163"/>
      <c r="F22" s="163"/>
      <c r="G22" s="163"/>
      <c r="H22" s="163"/>
      <c r="I22" s="163"/>
      <c r="J22" s="163"/>
      <c r="M22" s="139"/>
    </row>
    <row r="23" spans="1:13" s="22" customFormat="1" x14ac:dyDescent="0.35">
      <c r="A23" s="482" t="s">
        <v>275</v>
      </c>
      <c r="B23" s="483"/>
      <c r="C23" s="483"/>
      <c r="D23" s="483"/>
      <c r="E23" s="483"/>
      <c r="F23" s="483"/>
      <c r="G23" s="483"/>
      <c r="H23" s="483"/>
      <c r="I23" s="483"/>
      <c r="J23" s="484"/>
      <c r="M23" s="139"/>
    </row>
    <row r="24" spans="1:13" s="22" customFormat="1" x14ac:dyDescent="0.35">
      <c r="A24" s="154">
        <v>8</v>
      </c>
      <c r="B24" s="485" t="s">
        <v>276</v>
      </c>
      <c r="C24" s="488"/>
      <c r="D24" s="486"/>
      <c r="E24" s="164">
        <f>'Schedule 1 Adjustments'!I24</f>
        <v>-181733</v>
      </c>
      <c r="F24" s="164">
        <f>'Schedule 1 Adjustments'!L24</f>
        <v>0</v>
      </c>
      <c r="G24" s="164">
        <f>'Schedule 1 Adjustments'!O24</f>
        <v>0</v>
      </c>
      <c r="H24" s="164">
        <f>'Schedule 1 Adjustments'!R24</f>
        <v>0</v>
      </c>
      <c r="I24" s="164">
        <f>-SUM(E24:H24)</f>
        <v>181733</v>
      </c>
      <c r="J24" s="157">
        <f>SUM(E24:I24)</f>
        <v>0</v>
      </c>
      <c r="M24" s="139"/>
    </row>
    <row r="25" spans="1:13" s="22" customFormat="1" x14ac:dyDescent="0.35">
      <c r="A25" s="154">
        <v>9</v>
      </c>
      <c r="B25" s="479" t="s">
        <v>222</v>
      </c>
      <c r="C25" s="487"/>
      <c r="D25" s="480"/>
      <c r="E25" s="159">
        <f>SUM(E24:E24)</f>
        <v>-181733</v>
      </c>
      <c r="F25" s="159">
        <f>SUM(F24:F24)</f>
        <v>0</v>
      </c>
      <c r="G25" s="159">
        <f>SUM(G24:G24)</f>
        <v>0</v>
      </c>
      <c r="H25" s="159">
        <f>SUM(H24:H24)</f>
        <v>0</v>
      </c>
      <c r="I25" s="159">
        <f>SUM(I24:I24)</f>
        <v>181733</v>
      </c>
      <c r="J25" s="159">
        <f>SUM(E25:I25)</f>
        <v>0</v>
      </c>
      <c r="M25" s="139"/>
    </row>
    <row r="26" spans="1:13" s="22" customFormat="1" x14ac:dyDescent="0.35">
      <c r="A26" s="160"/>
      <c r="B26" s="161"/>
      <c r="C26" s="161"/>
      <c r="D26" s="162"/>
      <c r="E26" s="163"/>
      <c r="F26" s="163"/>
      <c r="G26" s="163"/>
      <c r="H26" s="163"/>
      <c r="I26" s="163"/>
      <c r="J26" s="163"/>
      <c r="M26" s="139"/>
    </row>
    <row r="27" spans="1:13" s="22" customFormat="1" x14ac:dyDescent="0.35">
      <c r="A27" s="482" t="s">
        <v>235</v>
      </c>
      <c r="B27" s="483"/>
      <c r="C27" s="483"/>
      <c r="D27" s="483"/>
      <c r="E27" s="483"/>
      <c r="F27" s="483"/>
      <c r="G27" s="483"/>
      <c r="H27" s="483"/>
      <c r="I27" s="483"/>
      <c r="J27" s="484"/>
      <c r="M27" s="139"/>
    </row>
    <row r="28" spans="1:13" s="22" customFormat="1" x14ac:dyDescent="0.35">
      <c r="A28" s="154">
        <v>10</v>
      </c>
      <c r="B28" s="485" t="s">
        <v>224</v>
      </c>
      <c r="C28" s="488"/>
      <c r="D28" s="486"/>
      <c r="E28" s="156">
        <f>'Schedule 1 Adjustments'!I28</f>
        <v>152659</v>
      </c>
      <c r="F28" s="156">
        <f>'Schedule 1 Adjustments'!L28</f>
        <v>0</v>
      </c>
      <c r="G28" s="156">
        <f>'Schedule 1 Adjustments'!O28</f>
        <v>16940</v>
      </c>
      <c r="H28" s="156">
        <f>'Schedule 1 Adjustments'!R28</f>
        <v>0</v>
      </c>
      <c r="I28" s="156">
        <f>'Schedule 1 Adjustments'!U28</f>
        <v>0</v>
      </c>
      <c r="J28" s="157">
        <f>SUM(E28:I28)</f>
        <v>169599</v>
      </c>
      <c r="M28" s="139"/>
    </row>
    <row r="29" spans="1:13" s="22" customFormat="1" x14ac:dyDescent="0.35">
      <c r="A29" s="154">
        <v>11</v>
      </c>
      <c r="B29" s="172" t="s">
        <v>223</v>
      </c>
      <c r="C29" s="166"/>
      <c r="D29" s="167"/>
      <c r="E29" s="156">
        <f>'Schedule 1 Adjustments'!I29</f>
        <v>1994737</v>
      </c>
      <c r="F29" s="156">
        <f>'Schedule 1 Adjustments'!L29</f>
        <v>4403645</v>
      </c>
      <c r="G29" s="156">
        <f>'Schedule 1 Adjustments'!O29</f>
        <v>847864</v>
      </c>
      <c r="H29" s="156">
        <f>'Schedule 1 Adjustments'!R29</f>
        <v>589000</v>
      </c>
      <c r="I29" s="156">
        <f>'Schedule 1 Adjustments'!U29</f>
        <v>0</v>
      </c>
      <c r="J29" s="157">
        <f>SUM(E29:I29)</f>
        <v>7835246</v>
      </c>
      <c r="K29" s="127"/>
      <c r="M29" s="139"/>
    </row>
    <row r="30" spans="1:13" s="22" customFormat="1" x14ac:dyDescent="0.35">
      <c r="A30" s="154">
        <v>12</v>
      </c>
      <c r="B30" s="485" t="s">
        <v>300</v>
      </c>
      <c r="C30" s="488"/>
      <c r="D30" s="486"/>
      <c r="E30" s="156">
        <f>'Schedule 1 Adjustments'!I30</f>
        <v>79253</v>
      </c>
      <c r="F30" s="156">
        <f>'Schedule 1 Adjustments'!L30</f>
        <v>53534</v>
      </c>
      <c r="G30" s="156">
        <f>'Schedule 1 Adjustments'!O30</f>
        <v>6604</v>
      </c>
      <c r="H30" s="156">
        <f>'Schedule 1 Adjustments'!R30</f>
        <v>9258</v>
      </c>
      <c r="I30" s="156">
        <f>'Schedule 1 Adjustments'!U30</f>
        <v>0</v>
      </c>
      <c r="J30" s="157">
        <f t="shared" ref="J30" si="3">SUM(E30:I30)</f>
        <v>148649</v>
      </c>
      <c r="M30" s="139"/>
    </row>
    <row r="31" spans="1:13" s="22" customFormat="1" x14ac:dyDescent="0.35">
      <c r="A31" s="154">
        <v>13</v>
      </c>
      <c r="B31" s="479" t="s">
        <v>225</v>
      </c>
      <c r="C31" s="487"/>
      <c r="D31" s="480"/>
      <c r="E31" s="159">
        <f>SUM(E28:E30)</f>
        <v>2226649</v>
      </c>
      <c r="F31" s="159">
        <f>SUM(F28:F30)</f>
        <v>4457179</v>
      </c>
      <c r="G31" s="159">
        <f>SUM(G28:G30)</f>
        <v>871408</v>
      </c>
      <c r="H31" s="159">
        <f>SUM(H28:H30)</f>
        <v>598258</v>
      </c>
      <c r="I31" s="159">
        <f>SUM(I28:I30)</f>
        <v>0</v>
      </c>
      <c r="J31" s="159">
        <f>SUM(E31:I31)</f>
        <v>8153494</v>
      </c>
      <c r="M31" s="139"/>
    </row>
    <row r="32" spans="1:13" s="22" customFormat="1" x14ac:dyDescent="0.35">
      <c r="A32" s="160"/>
      <c r="B32" s="161"/>
      <c r="C32" s="161"/>
      <c r="D32" s="162"/>
      <c r="E32" s="163"/>
      <c r="F32" s="163"/>
      <c r="G32" s="163"/>
      <c r="H32" s="163"/>
      <c r="I32" s="163"/>
      <c r="J32" s="163"/>
      <c r="M32" s="139"/>
    </row>
    <row r="33" spans="1:13" s="22" customFormat="1" x14ac:dyDescent="0.35">
      <c r="A33" s="154">
        <v>14</v>
      </c>
      <c r="B33" s="479" t="s">
        <v>228</v>
      </c>
      <c r="C33" s="487"/>
      <c r="D33" s="480"/>
      <c r="E33" s="159">
        <f>E31+E25+E21+E16</f>
        <v>11879501</v>
      </c>
      <c r="F33" s="159">
        <f>F31+F25+F21+F16</f>
        <v>26903187</v>
      </c>
      <c r="G33" s="159">
        <f>G31+G25+G21+G16</f>
        <v>6654636</v>
      </c>
      <c r="H33" s="159">
        <f>H31+H25+H21+H16</f>
        <v>3568126</v>
      </c>
      <c r="I33" s="159">
        <f>I31+I25+I21+I16</f>
        <v>181733</v>
      </c>
      <c r="J33" s="159">
        <f t="shared" ref="J33" si="4">SUM(E33:I33)</f>
        <v>49187183</v>
      </c>
      <c r="M33" s="139"/>
    </row>
    <row r="34" spans="1:13" s="22" customFormat="1" x14ac:dyDescent="0.35">
      <c r="A34" s="160"/>
      <c r="B34" s="161"/>
      <c r="C34" s="161"/>
      <c r="D34" s="162"/>
      <c r="E34" s="163"/>
      <c r="F34" s="163"/>
      <c r="G34" s="163"/>
      <c r="H34" s="163"/>
      <c r="I34" s="163"/>
      <c r="J34" s="163"/>
      <c r="M34" s="139"/>
    </row>
    <row r="35" spans="1:13" s="22" customFormat="1" x14ac:dyDescent="0.35">
      <c r="A35" s="482" t="s">
        <v>234</v>
      </c>
      <c r="B35" s="483"/>
      <c r="C35" s="483"/>
      <c r="D35" s="483"/>
      <c r="E35" s="483"/>
      <c r="F35" s="483"/>
      <c r="G35" s="483"/>
      <c r="H35" s="483"/>
      <c r="I35" s="483"/>
      <c r="J35" s="484"/>
      <c r="M35" s="139"/>
    </row>
    <row r="36" spans="1:13" s="22" customFormat="1" x14ac:dyDescent="0.35">
      <c r="A36" s="154">
        <v>15</v>
      </c>
      <c r="B36" s="485" t="s">
        <v>292</v>
      </c>
      <c r="C36" s="488"/>
      <c r="D36" s="486"/>
      <c r="E36" s="156">
        <f>'Schedule 1 Adjustments'!I36</f>
        <v>0</v>
      </c>
      <c r="F36" s="156">
        <f>'Schedule 1 Adjustments'!L36</f>
        <v>-80772</v>
      </c>
      <c r="G36" s="156">
        <f>'Schedule 1 Adjustments'!O36</f>
        <v>33555</v>
      </c>
      <c r="H36" s="156">
        <f>'Schedule 1 Adjustments'!R36</f>
        <v>47217</v>
      </c>
      <c r="I36" s="156">
        <f>'Schedule 1 Adjustments'!U36</f>
        <v>0</v>
      </c>
      <c r="J36" s="157">
        <f>SUM(E36:I36)</f>
        <v>0</v>
      </c>
      <c r="M36" s="139"/>
    </row>
    <row r="37" spans="1:13" s="22" customFormat="1" x14ac:dyDescent="0.35">
      <c r="A37" s="154">
        <v>16</v>
      </c>
      <c r="B37" s="485" t="s">
        <v>227</v>
      </c>
      <c r="C37" s="488"/>
      <c r="D37" s="486"/>
      <c r="E37" s="156">
        <f>'Schedule 1 Adjustments'!I37</f>
        <v>485820</v>
      </c>
      <c r="F37" s="156">
        <f>'Schedule 1 Adjustments'!L37</f>
        <v>0</v>
      </c>
      <c r="G37" s="156">
        <f>'Schedule 1 Adjustments'!O37</f>
        <v>0</v>
      </c>
      <c r="H37" s="156">
        <f>'Schedule 1 Adjustments'!R37</f>
        <v>12250</v>
      </c>
      <c r="I37" s="156">
        <f>'Schedule 1 Adjustments'!U37</f>
        <v>0</v>
      </c>
      <c r="J37" s="157">
        <f>SUM(E37:I37)</f>
        <v>498070</v>
      </c>
    </row>
    <row r="38" spans="1:13" s="22" customFormat="1" x14ac:dyDescent="0.35">
      <c r="A38" s="154">
        <v>17</v>
      </c>
      <c r="B38" s="172" t="s">
        <v>459</v>
      </c>
      <c r="C38" s="166"/>
      <c r="D38" s="167"/>
      <c r="E38" s="156">
        <f>'Schedule 1 Adjustments'!I38</f>
        <v>0</v>
      </c>
      <c r="F38" s="156">
        <f>'Schedule 1 Adjustments'!L38</f>
        <v>0</v>
      </c>
      <c r="G38" s="156">
        <f>'Schedule 1 Adjustments'!O38</f>
        <v>0</v>
      </c>
      <c r="H38" s="156">
        <f>'Schedule 1 Adjustments'!R38</f>
        <v>0</v>
      </c>
      <c r="I38" s="156">
        <f>'Schedule 1 Adjustments'!U38</f>
        <v>0</v>
      </c>
      <c r="J38" s="157">
        <f>SUM(E38:I38)</f>
        <v>0</v>
      </c>
      <c r="K38" s="127"/>
    </row>
    <row r="39" spans="1:13" s="22" customFormat="1" x14ac:dyDescent="0.35">
      <c r="A39" s="154">
        <v>18</v>
      </c>
      <c r="B39" s="479" t="s">
        <v>226</v>
      </c>
      <c r="C39" s="487"/>
      <c r="D39" s="480"/>
      <c r="E39" s="159">
        <f>SUM(E36:E38)</f>
        <v>485820</v>
      </c>
      <c r="F39" s="159">
        <f t="shared" ref="F39:I39" si="5">SUM(F36:F38)</f>
        <v>-80772</v>
      </c>
      <c r="G39" s="159">
        <f t="shared" si="5"/>
        <v>33555</v>
      </c>
      <c r="H39" s="159">
        <f t="shared" si="5"/>
        <v>59467</v>
      </c>
      <c r="I39" s="159">
        <f t="shared" si="5"/>
        <v>0</v>
      </c>
      <c r="J39" s="159">
        <f>SUM(E39:I39)</f>
        <v>498070</v>
      </c>
      <c r="M39" s="139"/>
    </row>
    <row r="40" spans="1:13" s="22" customFormat="1" x14ac:dyDescent="0.35">
      <c r="A40" s="160"/>
      <c r="B40" s="161"/>
      <c r="C40" s="161"/>
      <c r="D40" s="162"/>
      <c r="E40" s="163"/>
      <c r="F40" s="163"/>
      <c r="G40" s="163"/>
      <c r="H40" s="163"/>
      <c r="I40" s="163"/>
      <c r="J40" s="163"/>
      <c r="M40" s="139"/>
    </row>
    <row r="41" spans="1:13" s="22" customFormat="1" x14ac:dyDescent="0.35">
      <c r="A41" s="154">
        <v>19</v>
      </c>
      <c r="B41" s="479" t="s">
        <v>229</v>
      </c>
      <c r="C41" s="487"/>
      <c r="D41" s="480"/>
      <c r="E41" s="159">
        <f>E39+E33</f>
        <v>12365321</v>
      </c>
      <c r="F41" s="159">
        <f>F39+F33</f>
        <v>26822415</v>
      </c>
      <c r="G41" s="159">
        <f>G39+G33</f>
        <v>6688191</v>
      </c>
      <c r="H41" s="159">
        <f>H39+H33</f>
        <v>3627593</v>
      </c>
      <c r="I41" s="159">
        <f>I39+I33</f>
        <v>181733</v>
      </c>
      <c r="J41" s="159">
        <f>SUM(E41:I41)</f>
        <v>49685253</v>
      </c>
      <c r="M41" s="139"/>
    </row>
    <row r="42" spans="1:13" s="22" customFormat="1" x14ac:dyDescent="0.35">
      <c r="A42" s="160"/>
      <c r="B42" s="161"/>
      <c r="C42" s="161"/>
      <c r="D42" s="162"/>
      <c r="E42" s="163"/>
      <c r="F42" s="163"/>
      <c r="G42" s="163"/>
      <c r="H42" s="163"/>
      <c r="I42" s="163"/>
      <c r="J42" s="163"/>
      <c r="M42" s="139"/>
    </row>
    <row r="43" spans="1:13" s="22" customFormat="1" x14ac:dyDescent="0.35">
      <c r="A43" s="482" t="s">
        <v>487</v>
      </c>
      <c r="B43" s="483"/>
      <c r="C43" s="483"/>
      <c r="D43" s="483"/>
      <c r="E43" s="483"/>
      <c r="F43" s="483"/>
      <c r="G43" s="483"/>
      <c r="H43" s="483"/>
      <c r="I43" s="483"/>
      <c r="J43" s="484"/>
      <c r="M43" s="139"/>
    </row>
    <row r="44" spans="1:13" s="22" customFormat="1" x14ac:dyDescent="0.35">
      <c r="A44" s="154">
        <v>20</v>
      </c>
      <c r="B44" s="485" t="s">
        <v>283</v>
      </c>
      <c r="C44" s="488"/>
      <c r="D44" s="486"/>
      <c r="E44" s="156">
        <f>'Schedule 1 Adjustments'!I44</f>
        <v>0</v>
      </c>
      <c r="F44" s="156">
        <f>'Schedule 1 Adjustments'!L44</f>
        <v>0</v>
      </c>
      <c r="G44" s="156">
        <f>'Schedule 1 Adjustments'!O44</f>
        <v>0</v>
      </c>
      <c r="H44" s="156">
        <f>'Schedule 1 Adjustments'!R44</f>
        <v>0</v>
      </c>
      <c r="I44" s="156">
        <f>'Schedule 1 Adjustments'!U44</f>
        <v>0</v>
      </c>
      <c r="J44" s="157">
        <f>SUM(E44:I44)</f>
        <v>0</v>
      </c>
      <c r="M44" s="139"/>
    </row>
    <row r="45" spans="1:13" s="22" customFormat="1" x14ac:dyDescent="0.35">
      <c r="A45" s="154">
        <v>21</v>
      </c>
      <c r="B45" s="485" t="s">
        <v>230</v>
      </c>
      <c r="C45" s="488"/>
      <c r="D45" s="486"/>
      <c r="E45" s="156">
        <f>'Schedule 1 Adjustments'!I45</f>
        <v>0</v>
      </c>
      <c r="F45" s="156">
        <f>'Schedule 1 Adjustments'!L45</f>
        <v>0</v>
      </c>
      <c r="G45" s="156">
        <f>'Schedule 1 Adjustments'!O45</f>
        <v>0</v>
      </c>
      <c r="H45" s="156">
        <f>'Schedule 1 Adjustments'!R45</f>
        <v>0</v>
      </c>
      <c r="I45" s="156">
        <f>'Schedule 1 Adjustments'!U45</f>
        <v>0</v>
      </c>
      <c r="J45" s="157">
        <f t="shared" ref="J45:J50" si="6">SUM(E45:I45)</f>
        <v>0</v>
      </c>
      <c r="M45" s="139"/>
    </row>
    <row r="46" spans="1:13" s="22" customFormat="1" x14ac:dyDescent="0.35">
      <c r="A46" s="154">
        <v>22</v>
      </c>
      <c r="B46" s="485" t="s">
        <v>288</v>
      </c>
      <c r="C46" s="488"/>
      <c r="D46" s="486"/>
      <c r="E46" s="156">
        <f>'Schedule 1 Adjustments'!I46</f>
        <v>58892</v>
      </c>
      <c r="F46" s="156">
        <f>'Schedule 1 Adjustments'!L46</f>
        <v>28133</v>
      </c>
      <c r="G46" s="156">
        <f>'Schedule 1 Adjustments'!O46</f>
        <v>167185</v>
      </c>
      <c r="H46" s="156">
        <f>'Schedule 1 Adjustments'!R46</f>
        <v>7775</v>
      </c>
      <c r="I46" s="156">
        <f>'Schedule 1 Adjustments'!U46</f>
        <v>0</v>
      </c>
      <c r="J46" s="157">
        <f t="shared" si="6"/>
        <v>261985</v>
      </c>
      <c r="M46" s="139"/>
    </row>
    <row r="47" spans="1:13" s="22" customFormat="1" x14ac:dyDescent="0.35">
      <c r="A47" s="154">
        <v>23</v>
      </c>
      <c r="B47" s="485" t="s">
        <v>284</v>
      </c>
      <c r="C47" s="488"/>
      <c r="D47" s="486"/>
      <c r="E47" s="156">
        <f>'Schedule 1 Adjustments'!I47</f>
        <v>0</v>
      </c>
      <c r="F47" s="156">
        <f>'Schedule 1 Adjustments'!L47</f>
        <v>0</v>
      </c>
      <c r="G47" s="156">
        <f>'Schedule 1 Adjustments'!O47</f>
        <v>0</v>
      </c>
      <c r="H47" s="156">
        <f>'Schedule 1 Adjustments'!R47</f>
        <v>0</v>
      </c>
      <c r="I47" s="156">
        <f>'Schedule 1 Adjustments'!U47</f>
        <v>0</v>
      </c>
      <c r="J47" s="157">
        <f t="shared" si="6"/>
        <v>0</v>
      </c>
      <c r="M47" s="139"/>
    </row>
    <row r="48" spans="1:13" s="22" customFormat="1" x14ac:dyDescent="0.35">
      <c r="A48" s="154">
        <v>24</v>
      </c>
      <c r="B48" s="485" t="s">
        <v>314</v>
      </c>
      <c r="C48" s="488"/>
      <c r="D48" s="486"/>
      <c r="E48" s="156">
        <f>'Schedule 1 Adjustments'!I48</f>
        <v>0</v>
      </c>
      <c r="F48" s="156">
        <f>'Schedule 1 Adjustments'!L48</f>
        <v>0</v>
      </c>
      <c r="G48" s="156">
        <f>'Schedule 1 Adjustments'!O48</f>
        <v>46979</v>
      </c>
      <c r="H48" s="156">
        <f>'Schedule 1 Adjustments'!R48</f>
        <v>11951633</v>
      </c>
      <c r="I48" s="156">
        <f>'Schedule 1 Adjustments'!U48</f>
        <v>0</v>
      </c>
      <c r="J48" s="157">
        <f t="shared" si="6"/>
        <v>11998612</v>
      </c>
      <c r="M48" s="139"/>
    </row>
    <row r="49" spans="1:13" s="22" customFormat="1" x14ac:dyDescent="0.35">
      <c r="A49" s="154">
        <v>25</v>
      </c>
      <c r="B49" s="485" t="s">
        <v>775</v>
      </c>
      <c r="C49" s="488"/>
      <c r="D49" s="486"/>
      <c r="E49" s="156">
        <f>'Schedule 1 Adjustments'!I49</f>
        <v>0</v>
      </c>
      <c r="F49" s="156">
        <f>'Schedule 1 Adjustments'!L49</f>
        <v>0</v>
      </c>
      <c r="G49" s="156">
        <f>'Schedule 1 Adjustments'!O49</f>
        <v>0</v>
      </c>
      <c r="H49" s="156">
        <f>'Schedule 1 Adjustments'!R49</f>
        <v>0</v>
      </c>
      <c r="I49" s="156">
        <f>'Schedule 1 Adjustments'!U49</f>
        <v>0</v>
      </c>
      <c r="J49" s="157">
        <f t="shared" ref="J49" si="7">SUM(E49:I49)</f>
        <v>0</v>
      </c>
      <c r="M49" s="139"/>
    </row>
    <row r="50" spans="1:13" s="22" customFormat="1" x14ac:dyDescent="0.35">
      <c r="A50" s="154">
        <v>26</v>
      </c>
      <c r="B50" s="485" t="s">
        <v>452</v>
      </c>
      <c r="C50" s="488"/>
      <c r="D50" s="486"/>
      <c r="E50" s="156">
        <f>'Schedule 1 Adjustments'!I50</f>
        <v>-7923</v>
      </c>
      <c r="F50" s="156">
        <f>'Schedule 1 Adjustments'!L50</f>
        <v>125845</v>
      </c>
      <c r="G50" s="156">
        <f>'Schedule 1 Adjustments'!O50</f>
        <v>33117</v>
      </c>
      <c r="H50" s="156">
        <f>'Schedule 1 Adjustments'!R50</f>
        <v>18575</v>
      </c>
      <c r="I50" s="156">
        <f>'Schedule 1 Adjustments'!U50</f>
        <v>0</v>
      </c>
      <c r="J50" s="157">
        <f t="shared" si="6"/>
        <v>169614</v>
      </c>
      <c r="M50" s="139"/>
    </row>
    <row r="51" spans="1:13" s="22" customFormat="1" x14ac:dyDescent="0.35">
      <c r="A51" s="154">
        <v>27</v>
      </c>
      <c r="B51" s="479" t="s">
        <v>238</v>
      </c>
      <c r="C51" s="487"/>
      <c r="D51" s="480"/>
      <c r="E51" s="159">
        <f>SUM(E44:E50)</f>
        <v>50969</v>
      </c>
      <c r="F51" s="159">
        <f>SUM(F44:F50)</f>
        <v>153978</v>
      </c>
      <c r="G51" s="159">
        <f>SUM(G44:G50)</f>
        <v>247281</v>
      </c>
      <c r="H51" s="159">
        <f>SUM(H44:H50)</f>
        <v>11977983</v>
      </c>
      <c r="I51" s="159">
        <f>SUM(I44:I50)</f>
        <v>0</v>
      </c>
      <c r="J51" s="159">
        <f>SUM(E51:I51)</f>
        <v>12430211</v>
      </c>
      <c r="M51" s="139"/>
    </row>
    <row r="52" spans="1:13" s="22" customFormat="1" x14ac:dyDescent="0.35">
      <c r="A52" s="160"/>
      <c r="B52" s="489"/>
      <c r="C52" s="489"/>
      <c r="D52" s="489"/>
      <c r="E52" s="489"/>
      <c r="F52" s="489"/>
      <c r="G52" s="489"/>
      <c r="H52" s="163"/>
      <c r="I52" s="163"/>
      <c r="J52" s="163"/>
      <c r="M52" s="139"/>
    </row>
    <row r="53" spans="1:13" s="22" customFormat="1" x14ac:dyDescent="0.35">
      <c r="A53" s="482" t="s">
        <v>233</v>
      </c>
      <c r="B53" s="483"/>
      <c r="C53" s="483"/>
      <c r="D53" s="483"/>
      <c r="E53" s="483"/>
      <c r="F53" s="483"/>
      <c r="G53" s="483"/>
      <c r="H53" s="483"/>
      <c r="I53" s="483"/>
      <c r="J53" s="484"/>
      <c r="M53" s="139"/>
    </row>
    <row r="54" spans="1:13" s="22" customFormat="1" x14ac:dyDescent="0.35">
      <c r="A54" s="154">
        <v>28</v>
      </c>
      <c r="B54" s="485" t="s">
        <v>282</v>
      </c>
      <c r="C54" s="488"/>
      <c r="D54" s="486"/>
      <c r="E54" s="156">
        <f>'Schedule 1 Adjustments'!I54</f>
        <v>0</v>
      </c>
      <c r="F54" s="156">
        <f>'Schedule 1 Adjustments'!L54</f>
        <v>0</v>
      </c>
      <c r="G54" s="156">
        <f>'Schedule 1 Adjustments'!O54</f>
        <v>0</v>
      </c>
      <c r="H54" s="156">
        <f>'Schedule 1 Adjustments'!R54</f>
        <v>0</v>
      </c>
      <c r="I54" s="156">
        <f>'Schedule 1 Adjustments'!U54</f>
        <v>0</v>
      </c>
      <c r="J54" s="157">
        <f>SUM(E54:I54)</f>
        <v>0</v>
      </c>
      <c r="M54" s="139"/>
    </row>
    <row r="55" spans="1:13" s="22" customFormat="1" x14ac:dyDescent="0.35">
      <c r="A55" s="154">
        <v>29</v>
      </c>
      <c r="B55" s="485" t="s">
        <v>294</v>
      </c>
      <c r="C55" s="488"/>
      <c r="D55" s="486"/>
      <c r="E55" s="156">
        <f>'Schedule 1 Adjustments'!I55</f>
        <v>0</v>
      </c>
      <c r="F55" s="156">
        <f>'Schedule 1 Adjustments'!L55</f>
        <v>0</v>
      </c>
      <c r="G55" s="156">
        <f>'Schedule 1 Adjustments'!O55</f>
        <v>0</v>
      </c>
      <c r="H55" s="156">
        <f>'Schedule 1 Adjustments'!R55</f>
        <v>0</v>
      </c>
      <c r="I55" s="156">
        <f>'Schedule 1 Adjustments'!U55</f>
        <v>0</v>
      </c>
      <c r="J55" s="157">
        <f>SUM(E55:I55)</f>
        <v>0</v>
      </c>
      <c r="M55" s="139"/>
    </row>
    <row r="56" spans="1:13" s="22" customFormat="1" x14ac:dyDescent="0.35">
      <c r="A56" s="154">
        <v>30</v>
      </c>
      <c r="B56" s="485" t="s">
        <v>295</v>
      </c>
      <c r="C56" s="488"/>
      <c r="D56" s="486"/>
      <c r="E56" s="156">
        <f>'Schedule 1 Adjustments'!I56</f>
        <v>610104</v>
      </c>
      <c r="F56" s="156">
        <f>'Schedule 1 Adjustments'!L56</f>
        <v>39230</v>
      </c>
      <c r="G56" s="156">
        <f>'Schedule 1 Adjustments'!O56</f>
        <v>1704</v>
      </c>
      <c r="H56" s="156">
        <f>'Schedule 1 Adjustments'!R56</f>
        <v>22681</v>
      </c>
      <c r="I56" s="156">
        <f>'Schedule 1 Adjustments'!U56</f>
        <v>0</v>
      </c>
      <c r="J56" s="157">
        <f t="shared" ref="J56:J58" si="8">SUM(E56:I56)</f>
        <v>673719</v>
      </c>
      <c r="M56" s="139"/>
    </row>
    <row r="57" spans="1:13" s="22" customFormat="1" x14ac:dyDescent="0.35">
      <c r="A57" s="154">
        <v>31</v>
      </c>
      <c r="B57" s="485" t="s">
        <v>296</v>
      </c>
      <c r="C57" s="488"/>
      <c r="D57" s="486"/>
      <c r="E57" s="156">
        <f>'Schedule 1 Adjustments'!I57</f>
        <v>2094588</v>
      </c>
      <c r="F57" s="156">
        <f>'Schedule 1 Adjustments'!L57</f>
        <v>17833</v>
      </c>
      <c r="G57" s="156">
        <f>'Schedule 1 Adjustments'!O57</f>
        <v>5561</v>
      </c>
      <c r="H57" s="156">
        <f>'Schedule 1 Adjustments'!R57</f>
        <v>32331</v>
      </c>
      <c r="I57" s="156">
        <f>'Schedule 1 Adjustments'!U57</f>
        <v>0</v>
      </c>
      <c r="J57" s="157">
        <f t="shared" si="8"/>
        <v>2150313</v>
      </c>
      <c r="M57" s="139"/>
    </row>
    <row r="58" spans="1:13" s="22" customFormat="1" x14ac:dyDescent="0.35">
      <c r="A58" s="154">
        <v>32</v>
      </c>
      <c r="B58" s="479" t="s">
        <v>231</v>
      </c>
      <c r="C58" s="487"/>
      <c r="D58" s="480"/>
      <c r="E58" s="159">
        <f>SUM(E54:E57)</f>
        <v>2704692</v>
      </c>
      <c r="F58" s="159">
        <f>SUM(F54:F57)</f>
        <v>57063</v>
      </c>
      <c r="G58" s="159">
        <f>SUM(G54:G57)</f>
        <v>7265</v>
      </c>
      <c r="H58" s="159">
        <f>SUM(H54:H57)</f>
        <v>55012</v>
      </c>
      <c r="I58" s="159">
        <f>SUM(I54:I57)</f>
        <v>0</v>
      </c>
      <c r="J58" s="159">
        <f t="shared" si="8"/>
        <v>2824032</v>
      </c>
      <c r="M58" s="139"/>
    </row>
    <row r="59" spans="1:13" s="22" customFormat="1" x14ac:dyDescent="0.35">
      <c r="A59" s="160"/>
      <c r="B59" s="161"/>
      <c r="C59" s="161"/>
      <c r="D59" s="162"/>
      <c r="E59" s="163"/>
      <c r="F59" s="163"/>
      <c r="G59" s="163"/>
      <c r="H59" s="163"/>
      <c r="I59" s="163"/>
      <c r="J59" s="163"/>
      <c r="M59" s="139"/>
    </row>
    <row r="60" spans="1:13" s="22" customFormat="1" x14ac:dyDescent="0.35">
      <c r="A60" s="482" t="s">
        <v>232</v>
      </c>
      <c r="B60" s="483"/>
      <c r="C60" s="483"/>
      <c r="D60" s="483"/>
      <c r="E60" s="483"/>
      <c r="F60" s="483"/>
      <c r="G60" s="483"/>
      <c r="H60" s="483"/>
      <c r="I60" s="483"/>
      <c r="J60" s="484"/>
      <c r="M60" s="139"/>
    </row>
    <row r="61" spans="1:13" s="22" customFormat="1" x14ac:dyDescent="0.35">
      <c r="A61" s="154">
        <v>33</v>
      </c>
      <c r="B61" s="485" t="s">
        <v>297</v>
      </c>
      <c r="C61" s="488"/>
      <c r="D61" s="486"/>
      <c r="E61" s="156">
        <f>'Schedule 1 Adjustments'!I61</f>
        <v>142687</v>
      </c>
      <c r="F61" s="156">
        <f>'Schedule 1 Adjustments'!L61</f>
        <v>-4356</v>
      </c>
      <c r="G61" s="156">
        <f>'Schedule 1 Adjustments'!O61</f>
        <v>0</v>
      </c>
      <c r="H61" s="156">
        <f>'Schedule 1 Adjustments'!R61</f>
        <v>45289</v>
      </c>
      <c r="I61" s="156">
        <f>'Schedule 1 Adjustments'!U61</f>
        <v>0</v>
      </c>
      <c r="J61" s="157">
        <f>SUM(E61:I61)</f>
        <v>183620</v>
      </c>
      <c r="M61" s="139"/>
    </row>
    <row r="62" spans="1:13" s="22" customFormat="1" x14ac:dyDescent="0.35">
      <c r="A62" s="154">
        <v>34</v>
      </c>
      <c r="B62" s="485" t="s">
        <v>298</v>
      </c>
      <c r="C62" s="488"/>
      <c r="D62" s="486"/>
      <c r="E62" s="156">
        <f>'Schedule 1 Adjustments'!I62</f>
        <v>744477</v>
      </c>
      <c r="F62" s="156">
        <f>'Schedule 1 Adjustments'!L62</f>
        <v>2287310</v>
      </c>
      <c r="G62" s="156">
        <f>'Schedule 1 Adjustments'!O62</f>
        <v>-3010</v>
      </c>
      <c r="H62" s="156">
        <f>'Schedule 1 Adjustments'!R62</f>
        <v>294454</v>
      </c>
      <c r="I62" s="156">
        <f>'Schedule 1 Adjustments'!U62</f>
        <v>0</v>
      </c>
      <c r="J62" s="157">
        <f t="shared" ref="J62:J68" si="9">SUM(E62:I62)</f>
        <v>3323231</v>
      </c>
      <c r="M62" s="139"/>
    </row>
    <row r="63" spans="1:13" s="22" customFormat="1" x14ac:dyDescent="0.35">
      <c r="A63" s="154">
        <v>35</v>
      </c>
      <c r="B63" s="485" t="s">
        <v>302</v>
      </c>
      <c r="C63" s="488"/>
      <c r="D63" s="486"/>
      <c r="E63" s="156">
        <f>'Schedule 1 Adjustments'!I63</f>
        <v>0</v>
      </c>
      <c r="F63" s="156">
        <f>'Schedule 1 Adjustments'!L63</f>
        <v>0</v>
      </c>
      <c r="G63" s="156">
        <f>'Schedule 1 Adjustments'!O63</f>
        <v>0</v>
      </c>
      <c r="H63" s="156">
        <f>'Schedule 1 Adjustments'!R63</f>
        <v>0</v>
      </c>
      <c r="I63" s="156">
        <f>'Schedule 1 Adjustments'!U63</f>
        <v>0</v>
      </c>
      <c r="J63" s="157">
        <f t="shared" si="9"/>
        <v>0</v>
      </c>
      <c r="M63" s="139"/>
    </row>
    <row r="64" spans="1:13" s="22" customFormat="1" x14ac:dyDescent="0.35">
      <c r="A64" s="154">
        <v>36</v>
      </c>
      <c r="B64" s="485" t="s">
        <v>315</v>
      </c>
      <c r="C64" s="488"/>
      <c r="D64" s="486"/>
      <c r="E64" s="156">
        <f>'Schedule 1 Adjustments'!I64</f>
        <v>10143</v>
      </c>
      <c r="F64" s="156">
        <f>'Schedule 1 Adjustments'!L64</f>
        <v>158856</v>
      </c>
      <c r="G64" s="156">
        <f>'Schedule 1 Adjustments'!O64</f>
        <v>95219</v>
      </c>
      <c r="H64" s="156">
        <f>'Schedule 1 Adjustments'!R64</f>
        <v>611</v>
      </c>
      <c r="I64" s="156">
        <f>'Schedule 1 Adjustments'!U64</f>
        <v>0</v>
      </c>
      <c r="J64" s="157">
        <f t="shared" si="9"/>
        <v>264829</v>
      </c>
      <c r="M64" s="139"/>
    </row>
    <row r="65" spans="1:13" s="22" customFormat="1" x14ac:dyDescent="0.35">
      <c r="A65" s="154">
        <v>37</v>
      </c>
      <c r="B65" s="485" t="s">
        <v>316</v>
      </c>
      <c r="C65" s="488"/>
      <c r="D65" s="486"/>
      <c r="E65" s="156">
        <f>'Schedule 1 Adjustments'!I65</f>
        <v>424</v>
      </c>
      <c r="F65" s="156">
        <f>'Schedule 1 Adjustments'!L65</f>
        <v>2650</v>
      </c>
      <c r="G65" s="156">
        <f>'Schedule 1 Adjustments'!O65</f>
        <v>0</v>
      </c>
      <c r="H65" s="156">
        <f>'Schedule 1 Adjustments'!R65</f>
        <v>1636</v>
      </c>
      <c r="I65" s="156">
        <f>'Schedule 1 Adjustments'!U65</f>
        <v>0</v>
      </c>
      <c r="J65" s="157">
        <f t="shared" si="9"/>
        <v>4710</v>
      </c>
      <c r="M65" s="139"/>
    </row>
    <row r="66" spans="1:13" s="22" customFormat="1" x14ac:dyDescent="0.35">
      <c r="A66" s="154">
        <v>38</v>
      </c>
      <c r="B66" s="485" t="s">
        <v>317</v>
      </c>
      <c r="C66" s="488"/>
      <c r="D66" s="486"/>
      <c r="E66" s="156">
        <f>'Schedule 1 Adjustments'!I66</f>
        <v>0</v>
      </c>
      <c r="F66" s="156">
        <f>'Schedule 1 Adjustments'!L66</f>
        <v>0</v>
      </c>
      <c r="G66" s="156">
        <f>'Schedule 1 Adjustments'!O66</f>
        <v>0</v>
      </c>
      <c r="H66" s="156">
        <f>'Schedule 1 Adjustments'!R66</f>
        <v>0</v>
      </c>
      <c r="I66" s="156">
        <f>'Schedule 1 Adjustments'!U66</f>
        <v>0</v>
      </c>
      <c r="J66" s="157">
        <f t="shared" si="9"/>
        <v>0</v>
      </c>
      <c r="M66" s="139"/>
    </row>
    <row r="67" spans="1:13" s="22" customFormat="1" x14ac:dyDescent="0.35">
      <c r="A67" s="154">
        <v>39</v>
      </c>
      <c r="B67" s="485" t="s">
        <v>299</v>
      </c>
      <c r="C67" s="488"/>
      <c r="D67" s="486"/>
      <c r="E67" s="156">
        <f>'Schedule 1 Adjustments'!I67</f>
        <v>50733</v>
      </c>
      <c r="F67" s="156">
        <f>'Schedule 1 Adjustments'!L67</f>
        <v>635206</v>
      </c>
      <c r="G67" s="156">
        <f>'Schedule 1 Adjustments'!O67</f>
        <v>824200</v>
      </c>
      <c r="H67" s="156">
        <f>'Schedule 1 Adjustments'!R67</f>
        <v>-405118</v>
      </c>
      <c r="I67" s="156">
        <f>'Schedule 1 Adjustments'!U67</f>
        <v>0</v>
      </c>
      <c r="J67" s="157">
        <f t="shared" si="9"/>
        <v>1105021</v>
      </c>
      <c r="M67" s="139"/>
    </row>
    <row r="68" spans="1:13" s="22" customFormat="1" x14ac:dyDescent="0.35">
      <c r="A68" s="154">
        <v>40</v>
      </c>
      <c r="B68" s="479" t="s">
        <v>237</v>
      </c>
      <c r="C68" s="487"/>
      <c r="D68" s="480"/>
      <c r="E68" s="159">
        <f>SUM(E61:E67)</f>
        <v>948464</v>
      </c>
      <c r="F68" s="159">
        <f>SUM(F61:F67)</f>
        <v>3079666</v>
      </c>
      <c r="G68" s="159">
        <f>SUM(G61:G67)</f>
        <v>916409</v>
      </c>
      <c r="H68" s="159">
        <f>SUM(H61:H67)</f>
        <v>-63128</v>
      </c>
      <c r="I68" s="159">
        <f>SUM(I61:I67)</f>
        <v>0</v>
      </c>
      <c r="J68" s="159">
        <f t="shared" si="9"/>
        <v>4881411</v>
      </c>
      <c r="M68" s="139"/>
    </row>
    <row r="69" spans="1:13" s="22" customFormat="1" x14ac:dyDescent="0.35">
      <c r="A69" s="160"/>
      <c r="B69" s="161"/>
      <c r="C69" s="161"/>
      <c r="D69" s="162"/>
      <c r="E69" s="163"/>
      <c r="F69" s="163"/>
      <c r="G69" s="163"/>
      <c r="H69" s="163"/>
      <c r="I69" s="163"/>
      <c r="J69" s="163"/>
      <c r="M69" s="139"/>
    </row>
    <row r="70" spans="1:13" s="22" customFormat="1" x14ac:dyDescent="0.35">
      <c r="A70" s="482" t="s">
        <v>236</v>
      </c>
      <c r="B70" s="483"/>
      <c r="C70" s="483"/>
      <c r="D70" s="483"/>
      <c r="E70" s="483"/>
      <c r="F70" s="483"/>
      <c r="G70" s="483"/>
      <c r="H70" s="483"/>
      <c r="I70" s="483"/>
      <c r="J70" s="484"/>
      <c r="M70" s="139"/>
    </row>
    <row r="71" spans="1:13" s="22" customFormat="1" x14ac:dyDescent="0.35">
      <c r="A71" s="154">
        <v>41</v>
      </c>
      <c r="B71" s="485" t="s">
        <v>239</v>
      </c>
      <c r="C71" s="488"/>
      <c r="D71" s="486"/>
      <c r="E71" s="156">
        <f>'Schedule 1 Adjustments'!I71</f>
        <v>119633</v>
      </c>
      <c r="F71" s="156">
        <f>'Schedule 1 Adjustments'!L71</f>
        <v>8889</v>
      </c>
      <c r="G71" s="156">
        <f>'Schedule 1 Adjustments'!O71</f>
        <v>0</v>
      </c>
      <c r="H71" s="156">
        <f>'Schedule 1 Adjustments'!R71</f>
        <v>775</v>
      </c>
      <c r="I71" s="156">
        <f>'Schedule 1 Adjustments'!U71</f>
        <v>2675</v>
      </c>
      <c r="J71" s="157">
        <f t="shared" ref="J71:J74" si="10">SUM(E71:I71)</f>
        <v>131972</v>
      </c>
      <c r="M71" s="139"/>
    </row>
    <row r="72" spans="1:13" s="22" customFormat="1" x14ac:dyDescent="0.35">
      <c r="A72" s="154">
        <v>42</v>
      </c>
      <c r="B72" s="485" t="s">
        <v>289</v>
      </c>
      <c r="C72" s="488"/>
      <c r="D72" s="486"/>
      <c r="E72" s="156">
        <f>'Schedule 1 Adjustments'!I72</f>
        <v>72287</v>
      </c>
      <c r="F72" s="156">
        <f>'Schedule 1 Adjustments'!L72</f>
        <v>27349</v>
      </c>
      <c r="G72" s="156">
        <f>'Schedule 1 Adjustments'!O72</f>
        <v>5193</v>
      </c>
      <c r="H72" s="156">
        <f>'Schedule 1 Adjustments'!R72</f>
        <v>9141</v>
      </c>
      <c r="I72" s="156">
        <f>'Schedule 1 Adjustments'!U72</f>
        <v>0</v>
      </c>
      <c r="J72" s="157">
        <f t="shared" si="10"/>
        <v>113970</v>
      </c>
      <c r="M72" s="139"/>
    </row>
    <row r="73" spans="1:13" s="22" customFormat="1" x14ac:dyDescent="0.35">
      <c r="A73" s="154">
        <v>43</v>
      </c>
      <c r="B73" s="485" t="s">
        <v>240</v>
      </c>
      <c r="C73" s="488"/>
      <c r="D73" s="486"/>
      <c r="E73" s="156">
        <f>'Schedule 1 Adjustments'!I73</f>
        <v>122062</v>
      </c>
      <c r="F73" s="156">
        <f>'Schedule 1 Adjustments'!L73</f>
        <v>1095</v>
      </c>
      <c r="G73" s="156">
        <f>'Schedule 1 Adjustments'!O73</f>
        <v>0</v>
      </c>
      <c r="H73" s="156">
        <f>'Schedule 1 Adjustments'!R73</f>
        <v>0</v>
      </c>
      <c r="I73" s="156">
        <f>'Schedule 1 Adjustments'!U73</f>
        <v>0</v>
      </c>
      <c r="J73" s="157">
        <f t="shared" si="10"/>
        <v>123157</v>
      </c>
      <c r="M73" s="139"/>
    </row>
    <row r="74" spans="1:13" s="22" customFormat="1" x14ac:dyDescent="0.35">
      <c r="A74" s="154">
        <v>44</v>
      </c>
      <c r="B74" s="485" t="s">
        <v>308</v>
      </c>
      <c r="C74" s="488"/>
      <c r="D74" s="486"/>
      <c r="E74" s="156">
        <f>'Schedule 1 Adjustments'!I74</f>
        <v>927925</v>
      </c>
      <c r="F74" s="156">
        <f>'Schedule 1 Adjustments'!L74</f>
        <v>25702</v>
      </c>
      <c r="G74" s="156">
        <f>'Schedule 1 Adjustments'!O74</f>
        <v>3667</v>
      </c>
      <c r="H74" s="156">
        <f>'Schedule 1 Adjustments'!R74</f>
        <v>32003</v>
      </c>
      <c r="I74" s="156">
        <f>'Schedule 1 Adjustments'!U74</f>
        <v>0</v>
      </c>
      <c r="J74" s="157">
        <f t="shared" si="10"/>
        <v>989297</v>
      </c>
      <c r="M74" s="139"/>
    </row>
    <row r="75" spans="1:13" s="22" customFormat="1" x14ac:dyDescent="0.35">
      <c r="A75" s="154">
        <v>45</v>
      </c>
      <c r="B75" s="485" t="s">
        <v>286</v>
      </c>
      <c r="C75" s="488"/>
      <c r="D75" s="486"/>
      <c r="E75" s="156">
        <f>'Schedule 1 Adjustments'!I75</f>
        <v>14015</v>
      </c>
      <c r="F75" s="156">
        <f>'Schedule 1 Adjustments'!L75</f>
        <v>0</v>
      </c>
      <c r="G75" s="156">
        <f>'Schedule 1 Adjustments'!O75</f>
        <v>0</v>
      </c>
      <c r="H75" s="156">
        <f>'Schedule 1 Adjustments'!R75</f>
        <v>0</v>
      </c>
      <c r="I75" s="156">
        <f>'Schedule 1 Adjustments'!U75</f>
        <v>212876</v>
      </c>
      <c r="J75" s="157">
        <f>SUM(E75:I75)</f>
        <v>226891</v>
      </c>
      <c r="M75" s="139"/>
    </row>
    <row r="76" spans="1:13" s="22" customFormat="1" x14ac:dyDescent="0.35">
      <c r="A76" s="154">
        <v>46</v>
      </c>
      <c r="B76" s="485" t="s">
        <v>287</v>
      </c>
      <c r="C76" s="488"/>
      <c r="D76" s="486"/>
      <c r="E76" s="156">
        <f>'Schedule 1 Adjustments'!I76</f>
        <v>251525</v>
      </c>
      <c r="F76" s="156">
        <f>'Schedule 1 Adjustments'!L76</f>
        <v>198465</v>
      </c>
      <c r="G76" s="156">
        <f>'Schedule 1 Adjustments'!O76</f>
        <v>715023</v>
      </c>
      <c r="H76" s="156">
        <f>'Schedule 1 Adjustments'!R76</f>
        <v>384591</v>
      </c>
      <c r="I76" s="156">
        <f>'Schedule 1 Adjustments'!U76</f>
        <v>0</v>
      </c>
      <c r="J76" s="157">
        <f t="shared" ref="J76:J79" si="11">SUM(E76:I76)</f>
        <v>1549604</v>
      </c>
      <c r="M76" s="139"/>
    </row>
    <row r="77" spans="1:13" s="22" customFormat="1" x14ac:dyDescent="0.35">
      <c r="A77" s="154">
        <v>47</v>
      </c>
      <c r="B77" s="485" t="s">
        <v>318</v>
      </c>
      <c r="C77" s="488"/>
      <c r="D77" s="486"/>
      <c r="E77" s="156">
        <f>'Schedule 1 Adjustments'!I77</f>
        <v>0</v>
      </c>
      <c r="F77" s="156">
        <f>'Schedule 1 Adjustments'!L77</f>
        <v>0</v>
      </c>
      <c r="G77" s="156">
        <f>'Schedule 1 Adjustments'!O77</f>
        <v>0</v>
      </c>
      <c r="H77" s="156">
        <f>'Schedule 1 Adjustments'!R77</f>
        <v>0</v>
      </c>
      <c r="I77" s="156">
        <f>'Schedule 1 Adjustments'!U77</f>
        <v>0</v>
      </c>
      <c r="J77" s="157">
        <f t="shared" si="11"/>
        <v>0</v>
      </c>
      <c r="M77" s="139"/>
    </row>
    <row r="78" spans="1:13" s="22" customFormat="1" x14ac:dyDescent="0.35">
      <c r="A78" s="154">
        <v>48</v>
      </c>
      <c r="B78" s="485" t="s">
        <v>285</v>
      </c>
      <c r="C78" s="488"/>
      <c r="D78" s="486"/>
      <c r="E78" s="156">
        <f>'Schedule 1 Adjustments'!I78</f>
        <v>1003625</v>
      </c>
      <c r="F78" s="156">
        <f>'Schedule 1 Adjustments'!L78</f>
        <v>314275</v>
      </c>
      <c r="G78" s="156">
        <f>'Schedule 1 Adjustments'!O78</f>
        <v>326489</v>
      </c>
      <c r="H78" s="156">
        <f>'Schedule 1 Adjustments'!R78</f>
        <v>106304</v>
      </c>
      <c r="I78" s="156">
        <f>'Schedule 1 Adjustments'!U78</f>
        <v>0</v>
      </c>
      <c r="J78" s="157">
        <f t="shared" si="11"/>
        <v>1750693</v>
      </c>
      <c r="M78" s="139"/>
    </row>
    <row r="79" spans="1:13" s="22" customFormat="1" x14ac:dyDescent="0.35">
      <c r="A79" s="154">
        <v>49</v>
      </c>
      <c r="B79" s="479" t="s">
        <v>279</v>
      </c>
      <c r="C79" s="487"/>
      <c r="D79" s="480"/>
      <c r="E79" s="159">
        <f>SUM(E71:E78)</f>
        <v>2511072</v>
      </c>
      <c r="F79" s="159">
        <f t="shared" ref="F79:I79" si="12">SUM(F71:F78)</f>
        <v>575775</v>
      </c>
      <c r="G79" s="159">
        <f t="shared" si="12"/>
        <v>1050372</v>
      </c>
      <c r="H79" s="159">
        <f t="shared" si="12"/>
        <v>532814</v>
      </c>
      <c r="I79" s="159">
        <f t="shared" si="12"/>
        <v>215551</v>
      </c>
      <c r="J79" s="159">
        <f t="shared" si="11"/>
        <v>4885584</v>
      </c>
      <c r="M79" s="139"/>
    </row>
    <row r="80" spans="1:13" s="22" customFormat="1" x14ac:dyDescent="0.35">
      <c r="A80" s="160"/>
      <c r="B80" s="161"/>
      <c r="C80" s="161"/>
      <c r="D80" s="162"/>
      <c r="E80" s="163"/>
      <c r="F80" s="163"/>
      <c r="G80" s="163"/>
      <c r="H80" s="163"/>
      <c r="I80" s="163"/>
      <c r="J80" s="163"/>
      <c r="M80" s="139"/>
    </row>
    <row r="81" spans="1:13" s="22" customFormat="1" x14ac:dyDescent="0.35">
      <c r="A81" s="482" t="s">
        <v>303</v>
      </c>
      <c r="B81" s="483"/>
      <c r="C81" s="483"/>
      <c r="D81" s="483"/>
      <c r="E81" s="483"/>
      <c r="F81" s="483"/>
      <c r="G81" s="483"/>
      <c r="H81" s="483"/>
      <c r="I81" s="483"/>
      <c r="J81" s="484"/>
      <c r="M81" s="139"/>
    </row>
    <row r="82" spans="1:13" s="22" customFormat="1" x14ac:dyDescent="0.35">
      <c r="A82" s="154">
        <v>50</v>
      </c>
      <c r="B82" s="485" t="s">
        <v>304</v>
      </c>
      <c r="C82" s="488"/>
      <c r="D82" s="486"/>
      <c r="E82" s="98"/>
      <c r="F82" s="98"/>
      <c r="G82" s="98"/>
      <c r="H82" s="98"/>
      <c r="I82" s="156">
        <f>'Schedule 1 Adjustments'!U82</f>
        <v>629029</v>
      </c>
      <c r="J82" s="157">
        <f>I82</f>
        <v>629029</v>
      </c>
      <c r="M82" s="139"/>
    </row>
    <row r="83" spans="1:13" s="22" customFormat="1" x14ac:dyDescent="0.35">
      <c r="A83" s="154">
        <v>51</v>
      </c>
      <c r="B83" s="485" t="s">
        <v>309</v>
      </c>
      <c r="C83" s="488"/>
      <c r="D83" s="486"/>
      <c r="E83" s="98"/>
      <c r="F83" s="98"/>
      <c r="G83" s="98"/>
      <c r="H83" s="98"/>
      <c r="I83" s="156">
        <f>'Schedule 1 Adjustments'!U83</f>
        <v>1800</v>
      </c>
      <c r="J83" s="157">
        <f>I83</f>
        <v>1800</v>
      </c>
      <c r="M83" s="139"/>
    </row>
    <row r="84" spans="1:13" s="22" customFormat="1" x14ac:dyDescent="0.35">
      <c r="A84" s="154">
        <v>52</v>
      </c>
      <c r="B84" s="485" t="s">
        <v>310</v>
      </c>
      <c r="C84" s="488"/>
      <c r="D84" s="486"/>
      <c r="E84" s="98"/>
      <c r="F84" s="98"/>
      <c r="G84" s="98"/>
      <c r="H84" s="98"/>
      <c r="I84" s="156">
        <f>'Schedule 1 Adjustments'!U84</f>
        <v>0</v>
      </c>
      <c r="J84" s="157">
        <f t="shared" ref="J84:J85" si="13">I84</f>
        <v>0</v>
      </c>
      <c r="M84" s="139"/>
    </row>
    <row r="85" spans="1:13" s="22" customFormat="1" x14ac:dyDescent="0.35">
      <c r="A85" s="154">
        <v>53</v>
      </c>
      <c r="B85" s="485" t="s">
        <v>305</v>
      </c>
      <c r="C85" s="488"/>
      <c r="D85" s="486"/>
      <c r="E85" s="98"/>
      <c r="F85" s="98"/>
      <c r="G85" s="98"/>
      <c r="H85" s="98"/>
      <c r="I85" s="156">
        <f>'Schedule 1 Adjustments'!U85</f>
        <v>0</v>
      </c>
      <c r="J85" s="157">
        <f t="shared" si="13"/>
        <v>0</v>
      </c>
      <c r="M85" s="139"/>
    </row>
    <row r="86" spans="1:13" s="22" customFormat="1" x14ac:dyDescent="0.35">
      <c r="A86" s="154">
        <v>54</v>
      </c>
      <c r="B86" s="479" t="s">
        <v>306</v>
      </c>
      <c r="C86" s="487"/>
      <c r="D86" s="480"/>
      <c r="E86" s="159">
        <v>0</v>
      </c>
      <c r="F86" s="159">
        <v>0</v>
      </c>
      <c r="G86" s="159">
        <v>0</v>
      </c>
      <c r="H86" s="159">
        <v>0</v>
      </c>
      <c r="I86" s="159">
        <f>SUM(I82:I85)</f>
        <v>630829</v>
      </c>
      <c r="J86" s="159">
        <f t="shared" ref="J86" si="14">SUM(E86:I86)</f>
        <v>630829</v>
      </c>
      <c r="M86" s="139"/>
    </row>
    <row r="87" spans="1:13" s="22" customFormat="1" x14ac:dyDescent="0.35">
      <c r="A87" s="160"/>
      <c r="B87" s="161"/>
      <c r="C87" s="161"/>
      <c r="D87" s="162"/>
      <c r="E87" s="163"/>
      <c r="F87" s="163"/>
      <c r="G87" s="163"/>
      <c r="H87" s="163"/>
      <c r="I87" s="163"/>
      <c r="J87" s="163"/>
      <c r="M87" s="139"/>
    </row>
    <row r="88" spans="1:13" s="22" customFormat="1" x14ac:dyDescent="0.35">
      <c r="A88" s="482" t="s">
        <v>273</v>
      </c>
      <c r="B88" s="483"/>
      <c r="C88" s="483"/>
      <c r="D88" s="483"/>
      <c r="E88" s="483"/>
      <c r="F88" s="483"/>
      <c r="G88" s="483"/>
      <c r="H88" s="483"/>
      <c r="I88" s="483"/>
      <c r="J88" s="484"/>
      <c r="M88" s="139"/>
    </row>
    <row r="89" spans="1:13" s="22" customFormat="1" x14ac:dyDescent="0.35">
      <c r="A89" s="154">
        <v>55</v>
      </c>
      <c r="B89" s="485" t="s">
        <v>274</v>
      </c>
      <c r="C89" s="488"/>
      <c r="D89" s="486"/>
      <c r="E89" s="164">
        <f>'Schedule 1 Adjustments'!I89</f>
        <v>0</v>
      </c>
      <c r="F89" s="164">
        <f>'Schedule 1 Adjustments'!L89</f>
        <v>0</v>
      </c>
      <c r="G89" s="164">
        <f>'Schedule 1 Adjustments'!O89</f>
        <v>0</v>
      </c>
      <c r="H89" s="164">
        <f>'Schedule 1 Adjustments'!R89</f>
        <v>0</v>
      </c>
      <c r="I89" s="164">
        <f>-SUM(E89:H89)</f>
        <v>0</v>
      </c>
      <c r="J89" s="157">
        <f>SUM(E89:I89)</f>
        <v>0</v>
      </c>
      <c r="M89" s="139"/>
    </row>
    <row r="90" spans="1:13" s="22" customFormat="1" x14ac:dyDescent="0.35">
      <c r="A90" s="154">
        <v>56</v>
      </c>
      <c r="B90" s="479" t="s">
        <v>270</v>
      </c>
      <c r="C90" s="487"/>
      <c r="D90" s="480"/>
      <c r="E90" s="159">
        <f>SUM(E89:E89)</f>
        <v>0</v>
      </c>
      <c r="F90" s="159">
        <f>SUM(F89:F89)</f>
        <v>0</v>
      </c>
      <c r="G90" s="159">
        <f>SUM(G89:G89)</f>
        <v>0</v>
      </c>
      <c r="H90" s="159">
        <f>SUM(H89:H89)</f>
        <v>0</v>
      </c>
      <c r="I90" s="159">
        <f>SUM(I89:I89)</f>
        <v>0</v>
      </c>
      <c r="J90" s="159">
        <f t="shared" ref="J90" si="15">SUM(E90:I90)</f>
        <v>0</v>
      </c>
      <c r="M90" s="139"/>
    </row>
    <row r="91" spans="1:13" s="22" customFormat="1" x14ac:dyDescent="0.35">
      <c r="A91" s="160"/>
      <c r="B91" s="161"/>
      <c r="C91" s="161"/>
      <c r="D91" s="162"/>
      <c r="E91" s="163"/>
      <c r="F91" s="163"/>
      <c r="G91" s="163"/>
      <c r="H91" s="163"/>
      <c r="I91" s="163"/>
      <c r="J91" s="163"/>
      <c r="M91" s="139"/>
    </row>
    <row r="92" spans="1:13" s="22" customFormat="1" x14ac:dyDescent="0.35">
      <c r="A92" s="154">
        <v>57</v>
      </c>
      <c r="B92" s="479" t="s">
        <v>241</v>
      </c>
      <c r="C92" s="487"/>
      <c r="D92" s="480"/>
      <c r="E92" s="159">
        <f>E79+E68+E58+E51+E41+E90+E86</f>
        <v>18580518</v>
      </c>
      <c r="F92" s="159">
        <f>F79+F68+F58+F51+F41+F90+F86</f>
        <v>30688897</v>
      </c>
      <c r="G92" s="159">
        <f>G79+G68+G58+G51+G41+G90+G86</f>
        <v>8909518</v>
      </c>
      <c r="H92" s="159">
        <f>H79+H68+H58+H51+H41+H90+H86</f>
        <v>16130274</v>
      </c>
      <c r="I92" s="159">
        <f>I79+I68+I58+I51+I41+I90+I86</f>
        <v>1028113</v>
      </c>
      <c r="J92" s="159">
        <f t="shared" ref="J92:J96" si="16">SUM(E92:I92)</f>
        <v>75337320</v>
      </c>
      <c r="M92" s="139"/>
    </row>
    <row r="93" spans="1:13" s="22" customFormat="1" x14ac:dyDescent="0.35">
      <c r="A93" s="160"/>
      <c r="B93" s="161"/>
      <c r="C93" s="161"/>
      <c r="D93" s="162"/>
      <c r="E93" s="163"/>
      <c r="F93" s="163"/>
      <c r="G93" s="163"/>
      <c r="H93" s="163"/>
      <c r="I93" s="163"/>
      <c r="J93" s="163"/>
      <c r="M93" s="139"/>
    </row>
    <row r="94" spans="1:13" s="22" customFormat="1" x14ac:dyDescent="0.35">
      <c r="A94" s="154">
        <v>58</v>
      </c>
      <c r="B94" s="485" t="s">
        <v>2</v>
      </c>
      <c r="C94" s="488"/>
      <c r="D94" s="486"/>
      <c r="E94" s="157">
        <f>E92*-1</f>
        <v>-18580518</v>
      </c>
      <c r="F94" s="156">
        <f>'Schedule 1 Adjustments'!L94</f>
        <v>13588858</v>
      </c>
      <c r="G94" s="156">
        <f>'Schedule 1 Adjustments'!O94</f>
        <v>3128720</v>
      </c>
      <c r="H94" s="156">
        <f>'Schedule 1 Adjustments'!R94</f>
        <v>1619872</v>
      </c>
      <c r="I94" s="156">
        <f>'Schedule 1 Adjustments'!U94</f>
        <v>243070</v>
      </c>
      <c r="J94" s="159">
        <f t="shared" si="16"/>
        <v>2</v>
      </c>
      <c r="K94" s="33" t="str">
        <f>IF(ABS(J94)&gt;1,"Error - This row should sum to 0.","")</f>
        <v>Error - This row should sum to 0.</v>
      </c>
      <c r="M94" s="139"/>
    </row>
    <row r="95" spans="1:13" s="22" customFormat="1" x14ac:dyDescent="0.35">
      <c r="A95" s="160"/>
      <c r="B95" s="161"/>
      <c r="C95" s="161"/>
      <c r="D95" s="162"/>
      <c r="E95" s="163"/>
      <c r="F95" s="163"/>
      <c r="G95" s="163"/>
      <c r="H95" s="163"/>
      <c r="I95" s="163"/>
      <c r="J95" s="163"/>
      <c r="M95" s="139"/>
    </row>
    <row r="96" spans="1:13" s="63" customFormat="1" ht="15.5" x14ac:dyDescent="0.35">
      <c r="A96" s="154">
        <v>59</v>
      </c>
      <c r="B96" s="491" t="s">
        <v>242</v>
      </c>
      <c r="C96" s="492"/>
      <c r="D96" s="493"/>
      <c r="E96" s="168">
        <f>E94+E92</f>
        <v>0</v>
      </c>
      <c r="F96" s="168">
        <f t="shared" ref="F96:I96" si="17">F94+F92</f>
        <v>44277755</v>
      </c>
      <c r="G96" s="168">
        <f t="shared" si="17"/>
        <v>12038238</v>
      </c>
      <c r="H96" s="168">
        <f t="shared" si="17"/>
        <v>17750146</v>
      </c>
      <c r="I96" s="168">
        <f t="shared" si="17"/>
        <v>1271183</v>
      </c>
      <c r="J96" s="168">
        <f t="shared" si="16"/>
        <v>75337322</v>
      </c>
      <c r="M96" s="140"/>
    </row>
    <row r="97" spans="1:13" s="22" customFormat="1" x14ac:dyDescent="0.35">
      <c r="A97" s="169"/>
      <c r="B97" s="169"/>
      <c r="C97" s="169"/>
      <c r="D97" s="169"/>
      <c r="E97" s="169"/>
      <c r="F97" s="169"/>
      <c r="G97" s="169"/>
      <c r="H97" s="169"/>
      <c r="I97" s="169"/>
      <c r="J97" s="169"/>
      <c r="M97" s="139"/>
    </row>
    <row r="98" spans="1:13" s="22" customFormat="1" x14ac:dyDescent="0.35">
      <c r="A98" s="154">
        <v>60</v>
      </c>
      <c r="B98" s="490" t="s">
        <v>4</v>
      </c>
      <c r="C98" s="490"/>
      <c r="D98" s="169"/>
      <c r="E98" s="169"/>
      <c r="F98" s="149">
        <f>'Schedule 1 Adjustments'!L98</f>
        <v>0</v>
      </c>
      <c r="G98" s="169"/>
      <c r="H98" s="169"/>
      <c r="I98" s="169"/>
      <c r="J98" s="169"/>
      <c r="M98" s="139"/>
    </row>
    <row r="99" spans="1:13" s="22" customFormat="1" x14ac:dyDescent="0.35">
      <c r="A99" s="154">
        <v>61</v>
      </c>
      <c r="B99" s="490" t="s">
        <v>5</v>
      </c>
      <c r="C99" s="490"/>
      <c r="D99" s="169"/>
      <c r="E99" s="169"/>
      <c r="F99" s="157" t="str">
        <f>IFERROR(F96/F98,"")</f>
        <v/>
      </c>
      <c r="G99" s="169"/>
      <c r="H99" s="169"/>
      <c r="I99" s="169"/>
      <c r="J99" s="169"/>
      <c r="M99" s="139"/>
    </row>
    <row r="100" spans="1:13" s="22" customFormat="1" x14ac:dyDescent="0.35">
      <c r="A100" s="170"/>
      <c r="B100" s="169"/>
      <c r="C100" s="169"/>
      <c r="D100" s="169"/>
      <c r="E100" s="169"/>
      <c r="F100" s="169"/>
      <c r="G100" s="169"/>
      <c r="H100" s="169"/>
      <c r="I100" s="169"/>
      <c r="J100" s="169"/>
      <c r="M100" s="139"/>
    </row>
    <row r="101" spans="1:13" s="22" customFormat="1" x14ac:dyDescent="0.35">
      <c r="A101" s="154">
        <v>62</v>
      </c>
      <c r="B101" s="490" t="s">
        <v>307</v>
      </c>
      <c r="C101" s="490"/>
      <c r="D101" s="169"/>
      <c r="E101" s="169"/>
      <c r="F101" s="169"/>
      <c r="G101" s="169"/>
      <c r="H101" s="169"/>
      <c r="I101" s="169"/>
      <c r="J101" s="156">
        <f>'Schedule 1 Adjustments'!X101</f>
        <v>75567615</v>
      </c>
      <c r="M101" s="139"/>
    </row>
    <row r="102" spans="1:13" s="22" customFormat="1" x14ac:dyDescent="0.35">
      <c r="A102" s="154">
        <v>63</v>
      </c>
      <c r="B102" s="490" t="s">
        <v>10</v>
      </c>
      <c r="C102" s="490"/>
      <c r="D102" s="169"/>
      <c r="E102" s="169"/>
      <c r="F102" s="169"/>
      <c r="G102" s="169"/>
      <c r="H102" s="169"/>
      <c r="I102" s="169"/>
      <c r="J102" s="157">
        <f>ROUND(J96-J101,0)</f>
        <v>-230293</v>
      </c>
      <c r="K102" s="33" t="str">
        <f>IF(ABS(J102)&gt;1,"Error - This variance should be 0.","")</f>
        <v>Error - This variance should be 0.</v>
      </c>
      <c r="M102" s="139"/>
    </row>
    <row r="103" spans="1:13" x14ac:dyDescent="0.35">
      <c r="A103" s="100"/>
      <c r="B103" s="100"/>
      <c r="C103" s="100"/>
      <c r="D103" s="100"/>
      <c r="E103" s="100"/>
      <c r="F103" s="100"/>
      <c r="G103" s="100"/>
      <c r="H103" s="100"/>
      <c r="I103" s="100"/>
      <c r="J103" s="100"/>
    </row>
    <row r="104" spans="1:13" x14ac:dyDescent="0.35">
      <c r="A104" s="154">
        <v>64</v>
      </c>
      <c r="B104" s="490" t="s">
        <v>202</v>
      </c>
      <c r="C104" s="490"/>
      <c r="D104" s="100"/>
      <c r="E104" s="171">
        <f>IFERROR(E92/SUM(F92:I92),"")</f>
        <v>0.32737077046730012</v>
      </c>
      <c r="F104" s="100"/>
      <c r="G104" s="100"/>
      <c r="H104" s="100"/>
      <c r="I104" s="100"/>
      <c r="J104" s="100"/>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75">
    <mergeCell ref="B104:C104"/>
    <mergeCell ref="B94:D94"/>
    <mergeCell ref="B96:D96"/>
    <mergeCell ref="B98:C98"/>
    <mergeCell ref="B99:C99"/>
    <mergeCell ref="B101:C101"/>
    <mergeCell ref="B102:C102"/>
    <mergeCell ref="B92:D92"/>
    <mergeCell ref="B78:D78"/>
    <mergeCell ref="B79:D79"/>
    <mergeCell ref="A81:J81"/>
    <mergeCell ref="B82:D82"/>
    <mergeCell ref="B83:D83"/>
    <mergeCell ref="B84:D84"/>
    <mergeCell ref="B85:D85"/>
    <mergeCell ref="B86:D86"/>
    <mergeCell ref="A88:J88"/>
    <mergeCell ref="B89:D89"/>
    <mergeCell ref="B90:D90"/>
    <mergeCell ref="B77:D77"/>
    <mergeCell ref="B65:D65"/>
    <mergeCell ref="B66:D66"/>
    <mergeCell ref="B67:D67"/>
    <mergeCell ref="B68:D68"/>
    <mergeCell ref="A70:J70"/>
    <mergeCell ref="B71:D71"/>
    <mergeCell ref="B72:D72"/>
    <mergeCell ref="B73:D73"/>
    <mergeCell ref="B74:D74"/>
    <mergeCell ref="B75:D75"/>
    <mergeCell ref="B76:D76"/>
    <mergeCell ref="B64:D64"/>
    <mergeCell ref="B52:G52"/>
    <mergeCell ref="A53:J53"/>
    <mergeCell ref="B54:D54"/>
    <mergeCell ref="B55:D55"/>
    <mergeCell ref="B56:D56"/>
    <mergeCell ref="B57:D57"/>
    <mergeCell ref="B58:D58"/>
    <mergeCell ref="A60:J60"/>
    <mergeCell ref="B61:D61"/>
    <mergeCell ref="B62:D62"/>
    <mergeCell ref="B63:D63"/>
    <mergeCell ref="B51:D51"/>
    <mergeCell ref="A35:J35"/>
    <mergeCell ref="B36:D36"/>
    <mergeCell ref="B37:D37"/>
    <mergeCell ref="B39:D39"/>
    <mergeCell ref="B41:D41"/>
    <mergeCell ref="A43:J43"/>
    <mergeCell ref="B44:D44"/>
    <mergeCell ref="B45:D45"/>
    <mergeCell ref="B46:D46"/>
    <mergeCell ref="B47:D47"/>
    <mergeCell ref="B48:D48"/>
    <mergeCell ref="B49:D49"/>
    <mergeCell ref="B50:D50"/>
    <mergeCell ref="B33:D33"/>
    <mergeCell ref="A18:J18"/>
    <mergeCell ref="B19:C19"/>
    <mergeCell ref="B20:C20"/>
    <mergeCell ref="B21:C21"/>
    <mergeCell ref="A23:J23"/>
    <mergeCell ref="B24:D24"/>
    <mergeCell ref="B25:D25"/>
    <mergeCell ref="A27:J27"/>
    <mergeCell ref="B28:D28"/>
    <mergeCell ref="B30:D30"/>
    <mergeCell ref="B31:D31"/>
    <mergeCell ref="B16:C16"/>
    <mergeCell ref="B10:C10"/>
    <mergeCell ref="A12:J12"/>
    <mergeCell ref="B13:C13"/>
    <mergeCell ref="B14:C14"/>
    <mergeCell ref="B15:C15"/>
  </mergeCells>
  <pageMargins left="0.7" right="0.7" top="0.75" bottom="0.75" header="0.3" footer="0.3"/>
  <pageSetup orientation="portrait" horizontalDpi="1200" verticalDpi="120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830</v>
      </c>
      <c r="B3" s="5"/>
      <c r="C3" s="5"/>
      <c r="D3" s="5"/>
      <c r="E3" s="5"/>
      <c r="F3" s="5"/>
      <c r="G3" s="5"/>
      <c r="H3" s="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828</v>
      </c>
      <c r="C8" s="1"/>
      <c r="F8" s="118" t="s">
        <v>177</v>
      </c>
      <c r="G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07" t="s">
        <v>255</v>
      </c>
      <c r="C13" s="507"/>
      <c r="D13" s="507"/>
      <c r="F13" s="509" t="s">
        <v>261</v>
      </c>
      <c r="G13" s="521"/>
      <c r="H13" s="510"/>
      <c r="J13" s="509" t="s">
        <v>262</v>
      </c>
      <c r="K13" s="521"/>
      <c r="L13" s="510"/>
      <c r="N13" s="508" t="s">
        <v>250</v>
      </c>
      <c r="O13" s="508" t="s">
        <v>312</v>
      </c>
    </row>
    <row r="14" spans="1:15" ht="55.5" customHeight="1" x14ac:dyDescent="0.35">
      <c r="B14" s="507"/>
      <c r="C14" s="507"/>
      <c r="D14" s="507"/>
      <c r="E14" s="48"/>
      <c r="F14" s="10" t="s">
        <v>214</v>
      </c>
      <c r="G14" s="150" t="s">
        <v>491</v>
      </c>
      <c r="H14" s="150" t="s">
        <v>215</v>
      </c>
      <c r="I14" s="100"/>
      <c r="J14" s="150" t="s">
        <v>214</v>
      </c>
      <c r="K14" s="150" t="s">
        <v>491</v>
      </c>
      <c r="L14" s="10" t="s">
        <v>215</v>
      </c>
      <c r="M14" s="48"/>
      <c r="N14" s="508"/>
      <c r="O14" s="508"/>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14"/>
      <c r="C16" s="514"/>
      <c r="D16" s="514"/>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11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11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829</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1.26953125" customWidth="1"/>
    <col min="4" max="4" width="20.269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833</v>
      </c>
      <c r="B3" s="5"/>
      <c r="C3" s="5"/>
      <c r="D3" s="5"/>
      <c r="E3" s="5"/>
      <c r="F3" s="5"/>
      <c r="G3" s="5"/>
      <c r="H3" s="5"/>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831</v>
      </c>
      <c r="C8" s="1"/>
      <c r="F8" s="118" t="s">
        <v>177</v>
      </c>
      <c r="G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07" t="s">
        <v>255</v>
      </c>
      <c r="C13" s="507"/>
      <c r="D13" s="507"/>
      <c r="F13" s="509" t="s">
        <v>261</v>
      </c>
      <c r="G13" s="521"/>
      <c r="H13" s="510"/>
      <c r="J13" s="509" t="s">
        <v>262</v>
      </c>
      <c r="K13" s="521"/>
      <c r="L13" s="510"/>
      <c r="N13" s="508" t="s">
        <v>250</v>
      </c>
      <c r="O13" s="508" t="s">
        <v>312</v>
      </c>
    </row>
    <row r="14" spans="1:15" ht="55.5" customHeight="1" x14ac:dyDescent="0.35">
      <c r="B14" s="507"/>
      <c r="C14" s="507"/>
      <c r="D14" s="507"/>
      <c r="E14" s="48"/>
      <c r="F14" s="10" t="s">
        <v>214</v>
      </c>
      <c r="G14" s="150" t="s">
        <v>491</v>
      </c>
      <c r="H14" s="150" t="s">
        <v>215</v>
      </c>
      <c r="I14" s="100"/>
      <c r="J14" s="150" t="s">
        <v>214</v>
      </c>
      <c r="K14" s="150" t="s">
        <v>491</v>
      </c>
      <c r="L14" s="10" t="s">
        <v>215</v>
      </c>
      <c r="M14" s="48"/>
      <c r="N14" s="508"/>
      <c r="O14" s="508"/>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14"/>
      <c r="C16" s="514"/>
      <c r="D16" s="514"/>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11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11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SUM(J65:K65)</f>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832</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3">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837</v>
      </c>
      <c r="B3" s="5"/>
      <c r="C3" s="5"/>
      <c r="D3" s="5"/>
      <c r="E3" s="5"/>
      <c r="F3" s="5"/>
      <c r="G3" s="5"/>
      <c r="H3" s="5"/>
    </row>
    <row r="4" spans="1:15" ht="21" x14ac:dyDescent="0.5">
      <c r="A4" s="241" t="s">
        <v>834</v>
      </c>
    </row>
    <row r="5" spans="1:15" x14ac:dyDescent="0.35">
      <c r="A5" s="1" t="s">
        <v>773</v>
      </c>
      <c r="C5" s="415" t="str">
        <f>'As-Filed Schedule 1'!C5</f>
        <v>AllHealth Network</v>
      </c>
    </row>
    <row r="6" spans="1:15" x14ac:dyDescent="0.35">
      <c r="A6" s="1" t="s">
        <v>0</v>
      </c>
      <c r="C6" s="35">
        <f>'As-Filed Schedule 1'!C6</f>
        <v>45473</v>
      </c>
      <c r="F6" s="35"/>
    </row>
    <row r="8" spans="1:15" x14ac:dyDescent="0.35">
      <c r="A8" s="1" t="s">
        <v>253</v>
      </c>
      <c r="B8" s="1" t="s">
        <v>835</v>
      </c>
      <c r="C8" s="1"/>
      <c r="K8" s="118" t="s">
        <v>177</v>
      </c>
      <c r="L8" s="41" t="s">
        <v>259</v>
      </c>
    </row>
    <row r="10" spans="1:15" x14ac:dyDescent="0.35">
      <c r="A10" s="1" t="s">
        <v>254</v>
      </c>
      <c r="B10" s="1" t="s">
        <v>256</v>
      </c>
      <c r="C10" s="1"/>
    </row>
    <row r="12" spans="1:15" x14ac:dyDescent="0.35">
      <c r="B12" s="506">
        <v>1</v>
      </c>
      <c r="C12" s="506"/>
      <c r="D12" s="506"/>
      <c r="F12" s="23">
        <v>2</v>
      </c>
      <c r="G12" s="23">
        <v>3</v>
      </c>
      <c r="H12" s="23">
        <v>4</v>
      </c>
      <c r="J12" s="23">
        <v>5</v>
      </c>
      <c r="K12" s="23">
        <v>6</v>
      </c>
      <c r="L12" s="23">
        <v>7</v>
      </c>
      <c r="N12" s="23">
        <v>8</v>
      </c>
      <c r="O12" s="23">
        <v>9</v>
      </c>
    </row>
    <row r="13" spans="1:15" x14ac:dyDescent="0.35">
      <c r="B13" s="507" t="s">
        <v>255</v>
      </c>
      <c r="C13" s="507"/>
      <c r="D13" s="507"/>
      <c r="F13" s="509" t="s">
        <v>261</v>
      </c>
      <c r="G13" s="521"/>
      <c r="H13" s="510"/>
      <c r="J13" s="509" t="s">
        <v>262</v>
      </c>
      <c r="K13" s="521"/>
      <c r="L13" s="510"/>
      <c r="N13" s="508" t="s">
        <v>250</v>
      </c>
      <c r="O13" s="508" t="s">
        <v>312</v>
      </c>
    </row>
    <row r="14" spans="1:15" ht="55.5" customHeight="1" x14ac:dyDescent="0.35">
      <c r="B14" s="507"/>
      <c r="C14" s="507"/>
      <c r="D14" s="507"/>
      <c r="E14" s="48"/>
      <c r="F14" s="10" t="s">
        <v>214</v>
      </c>
      <c r="G14" s="150" t="s">
        <v>491</v>
      </c>
      <c r="H14" s="150" t="s">
        <v>215</v>
      </c>
      <c r="I14" s="100"/>
      <c r="J14" s="150" t="s">
        <v>214</v>
      </c>
      <c r="K14" s="150" t="s">
        <v>491</v>
      </c>
      <c r="L14" s="10" t="s">
        <v>215</v>
      </c>
      <c r="M14" s="48"/>
      <c r="N14" s="508"/>
      <c r="O14" s="508"/>
    </row>
    <row r="15" spans="1:15" x14ac:dyDescent="0.35">
      <c r="A15" s="24">
        <v>1</v>
      </c>
      <c r="B15" s="514"/>
      <c r="C15" s="514"/>
      <c r="D15" s="514"/>
      <c r="F15" s="117"/>
      <c r="G15" s="68">
        <f>IFERROR(F15*'As-Filed Schedule 1'!$E$103,0)</f>
        <v>0</v>
      </c>
      <c r="H15" s="68">
        <f>SUM(F15:G15)</f>
        <v>0</v>
      </c>
      <c r="J15" s="117"/>
      <c r="K15" s="68">
        <f>IFERROR(J15*'As-Filed Schedule 1'!$E$103,0)</f>
        <v>0</v>
      </c>
      <c r="L15" s="68">
        <f>SUM(J15:K15)</f>
        <v>0</v>
      </c>
      <c r="N15" s="119"/>
      <c r="O15" s="119"/>
    </row>
    <row r="16" spans="1:15" x14ac:dyDescent="0.35">
      <c r="A16" s="24">
        <v>2</v>
      </c>
      <c r="B16" s="514"/>
      <c r="C16" s="514"/>
      <c r="D16" s="514"/>
      <c r="F16" s="117"/>
      <c r="G16" s="68">
        <f>IFERROR(F16*'As-Filed Schedule 1'!$E$103,0)</f>
        <v>0</v>
      </c>
      <c r="H16" s="68">
        <f t="shared" ref="H16:H72" si="0">SUM(F16:G16)</f>
        <v>0</v>
      </c>
      <c r="J16" s="117"/>
      <c r="K16" s="68">
        <f>IFERROR(J16*'As-Filed Schedule 1'!$E$103,0)</f>
        <v>0</v>
      </c>
      <c r="L16" s="68">
        <f t="shared" ref="L16:L72" si="1">SUM(J16:K16)</f>
        <v>0</v>
      </c>
      <c r="N16" s="119"/>
      <c r="O16" s="119"/>
    </row>
    <row r="17" spans="1:15" x14ac:dyDescent="0.35">
      <c r="A17" s="24">
        <v>3</v>
      </c>
      <c r="B17" s="514"/>
      <c r="C17" s="514"/>
      <c r="D17" s="514"/>
      <c r="F17" s="117"/>
      <c r="G17" s="68">
        <f>IFERROR(F17*'As-Filed Schedule 1'!$E$103,0)</f>
        <v>0</v>
      </c>
      <c r="H17" s="68">
        <f t="shared" si="0"/>
        <v>0</v>
      </c>
      <c r="J17" s="117"/>
      <c r="K17" s="68">
        <f>IFERROR(J17*'As-Filed Schedule 1'!$E$103,0)</f>
        <v>0</v>
      </c>
      <c r="L17" s="68">
        <f t="shared" si="1"/>
        <v>0</v>
      </c>
      <c r="N17" s="119"/>
      <c r="O17" s="119"/>
    </row>
    <row r="18" spans="1:15" x14ac:dyDescent="0.35">
      <c r="A18" s="24">
        <v>4</v>
      </c>
      <c r="B18" s="514"/>
      <c r="C18" s="514"/>
      <c r="D18" s="514"/>
      <c r="F18" s="117"/>
      <c r="G18" s="68">
        <f>IFERROR(F18*'As-Filed Schedule 1'!$E$103,0)</f>
        <v>0</v>
      </c>
      <c r="H18" s="68">
        <f t="shared" si="0"/>
        <v>0</v>
      </c>
      <c r="J18" s="117"/>
      <c r="K18" s="68">
        <f>IFERROR(J18*'As-Filed Schedule 1'!$E$103,0)</f>
        <v>0</v>
      </c>
      <c r="L18" s="68">
        <f t="shared" si="1"/>
        <v>0</v>
      </c>
      <c r="N18" s="119"/>
      <c r="O18" s="119"/>
    </row>
    <row r="19" spans="1:15" x14ac:dyDescent="0.35">
      <c r="A19" s="24">
        <v>5</v>
      </c>
      <c r="B19" s="514"/>
      <c r="C19" s="514"/>
      <c r="D19" s="514"/>
      <c r="F19" s="117"/>
      <c r="G19" s="68">
        <f>IFERROR(F19*'As-Filed Schedule 1'!$E$103,0)</f>
        <v>0</v>
      </c>
      <c r="H19" s="68">
        <f t="shared" si="0"/>
        <v>0</v>
      </c>
      <c r="J19" s="117"/>
      <c r="K19" s="68">
        <f>IFERROR(J19*'As-Filed Schedule 1'!$E$103,0)</f>
        <v>0</v>
      </c>
      <c r="L19" s="68">
        <f t="shared" si="1"/>
        <v>0</v>
      </c>
      <c r="N19" s="119"/>
      <c r="O19" s="119"/>
    </row>
    <row r="20" spans="1:15" x14ac:dyDescent="0.35">
      <c r="A20" s="24">
        <v>6</v>
      </c>
      <c r="B20" s="514"/>
      <c r="C20" s="514"/>
      <c r="D20" s="514"/>
      <c r="F20" s="117"/>
      <c r="G20" s="68">
        <f>IFERROR(F20*'As-Filed Schedule 1'!$E$103,0)</f>
        <v>0</v>
      </c>
      <c r="H20" s="68">
        <f t="shared" si="0"/>
        <v>0</v>
      </c>
      <c r="J20" s="117"/>
      <c r="K20" s="68">
        <f>IFERROR(J20*'As-Filed Schedule 1'!$E$103,0)</f>
        <v>0</v>
      </c>
      <c r="L20" s="68">
        <f t="shared" si="1"/>
        <v>0</v>
      </c>
      <c r="N20" s="119"/>
      <c r="O20" s="119"/>
    </row>
    <row r="21" spans="1:15" x14ac:dyDescent="0.35">
      <c r="A21" s="24">
        <v>7</v>
      </c>
      <c r="B21" s="514"/>
      <c r="C21" s="514"/>
      <c r="D21" s="514"/>
      <c r="F21" s="117"/>
      <c r="G21" s="68">
        <f>IFERROR(F21*'As-Filed Schedule 1'!$E$103,0)</f>
        <v>0</v>
      </c>
      <c r="H21" s="68">
        <f t="shared" si="0"/>
        <v>0</v>
      </c>
      <c r="J21" s="117"/>
      <c r="K21" s="68">
        <f>IFERROR(J21*'As-Filed Schedule 1'!$E$103,0)</f>
        <v>0</v>
      </c>
      <c r="L21" s="68">
        <f t="shared" si="1"/>
        <v>0</v>
      </c>
      <c r="N21" s="119"/>
      <c r="O21" s="119"/>
    </row>
    <row r="22" spans="1:15" x14ac:dyDescent="0.35">
      <c r="A22" s="24">
        <v>8</v>
      </c>
      <c r="B22" s="514"/>
      <c r="C22" s="514"/>
      <c r="D22" s="514"/>
      <c r="F22" s="117"/>
      <c r="G22" s="68">
        <f>IFERROR(F22*'As-Filed Schedule 1'!$E$103,0)</f>
        <v>0</v>
      </c>
      <c r="H22" s="68">
        <f t="shared" si="0"/>
        <v>0</v>
      </c>
      <c r="J22" s="117"/>
      <c r="K22" s="68">
        <f>IFERROR(J22*'As-Filed Schedule 1'!$E$103,0)</f>
        <v>0</v>
      </c>
      <c r="L22" s="68">
        <f t="shared" si="1"/>
        <v>0</v>
      </c>
      <c r="N22" s="119"/>
      <c r="O22" s="119"/>
    </row>
    <row r="23" spans="1:15" x14ac:dyDescent="0.35">
      <c r="A23" s="24">
        <v>9</v>
      </c>
      <c r="B23" s="514"/>
      <c r="C23" s="514"/>
      <c r="D23" s="514"/>
      <c r="F23" s="117"/>
      <c r="G23" s="68">
        <f>IFERROR(F23*'As-Filed Schedule 1'!$E$103,0)</f>
        <v>0</v>
      </c>
      <c r="H23" s="68">
        <f t="shared" si="0"/>
        <v>0</v>
      </c>
      <c r="J23" s="117"/>
      <c r="K23" s="68">
        <f>IFERROR(J23*'As-Filed Schedule 1'!$E$103,0)</f>
        <v>0</v>
      </c>
      <c r="L23" s="68">
        <f t="shared" si="1"/>
        <v>0</v>
      </c>
      <c r="N23" s="119"/>
      <c r="O23" s="119"/>
    </row>
    <row r="24" spans="1:15" x14ac:dyDescent="0.35">
      <c r="A24" s="24">
        <v>10</v>
      </c>
      <c r="B24" s="514"/>
      <c r="C24" s="514"/>
      <c r="D24" s="514"/>
      <c r="F24" s="117"/>
      <c r="G24" s="68">
        <f>IFERROR(F24*'As-Filed Schedule 1'!$E$103,0)</f>
        <v>0</v>
      </c>
      <c r="H24" s="68">
        <f t="shared" si="0"/>
        <v>0</v>
      </c>
      <c r="J24" s="117"/>
      <c r="K24" s="68">
        <f>IFERROR(J24*'As-Filed Schedule 1'!$E$103,0)</f>
        <v>0</v>
      </c>
      <c r="L24" s="68">
        <f t="shared" si="1"/>
        <v>0</v>
      </c>
      <c r="N24" s="119"/>
      <c r="O24" s="119"/>
    </row>
    <row r="25" spans="1:15" x14ac:dyDescent="0.35">
      <c r="A25" s="24">
        <v>11</v>
      </c>
      <c r="B25" s="514"/>
      <c r="C25" s="514"/>
      <c r="D25" s="514"/>
      <c r="F25" s="117"/>
      <c r="G25" s="68">
        <f>IFERROR(F25*'As-Filed Schedule 1'!$E$103,0)</f>
        <v>0</v>
      </c>
      <c r="H25" s="68">
        <f t="shared" si="0"/>
        <v>0</v>
      </c>
      <c r="J25" s="117"/>
      <c r="K25" s="68">
        <f>IFERROR(J25*'As-Filed Schedule 1'!$E$103,0)</f>
        <v>0</v>
      </c>
      <c r="L25" s="68">
        <f t="shared" si="1"/>
        <v>0</v>
      </c>
      <c r="N25" s="119"/>
      <c r="O25" s="119"/>
    </row>
    <row r="26" spans="1:15" x14ac:dyDescent="0.35">
      <c r="A26" s="24">
        <v>12</v>
      </c>
      <c r="B26" s="514"/>
      <c r="C26" s="514"/>
      <c r="D26" s="514"/>
      <c r="F26" s="117"/>
      <c r="G26" s="68">
        <f>IFERROR(F26*'As-Filed Schedule 1'!$E$103,0)</f>
        <v>0</v>
      </c>
      <c r="H26" s="68">
        <f t="shared" si="0"/>
        <v>0</v>
      </c>
      <c r="J26" s="117"/>
      <c r="K26" s="68">
        <f>IFERROR(J26*'As-Filed Schedule 1'!$E$103,0)</f>
        <v>0</v>
      </c>
      <c r="L26" s="68">
        <f t="shared" si="1"/>
        <v>0</v>
      </c>
      <c r="N26" s="119"/>
      <c r="O26" s="119"/>
    </row>
    <row r="27" spans="1:15" x14ac:dyDescent="0.35">
      <c r="A27" s="24">
        <v>13</v>
      </c>
      <c r="B27" s="514"/>
      <c r="C27" s="514"/>
      <c r="D27" s="514"/>
      <c r="F27" s="117"/>
      <c r="G27" s="68">
        <f>IFERROR(F27*'As-Filed Schedule 1'!$E$103,0)</f>
        <v>0</v>
      </c>
      <c r="H27" s="68">
        <f t="shared" si="0"/>
        <v>0</v>
      </c>
      <c r="J27" s="117"/>
      <c r="K27" s="68">
        <f>IFERROR(J27*'As-Filed Schedule 1'!$E$103,0)</f>
        <v>0</v>
      </c>
      <c r="L27" s="68">
        <f t="shared" si="1"/>
        <v>0</v>
      </c>
      <c r="N27" s="119"/>
      <c r="O27" s="119"/>
    </row>
    <row r="28" spans="1:15" x14ac:dyDescent="0.35">
      <c r="A28" s="24">
        <v>14</v>
      </c>
      <c r="B28" s="514"/>
      <c r="C28" s="514"/>
      <c r="D28" s="514"/>
      <c r="F28" s="117"/>
      <c r="G28" s="68">
        <f>IFERROR(F28*'As-Filed Schedule 1'!$E$103,0)</f>
        <v>0</v>
      </c>
      <c r="H28" s="68">
        <f t="shared" si="0"/>
        <v>0</v>
      </c>
      <c r="J28" s="117"/>
      <c r="K28" s="68">
        <f>IFERROR(J28*'As-Filed Schedule 1'!$E$103,0)</f>
        <v>0</v>
      </c>
      <c r="L28" s="68">
        <f t="shared" si="1"/>
        <v>0</v>
      </c>
      <c r="N28" s="119"/>
      <c r="O28" s="119"/>
    </row>
    <row r="29" spans="1:15" x14ac:dyDescent="0.35">
      <c r="A29" s="24">
        <v>15</v>
      </c>
      <c r="B29" s="514"/>
      <c r="C29" s="514"/>
      <c r="D29" s="514"/>
      <c r="F29" s="117"/>
      <c r="G29" s="68">
        <f>IFERROR(F29*'As-Filed Schedule 1'!$E$103,0)</f>
        <v>0</v>
      </c>
      <c r="H29" s="68">
        <f t="shared" si="0"/>
        <v>0</v>
      </c>
      <c r="J29" s="117"/>
      <c r="K29" s="68">
        <f>IFERROR(J29*'As-Filed Schedule 1'!$E$103,0)</f>
        <v>0</v>
      </c>
      <c r="L29" s="68">
        <f t="shared" si="1"/>
        <v>0</v>
      </c>
      <c r="N29" s="119"/>
      <c r="O29" s="119"/>
    </row>
    <row r="30" spans="1:15" x14ac:dyDescent="0.35">
      <c r="A30" s="24">
        <v>16</v>
      </c>
      <c r="B30" s="514"/>
      <c r="C30" s="514"/>
      <c r="D30" s="514"/>
      <c r="F30" s="117"/>
      <c r="G30" s="68">
        <f>IFERROR(F30*'As-Filed Schedule 1'!$E$103,0)</f>
        <v>0</v>
      </c>
      <c r="H30" s="68">
        <f t="shared" si="0"/>
        <v>0</v>
      </c>
      <c r="J30" s="117"/>
      <c r="K30" s="68">
        <f>IFERROR(J30*'As-Filed Schedule 1'!$E$103,0)</f>
        <v>0</v>
      </c>
      <c r="L30" s="68">
        <f t="shared" si="1"/>
        <v>0</v>
      </c>
      <c r="N30" s="119"/>
      <c r="O30" s="119"/>
    </row>
    <row r="31" spans="1:15" x14ac:dyDescent="0.35">
      <c r="A31" s="24">
        <v>17</v>
      </c>
      <c r="B31" s="514"/>
      <c r="C31" s="514"/>
      <c r="D31" s="514"/>
      <c r="F31" s="117"/>
      <c r="G31" s="68">
        <f>IFERROR(F31*'As-Filed Schedule 1'!$E$103,0)</f>
        <v>0</v>
      </c>
      <c r="H31" s="68">
        <f t="shared" si="0"/>
        <v>0</v>
      </c>
      <c r="J31" s="117"/>
      <c r="K31" s="68">
        <f>IFERROR(J31*'As-Filed Schedule 1'!$E$103,0)</f>
        <v>0</v>
      </c>
      <c r="L31" s="68">
        <f t="shared" si="1"/>
        <v>0</v>
      </c>
      <c r="N31" s="119"/>
      <c r="O31" s="119"/>
    </row>
    <row r="32" spans="1:15" x14ac:dyDescent="0.35">
      <c r="A32" s="24">
        <v>18</v>
      </c>
      <c r="B32" s="514"/>
      <c r="C32" s="514"/>
      <c r="D32" s="514"/>
      <c r="F32" s="117"/>
      <c r="G32" s="68">
        <f>IFERROR(F32*'As-Filed Schedule 1'!$E$103,0)</f>
        <v>0</v>
      </c>
      <c r="H32" s="68">
        <f t="shared" si="0"/>
        <v>0</v>
      </c>
      <c r="J32" s="117"/>
      <c r="K32" s="68">
        <f>IFERROR(J32*'As-Filed Schedule 1'!$E$103,0)</f>
        <v>0</v>
      </c>
      <c r="L32" s="68">
        <f t="shared" si="1"/>
        <v>0</v>
      </c>
      <c r="N32" s="119"/>
      <c r="O32" s="119"/>
    </row>
    <row r="33" spans="1:15" x14ac:dyDescent="0.35">
      <c r="A33" s="24">
        <v>19</v>
      </c>
      <c r="B33" s="514"/>
      <c r="C33" s="514"/>
      <c r="D33" s="514"/>
      <c r="F33" s="117"/>
      <c r="G33" s="68">
        <f>IFERROR(F33*'As-Filed Schedule 1'!$E$103,0)</f>
        <v>0</v>
      </c>
      <c r="H33" s="68">
        <f t="shared" si="0"/>
        <v>0</v>
      </c>
      <c r="J33" s="117"/>
      <c r="K33" s="68">
        <f>IFERROR(J33*'As-Filed Schedule 1'!$E$103,0)</f>
        <v>0</v>
      </c>
      <c r="L33" s="68">
        <f t="shared" si="1"/>
        <v>0</v>
      </c>
      <c r="N33" s="119"/>
      <c r="O33" s="119"/>
    </row>
    <row r="34" spans="1:15" x14ac:dyDescent="0.35">
      <c r="A34" s="24">
        <v>20</v>
      </c>
      <c r="B34" s="514"/>
      <c r="C34" s="514"/>
      <c r="D34" s="514"/>
      <c r="F34" s="117"/>
      <c r="G34" s="68">
        <f>IFERROR(F34*'As-Filed Schedule 1'!$E$103,0)</f>
        <v>0</v>
      </c>
      <c r="H34" s="68">
        <f t="shared" si="0"/>
        <v>0</v>
      </c>
      <c r="J34" s="117"/>
      <c r="K34" s="68">
        <f>IFERROR(J34*'As-Filed Schedule 1'!$E$103,0)</f>
        <v>0</v>
      </c>
      <c r="L34" s="68">
        <f t="shared" si="1"/>
        <v>0</v>
      </c>
      <c r="N34" s="119"/>
      <c r="O34" s="119"/>
    </row>
    <row r="35" spans="1:15" x14ac:dyDescent="0.35">
      <c r="A35" s="24">
        <v>21</v>
      </c>
      <c r="B35" s="514"/>
      <c r="C35" s="514"/>
      <c r="D35" s="514"/>
      <c r="F35" s="117"/>
      <c r="G35" s="68">
        <f>IFERROR(F35*'As-Filed Schedule 1'!$E$103,0)</f>
        <v>0</v>
      </c>
      <c r="H35" s="68">
        <f t="shared" si="0"/>
        <v>0</v>
      </c>
      <c r="J35" s="117"/>
      <c r="K35" s="68">
        <f>IFERROR(J35*'As-Filed Schedule 1'!$E$103,0)</f>
        <v>0</v>
      </c>
      <c r="L35" s="68">
        <f t="shared" si="1"/>
        <v>0</v>
      </c>
      <c r="N35" s="119"/>
      <c r="O35" s="119"/>
    </row>
    <row r="36" spans="1:15" x14ac:dyDescent="0.35">
      <c r="A36" s="24">
        <v>22</v>
      </c>
      <c r="B36" s="514"/>
      <c r="C36" s="514"/>
      <c r="D36" s="514"/>
      <c r="F36" s="117"/>
      <c r="G36" s="68">
        <f>IFERROR(F36*'As-Filed Schedule 1'!$E$103,0)</f>
        <v>0</v>
      </c>
      <c r="H36" s="68">
        <f t="shared" si="0"/>
        <v>0</v>
      </c>
      <c r="J36" s="117"/>
      <c r="K36" s="68">
        <f>IFERROR(J36*'As-Filed Schedule 1'!$E$103,0)</f>
        <v>0</v>
      </c>
      <c r="L36" s="68">
        <f t="shared" si="1"/>
        <v>0</v>
      </c>
      <c r="N36" s="119"/>
      <c r="O36" s="119"/>
    </row>
    <row r="37" spans="1:15" x14ac:dyDescent="0.35">
      <c r="A37" s="24">
        <v>23</v>
      </c>
      <c r="B37" s="514"/>
      <c r="C37" s="514"/>
      <c r="D37" s="514"/>
      <c r="F37" s="117"/>
      <c r="G37" s="68">
        <f>IFERROR(F37*'As-Filed Schedule 1'!$E$103,0)</f>
        <v>0</v>
      </c>
      <c r="H37" s="68">
        <f t="shared" si="0"/>
        <v>0</v>
      </c>
      <c r="J37" s="117"/>
      <c r="K37" s="68">
        <f>IFERROR(J37*'As-Filed Schedule 1'!$E$103,0)</f>
        <v>0</v>
      </c>
      <c r="L37" s="68">
        <f t="shared" si="1"/>
        <v>0</v>
      </c>
      <c r="N37" s="119"/>
      <c r="O37" s="119"/>
    </row>
    <row r="38" spans="1:15" x14ac:dyDescent="0.35">
      <c r="A38" s="24">
        <v>24</v>
      </c>
      <c r="B38" s="514"/>
      <c r="C38" s="514"/>
      <c r="D38" s="514"/>
      <c r="F38" s="117"/>
      <c r="G38" s="68">
        <f>IFERROR(F38*'As-Filed Schedule 1'!$E$103,0)</f>
        <v>0</v>
      </c>
      <c r="H38" s="68">
        <f t="shared" si="0"/>
        <v>0</v>
      </c>
      <c r="J38" s="117"/>
      <c r="K38" s="68">
        <f>IFERROR(J38*'As-Filed Schedule 1'!$E$103,0)</f>
        <v>0</v>
      </c>
      <c r="L38" s="68">
        <f t="shared" si="1"/>
        <v>0</v>
      </c>
      <c r="N38" s="119"/>
      <c r="O38" s="119"/>
    </row>
    <row r="39" spans="1:15" x14ac:dyDescent="0.35">
      <c r="A39" s="24">
        <v>25</v>
      </c>
      <c r="B39" s="514"/>
      <c r="C39" s="514"/>
      <c r="D39" s="514"/>
      <c r="F39" s="117"/>
      <c r="G39" s="68">
        <f>IFERROR(F39*'As-Filed Schedule 1'!$E$103,0)</f>
        <v>0</v>
      </c>
      <c r="H39" s="68">
        <f t="shared" si="0"/>
        <v>0</v>
      </c>
      <c r="J39" s="117"/>
      <c r="K39" s="68">
        <f>IFERROR(J39*'As-Filed Schedule 1'!$E$103,0)</f>
        <v>0</v>
      </c>
      <c r="L39" s="68">
        <f t="shared" si="1"/>
        <v>0</v>
      </c>
      <c r="N39" s="119"/>
      <c r="O39" s="119"/>
    </row>
    <row r="40" spans="1:15" x14ac:dyDescent="0.35">
      <c r="A40" s="24">
        <v>26</v>
      </c>
      <c r="B40" s="514"/>
      <c r="C40" s="514"/>
      <c r="D40" s="514"/>
      <c r="F40" s="117"/>
      <c r="G40" s="68">
        <f>IFERROR(F40*'As-Filed Schedule 1'!$E$103,0)</f>
        <v>0</v>
      </c>
      <c r="H40" s="68">
        <f t="shared" si="0"/>
        <v>0</v>
      </c>
      <c r="J40" s="117"/>
      <c r="K40" s="68">
        <f>IFERROR(J40*'As-Filed Schedule 1'!$E$103,0)</f>
        <v>0</v>
      </c>
      <c r="L40" s="68">
        <f t="shared" si="1"/>
        <v>0</v>
      </c>
      <c r="N40" s="119"/>
      <c r="O40" s="119"/>
    </row>
    <row r="41" spans="1:15" x14ac:dyDescent="0.35">
      <c r="A41" s="24">
        <v>27</v>
      </c>
      <c r="B41" s="514"/>
      <c r="C41" s="514"/>
      <c r="D41" s="514"/>
      <c r="F41" s="117"/>
      <c r="G41" s="68">
        <f>IFERROR(F41*'As-Filed Schedule 1'!$E$103,0)</f>
        <v>0</v>
      </c>
      <c r="H41" s="68">
        <f t="shared" si="0"/>
        <v>0</v>
      </c>
      <c r="J41" s="117"/>
      <c r="K41" s="68">
        <f>IFERROR(J41*'As-Filed Schedule 1'!$E$103,0)</f>
        <v>0</v>
      </c>
      <c r="L41" s="68">
        <f t="shared" si="1"/>
        <v>0</v>
      </c>
      <c r="N41" s="119"/>
      <c r="O41" s="119"/>
    </row>
    <row r="42" spans="1:15" x14ac:dyDescent="0.35">
      <c r="A42" s="24">
        <v>28</v>
      </c>
      <c r="B42" s="514"/>
      <c r="C42" s="514"/>
      <c r="D42" s="514"/>
      <c r="F42" s="117"/>
      <c r="G42" s="68">
        <f>IFERROR(F42*'As-Filed Schedule 1'!$E$103,0)</f>
        <v>0</v>
      </c>
      <c r="H42" s="68">
        <f t="shared" si="0"/>
        <v>0</v>
      </c>
      <c r="J42" s="117"/>
      <c r="K42" s="68">
        <f>IFERROR(J42*'As-Filed Schedule 1'!$E$103,0)</f>
        <v>0</v>
      </c>
      <c r="L42" s="68">
        <f t="shared" si="1"/>
        <v>0</v>
      </c>
      <c r="N42" s="119"/>
      <c r="O42" s="119"/>
    </row>
    <row r="43" spans="1:15" x14ac:dyDescent="0.35">
      <c r="A43" s="24">
        <v>29</v>
      </c>
      <c r="B43" s="514"/>
      <c r="C43" s="514"/>
      <c r="D43" s="514"/>
      <c r="F43" s="117"/>
      <c r="G43" s="68">
        <f>IFERROR(F43*'As-Filed Schedule 1'!$E$103,0)</f>
        <v>0</v>
      </c>
      <c r="H43" s="68">
        <f t="shared" si="0"/>
        <v>0</v>
      </c>
      <c r="J43" s="117"/>
      <c r="K43" s="68">
        <f>IFERROR(J43*'As-Filed Schedule 1'!$E$103,0)</f>
        <v>0</v>
      </c>
      <c r="L43" s="68">
        <f t="shared" si="1"/>
        <v>0</v>
      </c>
      <c r="N43" s="119"/>
      <c r="O43" s="119"/>
    </row>
    <row r="44" spans="1:15" x14ac:dyDescent="0.35">
      <c r="A44" s="24">
        <v>30</v>
      </c>
      <c r="B44" s="514"/>
      <c r="C44" s="514"/>
      <c r="D44" s="514"/>
      <c r="F44" s="117"/>
      <c r="G44" s="68">
        <f>IFERROR(F44*'As-Filed Schedule 1'!$E$103,0)</f>
        <v>0</v>
      </c>
      <c r="H44" s="68">
        <f t="shared" si="0"/>
        <v>0</v>
      </c>
      <c r="J44" s="117"/>
      <c r="K44" s="68">
        <f>IFERROR(J44*'As-Filed Schedule 1'!$E$103,0)</f>
        <v>0</v>
      </c>
      <c r="L44" s="68">
        <f t="shared" si="1"/>
        <v>0</v>
      </c>
      <c r="N44" s="119"/>
      <c r="O44" s="119"/>
    </row>
    <row r="45" spans="1:15" x14ac:dyDescent="0.35">
      <c r="A45" s="24">
        <v>31</v>
      </c>
      <c r="B45" s="514"/>
      <c r="C45" s="514"/>
      <c r="D45" s="514"/>
      <c r="F45" s="117"/>
      <c r="G45" s="68">
        <f>IFERROR(F45*'As-Filed Schedule 1'!$E$103,0)</f>
        <v>0</v>
      </c>
      <c r="H45" s="68">
        <f t="shared" si="0"/>
        <v>0</v>
      </c>
      <c r="J45" s="117"/>
      <c r="K45" s="68">
        <f>IFERROR(J45*'As-Filed Schedule 1'!$E$103,0)</f>
        <v>0</v>
      </c>
      <c r="L45" s="68">
        <f t="shared" si="1"/>
        <v>0</v>
      </c>
      <c r="N45" s="119"/>
      <c r="O45" s="119"/>
    </row>
    <row r="46" spans="1:15" x14ac:dyDescent="0.35">
      <c r="A46" s="24">
        <v>32</v>
      </c>
      <c r="B46" s="514"/>
      <c r="C46" s="514"/>
      <c r="D46" s="514"/>
      <c r="F46" s="117"/>
      <c r="G46" s="68">
        <f>IFERROR(F46*'As-Filed Schedule 1'!$E$103,0)</f>
        <v>0</v>
      </c>
      <c r="H46" s="68">
        <f t="shared" si="0"/>
        <v>0</v>
      </c>
      <c r="J46" s="117"/>
      <c r="K46" s="68">
        <f>IFERROR(J46*'As-Filed Schedule 1'!$E$103,0)</f>
        <v>0</v>
      </c>
      <c r="L46" s="68">
        <f t="shared" si="1"/>
        <v>0</v>
      </c>
      <c r="N46" s="119"/>
      <c r="O46" s="119"/>
    </row>
    <row r="47" spans="1:15" x14ac:dyDescent="0.35">
      <c r="A47" s="24">
        <v>33</v>
      </c>
      <c r="B47" s="514"/>
      <c r="C47" s="514"/>
      <c r="D47" s="514"/>
      <c r="F47" s="117"/>
      <c r="G47" s="68">
        <f>IFERROR(F47*'As-Filed Schedule 1'!$E$103,0)</f>
        <v>0</v>
      </c>
      <c r="H47" s="68">
        <f t="shared" si="0"/>
        <v>0</v>
      </c>
      <c r="J47" s="117"/>
      <c r="K47" s="68">
        <f>IFERROR(J47*'As-Filed Schedule 1'!$E$103,0)</f>
        <v>0</v>
      </c>
      <c r="L47" s="68">
        <f t="shared" si="1"/>
        <v>0</v>
      </c>
      <c r="N47" s="119"/>
      <c r="O47" s="119"/>
    </row>
    <row r="48" spans="1:15" x14ac:dyDescent="0.35">
      <c r="A48" s="24">
        <v>34</v>
      </c>
      <c r="B48" s="514"/>
      <c r="C48" s="514"/>
      <c r="D48" s="514"/>
      <c r="F48" s="117"/>
      <c r="G48" s="68">
        <f>IFERROR(F48*'As-Filed Schedule 1'!$E$103,0)</f>
        <v>0</v>
      </c>
      <c r="H48" s="68">
        <f t="shared" si="0"/>
        <v>0</v>
      </c>
      <c r="J48" s="117"/>
      <c r="K48" s="68">
        <f>IFERROR(J48*'As-Filed Schedule 1'!$E$103,0)</f>
        <v>0</v>
      </c>
      <c r="L48" s="68">
        <f t="shared" si="1"/>
        <v>0</v>
      </c>
      <c r="N48" s="119"/>
      <c r="O48" s="119"/>
    </row>
    <row r="49" spans="1:15" x14ac:dyDescent="0.35">
      <c r="A49" s="24">
        <v>35</v>
      </c>
      <c r="B49" s="514"/>
      <c r="C49" s="514"/>
      <c r="D49" s="514"/>
      <c r="F49" s="117"/>
      <c r="G49" s="68">
        <f>IFERROR(F49*'As-Filed Schedule 1'!$E$103,0)</f>
        <v>0</v>
      </c>
      <c r="H49" s="68">
        <f t="shared" si="0"/>
        <v>0</v>
      </c>
      <c r="J49" s="117"/>
      <c r="K49" s="68">
        <f>IFERROR(J49*'As-Filed Schedule 1'!$E$103,0)</f>
        <v>0</v>
      </c>
      <c r="L49" s="68">
        <f t="shared" si="1"/>
        <v>0</v>
      </c>
      <c r="N49" s="119"/>
      <c r="O49" s="119"/>
    </row>
    <row r="50" spans="1:15" x14ac:dyDescent="0.35">
      <c r="A50" s="24">
        <v>36</v>
      </c>
      <c r="B50" s="514"/>
      <c r="C50" s="514"/>
      <c r="D50" s="514"/>
      <c r="F50" s="117"/>
      <c r="G50" s="68">
        <f>IFERROR(F50*'As-Filed Schedule 1'!$E$103,0)</f>
        <v>0</v>
      </c>
      <c r="H50" s="68">
        <f t="shared" si="0"/>
        <v>0</v>
      </c>
      <c r="J50" s="117"/>
      <c r="K50" s="68">
        <f>IFERROR(J50*'As-Filed Schedule 1'!$E$103,0)</f>
        <v>0</v>
      </c>
      <c r="L50" s="68">
        <f t="shared" si="1"/>
        <v>0</v>
      </c>
      <c r="N50" s="119"/>
      <c r="O50" s="119"/>
    </row>
    <row r="51" spans="1:15" x14ac:dyDescent="0.35">
      <c r="A51" s="24">
        <v>37</v>
      </c>
      <c r="B51" s="514"/>
      <c r="C51" s="514"/>
      <c r="D51" s="514"/>
      <c r="F51" s="117"/>
      <c r="G51" s="68">
        <f>IFERROR(F51*'As-Filed Schedule 1'!$E$103,0)</f>
        <v>0</v>
      </c>
      <c r="H51" s="68">
        <f t="shared" si="0"/>
        <v>0</v>
      </c>
      <c r="J51" s="117"/>
      <c r="K51" s="68">
        <f>IFERROR(J51*'As-Filed Schedule 1'!$E$103,0)</f>
        <v>0</v>
      </c>
      <c r="L51" s="68">
        <f t="shared" si="1"/>
        <v>0</v>
      </c>
      <c r="N51" s="119"/>
      <c r="O51" s="119"/>
    </row>
    <row r="52" spans="1:15" x14ac:dyDescent="0.35">
      <c r="A52" s="24">
        <v>38</v>
      </c>
      <c r="B52" s="514"/>
      <c r="C52" s="514"/>
      <c r="D52" s="514"/>
      <c r="F52" s="117"/>
      <c r="G52" s="68">
        <f>IFERROR(F52*'As-Filed Schedule 1'!$E$103,0)</f>
        <v>0</v>
      </c>
      <c r="H52" s="68">
        <f t="shared" si="0"/>
        <v>0</v>
      </c>
      <c r="J52" s="117"/>
      <c r="K52" s="68">
        <f>IFERROR(J52*'As-Filed Schedule 1'!$E$103,0)</f>
        <v>0</v>
      </c>
      <c r="L52" s="68">
        <f t="shared" si="1"/>
        <v>0</v>
      </c>
      <c r="N52" s="119"/>
      <c r="O52" s="119"/>
    </row>
    <row r="53" spans="1:15" x14ac:dyDescent="0.35">
      <c r="A53" s="24">
        <v>39</v>
      </c>
      <c r="B53" s="514"/>
      <c r="C53" s="514"/>
      <c r="D53" s="514"/>
      <c r="F53" s="117"/>
      <c r="G53" s="68">
        <f>IFERROR(F53*'As-Filed Schedule 1'!$E$103,0)</f>
        <v>0</v>
      </c>
      <c r="H53" s="68">
        <f t="shared" si="0"/>
        <v>0</v>
      </c>
      <c r="J53" s="117"/>
      <c r="K53" s="68">
        <f>IFERROR(J53*'As-Filed Schedule 1'!$E$103,0)</f>
        <v>0</v>
      </c>
      <c r="L53" s="68">
        <f t="shared" si="1"/>
        <v>0</v>
      </c>
      <c r="N53" s="119"/>
      <c r="O53" s="119"/>
    </row>
    <row r="54" spans="1:15" x14ac:dyDescent="0.35">
      <c r="A54" s="24">
        <v>40</v>
      </c>
      <c r="B54" s="514"/>
      <c r="C54" s="514"/>
      <c r="D54" s="514"/>
      <c r="F54" s="117"/>
      <c r="G54" s="68">
        <f>IFERROR(F54*'As-Filed Schedule 1'!$E$103,0)</f>
        <v>0</v>
      </c>
      <c r="H54" s="68">
        <f t="shared" si="0"/>
        <v>0</v>
      </c>
      <c r="J54" s="117"/>
      <c r="K54" s="68">
        <f>IFERROR(J54*'As-Filed Schedule 1'!$E$103,0)</f>
        <v>0</v>
      </c>
      <c r="L54" s="68">
        <f t="shared" si="1"/>
        <v>0</v>
      </c>
      <c r="N54" s="119"/>
      <c r="O54" s="119"/>
    </row>
    <row r="55" spans="1:15" x14ac:dyDescent="0.35">
      <c r="A55" s="24">
        <v>41</v>
      </c>
      <c r="B55" s="514"/>
      <c r="C55" s="514"/>
      <c r="D55" s="514"/>
      <c r="F55" s="117"/>
      <c r="G55" s="68">
        <f>IFERROR(F55*'As-Filed Schedule 1'!$E$103,0)</f>
        <v>0</v>
      </c>
      <c r="H55" s="68">
        <f t="shared" si="0"/>
        <v>0</v>
      </c>
      <c r="J55" s="117"/>
      <c r="K55" s="68">
        <f>IFERROR(J55*'As-Filed Schedule 1'!$E$103,0)</f>
        <v>0</v>
      </c>
      <c r="L55" s="68">
        <f t="shared" si="1"/>
        <v>0</v>
      </c>
      <c r="N55" s="119"/>
      <c r="O55" s="119"/>
    </row>
    <row r="56" spans="1:15" x14ac:dyDescent="0.35">
      <c r="A56" s="24">
        <v>42</v>
      </c>
      <c r="B56" s="514"/>
      <c r="C56" s="514"/>
      <c r="D56" s="514"/>
      <c r="F56" s="117"/>
      <c r="G56" s="68">
        <f>IFERROR(F56*'As-Filed Schedule 1'!$E$103,0)</f>
        <v>0</v>
      </c>
      <c r="H56" s="68">
        <f t="shared" si="0"/>
        <v>0</v>
      </c>
      <c r="J56" s="117"/>
      <c r="K56" s="68">
        <f>IFERROR(J56*'As-Filed Schedule 1'!$E$103,0)</f>
        <v>0</v>
      </c>
      <c r="L56" s="68">
        <f t="shared" si="1"/>
        <v>0</v>
      </c>
      <c r="N56" s="119"/>
      <c r="O56" s="119"/>
    </row>
    <row r="57" spans="1:15" x14ac:dyDescent="0.35">
      <c r="A57" s="24">
        <v>43</v>
      </c>
      <c r="B57" s="514"/>
      <c r="C57" s="514"/>
      <c r="D57" s="514"/>
      <c r="F57" s="117"/>
      <c r="G57" s="68">
        <f>IFERROR(F57*'As-Filed Schedule 1'!$E$103,0)</f>
        <v>0</v>
      </c>
      <c r="H57" s="68">
        <f t="shared" si="0"/>
        <v>0</v>
      </c>
      <c r="J57" s="117"/>
      <c r="K57" s="68">
        <f>IFERROR(J57*'As-Filed Schedule 1'!$E$103,0)</f>
        <v>0</v>
      </c>
      <c r="L57" s="68">
        <f t="shared" si="1"/>
        <v>0</v>
      </c>
      <c r="N57" s="119"/>
      <c r="O57" s="119"/>
    </row>
    <row r="58" spans="1:15" x14ac:dyDescent="0.35">
      <c r="A58" s="24">
        <v>44</v>
      </c>
      <c r="B58" s="514"/>
      <c r="C58" s="514"/>
      <c r="D58" s="514"/>
      <c r="F58" s="117"/>
      <c r="G58" s="68">
        <f>IFERROR(F58*'As-Filed Schedule 1'!$E$103,0)</f>
        <v>0</v>
      </c>
      <c r="H58" s="68">
        <f t="shared" si="0"/>
        <v>0</v>
      </c>
      <c r="J58" s="117"/>
      <c r="K58" s="68">
        <f>IFERROR(J58*'As-Filed Schedule 1'!$E$103,0)</f>
        <v>0</v>
      </c>
      <c r="L58" s="68">
        <f t="shared" si="1"/>
        <v>0</v>
      </c>
      <c r="N58" s="119"/>
      <c r="O58" s="119"/>
    </row>
    <row r="59" spans="1:15" x14ac:dyDescent="0.35">
      <c r="A59" s="24">
        <v>45</v>
      </c>
      <c r="B59" s="514"/>
      <c r="C59" s="514"/>
      <c r="D59" s="514"/>
      <c r="F59" s="117"/>
      <c r="G59" s="68">
        <f>IFERROR(F59*'As-Filed Schedule 1'!$E$103,0)</f>
        <v>0</v>
      </c>
      <c r="H59" s="68">
        <f t="shared" si="0"/>
        <v>0</v>
      </c>
      <c r="J59" s="117"/>
      <c r="K59" s="68">
        <f>IFERROR(J59*'As-Filed Schedule 1'!$E$103,0)</f>
        <v>0</v>
      </c>
      <c r="L59" s="68">
        <f t="shared" si="1"/>
        <v>0</v>
      </c>
      <c r="N59" s="119"/>
      <c r="O59" s="119"/>
    </row>
    <row r="60" spans="1:15" x14ac:dyDescent="0.35">
      <c r="A60" s="24">
        <v>46</v>
      </c>
      <c r="B60" s="514"/>
      <c r="C60" s="514"/>
      <c r="D60" s="514"/>
      <c r="F60" s="117"/>
      <c r="G60" s="68">
        <f>IFERROR(F60*'As-Filed Schedule 1'!$E$103,0)</f>
        <v>0</v>
      </c>
      <c r="H60" s="68">
        <f t="shared" si="0"/>
        <v>0</v>
      </c>
      <c r="J60" s="117"/>
      <c r="K60" s="68">
        <f>IFERROR(J60*'As-Filed Schedule 1'!$E$103,0)</f>
        <v>0</v>
      </c>
      <c r="L60" s="68">
        <f t="shared" si="1"/>
        <v>0</v>
      </c>
      <c r="N60" s="119"/>
      <c r="O60" s="119"/>
    </row>
    <row r="61" spans="1:15" x14ac:dyDescent="0.35">
      <c r="A61" s="24">
        <v>47</v>
      </c>
      <c r="B61" s="514"/>
      <c r="C61" s="514"/>
      <c r="D61" s="514"/>
      <c r="F61" s="117"/>
      <c r="G61" s="68">
        <f>IFERROR(F61*'As-Filed Schedule 1'!$E$103,0)</f>
        <v>0</v>
      </c>
      <c r="H61" s="68">
        <f t="shared" si="0"/>
        <v>0</v>
      </c>
      <c r="J61" s="117"/>
      <c r="K61" s="68">
        <f>IFERROR(J61*'As-Filed Schedule 1'!$E$103,0)</f>
        <v>0</v>
      </c>
      <c r="L61" s="68">
        <f t="shared" si="1"/>
        <v>0</v>
      </c>
      <c r="N61" s="119"/>
      <c r="O61" s="119"/>
    </row>
    <row r="62" spans="1:15" x14ac:dyDescent="0.35">
      <c r="A62" s="24">
        <v>48</v>
      </c>
      <c r="B62" s="514"/>
      <c r="C62" s="514"/>
      <c r="D62" s="514"/>
      <c r="F62" s="117"/>
      <c r="G62" s="68">
        <f>IFERROR(F62*'As-Filed Schedule 1'!$E$103,0)</f>
        <v>0</v>
      </c>
      <c r="H62" s="68">
        <f t="shared" si="0"/>
        <v>0</v>
      </c>
      <c r="J62" s="117"/>
      <c r="K62" s="68">
        <f>IFERROR(J62*'As-Filed Schedule 1'!$E$103,0)</f>
        <v>0</v>
      </c>
      <c r="L62" s="68">
        <f t="shared" si="1"/>
        <v>0</v>
      </c>
      <c r="N62" s="119"/>
      <c r="O62" s="119"/>
    </row>
    <row r="63" spans="1:15" x14ac:dyDescent="0.35">
      <c r="A63" s="24">
        <v>49</v>
      </c>
      <c r="B63" s="514"/>
      <c r="C63" s="514"/>
      <c r="D63" s="514"/>
      <c r="F63" s="117"/>
      <c r="G63" s="68">
        <f>IFERROR(F63*'As-Filed Schedule 1'!$E$103,0)</f>
        <v>0</v>
      </c>
      <c r="H63" s="68">
        <f t="shared" si="0"/>
        <v>0</v>
      </c>
      <c r="J63" s="117"/>
      <c r="K63" s="68">
        <f>IFERROR(J63*'As-Filed Schedule 1'!$E$103,0)</f>
        <v>0</v>
      </c>
      <c r="L63" s="68">
        <f t="shared" si="1"/>
        <v>0</v>
      </c>
      <c r="N63" s="119"/>
      <c r="O63" s="119"/>
    </row>
    <row r="64" spans="1:15" x14ac:dyDescent="0.35">
      <c r="A64" s="24">
        <v>50</v>
      </c>
      <c r="B64" s="514"/>
      <c r="C64" s="514"/>
      <c r="D64" s="514"/>
      <c r="F64" s="117"/>
      <c r="G64" s="68">
        <f>IFERROR(F64*'As-Filed Schedule 1'!$E$103,0)</f>
        <v>0</v>
      </c>
      <c r="H64" s="68">
        <f t="shared" si="0"/>
        <v>0</v>
      </c>
      <c r="J64" s="117"/>
      <c r="K64" s="68">
        <f>IFERROR(J64*'As-Filed Schedule 1'!$E$103,0)</f>
        <v>0</v>
      </c>
      <c r="L64" s="68">
        <f t="shared" si="1"/>
        <v>0</v>
      </c>
      <c r="N64" s="119"/>
      <c r="O64" s="119"/>
    </row>
    <row r="65" spans="1:15" x14ac:dyDescent="0.35">
      <c r="A65" s="24">
        <v>51</v>
      </c>
      <c r="B65" s="514"/>
      <c r="C65" s="514"/>
      <c r="D65" s="514"/>
      <c r="F65" s="117"/>
      <c r="G65" s="68">
        <f>IFERROR(F65*'As-Filed Schedule 1'!$E$103,0)</f>
        <v>0</v>
      </c>
      <c r="H65" s="68">
        <f t="shared" si="0"/>
        <v>0</v>
      </c>
      <c r="J65" s="117"/>
      <c r="K65" s="68">
        <f>IFERROR(J65*'As-Filed Schedule 1'!$E$103,0)</f>
        <v>0</v>
      </c>
      <c r="L65" s="68">
        <f t="shared" si="1"/>
        <v>0</v>
      </c>
      <c r="N65" s="119"/>
      <c r="O65" s="119"/>
    </row>
    <row r="66" spans="1:15" x14ac:dyDescent="0.35">
      <c r="A66" s="24">
        <v>52</v>
      </c>
      <c r="B66" s="514"/>
      <c r="C66" s="514"/>
      <c r="D66" s="514"/>
      <c r="F66" s="117"/>
      <c r="G66" s="68">
        <f>IFERROR(F66*'As-Filed Schedule 1'!$E$103,0)</f>
        <v>0</v>
      </c>
      <c r="H66" s="68">
        <f t="shared" si="0"/>
        <v>0</v>
      </c>
      <c r="J66" s="117"/>
      <c r="K66" s="68">
        <f>IFERROR(J66*'As-Filed Schedule 1'!$E$103,0)</f>
        <v>0</v>
      </c>
      <c r="L66" s="68">
        <f t="shared" si="1"/>
        <v>0</v>
      </c>
      <c r="N66" s="119"/>
      <c r="O66" s="119"/>
    </row>
    <row r="67" spans="1:15" x14ac:dyDescent="0.35">
      <c r="A67" s="24">
        <v>53</v>
      </c>
      <c r="B67" s="514"/>
      <c r="C67" s="514"/>
      <c r="D67" s="514"/>
      <c r="F67" s="117"/>
      <c r="G67" s="68">
        <f>IFERROR(F67*'As-Filed Schedule 1'!$E$103,0)</f>
        <v>0</v>
      </c>
      <c r="H67" s="68">
        <f t="shared" si="0"/>
        <v>0</v>
      </c>
      <c r="J67" s="117"/>
      <c r="K67" s="68">
        <f>IFERROR(J67*'As-Filed Schedule 1'!$E$103,0)</f>
        <v>0</v>
      </c>
      <c r="L67" s="68">
        <f t="shared" si="1"/>
        <v>0</v>
      </c>
      <c r="N67" s="119"/>
      <c r="O67" s="119"/>
    </row>
    <row r="68" spans="1:15" x14ac:dyDescent="0.35">
      <c r="A68" s="24">
        <v>54</v>
      </c>
      <c r="B68" s="514"/>
      <c r="C68" s="514"/>
      <c r="D68" s="514"/>
      <c r="F68" s="117"/>
      <c r="G68" s="68">
        <f>IFERROR(F68*'As-Filed Schedule 1'!$E$103,0)</f>
        <v>0</v>
      </c>
      <c r="H68" s="68">
        <f t="shared" si="0"/>
        <v>0</v>
      </c>
      <c r="J68" s="117"/>
      <c r="K68" s="68">
        <f>IFERROR(J68*'As-Filed Schedule 1'!$E$103,0)</f>
        <v>0</v>
      </c>
      <c r="L68" s="68">
        <f t="shared" si="1"/>
        <v>0</v>
      </c>
      <c r="N68" s="119"/>
      <c r="O68" s="119"/>
    </row>
    <row r="69" spans="1:15" x14ac:dyDescent="0.35">
      <c r="A69" s="24">
        <v>55</v>
      </c>
      <c r="B69" s="514"/>
      <c r="C69" s="514"/>
      <c r="D69" s="514"/>
      <c r="F69" s="117"/>
      <c r="G69" s="68">
        <f>IFERROR(F69*'As-Filed Schedule 1'!$E$103,0)</f>
        <v>0</v>
      </c>
      <c r="H69" s="68">
        <f t="shared" si="0"/>
        <v>0</v>
      </c>
      <c r="J69" s="117"/>
      <c r="K69" s="68">
        <f>IFERROR(J69*'As-Filed Schedule 1'!$E$103,0)</f>
        <v>0</v>
      </c>
      <c r="L69" s="68">
        <f t="shared" si="1"/>
        <v>0</v>
      </c>
      <c r="N69" s="119"/>
      <c r="O69" s="119"/>
    </row>
    <row r="70" spans="1:15" x14ac:dyDescent="0.35">
      <c r="A70" s="24">
        <v>56</v>
      </c>
      <c r="B70" s="514"/>
      <c r="C70" s="514"/>
      <c r="D70" s="514"/>
      <c r="F70" s="117"/>
      <c r="G70" s="68">
        <f>IFERROR(F70*'As-Filed Schedule 1'!$E$103,0)</f>
        <v>0</v>
      </c>
      <c r="H70" s="68">
        <f t="shared" si="0"/>
        <v>0</v>
      </c>
      <c r="J70" s="117"/>
      <c r="K70" s="68">
        <f>IFERROR(J70*'As-Filed Schedule 1'!$E$103,0)</f>
        <v>0</v>
      </c>
      <c r="L70" s="68">
        <f t="shared" si="1"/>
        <v>0</v>
      </c>
      <c r="N70" s="119"/>
      <c r="O70" s="119"/>
    </row>
    <row r="71" spans="1:15" x14ac:dyDescent="0.35">
      <c r="A71" s="24">
        <v>57</v>
      </c>
      <c r="B71" s="514"/>
      <c r="C71" s="514"/>
      <c r="D71" s="514"/>
      <c r="F71" s="117"/>
      <c r="G71" s="68">
        <f>IFERROR(F71*'As-Filed Schedule 1'!$E$103,0)</f>
        <v>0</v>
      </c>
      <c r="H71" s="68">
        <f t="shared" si="0"/>
        <v>0</v>
      </c>
      <c r="J71" s="117"/>
      <c r="K71" s="68">
        <f>IFERROR(J71*'As-Filed Schedule 1'!$E$103,0)</f>
        <v>0</v>
      </c>
      <c r="L71" s="68">
        <f t="shared" si="1"/>
        <v>0</v>
      </c>
      <c r="N71" s="119"/>
      <c r="O71" s="119"/>
    </row>
    <row r="72" spans="1:15" x14ac:dyDescent="0.35">
      <c r="A72" s="24">
        <v>58</v>
      </c>
      <c r="B72" s="514"/>
      <c r="C72" s="514"/>
      <c r="D72" s="514"/>
      <c r="F72" s="117"/>
      <c r="G72" s="68">
        <f>IFERROR(F72*'As-Filed Schedule 1'!$E$103,0)</f>
        <v>0</v>
      </c>
      <c r="H72" s="68">
        <f t="shared" si="0"/>
        <v>0</v>
      </c>
      <c r="J72" s="117"/>
      <c r="K72" s="68">
        <f>IFERROR(J72*'As-Filed Schedule 1'!$E$103,0)</f>
        <v>0</v>
      </c>
      <c r="L72" s="68">
        <f t="shared" si="1"/>
        <v>0</v>
      </c>
      <c r="N72" s="119"/>
      <c r="O72" s="119"/>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836</v>
      </c>
      <c r="G75" s="74"/>
      <c r="H75" s="74"/>
      <c r="I75" s="74"/>
      <c r="J75" s="74"/>
      <c r="K75" s="74"/>
      <c r="L75" s="75">
        <f>H73+L73</f>
        <v>0</v>
      </c>
    </row>
  </sheetData>
  <sheetProtection sheet="1" objects="1" scenarios="1"/>
  <customSheetViews>
    <customSheetView guid="{D0F83CC0-0361-4280-BCA4-9A92C986158B}" state="hidden">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6:D26"/>
    <mergeCell ref="B15:D15"/>
    <mergeCell ref="B16:D16"/>
    <mergeCell ref="B17:D17"/>
    <mergeCell ref="B18:D18"/>
    <mergeCell ref="B19:D19"/>
    <mergeCell ref="B20:D20"/>
    <mergeCell ref="B21:D21"/>
    <mergeCell ref="B22:D22"/>
    <mergeCell ref="B23:D23"/>
    <mergeCell ref="B24:D24"/>
    <mergeCell ref="B25:D25"/>
    <mergeCell ref="O13:O14"/>
    <mergeCell ref="B12:D12"/>
    <mergeCell ref="B13:D14"/>
    <mergeCell ref="F13:H13"/>
    <mergeCell ref="J13:L13"/>
    <mergeCell ref="N13:N14"/>
  </mergeCells>
  <pageMargins left="0.7" right="0.7" top="0.75" bottom="0.75" header="0.3" footer="0.3"/>
  <pageSetup orientation="portrait" horizontalDpi="1200" verticalDpi="1200"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CC5CA"/>
  </sheetPr>
  <dimension ref="A1:V261"/>
  <sheetViews>
    <sheetView workbookViewId="0">
      <selection activeCell="O22" sqref="O22"/>
    </sheetView>
  </sheetViews>
  <sheetFormatPr defaultRowHeight="14.5" x14ac:dyDescent="0.35"/>
  <cols>
    <col min="2" max="2" width="15.7265625" customWidth="1"/>
    <col min="3" max="3" width="20.7265625" customWidth="1"/>
    <col min="4" max="5" width="17.453125" customWidth="1"/>
    <col min="6" max="6" width="10.81640625" customWidth="1"/>
    <col min="7" max="7" width="16.7265625" style="137" customWidth="1"/>
    <col min="8" max="8" width="14.81640625" style="137" customWidth="1"/>
    <col min="9" max="9" width="9" customWidth="1"/>
    <col min="10" max="10" width="17.453125" customWidth="1"/>
    <col min="11" max="11" width="18.453125" customWidth="1"/>
    <col min="12" max="12" width="12.453125" customWidth="1"/>
    <col min="13" max="17" width="18.453125" customWidth="1"/>
    <col min="18" max="18" width="14.453125" customWidth="1"/>
    <col min="20" max="22" width="25.81640625" customWidth="1"/>
  </cols>
  <sheetData>
    <row r="1" spans="1:22" ht="26" x14ac:dyDescent="0.6">
      <c r="A1" s="3" t="s">
        <v>774</v>
      </c>
      <c r="C1" s="11"/>
      <c r="D1" s="4"/>
      <c r="E1" s="13"/>
      <c r="F1" s="13"/>
      <c r="G1" s="136"/>
      <c r="H1" s="136"/>
      <c r="I1" s="13"/>
      <c r="J1" s="13"/>
    </row>
    <row r="2" spans="1:22" ht="21" x14ac:dyDescent="0.5">
      <c r="A2" s="2" t="s">
        <v>772</v>
      </c>
      <c r="C2" s="11"/>
      <c r="D2" s="4"/>
      <c r="E2" s="13"/>
      <c r="F2" s="13"/>
      <c r="G2" s="136"/>
      <c r="H2" s="136"/>
      <c r="I2" s="13"/>
      <c r="J2" s="13"/>
    </row>
    <row r="3" spans="1:22" ht="25" customHeight="1" x14ac:dyDescent="0.5">
      <c r="A3" s="5" t="s">
        <v>925</v>
      </c>
      <c r="B3" s="5"/>
      <c r="C3" s="12"/>
      <c r="D3" s="7"/>
      <c r="E3" s="14"/>
      <c r="F3" s="13"/>
      <c r="G3" s="136"/>
      <c r="H3" s="136"/>
      <c r="I3" s="13"/>
      <c r="J3" s="14"/>
    </row>
    <row r="4" spans="1:22" x14ac:dyDescent="0.35">
      <c r="C4" s="11"/>
      <c r="D4" s="4"/>
      <c r="E4" s="13"/>
      <c r="F4" s="13"/>
      <c r="G4" s="136"/>
      <c r="H4" s="136"/>
      <c r="I4" s="13"/>
      <c r="J4" s="50"/>
      <c r="T4" s="129"/>
      <c r="U4" s="129"/>
      <c r="V4" s="129"/>
    </row>
    <row r="5" spans="1:22" x14ac:dyDescent="0.35">
      <c r="A5" s="1" t="s">
        <v>773</v>
      </c>
      <c r="C5" s="415" t="str">
        <f>'As-Filed Schedule 1'!C5</f>
        <v>AllHealth Network</v>
      </c>
      <c r="D5" s="240"/>
      <c r="E5" s="13"/>
      <c r="F5" s="13"/>
      <c r="G5" s="136"/>
      <c r="H5" s="136"/>
      <c r="I5" s="13"/>
      <c r="J5" s="50"/>
      <c r="T5" s="40"/>
      <c r="U5" s="40"/>
      <c r="V5" s="40"/>
    </row>
    <row r="6" spans="1:22" x14ac:dyDescent="0.35">
      <c r="A6" s="1" t="s">
        <v>0</v>
      </c>
      <c r="C6" s="35">
        <f>'As-Filed Schedule 1'!C6</f>
        <v>45473</v>
      </c>
      <c r="D6" s="35"/>
      <c r="E6" s="50"/>
      <c r="F6" s="13"/>
      <c r="G6" s="136"/>
      <c r="H6" s="136"/>
      <c r="I6" s="13"/>
      <c r="J6" s="50"/>
      <c r="T6" s="40"/>
      <c r="U6" s="40"/>
    </row>
    <row r="7" spans="1:22" x14ac:dyDescent="0.35">
      <c r="A7" s="203"/>
      <c r="B7" s="100"/>
      <c r="C7" s="204"/>
      <c r="D7" s="204"/>
      <c r="E7" s="205"/>
      <c r="F7" s="205"/>
      <c r="G7" s="206"/>
      <c r="H7" s="206"/>
      <c r="I7" s="205"/>
      <c r="J7" s="205"/>
      <c r="K7" s="100"/>
      <c r="L7" s="100"/>
      <c r="T7" s="40"/>
      <c r="U7" s="40"/>
      <c r="V7" s="40"/>
    </row>
    <row r="8" spans="1:22" x14ac:dyDescent="0.35">
      <c r="A8" s="203" t="s">
        <v>479</v>
      </c>
      <c r="B8" s="100"/>
      <c r="C8" s="100"/>
      <c r="D8" s="100"/>
      <c r="E8" s="100"/>
      <c r="F8" s="100"/>
      <c r="G8" s="203"/>
      <c r="H8" s="113"/>
      <c r="I8" s="100"/>
      <c r="J8" s="205"/>
      <c r="K8" s="100"/>
      <c r="L8" s="100"/>
      <c r="T8" s="40"/>
      <c r="U8" s="40"/>
      <c r="V8" s="40"/>
    </row>
    <row r="9" spans="1:22" ht="15" customHeight="1" x14ac:dyDescent="0.35">
      <c r="A9" s="502" t="s">
        <v>480</v>
      </c>
      <c r="B9" s="502"/>
      <c r="C9" s="502"/>
      <c r="D9" s="502"/>
      <c r="E9" s="502"/>
      <c r="F9" s="502"/>
      <c r="G9" s="502"/>
      <c r="H9" s="502"/>
      <c r="I9" s="502"/>
      <c r="J9" s="502"/>
      <c r="K9" s="502"/>
      <c r="L9" s="100"/>
      <c r="T9" s="40"/>
      <c r="U9" s="40"/>
      <c r="V9" s="40"/>
    </row>
    <row r="10" spans="1:22" x14ac:dyDescent="0.35">
      <c r="A10" s="502"/>
      <c r="B10" s="502"/>
      <c r="C10" s="502"/>
      <c r="D10" s="502"/>
      <c r="E10" s="502"/>
      <c r="F10" s="502"/>
      <c r="G10" s="502"/>
      <c r="H10" s="502"/>
      <c r="I10" s="502"/>
      <c r="J10" s="502"/>
      <c r="K10" s="502"/>
      <c r="L10" s="100"/>
      <c r="T10" s="40"/>
      <c r="U10" s="40"/>
      <c r="V10" s="40"/>
    </row>
    <row r="11" spans="1:22" x14ac:dyDescent="0.35">
      <c r="A11" s="502"/>
      <c r="B11" s="502"/>
      <c r="C11" s="502"/>
      <c r="D11" s="502"/>
      <c r="E11" s="502"/>
      <c r="F11" s="502"/>
      <c r="G11" s="502"/>
      <c r="H11" s="502"/>
      <c r="I11" s="502"/>
      <c r="J11" s="502"/>
      <c r="K11" s="502"/>
      <c r="L11" s="100"/>
      <c r="T11" s="40"/>
      <c r="U11" s="40"/>
      <c r="V11" s="40"/>
    </row>
    <row r="12" spans="1:22" x14ac:dyDescent="0.35">
      <c r="A12" s="203"/>
      <c r="B12" s="100"/>
      <c r="C12" s="204"/>
      <c r="D12" s="204"/>
      <c r="E12" s="205"/>
      <c r="F12" s="205"/>
      <c r="G12" s="206"/>
      <c r="H12" s="206"/>
      <c r="I12" s="205"/>
      <c r="J12" s="205"/>
      <c r="K12" s="100"/>
      <c r="L12" s="100"/>
      <c r="T12" s="40"/>
      <c r="U12" s="40"/>
      <c r="V12" s="40"/>
    </row>
    <row r="13" spans="1:22" x14ac:dyDescent="0.35">
      <c r="A13" s="100"/>
      <c r="B13" s="497">
        <v>1</v>
      </c>
      <c r="C13" s="498"/>
      <c r="D13" s="174">
        <v>2</v>
      </c>
      <c r="E13" s="174">
        <v>3</v>
      </c>
      <c r="F13" s="174">
        <v>4</v>
      </c>
      <c r="G13" s="174">
        <v>5</v>
      </c>
      <c r="H13" s="174">
        <v>6</v>
      </c>
      <c r="I13" s="174">
        <v>7</v>
      </c>
      <c r="J13" s="174">
        <v>8</v>
      </c>
      <c r="K13" s="174">
        <v>9</v>
      </c>
      <c r="L13" s="174">
        <v>10</v>
      </c>
      <c r="M13" s="23">
        <v>11</v>
      </c>
      <c r="N13" s="23">
        <v>12</v>
      </c>
      <c r="O13" s="23">
        <v>13</v>
      </c>
      <c r="P13" s="23">
        <v>14</v>
      </c>
      <c r="Q13" s="23">
        <v>15</v>
      </c>
      <c r="R13" s="23">
        <v>16</v>
      </c>
    </row>
    <row r="14" spans="1:22" x14ac:dyDescent="0.35">
      <c r="A14" s="100"/>
      <c r="B14" s="531" t="s">
        <v>158</v>
      </c>
      <c r="C14" s="532"/>
      <c r="D14" s="535" t="s">
        <v>464</v>
      </c>
      <c r="E14" s="535" t="s">
        <v>437</v>
      </c>
      <c r="F14" s="535" t="s">
        <v>441</v>
      </c>
      <c r="G14" s="537" t="s">
        <v>492</v>
      </c>
      <c r="H14" s="537" t="s">
        <v>493</v>
      </c>
      <c r="I14" s="207"/>
      <c r="J14" s="207"/>
      <c r="K14" s="535" t="s">
        <v>160</v>
      </c>
      <c r="L14" s="535" t="s">
        <v>161</v>
      </c>
      <c r="M14" s="528" t="s">
        <v>168</v>
      </c>
      <c r="N14" s="528"/>
      <c r="O14" s="528" t="s">
        <v>34</v>
      </c>
      <c r="P14" s="528"/>
      <c r="Q14" s="528" t="s">
        <v>169</v>
      </c>
      <c r="R14" s="528"/>
    </row>
    <row r="15" spans="1:22" ht="60" customHeight="1" x14ac:dyDescent="0.35">
      <c r="A15" s="100"/>
      <c r="B15" s="533"/>
      <c r="C15" s="534"/>
      <c r="D15" s="536"/>
      <c r="E15" s="536"/>
      <c r="F15" s="536"/>
      <c r="G15" s="538"/>
      <c r="H15" s="538"/>
      <c r="I15" s="208" t="s">
        <v>454</v>
      </c>
      <c r="J15" s="208" t="s">
        <v>494</v>
      </c>
      <c r="K15" s="536"/>
      <c r="L15" s="536"/>
      <c r="M15" s="10" t="s">
        <v>162</v>
      </c>
      <c r="N15" s="10" t="s">
        <v>163</v>
      </c>
      <c r="O15" s="10" t="s">
        <v>164</v>
      </c>
      <c r="P15" s="10" t="s">
        <v>165</v>
      </c>
      <c r="Q15" s="10" t="s">
        <v>166</v>
      </c>
      <c r="R15" s="10" t="s">
        <v>167</v>
      </c>
    </row>
    <row r="16" spans="1:22" ht="10" customHeight="1" x14ac:dyDescent="0.35">
      <c r="A16" s="100"/>
      <c r="B16" s="209"/>
      <c r="C16" s="209"/>
      <c r="D16" s="97"/>
      <c r="E16" s="97"/>
      <c r="F16" s="97"/>
      <c r="G16" s="210"/>
      <c r="H16" s="210"/>
      <c r="I16" s="97"/>
      <c r="J16" s="97"/>
      <c r="K16" s="97"/>
      <c r="L16" s="97"/>
      <c r="M16" s="6"/>
      <c r="N16" s="6"/>
      <c r="O16" s="6"/>
      <c r="P16" s="6"/>
      <c r="Q16" s="6"/>
      <c r="R16" s="6"/>
    </row>
    <row r="17" spans="1:18" s="34" customFormat="1" x14ac:dyDescent="0.35">
      <c r="A17" s="84">
        <v>1</v>
      </c>
      <c r="B17" s="465" t="s">
        <v>175</v>
      </c>
      <c r="C17" s="466"/>
      <c r="D17" s="456" t="s">
        <v>175</v>
      </c>
      <c r="E17" s="456"/>
      <c r="F17" s="457">
        <v>15</v>
      </c>
      <c r="G17" s="458"/>
      <c r="H17" s="458"/>
      <c r="I17" s="138">
        <f>IF(B17=0,"",IF(AND(G17=0,H17=0),365,IF(AND(G17&gt;0,H17=0),$C$6-G17+1,IF(AND(G17=0,H17&gt;0),H17-($C$6-365),H17-G17+1))))</f>
        <v>365</v>
      </c>
      <c r="J17" s="98"/>
      <c r="K17" s="8">
        <f>SUM(K18:K20)</f>
        <v>3208</v>
      </c>
      <c r="L17" s="91">
        <f>IF(K17&gt;0,K17/(F17*I17),"")</f>
        <v>0.58593607305936068</v>
      </c>
      <c r="M17" s="125">
        <v>3951730</v>
      </c>
      <c r="N17" s="85">
        <f>IFERROR(M17/K17,"")</f>
        <v>1231.8360349127181</v>
      </c>
      <c r="O17" s="125">
        <v>633198</v>
      </c>
      <c r="P17" s="85">
        <f>IFERROR(O17/K17,"")</f>
        <v>197.38092269326683</v>
      </c>
      <c r="Q17" s="86">
        <f>IF(M17=0,"",M17-O17)</f>
        <v>3318532</v>
      </c>
      <c r="R17" s="85">
        <f>IFERROR(Q17/K17,"")</f>
        <v>1034.4551122194514</v>
      </c>
    </row>
    <row r="18" spans="1:18" x14ac:dyDescent="0.35">
      <c r="A18" s="101" t="s">
        <v>447</v>
      </c>
      <c r="B18" s="216"/>
      <c r="C18" s="216"/>
      <c r="D18" s="216"/>
      <c r="E18" s="216"/>
      <c r="F18" s="217"/>
      <c r="G18" s="218"/>
      <c r="H18" s="218"/>
      <c r="I18" s="104"/>
      <c r="J18" s="99" t="s">
        <v>52</v>
      </c>
      <c r="K18" s="220">
        <v>3208</v>
      </c>
      <c r="L18" s="89"/>
      <c r="M18" s="87"/>
      <c r="N18" s="87"/>
      <c r="O18" s="87"/>
      <c r="P18" s="87"/>
      <c r="Q18" s="87"/>
      <c r="R18" s="87"/>
    </row>
    <row r="19" spans="1:18" x14ac:dyDescent="0.35">
      <c r="A19" s="102" t="s">
        <v>448</v>
      </c>
      <c r="B19" s="223"/>
      <c r="C19" s="223"/>
      <c r="D19" s="223"/>
      <c r="E19" s="223"/>
      <c r="F19" s="224"/>
      <c r="G19" s="225"/>
      <c r="H19" s="225"/>
      <c r="I19" s="105"/>
      <c r="J19" s="114"/>
      <c r="K19" s="227"/>
      <c r="L19" s="90"/>
      <c r="M19" s="88"/>
      <c r="N19" s="88"/>
      <c r="O19" s="88"/>
      <c r="P19" s="88"/>
      <c r="Q19" s="88"/>
      <c r="R19" s="88"/>
    </row>
    <row r="20" spans="1:18" x14ac:dyDescent="0.35">
      <c r="A20" s="103" t="s">
        <v>449</v>
      </c>
      <c r="B20" s="223"/>
      <c r="C20" s="223"/>
      <c r="D20" s="223"/>
      <c r="E20" s="223"/>
      <c r="F20" s="224"/>
      <c r="G20" s="225"/>
      <c r="H20" s="225"/>
      <c r="I20" s="105"/>
      <c r="J20" s="115"/>
      <c r="K20" s="124"/>
      <c r="L20" s="90"/>
      <c r="M20" s="88"/>
      <c r="N20" s="88"/>
      <c r="O20" s="88"/>
      <c r="P20" s="88"/>
      <c r="Q20" s="88"/>
      <c r="R20" s="88"/>
    </row>
    <row r="21" spans="1:18" x14ac:dyDescent="0.35">
      <c r="G21"/>
      <c r="H21"/>
      <c r="J21" s="100"/>
      <c r="L21" s="28"/>
    </row>
    <row r="22" spans="1:18" s="34" customFormat="1" x14ac:dyDescent="0.35">
      <c r="A22" s="84">
        <v>2</v>
      </c>
      <c r="B22" s="463" t="s">
        <v>176</v>
      </c>
      <c r="C22" s="464"/>
      <c r="D22" s="120" t="s">
        <v>176</v>
      </c>
      <c r="E22" s="120"/>
      <c r="F22" s="121">
        <v>16</v>
      </c>
      <c r="G22" s="133"/>
      <c r="H22" s="133"/>
      <c r="I22" s="138">
        <f>IF(B22=0,"",IF(AND(G22=0,H22=0),365,IF(AND(G22&gt;0,H22=0),$C$6-G22+1,IF(AND(G22=0,H22&gt;0),H22-($C$6-365),H22-G22+1))))</f>
        <v>365</v>
      </c>
      <c r="J22" s="98"/>
      <c r="K22" s="8">
        <f>SUM(K23:K25)</f>
        <v>3878</v>
      </c>
      <c r="L22" s="91">
        <f>IF(K22&gt;0,K22/(F22*I22),"")</f>
        <v>0.66404109589041094</v>
      </c>
      <c r="M22" s="125">
        <v>4957786</v>
      </c>
      <c r="N22" s="85">
        <f>IFERROR(M22/K22,"")</f>
        <v>1278.4388860237236</v>
      </c>
      <c r="O22" s="125">
        <v>779895</v>
      </c>
      <c r="P22" s="85">
        <f>IFERROR(O22/K22,"")</f>
        <v>201.10752965446108</v>
      </c>
      <c r="Q22" s="86">
        <f>IF(M22=0,"",M22-O22)</f>
        <v>4177891</v>
      </c>
      <c r="R22" s="85">
        <f>IFERROR(Q22/K22,"")</f>
        <v>1077.3313563692625</v>
      </c>
    </row>
    <row r="23" spans="1:18" x14ac:dyDescent="0.35">
      <c r="A23" s="101" t="s">
        <v>447</v>
      </c>
      <c r="B23" s="87"/>
      <c r="C23" s="87"/>
      <c r="D23" s="87"/>
      <c r="E23" s="87"/>
      <c r="F23" s="131"/>
      <c r="G23" s="134"/>
      <c r="H23" s="134"/>
      <c r="I23" s="104"/>
      <c r="J23" s="99" t="s">
        <v>51</v>
      </c>
      <c r="K23" s="220">
        <v>3878</v>
      </c>
      <c r="L23" s="89"/>
      <c r="M23" s="87"/>
      <c r="N23" s="87"/>
      <c r="O23" s="87"/>
      <c r="P23" s="87"/>
      <c r="Q23" s="87"/>
      <c r="R23" s="87"/>
    </row>
    <row r="24" spans="1:18" x14ac:dyDescent="0.35">
      <c r="A24" s="102" t="s">
        <v>448</v>
      </c>
      <c r="B24" s="88"/>
      <c r="C24" s="88"/>
      <c r="D24" s="88"/>
      <c r="E24" s="88"/>
      <c r="F24" s="132"/>
      <c r="G24" s="135"/>
      <c r="H24" s="135"/>
      <c r="I24" s="105"/>
      <c r="J24" s="114"/>
      <c r="K24" s="123"/>
      <c r="L24" s="90"/>
      <c r="M24" s="88"/>
      <c r="N24" s="88"/>
      <c r="O24" s="88"/>
      <c r="P24" s="88"/>
      <c r="Q24" s="88"/>
      <c r="R24" s="88"/>
    </row>
    <row r="25" spans="1:18" x14ac:dyDescent="0.35">
      <c r="A25" s="103" t="s">
        <v>449</v>
      </c>
      <c r="B25" s="88"/>
      <c r="C25" s="88"/>
      <c r="D25" s="88"/>
      <c r="E25" s="88"/>
      <c r="F25" s="132"/>
      <c r="G25" s="135"/>
      <c r="H25" s="135"/>
      <c r="I25" s="105"/>
      <c r="J25" s="115"/>
      <c r="K25" s="124"/>
      <c r="L25" s="90"/>
      <c r="M25" s="88"/>
      <c r="N25" s="88"/>
      <c r="O25" s="88"/>
      <c r="P25" s="88"/>
      <c r="Q25" s="88"/>
      <c r="R25" s="88"/>
    </row>
    <row r="26" spans="1:18" x14ac:dyDescent="0.35">
      <c r="G26"/>
      <c r="H26"/>
      <c r="J26" s="100"/>
      <c r="L26" s="28"/>
    </row>
    <row r="27" spans="1:18" s="34" customFormat="1" x14ac:dyDescent="0.35">
      <c r="A27" s="84">
        <v>3</v>
      </c>
      <c r="B27" s="558"/>
      <c r="C27" s="559"/>
      <c r="D27" s="120"/>
      <c r="E27" s="120"/>
      <c r="F27" s="121"/>
      <c r="G27" s="133"/>
      <c r="H27" s="133"/>
      <c r="I27" s="138" t="str">
        <f>IF(B27=0,"",IF(AND(G27=0,H27=0),365,IF(AND(G27&gt;0,H27=0),$C$6-G27+1,IF(AND(G27=0,H27&gt;0),H27-($C$6-365),H27-G27+1))))</f>
        <v/>
      </c>
      <c r="J27" s="98"/>
      <c r="K27" s="8">
        <f>SUM(K28:K30)</f>
        <v>0</v>
      </c>
      <c r="L27" s="91" t="str">
        <f>IF(K27&gt;0,K27/(F27*I27),"")</f>
        <v/>
      </c>
      <c r="M27" s="125"/>
      <c r="N27" s="85" t="str">
        <f>IFERROR(M27/K27,"")</f>
        <v/>
      </c>
      <c r="O27" s="125"/>
      <c r="P27" s="85" t="str">
        <f>IFERROR(O27/K27,"")</f>
        <v/>
      </c>
      <c r="Q27" s="86" t="str">
        <f>IF(M27=0,"",M27-O27)</f>
        <v/>
      </c>
      <c r="R27" s="85" t="str">
        <f>IFERROR(Q27/K27,"")</f>
        <v/>
      </c>
    </row>
    <row r="28" spans="1:18" x14ac:dyDescent="0.35">
      <c r="A28" s="101" t="s">
        <v>447</v>
      </c>
      <c r="B28" s="87"/>
      <c r="C28" s="87"/>
      <c r="D28" s="87"/>
      <c r="E28" s="87"/>
      <c r="F28" s="131"/>
      <c r="G28" s="134"/>
      <c r="H28" s="134"/>
      <c r="I28" s="104"/>
      <c r="J28" s="99"/>
      <c r="K28" s="220"/>
      <c r="L28" s="89"/>
      <c r="M28" s="87"/>
      <c r="N28" s="87"/>
      <c r="O28" s="87"/>
      <c r="P28" s="87"/>
      <c r="Q28" s="87"/>
      <c r="R28" s="87"/>
    </row>
    <row r="29" spans="1:18" x14ac:dyDescent="0.35">
      <c r="A29" s="102" t="s">
        <v>448</v>
      </c>
      <c r="B29" s="88"/>
      <c r="C29" s="88"/>
      <c r="D29" s="88"/>
      <c r="E29" s="88"/>
      <c r="F29" s="132"/>
      <c r="G29" s="135"/>
      <c r="H29" s="135"/>
      <c r="I29" s="105"/>
      <c r="J29" s="114"/>
      <c r="K29" s="123"/>
      <c r="L29" s="90"/>
      <c r="M29" s="88"/>
      <c r="N29" s="88"/>
      <c r="O29" s="88"/>
      <c r="P29" s="88"/>
      <c r="Q29" s="88"/>
      <c r="R29" s="88"/>
    </row>
    <row r="30" spans="1:18" x14ac:dyDescent="0.35">
      <c r="A30" s="103" t="s">
        <v>449</v>
      </c>
      <c r="B30" s="88"/>
      <c r="C30" s="88"/>
      <c r="D30" s="88"/>
      <c r="E30" s="88"/>
      <c r="F30" s="132"/>
      <c r="G30" s="135"/>
      <c r="H30" s="135"/>
      <c r="I30" s="105"/>
      <c r="J30" s="115"/>
      <c r="K30" s="124"/>
      <c r="L30" s="90"/>
      <c r="M30" s="88"/>
      <c r="N30" s="88"/>
      <c r="O30" s="88"/>
      <c r="P30" s="88"/>
      <c r="Q30" s="88"/>
      <c r="R30" s="88"/>
    </row>
    <row r="31" spans="1:18" x14ac:dyDescent="0.35">
      <c r="G31"/>
      <c r="H31"/>
      <c r="J31" s="100"/>
      <c r="L31" s="28"/>
    </row>
    <row r="32" spans="1:18" s="34" customFormat="1" x14ac:dyDescent="0.35">
      <c r="A32" s="84">
        <v>4</v>
      </c>
      <c r="B32" s="558"/>
      <c r="C32" s="559"/>
      <c r="D32" s="120"/>
      <c r="E32" s="120"/>
      <c r="F32" s="121"/>
      <c r="G32" s="133"/>
      <c r="H32" s="133"/>
      <c r="I32" s="138" t="str">
        <f>IF(B32=0,"",IF(AND(G32=0,H32=0),365,IF(AND(G32&gt;0,H32=0),$C$6-G32+1,IF(AND(G32=0,H32&gt;0),H32-($C$6-365),H32-G32+1))))</f>
        <v/>
      </c>
      <c r="J32" s="98"/>
      <c r="K32" s="8">
        <f>SUM(K33:K35)</f>
        <v>0</v>
      </c>
      <c r="L32" s="91" t="str">
        <f>IF(K32&gt;0,K32/(F32*I32),"")</f>
        <v/>
      </c>
      <c r="M32" s="125"/>
      <c r="N32" s="85" t="str">
        <f>IFERROR(M32/K32,"")</f>
        <v/>
      </c>
      <c r="O32" s="125"/>
      <c r="P32" s="85" t="str">
        <f>IFERROR(O32/K32,"")</f>
        <v/>
      </c>
      <c r="Q32" s="86" t="str">
        <f>IF(M32=0,"",M32-O32)</f>
        <v/>
      </c>
      <c r="R32" s="85" t="str">
        <f>IFERROR(Q32/K32,"")</f>
        <v/>
      </c>
    </row>
    <row r="33" spans="1:18" x14ac:dyDescent="0.35">
      <c r="A33" s="101" t="s">
        <v>447</v>
      </c>
      <c r="B33" s="87"/>
      <c r="C33" s="87"/>
      <c r="D33" s="87"/>
      <c r="E33" s="87"/>
      <c r="F33" s="131"/>
      <c r="G33" s="134"/>
      <c r="H33" s="134"/>
      <c r="I33" s="104"/>
      <c r="J33" s="99"/>
      <c r="K33" s="220"/>
      <c r="L33" s="89"/>
      <c r="M33" s="87"/>
      <c r="N33" s="87"/>
      <c r="O33" s="87"/>
      <c r="P33" s="87"/>
      <c r="Q33" s="87"/>
      <c r="R33" s="87"/>
    </row>
    <row r="34" spans="1:18" x14ac:dyDescent="0.35">
      <c r="A34" s="102" t="s">
        <v>448</v>
      </c>
      <c r="B34" s="88"/>
      <c r="C34" s="88"/>
      <c r="D34" s="88"/>
      <c r="E34" s="88"/>
      <c r="F34" s="132"/>
      <c r="G34" s="135"/>
      <c r="H34" s="135"/>
      <c r="I34" s="105"/>
      <c r="J34" s="114"/>
      <c r="K34" s="123"/>
      <c r="L34" s="90"/>
      <c r="M34" s="88"/>
      <c r="N34" s="88"/>
      <c r="O34" s="88"/>
      <c r="P34" s="88"/>
      <c r="Q34" s="88"/>
      <c r="R34" s="88"/>
    </row>
    <row r="35" spans="1:18" x14ac:dyDescent="0.35">
      <c r="A35" s="103" t="s">
        <v>449</v>
      </c>
      <c r="B35" s="88"/>
      <c r="C35" s="88"/>
      <c r="D35" s="88"/>
      <c r="E35" s="88"/>
      <c r="F35" s="132"/>
      <c r="G35" s="135"/>
      <c r="H35" s="135"/>
      <c r="I35" s="105"/>
      <c r="J35" s="115"/>
      <c r="K35" s="124"/>
      <c r="L35" s="90"/>
      <c r="M35" s="88"/>
      <c r="N35" s="88"/>
      <c r="O35" s="88"/>
      <c r="P35" s="88"/>
      <c r="Q35" s="88"/>
      <c r="R35" s="88"/>
    </row>
    <row r="36" spans="1:18" x14ac:dyDescent="0.35">
      <c r="G36"/>
      <c r="H36"/>
      <c r="J36" s="100"/>
      <c r="L36" s="28"/>
    </row>
    <row r="37" spans="1:18" s="34" customFormat="1" x14ac:dyDescent="0.35">
      <c r="A37" s="84">
        <v>5</v>
      </c>
      <c r="B37" s="558"/>
      <c r="C37" s="559"/>
      <c r="D37" s="120"/>
      <c r="E37" s="120"/>
      <c r="F37" s="121"/>
      <c r="G37" s="133"/>
      <c r="H37" s="133"/>
      <c r="I37" s="138" t="str">
        <f>IF(B37=0,"",IF(AND(G37=0,H37=0),365,IF(AND(G37&gt;0,H37=0),$C$6-G37+1,IF(AND(G37=0,H37&gt;0),H37-($C$6-365),H37-G37+1))))</f>
        <v/>
      </c>
      <c r="J37" s="98"/>
      <c r="K37" s="8">
        <f>SUM(K38:K40)</f>
        <v>0</v>
      </c>
      <c r="L37" s="91" t="str">
        <f>IF(K37&gt;0,K37/(F37*I37),"")</f>
        <v/>
      </c>
      <c r="M37" s="125"/>
      <c r="N37" s="85" t="str">
        <f>IFERROR(M37/K37,"")</f>
        <v/>
      </c>
      <c r="O37" s="125"/>
      <c r="P37" s="85" t="str">
        <f>IFERROR(O37/K37,"")</f>
        <v/>
      </c>
      <c r="Q37" s="86" t="str">
        <f>IF(M37=0,"",M37-O37)</f>
        <v/>
      </c>
      <c r="R37" s="85" t="str">
        <f>IFERROR(Q37/K37,"")</f>
        <v/>
      </c>
    </row>
    <row r="38" spans="1:18" x14ac:dyDescent="0.35">
      <c r="A38" s="101" t="s">
        <v>447</v>
      </c>
      <c r="B38" s="87"/>
      <c r="C38" s="87"/>
      <c r="D38" s="87"/>
      <c r="E38" s="87"/>
      <c r="F38" s="131"/>
      <c r="G38" s="134"/>
      <c r="H38" s="134"/>
      <c r="I38" s="104"/>
      <c r="J38" s="99"/>
      <c r="K38" s="122"/>
      <c r="L38" s="89"/>
      <c r="M38" s="87"/>
      <c r="N38" s="87"/>
      <c r="O38" s="87"/>
      <c r="P38" s="87"/>
      <c r="Q38" s="87"/>
      <c r="R38" s="87"/>
    </row>
    <row r="39" spans="1:18" x14ac:dyDescent="0.35">
      <c r="A39" s="102" t="s">
        <v>448</v>
      </c>
      <c r="B39" s="88"/>
      <c r="C39" s="88"/>
      <c r="D39" s="88"/>
      <c r="E39" s="88"/>
      <c r="F39" s="132"/>
      <c r="G39" s="135"/>
      <c r="H39" s="135"/>
      <c r="I39" s="105"/>
      <c r="J39" s="114"/>
      <c r="K39" s="123"/>
      <c r="L39" s="90"/>
      <c r="M39" s="88"/>
      <c r="N39" s="88"/>
      <c r="O39" s="88"/>
      <c r="P39" s="88"/>
      <c r="Q39" s="88"/>
      <c r="R39" s="88"/>
    </row>
    <row r="40" spans="1:18" x14ac:dyDescent="0.35">
      <c r="A40" s="103" t="s">
        <v>449</v>
      </c>
      <c r="B40" s="88"/>
      <c r="C40" s="88"/>
      <c r="D40" s="88"/>
      <c r="E40" s="88"/>
      <c r="F40" s="132"/>
      <c r="G40" s="135"/>
      <c r="H40" s="135"/>
      <c r="I40" s="105"/>
      <c r="J40" s="115"/>
      <c r="K40" s="124"/>
      <c r="L40" s="90"/>
      <c r="M40" s="88"/>
      <c r="N40" s="88"/>
      <c r="O40" s="88"/>
      <c r="P40" s="88"/>
      <c r="Q40" s="88"/>
      <c r="R40" s="88"/>
    </row>
    <row r="41" spans="1:18" x14ac:dyDescent="0.35">
      <c r="G41"/>
      <c r="H41"/>
      <c r="J41" s="100"/>
      <c r="L41" s="28"/>
    </row>
    <row r="42" spans="1:18" s="34" customFormat="1" x14ac:dyDescent="0.35">
      <c r="A42" s="84">
        <v>6</v>
      </c>
      <c r="B42" s="558"/>
      <c r="C42" s="559"/>
      <c r="D42" s="120"/>
      <c r="E42" s="120"/>
      <c r="F42" s="121"/>
      <c r="G42" s="133"/>
      <c r="H42" s="133"/>
      <c r="I42" s="138" t="str">
        <f>IF(B42=0,"",IF(AND(G42=0,H42=0),365,IF(AND(G42&gt;0,H42=0),$C$6-G42+1,IF(AND(G42=0,H42&gt;0),H42-($C$6-365),H42-G42+1))))</f>
        <v/>
      </c>
      <c r="J42" s="98"/>
      <c r="K42" s="8">
        <f>SUM(K43:K45)</f>
        <v>0</v>
      </c>
      <c r="L42" s="91" t="str">
        <f>IF(K42&gt;0,K42/(F42*I42),"")</f>
        <v/>
      </c>
      <c r="M42" s="125"/>
      <c r="N42" s="85" t="str">
        <f>IFERROR(M42/K42,"")</f>
        <v/>
      </c>
      <c r="O42" s="125"/>
      <c r="P42" s="85" t="str">
        <f>IFERROR(O42/K42,"")</f>
        <v/>
      </c>
      <c r="Q42" s="86" t="str">
        <f>IF(M42=0,"",M42-O42)</f>
        <v/>
      </c>
      <c r="R42" s="85" t="str">
        <f>IFERROR(Q42/K42,"")</f>
        <v/>
      </c>
    </row>
    <row r="43" spans="1:18" x14ac:dyDescent="0.35">
      <c r="A43" s="101" t="s">
        <v>447</v>
      </c>
      <c r="B43" s="87"/>
      <c r="C43" s="87"/>
      <c r="D43" s="87"/>
      <c r="E43" s="87"/>
      <c r="F43" s="131"/>
      <c r="G43" s="134"/>
      <c r="H43" s="134"/>
      <c r="I43" s="104"/>
      <c r="J43" s="99"/>
      <c r="K43" s="122"/>
      <c r="L43" s="89"/>
      <c r="M43" s="87"/>
      <c r="N43" s="87"/>
      <c r="O43" s="87"/>
      <c r="P43" s="87"/>
      <c r="Q43" s="87"/>
      <c r="R43" s="87"/>
    </row>
    <row r="44" spans="1:18" x14ac:dyDescent="0.35">
      <c r="A44" s="102" t="s">
        <v>448</v>
      </c>
      <c r="B44" s="88"/>
      <c r="C44" s="88"/>
      <c r="D44" s="88"/>
      <c r="E44" s="88"/>
      <c r="F44" s="132"/>
      <c r="G44" s="135"/>
      <c r="H44" s="135"/>
      <c r="I44" s="105"/>
      <c r="J44" s="114"/>
      <c r="K44" s="123"/>
      <c r="L44" s="90"/>
      <c r="M44" s="88"/>
      <c r="N44" s="88"/>
      <c r="O44" s="88"/>
      <c r="P44" s="88"/>
      <c r="Q44" s="88"/>
      <c r="R44" s="88"/>
    </row>
    <row r="45" spans="1:18" x14ac:dyDescent="0.35">
      <c r="A45" s="103" t="s">
        <v>449</v>
      </c>
      <c r="B45" s="88"/>
      <c r="C45" s="88"/>
      <c r="D45" s="88"/>
      <c r="E45" s="88"/>
      <c r="F45" s="132"/>
      <c r="G45" s="135"/>
      <c r="H45" s="135"/>
      <c r="I45" s="105"/>
      <c r="J45" s="115"/>
      <c r="K45" s="124"/>
      <c r="L45" s="90"/>
      <c r="M45" s="88"/>
      <c r="N45" s="88"/>
      <c r="O45" s="88"/>
      <c r="P45" s="88"/>
      <c r="Q45" s="88"/>
      <c r="R45" s="88"/>
    </row>
    <row r="46" spans="1:18" x14ac:dyDescent="0.35">
      <c r="G46"/>
      <c r="H46"/>
      <c r="J46" s="100"/>
      <c r="L46" s="28"/>
    </row>
    <row r="47" spans="1:18" s="34" customFormat="1" x14ac:dyDescent="0.35">
      <c r="A47" s="84">
        <v>7</v>
      </c>
      <c r="B47" s="558"/>
      <c r="C47" s="559"/>
      <c r="D47" s="120"/>
      <c r="E47" s="120"/>
      <c r="F47" s="121"/>
      <c r="G47" s="133"/>
      <c r="H47" s="133"/>
      <c r="I47" s="138" t="str">
        <f>IF(B47=0,"",IF(AND(G47=0,H47=0),365,IF(AND(G47&gt;0,H47=0),$C$6-G47+1,IF(AND(G47=0,H47&gt;0),H47-($C$6-365),H47-G47+1))))</f>
        <v/>
      </c>
      <c r="J47" s="98"/>
      <c r="K47" s="8">
        <f>SUM(K48:K50)</f>
        <v>0</v>
      </c>
      <c r="L47" s="91" t="str">
        <f>IF(K47&gt;0,K47/(F47*I47),"")</f>
        <v/>
      </c>
      <c r="M47" s="125"/>
      <c r="N47" s="85" t="str">
        <f>IFERROR(M47/K47,"")</f>
        <v/>
      </c>
      <c r="O47" s="125"/>
      <c r="P47" s="85" t="str">
        <f>IFERROR(O47/K47,"")</f>
        <v/>
      </c>
      <c r="Q47" s="86" t="str">
        <f>IF(M47=0,"",M47-O47)</f>
        <v/>
      </c>
      <c r="R47" s="85" t="str">
        <f>IFERROR(Q47/K47,"")</f>
        <v/>
      </c>
    </row>
    <row r="48" spans="1:18" x14ac:dyDescent="0.35">
      <c r="A48" s="101" t="s">
        <v>447</v>
      </c>
      <c r="B48" s="87"/>
      <c r="C48" s="87"/>
      <c r="D48" s="87"/>
      <c r="E48" s="87"/>
      <c r="F48" s="131"/>
      <c r="G48" s="134"/>
      <c r="H48" s="134"/>
      <c r="I48" s="104"/>
      <c r="J48" s="99"/>
      <c r="K48" s="122"/>
      <c r="L48" s="89"/>
      <c r="M48" s="87"/>
      <c r="N48" s="87"/>
      <c r="O48" s="87"/>
      <c r="P48" s="87"/>
      <c r="Q48" s="87"/>
      <c r="R48" s="87"/>
    </row>
    <row r="49" spans="1:18" x14ac:dyDescent="0.35">
      <c r="A49" s="102" t="s">
        <v>448</v>
      </c>
      <c r="B49" s="88"/>
      <c r="C49" s="88"/>
      <c r="D49" s="88"/>
      <c r="E49" s="88"/>
      <c r="F49" s="132"/>
      <c r="G49" s="135"/>
      <c r="H49" s="135"/>
      <c r="I49" s="105"/>
      <c r="J49" s="114"/>
      <c r="K49" s="123"/>
      <c r="L49" s="90"/>
      <c r="M49" s="88"/>
      <c r="N49" s="88"/>
      <c r="O49" s="88"/>
      <c r="P49" s="88"/>
      <c r="Q49" s="88"/>
      <c r="R49" s="88"/>
    </row>
    <row r="50" spans="1:18" x14ac:dyDescent="0.35">
      <c r="A50" s="103" t="s">
        <v>449</v>
      </c>
      <c r="B50" s="88"/>
      <c r="C50" s="88"/>
      <c r="D50" s="88"/>
      <c r="E50" s="88"/>
      <c r="F50" s="132"/>
      <c r="G50" s="135"/>
      <c r="H50" s="135"/>
      <c r="I50" s="105"/>
      <c r="J50" s="115"/>
      <c r="K50" s="124"/>
      <c r="L50" s="90"/>
      <c r="M50" s="88"/>
      <c r="N50" s="88"/>
      <c r="O50" s="88"/>
      <c r="P50" s="88"/>
      <c r="Q50" s="88"/>
      <c r="R50" s="88"/>
    </row>
    <row r="51" spans="1:18" x14ac:dyDescent="0.35">
      <c r="G51"/>
      <c r="H51"/>
      <c r="J51" s="100"/>
      <c r="L51" s="28"/>
    </row>
    <row r="52" spans="1:18" s="34" customFormat="1" x14ac:dyDescent="0.35">
      <c r="A52" s="84">
        <v>8</v>
      </c>
      <c r="B52" s="558"/>
      <c r="C52" s="559"/>
      <c r="D52" s="120"/>
      <c r="E52" s="120"/>
      <c r="F52" s="121"/>
      <c r="G52" s="133"/>
      <c r="H52" s="133"/>
      <c r="I52" s="138" t="str">
        <f>IF(B52=0,"",IF(AND(G52=0,H52=0),365,IF(AND(G52&gt;0,H52=0),$C$6-G52+1,IF(AND(G52=0,H52&gt;0),H52-($C$6-365),H52-G52+1))))</f>
        <v/>
      </c>
      <c r="J52" s="98"/>
      <c r="K52" s="8">
        <f>SUM(K53:K55)</f>
        <v>0</v>
      </c>
      <c r="L52" s="91" t="str">
        <f>IF(K52&gt;0,K52/(F52*I52),"")</f>
        <v/>
      </c>
      <c r="M52" s="125"/>
      <c r="N52" s="85" t="str">
        <f>IFERROR(M52/K52,"")</f>
        <v/>
      </c>
      <c r="O52" s="125"/>
      <c r="P52" s="85" t="str">
        <f>IFERROR(O52/K52,"")</f>
        <v/>
      </c>
      <c r="Q52" s="86" t="str">
        <f>IF(M52=0,"",M52-O52)</f>
        <v/>
      </c>
      <c r="R52" s="85" t="str">
        <f>IFERROR(Q52/K52,"")</f>
        <v/>
      </c>
    </row>
    <row r="53" spans="1:18" x14ac:dyDescent="0.35">
      <c r="A53" s="101" t="s">
        <v>447</v>
      </c>
      <c r="B53" s="87"/>
      <c r="C53" s="87"/>
      <c r="D53" s="87"/>
      <c r="E53" s="87"/>
      <c r="F53" s="131"/>
      <c r="G53" s="134"/>
      <c r="H53" s="134"/>
      <c r="I53" s="104"/>
      <c r="J53" s="99"/>
      <c r="K53" s="122"/>
      <c r="L53" s="89"/>
      <c r="M53" s="87"/>
      <c r="N53" s="87"/>
      <c r="O53" s="87"/>
      <c r="P53" s="87"/>
      <c r="Q53" s="87"/>
      <c r="R53" s="87"/>
    </row>
    <row r="54" spans="1:18" x14ac:dyDescent="0.35">
      <c r="A54" s="102" t="s">
        <v>448</v>
      </c>
      <c r="B54" s="88"/>
      <c r="C54" s="88"/>
      <c r="D54" s="88"/>
      <c r="E54" s="88"/>
      <c r="F54" s="132"/>
      <c r="G54" s="135"/>
      <c r="H54" s="135"/>
      <c r="I54" s="105"/>
      <c r="J54" s="114"/>
      <c r="K54" s="123"/>
      <c r="L54" s="90"/>
      <c r="M54" s="88"/>
      <c r="N54" s="88"/>
      <c r="O54" s="88"/>
      <c r="P54" s="88"/>
      <c r="Q54" s="88"/>
      <c r="R54" s="88"/>
    </row>
    <row r="55" spans="1:18" x14ac:dyDescent="0.35">
      <c r="A55" s="103" t="s">
        <v>449</v>
      </c>
      <c r="B55" s="88"/>
      <c r="C55" s="88"/>
      <c r="D55" s="88"/>
      <c r="E55" s="88"/>
      <c r="F55" s="132"/>
      <c r="G55" s="135"/>
      <c r="H55" s="135"/>
      <c r="I55" s="105"/>
      <c r="J55" s="115"/>
      <c r="K55" s="124"/>
      <c r="L55" s="90"/>
      <c r="M55" s="88"/>
      <c r="N55" s="88"/>
      <c r="O55" s="88"/>
      <c r="P55" s="88"/>
      <c r="Q55" s="88"/>
      <c r="R55" s="88"/>
    </row>
    <row r="56" spans="1:18" x14ac:dyDescent="0.35">
      <c r="G56"/>
      <c r="H56"/>
      <c r="J56" s="100"/>
      <c r="L56" s="28"/>
    </row>
    <row r="57" spans="1:18" s="34" customFormat="1" x14ac:dyDescent="0.35">
      <c r="A57" s="84">
        <v>9</v>
      </c>
      <c r="B57" s="558"/>
      <c r="C57" s="559"/>
      <c r="D57" s="120"/>
      <c r="E57" s="120"/>
      <c r="F57" s="121"/>
      <c r="G57" s="133"/>
      <c r="H57" s="133"/>
      <c r="I57" s="138" t="str">
        <f>IF(B57=0,"",IF(AND(G57=0,H57=0),365,IF(AND(G57&gt;0,H57=0),$C$6-G57+1,IF(AND(G57=0,H57&gt;0),H57-($C$6-365),H57-G57+1))))</f>
        <v/>
      </c>
      <c r="J57" s="98"/>
      <c r="K57" s="8">
        <f>SUM(K58:K60)</f>
        <v>0</v>
      </c>
      <c r="L57" s="91" t="str">
        <f>IF(K57&gt;0,K57/(F57*I57),"")</f>
        <v/>
      </c>
      <c r="M57" s="125"/>
      <c r="N57" s="85" t="str">
        <f>IFERROR(M57/K57,"")</f>
        <v/>
      </c>
      <c r="O57" s="125"/>
      <c r="P57" s="85" t="str">
        <f>IFERROR(O57/K57,"")</f>
        <v/>
      </c>
      <c r="Q57" s="86" t="str">
        <f>IF(M57=0,"",M57-O57)</f>
        <v/>
      </c>
      <c r="R57" s="85" t="str">
        <f>IFERROR(Q57/K57,"")</f>
        <v/>
      </c>
    </row>
    <row r="58" spans="1:18" x14ac:dyDescent="0.35">
      <c r="A58" s="101" t="s">
        <v>447</v>
      </c>
      <c r="B58" s="87"/>
      <c r="C58" s="87"/>
      <c r="D58" s="87"/>
      <c r="E58" s="87"/>
      <c r="F58" s="131"/>
      <c r="G58" s="134"/>
      <c r="H58" s="134"/>
      <c r="I58" s="104"/>
      <c r="J58" s="99"/>
      <c r="K58" s="122"/>
      <c r="L58" s="89"/>
      <c r="M58" s="87"/>
      <c r="N58" s="87"/>
      <c r="O58" s="87"/>
      <c r="P58" s="87"/>
      <c r="Q58" s="87"/>
      <c r="R58" s="87"/>
    </row>
    <row r="59" spans="1:18" x14ac:dyDescent="0.35">
      <c r="A59" s="102" t="s">
        <v>448</v>
      </c>
      <c r="B59" s="88"/>
      <c r="C59" s="88"/>
      <c r="D59" s="88"/>
      <c r="E59" s="88"/>
      <c r="F59" s="132"/>
      <c r="G59" s="135"/>
      <c r="H59" s="135"/>
      <c r="I59" s="105"/>
      <c r="J59" s="114"/>
      <c r="K59" s="123"/>
      <c r="L59" s="90"/>
      <c r="M59" s="88"/>
      <c r="N59" s="88"/>
      <c r="O59" s="88"/>
      <c r="P59" s="88"/>
      <c r="Q59" s="88"/>
      <c r="R59" s="88"/>
    </row>
    <row r="60" spans="1:18" x14ac:dyDescent="0.35">
      <c r="A60" s="103" t="s">
        <v>449</v>
      </c>
      <c r="B60" s="88"/>
      <c r="C60" s="88"/>
      <c r="D60" s="88"/>
      <c r="E60" s="88"/>
      <c r="F60" s="132"/>
      <c r="G60" s="135"/>
      <c r="H60" s="135"/>
      <c r="I60" s="105"/>
      <c r="J60" s="115"/>
      <c r="K60" s="124"/>
      <c r="L60" s="90"/>
      <c r="M60" s="88"/>
      <c r="N60" s="88"/>
      <c r="O60" s="88"/>
      <c r="P60" s="88"/>
      <c r="Q60" s="88"/>
      <c r="R60" s="88"/>
    </row>
    <row r="61" spans="1:18" x14ac:dyDescent="0.35">
      <c r="G61"/>
      <c r="H61"/>
      <c r="J61" s="100"/>
      <c r="L61" s="28"/>
    </row>
    <row r="62" spans="1:18" s="34" customFormat="1" x14ac:dyDescent="0.35">
      <c r="A62" s="84">
        <v>10</v>
      </c>
      <c r="B62" s="558"/>
      <c r="C62" s="559"/>
      <c r="D62" s="120"/>
      <c r="E62" s="120"/>
      <c r="F62" s="121"/>
      <c r="G62" s="133"/>
      <c r="H62" s="133"/>
      <c r="I62" s="138" t="str">
        <f>IF(B62=0,"",IF(AND(G62=0,H62=0),365,IF(AND(G62&gt;0,H62=0),$C$6-G62+1,IF(AND(G62=0,H62&gt;0),H62-($C$6-365),H62-G62+1))))</f>
        <v/>
      </c>
      <c r="J62" s="98"/>
      <c r="K62" s="8">
        <f>SUM(K63:K65)</f>
        <v>0</v>
      </c>
      <c r="L62" s="91" t="str">
        <f>IF(K62&gt;0,K62/(F62*I62),"")</f>
        <v/>
      </c>
      <c r="M62" s="125"/>
      <c r="N62" s="85" t="str">
        <f>IFERROR(M62/K62,"")</f>
        <v/>
      </c>
      <c r="O62" s="125"/>
      <c r="P62" s="85" t="str">
        <f>IFERROR(O62/K62,"")</f>
        <v/>
      </c>
      <c r="Q62" s="86" t="str">
        <f>IF(M62=0,"",M62-O62)</f>
        <v/>
      </c>
      <c r="R62" s="85" t="str">
        <f>IFERROR(Q62/K62,"")</f>
        <v/>
      </c>
    </row>
    <row r="63" spans="1:18" x14ac:dyDescent="0.35">
      <c r="A63" s="101" t="s">
        <v>447</v>
      </c>
      <c r="B63" s="87"/>
      <c r="C63" s="87"/>
      <c r="D63" s="87"/>
      <c r="E63" s="87"/>
      <c r="F63" s="131"/>
      <c r="G63" s="134"/>
      <c r="H63" s="134"/>
      <c r="I63" s="104"/>
      <c r="J63" s="99"/>
      <c r="K63" s="122"/>
      <c r="L63" s="89"/>
      <c r="M63" s="87"/>
      <c r="N63" s="87"/>
      <c r="O63" s="87"/>
      <c r="P63" s="87"/>
      <c r="Q63" s="87"/>
      <c r="R63" s="87"/>
    </row>
    <row r="64" spans="1:18" x14ac:dyDescent="0.35">
      <c r="A64" s="102" t="s">
        <v>448</v>
      </c>
      <c r="B64" s="88"/>
      <c r="C64" s="88"/>
      <c r="D64" s="88"/>
      <c r="E64" s="88"/>
      <c r="F64" s="132"/>
      <c r="G64" s="135"/>
      <c r="H64" s="135"/>
      <c r="I64" s="105"/>
      <c r="J64" s="114"/>
      <c r="K64" s="123"/>
      <c r="L64" s="90"/>
      <c r="M64" s="88"/>
      <c r="N64" s="88"/>
      <c r="O64" s="88"/>
      <c r="P64" s="88"/>
      <c r="Q64" s="88"/>
      <c r="R64" s="88"/>
    </row>
    <row r="65" spans="1:18" x14ac:dyDescent="0.35">
      <c r="A65" s="103" t="s">
        <v>449</v>
      </c>
      <c r="B65" s="88"/>
      <c r="C65" s="88"/>
      <c r="D65" s="88"/>
      <c r="E65" s="88"/>
      <c r="F65" s="132"/>
      <c r="G65" s="135"/>
      <c r="H65" s="135"/>
      <c r="I65" s="105"/>
      <c r="J65" s="115"/>
      <c r="K65" s="124"/>
      <c r="L65" s="90"/>
      <c r="M65" s="88"/>
      <c r="N65" s="88"/>
      <c r="O65" s="88"/>
      <c r="P65" s="88"/>
      <c r="Q65" s="88"/>
      <c r="R65" s="88"/>
    </row>
    <row r="66" spans="1:18" x14ac:dyDescent="0.35">
      <c r="G66"/>
      <c r="H66"/>
      <c r="J66" s="100"/>
      <c r="L66" s="28"/>
    </row>
    <row r="67" spans="1:18" s="34" customFormat="1" x14ac:dyDescent="0.35">
      <c r="A67" s="84">
        <v>11</v>
      </c>
      <c r="B67" s="558"/>
      <c r="C67" s="559"/>
      <c r="D67" s="120"/>
      <c r="E67" s="120"/>
      <c r="F67" s="121"/>
      <c r="G67" s="133"/>
      <c r="H67" s="133"/>
      <c r="I67" s="138" t="str">
        <f>IF(B67=0,"",IF(AND(G67=0,H67=0),365,IF(AND(G67&gt;0,H67=0),$C$6-G67+1,IF(AND(G67=0,H67&gt;0),H67-($C$6-365),H67-G67+1))))</f>
        <v/>
      </c>
      <c r="J67" s="98"/>
      <c r="K67" s="8">
        <f>SUM(K68:K70)</f>
        <v>0</v>
      </c>
      <c r="L67" s="91" t="str">
        <f>IF(K67&gt;0,K67/(F67*I67),"")</f>
        <v/>
      </c>
      <c r="M67" s="125"/>
      <c r="N67" s="85" t="str">
        <f>IFERROR(M67/K67,"")</f>
        <v/>
      </c>
      <c r="O67" s="125"/>
      <c r="P67" s="85" t="str">
        <f>IFERROR(O67/K67,"")</f>
        <v/>
      </c>
      <c r="Q67" s="86" t="str">
        <f>IF(M67=0,"",M67-O67)</f>
        <v/>
      </c>
      <c r="R67" s="85" t="str">
        <f>IFERROR(Q67/K67,"")</f>
        <v/>
      </c>
    </row>
    <row r="68" spans="1:18" x14ac:dyDescent="0.35">
      <c r="A68" s="101" t="s">
        <v>447</v>
      </c>
      <c r="B68" s="87"/>
      <c r="C68" s="87"/>
      <c r="D68" s="87"/>
      <c r="E68" s="87"/>
      <c r="F68" s="131"/>
      <c r="G68" s="134"/>
      <c r="H68" s="134"/>
      <c r="I68" s="104"/>
      <c r="J68" s="99"/>
      <c r="K68" s="122"/>
      <c r="L68" s="89"/>
      <c r="M68" s="87"/>
      <c r="N68" s="87"/>
      <c r="O68" s="87"/>
      <c r="P68" s="87"/>
      <c r="Q68" s="87"/>
      <c r="R68" s="87"/>
    </row>
    <row r="69" spans="1:18" x14ac:dyDescent="0.35">
      <c r="A69" s="102" t="s">
        <v>448</v>
      </c>
      <c r="B69" s="88"/>
      <c r="C69" s="88"/>
      <c r="D69" s="88"/>
      <c r="E69" s="88"/>
      <c r="F69" s="132"/>
      <c r="G69" s="135"/>
      <c r="H69" s="135"/>
      <c r="I69" s="105"/>
      <c r="J69" s="114"/>
      <c r="K69" s="123"/>
      <c r="L69" s="90"/>
      <c r="M69" s="88"/>
      <c r="N69" s="88"/>
      <c r="O69" s="88"/>
      <c r="P69" s="88"/>
      <c r="Q69" s="88"/>
      <c r="R69" s="88"/>
    </row>
    <row r="70" spans="1:18" x14ac:dyDescent="0.35">
      <c r="A70" s="103" t="s">
        <v>449</v>
      </c>
      <c r="B70" s="88"/>
      <c r="C70" s="88"/>
      <c r="D70" s="88"/>
      <c r="E70" s="88"/>
      <c r="F70" s="132"/>
      <c r="G70" s="135"/>
      <c r="H70" s="135"/>
      <c r="I70" s="105"/>
      <c r="J70" s="115"/>
      <c r="K70" s="124"/>
      <c r="L70" s="90"/>
      <c r="M70" s="88"/>
      <c r="N70" s="88"/>
      <c r="O70" s="88"/>
      <c r="P70" s="88"/>
      <c r="Q70" s="88"/>
      <c r="R70" s="88"/>
    </row>
    <row r="71" spans="1:18" x14ac:dyDescent="0.35">
      <c r="G71"/>
      <c r="H71"/>
      <c r="J71" s="100"/>
      <c r="L71" s="28"/>
    </row>
    <row r="72" spans="1:18" s="34" customFormat="1" x14ac:dyDescent="0.35">
      <c r="A72" s="84">
        <v>12</v>
      </c>
      <c r="B72" s="558"/>
      <c r="C72" s="559"/>
      <c r="D72" s="120"/>
      <c r="E72" s="120"/>
      <c r="F72" s="121"/>
      <c r="G72" s="133"/>
      <c r="H72" s="133"/>
      <c r="I72" s="138" t="str">
        <f>IF(B72=0,"",IF(AND(G72=0,H72=0),365,IF(AND(G72&gt;0,H72=0),$C$6-G72+1,IF(AND(G72=0,H72&gt;0),H72-($C$6-365),H72-G72+1))))</f>
        <v/>
      </c>
      <c r="J72" s="98"/>
      <c r="K72" s="8">
        <f>SUM(K73:K75)</f>
        <v>0</v>
      </c>
      <c r="L72" s="91" t="str">
        <f>IF(K72&gt;0,K72/(F72*I72),"")</f>
        <v/>
      </c>
      <c r="M72" s="125"/>
      <c r="N72" s="85" t="str">
        <f>IFERROR(M72/K72,"")</f>
        <v/>
      </c>
      <c r="O72" s="125"/>
      <c r="P72" s="85" t="str">
        <f>IFERROR(O72/K72,"")</f>
        <v/>
      </c>
      <c r="Q72" s="86" t="str">
        <f>IF(M72=0,"",M72-O72)</f>
        <v/>
      </c>
      <c r="R72" s="85" t="str">
        <f>IFERROR(Q72/K72,"")</f>
        <v/>
      </c>
    </row>
    <row r="73" spans="1:18" x14ac:dyDescent="0.35">
      <c r="A73" s="101" t="s">
        <v>447</v>
      </c>
      <c r="B73" s="87"/>
      <c r="C73" s="87"/>
      <c r="D73" s="87"/>
      <c r="E73" s="87"/>
      <c r="F73" s="131"/>
      <c r="G73" s="134"/>
      <c r="H73" s="134"/>
      <c r="I73" s="104"/>
      <c r="J73" s="99"/>
      <c r="K73" s="122"/>
      <c r="L73" s="89"/>
      <c r="M73" s="87"/>
      <c r="N73" s="87"/>
      <c r="O73" s="87"/>
      <c r="P73" s="87"/>
      <c r="Q73" s="87"/>
      <c r="R73" s="87"/>
    </row>
    <row r="74" spans="1:18" x14ac:dyDescent="0.35">
      <c r="A74" s="102" t="s">
        <v>448</v>
      </c>
      <c r="B74" s="88"/>
      <c r="C74" s="88"/>
      <c r="D74" s="88"/>
      <c r="E74" s="88"/>
      <c r="F74" s="132"/>
      <c r="G74" s="135"/>
      <c r="H74" s="135"/>
      <c r="I74" s="105"/>
      <c r="J74" s="114"/>
      <c r="K74" s="123"/>
      <c r="L74" s="90"/>
      <c r="M74" s="88"/>
      <c r="N74" s="88"/>
      <c r="O74" s="88"/>
      <c r="P74" s="88"/>
      <c r="Q74" s="88"/>
      <c r="R74" s="88"/>
    </row>
    <row r="75" spans="1:18" x14ac:dyDescent="0.35">
      <c r="A75" s="103" t="s">
        <v>449</v>
      </c>
      <c r="B75" s="88"/>
      <c r="C75" s="88"/>
      <c r="D75" s="88"/>
      <c r="E75" s="88"/>
      <c r="F75" s="132"/>
      <c r="G75" s="135"/>
      <c r="H75" s="135"/>
      <c r="I75" s="105"/>
      <c r="J75" s="115"/>
      <c r="K75" s="124"/>
      <c r="L75" s="90"/>
      <c r="M75" s="88"/>
      <c r="N75" s="88"/>
      <c r="O75" s="88"/>
      <c r="P75" s="88"/>
      <c r="Q75" s="88"/>
      <c r="R75" s="88"/>
    </row>
    <row r="76" spans="1:18" x14ac:dyDescent="0.35">
      <c r="G76"/>
      <c r="H76"/>
      <c r="J76" s="100"/>
      <c r="L76" s="28"/>
    </row>
    <row r="77" spans="1:18" s="34" customFormat="1" x14ac:dyDescent="0.35">
      <c r="A77" s="84">
        <v>13</v>
      </c>
      <c r="B77" s="558"/>
      <c r="C77" s="559"/>
      <c r="D77" s="120"/>
      <c r="E77" s="120"/>
      <c r="F77" s="121"/>
      <c r="G77" s="133"/>
      <c r="H77" s="133"/>
      <c r="I77" s="138" t="str">
        <f>IF(B77=0,"",IF(AND(G77=0,H77=0),365,IF(AND(G77&gt;0,H77=0),$C$6-G77+1,IF(AND(G77=0,H77&gt;0),H77-($C$6-365),H77-G77+1))))</f>
        <v/>
      </c>
      <c r="J77" s="98"/>
      <c r="K77" s="8">
        <f>SUM(K78:K80)</f>
        <v>0</v>
      </c>
      <c r="L77" s="91" t="str">
        <f>IF(K77&gt;0,K77/(F77*I77),"")</f>
        <v/>
      </c>
      <c r="M77" s="125"/>
      <c r="N77" s="85" t="str">
        <f>IFERROR(M77/K77,"")</f>
        <v/>
      </c>
      <c r="O77" s="125"/>
      <c r="P77" s="85" t="str">
        <f>IFERROR(O77/K77,"")</f>
        <v/>
      </c>
      <c r="Q77" s="86" t="str">
        <f>IF(M77=0,"",M77-O77)</f>
        <v/>
      </c>
      <c r="R77" s="85" t="str">
        <f>IFERROR(Q77/K77,"")</f>
        <v/>
      </c>
    </row>
    <row r="78" spans="1:18" x14ac:dyDescent="0.35">
      <c r="A78" s="101" t="s">
        <v>447</v>
      </c>
      <c r="B78" s="87"/>
      <c r="C78" s="87"/>
      <c r="D78" s="87"/>
      <c r="E78" s="87"/>
      <c r="F78" s="131"/>
      <c r="G78" s="134"/>
      <c r="H78" s="134"/>
      <c r="I78" s="104"/>
      <c r="J78" s="99"/>
      <c r="K78" s="122"/>
      <c r="L78" s="89"/>
      <c r="M78" s="87"/>
      <c r="N78" s="87"/>
      <c r="O78" s="87"/>
      <c r="P78" s="87"/>
      <c r="Q78" s="87"/>
      <c r="R78" s="87"/>
    </row>
    <row r="79" spans="1:18" x14ac:dyDescent="0.35">
      <c r="A79" s="102" t="s">
        <v>448</v>
      </c>
      <c r="B79" s="88"/>
      <c r="C79" s="88"/>
      <c r="D79" s="88"/>
      <c r="E79" s="88"/>
      <c r="F79" s="132"/>
      <c r="G79" s="135"/>
      <c r="H79" s="135"/>
      <c r="I79" s="105"/>
      <c r="J79" s="114"/>
      <c r="K79" s="123"/>
      <c r="L79" s="90"/>
      <c r="M79" s="88"/>
      <c r="N79" s="88"/>
      <c r="O79" s="88"/>
      <c r="P79" s="88"/>
      <c r="Q79" s="88"/>
      <c r="R79" s="88"/>
    </row>
    <row r="80" spans="1:18" x14ac:dyDescent="0.35">
      <c r="A80" s="103" t="s">
        <v>449</v>
      </c>
      <c r="B80" s="88"/>
      <c r="C80" s="88"/>
      <c r="D80" s="88"/>
      <c r="E80" s="88"/>
      <c r="F80" s="132"/>
      <c r="G80" s="135"/>
      <c r="H80" s="135"/>
      <c r="I80" s="105"/>
      <c r="J80" s="115"/>
      <c r="K80" s="124"/>
      <c r="L80" s="90"/>
      <c r="M80" s="88"/>
      <c r="N80" s="88"/>
      <c r="O80" s="88"/>
      <c r="P80" s="88"/>
      <c r="Q80" s="88"/>
      <c r="R80" s="88"/>
    </row>
    <row r="81" spans="1:18" x14ac:dyDescent="0.35">
      <c r="G81"/>
      <c r="H81"/>
      <c r="J81" s="100"/>
      <c r="L81" s="28"/>
    </row>
    <row r="82" spans="1:18" s="34" customFormat="1" x14ac:dyDescent="0.35">
      <c r="A82" s="84">
        <v>14</v>
      </c>
      <c r="B82" s="558"/>
      <c r="C82" s="559"/>
      <c r="D82" s="120"/>
      <c r="E82" s="120"/>
      <c r="F82" s="121"/>
      <c r="G82" s="133"/>
      <c r="H82" s="133"/>
      <c r="I82" s="138" t="str">
        <f>IF(B82=0,"",IF(AND(G82=0,H82=0),365,IF(AND(G82&gt;0,H82=0),$C$6-G82+1,IF(AND(G82=0,H82&gt;0),H82-($C$6-365),H82-G82+1))))</f>
        <v/>
      </c>
      <c r="J82" s="98"/>
      <c r="K82" s="8">
        <f>SUM(K83:K85)</f>
        <v>0</v>
      </c>
      <c r="L82" s="91" t="str">
        <f>IF(K82&gt;0,K82/(F82*I82),"")</f>
        <v/>
      </c>
      <c r="M82" s="125"/>
      <c r="N82" s="85" t="str">
        <f>IFERROR(M82/K82,"")</f>
        <v/>
      </c>
      <c r="O82" s="125"/>
      <c r="P82" s="85" t="str">
        <f>IFERROR(O82/K82,"")</f>
        <v/>
      </c>
      <c r="Q82" s="86" t="str">
        <f>IF(M82=0,"",M82-O82)</f>
        <v/>
      </c>
      <c r="R82" s="85" t="str">
        <f>IFERROR(Q82/K82,"")</f>
        <v/>
      </c>
    </row>
    <row r="83" spans="1:18" x14ac:dyDescent="0.35">
      <c r="A83" s="101" t="s">
        <v>447</v>
      </c>
      <c r="B83" s="87"/>
      <c r="C83" s="87"/>
      <c r="D83" s="87"/>
      <c r="E83" s="87"/>
      <c r="F83" s="131"/>
      <c r="G83" s="134"/>
      <c r="H83" s="134"/>
      <c r="I83" s="104"/>
      <c r="J83" s="99"/>
      <c r="K83" s="122"/>
      <c r="L83" s="89"/>
      <c r="M83" s="87"/>
      <c r="N83" s="87"/>
      <c r="O83" s="87"/>
      <c r="P83" s="87"/>
      <c r="Q83" s="87"/>
      <c r="R83" s="87"/>
    </row>
    <row r="84" spans="1:18" x14ac:dyDescent="0.35">
      <c r="A84" s="102" t="s">
        <v>448</v>
      </c>
      <c r="B84" s="88"/>
      <c r="C84" s="88"/>
      <c r="D84" s="88"/>
      <c r="E84" s="88"/>
      <c r="F84" s="132"/>
      <c r="G84" s="135"/>
      <c r="H84" s="135"/>
      <c r="I84" s="105"/>
      <c r="J84" s="114"/>
      <c r="K84" s="123"/>
      <c r="L84" s="90"/>
      <c r="M84" s="88"/>
      <c r="N84" s="88"/>
      <c r="O84" s="88"/>
      <c r="P84" s="88"/>
      <c r="Q84" s="88"/>
      <c r="R84" s="88"/>
    </row>
    <row r="85" spans="1:18" x14ac:dyDescent="0.35">
      <c r="A85" s="103" t="s">
        <v>449</v>
      </c>
      <c r="B85" s="88"/>
      <c r="C85" s="88"/>
      <c r="D85" s="88"/>
      <c r="E85" s="88"/>
      <c r="F85" s="132"/>
      <c r="G85" s="135"/>
      <c r="H85" s="135"/>
      <c r="I85" s="105"/>
      <c r="J85" s="115"/>
      <c r="K85" s="124"/>
      <c r="L85" s="90"/>
      <c r="M85" s="88"/>
      <c r="N85" s="88"/>
      <c r="O85" s="88"/>
      <c r="P85" s="88"/>
      <c r="Q85" s="88"/>
      <c r="R85" s="88"/>
    </row>
    <row r="86" spans="1:18" x14ac:dyDescent="0.35">
      <c r="G86"/>
      <c r="H86"/>
      <c r="J86" s="100"/>
      <c r="L86" s="28"/>
    </row>
    <row r="87" spans="1:18" s="34" customFormat="1" x14ac:dyDescent="0.35">
      <c r="A87" s="84">
        <v>15</v>
      </c>
      <c r="B87" s="558"/>
      <c r="C87" s="559"/>
      <c r="D87" s="120"/>
      <c r="E87" s="120"/>
      <c r="F87" s="121"/>
      <c r="G87" s="133"/>
      <c r="H87" s="133"/>
      <c r="I87" s="138" t="str">
        <f>IF(B87=0,"",IF(AND(G87=0,H87=0),365,IF(AND(G87&gt;0,H87=0),$C$6-G87+1,IF(AND(G87=0,H87&gt;0),H87-($C$6-365),H87-G87+1))))</f>
        <v/>
      </c>
      <c r="J87" s="98"/>
      <c r="K87" s="8">
        <f>SUM(K88:K90)</f>
        <v>0</v>
      </c>
      <c r="L87" s="91" t="str">
        <f>IF(K87&gt;0,K87/(F87*I87),"")</f>
        <v/>
      </c>
      <c r="M87" s="125"/>
      <c r="N87" s="85" t="str">
        <f>IFERROR(M87/K87,"")</f>
        <v/>
      </c>
      <c r="O87" s="125"/>
      <c r="P87" s="85" t="str">
        <f>IFERROR(O87/K87,"")</f>
        <v/>
      </c>
      <c r="Q87" s="86" t="str">
        <f>IF(M87=0,"",M87-O87)</f>
        <v/>
      </c>
      <c r="R87" s="85" t="str">
        <f>IFERROR(Q87/K87,"")</f>
        <v/>
      </c>
    </row>
    <row r="88" spans="1:18" x14ac:dyDescent="0.35">
      <c r="A88" s="101" t="s">
        <v>447</v>
      </c>
      <c r="B88" s="87"/>
      <c r="C88" s="87"/>
      <c r="D88" s="87"/>
      <c r="E88" s="87"/>
      <c r="F88" s="131"/>
      <c r="G88" s="134"/>
      <c r="H88" s="134"/>
      <c r="I88" s="104"/>
      <c r="J88" s="99"/>
      <c r="K88" s="122"/>
      <c r="L88" s="89"/>
      <c r="M88" s="87"/>
      <c r="N88" s="87"/>
      <c r="O88" s="87"/>
      <c r="P88" s="87"/>
      <c r="Q88" s="87"/>
      <c r="R88" s="87"/>
    </row>
    <row r="89" spans="1:18" x14ac:dyDescent="0.35">
      <c r="A89" s="102" t="s">
        <v>448</v>
      </c>
      <c r="B89" s="88"/>
      <c r="C89" s="88"/>
      <c r="D89" s="88"/>
      <c r="E89" s="88"/>
      <c r="F89" s="132"/>
      <c r="G89" s="135"/>
      <c r="H89" s="135"/>
      <c r="I89" s="105"/>
      <c r="J89" s="114"/>
      <c r="K89" s="123"/>
      <c r="L89" s="90"/>
      <c r="M89" s="88"/>
      <c r="N89" s="88"/>
      <c r="O89" s="88"/>
      <c r="P89" s="88"/>
      <c r="Q89" s="88"/>
      <c r="R89" s="88"/>
    </row>
    <row r="90" spans="1:18" x14ac:dyDescent="0.35">
      <c r="A90" s="103" t="s">
        <v>449</v>
      </c>
      <c r="B90" s="88"/>
      <c r="C90" s="88"/>
      <c r="D90" s="88"/>
      <c r="E90" s="88"/>
      <c r="F90" s="132"/>
      <c r="G90" s="135"/>
      <c r="H90" s="135"/>
      <c r="I90" s="105"/>
      <c r="J90" s="115"/>
      <c r="K90" s="124"/>
      <c r="L90" s="90"/>
      <c r="M90" s="88"/>
      <c r="N90" s="88"/>
      <c r="O90" s="88"/>
      <c r="P90" s="88"/>
      <c r="Q90" s="88"/>
      <c r="R90" s="88"/>
    </row>
    <row r="91" spans="1:18" x14ac:dyDescent="0.35">
      <c r="G91"/>
      <c r="H91"/>
      <c r="J91" s="100"/>
      <c r="L91" s="28"/>
    </row>
    <row r="92" spans="1:18" s="34" customFormat="1" x14ac:dyDescent="0.35">
      <c r="A92" s="84">
        <v>16</v>
      </c>
      <c r="B92" s="558"/>
      <c r="C92" s="559"/>
      <c r="D92" s="120"/>
      <c r="E92" s="120"/>
      <c r="F92" s="121"/>
      <c r="G92" s="133"/>
      <c r="H92" s="133"/>
      <c r="I92" s="138" t="str">
        <f>IF(B92=0,"",IF(AND(G92=0,H92=0),365,IF(AND(G92&gt;0,H92=0),$C$6-G92+1,IF(AND(G92=0,H92&gt;0),H92-($C$6-365),H92-G92+1))))</f>
        <v/>
      </c>
      <c r="J92" s="98"/>
      <c r="K92" s="8">
        <f>SUM(K93:K95)</f>
        <v>0</v>
      </c>
      <c r="L92" s="91" t="str">
        <f>IF(K92&gt;0,K92/(F92*I92),"")</f>
        <v/>
      </c>
      <c r="M92" s="125"/>
      <c r="N92" s="85" t="str">
        <f>IFERROR(M92/K92,"")</f>
        <v/>
      </c>
      <c r="O92" s="125"/>
      <c r="P92" s="85" t="str">
        <f>IFERROR(O92/K92,"")</f>
        <v/>
      </c>
      <c r="Q92" s="86" t="str">
        <f>IF(M92=0,"",M92-O92)</f>
        <v/>
      </c>
      <c r="R92" s="85" t="str">
        <f>IFERROR(Q92/K92,"")</f>
        <v/>
      </c>
    </row>
    <row r="93" spans="1:18" x14ac:dyDescent="0.35">
      <c r="A93" s="101" t="s">
        <v>447</v>
      </c>
      <c r="B93" s="87"/>
      <c r="C93" s="87"/>
      <c r="D93" s="87"/>
      <c r="E93" s="87"/>
      <c r="F93" s="131"/>
      <c r="G93" s="134"/>
      <c r="H93" s="134"/>
      <c r="I93" s="104"/>
      <c r="J93" s="99"/>
      <c r="K93" s="122"/>
      <c r="L93" s="89"/>
      <c r="M93" s="87"/>
      <c r="N93" s="87"/>
      <c r="O93" s="87"/>
      <c r="P93" s="87"/>
      <c r="Q93" s="87"/>
      <c r="R93" s="87"/>
    </row>
    <row r="94" spans="1:18" x14ac:dyDescent="0.35">
      <c r="A94" s="102" t="s">
        <v>448</v>
      </c>
      <c r="B94" s="88"/>
      <c r="C94" s="88"/>
      <c r="D94" s="88"/>
      <c r="E94" s="88"/>
      <c r="F94" s="132"/>
      <c r="G94" s="135"/>
      <c r="H94" s="135"/>
      <c r="I94" s="105"/>
      <c r="J94" s="114"/>
      <c r="K94" s="123"/>
      <c r="L94" s="90"/>
      <c r="M94" s="88"/>
      <c r="N94" s="88"/>
      <c r="O94" s="88"/>
      <c r="P94" s="88"/>
      <c r="Q94" s="88"/>
      <c r="R94" s="88"/>
    </row>
    <row r="95" spans="1:18" x14ac:dyDescent="0.35">
      <c r="A95" s="103" t="s">
        <v>449</v>
      </c>
      <c r="B95" s="88"/>
      <c r="C95" s="88"/>
      <c r="D95" s="88"/>
      <c r="E95" s="88"/>
      <c r="F95" s="132"/>
      <c r="G95" s="135"/>
      <c r="H95" s="135"/>
      <c r="I95" s="105"/>
      <c r="J95" s="115"/>
      <c r="K95" s="124"/>
      <c r="L95" s="90"/>
      <c r="M95" s="88"/>
      <c r="N95" s="88"/>
      <c r="O95" s="88"/>
      <c r="P95" s="88"/>
      <c r="Q95" s="88"/>
      <c r="R95" s="88"/>
    </row>
    <row r="96" spans="1:18" x14ac:dyDescent="0.35">
      <c r="G96"/>
      <c r="H96"/>
      <c r="J96" s="100"/>
      <c r="L96" s="28"/>
    </row>
    <row r="97" spans="1:18" s="34" customFormat="1" x14ac:dyDescent="0.35">
      <c r="A97" s="84">
        <v>17</v>
      </c>
      <c r="B97" s="558"/>
      <c r="C97" s="559"/>
      <c r="D97" s="120"/>
      <c r="E97" s="120"/>
      <c r="F97" s="121"/>
      <c r="G97" s="133"/>
      <c r="H97" s="133"/>
      <c r="I97" s="138" t="str">
        <f>IF(B97=0,"",IF(AND(G97=0,H97=0),365,IF(AND(G97&gt;0,H97=0),$C$6-G97+1,IF(AND(G97=0,H97&gt;0),H97-($C$6-365),H97-G97+1))))</f>
        <v/>
      </c>
      <c r="J97" s="98"/>
      <c r="K97" s="8">
        <f>SUM(K98:K100)</f>
        <v>0</v>
      </c>
      <c r="L97" s="91" t="str">
        <f>IF(K97&gt;0,K97/(F97*I97),"")</f>
        <v/>
      </c>
      <c r="M97" s="125"/>
      <c r="N97" s="85" t="str">
        <f>IFERROR(M97/K97,"")</f>
        <v/>
      </c>
      <c r="O97" s="125"/>
      <c r="P97" s="85" t="str">
        <f>IFERROR(O97/K97,"")</f>
        <v/>
      </c>
      <c r="Q97" s="86" t="str">
        <f>IF(M97=0,"",M97-O97)</f>
        <v/>
      </c>
      <c r="R97" s="85" t="str">
        <f>IFERROR(Q97/K97,"")</f>
        <v/>
      </c>
    </row>
    <row r="98" spans="1:18" x14ac:dyDescent="0.35">
      <c r="A98" s="101" t="s">
        <v>447</v>
      </c>
      <c r="B98" s="87"/>
      <c r="C98" s="87"/>
      <c r="D98" s="87"/>
      <c r="E98" s="87"/>
      <c r="F98" s="131"/>
      <c r="G98" s="134"/>
      <c r="H98" s="134"/>
      <c r="I98" s="104"/>
      <c r="J98" s="99"/>
      <c r="K98" s="122"/>
      <c r="L98" s="89"/>
      <c r="M98" s="87"/>
      <c r="N98" s="87"/>
      <c r="O98" s="87"/>
      <c r="P98" s="87"/>
      <c r="Q98" s="87"/>
      <c r="R98" s="87"/>
    </row>
    <row r="99" spans="1:18" x14ac:dyDescent="0.35">
      <c r="A99" s="102" t="s">
        <v>448</v>
      </c>
      <c r="B99" s="88"/>
      <c r="C99" s="88"/>
      <c r="D99" s="88"/>
      <c r="E99" s="88"/>
      <c r="F99" s="132"/>
      <c r="G99" s="135"/>
      <c r="H99" s="135"/>
      <c r="I99" s="105"/>
      <c r="J99" s="114"/>
      <c r="K99" s="123"/>
      <c r="L99" s="90"/>
      <c r="M99" s="88"/>
      <c r="N99" s="88"/>
      <c r="O99" s="88"/>
      <c r="P99" s="88"/>
      <c r="Q99" s="88"/>
      <c r="R99" s="88"/>
    </row>
    <row r="100" spans="1:18" x14ac:dyDescent="0.35">
      <c r="A100" s="103" t="s">
        <v>449</v>
      </c>
      <c r="B100" s="88"/>
      <c r="C100" s="88"/>
      <c r="D100" s="88"/>
      <c r="E100" s="88"/>
      <c r="F100" s="132"/>
      <c r="G100" s="135"/>
      <c r="H100" s="135"/>
      <c r="I100" s="105"/>
      <c r="J100" s="115"/>
      <c r="K100" s="124"/>
      <c r="L100" s="90"/>
      <c r="M100" s="88"/>
      <c r="N100" s="88"/>
      <c r="O100" s="88"/>
      <c r="P100" s="88"/>
      <c r="Q100" s="88"/>
      <c r="R100" s="88"/>
    </row>
    <row r="101" spans="1:18" x14ac:dyDescent="0.35">
      <c r="G101"/>
      <c r="H101"/>
      <c r="J101" s="100"/>
      <c r="L101" s="28"/>
    </row>
    <row r="102" spans="1:18" s="34" customFormat="1" x14ac:dyDescent="0.35">
      <c r="A102" s="84">
        <v>18</v>
      </c>
      <c r="B102" s="558"/>
      <c r="C102" s="559"/>
      <c r="D102" s="120"/>
      <c r="E102" s="120"/>
      <c r="F102" s="121"/>
      <c r="G102" s="133"/>
      <c r="H102" s="133"/>
      <c r="I102" s="138" t="str">
        <f>IF(B102=0,"",IF(AND(G102=0,H102=0),365,IF(AND(G102&gt;0,H102=0),$C$6-G102+1,IF(AND(G102=0,H102&gt;0),H102-($C$6-365),H102-G102+1))))</f>
        <v/>
      </c>
      <c r="J102" s="98"/>
      <c r="K102" s="8">
        <f>SUM(K103:K105)</f>
        <v>0</v>
      </c>
      <c r="L102" s="91" t="str">
        <f>IF(K102&gt;0,K102/(F102*I102),"")</f>
        <v/>
      </c>
      <c r="M102" s="125"/>
      <c r="N102" s="85" t="str">
        <f>IFERROR(M102/K102,"")</f>
        <v/>
      </c>
      <c r="O102" s="125"/>
      <c r="P102" s="85" t="str">
        <f>IFERROR(O102/K102,"")</f>
        <v/>
      </c>
      <c r="Q102" s="86" t="str">
        <f>IF(M102=0,"",M102-O102)</f>
        <v/>
      </c>
      <c r="R102" s="85" t="str">
        <f>IFERROR(Q102/K102,"")</f>
        <v/>
      </c>
    </row>
    <row r="103" spans="1:18" x14ac:dyDescent="0.35">
      <c r="A103" s="101" t="s">
        <v>447</v>
      </c>
      <c r="B103" s="87"/>
      <c r="C103" s="87"/>
      <c r="D103" s="87"/>
      <c r="E103" s="87"/>
      <c r="F103" s="131"/>
      <c r="G103" s="134"/>
      <c r="H103" s="134"/>
      <c r="I103" s="104"/>
      <c r="J103" s="99"/>
      <c r="K103" s="122"/>
      <c r="L103" s="89"/>
      <c r="M103" s="87"/>
      <c r="N103" s="87"/>
      <c r="O103" s="87"/>
      <c r="P103" s="87"/>
      <c r="Q103" s="87"/>
      <c r="R103" s="87"/>
    </row>
    <row r="104" spans="1:18" x14ac:dyDescent="0.35">
      <c r="A104" s="102" t="s">
        <v>448</v>
      </c>
      <c r="B104" s="88"/>
      <c r="C104" s="88"/>
      <c r="D104" s="88"/>
      <c r="E104" s="88"/>
      <c r="F104" s="132"/>
      <c r="G104" s="135"/>
      <c r="H104" s="135"/>
      <c r="I104" s="105"/>
      <c r="J104" s="114"/>
      <c r="K104" s="123"/>
      <c r="L104" s="90"/>
      <c r="M104" s="88"/>
      <c r="N104" s="88"/>
      <c r="O104" s="88"/>
      <c r="P104" s="88"/>
      <c r="Q104" s="88"/>
      <c r="R104" s="88"/>
    </row>
    <row r="105" spans="1:18" x14ac:dyDescent="0.35">
      <c r="A105" s="103" t="s">
        <v>449</v>
      </c>
      <c r="B105" s="88"/>
      <c r="C105" s="88"/>
      <c r="D105" s="88"/>
      <c r="E105" s="88"/>
      <c r="F105" s="132"/>
      <c r="G105" s="135"/>
      <c r="H105" s="135"/>
      <c r="I105" s="105"/>
      <c r="J105" s="115"/>
      <c r="K105" s="124"/>
      <c r="L105" s="90"/>
      <c r="M105" s="88"/>
      <c r="N105" s="88"/>
      <c r="O105" s="88"/>
      <c r="P105" s="88"/>
      <c r="Q105" s="88"/>
      <c r="R105" s="88"/>
    </row>
    <row r="106" spans="1:18" x14ac:dyDescent="0.35">
      <c r="G106"/>
      <c r="H106"/>
      <c r="J106" s="100"/>
      <c r="L106" s="28"/>
    </row>
    <row r="107" spans="1:18" s="34" customFormat="1" x14ac:dyDescent="0.35">
      <c r="A107" s="84">
        <v>19</v>
      </c>
      <c r="B107" s="558"/>
      <c r="C107" s="559"/>
      <c r="D107" s="120"/>
      <c r="E107" s="120"/>
      <c r="F107" s="121"/>
      <c r="G107" s="133"/>
      <c r="H107" s="133"/>
      <c r="I107" s="138" t="str">
        <f>IF(B107=0,"",IF(AND(G107=0,H107=0),365,IF(AND(G107&gt;0,H107=0),$C$6-G107+1,IF(AND(G107=0,H107&gt;0),H107-($C$6-365),H107-G107+1))))</f>
        <v/>
      </c>
      <c r="J107" s="98"/>
      <c r="K107" s="8">
        <f>SUM(K108:K110)</f>
        <v>0</v>
      </c>
      <c r="L107" s="91" t="str">
        <f>IF(K107&gt;0,K107/(F107*I107),"")</f>
        <v/>
      </c>
      <c r="M107" s="125"/>
      <c r="N107" s="85" t="str">
        <f>IFERROR(M107/K107,"")</f>
        <v/>
      </c>
      <c r="O107" s="125"/>
      <c r="P107" s="85" t="str">
        <f>IFERROR(O107/K107,"")</f>
        <v/>
      </c>
      <c r="Q107" s="86" t="str">
        <f>IF(M107=0,"",M107-O107)</f>
        <v/>
      </c>
      <c r="R107" s="85" t="str">
        <f>IFERROR(Q107/K107,"")</f>
        <v/>
      </c>
    </row>
    <row r="108" spans="1:18" x14ac:dyDescent="0.35">
      <c r="A108" s="101" t="s">
        <v>447</v>
      </c>
      <c r="B108" s="87"/>
      <c r="C108" s="87"/>
      <c r="D108" s="87"/>
      <c r="E108" s="87"/>
      <c r="F108" s="131"/>
      <c r="G108" s="134"/>
      <c r="H108" s="134"/>
      <c r="I108" s="104"/>
      <c r="J108" s="99"/>
      <c r="K108" s="122"/>
      <c r="L108" s="89"/>
      <c r="M108" s="87"/>
      <c r="N108" s="87"/>
      <c r="O108" s="87"/>
      <c r="P108" s="87"/>
      <c r="Q108" s="87"/>
      <c r="R108" s="87"/>
    </row>
    <row r="109" spans="1:18" x14ac:dyDescent="0.35">
      <c r="A109" s="102" t="s">
        <v>448</v>
      </c>
      <c r="B109" s="88"/>
      <c r="C109" s="88"/>
      <c r="D109" s="88"/>
      <c r="E109" s="88"/>
      <c r="F109" s="132"/>
      <c r="G109" s="135"/>
      <c r="H109" s="135"/>
      <c r="I109" s="105"/>
      <c r="J109" s="114"/>
      <c r="K109" s="123"/>
      <c r="L109" s="90"/>
      <c r="M109" s="88"/>
      <c r="N109" s="88"/>
      <c r="O109" s="88"/>
      <c r="P109" s="88"/>
      <c r="Q109" s="88"/>
      <c r="R109" s="88"/>
    </row>
    <row r="110" spans="1:18" x14ac:dyDescent="0.35">
      <c r="A110" s="103" t="s">
        <v>449</v>
      </c>
      <c r="B110" s="88"/>
      <c r="C110" s="88"/>
      <c r="D110" s="88"/>
      <c r="E110" s="88"/>
      <c r="F110" s="132"/>
      <c r="G110" s="135"/>
      <c r="H110" s="135"/>
      <c r="I110" s="105"/>
      <c r="J110" s="115"/>
      <c r="K110" s="124"/>
      <c r="L110" s="90"/>
      <c r="M110" s="88"/>
      <c r="N110" s="88"/>
      <c r="O110" s="88"/>
      <c r="P110" s="88"/>
      <c r="Q110" s="88"/>
      <c r="R110" s="88"/>
    </row>
    <row r="111" spans="1:18" x14ac:dyDescent="0.35">
      <c r="G111"/>
      <c r="H111"/>
      <c r="J111" s="100"/>
      <c r="L111" s="28"/>
    </row>
    <row r="112" spans="1:18" s="34" customFormat="1" x14ac:dyDescent="0.35">
      <c r="A112" s="84">
        <v>20</v>
      </c>
      <c r="B112" s="558"/>
      <c r="C112" s="559"/>
      <c r="D112" s="120"/>
      <c r="E112" s="120"/>
      <c r="F112" s="121"/>
      <c r="G112" s="133"/>
      <c r="H112" s="133"/>
      <c r="I112" s="138" t="str">
        <f>IF(B112=0,"",IF(AND(G112=0,H112=0),365,IF(AND(G112&gt;0,H112=0),$C$6-G112+1,IF(AND(G112=0,H112&gt;0),H112-($C$6-365),H112-G112+1))))</f>
        <v/>
      </c>
      <c r="J112" s="98"/>
      <c r="K112" s="8">
        <f>SUM(K113:K115)</f>
        <v>0</v>
      </c>
      <c r="L112" s="91" t="str">
        <f>IF(K112&gt;0,K112/(F112*I112),"")</f>
        <v/>
      </c>
      <c r="M112" s="125"/>
      <c r="N112" s="85" t="str">
        <f>IFERROR(M112/K112,"")</f>
        <v/>
      </c>
      <c r="O112" s="125"/>
      <c r="P112" s="85" t="str">
        <f>IFERROR(O112/K112,"")</f>
        <v/>
      </c>
      <c r="Q112" s="86" t="str">
        <f>IF(M112=0,"",M112-O112)</f>
        <v/>
      </c>
      <c r="R112" s="85" t="str">
        <f>IFERROR(Q112/K112,"")</f>
        <v/>
      </c>
    </row>
    <row r="113" spans="1:18" x14ac:dyDescent="0.35">
      <c r="A113" s="101" t="s">
        <v>447</v>
      </c>
      <c r="B113" s="87"/>
      <c r="C113" s="87"/>
      <c r="D113" s="87"/>
      <c r="E113" s="87"/>
      <c r="F113" s="131"/>
      <c r="G113" s="134"/>
      <c r="H113" s="134"/>
      <c r="I113" s="104"/>
      <c r="J113" s="99"/>
      <c r="K113" s="122"/>
      <c r="L113" s="89"/>
      <c r="M113" s="87"/>
      <c r="N113" s="87"/>
      <c r="O113" s="87"/>
      <c r="P113" s="87"/>
      <c r="Q113" s="87"/>
      <c r="R113" s="87"/>
    </row>
    <row r="114" spans="1:18" x14ac:dyDescent="0.35">
      <c r="A114" s="102" t="s">
        <v>448</v>
      </c>
      <c r="B114" s="88"/>
      <c r="C114" s="88"/>
      <c r="D114" s="88"/>
      <c r="E114" s="88"/>
      <c r="F114" s="132"/>
      <c r="G114" s="135"/>
      <c r="H114" s="135"/>
      <c r="I114" s="105"/>
      <c r="J114" s="114"/>
      <c r="K114" s="123"/>
      <c r="L114" s="90"/>
      <c r="M114" s="88"/>
      <c r="N114" s="88"/>
      <c r="O114" s="88"/>
      <c r="P114" s="88"/>
      <c r="Q114" s="88"/>
      <c r="R114" s="88"/>
    </row>
    <row r="115" spans="1:18" x14ac:dyDescent="0.35">
      <c r="A115" s="103" t="s">
        <v>449</v>
      </c>
      <c r="B115" s="88"/>
      <c r="C115" s="88"/>
      <c r="D115" s="88"/>
      <c r="E115" s="88"/>
      <c r="F115" s="132"/>
      <c r="G115" s="135"/>
      <c r="H115" s="135"/>
      <c r="I115" s="105"/>
      <c r="J115" s="115"/>
      <c r="K115" s="124"/>
      <c r="L115" s="90"/>
      <c r="M115" s="88"/>
      <c r="N115" s="88"/>
      <c r="O115" s="88"/>
      <c r="P115" s="88"/>
      <c r="Q115" s="88"/>
      <c r="R115" s="88"/>
    </row>
    <row r="116" spans="1:18" x14ac:dyDescent="0.35">
      <c r="G116"/>
      <c r="H116"/>
      <c r="J116" s="100"/>
      <c r="L116" s="28"/>
    </row>
    <row r="117" spans="1:18" s="34" customFormat="1" x14ac:dyDescent="0.35">
      <c r="A117" s="84">
        <v>21</v>
      </c>
      <c r="B117" s="558"/>
      <c r="C117" s="559"/>
      <c r="D117" s="120"/>
      <c r="E117" s="120"/>
      <c r="F117" s="121"/>
      <c r="G117" s="133"/>
      <c r="H117" s="133"/>
      <c r="I117" s="138" t="str">
        <f>IF(B117=0,"",IF(AND(G117=0,H117=0),365,IF(AND(G117&gt;0,H117=0),$C$6-G117+1,IF(AND(G117=0,H117&gt;0),H117-($C$6-365),H117-G117+1))))</f>
        <v/>
      </c>
      <c r="J117" s="98"/>
      <c r="K117" s="8">
        <f>SUM(K118:K120)</f>
        <v>0</v>
      </c>
      <c r="L117" s="91" t="str">
        <f>IF(K117&gt;0,K117/(F117*I117),"")</f>
        <v/>
      </c>
      <c r="M117" s="125"/>
      <c r="N117" s="85" t="str">
        <f>IFERROR(M117/K117,"")</f>
        <v/>
      </c>
      <c r="O117" s="125"/>
      <c r="P117" s="85" t="str">
        <f>IFERROR(O117/K117,"")</f>
        <v/>
      </c>
      <c r="Q117" s="86" t="str">
        <f>IF(M117=0,"",M117-O117)</f>
        <v/>
      </c>
      <c r="R117" s="85" t="str">
        <f>IFERROR(Q117/K117,"")</f>
        <v/>
      </c>
    </row>
    <row r="118" spans="1:18" x14ac:dyDescent="0.35">
      <c r="A118" s="101" t="s">
        <v>447</v>
      </c>
      <c r="B118" s="87"/>
      <c r="C118" s="87"/>
      <c r="D118" s="87"/>
      <c r="E118" s="87"/>
      <c r="F118" s="131"/>
      <c r="G118" s="134"/>
      <c r="H118" s="134"/>
      <c r="I118" s="104"/>
      <c r="J118" s="99"/>
      <c r="K118" s="122"/>
      <c r="L118" s="89"/>
      <c r="M118" s="87"/>
      <c r="N118" s="87"/>
      <c r="O118" s="87"/>
      <c r="P118" s="87"/>
      <c r="Q118" s="87"/>
      <c r="R118" s="87"/>
    </row>
    <row r="119" spans="1:18" x14ac:dyDescent="0.35">
      <c r="A119" s="102" t="s">
        <v>448</v>
      </c>
      <c r="B119" s="88"/>
      <c r="C119" s="88"/>
      <c r="D119" s="88"/>
      <c r="E119" s="88"/>
      <c r="F119" s="132"/>
      <c r="G119" s="135"/>
      <c r="H119" s="135"/>
      <c r="I119" s="105"/>
      <c r="J119" s="114"/>
      <c r="K119" s="123"/>
      <c r="L119" s="90"/>
      <c r="M119" s="88"/>
      <c r="N119" s="88"/>
      <c r="O119" s="88"/>
      <c r="P119" s="88"/>
      <c r="Q119" s="88"/>
      <c r="R119" s="88"/>
    </row>
    <row r="120" spans="1:18" x14ac:dyDescent="0.35">
      <c r="A120" s="103" t="s">
        <v>449</v>
      </c>
      <c r="B120" s="88"/>
      <c r="C120" s="88"/>
      <c r="D120" s="88"/>
      <c r="E120" s="88"/>
      <c r="F120" s="132"/>
      <c r="G120" s="135"/>
      <c r="H120" s="135"/>
      <c r="I120" s="105"/>
      <c r="J120" s="115"/>
      <c r="K120" s="124"/>
      <c r="L120" s="90"/>
      <c r="M120" s="88"/>
      <c r="N120" s="88"/>
      <c r="O120" s="88"/>
      <c r="P120" s="88"/>
      <c r="Q120" s="88"/>
      <c r="R120" s="88"/>
    </row>
    <row r="121" spans="1:18" x14ac:dyDescent="0.35">
      <c r="G121"/>
      <c r="H121"/>
      <c r="J121" s="100"/>
      <c r="L121" s="28"/>
    </row>
    <row r="122" spans="1:18" s="34" customFormat="1" x14ac:dyDescent="0.35">
      <c r="A122" s="84">
        <v>22</v>
      </c>
      <c r="B122" s="558"/>
      <c r="C122" s="559"/>
      <c r="D122" s="120"/>
      <c r="E122" s="120"/>
      <c r="F122" s="121"/>
      <c r="G122" s="133"/>
      <c r="H122" s="133"/>
      <c r="I122" s="138" t="str">
        <f>IF(B122=0,"",IF(AND(G122=0,H122=0),365,IF(AND(G122&gt;0,H122=0),$C$6-G122+1,IF(AND(G122=0,H122&gt;0),H122-($C$6-365),H122-G122+1))))</f>
        <v/>
      </c>
      <c r="J122" s="98"/>
      <c r="K122" s="8">
        <f>SUM(K123:K125)</f>
        <v>0</v>
      </c>
      <c r="L122" s="91" t="str">
        <f>IF(K122&gt;0,K122/(F122*I122),"")</f>
        <v/>
      </c>
      <c r="M122" s="125"/>
      <c r="N122" s="85" t="str">
        <f>IFERROR(M122/K122,"")</f>
        <v/>
      </c>
      <c r="O122" s="125"/>
      <c r="P122" s="85" t="str">
        <f>IFERROR(O122/K122,"")</f>
        <v/>
      </c>
      <c r="Q122" s="86" t="str">
        <f>IF(M122=0,"",M122-O122)</f>
        <v/>
      </c>
      <c r="R122" s="85" t="str">
        <f>IFERROR(Q122/K122,"")</f>
        <v/>
      </c>
    </row>
    <row r="123" spans="1:18" x14ac:dyDescent="0.35">
      <c r="A123" s="101" t="s">
        <v>447</v>
      </c>
      <c r="B123" s="87"/>
      <c r="C123" s="87"/>
      <c r="D123" s="87"/>
      <c r="E123" s="87"/>
      <c r="F123" s="131"/>
      <c r="G123" s="134"/>
      <c r="H123" s="134"/>
      <c r="I123" s="104"/>
      <c r="J123" s="99"/>
      <c r="K123" s="122"/>
      <c r="L123" s="89"/>
      <c r="M123" s="87"/>
      <c r="N123" s="87"/>
      <c r="O123" s="87"/>
      <c r="P123" s="87"/>
      <c r="Q123" s="87"/>
      <c r="R123" s="87"/>
    </row>
    <row r="124" spans="1:18" x14ac:dyDescent="0.35">
      <c r="A124" s="102" t="s">
        <v>448</v>
      </c>
      <c r="B124" s="88"/>
      <c r="C124" s="88"/>
      <c r="D124" s="88"/>
      <c r="E124" s="88"/>
      <c r="F124" s="132"/>
      <c r="G124" s="135"/>
      <c r="H124" s="135"/>
      <c r="I124" s="105"/>
      <c r="J124" s="114"/>
      <c r="K124" s="123"/>
      <c r="L124" s="90"/>
      <c r="M124" s="88"/>
      <c r="N124" s="88"/>
      <c r="O124" s="88"/>
      <c r="P124" s="88"/>
      <c r="Q124" s="88"/>
      <c r="R124" s="88"/>
    </row>
    <row r="125" spans="1:18" x14ac:dyDescent="0.35">
      <c r="A125" s="103" t="s">
        <v>449</v>
      </c>
      <c r="B125" s="88"/>
      <c r="C125" s="88"/>
      <c r="D125" s="88"/>
      <c r="E125" s="88"/>
      <c r="F125" s="132"/>
      <c r="G125" s="135"/>
      <c r="H125" s="135"/>
      <c r="I125" s="105"/>
      <c r="J125" s="115"/>
      <c r="K125" s="124"/>
      <c r="L125" s="90"/>
      <c r="M125" s="88"/>
      <c r="N125" s="88"/>
      <c r="O125" s="88"/>
      <c r="P125" s="88"/>
      <c r="Q125" s="88"/>
      <c r="R125" s="88"/>
    </row>
    <row r="126" spans="1:18" x14ac:dyDescent="0.35">
      <c r="J126" s="100"/>
      <c r="L126" s="28"/>
    </row>
    <row r="127" spans="1:18" s="34" customFormat="1" x14ac:dyDescent="0.35">
      <c r="A127" s="84">
        <v>23</v>
      </c>
      <c r="B127" s="558"/>
      <c r="C127" s="559"/>
      <c r="D127" s="120"/>
      <c r="E127" s="120"/>
      <c r="F127" s="121"/>
      <c r="G127" s="133"/>
      <c r="H127" s="133"/>
      <c r="I127" s="138" t="str">
        <f>IF(B127=0,"",IF(AND(G127=0,H127=0),365,IF(AND(G127&gt;0,H127=0),$C$6-G127+1,IF(AND(G127=0,H127&gt;0),H127-($C$6-365),H127-G127+1))))</f>
        <v/>
      </c>
      <c r="J127" s="98"/>
      <c r="K127" s="8">
        <f>SUM(K128:K130)</f>
        <v>0</v>
      </c>
      <c r="L127" s="91" t="str">
        <f>IF(K127&gt;0,K127/(F127*I127),"")</f>
        <v/>
      </c>
      <c r="M127" s="125"/>
      <c r="N127" s="85" t="str">
        <f>IFERROR(M127/K127,"")</f>
        <v/>
      </c>
      <c r="O127" s="125"/>
      <c r="P127" s="85" t="str">
        <f>IFERROR(O127/K127,"")</f>
        <v/>
      </c>
      <c r="Q127" s="86" t="str">
        <f>IF(M127=0,"",M127-O127)</f>
        <v/>
      </c>
      <c r="R127" s="85" t="str">
        <f>IFERROR(Q127/K127,"")</f>
        <v/>
      </c>
    </row>
    <row r="128" spans="1:18" x14ac:dyDescent="0.35">
      <c r="A128" s="101" t="s">
        <v>447</v>
      </c>
      <c r="B128" s="87"/>
      <c r="C128" s="87"/>
      <c r="D128" s="87"/>
      <c r="E128" s="87"/>
      <c r="F128" s="131"/>
      <c r="G128" s="134"/>
      <c r="H128" s="134"/>
      <c r="I128" s="104"/>
      <c r="J128" s="99"/>
      <c r="K128" s="122"/>
      <c r="L128" s="89"/>
      <c r="M128" s="87"/>
      <c r="N128" s="87"/>
      <c r="O128" s="87"/>
      <c r="P128" s="87"/>
      <c r="Q128" s="87"/>
      <c r="R128" s="87"/>
    </row>
    <row r="129" spans="1:18" x14ac:dyDescent="0.35">
      <c r="A129" s="102" t="s">
        <v>448</v>
      </c>
      <c r="B129" s="88"/>
      <c r="C129" s="88"/>
      <c r="D129" s="88"/>
      <c r="E129" s="88"/>
      <c r="F129" s="132"/>
      <c r="G129" s="135"/>
      <c r="H129" s="135"/>
      <c r="I129" s="105"/>
      <c r="J129" s="114"/>
      <c r="K129" s="123"/>
      <c r="L129" s="90"/>
      <c r="M129" s="88"/>
      <c r="N129" s="88"/>
      <c r="O129" s="88"/>
      <c r="P129" s="88"/>
      <c r="Q129" s="88"/>
      <c r="R129" s="88"/>
    </row>
    <row r="130" spans="1:18" x14ac:dyDescent="0.35">
      <c r="A130" s="103" t="s">
        <v>449</v>
      </c>
      <c r="B130" s="88"/>
      <c r="C130" s="88"/>
      <c r="D130" s="88"/>
      <c r="E130" s="88"/>
      <c r="F130" s="132"/>
      <c r="G130" s="135"/>
      <c r="H130" s="135"/>
      <c r="I130" s="105"/>
      <c r="J130" s="115"/>
      <c r="K130" s="124"/>
      <c r="L130" s="90"/>
      <c r="M130" s="88"/>
      <c r="N130" s="88"/>
      <c r="O130" s="88"/>
      <c r="P130" s="88"/>
      <c r="Q130" s="88"/>
      <c r="R130" s="88"/>
    </row>
    <row r="131" spans="1:18" x14ac:dyDescent="0.35">
      <c r="J131" s="100"/>
      <c r="L131" s="28"/>
    </row>
    <row r="132" spans="1:18" s="34" customFormat="1" x14ac:dyDescent="0.35">
      <c r="A132" s="84">
        <v>24</v>
      </c>
      <c r="B132" s="558"/>
      <c r="C132" s="559"/>
      <c r="D132" s="120"/>
      <c r="E132" s="120"/>
      <c r="F132" s="121"/>
      <c r="G132" s="133"/>
      <c r="H132" s="133"/>
      <c r="I132" s="138" t="str">
        <f>IF(B132=0,"",IF(AND(G132=0,H132=0),365,IF(AND(G132&gt;0,H132=0),$C$6-G132+1,IF(AND(G132=0,H132&gt;0),H132-($C$6-365),H132-G132+1))))</f>
        <v/>
      </c>
      <c r="J132" s="98"/>
      <c r="K132" s="8">
        <f>SUM(K133:K135)</f>
        <v>0</v>
      </c>
      <c r="L132" s="91" t="str">
        <f>IF(K132&gt;0,K132/(F132*I132),"")</f>
        <v/>
      </c>
      <c r="M132" s="125"/>
      <c r="N132" s="85" t="str">
        <f>IFERROR(M132/K132,"")</f>
        <v/>
      </c>
      <c r="O132" s="125"/>
      <c r="P132" s="85" t="str">
        <f>IFERROR(O132/K132,"")</f>
        <v/>
      </c>
      <c r="Q132" s="86" t="str">
        <f>IF(M132=0,"",M132-O132)</f>
        <v/>
      </c>
      <c r="R132" s="85" t="str">
        <f>IFERROR(Q132/K132,"")</f>
        <v/>
      </c>
    </row>
    <row r="133" spans="1:18" x14ac:dyDescent="0.35">
      <c r="A133" s="101" t="s">
        <v>447</v>
      </c>
      <c r="B133" s="87"/>
      <c r="C133" s="87"/>
      <c r="D133" s="87"/>
      <c r="E133" s="87"/>
      <c r="F133" s="131"/>
      <c r="G133" s="134"/>
      <c r="H133" s="134"/>
      <c r="I133" s="104"/>
      <c r="J133" s="99"/>
      <c r="K133" s="122"/>
      <c r="L133" s="89"/>
      <c r="M133" s="87"/>
      <c r="N133" s="87"/>
      <c r="O133" s="87"/>
      <c r="P133" s="87"/>
      <c r="Q133" s="87"/>
      <c r="R133" s="87"/>
    </row>
    <row r="134" spans="1:18" x14ac:dyDescent="0.35">
      <c r="A134" s="102" t="s">
        <v>448</v>
      </c>
      <c r="B134" s="88"/>
      <c r="C134" s="88"/>
      <c r="D134" s="88"/>
      <c r="E134" s="88"/>
      <c r="F134" s="132"/>
      <c r="G134" s="135"/>
      <c r="H134" s="135"/>
      <c r="I134" s="105"/>
      <c r="J134" s="114"/>
      <c r="K134" s="123"/>
      <c r="L134" s="90"/>
      <c r="M134" s="88"/>
      <c r="N134" s="88"/>
      <c r="O134" s="88"/>
      <c r="P134" s="88"/>
      <c r="Q134" s="88"/>
      <c r="R134" s="88"/>
    </row>
    <row r="135" spans="1:18" x14ac:dyDescent="0.35">
      <c r="A135" s="103" t="s">
        <v>449</v>
      </c>
      <c r="B135" s="88"/>
      <c r="C135" s="88"/>
      <c r="D135" s="88"/>
      <c r="E135" s="88"/>
      <c r="F135" s="132"/>
      <c r="G135" s="135"/>
      <c r="H135" s="135"/>
      <c r="I135" s="105"/>
      <c r="J135" s="115"/>
      <c r="K135" s="124"/>
      <c r="L135" s="90"/>
      <c r="M135" s="88"/>
      <c r="N135" s="88"/>
      <c r="O135" s="88"/>
      <c r="P135" s="88"/>
      <c r="Q135" s="88"/>
      <c r="R135" s="88"/>
    </row>
    <row r="136" spans="1:18" x14ac:dyDescent="0.35">
      <c r="J136" s="100"/>
      <c r="L136" s="28"/>
    </row>
    <row r="137" spans="1:18" s="34" customFormat="1" x14ac:dyDescent="0.35">
      <c r="A137" s="84">
        <v>25</v>
      </c>
      <c r="B137" s="558"/>
      <c r="C137" s="559"/>
      <c r="D137" s="120"/>
      <c r="E137" s="120"/>
      <c r="F137" s="121"/>
      <c r="G137" s="133"/>
      <c r="H137" s="133"/>
      <c r="I137" s="138" t="str">
        <f>IF(B137=0,"",IF(AND(G137=0,H137=0),365,IF(AND(G137&gt;0,H137=0),$C$6-G137+1,IF(AND(G137=0,H137&gt;0),H137-($C$6-365),H137-G137+1))))</f>
        <v/>
      </c>
      <c r="J137" s="98"/>
      <c r="K137" s="8">
        <f>SUM(K138:K140)</f>
        <v>0</v>
      </c>
      <c r="L137" s="91" t="str">
        <f>IF(K137&gt;0,K137/(F137*I137),"")</f>
        <v/>
      </c>
      <c r="M137" s="125"/>
      <c r="N137" s="85" t="str">
        <f>IFERROR(M137/K137,"")</f>
        <v/>
      </c>
      <c r="O137" s="125"/>
      <c r="P137" s="85" t="str">
        <f>IFERROR(O137/K137,"")</f>
        <v/>
      </c>
      <c r="Q137" s="86" t="str">
        <f>IF(M137=0,"",M137-O137)</f>
        <v/>
      </c>
      <c r="R137" s="85" t="str">
        <f>IFERROR(Q137/K137,"")</f>
        <v/>
      </c>
    </row>
    <row r="138" spans="1:18" x14ac:dyDescent="0.35">
      <c r="A138" s="101" t="s">
        <v>447</v>
      </c>
      <c r="B138" s="87"/>
      <c r="C138" s="87"/>
      <c r="D138" s="87"/>
      <c r="E138" s="87"/>
      <c r="F138" s="131"/>
      <c r="G138" s="134"/>
      <c r="H138" s="134"/>
      <c r="I138" s="104"/>
      <c r="J138" s="99"/>
      <c r="K138" s="122"/>
      <c r="L138" s="89"/>
      <c r="M138" s="87"/>
      <c r="N138" s="87"/>
      <c r="O138" s="87"/>
      <c r="P138" s="87"/>
      <c r="Q138" s="87"/>
      <c r="R138" s="87"/>
    </row>
    <row r="139" spans="1:18" x14ac:dyDescent="0.35">
      <c r="A139" s="102" t="s">
        <v>448</v>
      </c>
      <c r="B139" s="88"/>
      <c r="C139" s="88"/>
      <c r="D139" s="88"/>
      <c r="E139" s="88"/>
      <c r="F139" s="132"/>
      <c r="G139" s="135"/>
      <c r="H139" s="135"/>
      <c r="I139" s="105"/>
      <c r="J139" s="114"/>
      <c r="K139" s="123"/>
      <c r="L139" s="90"/>
      <c r="M139" s="88"/>
      <c r="N139" s="88"/>
      <c r="O139" s="88"/>
      <c r="P139" s="88"/>
      <c r="Q139" s="88"/>
      <c r="R139" s="88"/>
    </row>
    <row r="140" spans="1:18" x14ac:dyDescent="0.35">
      <c r="A140" s="103" t="s">
        <v>449</v>
      </c>
      <c r="B140" s="88"/>
      <c r="C140" s="88"/>
      <c r="D140" s="88"/>
      <c r="E140" s="88"/>
      <c r="F140" s="132"/>
      <c r="G140" s="135"/>
      <c r="H140" s="135"/>
      <c r="I140" s="105"/>
      <c r="J140" s="115"/>
      <c r="K140" s="124"/>
      <c r="L140" s="90"/>
      <c r="M140" s="88"/>
      <c r="N140" s="88"/>
      <c r="O140" s="88"/>
      <c r="P140" s="88"/>
      <c r="Q140" s="88"/>
      <c r="R140" s="88"/>
    </row>
    <row r="141" spans="1:18" x14ac:dyDescent="0.35">
      <c r="J141" s="100"/>
      <c r="L141" s="28"/>
    </row>
    <row r="142" spans="1:18" s="34" customFormat="1" x14ac:dyDescent="0.35">
      <c r="A142" s="84">
        <v>26</v>
      </c>
      <c r="B142" s="558"/>
      <c r="C142" s="559"/>
      <c r="D142" s="120"/>
      <c r="E142" s="120"/>
      <c r="F142" s="121"/>
      <c r="G142" s="133"/>
      <c r="H142" s="133"/>
      <c r="I142" s="138" t="str">
        <f>IF(B142=0,"",IF(AND(G142=0,H142=0),365,IF(AND(G142&gt;0,H142=0),$C$6-G142+1,IF(AND(G142=0,H142&gt;0),H142-($C$6-365),H142-G142+1))))</f>
        <v/>
      </c>
      <c r="J142" s="98"/>
      <c r="K142" s="8">
        <f>SUM(K143:K145)</f>
        <v>0</v>
      </c>
      <c r="L142" s="91" t="str">
        <f>IF(K142&gt;0,K142/(F142*I142),"")</f>
        <v/>
      </c>
      <c r="M142" s="125"/>
      <c r="N142" s="85" t="str">
        <f>IFERROR(M142/K142,"")</f>
        <v/>
      </c>
      <c r="O142" s="125"/>
      <c r="P142" s="85" t="str">
        <f>IFERROR(O142/K142,"")</f>
        <v/>
      </c>
      <c r="Q142" s="86" t="str">
        <f>IF(M142=0,"",M142-O142)</f>
        <v/>
      </c>
      <c r="R142" s="85" t="str">
        <f>IFERROR(Q142/K142,"")</f>
        <v/>
      </c>
    </row>
    <row r="143" spans="1:18" x14ac:dyDescent="0.35">
      <c r="A143" s="101" t="s">
        <v>447</v>
      </c>
      <c r="B143" s="87"/>
      <c r="C143" s="87"/>
      <c r="D143" s="87"/>
      <c r="E143" s="87"/>
      <c r="F143" s="131"/>
      <c r="G143" s="134"/>
      <c r="H143" s="134"/>
      <c r="I143" s="104"/>
      <c r="J143" s="99"/>
      <c r="K143" s="122"/>
      <c r="L143" s="89"/>
      <c r="M143" s="87"/>
      <c r="N143" s="87"/>
      <c r="O143" s="87"/>
      <c r="P143" s="87"/>
      <c r="Q143" s="87"/>
      <c r="R143" s="87"/>
    </row>
    <row r="144" spans="1:18" x14ac:dyDescent="0.35">
      <c r="A144" s="102" t="s">
        <v>448</v>
      </c>
      <c r="B144" s="88"/>
      <c r="C144" s="88"/>
      <c r="D144" s="88"/>
      <c r="E144" s="88"/>
      <c r="F144" s="132"/>
      <c r="G144" s="135"/>
      <c r="H144" s="135"/>
      <c r="I144" s="105"/>
      <c r="J144" s="114"/>
      <c r="K144" s="123"/>
      <c r="L144" s="90"/>
      <c r="M144" s="88"/>
      <c r="N144" s="88"/>
      <c r="O144" s="88"/>
      <c r="P144" s="88"/>
      <c r="Q144" s="88"/>
      <c r="R144" s="88"/>
    </row>
    <row r="145" spans="1:18" x14ac:dyDescent="0.35">
      <c r="A145" s="103" t="s">
        <v>449</v>
      </c>
      <c r="B145" s="88"/>
      <c r="C145" s="88"/>
      <c r="D145" s="88"/>
      <c r="E145" s="88"/>
      <c r="F145" s="132"/>
      <c r="G145" s="135"/>
      <c r="H145" s="135"/>
      <c r="I145" s="105"/>
      <c r="J145" s="115"/>
      <c r="K145" s="124"/>
      <c r="L145" s="90"/>
      <c r="M145" s="88"/>
      <c r="N145" s="88"/>
      <c r="O145" s="88"/>
      <c r="P145" s="88"/>
      <c r="Q145" s="88"/>
      <c r="R145" s="88"/>
    </row>
    <row r="146" spans="1:18" x14ac:dyDescent="0.35">
      <c r="J146" s="100"/>
      <c r="L146" s="28"/>
    </row>
    <row r="147" spans="1:18" s="34" customFormat="1" x14ac:dyDescent="0.35">
      <c r="A147" s="84">
        <v>27</v>
      </c>
      <c r="B147" s="558"/>
      <c r="C147" s="559"/>
      <c r="D147" s="120"/>
      <c r="E147" s="120"/>
      <c r="F147" s="121"/>
      <c r="G147" s="133"/>
      <c r="H147" s="133"/>
      <c r="I147" s="138" t="str">
        <f>IF(B147=0,"",IF(AND(G147=0,H147=0),365,IF(AND(G147&gt;0,H147=0),$C$6-G147+1,IF(AND(G147=0,H147&gt;0),H147-($C$6-365),H147-G147+1))))</f>
        <v/>
      </c>
      <c r="J147" s="98"/>
      <c r="K147" s="8">
        <f>SUM(K148:K150)</f>
        <v>0</v>
      </c>
      <c r="L147" s="91" t="str">
        <f>IF(K147&gt;0,K147/(F147*I147),"")</f>
        <v/>
      </c>
      <c r="M147" s="125"/>
      <c r="N147" s="85" t="str">
        <f>IFERROR(M147/K147,"")</f>
        <v/>
      </c>
      <c r="O147" s="125"/>
      <c r="P147" s="85" t="str">
        <f>IFERROR(O147/K147,"")</f>
        <v/>
      </c>
      <c r="Q147" s="86" t="str">
        <f>IF(M147=0,"",M147-O147)</f>
        <v/>
      </c>
      <c r="R147" s="85" t="str">
        <f>IFERROR(Q147/K147,"")</f>
        <v/>
      </c>
    </row>
    <row r="148" spans="1:18" x14ac:dyDescent="0.35">
      <c r="A148" s="101" t="s">
        <v>447</v>
      </c>
      <c r="B148" s="87"/>
      <c r="C148" s="87"/>
      <c r="D148" s="87"/>
      <c r="E148" s="87"/>
      <c r="F148" s="131"/>
      <c r="G148" s="134"/>
      <c r="H148" s="134"/>
      <c r="I148" s="104"/>
      <c r="J148" s="99"/>
      <c r="K148" s="122"/>
      <c r="L148" s="89"/>
      <c r="M148" s="87"/>
      <c r="N148" s="87"/>
      <c r="O148" s="87"/>
      <c r="P148" s="87"/>
      <c r="Q148" s="87"/>
      <c r="R148" s="87"/>
    </row>
    <row r="149" spans="1:18" x14ac:dyDescent="0.35">
      <c r="A149" s="102" t="s">
        <v>448</v>
      </c>
      <c r="B149" s="88"/>
      <c r="C149" s="88"/>
      <c r="D149" s="88"/>
      <c r="E149" s="88"/>
      <c r="F149" s="132"/>
      <c r="G149" s="135"/>
      <c r="H149" s="135"/>
      <c r="I149" s="105"/>
      <c r="J149" s="114"/>
      <c r="K149" s="123"/>
      <c r="L149" s="90"/>
      <c r="M149" s="88"/>
      <c r="N149" s="88"/>
      <c r="O149" s="88"/>
      <c r="P149" s="88"/>
      <c r="Q149" s="88"/>
      <c r="R149" s="88"/>
    </row>
    <row r="150" spans="1:18" x14ac:dyDescent="0.35">
      <c r="A150" s="103" t="s">
        <v>449</v>
      </c>
      <c r="B150" s="88"/>
      <c r="C150" s="88"/>
      <c r="D150" s="88"/>
      <c r="E150" s="88"/>
      <c r="F150" s="132"/>
      <c r="G150" s="135"/>
      <c r="H150" s="135"/>
      <c r="I150" s="105"/>
      <c r="J150" s="115"/>
      <c r="K150" s="124"/>
      <c r="L150" s="90"/>
      <c r="M150" s="88"/>
      <c r="N150" s="88"/>
      <c r="O150" s="88"/>
      <c r="P150" s="88"/>
      <c r="Q150" s="88"/>
      <c r="R150" s="88"/>
    </row>
    <row r="151" spans="1:18" x14ac:dyDescent="0.35">
      <c r="J151" s="100"/>
      <c r="L151" s="28"/>
    </row>
    <row r="152" spans="1:18" s="34" customFormat="1" x14ac:dyDescent="0.35">
      <c r="A152" s="84">
        <v>28</v>
      </c>
      <c r="B152" s="558"/>
      <c r="C152" s="559"/>
      <c r="D152" s="120"/>
      <c r="E152" s="120"/>
      <c r="F152" s="121"/>
      <c r="G152" s="133"/>
      <c r="H152" s="133"/>
      <c r="I152" s="138" t="str">
        <f>IF(B152=0,"",IF(AND(G152=0,H152=0),365,IF(AND(G152&gt;0,H152=0),$C$6-G152+1,IF(AND(G152=0,H152&gt;0),H152-($C$6-365),H152-G152+1))))</f>
        <v/>
      </c>
      <c r="J152" s="98"/>
      <c r="K152" s="8">
        <f>SUM(K153:K155)</f>
        <v>0</v>
      </c>
      <c r="L152" s="91" t="str">
        <f>IF(K152&gt;0,K152/(F152*I152),"")</f>
        <v/>
      </c>
      <c r="M152" s="125"/>
      <c r="N152" s="85" t="str">
        <f>IFERROR(M152/K152,"")</f>
        <v/>
      </c>
      <c r="O152" s="125"/>
      <c r="P152" s="85" t="str">
        <f>IFERROR(O152/K152,"")</f>
        <v/>
      </c>
      <c r="Q152" s="86" t="str">
        <f>IF(M152=0,"",M152-O152)</f>
        <v/>
      </c>
      <c r="R152" s="85" t="str">
        <f>IFERROR(Q152/K152,"")</f>
        <v/>
      </c>
    </row>
    <row r="153" spans="1:18" x14ac:dyDescent="0.35">
      <c r="A153" s="101" t="s">
        <v>447</v>
      </c>
      <c r="B153" s="87"/>
      <c r="C153" s="87"/>
      <c r="D153" s="87"/>
      <c r="E153" s="87"/>
      <c r="F153" s="131"/>
      <c r="G153" s="134"/>
      <c r="H153" s="134"/>
      <c r="I153" s="104"/>
      <c r="J153" s="99"/>
      <c r="K153" s="122"/>
      <c r="L153" s="89"/>
      <c r="M153" s="87"/>
      <c r="N153" s="87"/>
      <c r="O153" s="87"/>
      <c r="P153" s="87"/>
      <c r="Q153" s="87"/>
      <c r="R153" s="87"/>
    </row>
    <row r="154" spans="1:18" x14ac:dyDescent="0.35">
      <c r="A154" s="102" t="s">
        <v>448</v>
      </c>
      <c r="B154" s="88"/>
      <c r="C154" s="88"/>
      <c r="D154" s="88"/>
      <c r="E154" s="88"/>
      <c r="F154" s="132"/>
      <c r="G154" s="135"/>
      <c r="H154" s="135"/>
      <c r="I154" s="105"/>
      <c r="J154" s="114"/>
      <c r="K154" s="123"/>
      <c r="L154" s="90"/>
      <c r="M154" s="88"/>
      <c r="N154" s="88"/>
      <c r="O154" s="88"/>
      <c r="P154" s="88"/>
      <c r="Q154" s="88"/>
      <c r="R154" s="88"/>
    </row>
    <row r="155" spans="1:18" x14ac:dyDescent="0.35">
      <c r="A155" s="103" t="s">
        <v>449</v>
      </c>
      <c r="B155" s="88"/>
      <c r="C155" s="88"/>
      <c r="D155" s="88"/>
      <c r="E155" s="88"/>
      <c r="F155" s="132"/>
      <c r="G155" s="135"/>
      <c r="H155" s="135"/>
      <c r="I155" s="105"/>
      <c r="J155" s="115"/>
      <c r="K155" s="124"/>
      <c r="L155" s="90"/>
      <c r="M155" s="88"/>
      <c r="N155" s="88"/>
      <c r="O155" s="88"/>
      <c r="P155" s="88"/>
      <c r="Q155" s="88"/>
      <c r="R155" s="88"/>
    </row>
    <row r="156" spans="1:18" x14ac:dyDescent="0.35">
      <c r="J156" s="100"/>
      <c r="L156" s="28"/>
    </row>
    <row r="157" spans="1:18" s="34" customFormat="1" x14ac:dyDescent="0.35">
      <c r="A157" s="84">
        <v>29</v>
      </c>
      <c r="B157" s="558"/>
      <c r="C157" s="559"/>
      <c r="D157" s="120"/>
      <c r="E157" s="120"/>
      <c r="F157" s="121"/>
      <c r="G157" s="133"/>
      <c r="H157" s="133"/>
      <c r="I157" s="138" t="str">
        <f>IF(B157=0,"",IF(AND(G157=0,H157=0),365,IF(AND(G157&gt;0,H157=0),$C$6-G157+1,IF(AND(G157=0,H157&gt;0),H157-($C$6-365),H157-G157+1))))</f>
        <v/>
      </c>
      <c r="J157" s="98"/>
      <c r="K157" s="8">
        <f>SUM(K158:K160)</f>
        <v>0</v>
      </c>
      <c r="L157" s="91" t="str">
        <f>IF(K157&gt;0,K157/(F157*I157),"")</f>
        <v/>
      </c>
      <c r="M157" s="125"/>
      <c r="N157" s="85" t="str">
        <f>IFERROR(M157/K157,"")</f>
        <v/>
      </c>
      <c r="O157" s="125"/>
      <c r="P157" s="85" t="str">
        <f>IFERROR(O157/K157,"")</f>
        <v/>
      </c>
      <c r="Q157" s="86" t="str">
        <f>IF(M157=0,"",M157-O157)</f>
        <v/>
      </c>
      <c r="R157" s="85" t="str">
        <f>IFERROR(Q157/K157,"")</f>
        <v/>
      </c>
    </row>
    <row r="158" spans="1:18" x14ac:dyDescent="0.35">
      <c r="A158" s="101" t="s">
        <v>447</v>
      </c>
      <c r="B158" s="87"/>
      <c r="C158" s="87"/>
      <c r="D158" s="87"/>
      <c r="E158" s="87"/>
      <c r="F158" s="131"/>
      <c r="G158" s="134"/>
      <c r="H158" s="134"/>
      <c r="I158" s="104"/>
      <c r="J158" s="99"/>
      <c r="K158" s="122"/>
      <c r="L158" s="89"/>
      <c r="M158" s="87"/>
      <c r="N158" s="87"/>
      <c r="O158" s="87"/>
      <c r="P158" s="87"/>
      <c r="Q158" s="87"/>
      <c r="R158" s="87"/>
    </row>
    <row r="159" spans="1:18" x14ac:dyDescent="0.35">
      <c r="A159" s="102" t="s">
        <v>448</v>
      </c>
      <c r="B159" s="88"/>
      <c r="C159" s="88"/>
      <c r="D159" s="88"/>
      <c r="E159" s="88"/>
      <c r="F159" s="132"/>
      <c r="G159" s="135"/>
      <c r="H159" s="135"/>
      <c r="I159" s="105"/>
      <c r="J159" s="114"/>
      <c r="K159" s="123"/>
      <c r="L159" s="90"/>
      <c r="M159" s="88"/>
      <c r="N159" s="88"/>
      <c r="O159" s="88"/>
      <c r="P159" s="88"/>
      <c r="Q159" s="88"/>
      <c r="R159" s="88"/>
    </row>
    <row r="160" spans="1:18" x14ac:dyDescent="0.35">
      <c r="A160" s="103" t="s">
        <v>449</v>
      </c>
      <c r="B160" s="88"/>
      <c r="C160" s="88"/>
      <c r="D160" s="88"/>
      <c r="E160" s="88"/>
      <c r="F160" s="132"/>
      <c r="G160" s="135"/>
      <c r="H160" s="135"/>
      <c r="I160" s="105"/>
      <c r="J160" s="115"/>
      <c r="K160" s="124"/>
      <c r="L160" s="90"/>
      <c r="M160" s="88"/>
      <c r="N160" s="88"/>
      <c r="O160" s="88"/>
      <c r="P160" s="88"/>
      <c r="Q160" s="88"/>
      <c r="R160" s="88"/>
    </row>
    <row r="161" spans="1:18" x14ac:dyDescent="0.35">
      <c r="J161" s="100"/>
      <c r="L161" s="28"/>
    </row>
    <row r="162" spans="1:18" s="34" customFormat="1" x14ac:dyDescent="0.35">
      <c r="A162" s="84">
        <v>30</v>
      </c>
      <c r="B162" s="558"/>
      <c r="C162" s="559"/>
      <c r="D162" s="120"/>
      <c r="E162" s="120"/>
      <c r="F162" s="121"/>
      <c r="G162" s="133"/>
      <c r="H162" s="133"/>
      <c r="I162" s="138" t="str">
        <f>IF(B162=0,"",IF(AND(G162=0,H162=0),365,IF(AND(G162&gt;0,H162=0),$C$6-G162+1,IF(AND(G162=0,H162&gt;0),H162-($C$6-365),H162-G162+1))))</f>
        <v/>
      </c>
      <c r="J162" s="98"/>
      <c r="K162" s="8">
        <f>SUM(K163:K165)</f>
        <v>0</v>
      </c>
      <c r="L162" s="91" t="str">
        <f>IF(K162&gt;0,K162/(F162*I162),"")</f>
        <v/>
      </c>
      <c r="M162" s="125"/>
      <c r="N162" s="85" t="str">
        <f>IFERROR(M162/K162,"")</f>
        <v/>
      </c>
      <c r="O162" s="125"/>
      <c r="P162" s="85" t="str">
        <f>IFERROR(O162/K162,"")</f>
        <v/>
      </c>
      <c r="Q162" s="86" t="str">
        <f>IF(M162=0,"",M162-O162)</f>
        <v/>
      </c>
      <c r="R162" s="85" t="str">
        <f>IFERROR(Q162/K162,"")</f>
        <v/>
      </c>
    </row>
    <row r="163" spans="1:18" x14ac:dyDescent="0.35">
      <c r="A163" s="101" t="s">
        <v>447</v>
      </c>
      <c r="B163" s="87"/>
      <c r="C163" s="87"/>
      <c r="D163" s="87"/>
      <c r="E163" s="87"/>
      <c r="F163" s="131"/>
      <c r="G163" s="134"/>
      <c r="H163" s="134"/>
      <c r="I163" s="104"/>
      <c r="J163" s="99"/>
      <c r="K163" s="122"/>
      <c r="L163" s="89"/>
      <c r="M163" s="87"/>
      <c r="N163" s="87"/>
      <c r="O163" s="87"/>
      <c r="P163" s="87"/>
      <c r="Q163" s="87"/>
      <c r="R163" s="87"/>
    </row>
    <row r="164" spans="1:18" x14ac:dyDescent="0.35">
      <c r="A164" s="102" t="s">
        <v>448</v>
      </c>
      <c r="B164" s="88"/>
      <c r="C164" s="88"/>
      <c r="D164" s="88"/>
      <c r="E164" s="88"/>
      <c r="F164" s="132"/>
      <c r="G164" s="135"/>
      <c r="H164" s="135"/>
      <c r="I164" s="105"/>
      <c r="J164" s="114"/>
      <c r="K164" s="123"/>
      <c r="L164" s="90"/>
      <c r="M164" s="88"/>
      <c r="N164" s="88"/>
      <c r="O164" s="88"/>
      <c r="P164" s="88"/>
      <c r="Q164" s="88"/>
      <c r="R164" s="88"/>
    </row>
    <row r="165" spans="1:18" x14ac:dyDescent="0.35">
      <c r="A165" s="103" t="s">
        <v>449</v>
      </c>
      <c r="B165" s="88"/>
      <c r="C165" s="88"/>
      <c r="D165" s="88"/>
      <c r="E165" s="88"/>
      <c r="F165" s="132"/>
      <c r="G165" s="135"/>
      <c r="H165" s="135"/>
      <c r="I165" s="105"/>
      <c r="J165" s="115"/>
      <c r="K165" s="124"/>
      <c r="L165" s="90"/>
      <c r="M165" s="88"/>
      <c r="N165" s="88"/>
      <c r="O165" s="88"/>
      <c r="P165" s="88"/>
      <c r="Q165" s="88"/>
      <c r="R165" s="88"/>
    </row>
    <row r="166" spans="1:18" x14ac:dyDescent="0.35">
      <c r="J166" s="100"/>
      <c r="L166" s="28"/>
    </row>
    <row r="167" spans="1:18" x14ac:dyDescent="0.35">
      <c r="A167" s="19">
        <v>31</v>
      </c>
      <c r="B167" s="539" t="s">
        <v>173</v>
      </c>
      <c r="C167" s="539"/>
      <c r="D167" s="539"/>
      <c r="E167" s="539"/>
      <c r="F167" s="27">
        <f>F162+F157+F152+F147+F142+F137+F132+F127+F122+F117+F112+F107+F102+F97+F92+F87+F82+F77+F72+F67+F62+F57+F52+F47+F42+F37+F32+F27+F22+F17</f>
        <v>31</v>
      </c>
      <c r="G167" s="32"/>
      <c r="H167" s="32"/>
      <c r="I167" s="32"/>
      <c r="J167" s="32"/>
      <c r="K167" s="27">
        <f>K162+K157+K152+K147+K142+K137+K132+K127+K122+K117+K112+K107+K102+K97+K92+K87+K82+K77+K72+K67+K62+K57+K52+K47+K42+K37+K32+K27+K22+K17</f>
        <v>7086</v>
      </c>
      <c r="L167" s="29">
        <f>IF(K167&gt;0,K167/(F167*365),"")</f>
        <v>0.62624834290764475</v>
      </c>
      <c r="M167" s="27">
        <f>M162+M157+M152+M147+M142+M137+M132+M127+M122+M117+M112+M107+M102+M97+M92+M87+M82+M77+M72+M67+M62+M57+M52+M47+M42+M37+M32+M27+M22+M17</f>
        <v>8909516</v>
      </c>
      <c r="N167" s="17">
        <f t="shared" ref="N167" si="0">IFERROR(M167/K167,"")</f>
        <v>1257.3406717471071</v>
      </c>
      <c r="O167" s="27">
        <f>O162+O157+O152+O147+O142+O137+O132+O127+O122+O117+O112+O107+O102+O97+O92+O87+O82+O77+O72+O67+O62+O57+O52+O47+O42+O37+O32+O27+O22+O17</f>
        <v>1413093</v>
      </c>
      <c r="P167" s="17">
        <f t="shared" ref="P167" si="1">IFERROR(O167/K167,"")</f>
        <v>199.42040643522438</v>
      </c>
      <c r="Q167" s="30">
        <f t="shared" ref="Q167" si="2">IF(M167=0,"",M167-O167)</f>
        <v>7496423</v>
      </c>
      <c r="R167" s="17">
        <f t="shared" ref="R167" si="3">IFERROR(Q167/K167,"")</f>
        <v>1057.9202653118825</v>
      </c>
    </row>
    <row r="169" spans="1:18" x14ac:dyDescent="0.35">
      <c r="A169" s="19">
        <v>32</v>
      </c>
      <c r="L169" s="37" t="s">
        <v>199</v>
      </c>
      <c r="M169" s="39">
        <f>'As-Filed Schedule 1'!G91</f>
        <v>8682866</v>
      </c>
    </row>
    <row r="170" spans="1:18" x14ac:dyDescent="0.35">
      <c r="A170" s="19">
        <v>33</v>
      </c>
      <c r="L170" s="37" t="s">
        <v>186</v>
      </c>
      <c r="M170" s="39">
        <f>'As-Filed Schedule 1'!G93</f>
        <v>3259742</v>
      </c>
    </row>
    <row r="171" spans="1:18" x14ac:dyDescent="0.35">
      <c r="A171" s="19">
        <v>34</v>
      </c>
      <c r="L171" s="37" t="s">
        <v>200</v>
      </c>
      <c r="M171" s="18">
        <f>SUM(M169:M170)</f>
        <v>11942608</v>
      </c>
    </row>
    <row r="172" spans="1:18" x14ac:dyDescent="0.35">
      <c r="A172" s="19">
        <v>35</v>
      </c>
      <c r="L172" s="37" t="s">
        <v>10</v>
      </c>
      <c r="M172" s="18">
        <f>M167-M171</f>
        <v>-3033092</v>
      </c>
    </row>
    <row r="173" spans="1:18" x14ac:dyDescent="0.35">
      <c r="M173" s="38" t="str">
        <f>IF(M172&lt;&gt;0,"ERROR","")</f>
        <v>ERROR</v>
      </c>
    </row>
    <row r="174" spans="1:18" ht="39" customHeight="1" x14ac:dyDescent="0.35">
      <c r="J174" s="6" t="s">
        <v>40</v>
      </c>
      <c r="K174" s="6" t="s">
        <v>446</v>
      </c>
      <c r="L174" s="6" t="s">
        <v>445</v>
      </c>
      <c r="M174" s="78" t="s">
        <v>10</v>
      </c>
    </row>
    <row r="175" spans="1:18" x14ac:dyDescent="0.35">
      <c r="A175" s="19">
        <v>36</v>
      </c>
      <c r="J175" s="93" t="s">
        <v>442</v>
      </c>
      <c r="K175" s="27">
        <f>SUMIF($J$17:$J$167,"H0010 3.2 WM",$K$17:$K$167)</f>
        <v>0</v>
      </c>
      <c r="L175" s="27">
        <f>'As-Filed Schedule 4'!D122+'As-Filed Schedule 4'!H122</f>
        <v>0</v>
      </c>
      <c r="M175" s="27">
        <f>L175-K175</f>
        <v>0</v>
      </c>
      <c r="N175" s="92" t="str">
        <f>IF(M175&lt;&gt;0,"ERROR","")</f>
        <v/>
      </c>
    </row>
    <row r="176" spans="1:18" x14ac:dyDescent="0.35">
      <c r="A176" s="19">
        <v>37</v>
      </c>
      <c r="J176" s="94" t="s">
        <v>443</v>
      </c>
      <c r="K176" s="27">
        <f>SUMIF($J$17:$J$167,"H0011 3.7 WM",$K$17:$K$167)</f>
        <v>0</v>
      </c>
      <c r="L176" s="27">
        <f>'As-Filed Schedule 4'!D123+'As-Filed Schedule 4'!H123</f>
        <v>0</v>
      </c>
      <c r="M176" s="27">
        <f t="shared" ref="M176:M179" si="4">L176-K176</f>
        <v>0</v>
      </c>
      <c r="N176" s="92" t="str">
        <f t="shared" ref="N176:N179" si="5">IF(M176&lt;&gt;0,"ERROR","")</f>
        <v/>
      </c>
    </row>
    <row r="177" spans="1:14" x14ac:dyDescent="0.35">
      <c r="A177" s="19">
        <v>38</v>
      </c>
      <c r="C177" s="231" t="s">
        <v>476</v>
      </c>
      <c r="D177" s="232"/>
      <c r="E177" s="232"/>
      <c r="F177" s="232"/>
      <c r="G177" s="144"/>
      <c r="J177" s="94" t="s">
        <v>51</v>
      </c>
      <c r="K177" s="27">
        <f t="shared" ref="K177:K184" si="6">SUMIF($J$17:$J$167,J177,$K$17:$K$167)</f>
        <v>3878</v>
      </c>
      <c r="L177" s="27">
        <f>'As-Filed Schedule 4'!D125+'As-Filed Schedule 4'!H125</f>
        <v>3055</v>
      </c>
      <c r="M177" s="27">
        <f t="shared" si="4"/>
        <v>-823</v>
      </c>
      <c r="N177" s="92" t="str">
        <f t="shared" si="5"/>
        <v>ERROR</v>
      </c>
    </row>
    <row r="178" spans="1:14" x14ac:dyDescent="0.35">
      <c r="A178" s="19">
        <v>39</v>
      </c>
      <c r="C178" s="233" t="s">
        <v>468</v>
      </c>
      <c r="D178" s="234"/>
      <c r="E178" s="234" t="s">
        <v>472</v>
      </c>
      <c r="F178" s="100"/>
      <c r="G178" s="145"/>
      <c r="J178" s="94" t="s">
        <v>52</v>
      </c>
      <c r="K178" s="27">
        <f t="shared" si="6"/>
        <v>3208</v>
      </c>
      <c r="L178" s="27">
        <f>'As-Filed Schedule 4'!D126+'As-Filed Schedule 4'!H126</f>
        <v>2169</v>
      </c>
      <c r="M178" s="27">
        <f t="shared" si="4"/>
        <v>-1039</v>
      </c>
      <c r="N178" s="92" t="str">
        <f t="shared" si="5"/>
        <v>ERROR</v>
      </c>
    </row>
    <row r="179" spans="1:14" x14ac:dyDescent="0.35">
      <c r="A179" s="19">
        <v>40</v>
      </c>
      <c r="C179" s="233" t="s">
        <v>477</v>
      </c>
      <c r="D179" s="234"/>
      <c r="E179" s="234" t="s">
        <v>474</v>
      </c>
      <c r="F179" s="100"/>
      <c r="G179" s="145"/>
      <c r="J179" s="94" t="s">
        <v>53</v>
      </c>
      <c r="K179" s="27">
        <f t="shared" si="6"/>
        <v>0</v>
      </c>
      <c r="L179" s="27">
        <f>'As-Filed Schedule 4'!D127+'As-Filed Schedule 4'!H127</f>
        <v>0</v>
      </c>
      <c r="M179" s="27">
        <f t="shared" si="4"/>
        <v>0</v>
      </c>
      <c r="N179" s="92" t="str">
        <f t="shared" si="5"/>
        <v/>
      </c>
    </row>
    <row r="180" spans="1:14" x14ac:dyDescent="0.35">
      <c r="A180" s="19">
        <v>41</v>
      </c>
      <c r="C180" s="233" t="s">
        <v>469</v>
      </c>
      <c r="D180" s="234"/>
      <c r="E180" s="234" t="s">
        <v>473</v>
      </c>
      <c r="F180" s="100"/>
      <c r="G180" s="145"/>
      <c r="J180" s="95" t="s">
        <v>440</v>
      </c>
      <c r="K180" s="106">
        <f t="shared" si="6"/>
        <v>0</v>
      </c>
      <c r="L180" s="89"/>
      <c r="M180" s="87"/>
    </row>
    <row r="181" spans="1:14" x14ac:dyDescent="0.35">
      <c r="A181" s="19">
        <v>42</v>
      </c>
      <c r="C181" s="233" t="s">
        <v>470</v>
      </c>
      <c r="D181" s="234"/>
      <c r="E181" s="234" t="s">
        <v>471</v>
      </c>
      <c r="F181" s="100"/>
      <c r="G181" s="145"/>
      <c r="J181" s="95" t="s">
        <v>444</v>
      </c>
      <c r="K181" s="108">
        <f t="shared" si="6"/>
        <v>0</v>
      </c>
      <c r="L181" s="90"/>
      <c r="M181" s="88"/>
    </row>
    <row r="182" spans="1:14" x14ac:dyDescent="0.35">
      <c r="A182" s="19">
        <v>43</v>
      </c>
      <c r="C182" s="235" t="s">
        <v>478</v>
      </c>
      <c r="D182" s="236"/>
      <c r="E182" s="236" t="s">
        <v>475</v>
      </c>
      <c r="F182" s="237"/>
      <c r="G182" s="146"/>
      <c r="J182" s="95" t="s">
        <v>439</v>
      </c>
      <c r="K182" s="108">
        <f t="shared" si="6"/>
        <v>0</v>
      </c>
      <c r="L182" s="109"/>
      <c r="M182" s="110"/>
    </row>
    <row r="183" spans="1:14" x14ac:dyDescent="0.35">
      <c r="A183" s="19">
        <v>44</v>
      </c>
      <c r="C183" s="100"/>
      <c r="D183" s="100"/>
      <c r="E183" s="100"/>
      <c r="F183" s="100"/>
      <c r="J183" s="96" t="s">
        <v>438</v>
      </c>
      <c r="K183" s="107">
        <f t="shared" si="6"/>
        <v>0</v>
      </c>
      <c r="L183" s="27">
        <f>'As-Filed Schedule 4'!D180+'As-Filed Schedule 4'!H180</f>
        <v>0</v>
      </c>
      <c r="M183" s="27">
        <f>L183-SUM(K180:K183)</f>
        <v>0</v>
      </c>
      <c r="N183" s="92" t="str">
        <f t="shared" ref="N183" si="7">IF(M183&lt;&gt;0,"ERROR","")</f>
        <v/>
      </c>
    </row>
    <row r="184" spans="1:14" x14ac:dyDescent="0.35">
      <c r="A184" s="19">
        <v>45</v>
      </c>
      <c r="C184" s="100"/>
      <c r="D184" s="100"/>
      <c r="E184" s="100"/>
      <c r="F184" s="100"/>
      <c r="J184" s="94" t="s">
        <v>481</v>
      </c>
      <c r="K184" s="27">
        <f t="shared" si="6"/>
        <v>0</v>
      </c>
      <c r="L184" s="90"/>
      <c r="M184" s="88"/>
    </row>
    <row r="185" spans="1:14" x14ac:dyDescent="0.35">
      <c r="C185" s="100"/>
      <c r="D185" s="100"/>
      <c r="E185" s="100"/>
      <c r="F185" s="100"/>
    </row>
    <row r="249" spans="4:10" ht="17.25" customHeight="1" x14ac:dyDescent="0.35"/>
    <row r="251" spans="4:10" hidden="1" x14ac:dyDescent="0.35">
      <c r="D251" t="s">
        <v>456</v>
      </c>
      <c r="E251" t="s">
        <v>159</v>
      </c>
      <c r="J251" s="111" t="s">
        <v>450</v>
      </c>
    </row>
    <row r="252" spans="4:10" hidden="1" x14ac:dyDescent="0.35">
      <c r="D252" t="s">
        <v>176</v>
      </c>
      <c r="E252" t="s">
        <v>456</v>
      </c>
      <c r="J252" s="112" t="s">
        <v>451</v>
      </c>
    </row>
    <row r="253" spans="4:10" hidden="1" x14ac:dyDescent="0.35">
      <c r="D253" t="s">
        <v>175</v>
      </c>
      <c r="E253" t="s">
        <v>467</v>
      </c>
      <c r="J253" s="112" t="s">
        <v>51</v>
      </c>
    </row>
    <row r="254" spans="4:10" hidden="1" x14ac:dyDescent="0.35">
      <c r="D254" t="s">
        <v>435</v>
      </c>
      <c r="E254" t="s">
        <v>466</v>
      </c>
      <c r="J254" s="112" t="s">
        <v>52</v>
      </c>
    </row>
    <row r="255" spans="4:10" hidden="1" x14ac:dyDescent="0.35">
      <c r="D255" t="s">
        <v>170</v>
      </c>
      <c r="E255" t="s">
        <v>174</v>
      </c>
      <c r="J255" s="112" t="s">
        <v>53</v>
      </c>
    </row>
    <row r="256" spans="4:10" hidden="1" x14ac:dyDescent="0.35">
      <c r="D256" t="s">
        <v>482</v>
      </c>
      <c r="E256" t="s">
        <v>172</v>
      </c>
      <c r="J256" s="112" t="s">
        <v>440</v>
      </c>
    </row>
    <row r="257" spans="5:10" hidden="1" x14ac:dyDescent="0.35">
      <c r="E257" t="s">
        <v>171</v>
      </c>
      <c r="J257" s="112" t="s">
        <v>444</v>
      </c>
    </row>
    <row r="258" spans="5:10" hidden="1" x14ac:dyDescent="0.35">
      <c r="E258" t="s">
        <v>465</v>
      </c>
      <c r="J258" s="112" t="s">
        <v>439</v>
      </c>
    </row>
    <row r="259" spans="5:10" hidden="1" x14ac:dyDescent="0.35">
      <c r="E259" t="s">
        <v>436</v>
      </c>
      <c r="J259" s="113" t="s">
        <v>438</v>
      </c>
    </row>
    <row r="260" spans="5:10" hidden="1" x14ac:dyDescent="0.35">
      <c r="J260" s="113" t="s">
        <v>481</v>
      </c>
    </row>
    <row r="261" spans="5:10" hidden="1" x14ac:dyDescent="0.35">
      <c r="J261" s="113" t="s">
        <v>455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42">
    <mergeCell ref="Q14:R14"/>
    <mergeCell ref="B13:C13"/>
    <mergeCell ref="M14:N14"/>
    <mergeCell ref="O14:P14"/>
    <mergeCell ref="L14:L15"/>
    <mergeCell ref="K14:K15"/>
    <mergeCell ref="F14:F15"/>
    <mergeCell ref="E14:E15"/>
    <mergeCell ref="D14:D15"/>
    <mergeCell ref="B167:E167"/>
    <mergeCell ref="B127:C127"/>
    <mergeCell ref="B157:C157"/>
    <mergeCell ref="A9:K11"/>
    <mergeCell ref="G14:G15"/>
    <mergeCell ref="H14:H15"/>
    <mergeCell ref="B14:C15"/>
    <mergeCell ref="B27:C27"/>
    <mergeCell ref="B162:C162"/>
    <mergeCell ref="B132:C132"/>
    <mergeCell ref="B137:C137"/>
    <mergeCell ref="B142:C142"/>
    <mergeCell ref="B147:C147"/>
    <mergeCell ref="B152:C152"/>
    <mergeCell ref="B77:C77"/>
    <mergeCell ref="B82:C82"/>
    <mergeCell ref="B87:C87"/>
    <mergeCell ref="B117:C117"/>
    <mergeCell ref="B122:C122"/>
    <mergeCell ref="B92:C92"/>
    <mergeCell ref="B97:C97"/>
    <mergeCell ref="B102:C102"/>
    <mergeCell ref="B107:C107"/>
    <mergeCell ref="B112:C112"/>
    <mergeCell ref="B37:C37"/>
    <mergeCell ref="B32:C32"/>
    <mergeCell ref="B67:C67"/>
    <mergeCell ref="B72:C72"/>
    <mergeCell ref="B42:C42"/>
    <mergeCell ref="B52:C52"/>
    <mergeCell ref="B47:C47"/>
    <mergeCell ref="B57:C57"/>
    <mergeCell ref="B62:C62"/>
  </mergeCells>
  <dataValidations count="3">
    <dataValidation type="list" allowBlank="1" showInputMessage="1" showErrorMessage="1" sqref="D22 D137 D52 D57 D62 D67 D72 D47 D157 D27 D32 D37 D42 D77 D112 D117 D122 D127 D132 D107 D82 D87 D92 D97 D102 D162 D142 D147 D152 D17" xr:uid="{00000000-0002-0000-2A00-000000000000}">
      <formula1>$D$251:$D$256</formula1>
    </dataValidation>
    <dataValidation type="list" allowBlank="1" showInputMessage="1" showErrorMessage="1" sqref="J23:J25 J163:J165 J158:J160 J153:J155 J148:J150 J143:J145 J138:J140 J133:J135 J128:J130 J123:J125 J118:J120 J113:J115 J108:J110 J103:J105 J98:J100 J93:J95 J88:J90 J83:J85 J78:J80 J73:J75 J68:J70 J63:J65 J58:J60 J53:J55 J48:J50 J43:J45 J38:J40 J33:J35 J28:J30 J18:J20" xr:uid="{00000000-0002-0000-2A00-000001000000}">
      <formula1>$J$251:$J$261</formula1>
    </dataValidation>
    <dataValidation type="list" allowBlank="1" showInputMessage="1" showErrorMessage="1" sqref="E22 E137 E52 E57 E62 E67 E72 E47 E157 E27 E32 E37 E42 E77 E112 E117 E122 E127 E132 E107 E82 E87 E92 E97 E102 E162 E142 E147 E152 E17" xr:uid="{00000000-0002-0000-2A00-000002000000}">
      <formula1>$E$251:$E$259</formula1>
    </dataValidation>
  </dataValidations>
  <pageMargins left="0.7" right="0.7" top="0.75" bottom="0.75" header="0.3" footer="0.3"/>
  <pageSetup orientation="portrait" horizontalDpi="1200" verticalDpi="1200"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CC5CA"/>
  </sheetPr>
  <dimension ref="A1:L197"/>
  <sheetViews>
    <sheetView workbookViewId="0">
      <selection activeCell="H197" sqref="H197"/>
    </sheetView>
  </sheetViews>
  <sheetFormatPr defaultRowHeight="14.5" x14ac:dyDescent="0.35"/>
  <cols>
    <col min="2" max="2" width="15.54296875" customWidth="1"/>
    <col min="3" max="3" width="77" style="4" customWidth="1"/>
    <col min="4" max="6" width="18.54296875" style="4" customWidth="1"/>
    <col min="7" max="7" width="23.54296875" style="13" customWidth="1"/>
    <col min="8" max="11" width="21" style="13" customWidth="1"/>
    <col min="12" max="12" width="16" customWidth="1"/>
  </cols>
  <sheetData>
    <row r="1" spans="1:12" ht="26" x14ac:dyDescent="0.6">
      <c r="A1" s="3" t="s">
        <v>774</v>
      </c>
      <c r="D1" s="48"/>
      <c r="E1" s="49"/>
      <c r="F1" s="49"/>
      <c r="G1" s="50"/>
      <c r="H1" s="50"/>
    </row>
    <row r="2" spans="1:12" ht="21" x14ac:dyDescent="0.5">
      <c r="A2" s="2" t="s">
        <v>772</v>
      </c>
      <c r="D2" s="54"/>
      <c r="E2" s="49"/>
      <c r="F2" s="49"/>
      <c r="G2" s="50"/>
      <c r="H2" s="50"/>
    </row>
    <row r="3" spans="1:12" ht="25" customHeight="1" x14ac:dyDescent="0.5">
      <c r="A3" s="5" t="s">
        <v>929</v>
      </c>
      <c r="B3" s="5"/>
      <c r="C3" s="7"/>
      <c r="D3" s="54"/>
      <c r="E3" s="51"/>
      <c r="F3" s="51"/>
      <c r="G3" s="52"/>
      <c r="H3" s="52"/>
      <c r="I3" s="14"/>
      <c r="J3" s="14"/>
    </row>
    <row r="4" spans="1:12" x14ac:dyDescent="0.35">
      <c r="D4" s="54"/>
      <c r="E4" s="49"/>
      <c r="F4" s="49"/>
      <c r="G4" s="50"/>
      <c r="H4" s="50"/>
      <c r="K4" s="540"/>
      <c r="L4" s="540"/>
    </row>
    <row r="5" spans="1:12" ht="15" customHeight="1" x14ac:dyDescent="0.35">
      <c r="A5" s="1" t="s">
        <v>773</v>
      </c>
      <c r="C5" s="415" t="str">
        <f>'As-Filed Schedule 1'!C5</f>
        <v>AllHealth Network</v>
      </c>
      <c r="D5" s="55"/>
      <c r="E5" s="53"/>
      <c r="F5" s="53"/>
      <c r="G5" s="50"/>
      <c r="H5" s="50"/>
      <c r="K5" s="540"/>
      <c r="L5" s="540"/>
    </row>
    <row r="6" spans="1:12" x14ac:dyDescent="0.35">
      <c r="A6" s="1" t="s">
        <v>0</v>
      </c>
      <c r="C6" s="35">
        <f>'As-Filed Schedule 1'!C6</f>
        <v>45473</v>
      </c>
      <c r="D6" s="35"/>
      <c r="E6" s="35"/>
      <c r="F6" s="35"/>
      <c r="K6" s="540"/>
      <c r="L6" s="540"/>
    </row>
    <row r="7" spans="1:12" x14ac:dyDescent="0.35">
      <c r="A7" s="1"/>
      <c r="C7" s="35"/>
      <c r="D7" s="23">
        <v>1</v>
      </c>
      <c r="E7" s="35"/>
      <c r="F7" s="23">
        <v>3</v>
      </c>
      <c r="H7" s="204"/>
      <c r="I7" s="174">
        <v>6</v>
      </c>
      <c r="J7" s="204"/>
      <c r="K7" s="174">
        <v>8</v>
      </c>
      <c r="L7" s="81"/>
    </row>
    <row r="8" spans="1:12" x14ac:dyDescent="0.35">
      <c r="A8" s="19">
        <v>1</v>
      </c>
      <c r="C8" s="46" t="s">
        <v>193</v>
      </c>
      <c r="D8" s="26">
        <f>'As-Filed Schedule 1'!F95</f>
        <v>45153224</v>
      </c>
      <c r="E8" s="46" t="s">
        <v>197</v>
      </c>
      <c r="F8" s="31">
        <f>F197</f>
        <v>59667.61</v>
      </c>
      <c r="H8" s="422" t="s">
        <v>857</v>
      </c>
      <c r="I8" s="26">
        <f>'As-Filed Schedule 1'!F95</f>
        <v>45153224</v>
      </c>
      <c r="J8" s="422" t="s">
        <v>858</v>
      </c>
      <c r="K8" s="179">
        <v>143182</v>
      </c>
      <c r="L8" s="25"/>
    </row>
    <row r="9" spans="1:12" x14ac:dyDescent="0.35">
      <c r="A9" s="19">
        <v>2</v>
      </c>
      <c r="C9" s="46" t="s">
        <v>251</v>
      </c>
      <c r="D9" s="117"/>
      <c r="E9" s="46" t="s">
        <v>198</v>
      </c>
      <c r="F9" s="31">
        <f>J197</f>
        <v>391070.84999999992</v>
      </c>
      <c r="H9" s="422" t="s">
        <v>859</v>
      </c>
      <c r="I9" s="179"/>
      <c r="J9" s="544"/>
      <c r="K9" s="544"/>
      <c r="L9" s="45"/>
    </row>
    <row r="10" spans="1:12" x14ac:dyDescent="0.35">
      <c r="A10" s="19">
        <v>3</v>
      </c>
      <c r="C10" s="42" t="s">
        <v>194</v>
      </c>
      <c r="D10" s="18">
        <f>D8-D9</f>
        <v>45153224</v>
      </c>
      <c r="E10" s="42" t="s">
        <v>195</v>
      </c>
      <c r="F10" s="9">
        <f>SUM(F8:F9)</f>
        <v>450738.4599999999</v>
      </c>
      <c r="H10" s="423" t="s">
        <v>860</v>
      </c>
      <c r="I10" s="184">
        <f>I8-I9</f>
        <v>45153224</v>
      </c>
      <c r="J10" s="544"/>
      <c r="K10" s="544"/>
      <c r="L10" s="45"/>
    </row>
    <row r="11" spans="1:12" x14ac:dyDescent="0.35">
      <c r="A11" s="1"/>
      <c r="H11" s="205"/>
      <c r="I11" s="205"/>
      <c r="J11" s="544"/>
      <c r="K11" s="545"/>
      <c r="L11" s="45"/>
    </row>
    <row r="12" spans="1:12" ht="18.5" x14ac:dyDescent="0.45">
      <c r="A12" s="19">
        <v>4</v>
      </c>
      <c r="E12" s="44" t="s">
        <v>196</v>
      </c>
      <c r="F12" s="43">
        <f>D10/F10</f>
        <v>100.17610656077586</v>
      </c>
      <c r="H12" s="205"/>
      <c r="I12" s="205"/>
      <c r="J12" s="424" t="s">
        <v>861</v>
      </c>
      <c r="K12" s="425">
        <f>I10/K8</f>
        <v>315.35544970736544</v>
      </c>
      <c r="L12" s="45"/>
    </row>
    <row r="13" spans="1:12" x14ac:dyDescent="0.35">
      <c r="A13" s="1"/>
      <c r="C13" s="35"/>
      <c r="D13" s="35"/>
      <c r="E13" s="35"/>
      <c r="F13" s="35"/>
      <c r="I13" s="143"/>
    </row>
    <row r="14" spans="1:12" x14ac:dyDescent="0.35">
      <c r="D14" s="23">
        <v>1</v>
      </c>
      <c r="E14" s="23">
        <v>2</v>
      </c>
      <c r="F14" s="23">
        <v>3</v>
      </c>
      <c r="G14" s="23">
        <v>4</v>
      </c>
      <c r="H14" s="23">
        <v>5</v>
      </c>
      <c r="I14" s="23">
        <v>6</v>
      </c>
      <c r="J14" s="23">
        <v>7</v>
      </c>
      <c r="K14" s="23">
        <v>8</v>
      </c>
    </row>
    <row r="15" spans="1:12" x14ac:dyDescent="0.35">
      <c r="A15" s="1"/>
      <c r="C15" s="35"/>
      <c r="D15" s="541" t="s">
        <v>191</v>
      </c>
      <c r="E15" s="542"/>
      <c r="F15" s="542"/>
      <c r="G15" s="543"/>
      <c r="H15" s="541" t="s">
        <v>192</v>
      </c>
      <c r="I15" s="542"/>
      <c r="J15" s="542"/>
      <c r="K15" s="543"/>
    </row>
    <row r="16" spans="1:12" ht="29" x14ac:dyDescent="0.35">
      <c r="B16" s="207" t="s">
        <v>40</v>
      </c>
      <c r="C16" s="207" t="s">
        <v>11</v>
      </c>
      <c r="D16" s="207" t="s">
        <v>187</v>
      </c>
      <c r="E16" s="238" t="s">
        <v>483</v>
      </c>
      <c r="F16" s="238" t="s">
        <v>189</v>
      </c>
      <c r="G16" s="239" t="s">
        <v>156</v>
      </c>
      <c r="H16" s="239" t="s">
        <v>188</v>
      </c>
      <c r="I16" s="238" t="s">
        <v>484</v>
      </c>
      <c r="J16" s="16" t="s">
        <v>190</v>
      </c>
      <c r="K16" s="15" t="s">
        <v>157</v>
      </c>
    </row>
    <row r="17" spans="1:11" s="22" customFormat="1" x14ac:dyDescent="0.35">
      <c r="A17" s="19">
        <v>5</v>
      </c>
      <c r="B17" s="419" t="s">
        <v>787</v>
      </c>
      <c r="C17" s="20" t="s">
        <v>788</v>
      </c>
      <c r="D17" s="116">
        <v>0</v>
      </c>
      <c r="E17" s="405">
        <v>0</v>
      </c>
      <c r="F17" s="147">
        <f>D17*E17</f>
        <v>0</v>
      </c>
      <c r="G17" s="148">
        <f t="shared" ref="G17" si="0">E17*$F$12</f>
        <v>0</v>
      </c>
      <c r="H17" s="149">
        <v>0</v>
      </c>
      <c r="I17" s="405">
        <v>0</v>
      </c>
      <c r="J17" s="47">
        <f>H17*I17</f>
        <v>0</v>
      </c>
      <c r="K17" s="21">
        <f t="shared" ref="K17" si="1">I17*$F$12</f>
        <v>0</v>
      </c>
    </row>
    <row r="18" spans="1:11" s="22" customFormat="1" x14ac:dyDescent="0.35">
      <c r="A18" s="19">
        <v>6</v>
      </c>
      <c r="B18" s="19">
        <v>80305</v>
      </c>
      <c r="C18" s="20" t="s">
        <v>111</v>
      </c>
      <c r="D18" s="116">
        <v>0</v>
      </c>
      <c r="E18" s="405">
        <v>0</v>
      </c>
      <c r="F18" s="147">
        <f>D18*E18</f>
        <v>0</v>
      </c>
      <c r="G18" s="148">
        <f t="shared" ref="G18:G73" si="2">E18*$F$12</f>
        <v>0</v>
      </c>
      <c r="H18" s="149">
        <v>819</v>
      </c>
      <c r="I18" s="405">
        <v>0</v>
      </c>
      <c r="J18" s="47">
        <f>H18*I18</f>
        <v>0</v>
      </c>
      <c r="K18" s="21">
        <f t="shared" ref="K18:K73" si="3">I18*$F$12</f>
        <v>0</v>
      </c>
    </row>
    <row r="19" spans="1:11" s="22" customFormat="1" x14ac:dyDescent="0.35">
      <c r="A19" s="19">
        <v>7</v>
      </c>
      <c r="B19" s="19">
        <v>80306</v>
      </c>
      <c r="C19" s="20" t="s">
        <v>41</v>
      </c>
      <c r="D19" s="116">
        <v>0</v>
      </c>
      <c r="E19" s="405">
        <v>0</v>
      </c>
      <c r="F19" s="147">
        <f>D19*E19</f>
        <v>0</v>
      </c>
      <c r="G19" s="148">
        <f t="shared" si="2"/>
        <v>0</v>
      </c>
      <c r="H19" s="149">
        <v>0</v>
      </c>
      <c r="I19" s="405">
        <v>0</v>
      </c>
      <c r="J19" s="47">
        <f t="shared" ref="J19:J74" si="4">H19*I19</f>
        <v>0</v>
      </c>
      <c r="K19" s="21">
        <f t="shared" si="3"/>
        <v>0</v>
      </c>
    </row>
    <row r="20" spans="1:11" s="22" customFormat="1" x14ac:dyDescent="0.35">
      <c r="A20" s="19">
        <v>8</v>
      </c>
      <c r="B20" s="19">
        <v>82075</v>
      </c>
      <c r="C20" s="20" t="s">
        <v>112</v>
      </c>
      <c r="D20" s="116">
        <v>1</v>
      </c>
      <c r="E20" s="405">
        <v>0</v>
      </c>
      <c r="F20" s="147">
        <f t="shared" ref="F20:F74" si="5">D20*E20</f>
        <v>0</v>
      </c>
      <c r="G20" s="148">
        <f t="shared" si="2"/>
        <v>0</v>
      </c>
      <c r="H20" s="149">
        <v>785</v>
      </c>
      <c r="I20" s="405">
        <v>0</v>
      </c>
      <c r="J20" s="47">
        <f t="shared" si="4"/>
        <v>0</v>
      </c>
      <c r="K20" s="21">
        <f t="shared" si="3"/>
        <v>0</v>
      </c>
    </row>
    <row r="21" spans="1:11" s="22" customFormat="1" x14ac:dyDescent="0.35">
      <c r="A21" s="19">
        <v>9</v>
      </c>
      <c r="B21" s="19">
        <v>90785</v>
      </c>
      <c r="C21" s="20" t="s">
        <v>319</v>
      </c>
      <c r="D21" s="116">
        <v>444</v>
      </c>
      <c r="E21" s="405">
        <v>0.44</v>
      </c>
      <c r="F21" s="47">
        <f t="shared" si="5"/>
        <v>195.36</v>
      </c>
      <c r="G21" s="21">
        <f t="shared" si="2"/>
        <v>44.077486886741383</v>
      </c>
      <c r="H21" s="116">
        <v>2883</v>
      </c>
      <c r="I21" s="405">
        <v>0.39</v>
      </c>
      <c r="J21" s="47">
        <f t="shared" si="4"/>
        <v>1124.3700000000001</v>
      </c>
      <c r="K21" s="21">
        <f t="shared" si="3"/>
        <v>39.068681558702586</v>
      </c>
    </row>
    <row r="22" spans="1:11" s="22" customFormat="1" x14ac:dyDescent="0.35">
      <c r="A22" s="19">
        <v>10</v>
      </c>
      <c r="B22" s="19">
        <v>90791</v>
      </c>
      <c r="C22" s="20" t="s">
        <v>320</v>
      </c>
      <c r="D22" s="116">
        <v>794</v>
      </c>
      <c r="E22" s="405">
        <v>5.17</v>
      </c>
      <c r="F22" s="47">
        <f t="shared" si="5"/>
        <v>4104.9799999999996</v>
      </c>
      <c r="G22" s="21">
        <f t="shared" si="2"/>
        <v>517.91047091921121</v>
      </c>
      <c r="H22" s="116">
        <v>6032</v>
      </c>
      <c r="I22" s="405">
        <v>4.43</v>
      </c>
      <c r="J22" s="47">
        <f t="shared" si="4"/>
        <v>26721.759999999998</v>
      </c>
      <c r="K22" s="21">
        <f t="shared" si="3"/>
        <v>443.78015206423703</v>
      </c>
    </row>
    <row r="23" spans="1:11" s="22" customFormat="1" x14ac:dyDescent="0.35">
      <c r="A23" s="19">
        <v>11</v>
      </c>
      <c r="B23" s="19">
        <v>90792</v>
      </c>
      <c r="C23" s="20" t="s">
        <v>321</v>
      </c>
      <c r="D23" s="116">
        <v>0</v>
      </c>
      <c r="E23" s="405">
        <v>5.82</v>
      </c>
      <c r="F23" s="47">
        <f t="shared" si="5"/>
        <v>0</v>
      </c>
      <c r="G23" s="21">
        <f t="shared" si="2"/>
        <v>583.02494018371556</v>
      </c>
      <c r="H23" s="116">
        <v>3</v>
      </c>
      <c r="I23" s="405">
        <v>5.08</v>
      </c>
      <c r="J23" s="47">
        <f t="shared" si="4"/>
        <v>15.24</v>
      </c>
      <c r="K23" s="21">
        <f t="shared" si="3"/>
        <v>508.89462132874138</v>
      </c>
    </row>
    <row r="24" spans="1:11" s="22" customFormat="1" x14ac:dyDescent="0.35">
      <c r="A24" s="19">
        <v>12</v>
      </c>
      <c r="B24" s="19">
        <v>90832</v>
      </c>
      <c r="C24" s="20" t="s">
        <v>325</v>
      </c>
      <c r="D24" s="116">
        <v>2564</v>
      </c>
      <c r="E24" s="405">
        <v>2.35</v>
      </c>
      <c r="F24" s="47">
        <f t="shared" si="5"/>
        <v>6025.4000000000005</v>
      </c>
      <c r="G24" s="21">
        <f t="shared" si="2"/>
        <v>235.41385041782328</v>
      </c>
      <c r="H24" s="116">
        <v>5814</v>
      </c>
      <c r="I24" s="405">
        <v>2.0499999999999998</v>
      </c>
      <c r="J24" s="47">
        <f t="shared" si="4"/>
        <v>11918.699999999999</v>
      </c>
      <c r="K24" s="21">
        <f t="shared" si="3"/>
        <v>205.36101844959049</v>
      </c>
    </row>
    <row r="25" spans="1:11" s="22" customFormat="1" x14ac:dyDescent="0.35">
      <c r="A25" s="19">
        <v>13</v>
      </c>
      <c r="B25" s="19">
        <v>90833</v>
      </c>
      <c r="C25" s="20" t="s">
        <v>322</v>
      </c>
      <c r="D25" s="116">
        <v>2</v>
      </c>
      <c r="E25" s="405">
        <v>2.16</v>
      </c>
      <c r="F25" s="47">
        <f t="shared" si="5"/>
        <v>4.32</v>
      </c>
      <c r="G25" s="21">
        <f t="shared" si="2"/>
        <v>216.38039017127588</v>
      </c>
      <c r="H25" s="116">
        <v>356</v>
      </c>
      <c r="I25" s="405">
        <v>1.92</v>
      </c>
      <c r="J25" s="47">
        <f t="shared" si="4"/>
        <v>683.52</v>
      </c>
      <c r="K25" s="21">
        <f t="shared" si="3"/>
        <v>192.33812459668965</v>
      </c>
    </row>
    <row r="26" spans="1:11" s="22" customFormat="1" x14ac:dyDescent="0.35">
      <c r="A26" s="19">
        <v>14</v>
      </c>
      <c r="B26" s="19">
        <v>90834</v>
      </c>
      <c r="C26" s="20" t="s">
        <v>323</v>
      </c>
      <c r="D26" s="116">
        <v>5509</v>
      </c>
      <c r="E26" s="405">
        <v>3.1</v>
      </c>
      <c r="F26" s="47">
        <f t="shared" si="5"/>
        <v>17077.900000000001</v>
      </c>
      <c r="G26" s="21">
        <f t="shared" si="2"/>
        <v>310.54593033840519</v>
      </c>
      <c r="H26" s="116">
        <v>29973</v>
      </c>
      <c r="I26" s="405">
        <v>2.71</v>
      </c>
      <c r="J26" s="47">
        <f t="shared" si="4"/>
        <v>81226.83</v>
      </c>
      <c r="K26" s="21">
        <f t="shared" si="3"/>
        <v>271.47724877970256</v>
      </c>
    </row>
    <row r="27" spans="1:11" s="22" customFormat="1" x14ac:dyDescent="0.35">
      <c r="A27" s="19">
        <v>15</v>
      </c>
      <c r="B27" s="19">
        <v>90836</v>
      </c>
      <c r="C27" s="20" t="s">
        <v>326</v>
      </c>
      <c r="D27" s="116">
        <v>0</v>
      </c>
      <c r="E27" s="405">
        <v>2.73</v>
      </c>
      <c r="F27" s="47">
        <f t="shared" si="5"/>
        <v>0</v>
      </c>
      <c r="G27" s="21">
        <f t="shared" si="2"/>
        <v>273.48077091091812</v>
      </c>
      <c r="H27" s="116">
        <v>0</v>
      </c>
      <c r="I27" s="405">
        <v>2.4300000000000002</v>
      </c>
      <c r="J27" s="47">
        <f t="shared" si="4"/>
        <v>0</v>
      </c>
      <c r="K27" s="21">
        <f t="shared" si="3"/>
        <v>243.42793894268536</v>
      </c>
    </row>
    <row r="28" spans="1:11" s="22" customFormat="1" x14ac:dyDescent="0.35">
      <c r="A28" s="19">
        <v>16</v>
      </c>
      <c r="B28" s="19">
        <v>90837</v>
      </c>
      <c r="C28" s="20" t="s">
        <v>324</v>
      </c>
      <c r="D28" s="116">
        <v>2201</v>
      </c>
      <c r="E28" s="405">
        <v>4.57</v>
      </c>
      <c r="F28" s="47">
        <f t="shared" si="5"/>
        <v>10058.570000000002</v>
      </c>
      <c r="G28" s="21">
        <f t="shared" si="2"/>
        <v>457.80480698274573</v>
      </c>
      <c r="H28" s="116">
        <v>24645</v>
      </c>
      <c r="I28" s="405">
        <v>4</v>
      </c>
      <c r="J28" s="47">
        <f t="shared" si="4"/>
        <v>98580</v>
      </c>
      <c r="K28" s="21">
        <f t="shared" si="3"/>
        <v>400.70442624310346</v>
      </c>
    </row>
    <row r="29" spans="1:11" s="22" customFormat="1" x14ac:dyDescent="0.35">
      <c r="A29" s="19">
        <v>17</v>
      </c>
      <c r="B29" s="19">
        <v>90838</v>
      </c>
      <c r="C29" s="20" t="s">
        <v>327</v>
      </c>
      <c r="D29" s="116">
        <v>0</v>
      </c>
      <c r="E29" s="405">
        <v>3.62</v>
      </c>
      <c r="F29" s="47">
        <f t="shared" si="5"/>
        <v>0</v>
      </c>
      <c r="G29" s="21">
        <f t="shared" si="2"/>
        <v>362.63750575000864</v>
      </c>
      <c r="H29" s="116">
        <v>0</v>
      </c>
      <c r="I29" s="405">
        <v>3.22</v>
      </c>
      <c r="J29" s="47">
        <f t="shared" si="4"/>
        <v>0</v>
      </c>
      <c r="K29" s="21">
        <f t="shared" si="3"/>
        <v>322.56706312569833</v>
      </c>
    </row>
    <row r="30" spans="1:11" s="22" customFormat="1" x14ac:dyDescent="0.35">
      <c r="A30" s="19">
        <v>18</v>
      </c>
      <c r="B30" s="19">
        <v>90839</v>
      </c>
      <c r="C30" s="20" t="s">
        <v>329</v>
      </c>
      <c r="D30" s="116">
        <v>2</v>
      </c>
      <c r="E30" s="405">
        <v>4.4000000000000004</v>
      </c>
      <c r="F30" s="47">
        <f t="shared" si="5"/>
        <v>8.8000000000000007</v>
      </c>
      <c r="G30" s="21">
        <f t="shared" si="2"/>
        <v>440.77486886741383</v>
      </c>
      <c r="H30" s="116">
        <v>15</v>
      </c>
      <c r="I30" s="405">
        <v>3.87</v>
      </c>
      <c r="J30" s="47">
        <f t="shared" si="4"/>
        <v>58.050000000000004</v>
      </c>
      <c r="K30" s="21">
        <f t="shared" si="3"/>
        <v>387.68153239020262</v>
      </c>
    </row>
    <row r="31" spans="1:11" s="22" customFormat="1" x14ac:dyDescent="0.35">
      <c r="A31" s="19">
        <v>19</v>
      </c>
      <c r="B31" s="19">
        <v>90840</v>
      </c>
      <c r="C31" s="20" t="s">
        <v>328</v>
      </c>
      <c r="D31" s="116">
        <v>0</v>
      </c>
      <c r="E31" s="405">
        <v>2.1800000000000002</v>
      </c>
      <c r="F31" s="47">
        <f t="shared" si="5"/>
        <v>0</v>
      </c>
      <c r="G31" s="21">
        <f t="shared" si="2"/>
        <v>218.38391230249141</v>
      </c>
      <c r="H31" s="116">
        <v>6</v>
      </c>
      <c r="I31" s="405">
        <v>1.94</v>
      </c>
      <c r="J31" s="47">
        <f t="shared" si="4"/>
        <v>11.64</v>
      </c>
      <c r="K31" s="21">
        <f t="shared" si="3"/>
        <v>194.34164672790516</v>
      </c>
    </row>
    <row r="32" spans="1:11" s="22" customFormat="1" x14ac:dyDescent="0.35">
      <c r="A32" s="19">
        <v>20</v>
      </c>
      <c r="B32" s="19">
        <v>90846</v>
      </c>
      <c r="C32" s="20" t="s">
        <v>113</v>
      </c>
      <c r="D32" s="116">
        <v>66</v>
      </c>
      <c r="E32" s="405">
        <v>2.93</v>
      </c>
      <c r="F32" s="47">
        <f t="shared" si="5"/>
        <v>193.38000000000002</v>
      </c>
      <c r="G32" s="21">
        <f t="shared" si="2"/>
        <v>293.51599222307328</v>
      </c>
      <c r="H32" s="116">
        <v>1077</v>
      </c>
      <c r="I32" s="405">
        <v>2.92</v>
      </c>
      <c r="J32" s="47">
        <f t="shared" si="4"/>
        <v>3144.84</v>
      </c>
      <c r="K32" s="21">
        <f t="shared" si="3"/>
        <v>292.51423115746553</v>
      </c>
    </row>
    <row r="33" spans="1:11" s="22" customFormat="1" x14ac:dyDescent="0.35">
      <c r="A33" s="19">
        <v>21</v>
      </c>
      <c r="B33" s="19">
        <v>90847</v>
      </c>
      <c r="C33" s="20" t="s">
        <v>114</v>
      </c>
      <c r="D33" s="116">
        <v>234</v>
      </c>
      <c r="E33" s="405">
        <v>3.07</v>
      </c>
      <c r="F33" s="47">
        <f t="shared" si="5"/>
        <v>718.38</v>
      </c>
      <c r="G33" s="21">
        <f t="shared" si="2"/>
        <v>307.54064714158187</v>
      </c>
      <c r="H33" s="116">
        <v>2847</v>
      </c>
      <c r="I33" s="405">
        <v>3.05</v>
      </c>
      <c r="J33" s="47">
        <f t="shared" si="4"/>
        <v>8683.35</v>
      </c>
      <c r="K33" s="21">
        <f t="shared" si="3"/>
        <v>305.53712501036637</v>
      </c>
    </row>
    <row r="34" spans="1:11" s="22" customFormat="1" x14ac:dyDescent="0.35">
      <c r="A34" s="19">
        <v>22</v>
      </c>
      <c r="B34" s="19">
        <v>90849</v>
      </c>
      <c r="C34" s="20" t="s">
        <v>115</v>
      </c>
      <c r="D34" s="116">
        <v>0</v>
      </c>
      <c r="E34" s="405">
        <v>1.1299999999999999</v>
      </c>
      <c r="F34" s="47">
        <f t="shared" si="5"/>
        <v>0</v>
      </c>
      <c r="G34" s="21">
        <f t="shared" si="2"/>
        <v>113.19900041367671</v>
      </c>
      <c r="H34" s="116">
        <v>0</v>
      </c>
      <c r="I34" s="405">
        <v>0.88</v>
      </c>
      <c r="J34" s="47">
        <f t="shared" si="4"/>
        <v>0</v>
      </c>
      <c r="K34" s="21">
        <f t="shared" si="3"/>
        <v>88.154973773482766</v>
      </c>
    </row>
    <row r="35" spans="1:11" s="22" customFormat="1" x14ac:dyDescent="0.35">
      <c r="A35" s="19">
        <v>23</v>
      </c>
      <c r="B35" s="19">
        <v>90853</v>
      </c>
      <c r="C35" s="20" t="s">
        <v>116</v>
      </c>
      <c r="D35" s="116">
        <v>63</v>
      </c>
      <c r="E35" s="405">
        <v>0.83</v>
      </c>
      <c r="F35" s="47">
        <f t="shared" si="5"/>
        <v>52.29</v>
      </c>
      <c r="G35" s="21">
        <f t="shared" si="2"/>
        <v>83.146168445443962</v>
      </c>
      <c r="H35" s="116">
        <v>2493</v>
      </c>
      <c r="I35" s="405">
        <v>0.72</v>
      </c>
      <c r="J35" s="47">
        <f t="shared" si="4"/>
        <v>1794.96</v>
      </c>
      <c r="K35" s="21">
        <f t="shared" si="3"/>
        <v>72.126796723758616</v>
      </c>
    </row>
    <row r="36" spans="1:11" s="22" customFormat="1" x14ac:dyDescent="0.35">
      <c r="A36" s="19">
        <v>24</v>
      </c>
      <c r="B36" s="19">
        <v>90870</v>
      </c>
      <c r="C36" s="20" t="s">
        <v>117</v>
      </c>
      <c r="D36" s="116">
        <v>0</v>
      </c>
      <c r="E36" s="405">
        <v>5.18</v>
      </c>
      <c r="F36" s="47">
        <f t="shared" si="5"/>
        <v>0</v>
      </c>
      <c r="G36" s="21">
        <f t="shared" si="2"/>
        <v>518.91223198481896</v>
      </c>
      <c r="H36" s="116">
        <v>0</v>
      </c>
      <c r="I36" s="405">
        <v>3.12</v>
      </c>
      <c r="J36" s="47">
        <f t="shared" si="4"/>
        <v>0</v>
      </c>
      <c r="K36" s="21">
        <f t="shared" si="3"/>
        <v>312.54945246962069</v>
      </c>
    </row>
    <row r="37" spans="1:11" s="22" customFormat="1" x14ac:dyDescent="0.35">
      <c r="A37" s="19">
        <v>25</v>
      </c>
      <c r="B37" s="19">
        <v>90875</v>
      </c>
      <c r="C37" s="20" t="s">
        <v>152</v>
      </c>
      <c r="D37" s="116">
        <v>0</v>
      </c>
      <c r="E37" s="405">
        <v>1.75</v>
      </c>
      <c r="F37" s="47">
        <f t="shared" si="5"/>
        <v>0</v>
      </c>
      <c r="G37" s="21">
        <f t="shared" si="2"/>
        <v>175.30818648135775</v>
      </c>
      <c r="H37" s="116">
        <v>0</v>
      </c>
      <c r="I37" s="405">
        <v>1.74</v>
      </c>
      <c r="J37" s="47">
        <f t="shared" si="4"/>
        <v>0</v>
      </c>
      <c r="K37" s="21">
        <f t="shared" si="3"/>
        <v>174.30642541575</v>
      </c>
    </row>
    <row r="38" spans="1:11" s="22" customFormat="1" x14ac:dyDescent="0.35">
      <c r="A38" s="19">
        <v>26</v>
      </c>
      <c r="B38" s="19">
        <v>90876</v>
      </c>
      <c r="C38" s="20" t="s">
        <v>153</v>
      </c>
      <c r="D38" s="116">
        <v>0</v>
      </c>
      <c r="E38" s="405">
        <v>3.08</v>
      </c>
      <c r="F38" s="47">
        <f t="shared" si="5"/>
        <v>0</v>
      </c>
      <c r="G38" s="21">
        <f t="shared" si="2"/>
        <v>308.54240820718968</v>
      </c>
      <c r="H38" s="116">
        <v>0</v>
      </c>
      <c r="I38" s="405">
        <v>2.76</v>
      </c>
      <c r="J38" s="47">
        <f t="shared" si="4"/>
        <v>0</v>
      </c>
      <c r="K38" s="21">
        <f t="shared" si="3"/>
        <v>276.48605410774138</v>
      </c>
    </row>
    <row r="39" spans="1:11" s="22" customFormat="1" x14ac:dyDescent="0.35">
      <c r="A39" s="19">
        <v>27</v>
      </c>
      <c r="B39" s="19">
        <v>90887</v>
      </c>
      <c r="C39" s="20" t="s">
        <v>330</v>
      </c>
      <c r="D39" s="116">
        <v>0</v>
      </c>
      <c r="E39" s="405">
        <v>2.56</v>
      </c>
      <c r="F39" s="47">
        <f t="shared" si="5"/>
        <v>0</v>
      </c>
      <c r="G39" s="21">
        <f t="shared" si="2"/>
        <v>256.45083279558622</v>
      </c>
      <c r="H39" s="116">
        <v>13</v>
      </c>
      <c r="I39" s="405">
        <v>2.14</v>
      </c>
      <c r="J39" s="47">
        <f t="shared" si="4"/>
        <v>27.82</v>
      </c>
      <c r="K39" s="21">
        <f t="shared" si="3"/>
        <v>214.37686804006037</v>
      </c>
    </row>
    <row r="40" spans="1:11" s="22" customFormat="1" x14ac:dyDescent="0.35">
      <c r="A40" s="19">
        <v>28</v>
      </c>
      <c r="B40" s="19">
        <v>96116</v>
      </c>
      <c r="C40" s="20" t="s">
        <v>341</v>
      </c>
      <c r="D40" s="116">
        <v>0</v>
      </c>
      <c r="E40" s="405">
        <v>2.76</v>
      </c>
      <c r="F40" s="47">
        <f t="shared" si="5"/>
        <v>0</v>
      </c>
      <c r="G40" s="21">
        <f t="shared" si="2"/>
        <v>276.48605410774138</v>
      </c>
      <c r="H40" s="116">
        <v>0</v>
      </c>
      <c r="I40" s="405">
        <v>2.37</v>
      </c>
      <c r="J40" s="47">
        <f t="shared" si="4"/>
        <v>0</v>
      </c>
      <c r="K40" s="21">
        <f t="shared" si="3"/>
        <v>237.41737254903882</v>
      </c>
    </row>
    <row r="41" spans="1:11" s="22" customFormat="1" x14ac:dyDescent="0.35">
      <c r="A41" s="19">
        <v>29</v>
      </c>
      <c r="B41" s="19">
        <v>96121</v>
      </c>
      <c r="C41" s="20" t="s">
        <v>340</v>
      </c>
      <c r="D41" s="116">
        <v>0</v>
      </c>
      <c r="E41" s="405">
        <v>2.25</v>
      </c>
      <c r="F41" s="47">
        <f t="shared" si="5"/>
        <v>0</v>
      </c>
      <c r="G41" s="21">
        <f t="shared" si="2"/>
        <v>225.3962397617457</v>
      </c>
      <c r="H41" s="116">
        <v>0</v>
      </c>
      <c r="I41" s="405">
        <v>1.97</v>
      </c>
      <c r="J41" s="47">
        <f t="shared" si="4"/>
        <v>0</v>
      </c>
      <c r="K41" s="21">
        <f t="shared" si="3"/>
        <v>197.34692992472844</v>
      </c>
    </row>
    <row r="42" spans="1:11" s="22" customFormat="1" x14ac:dyDescent="0.35">
      <c r="A42" s="19">
        <v>30</v>
      </c>
      <c r="B42" s="19">
        <v>96130</v>
      </c>
      <c r="C42" s="20" t="s">
        <v>338</v>
      </c>
      <c r="D42" s="116">
        <v>0</v>
      </c>
      <c r="E42" s="405">
        <v>3.6</v>
      </c>
      <c r="F42" s="47">
        <f t="shared" si="5"/>
        <v>0</v>
      </c>
      <c r="G42" s="21">
        <f t="shared" si="2"/>
        <v>360.63398361879314</v>
      </c>
      <c r="H42" s="116">
        <v>0</v>
      </c>
      <c r="I42" s="405">
        <v>3.25</v>
      </c>
      <c r="J42" s="47">
        <f t="shared" si="4"/>
        <v>0</v>
      </c>
      <c r="K42" s="21">
        <f t="shared" si="3"/>
        <v>325.57234632252158</v>
      </c>
    </row>
    <row r="43" spans="1:11" s="22" customFormat="1" x14ac:dyDescent="0.35">
      <c r="A43" s="19">
        <v>31</v>
      </c>
      <c r="B43" s="19">
        <v>96131</v>
      </c>
      <c r="C43" s="20" t="s">
        <v>339</v>
      </c>
      <c r="D43" s="116">
        <v>0</v>
      </c>
      <c r="E43" s="405">
        <v>2.57</v>
      </c>
      <c r="F43" s="47">
        <f t="shared" si="5"/>
        <v>0</v>
      </c>
      <c r="G43" s="21">
        <f t="shared" si="2"/>
        <v>257.45259386119398</v>
      </c>
      <c r="H43" s="116">
        <v>0</v>
      </c>
      <c r="I43" s="405">
        <v>2.25</v>
      </c>
      <c r="J43" s="47">
        <f t="shared" si="4"/>
        <v>0</v>
      </c>
      <c r="K43" s="21">
        <f t="shared" si="3"/>
        <v>225.3962397617457</v>
      </c>
    </row>
    <row r="44" spans="1:11" s="22" customFormat="1" x14ac:dyDescent="0.35">
      <c r="A44" s="19">
        <v>32</v>
      </c>
      <c r="B44" s="19">
        <v>96132</v>
      </c>
      <c r="C44" s="20" t="s">
        <v>332</v>
      </c>
      <c r="D44" s="116">
        <v>0</v>
      </c>
      <c r="E44" s="405">
        <v>3.85</v>
      </c>
      <c r="F44" s="47">
        <f t="shared" si="5"/>
        <v>0</v>
      </c>
      <c r="G44" s="21">
        <f t="shared" si="2"/>
        <v>385.67801025898706</v>
      </c>
      <c r="H44" s="116">
        <v>0</v>
      </c>
      <c r="I44" s="405">
        <v>3.14</v>
      </c>
      <c r="J44" s="47">
        <f t="shared" si="4"/>
        <v>0</v>
      </c>
      <c r="K44" s="21">
        <f t="shared" si="3"/>
        <v>314.55297460083625</v>
      </c>
    </row>
    <row r="45" spans="1:11" s="22" customFormat="1" x14ac:dyDescent="0.35">
      <c r="A45" s="19">
        <v>33</v>
      </c>
      <c r="B45" s="19">
        <v>96133</v>
      </c>
      <c r="C45" s="20" t="s">
        <v>333</v>
      </c>
      <c r="D45" s="116">
        <v>0</v>
      </c>
      <c r="E45" s="405">
        <v>2.92</v>
      </c>
      <c r="F45" s="47">
        <f t="shared" si="5"/>
        <v>0</v>
      </c>
      <c r="G45" s="21">
        <f t="shared" si="2"/>
        <v>292.51423115746553</v>
      </c>
      <c r="H45" s="116">
        <v>0</v>
      </c>
      <c r="I45" s="405">
        <v>2.2599999999999998</v>
      </c>
      <c r="J45" s="47">
        <f t="shared" si="4"/>
        <v>0</v>
      </c>
      <c r="K45" s="21">
        <f t="shared" si="3"/>
        <v>226.39800082735343</v>
      </c>
    </row>
    <row r="46" spans="1:11" s="22" customFormat="1" x14ac:dyDescent="0.35">
      <c r="A46" s="19">
        <v>34</v>
      </c>
      <c r="B46" s="19">
        <v>96136</v>
      </c>
      <c r="C46" s="20" t="s">
        <v>334</v>
      </c>
      <c r="D46" s="116">
        <v>0</v>
      </c>
      <c r="E46" s="405">
        <v>1.25</v>
      </c>
      <c r="F46" s="47">
        <f t="shared" si="5"/>
        <v>0</v>
      </c>
      <c r="G46" s="21">
        <f t="shared" si="2"/>
        <v>125.22013320096983</v>
      </c>
      <c r="H46" s="116">
        <v>0</v>
      </c>
      <c r="I46" s="405">
        <v>0.69</v>
      </c>
      <c r="J46" s="47">
        <f t="shared" si="4"/>
        <v>0</v>
      </c>
      <c r="K46" s="21">
        <f t="shared" si="3"/>
        <v>69.121513526935345</v>
      </c>
    </row>
    <row r="47" spans="1:11" s="22" customFormat="1" x14ac:dyDescent="0.35">
      <c r="A47" s="19">
        <v>35</v>
      </c>
      <c r="B47" s="19">
        <v>96137</v>
      </c>
      <c r="C47" s="20" t="s">
        <v>335</v>
      </c>
      <c r="D47" s="116">
        <v>0</v>
      </c>
      <c r="E47" s="405">
        <v>1.1299999999999999</v>
      </c>
      <c r="F47" s="47">
        <f t="shared" si="5"/>
        <v>0</v>
      </c>
      <c r="G47" s="21">
        <f t="shared" si="2"/>
        <v>113.19900041367671</v>
      </c>
      <c r="H47" s="116">
        <v>0</v>
      </c>
      <c r="I47" s="405">
        <v>0.53</v>
      </c>
      <c r="J47" s="47">
        <f t="shared" si="4"/>
        <v>0</v>
      </c>
      <c r="K47" s="21">
        <f t="shared" si="3"/>
        <v>53.09333647721121</v>
      </c>
    </row>
    <row r="48" spans="1:11" s="22" customFormat="1" x14ac:dyDescent="0.35">
      <c r="A48" s="19">
        <v>36</v>
      </c>
      <c r="B48" s="19">
        <v>96138</v>
      </c>
      <c r="C48" s="20" t="s">
        <v>336</v>
      </c>
      <c r="D48" s="116">
        <v>0</v>
      </c>
      <c r="E48" s="405">
        <v>1.03</v>
      </c>
      <c r="F48" s="47">
        <f t="shared" si="5"/>
        <v>0</v>
      </c>
      <c r="G48" s="21">
        <f t="shared" si="2"/>
        <v>103.18138975759915</v>
      </c>
      <c r="H48" s="116">
        <v>0</v>
      </c>
      <c r="I48" s="405">
        <v>0.56999999999999995</v>
      </c>
      <c r="J48" s="47">
        <f t="shared" si="4"/>
        <v>0</v>
      </c>
      <c r="K48" s="21">
        <f t="shared" si="3"/>
        <v>57.10038073964224</v>
      </c>
    </row>
    <row r="49" spans="1:11" s="22" customFormat="1" x14ac:dyDescent="0.35">
      <c r="A49" s="19">
        <v>37</v>
      </c>
      <c r="B49" s="19">
        <v>96139</v>
      </c>
      <c r="C49" s="20" t="s">
        <v>337</v>
      </c>
      <c r="D49" s="116">
        <v>0</v>
      </c>
      <c r="E49" s="405">
        <v>1.06</v>
      </c>
      <c r="F49" s="47">
        <f t="shared" si="5"/>
        <v>0</v>
      </c>
      <c r="G49" s="21">
        <f t="shared" si="2"/>
        <v>106.18667295442242</v>
      </c>
      <c r="H49" s="116">
        <v>0</v>
      </c>
      <c r="I49" s="405">
        <v>0.5</v>
      </c>
      <c r="J49" s="47">
        <f t="shared" si="4"/>
        <v>0</v>
      </c>
      <c r="K49" s="21">
        <f t="shared" si="3"/>
        <v>50.088053280387932</v>
      </c>
    </row>
    <row r="50" spans="1:11" s="22" customFormat="1" x14ac:dyDescent="0.35">
      <c r="A50" s="19">
        <v>38</v>
      </c>
      <c r="B50" s="19">
        <v>96146</v>
      </c>
      <c r="C50" s="20" t="s">
        <v>331</v>
      </c>
      <c r="D50" s="116">
        <v>0</v>
      </c>
      <c r="E50" s="405">
        <v>7.0000000000000007E-2</v>
      </c>
      <c r="F50" s="47">
        <f t="shared" si="5"/>
        <v>0</v>
      </c>
      <c r="G50" s="21">
        <f t="shared" si="2"/>
        <v>7.012327459254311</v>
      </c>
      <c r="H50" s="116">
        <v>0</v>
      </c>
      <c r="I50" s="405">
        <v>7.0000000000000007E-2</v>
      </c>
      <c r="J50" s="47">
        <f t="shared" si="4"/>
        <v>0</v>
      </c>
      <c r="K50" s="21">
        <f t="shared" si="3"/>
        <v>7.012327459254311</v>
      </c>
    </row>
    <row r="51" spans="1:11" s="22" customFormat="1" x14ac:dyDescent="0.35">
      <c r="A51" s="19">
        <v>39</v>
      </c>
      <c r="B51" s="19">
        <v>96372</v>
      </c>
      <c r="C51" s="20" t="s">
        <v>118</v>
      </c>
      <c r="D51" s="116">
        <v>398</v>
      </c>
      <c r="E51" s="405">
        <v>0.43</v>
      </c>
      <c r="F51" s="47">
        <f t="shared" si="5"/>
        <v>171.14</v>
      </c>
      <c r="G51" s="21">
        <f t="shared" si="2"/>
        <v>43.075725821133624</v>
      </c>
      <c r="H51" s="116">
        <v>24444</v>
      </c>
      <c r="I51" s="405">
        <v>0.43</v>
      </c>
      <c r="J51" s="47">
        <f t="shared" si="4"/>
        <v>10510.92</v>
      </c>
      <c r="K51" s="21">
        <f t="shared" si="3"/>
        <v>43.075725821133624</v>
      </c>
    </row>
    <row r="52" spans="1:11" s="22" customFormat="1" x14ac:dyDescent="0.35">
      <c r="A52" s="19">
        <v>40</v>
      </c>
      <c r="B52" s="19">
        <v>97535</v>
      </c>
      <c r="C52" s="20" t="s">
        <v>119</v>
      </c>
      <c r="D52" s="116">
        <v>0</v>
      </c>
      <c r="E52" s="405">
        <v>0.98</v>
      </c>
      <c r="F52" s="47">
        <f t="shared" si="5"/>
        <v>0</v>
      </c>
      <c r="G52" s="21">
        <f t="shared" si="2"/>
        <v>98.172584429560345</v>
      </c>
      <c r="H52" s="116">
        <v>0</v>
      </c>
      <c r="I52" s="405">
        <v>0.98</v>
      </c>
      <c r="J52" s="47">
        <f t="shared" si="4"/>
        <v>0</v>
      </c>
      <c r="K52" s="21">
        <f t="shared" si="3"/>
        <v>98.172584429560345</v>
      </c>
    </row>
    <row r="53" spans="1:11" s="22" customFormat="1" x14ac:dyDescent="0.35">
      <c r="A53" s="19">
        <v>41</v>
      </c>
      <c r="B53" s="19">
        <v>97537</v>
      </c>
      <c r="C53" s="20" t="s">
        <v>120</v>
      </c>
      <c r="D53" s="116">
        <v>0</v>
      </c>
      <c r="E53" s="405">
        <v>0.95</v>
      </c>
      <c r="F53" s="47">
        <f t="shared" si="5"/>
        <v>0</v>
      </c>
      <c r="G53" s="21">
        <f t="shared" si="2"/>
        <v>95.16730123273706</v>
      </c>
      <c r="H53" s="116">
        <v>0</v>
      </c>
      <c r="I53" s="405">
        <v>0.95</v>
      </c>
      <c r="J53" s="47">
        <f t="shared" si="4"/>
        <v>0</v>
      </c>
      <c r="K53" s="21">
        <f t="shared" si="3"/>
        <v>95.16730123273706</v>
      </c>
    </row>
    <row r="54" spans="1:11" s="22" customFormat="1" x14ac:dyDescent="0.35">
      <c r="A54" s="19">
        <v>42</v>
      </c>
      <c r="B54" s="19">
        <v>98966</v>
      </c>
      <c r="C54" s="20" t="s">
        <v>342</v>
      </c>
      <c r="D54" s="116">
        <v>0</v>
      </c>
      <c r="E54" s="405">
        <v>0.39</v>
      </c>
      <c r="F54" s="47">
        <f t="shared" si="5"/>
        <v>0</v>
      </c>
      <c r="G54" s="21">
        <f t="shared" si="2"/>
        <v>39.068681558702586</v>
      </c>
      <c r="H54" s="116">
        <v>407</v>
      </c>
      <c r="I54" s="405">
        <v>0.34</v>
      </c>
      <c r="J54" s="47">
        <f t="shared" si="4"/>
        <v>138.38000000000002</v>
      </c>
      <c r="K54" s="21">
        <f t="shared" si="3"/>
        <v>34.059876230663797</v>
      </c>
    </row>
    <row r="55" spans="1:11" s="22" customFormat="1" x14ac:dyDescent="0.35">
      <c r="A55" s="19">
        <v>43</v>
      </c>
      <c r="B55" s="19">
        <v>98967</v>
      </c>
      <c r="C55" s="20" t="s">
        <v>343</v>
      </c>
      <c r="D55" s="116">
        <v>1</v>
      </c>
      <c r="E55" s="405">
        <v>0.72</v>
      </c>
      <c r="F55" s="47">
        <f t="shared" si="5"/>
        <v>0.72</v>
      </c>
      <c r="G55" s="21">
        <f t="shared" si="2"/>
        <v>72.126796723758616</v>
      </c>
      <c r="H55" s="116">
        <v>214</v>
      </c>
      <c r="I55" s="405">
        <v>0.66</v>
      </c>
      <c r="J55" s="47">
        <f t="shared" si="4"/>
        <v>141.24</v>
      </c>
      <c r="K55" s="21">
        <f t="shared" si="3"/>
        <v>66.116230330112074</v>
      </c>
    </row>
    <row r="56" spans="1:11" s="22" customFormat="1" x14ac:dyDescent="0.35">
      <c r="A56" s="19">
        <v>44</v>
      </c>
      <c r="B56" s="19">
        <v>98968</v>
      </c>
      <c r="C56" s="20" t="s">
        <v>344</v>
      </c>
      <c r="D56" s="116">
        <v>0</v>
      </c>
      <c r="E56" s="405">
        <v>0.99</v>
      </c>
      <c r="F56" s="47">
        <f t="shared" si="5"/>
        <v>0</v>
      </c>
      <c r="G56" s="21">
        <f t="shared" si="2"/>
        <v>99.174345495168097</v>
      </c>
      <c r="H56" s="116">
        <v>116</v>
      </c>
      <c r="I56" s="405">
        <v>0.92</v>
      </c>
      <c r="J56" s="47">
        <f t="shared" si="4"/>
        <v>106.72</v>
      </c>
      <c r="K56" s="21">
        <f t="shared" si="3"/>
        <v>92.162018035913803</v>
      </c>
    </row>
    <row r="57" spans="1:11" s="22" customFormat="1" x14ac:dyDescent="0.35">
      <c r="A57" s="19">
        <v>45</v>
      </c>
      <c r="B57" s="19">
        <v>99202</v>
      </c>
      <c r="C57" s="20" t="s">
        <v>154</v>
      </c>
      <c r="D57" s="116">
        <v>0</v>
      </c>
      <c r="E57" s="405">
        <v>2.17</v>
      </c>
      <c r="F57" s="47">
        <f t="shared" si="5"/>
        <v>0</v>
      </c>
      <c r="G57" s="21">
        <f t="shared" si="2"/>
        <v>217.38215123688363</v>
      </c>
      <c r="H57" s="116">
        <v>11</v>
      </c>
      <c r="I57" s="405">
        <v>1.41</v>
      </c>
      <c r="J57" s="47">
        <f t="shared" si="4"/>
        <v>15.51</v>
      </c>
      <c r="K57" s="21">
        <f t="shared" si="3"/>
        <v>141.24831025069395</v>
      </c>
    </row>
    <row r="58" spans="1:11" s="22" customFormat="1" x14ac:dyDescent="0.35">
      <c r="A58" s="19">
        <v>46</v>
      </c>
      <c r="B58" s="19">
        <v>99203</v>
      </c>
      <c r="C58" s="20" t="s">
        <v>154</v>
      </c>
      <c r="D58" s="116">
        <v>0</v>
      </c>
      <c r="E58" s="405">
        <v>3.35</v>
      </c>
      <c r="F58" s="47">
        <f t="shared" si="5"/>
        <v>0</v>
      </c>
      <c r="G58" s="21">
        <f t="shared" si="2"/>
        <v>335.58995697859916</v>
      </c>
      <c r="H58" s="116">
        <v>33</v>
      </c>
      <c r="I58" s="405">
        <v>2.44</v>
      </c>
      <c r="J58" s="47">
        <f t="shared" si="4"/>
        <v>80.52</v>
      </c>
      <c r="K58" s="21">
        <f t="shared" si="3"/>
        <v>244.42970000829311</v>
      </c>
    </row>
    <row r="59" spans="1:11" s="22" customFormat="1" x14ac:dyDescent="0.35">
      <c r="A59" s="19">
        <v>47</v>
      </c>
      <c r="B59" s="19">
        <v>99204</v>
      </c>
      <c r="C59" s="20" t="s">
        <v>154</v>
      </c>
      <c r="D59" s="116">
        <v>1</v>
      </c>
      <c r="E59" s="405">
        <v>5.0199999999999996</v>
      </c>
      <c r="F59" s="47">
        <f t="shared" si="5"/>
        <v>5.0199999999999996</v>
      </c>
      <c r="G59" s="21">
        <f t="shared" si="2"/>
        <v>502.88405493509481</v>
      </c>
      <c r="H59" s="116">
        <v>439</v>
      </c>
      <c r="I59" s="405">
        <v>3.97</v>
      </c>
      <c r="J59" s="47">
        <f t="shared" si="4"/>
        <v>1742.8300000000002</v>
      </c>
      <c r="K59" s="21">
        <f t="shared" si="3"/>
        <v>397.6991430462802</v>
      </c>
    </row>
    <row r="60" spans="1:11" s="22" customFormat="1" x14ac:dyDescent="0.35">
      <c r="A60" s="19">
        <v>48</v>
      </c>
      <c r="B60" s="19">
        <v>99205</v>
      </c>
      <c r="C60" s="20" t="s">
        <v>154</v>
      </c>
      <c r="D60" s="116">
        <v>1</v>
      </c>
      <c r="E60" s="405">
        <v>6.62</v>
      </c>
      <c r="F60" s="47">
        <f t="shared" si="5"/>
        <v>6.62</v>
      </c>
      <c r="G60" s="21">
        <f t="shared" si="2"/>
        <v>663.16582543233619</v>
      </c>
      <c r="H60" s="116">
        <v>700</v>
      </c>
      <c r="I60" s="405">
        <v>5.4</v>
      </c>
      <c r="J60" s="47">
        <f t="shared" si="4"/>
        <v>3780.0000000000005</v>
      </c>
      <c r="K60" s="21">
        <f t="shared" si="3"/>
        <v>540.95097542818974</v>
      </c>
    </row>
    <row r="61" spans="1:11" s="22" customFormat="1" ht="43.5" x14ac:dyDescent="0.35">
      <c r="A61" s="19">
        <v>49</v>
      </c>
      <c r="B61" s="19">
        <v>99211</v>
      </c>
      <c r="C61" s="20" t="s">
        <v>345</v>
      </c>
      <c r="D61" s="116">
        <v>0</v>
      </c>
      <c r="E61" s="405">
        <v>0.7</v>
      </c>
      <c r="F61" s="47">
        <f t="shared" si="5"/>
        <v>0</v>
      </c>
      <c r="G61" s="21">
        <f t="shared" si="2"/>
        <v>70.123274592543098</v>
      </c>
      <c r="H61" s="116">
        <v>0</v>
      </c>
      <c r="I61" s="405">
        <v>0.26</v>
      </c>
      <c r="J61" s="47">
        <f t="shared" si="4"/>
        <v>0</v>
      </c>
      <c r="K61" s="21">
        <f t="shared" si="3"/>
        <v>26.045787705801725</v>
      </c>
    </row>
    <row r="62" spans="1:11" s="22" customFormat="1" x14ac:dyDescent="0.35">
      <c r="A62" s="19">
        <v>50</v>
      </c>
      <c r="B62" s="19">
        <v>99212</v>
      </c>
      <c r="C62" s="20" t="s">
        <v>155</v>
      </c>
      <c r="D62" s="116">
        <v>0</v>
      </c>
      <c r="E62" s="405">
        <v>1.7</v>
      </c>
      <c r="F62" s="47">
        <f t="shared" si="5"/>
        <v>0</v>
      </c>
      <c r="G62" s="21">
        <f t="shared" si="2"/>
        <v>170.29938115331896</v>
      </c>
      <c r="H62" s="116">
        <v>7</v>
      </c>
      <c r="I62" s="405">
        <v>1.05</v>
      </c>
      <c r="J62" s="47">
        <f t="shared" si="4"/>
        <v>7.3500000000000005</v>
      </c>
      <c r="K62" s="21">
        <f t="shared" si="3"/>
        <v>105.18491188881467</v>
      </c>
    </row>
    <row r="63" spans="1:11" s="22" customFormat="1" x14ac:dyDescent="0.35">
      <c r="A63" s="19">
        <v>51</v>
      </c>
      <c r="B63" s="19">
        <v>99213</v>
      </c>
      <c r="C63" s="20" t="s">
        <v>155</v>
      </c>
      <c r="D63" s="116">
        <v>7</v>
      </c>
      <c r="E63" s="405">
        <v>2.73</v>
      </c>
      <c r="F63" s="47">
        <f t="shared" si="5"/>
        <v>19.11</v>
      </c>
      <c r="G63" s="21">
        <f t="shared" si="2"/>
        <v>273.48077091091812</v>
      </c>
      <c r="H63" s="116">
        <v>1158</v>
      </c>
      <c r="I63" s="405">
        <v>1.96</v>
      </c>
      <c r="J63" s="47">
        <f t="shared" si="4"/>
        <v>2269.6799999999998</v>
      </c>
      <c r="K63" s="21">
        <f t="shared" si="3"/>
        <v>196.34516885912069</v>
      </c>
    </row>
    <row r="64" spans="1:11" s="22" customFormat="1" x14ac:dyDescent="0.35">
      <c r="A64" s="19">
        <v>52</v>
      </c>
      <c r="B64" s="19">
        <v>99214</v>
      </c>
      <c r="C64" s="20" t="s">
        <v>155</v>
      </c>
      <c r="D64" s="116">
        <v>53</v>
      </c>
      <c r="E64" s="405">
        <v>3.85</v>
      </c>
      <c r="F64" s="47">
        <f t="shared" si="5"/>
        <v>204.05</v>
      </c>
      <c r="G64" s="21">
        <f t="shared" si="2"/>
        <v>385.67801025898706</v>
      </c>
      <c r="H64" s="116">
        <v>16000</v>
      </c>
      <c r="I64" s="405">
        <v>2.89</v>
      </c>
      <c r="J64" s="47">
        <f t="shared" si="4"/>
        <v>46240</v>
      </c>
      <c r="K64" s="21">
        <f t="shared" si="3"/>
        <v>289.50894796064227</v>
      </c>
    </row>
    <row r="65" spans="1:11" s="22" customFormat="1" x14ac:dyDescent="0.35">
      <c r="A65" s="19">
        <v>53</v>
      </c>
      <c r="B65" s="19">
        <v>99215</v>
      </c>
      <c r="C65" s="20" t="s">
        <v>155</v>
      </c>
      <c r="D65" s="116">
        <v>6</v>
      </c>
      <c r="E65" s="405">
        <v>5.42</v>
      </c>
      <c r="F65" s="47">
        <f t="shared" si="5"/>
        <v>32.519999999999996</v>
      </c>
      <c r="G65" s="21">
        <f t="shared" si="2"/>
        <v>542.95449755940513</v>
      </c>
      <c r="H65" s="116">
        <v>2384</v>
      </c>
      <c r="I65" s="405">
        <v>4.29</v>
      </c>
      <c r="J65" s="47">
        <f t="shared" si="4"/>
        <v>10227.36</v>
      </c>
      <c r="K65" s="21">
        <f t="shared" si="3"/>
        <v>429.75549714572844</v>
      </c>
    </row>
    <row r="66" spans="1:11" s="22" customFormat="1" x14ac:dyDescent="0.35">
      <c r="A66" s="19">
        <v>54</v>
      </c>
      <c r="B66" s="19">
        <v>99221</v>
      </c>
      <c r="C66" s="20" t="s">
        <v>121</v>
      </c>
      <c r="D66" s="116">
        <v>0</v>
      </c>
      <c r="E66" s="405">
        <v>2.46</v>
      </c>
      <c r="F66" s="47">
        <f t="shared" si="5"/>
        <v>0</v>
      </c>
      <c r="G66" s="21">
        <f t="shared" si="2"/>
        <v>246.43322213950862</v>
      </c>
      <c r="H66" s="116">
        <v>0</v>
      </c>
      <c r="I66" s="405">
        <v>2.46</v>
      </c>
      <c r="J66" s="47">
        <f t="shared" si="4"/>
        <v>0</v>
      </c>
      <c r="K66" s="21">
        <f t="shared" si="3"/>
        <v>246.43322213950862</v>
      </c>
    </row>
    <row r="67" spans="1:11" s="22" customFormat="1" x14ac:dyDescent="0.35">
      <c r="A67" s="19">
        <v>55</v>
      </c>
      <c r="B67" s="19">
        <v>99222</v>
      </c>
      <c r="C67" s="20" t="s">
        <v>122</v>
      </c>
      <c r="D67" s="116">
        <v>0</v>
      </c>
      <c r="E67" s="405">
        <v>3.88</v>
      </c>
      <c r="F67" s="47">
        <f t="shared" si="5"/>
        <v>0</v>
      </c>
      <c r="G67" s="21">
        <f t="shared" si="2"/>
        <v>388.68329345581031</v>
      </c>
      <c r="H67" s="116">
        <v>0</v>
      </c>
      <c r="I67" s="405">
        <v>3.88</v>
      </c>
      <c r="J67" s="47">
        <f t="shared" si="4"/>
        <v>0</v>
      </c>
      <c r="K67" s="21">
        <f t="shared" si="3"/>
        <v>388.68329345581031</v>
      </c>
    </row>
    <row r="68" spans="1:11" s="22" customFormat="1" x14ac:dyDescent="0.35">
      <c r="A68" s="19">
        <v>56</v>
      </c>
      <c r="B68" s="19">
        <v>99223</v>
      </c>
      <c r="C68" s="20" t="s">
        <v>123</v>
      </c>
      <c r="D68" s="116">
        <v>0</v>
      </c>
      <c r="E68" s="405">
        <v>5.14</v>
      </c>
      <c r="F68" s="47">
        <f t="shared" si="5"/>
        <v>0</v>
      </c>
      <c r="G68" s="21">
        <f t="shared" si="2"/>
        <v>514.90518772238795</v>
      </c>
      <c r="H68" s="116">
        <v>0</v>
      </c>
      <c r="I68" s="405">
        <v>5.14</v>
      </c>
      <c r="J68" s="47">
        <f t="shared" si="4"/>
        <v>0</v>
      </c>
      <c r="K68" s="21">
        <f t="shared" si="3"/>
        <v>514.90518772238795</v>
      </c>
    </row>
    <row r="69" spans="1:11" s="22" customFormat="1" x14ac:dyDescent="0.35">
      <c r="A69" s="19">
        <v>57</v>
      </c>
      <c r="B69" s="19">
        <v>99231</v>
      </c>
      <c r="C69" s="20" t="s">
        <v>124</v>
      </c>
      <c r="D69" s="116">
        <v>0</v>
      </c>
      <c r="E69" s="405">
        <v>1.47</v>
      </c>
      <c r="F69" s="47">
        <f t="shared" si="5"/>
        <v>0</v>
      </c>
      <c r="G69" s="21">
        <f t="shared" si="2"/>
        <v>147.25887664434052</v>
      </c>
      <c r="H69" s="116">
        <v>0</v>
      </c>
      <c r="I69" s="405">
        <v>1.47</v>
      </c>
      <c r="J69" s="47">
        <f t="shared" si="4"/>
        <v>0</v>
      </c>
      <c r="K69" s="21">
        <f t="shared" si="3"/>
        <v>147.25887664434052</v>
      </c>
    </row>
    <row r="70" spans="1:11" s="22" customFormat="1" x14ac:dyDescent="0.35">
      <c r="A70" s="19">
        <v>58</v>
      </c>
      <c r="B70" s="19">
        <v>99232</v>
      </c>
      <c r="C70" s="20" t="s">
        <v>125</v>
      </c>
      <c r="D70" s="116">
        <v>0</v>
      </c>
      <c r="E70" s="405">
        <v>2.34</v>
      </c>
      <c r="F70" s="47">
        <f t="shared" si="5"/>
        <v>0</v>
      </c>
      <c r="G70" s="21">
        <f t="shared" si="2"/>
        <v>234.4120893522155</v>
      </c>
      <c r="H70" s="116">
        <v>0</v>
      </c>
      <c r="I70" s="405">
        <v>2.34</v>
      </c>
      <c r="J70" s="47">
        <f t="shared" si="4"/>
        <v>0</v>
      </c>
      <c r="K70" s="21">
        <f t="shared" si="3"/>
        <v>234.4120893522155</v>
      </c>
    </row>
    <row r="71" spans="1:11" s="22" customFormat="1" x14ac:dyDescent="0.35">
      <c r="A71" s="19">
        <v>59</v>
      </c>
      <c r="B71" s="19">
        <v>99233</v>
      </c>
      <c r="C71" s="20" t="s">
        <v>126</v>
      </c>
      <c r="D71" s="116">
        <v>0</v>
      </c>
      <c r="E71" s="405">
        <v>3.52</v>
      </c>
      <c r="F71" s="47">
        <f t="shared" si="5"/>
        <v>0</v>
      </c>
      <c r="G71" s="21">
        <f t="shared" si="2"/>
        <v>352.61989509393106</v>
      </c>
      <c r="H71" s="116">
        <v>0</v>
      </c>
      <c r="I71" s="405">
        <v>3.52</v>
      </c>
      <c r="J71" s="47">
        <f t="shared" si="4"/>
        <v>0</v>
      </c>
      <c r="K71" s="21">
        <f t="shared" si="3"/>
        <v>352.61989509393106</v>
      </c>
    </row>
    <row r="72" spans="1:11" s="22" customFormat="1" ht="29" x14ac:dyDescent="0.35">
      <c r="A72" s="19">
        <v>60</v>
      </c>
      <c r="B72" s="19">
        <v>99234</v>
      </c>
      <c r="C72" s="20" t="s">
        <v>360</v>
      </c>
      <c r="D72" s="116">
        <v>0</v>
      </c>
      <c r="E72" s="405">
        <v>2.9</v>
      </c>
      <c r="F72" s="47">
        <f t="shared" si="5"/>
        <v>0</v>
      </c>
      <c r="G72" s="21">
        <f t="shared" si="2"/>
        <v>290.51070902624997</v>
      </c>
      <c r="H72" s="116">
        <v>0</v>
      </c>
      <c r="I72" s="405">
        <v>2.9</v>
      </c>
      <c r="J72" s="47">
        <f t="shared" si="4"/>
        <v>0</v>
      </c>
      <c r="K72" s="21">
        <f t="shared" si="3"/>
        <v>290.51070902624997</v>
      </c>
    </row>
    <row r="73" spans="1:11" s="22" customFormat="1" ht="29" x14ac:dyDescent="0.35">
      <c r="A73" s="19">
        <v>61</v>
      </c>
      <c r="B73" s="19">
        <v>99235</v>
      </c>
      <c r="C73" s="20" t="s">
        <v>361</v>
      </c>
      <c r="D73" s="116">
        <v>0</v>
      </c>
      <c r="E73" s="405">
        <v>4.7300000000000004</v>
      </c>
      <c r="F73" s="47">
        <f t="shared" si="5"/>
        <v>0</v>
      </c>
      <c r="G73" s="21">
        <f t="shared" si="2"/>
        <v>473.83298403246988</v>
      </c>
      <c r="H73" s="116">
        <v>0</v>
      </c>
      <c r="I73" s="405">
        <v>4.7300000000000004</v>
      </c>
      <c r="J73" s="47">
        <f t="shared" si="4"/>
        <v>0</v>
      </c>
      <c r="K73" s="21">
        <f t="shared" si="3"/>
        <v>473.83298403246988</v>
      </c>
    </row>
    <row r="74" spans="1:11" s="22" customFormat="1" ht="29" x14ac:dyDescent="0.35">
      <c r="A74" s="19">
        <v>62</v>
      </c>
      <c r="B74" s="19">
        <v>99236</v>
      </c>
      <c r="C74" s="20" t="s">
        <v>362</v>
      </c>
      <c r="D74" s="116">
        <v>0</v>
      </c>
      <c r="E74" s="405">
        <v>6.18</v>
      </c>
      <c r="F74" s="47">
        <f t="shared" si="5"/>
        <v>0</v>
      </c>
      <c r="G74" s="21">
        <f t="shared" ref="G74:G123" si="6">E74*$F$12</f>
        <v>619.08833854559487</v>
      </c>
      <c r="H74" s="116">
        <v>0</v>
      </c>
      <c r="I74" s="405">
        <v>6.18</v>
      </c>
      <c r="J74" s="47">
        <f t="shared" si="4"/>
        <v>0</v>
      </c>
      <c r="K74" s="21">
        <f t="shared" ref="K74:K123" si="7">I74*$F$12</f>
        <v>619.08833854559487</v>
      </c>
    </row>
    <row r="75" spans="1:11" s="22" customFormat="1" x14ac:dyDescent="0.35">
      <c r="A75" s="19">
        <v>63</v>
      </c>
      <c r="B75" s="19">
        <v>99238</v>
      </c>
      <c r="C75" s="20" t="s">
        <v>346</v>
      </c>
      <c r="D75" s="116">
        <v>0</v>
      </c>
      <c r="E75" s="405">
        <v>2.41</v>
      </c>
      <c r="F75" s="47">
        <f t="shared" ref="F75:F123" si="8">D75*E75</f>
        <v>0</v>
      </c>
      <c r="G75" s="21">
        <f t="shared" si="6"/>
        <v>241.42441681146985</v>
      </c>
      <c r="H75" s="116">
        <v>0</v>
      </c>
      <c r="I75" s="405">
        <v>2.41</v>
      </c>
      <c r="J75" s="47">
        <f t="shared" ref="J75:J123" si="9">H75*I75</f>
        <v>0</v>
      </c>
      <c r="K75" s="21">
        <f t="shared" si="7"/>
        <v>241.42441681146985</v>
      </c>
    </row>
    <row r="76" spans="1:11" s="22" customFormat="1" x14ac:dyDescent="0.35">
      <c r="A76" s="19">
        <v>64</v>
      </c>
      <c r="B76" s="19">
        <v>99239</v>
      </c>
      <c r="C76" s="20" t="s">
        <v>127</v>
      </c>
      <c r="D76" s="116">
        <v>0</v>
      </c>
      <c r="E76" s="405">
        <v>3.4</v>
      </c>
      <c r="F76" s="47">
        <f t="shared" si="8"/>
        <v>0</v>
      </c>
      <c r="G76" s="21">
        <f t="shared" si="6"/>
        <v>340.59876230663792</v>
      </c>
      <c r="H76" s="116">
        <v>0</v>
      </c>
      <c r="I76" s="405">
        <v>3.4</v>
      </c>
      <c r="J76" s="47">
        <f t="shared" si="9"/>
        <v>0</v>
      </c>
      <c r="K76" s="21">
        <f t="shared" si="7"/>
        <v>340.59876230663792</v>
      </c>
    </row>
    <row r="77" spans="1:11" s="22" customFormat="1" x14ac:dyDescent="0.35">
      <c r="A77" s="19">
        <v>65</v>
      </c>
      <c r="B77" s="19">
        <v>99242</v>
      </c>
      <c r="C77" s="20" t="s">
        <v>347</v>
      </c>
      <c r="D77" s="116">
        <v>0</v>
      </c>
      <c r="E77" s="405">
        <v>2.25</v>
      </c>
      <c r="F77" s="147">
        <f t="shared" si="8"/>
        <v>0</v>
      </c>
      <c r="G77" s="148">
        <f t="shared" si="6"/>
        <v>225.3962397617457</v>
      </c>
      <c r="H77" s="149">
        <v>0</v>
      </c>
      <c r="I77" s="405">
        <v>1.66</v>
      </c>
      <c r="J77" s="47">
        <f t="shared" si="9"/>
        <v>0</v>
      </c>
      <c r="K77" s="21">
        <f t="shared" si="7"/>
        <v>166.29233689088792</v>
      </c>
    </row>
    <row r="78" spans="1:11" s="22" customFormat="1" x14ac:dyDescent="0.35">
      <c r="A78" s="19">
        <v>66</v>
      </c>
      <c r="B78" s="19">
        <v>99243</v>
      </c>
      <c r="C78" s="20" t="s">
        <v>348</v>
      </c>
      <c r="D78" s="116">
        <v>0</v>
      </c>
      <c r="E78" s="405">
        <v>3.37</v>
      </c>
      <c r="F78" s="47">
        <f t="shared" si="8"/>
        <v>0</v>
      </c>
      <c r="G78" s="21">
        <f t="shared" si="6"/>
        <v>337.59347910981467</v>
      </c>
      <c r="H78" s="116">
        <v>0</v>
      </c>
      <c r="I78" s="405">
        <v>2.62</v>
      </c>
      <c r="J78" s="47">
        <f t="shared" si="9"/>
        <v>0</v>
      </c>
      <c r="K78" s="21">
        <f t="shared" si="7"/>
        <v>262.46139918923279</v>
      </c>
    </row>
    <row r="79" spans="1:11" s="22" customFormat="1" x14ac:dyDescent="0.35">
      <c r="A79" s="19">
        <v>67</v>
      </c>
      <c r="B79" s="19">
        <v>99244</v>
      </c>
      <c r="C79" s="20" t="s">
        <v>349</v>
      </c>
      <c r="D79" s="116">
        <v>0</v>
      </c>
      <c r="E79" s="405">
        <v>4.8099999999999996</v>
      </c>
      <c r="F79" s="47">
        <f t="shared" si="8"/>
        <v>0</v>
      </c>
      <c r="G79" s="21">
        <f t="shared" si="6"/>
        <v>481.84707255733184</v>
      </c>
      <c r="H79" s="116">
        <v>0</v>
      </c>
      <c r="I79" s="405">
        <v>3.99</v>
      </c>
      <c r="J79" s="47">
        <f t="shared" si="9"/>
        <v>0</v>
      </c>
      <c r="K79" s="21">
        <f t="shared" si="7"/>
        <v>399.7026651774957</v>
      </c>
    </row>
    <row r="80" spans="1:11" s="22" customFormat="1" x14ac:dyDescent="0.35">
      <c r="A80" s="19">
        <v>68</v>
      </c>
      <c r="B80" s="19">
        <v>99245</v>
      </c>
      <c r="C80" s="20" t="s">
        <v>350</v>
      </c>
      <c r="D80" s="116">
        <v>0</v>
      </c>
      <c r="E80" s="405">
        <v>6.28</v>
      </c>
      <c r="F80" s="47">
        <f t="shared" si="8"/>
        <v>0</v>
      </c>
      <c r="G80" s="21">
        <f t="shared" si="6"/>
        <v>629.1059492016725</v>
      </c>
      <c r="H80" s="116">
        <v>0</v>
      </c>
      <c r="I80" s="405">
        <v>5.36</v>
      </c>
      <c r="J80" s="47">
        <f t="shared" si="9"/>
        <v>0</v>
      </c>
      <c r="K80" s="21">
        <f t="shared" si="7"/>
        <v>536.94393116575861</v>
      </c>
    </row>
    <row r="81" spans="1:11" s="22" customFormat="1" x14ac:dyDescent="0.35">
      <c r="A81" s="19">
        <v>69</v>
      </c>
      <c r="B81" s="19">
        <v>99252</v>
      </c>
      <c r="C81" s="20" t="s">
        <v>351</v>
      </c>
      <c r="D81" s="116">
        <v>0</v>
      </c>
      <c r="E81" s="405">
        <v>2.11</v>
      </c>
      <c r="F81" s="47">
        <f t="shared" si="8"/>
        <v>0</v>
      </c>
      <c r="G81" s="21">
        <f t="shared" si="6"/>
        <v>211.37158484323706</v>
      </c>
      <c r="H81" s="116">
        <v>0</v>
      </c>
      <c r="I81" s="405">
        <v>2.11</v>
      </c>
      <c r="J81" s="47">
        <f t="shared" si="9"/>
        <v>0</v>
      </c>
      <c r="K81" s="21">
        <f t="shared" si="7"/>
        <v>211.37158484323706</v>
      </c>
    </row>
    <row r="82" spans="1:11" s="22" customFormat="1" x14ac:dyDescent="0.35">
      <c r="A82" s="19">
        <v>70</v>
      </c>
      <c r="B82" s="19">
        <v>99253</v>
      </c>
      <c r="C82" s="20" t="s">
        <v>352</v>
      </c>
      <c r="D82" s="116">
        <v>0</v>
      </c>
      <c r="E82" s="405">
        <v>2.96</v>
      </c>
      <c r="F82" s="47">
        <f t="shared" si="8"/>
        <v>0</v>
      </c>
      <c r="G82" s="21">
        <f t="shared" si="6"/>
        <v>296.52127541989654</v>
      </c>
      <c r="H82" s="116">
        <v>0</v>
      </c>
      <c r="I82" s="405">
        <v>2.96</v>
      </c>
      <c r="J82" s="47">
        <f t="shared" si="9"/>
        <v>0</v>
      </c>
      <c r="K82" s="21">
        <f t="shared" si="7"/>
        <v>296.52127541989654</v>
      </c>
    </row>
    <row r="83" spans="1:11" s="22" customFormat="1" x14ac:dyDescent="0.35">
      <c r="A83" s="19">
        <v>71</v>
      </c>
      <c r="B83" s="19">
        <v>99254</v>
      </c>
      <c r="C83" s="20" t="s">
        <v>353</v>
      </c>
      <c r="D83" s="116">
        <v>0</v>
      </c>
      <c r="E83" s="405">
        <v>4.1100000000000003</v>
      </c>
      <c r="F83" s="47">
        <f t="shared" si="8"/>
        <v>0</v>
      </c>
      <c r="G83" s="21">
        <f t="shared" si="6"/>
        <v>411.72379796478884</v>
      </c>
      <c r="H83" s="116">
        <v>0</v>
      </c>
      <c r="I83" s="405">
        <v>4.1100000000000003</v>
      </c>
      <c r="J83" s="47">
        <f t="shared" si="9"/>
        <v>0</v>
      </c>
      <c r="K83" s="21">
        <f t="shared" si="7"/>
        <v>411.72379796478884</v>
      </c>
    </row>
    <row r="84" spans="1:11" s="22" customFormat="1" x14ac:dyDescent="0.35">
      <c r="A84" s="19">
        <v>72</v>
      </c>
      <c r="B84" s="19">
        <v>99255</v>
      </c>
      <c r="C84" s="20" t="s">
        <v>354</v>
      </c>
      <c r="D84" s="116">
        <v>0</v>
      </c>
      <c r="E84" s="405">
        <v>5.53</v>
      </c>
      <c r="F84" s="47">
        <f t="shared" si="8"/>
        <v>0</v>
      </c>
      <c r="G84" s="21">
        <f t="shared" si="6"/>
        <v>553.97386928109051</v>
      </c>
      <c r="H84" s="116">
        <v>0</v>
      </c>
      <c r="I84" s="405">
        <v>5.53</v>
      </c>
      <c r="J84" s="47">
        <f t="shared" si="9"/>
        <v>0</v>
      </c>
      <c r="K84" s="21">
        <f t="shared" si="7"/>
        <v>553.97386928109051</v>
      </c>
    </row>
    <row r="85" spans="1:11" s="22" customFormat="1" x14ac:dyDescent="0.35">
      <c r="A85" s="19">
        <v>73</v>
      </c>
      <c r="B85" s="19">
        <v>99281</v>
      </c>
      <c r="C85" s="20" t="s">
        <v>355</v>
      </c>
      <c r="D85" s="116">
        <v>0</v>
      </c>
      <c r="E85" s="405">
        <v>0.34</v>
      </c>
      <c r="F85" s="47">
        <f t="shared" si="8"/>
        <v>0</v>
      </c>
      <c r="G85" s="21">
        <f t="shared" si="6"/>
        <v>34.059876230663797</v>
      </c>
      <c r="H85" s="116">
        <v>0</v>
      </c>
      <c r="I85" s="405">
        <v>0.34</v>
      </c>
      <c r="J85" s="47">
        <f t="shared" si="9"/>
        <v>0</v>
      </c>
      <c r="K85" s="21">
        <f t="shared" si="7"/>
        <v>34.059876230663797</v>
      </c>
    </row>
    <row r="86" spans="1:11" s="22" customFormat="1" x14ac:dyDescent="0.35">
      <c r="A86" s="19">
        <v>74</v>
      </c>
      <c r="B86" s="19">
        <v>99282</v>
      </c>
      <c r="C86" s="20" t="s">
        <v>356</v>
      </c>
      <c r="D86" s="116">
        <v>0</v>
      </c>
      <c r="E86" s="405">
        <v>1.24</v>
      </c>
      <c r="F86" s="47">
        <f t="shared" si="8"/>
        <v>0</v>
      </c>
      <c r="G86" s="21">
        <f t="shared" si="6"/>
        <v>124.21837213536207</v>
      </c>
      <c r="H86" s="116">
        <v>0</v>
      </c>
      <c r="I86" s="405">
        <v>1.24</v>
      </c>
      <c r="J86" s="47">
        <f t="shared" si="9"/>
        <v>0</v>
      </c>
      <c r="K86" s="21">
        <f t="shared" si="7"/>
        <v>124.21837213536207</v>
      </c>
    </row>
    <row r="87" spans="1:11" s="22" customFormat="1" x14ac:dyDescent="0.35">
      <c r="A87" s="19">
        <v>75</v>
      </c>
      <c r="B87" s="19">
        <v>99283</v>
      </c>
      <c r="C87" s="20" t="s">
        <v>357</v>
      </c>
      <c r="D87" s="116">
        <v>0</v>
      </c>
      <c r="E87" s="405">
        <v>2.11</v>
      </c>
      <c r="F87" s="47">
        <f t="shared" si="8"/>
        <v>0</v>
      </c>
      <c r="G87" s="21">
        <f t="shared" si="6"/>
        <v>211.37158484323706</v>
      </c>
      <c r="H87" s="116">
        <v>0</v>
      </c>
      <c r="I87" s="405">
        <v>2.11</v>
      </c>
      <c r="J87" s="47">
        <f t="shared" si="9"/>
        <v>0</v>
      </c>
      <c r="K87" s="21">
        <f t="shared" si="7"/>
        <v>211.37158484323706</v>
      </c>
    </row>
    <row r="88" spans="1:11" s="22" customFormat="1" x14ac:dyDescent="0.35">
      <c r="A88" s="19">
        <v>76</v>
      </c>
      <c r="B88" s="19">
        <v>99284</v>
      </c>
      <c r="C88" s="20" t="s">
        <v>358</v>
      </c>
      <c r="D88" s="116">
        <v>0</v>
      </c>
      <c r="E88" s="405">
        <v>3.59</v>
      </c>
      <c r="F88" s="47">
        <f t="shared" si="8"/>
        <v>0</v>
      </c>
      <c r="G88" s="21">
        <f t="shared" si="6"/>
        <v>359.63222255318533</v>
      </c>
      <c r="H88" s="116">
        <v>0</v>
      </c>
      <c r="I88" s="405">
        <v>3.59</v>
      </c>
      <c r="J88" s="47">
        <f t="shared" si="9"/>
        <v>0</v>
      </c>
      <c r="K88" s="21">
        <f t="shared" si="7"/>
        <v>359.63222255318533</v>
      </c>
    </row>
    <row r="89" spans="1:11" s="22" customFormat="1" x14ac:dyDescent="0.35">
      <c r="A89" s="19">
        <v>77</v>
      </c>
      <c r="B89" s="19">
        <v>99285</v>
      </c>
      <c r="C89" s="20" t="s">
        <v>359</v>
      </c>
      <c r="D89" s="116">
        <v>0</v>
      </c>
      <c r="E89" s="405">
        <v>5.2</v>
      </c>
      <c r="F89" s="47">
        <f t="shared" si="8"/>
        <v>0</v>
      </c>
      <c r="G89" s="21">
        <f t="shared" si="6"/>
        <v>520.91575411603446</v>
      </c>
      <c r="H89" s="116">
        <v>0</v>
      </c>
      <c r="I89" s="405">
        <v>5.2</v>
      </c>
      <c r="J89" s="47">
        <f t="shared" si="9"/>
        <v>0</v>
      </c>
      <c r="K89" s="21">
        <f t="shared" si="7"/>
        <v>520.91575411603446</v>
      </c>
    </row>
    <row r="90" spans="1:11" s="22" customFormat="1" x14ac:dyDescent="0.35">
      <c r="A90" s="19">
        <v>78</v>
      </c>
      <c r="B90" s="19">
        <v>99304</v>
      </c>
      <c r="C90" s="20" t="s">
        <v>363</v>
      </c>
      <c r="D90" s="116">
        <v>0</v>
      </c>
      <c r="E90" s="405">
        <v>2.39</v>
      </c>
      <c r="F90" s="47">
        <f t="shared" si="8"/>
        <v>0</v>
      </c>
      <c r="G90" s="21">
        <f t="shared" si="6"/>
        <v>239.42089468025432</v>
      </c>
      <c r="H90" s="116">
        <v>0</v>
      </c>
      <c r="I90" s="405">
        <v>2.39</v>
      </c>
      <c r="J90" s="47">
        <f t="shared" si="9"/>
        <v>0</v>
      </c>
      <c r="K90" s="21">
        <f t="shared" si="7"/>
        <v>239.42089468025432</v>
      </c>
    </row>
    <row r="91" spans="1:11" s="22" customFormat="1" x14ac:dyDescent="0.35">
      <c r="A91" s="19">
        <v>79</v>
      </c>
      <c r="B91" s="19">
        <v>99305</v>
      </c>
      <c r="C91" s="20" t="s">
        <v>364</v>
      </c>
      <c r="D91" s="116">
        <v>0</v>
      </c>
      <c r="E91" s="405">
        <v>3.97</v>
      </c>
      <c r="F91" s="47">
        <f t="shared" si="8"/>
        <v>0</v>
      </c>
      <c r="G91" s="21">
        <f t="shared" si="6"/>
        <v>397.6991430462802</v>
      </c>
      <c r="H91" s="116">
        <v>0</v>
      </c>
      <c r="I91" s="405">
        <v>3.97</v>
      </c>
      <c r="J91" s="47">
        <f t="shared" si="9"/>
        <v>0</v>
      </c>
      <c r="K91" s="21">
        <f t="shared" si="7"/>
        <v>397.6991430462802</v>
      </c>
    </row>
    <row r="92" spans="1:11" s="22" customFormat="1" x14ac:dyDescent="0.35">
      <c r="A92" s="19">
        <v>80</v>
      </c>
      <c r="B92" s="19">
        <v>99306</v>
      </c>
      <c r="C92" s="20" t="s">
        <v>365</v>
      </c>
      <c r="D92" s="116">
        <v>0</v>
      </c>
      <c r="E92" s="405">
        <v>5.42</v>
      </c>
      <c r="F92" s="47">
        <f t="shared" si="8"/>
        <v>0</v>
      </c>
      <c r="G92" s="21">
        <f t="shared" si="6"/>
        <v>542.95449755940513</v>
      </c>
      <c r="H92" s="116">
        <v>0</v>
      </c>
      <c r="I92" s="405">
        <v>5.42</v>
      </c>
      <c r="J92" s="47">
        <f t="shared" si="9"/>
        <v>0</v>
      </c>
      <c r="K92" s="21">
        <f t="shared" si="7"/>
        <v>542.95449755940513</v>
      </c>
    </row>
    <row r="93" spans="1:11" s="22" customFormat="1" x14ac:dyDescent="0.35">
      <c r="A93" s="19">
        <v>81</v>
      </c>
      <c r="B93" s="19">
        <v>99307</v>
      </c>
      <c r="C93" s="20" t="s">
        <v>366</v>
      </c>
      <c r="D93" s="116">
        <v>0</v>
      </c>
      <c r="E93" s="405">
        <v>1.2</v>
      </c>
      <c r="F93" s="47">
        <f t="shared" si="8"/>
        <v>0</v>
      </c>
      <c r="G93" s="21">
        <f t="shared" si="6"/>
        <v>120.21132787293104</v>
      </c>
      <c r="H93" s="116">
        <v>0</v>
      </c>
      <c r="I93" s="405">
        <v>1.2</v>
      </c>
      <c r="J93" s="47">
        <f t="shared" si="9"/>
        <v>0</v>
      </c>
      <c r="K93" s="21">
        <f t="shared" si="7"/>
        <v>120.21132787293104</v>
      </c>
    </row>
    <row r="94" spans="1:11" s="22" customFormat="1" x14ac:dyDescent="0.35">
      <c r="A94" s="19">
        <v>82</v>
      </c>
      <c r="B94" s="19">
        <v>99308</v>
      </c>
      <c r="C94" s="20" t="s">
        <v>367</v>
      </c>
      <c r="D94" s="116">
        <v>0</v>
      </c>
      <c r="E94" s="405">
        <v>2.2200000000000002</v>
      </c>
      <c r="F94" s="47">
        <f t="shared" si="8"/>
        <v>0</v>
      </c>
      <c r="G94" s="21">
        <f t="shared" si="6"/>
        <v>222.39095656492245</v>
      </c>
      <c r="H94" s="116">
        <v>0</v>
      </c>
      <c r="I94" s="405">
        <v>2.2200000000000002</v>
      </c>
      <c r="J94" s="47">
        <f t="shared" si="9"/>
        <v>0</v>
      </c>
      <c r="K94" s="21">
        <f t="shared" si="7"/>
        <v>222.39095656492245</v>
      </c>
    </row>
    <row r="95" spans="1:11" s="22" customFormat="1" x14ac:dyDescent="0.35">
      <c r="A95" s="19">
        <v>83</v>
      </c>
      <c r="B95" s="19">
        <v>99309</v>
      </c>
      <c r="C95" s="20" t="s">
        <v>368</v>
      </c>
      <c r="D95" s="116">
        <v>0</v>
      </c>
      <c r="E95" s="405">
        <v>3.21</v>
      </c>
      <c r="F95" s="47">
        <f t="shared" si="8"/>
        <v>0</v>
      </c>
      <c r="G95" s="21">
        <f t="shared" si="6"/>
        <v>321.56530206009052</v>
      </c>
      <c r="H95" s="116">
        <v>0</v>
      </c>
      <c r="I95" s="405">
        <v>3.21</v>
      </c>
      <c r="J95" s="47">
        <f t="shared" si="9"/>
        <v>0</v>
      </c>
      <c r="K95" s="21">
        <f t="shared" si="7"/>
        <v>321.56530206009052</v>
      </c>
    </row>
    <row r="96" spans="1:11" s="22" customFormat="1" x14ac:dyDescent="0.35">
      <c r="A96" s="19">
        <v>84</v>
      </c>
      <c r="B96" s="19">
        <v>99310</v>
      </c>
      <c r="C96" s="20" t="s">
        <v>369</v>
      </c>
      <c r="D96" s="116">
        <v>0</v>
      </c>
      <c r="E96" s="405">
        <v>4.58</v>
      </c>
      <c r="F96" s="47">
        <f t="shared" si="8"/>
        <v>0</v>
      </c>
      <c r="G96" s="21">
        <f t="shared" si="6"/>
        <v>458.80656804835348</v>
      </c>
      <c r="H96" s="116">
        <v>0</v>
      </c>
      <c r="I96" s="405">
        <v>4.58</v>
      </c>
      <c r="J96" s="47">
        <f t="shared" si="9"/>
        <v>0</v>
      </c>
      <c r="K96" s="21">
        <f t="shared" si="7"/>
        <v>458.80656804835348</v>
      </c>
    </row>
    <row r="97" spans="1:11" s="22" customFormat="1" x14ac:dyDescent="0.35">
      <c r="A97" s="19">
        <v>85</v>
      </c>
      <c r="B97" s="19">
        <v>99315</v>
      </c>
      <c r="C97" s="20" t="s">
        <v>370</v>
      </c>
      <c r="D97" s="116">
        <v>0</v>
      </c>
      <c r="E97" s="405">
        <v>2.4300000000000002</v>
      </c>
      <c r="F97" s="47">
        <f t="shared" si="8"/>
        <v>0</v>
      </c>
      <c r="G97" s="21">
        <f t="shared" si="6"/>
        <v>243.42793894268536</v>
      </c>
      <c r="H97" s="116">
        <v>0</v>
      </c>
      <c r="I97" s="405">
        <v>2.4300000000000002</v>
      </c>
      <c r="J97" s="47">
        <f t="shared" si="9"/>
        <v>0</v>
      </c>
      <c r="K97" s="21">
        <f t="shared" si="7"/>
        <v>243.42793894268536</v>
      </c>
    </row>
    <row r="98" spans="1:11" s="22" customFormat="1" x14ac:dyDescent="0.35">
      <c r="A98" s="19">
        <v>86</v>
      </c>
      <c r="B98" s="19">
        <v>99316</v>
      </c>
      <c r="C98" s="20" t="s">
        <v>128</v>
      </c>
      <c r="D98" s="116">
        <v>0</v>
      </c>
      <c r="E98" s="405">
        <v>3.9</v>
      </c>
      <c r="F98" s="47">
        <f t="shared" si="8"/>
        <v>0</v>
      </c>
      <c r="G98" s="21">
        <f t="shared" si="6"/>
        <v>390.68681558702588</v>
      </c>
      <c r="H98" s="116">
        <v>0</v>
      </c>
      <c r="I98" s="405">
        <v>3.9</v>
      </c>
      <c r="J98" s="47">
        <f t="shared" si="9"/>
        <v>0</v>
      </c>
      <c r="K98" s="21">
        <f t="shared" si="7"/>
        <v>390.68681558702588</v>
      </c>
    </row>
    <row r="99" spans="1:11" s="22" customFormat="1" x14ac:dyDescent="0.35">
      <c r="A99" s="19">
        <v>87</v>
      </c>
      <c r="B99" s="19">
        <v>99341</v>
      </c>
      <c r="C99" s="20" t="s">
        <v>371</v>
      </c>
      <c r="D99" s="116">
        <v>0</v>
      </c>
      <c r="E99" s="405">
        <v>1.47</v>
      </c>
      <c r="F99" s="47">
        <f t="shared" si="8"/>
        <v>0</v>
      </c>
      <c r="G99" s="21">
        <f t="shared" si="6"/>
        <v>147.25887664434052</v>
      </c>
      <c r="H99" s="116">
        <v>0</v>
      </c>
      <c r="I99" s="405">
        <v>1.47</v>
      </c>
      <c r="J99" s="47">
        <f t="shared" si="9"/>
        <v>0</v>
      </c>
      <c r="K99" s="21">
        <f t="shared" si="7"/>
        <v>147.25887664434052</v>
      </c>
    </row>
    <row r="100" spans="1:11" s="22" customFormat="1" x14ac:dyDescent="0.35">
      <c r="A100" s="19">
        <v>88</v>
      </c>
      <c r="B100" s="19">
        <v>99342</v>
      </c>
      <c r="C100" s="20" t="s">
        <v>372</v>
      </c>
      <c r="D100" s="116">
        <v>0</v>
      </c>
      <c r="E100" s="405">
        <v>2.33</v>
      </c>
      <c r="F100" s="47">
        <f t="shared" si="8"/>
        <v>0</v>
      </c>
      <c r="G100" s="21">
        <f t="shared" si="6"/>
        <v>233.41032828660778</v>
      </c>
      <c r="H100" s="116">
        <v>0</v>
      </c>
      <c r="I100" s="405">
        <v>2.33</v>
      </c>
      <c r="J100" s="47">
        <f t="shared" si="9"/>
        <v>0</v>
      </c>
      <c r="K100" s="21">
        <f t="shared" si="7"/>
        <v>233.41032828660778</v>
      </c>
    </row>
    <row r="101" spans="1:11" s="22" customFormat="1" x14ac:dyDescent="0.35">
      <c r="A101" s="19">
        <v>89</v>
      </c>
      <c r="B101" s="19">
        <v>99344</v>
      </c>
      <c r="C101" s="20" t="s">
        <v>373</v>
      </c>
      <c r="D101" s="116">
        <v>0</v>
      </c>
      <c r="E101" s="405">
        <v>4.2300000000000004</v>
      </c>
      <c r="F101" s="47">
        <f t="shared" si="8"/>
        <v>0</v>
      </c>
      <c r="G101" s="21">
        <f t="shared" si="6"/>
        <v>423.74493075208193</v>
      </c>
      <c r="H101" s="116">
        <v>0</v>
      </c>
      <c r="I101" s="405">
        <v>4.2300000000000004</v>
      </c>
      <c r="J101" s="47">
        <f t="shared" si="9"/>
        <v>0</v>
      </c>
      <c r="K101" s="21">
        <f t="shared" si="7"/>
        <v>423.74493075208193</v>
      </c>
    </row>
    <row r="102" spans="1:11" s="22" customFormat="1" x14ac:dyDescent="0.35">
      <c r="A102" s="19">
        <v>90</v>
      </c>
      <c r="B102" s="19">
        <v>99345</v>
      </c>
      <c r="C102" s="20" t="s">
        <v>374</v>
      </c>
      <c r="D102" s="116">
        <v>0</v>
      </c>
      <c r="E102" s="405">
        <v>6.01</v>
      </c>
      <c r="F102" s="47">
        <f t="shared" si="8"/>
        <v>0</v>
      </c>
      <c r="G102" s="21">
        <f t="shared" si="6"/>
        <v>602.05840043026296</v>
      </c>
      <c r="H102" s="116">
        <v>0</v>
      </c>
      <c r="I102" s="405">
        <v>6.01</v>
      </c>
      <c r="J102" s="47">
        <f t="shared" si="9"/>
        <v>0</v>
      </c>
      <c r="K102" s="21">
        <f t="shared" si="7"/>
        <v>602.05840043026296</v>
      </c>
    </row>
    <row r="103" spans="1:11" s="22" customFormat="1" x14ac:dyDescent="0.35">
      <c r="A103" s="19">
        <v>91</v>
      </c>
      <c r="B103" s="19">
        <v>99347</v>
      </c>
      <c r="C103" s="20" t="s">
        <v>375</v>
      </c>
      <c r="D103" s="116">
        <v>0</v>
      </c>
      <c r="E103" s="405">
        <v>1.35</v>
      </c>
      <c r="F103" s="47">
        <f t="shared" si="8"/>
        <v>0</v>
      </c>
      <c r="G103" s="21">
        <f t="shared" si="6"/>
        <v>135.23774385704743</v>
      </c>
      <c r="H103" s="116">
        <v>0</v>
      </c>
      <c r="I103" s="405">
        <v>1.35</v>
      </c>
      <c r="J103" s="47">
        <f t="shared" si="9"/>
        <v>0</v>
      </c>
      <c r="K103" s="21">
        <f t="shared" si="7"/>
        <v>135.23774385704743</v>
      </c>
    </row>
    <row r="104" spans="1:11" s="22" customFormat="1" x14ac:dyDescent="0.35">
      <c r="A104" s="19">
        <v>92</v>
      </c>
      <c r="B104" s="19">
        <v>99348</v>
      </c>
      <c r="C104" s="20" t="s">
        <v>376</v>
      </c>
      <c r="D104" s="116">
        <v>0</v>
      </c>
      <c r="E104" s="405">
        <v>2.2799999999999998</v>
      </c>
      <c r="F104" s="47">
        <f t="shared" si="8"/>
        <v>0</v>
      </c>
      <c r="G104" s="21">
        <f t="shared" si="6"/>
        <v>228.40152295856896</v>
      </c>
      <c r="H104" s="116">
        <v>0</v>
      </c>
      <c r="I104" s="405">
        <v>2.2799999999999998</v>
      </c>
      <c r="J104" s="47">
        <f t="shared" si="9"/>
        <v>0</v>
      </c>
      <c r="K104" s="21">
        <f t="shared" si="7"/>
        <v>228.40152295856896</v>
      </c>
    </row>
    <row r="105" spans="1:11" s="22" customFormat="1" x14ac:dyDescent="0.35">
      <c r="A105" s="19">
        <v>93</v>
      </c>
      <c r="B105" s="19">
        <v>99349</v>
      </c>
      <c r="C105" s="20" t="s">
        <v>377</v>
      </c>
      <c r="D105" s="116">
        <v>0</v>
      </c>
      <c r="E105" s="405">
        <v>3.79</v>
      </c>
      <c r="F105" s="47">
        <f t="shared" si="8"/>
        <v>0</v>
      </c>
      <c r="G105" s="21">
        <f t="shared" si="6"/>
        <v>379.66744386534054</v>
      </c>
      <c r="H105" s="116">
        <v>0</v>
      </c>
      <c r="I105" s="405">
        <v>3.79</v>
      </c>
      <c r="J105" s="47">
        <f t="shared" si="9"/>
        <v>0</v>
      </c>
      <c r="K105" s="21">
        <f t="shared" si="7"/>
        <v>379.66744386534054</v>
      </c>
    </row>
    <row r="106" spans="1:11" s="22" customFormat="1" x14ac:dyDescent="0.35">
      <c r="A106" s="19">
        <v>94</v>
      </c>
      <c r="B106" s="19">
        <v>99350</v>
      </c>
      <c r="C106" s="20" t="s">
        <v>378</v>
      </c>
      <c r="D106" s="116">
        <v>0</v>
      </c>
      <c r="E106" s="405">
        <v>5.52</v>
      </c>
      <c r="F106" s="47">
        <f t="shared" si="8"/>
        <v>0</v>
      </c>
      <c r="G106" s="21">
        <f t="shared" si="6"/>
        <v>552.97210821548276</v>
      </c>
      <c r="H106" s="116">
        <v>0</v>
      </c>
      <c r="I106" s="405">
        <v>5.52</v>
      </c>
      <c r="J106" s="47">
        <f t="shared" si="9"/>
        <v>0</v>
      </c>
      <c r="K106" s="21">
        <f t="shared" si="7"/>
        <v>552.97210821548276</v>
      </c>
    </row>
    <row r="107" spans="1:11" s="22" customFormat="1" x14ac:dyDescent="0.35">
      <c r="A107" s="19">
        <v>95</v>
      </c>
      <c r="B107" s="19">
        <v>99366</v>
      </c>
      <c r="C107" s="20" t="s">
        <v>379</v>
      </c>
      <c r="D107" s="116">
        <v>0</v>
      </c>
      <c r="E107" s="405">
        <v>1.22</v>
      </c>
      <c r="F107" s="47">
        <f t="shared" si="8"/>
        <v>0</v>
      </c>
      <c r="G107" s="21">
        <f t="shared" si="6"/>
        <v>122.21485000414656</v>
      </c>
      <c r="H107" s="116">
        <v>10</v>
      </c>
      <c r="I107" s="405">
        <v>1.19</v>
      </c>
      <c r="J107" s="47">
        <f t="shared" si="9"/>
        <v>11.899999999999999</v>
      </c>
      <c r="K107" s="21">
        <f t="shared" si="7"/>
        <v>119.20956680732327</v>
      </c>
    </row>
    <row r="108" spans="1:11" s="22" customFormat="1" x14ac:dyDescent="0.35">
      <c r="A108" s="19">
        <v>96</v>
      </c>
      <c r="B108" s="19">
        <v>99367</v>
      </c>
      <c r="C108" s="20" t="s">
        <v>380</v>
      </c>
      <c r="D108" s="116">
        <v>0</v>
      </c>
      <c r="E108" s="405">
        <v>1.6</v>
      </c>
      <c r="F108" s="47">
        <f t="shared" si="8"/>
        <v>0</v>
      </c>
      <c r="G108" s="21">
        <f t="shared" si="6"/>
        <v>160.28177049724138</v>
      </c>
      <c r="H108" s="116">
        <v>0</v>
      </c>
      <c r="I108" s="405">
        <v>1.6</v>
      </c>
      <c r="J108" s="47">
        <f t="shared" si="9"/>
        <v>0</v>
      </c>
      <c r="K108" s="21">
        <f t="shared" si="7"/>
        <v>160.28177049724138</v>
      </c>
    </row>
    <row r="109" spans="1:11" s="22" customFormat="1" x14ac:dyDescent="0.35">
      <c r="A109" s="19">
        <v>97</v>
      </c>
      <c r="B109" s="19">
        <v>99368</v>
      </c>
      <c r="C109" s="20" t="s">
        <v>381</v>
      </c>
      <c r="D109" s="116">
        <v>0</v>
      </c>
      <c r="E109" s="405">
        <v>1.04</v>
      </c>
      <c r="F109" s="47">
        <f t="shared" si="8"/>
        <v>0</v>
      </c>
      <c r="G109" s="21">
        <f t="shared" si="6"/>
        <v>104.1831508232069</v>
      </c>
      <c r="H109" s="116">
        <v>4</v>
      </c>
      <c r="I109" s="405">
        <v>1.04</v>
      </c>
      <c r="J109" s="47">
        <f t="shared" si="9"/>
        <v>4.16</v>
      </c>
      <c r="K109" s="21">
        <f t="shared" si="7"/>
        <v>104.1831508232069</v>
      </c>
    </row>
    <row r="110" spans="1:11" s="22" customFormat="1" x14ac:dyDescent="0.35">
      <c r="A110" s="19">
        <v>98</v>
      </c>
      <c r="B110" s="19">
        <v>99441</v>
      </c>
      <c r="C110" s="20" t="s">
        <v>382</v>
      </c>
      <c r="D110" s="116">
        <v>1</v>
      </c>
      <c r="E110" s="405">
        <v>1.69</v>
      </c>
      <c r="F110" s="47">
        <f t="shared" si="8"/>
        <v>1.69</v>
      </c>
      <c r="G110" s="21">
        <f t="shared" si="6"/>
        <v>169.29762008771121</v>
      </c>
      <c r="H110" s="116">
        <v>6</v>
      </c>
      <c r="I110" s="405">
        <v>1.04</v>
      </c>
      <c r="J110" s="47">
        <f t="shared" si="9"/>
        <v>6.24</v>
      </c>
      <c r="K110" s="21">
        <f t="shared" si="7"/>
        <v>104.1831508232069</v>
      </c>
    </row>
    <row r="111" spans="1:11" s="22" customFormat="1" x14ac:dyDescent="0.35">
      <c r="A111" s="19">
        <v>99</v>
      </c>
      <c r="B111" s="19">
        <v>99442</v>
      </c>
      <c r="C111" s="20" t="s">
        <v>383</v>
      </c>
      <c r="D111" s="116">
        <v>8</v>
      </c>
      <c r="E111" s="405">
        <v>2.72</v>
      </c>
      <c r="F111" s="47">
        <f t="shared" si="8"/>
        <v>21.76</v>
      </c>
      <c r="G111" s="21">
        <f t="shared" si="6"/>
        <v>272.47900984531037</v>
      </c>
      <c r="H111" s="116">
        <v>10</v>
      </c>
      <c r="I111" s="405">
        <v>1.95</v>
      </c>
      <c r="J111" s="47">
        <f t="shared" si="9"/>
        <v>19.5</v>
      </c>
      <c r="K111" s="21">
        <f t="shared" si="7"/>
        <v>195.34340779351294</v>
      </c>
    </row>
    <row r="112" spans="1:11" s="22" customFormat="1" x14ac:dyDescent="0.35">
      <c r="A112" s="19">
        <v>100</v>
      </c>
      <c r="B112" s="19">
        <v>99443</v>
      </c>
      <c r="C112" s="20" t="s">
        <v>384</v>
      </c>
      <c r="D112" s="116">
        <v>6</v>
      </c>
      <c r="E112" s="405">
        <v>3.85</v>
      </c>
      <c r="F112" s="47">
        <f t="shared" si="8"/>
        <v>23.1</v>
      </c>
      <c r="G112" s="21">
        <f t="shared" si="6"/>
        <v>385.67801025898706</v>
      </c>
      <c r="H112" s="116">
        <v>5</v>
      </c>
      <c r="I112" s="405">
        <v>2.89</v>
      </c>
      <c r="J112" s="47">
        <f t="shared" si="9"/>
        <v>14.450000000000001</v>
      </c>
      <c r="K112" s="21">
        <f t="shared" si="7"/>
        <v>289.50894796064227</v>
      </c>
    </row>
    <row r="113" spans="1:11" s="22" customFormat="1" ht="34.5" customHeight="1" x14ac:dyDescent="0.35">
      <c r="A113" s="19">
        <v>101</v>
      </c>
      <c r="B113" s="19" t="s">
        <v>42</v>
      </c>
      <c r="C113" s="20" t="s">
        <v>385</v>
      </c>
      <c r="D113" s="116">
        <v>0</v>
      </c>
      <c r="E113" s="405">
        <v>1.27</v>
      </c>
      <c r="F113" s="47">
        <f t="shared" si="8"/>
        <v>0</v>
      </c>
      <c r="G113" s="21">
        <f t="shared" si="6"/>
        <v>127.22365533218534</v>
      </c>
      <c r="H113" s="116">
        <v>0</v>
      </c>
      <c r="I113" s="405">
        <v>1.1100000000000001</v>
      </c>
      <c r="J113" s="47">
        <f t="shared" si="9"/>
        <v>0</v>
      </c>
      <c r="K113" s="21">
        <f t="shared" si="7"/>
        <v>111.19547828246122</v>
      </c>
    </row>
    <row r="114" spans="1:11" s="22" customFormat="1" ht="29" x14ac:dyDescent="0.35">
      <c r="A114" s="19">
        <v>102</v>
      </c>
      <c r="B114" s="19" t="s">
        <v>43</v>
      </c>
      <c r="C114" s="20" t="s">
        <v>386</v>
      </c>
      <c r="D114" s="116">
        <v>0</v>
      </c>
      <c r="E114" s="405">
        <v>0.75</v>
      </c>
      <c r="F114" s="47">
        <f t="shared" si="8"/>
        <v>0</v>
      </c>
      <c r="G114" s="21">
        <f t="shared" si="6"/>
        <v>75.132079920581901</v>
      </c>
      <c r="H114" s="116">
        <v>0</v>
      </c>
      <c r="I114" s="405">
        <v>0.37</v>
      </c>
      <c r="J114" s="47">
        <f t="shared" si="9"/>
        <v>0</v>
      </c>
      <c r="K114" s="21">
        <f t="shared" si="7"/>
        <v>37.065159427487067</v>
      </c>
    </row>
    <row r="115" spans="1:11" s="22" customFormat="1" x14ac:dyDescent="0.35">
      <c r="A115" s="19">
        <v>103</v>
      </c>
      <c r="B115" s="19" t="s">
        <v>44</v>
      </c>
      <c r="C115" s="20" t="s">
        <v>129</v>
      </c>
      <c r="D115" s="116">
        <v>0</v>
      </c>
      <c r="E115" s="405">
        <v>5.17</v>
      </c>
      <c r="F115" s="47">
        <f t="shared" si="8"/>
        <v>0</v>
      </c>
      <c r="G115" s="21">
        <f t="shared" si="6"/>
        <v>517.91047091921121</v>
      </c>
      <c r="H115" s="116">
        <v>494</v>
      </c>
      <c r="I115" s="405">
        <v>4.43</v>
      </c>
      <c r="J115" s="47">
        <f t="shared" si="9"/>
        <v>2188.42</v>
      </c>
      <c r="K115" s="21">
        <f t="shared" si="7"/>
        <v>443.78015206423703</v>
      </c>
    </row>
    <row r="116" spans="1:11" s="22" customFormat="1" x14ac:dyDescent="0.35">
      <c r="A116" s="19">
        <v>104</v>
      </c>
      <c r="B116" s="19" t="s">
        <v>45</v>
      </c>
      <c r="C116" s="20" t="s">
        <v>387</v>
      </c>
      <c r="D116" s="116">
        <v>368</v>
      </c>
      <c r="E116" s="405">
        <v>0.72</v>
      </c>
      <c r="F116" s="47">
        <f t="shared" si="8"/>
        <v>264.95999999999998</v>
      </c>
      <c r="G116" s="21">
        <f t="shared" si="6"/>
        <v>72.126796723758616</v>
      </c>
      <c r="H116" s="116">
        <v>4269</v>
      </c>
      <c r="I116" s="405">
        <v>0.66</v>
      </c>
      <c r="J116" s="47">
        <f t="shared" si="9"/>
        <v>2817.54</v>
      </c>
      <c r="K116" s="21">
        <f t="shared" si="7"/>
        <v>66.116230330112074</v>
      </c>
    </row>
    <row r="117" spans="1:11" s="22" customFormat="1" ht="29" x14ac:dyDescent="0.35">
      <c r="A117" s="19">
        <v>105</v>
      </c>
      <c r="B117" s="19" t="s">
        <v>19</v>
      </c>
      <c r="C117" s="20" t="s">
        <v>39</v>
      </c>
      <c r="D117" s="116">
        <v>0</v>
      </c>
      <c r="E117" s="405">
        <v>0</v>
      </c>
      <c r="F117" s="47">
        <f t="shared" si="8"/>
        <v>0</v>
      </c>
      <c r="G117" s="21">
        <f t="shared" si="6"/>
        <v>0</v>
      </c>
      <c r="H117" s="116">
        <v>0</v>
      </c>
      <c r="I117" s="405">
        <v>0</v>
      </c>
      <c r="J117" s="47">
        <f t="shared" si="9"/>
        <v>0</v>
      </c>
      <c r="K117" s="21">
        <f t="shared" si="7"/>
        <v>0</v>
      </c>
    </row>
    <row r="118" spans="1:11" s="22" customFormat="1" x14ac:dyDescent="0.35">
      <c r="A118" s="19">
        <v>106</v>
      </c>
      <c r="B118" s="19" t="s">
        <v>46</v>
      </c>
      <c r="C118" s="20" t="s">
        <v>130</v>
      </c>
      <c r="D118" s="116">
        <v>1374</v>
      </c>
      <c r="E118" s="405">
        <v>1.18</v>
      </c>
      <c r="F118" s="47">
        <f t="shared" si="8"/>
        <v>1621.32</v>
      </c>
      <c r="G118" s="21">
        <f t="shared" si="6"/>
        <v>118.20780574171552</v>
      </c>
      <c r="H118" s="116">
        <v>7981</v>
      </c>
      <c r="I118" s="405">
        <v>1.03</v>
      </c>
      <c r="J118" s="47">
        <f t="shared" si="9"/>
        <v>8220.43</v>
      </c>
      <c r="K118" s="21">
        <f t="shared" si="7"/>
        <v>103.18138975759915</v>
      </c>
    </row>
    <row r="119" spans="1:11" s="22" customFormat="1" x14ac:dyDescent="0.35">
      <c r="A119" s="19">
        <v>107</v>
      </c>
      <c r="B119" s="19" t="s">
        <v>47</v>
      </c>
      <c r="C119" s="20" t="s">
        <v>131</v>
      </c>
      <c r="D119" s="116">
        <v>0</v>
      </c>
      <c r="E119" s="405">
        <v>0.83</v>
      </c>
      <c r="F119" s="47">
        <f t="shared" si="8"/>
        <v>0</v>
      </c>
      <c r="G119" s="21">
        <f t="shared" si="6"/>
        <v>83.146168445443962</v>
      </c>
      <c r="H119" s="116">
        <v>563</v>
      </c>
      <c r="I119" s="405">
        <v>0.72</v>
      </c>
      <c r="J119" s="47">
        <f t="shared" si="9"/>
        <v>405.35999999999996</v>
      </c>
      <c r="K119" s="21">
        <f t="shared" si="7"/>
        <v>72.126796723758616</v>
      </c>
    </row>
    <row r="120" spans="1:11" s="22" customFormat="1" x14ac:dyDescent="0.35">
      <c r="A120" s="19">
        <v>108</v>
      </c>
      <c r="B120" s="19" t="s">
        <v>48</v>
      </c>
      <c r="C120" s="20" t="s">
        <v>132</v>
      </c>
      <c r="D120" s="116">
        <v>71</v>
      </c>
      <c r="E120" s="405">
        <v>0.64</v>
      </c>
      <c r="F120" s="47">
        <f t="shared" si="8"/>
        <v>45.44</v>
      </c>
      <c r="G120" s="21">
        <f t="shared" si="6"/>
        <v>64.112708198896556</v>
      </c>
      <c r="H120" s="116">
        <v>649</v>
      </c>
      <c r="I120" s="405">
        <v>0.6</v>
      </c>
      <c r="J120" s="47">
        <f t="shared" si="9"/>
        <v>389.4</v>
      </c>
      <c r="K120" s="21">
        <f t="shared" si="7"/>
        <v>60.105663936465518</v>
      </c>
    </row>
    <row r="121" spans="1:11" s="22" customFormat="1" x14ac:dyDescent="0.35">
      <c r="A121" s="19">
        <v>109</v>
      </c>
      <c r="B121" s="19" t="s">
        <v>21</v>
      </c>
      <c r="C121" s="20" t="s">
        <v>24</v>
      </c>
      <c r="D121" s="116">
        <v>0</v>
      </c>
      <c r="E121" s="405">
        <v>0</v>
      </c>
      <c r="F121" s="47">
        <f t="shared" si="8"/>
        <v>0</v>
      </c>
      <c r="G121" s="21">
        <f t="shared" si="6"/>
        <v>0</v>
      </c>
      <c r="H121" s="116">
        <v>0</v>
      </c>
      <c r="I121" s="405">
        <v>0</v>
      </c>
      <c r="J121" s="47">
        <f t="shared" si="9"/>
        <v>0</v>
      </c>
      <c r="K121" s="21">
        <f t="shared" si="7"/>
        <v>0</v>
      </c>
    </row>
    <row r="122" spans="1:11" s="22" customFormat="1" ht="29" x14ac:dyDescent="0.35">
      <c r="A122" s="19">
        <v>110</v>
      </c>
      <c r="B122" s="19" t="s">
        <v>49</v>
      </c>
      <c r="C122" s="20" t="s">
        <v>388</v>
      </c>
      <c r="D122" s="116">
        <v>0</v>
      </c>
      <c r="E122" s="405">
        <v>0</v>
      </c>
      <c r="F122" s="47">
        <f t="shared" si="8"/>
        <v>0</v>
      </c>
      <c r="G122" s="21">
        <f t="shared" si="6"/>
        <v>0</v>
      </c>
      <c r="H122" s="116">
        <v>0</v>
      </c>
      <c r="I122" s="405">
        <v>0</v>
      </c>
      <c r="J122" s="47">
        <f t="shared" si="9"/>
        <v>0</v>
      </c>
      <c r="K122" s="21">
        <f t="shared" si="7"/>
        <v>0</v>
      </c>
    </row>
    <row r="123" spans="1:11" s="22" customFormat="1" ht="29" x14ac:dyDescent="0.35">
      <c r="A123" s="19">
        <v>111</v>
      </c>
      <c r="B123" s="19" t="s">
        <v>33</v>
      </c>
      <c r="C123" s="20" t="s">
        <v>389</v>
      </c>
      <c r="D123" s="116">
        <v>0</v>
      </c>
      <c r="E123" s="405">
        <v>0</v>
      </c>
      <c r="F123" s="47">
        <f t="shared" si="8"/>
        <v>0</v>
      </c>
      <c r="G123" s="21">
        <f t="shared" si="6"/>
        <v>0</v>
      </c>
      <c r="H123" s="116">
        <v>0</v>
      </c>
      <c r="I123" s="405">
        <v>0</v>
      </c>
      <c r="J123" s="47">
        <f t="shared" si="9"/>
        <v>0</v>
      </c>
      <c r="K123" s="21">
        <f t="shared" si="7"/>
        <v>0</v>
      </c>
    </row>
    <row r="124" spans="1:11" s="22" customFormat="1" x14ac:dyDescent="0.35">
      <c r="A124" s="19">
        <v>112</v>
      </c>
      <c r="B124" s="19" t="s">
        <v>50</v>
      </c>
      <c r="C124" s="20" t="s">
        <v>390</v>
      </c>
      <c r="D124" s="116">
        <v>0</v>
      </c>
      <c r="E124" s="405">
        <v>2.64</v>
      </c>
      <c r="F124" s="47">
        <f t="shared" ref="F124:F187" si="10">D124*E124</f>
        <v>0</v>
      </c>
      <c r="G124" s="21">
        <f t="shared" ref="G124:G186" si="11">E124*$F$12</f>
        <v>264.4649213204483</v>
      </c>
      <c r="H124" s="116">
        <v>1844</v>
      </c>
      <c r="I124" s="405">
        <v>2.64</v>
      </c>
      <c r="J124" s="47">
        <f t="shared" ref="J124:J187" si="12">H124*I124</f>
        <v>4868.16</v>
      </c>
      <c r="K124" s="21">
        <f t="shared" ref="K124:K186" si="13">I124*$F$12</f>
        <v>264.4649213204483</v>
      </c>
    </row>
    <row r="125" spans="1:11" s="22" customFormat="1" x14ac:dyDescent="0.35">
      <c r="A125" s="19">
        <v>113</v>
      </c>
      <c r="B125" s="19" t="s">
        <v>51</v>
      </c>
      <c r="C125" s="20" t="s">
        <v>133</v>
      </c>
      <c r="D125" s="116">
        <v>0</v>
      </c>
      <c r="E125" s="405">
        <v>0</v>
      </c>
      <c r="F125" s="47">
        <f t="shared" si="10"/>
        <v>0</v>
      </c>
      <c r="G125" s="21">
        <f t="shared" si="11"/>
        <v>0</v>
      </c>
      <c r="H125" s="116">
        <v>3055</v>
      </c>
      <c r="I125" s="405">
        <v>0</v>
      </c>
      <c r="J125" s="47">
        <f t="shared" si="12"/>
        <v>0</v>
      </c>
      <c r="K125" s="21">
        <f t="shared" si="13"/>
        <v>0</v>
      </c>
    </row>
    <row r="126" spans="1:11" s="22" customFormat="1" x14ac:dyDescent="0.35">
      <c r="A126" s="19">
        <v>114</v>
      </c>
      <c r="B126" s="19" t="s">
        <v>52</v>
      </c>
      <c r="C126" s="20" t="s">
        <v>134</v>
      </c>
      <c r="D126" s="116">
        <v>0</v>
      </c>
      <c r="E126" s="405">
        <v>0</v>
      </c>
      <c r="F126" s="47">
        <f t="shared" si="10"/>
        <v>0</v>
      </c>
      <c r="G126" s="21">
        <f t="shared" si="11"/>
        <v>0</v>
      </c>
      <c r="H126" s="116">
        <v>2169</v>
      </c>
      <c r="I126" s="405">
        <v>0</v>
      </c>
      <c r="J126" s="47">
        <f t="shared" si="12"/>
        <v>0</v>
      </c>
      <c r="K126" s="21">
        <f t="shared" si="13"/>
        <v>0</v>
      </c>
    </row>
    <row r="127" spans="1:11" s="22" customFormat="1" x14ac:dyDescent="0.35">
      <c r="A127" s="19">
        <v>115</v>
      </c>
      <c r="B127" s="19" t="s">
        <v>53</v>
      </c>
      <c r="C127" s="20" t="s">
        <v>135</v>
      </c>
      <c r="D127" s="116">
        <v>0</v>
      </c>
      <c r="E127" s="405">
        <v>0</v>
      </c>
      <c r="F127" s="47">
        <f t="shared" si="10"/>
        <v>0</v>
      </c>
      <c r="G127" s="21">
        <f t="shared" si="11"/>
        <v>0</v>
      </c>
      <c r="H127" s="116">
        <v>0</v>
      </c>
      <c r="I127" s="405">
        <v>0</v>
      </c>
      <c r="J127" s="47">
        <f t="shared" si="12"/>
        <v>0</v>
      </c>
      <c r="K127" s="21">
        <f t="shared" si="13"/>
        <v>0</v>
      </c>
    </row>
    <row r="128" spans="1:11" s="22" customFormat="1" ht="29" x14ac:dyDescent="0.35">
      <c r="A128" s="19">
        <v>116</v>
      </c>
      <c r="B128" s="19" t="s">
        <v>54</v>
      </c>
      <c r="C128" s="20" t="s">
        <v>391</v>
      </c>
      <c r="D128" s="116">
        <v>0</v>
      </c>
      <c r="E128" s="405">
        <v>1.02</v>
      </c>
      <c r="F128" s="47">
        <f t="shared" si="10"/>
        <v>0</v>
      </c>
      <c r="G128" s="21">
        <f t="shared" si="11"/>
        <v>102.17962869199138</v>
      </c>
      <c r="H128" s="116">
        <v>0</v>
      </c>
      <c r="I128" s="405">
        <v>0.94</v>
      </c>
      <c r="J128" s="47">
        <f t="shared" si="12"/>
        <v>0</v>
      </c>
      <c r="K128" s="21">
        <f t="shared" si="13"/>
        <v>94.165540167129308</v>
      </c>
    </row>
    <row r="129" spans="1:11" s="22" customFormat="1" x14ac:dyDescent="0.35">
      <c r="A129" s="19">
        <v>117</v>
      </c>
      <c r="B129" s="19" t="s">
        <v>22</v>
      </c>
      <c r="C129" s="20" t="s">
        <v>25</v>
      </c>
      <c r="D129" s="116">
        <v>0</v>
      </c>
      <c r="E129" s="405">
        <v>0</v>
      </c>
      <c r="F129" s="47">
        <f t="shared" si="10"/>
        <v>0</v>
      </c>
      <c r="G129" s="21">
        <f t="shared" si="11"/>
        <v>0</v>
      </c>
      <c r="H129" s="116">
        <v>0</v>
      </c>
      <c r="I129" s="405">
        <v>0</v>
      </c>
      <c r="J129" s="47">
        <f t="shared" si="12"/>
        <v>0</v>
      </c>
      <c r="K129" s="21">
        <f t="shared" si="13"/>
        <v>0</v>
      </c>
    </row>
    <row r="130" spans="1:11" s="22" customFormat="1" x14ac:dyDescent="0.35">
      <c r="A130" s="19">
        <v>118</v>
      </c>
      <c r="B130" s="19" t="s">
        <v>55</v>
      </c>
      <c r="C130" s="20" t="s">
        <v>392</v>
      </c>
      <c r="D130" s="116">
        <v>22</v>
      </c>
      <c r="E130" s="405">
        <v>0.12</v>
      </c>
      <c r="F130" s="47">
        <f t="shared" si="10"/>
        <v>2.6399999999999997</v>
      </c>
      <c r="G130" s="21">
        <f t="shared" si="11"/>
        <v>12.021132787293103</v>
      </c>
      <c r="H130" s="116">
        <v>28431</v>
      </c>
      <c r="I130" s="405">
        <v>0.09</v>
      </c>
      <c r="J130" s="47">
        <f t="shared" si="12"/>
        <v>2558.79</v>
      </c>
      <c r="K130" s="21">
        <f t="shared" si="13"/>
        <v>9.015849590469827</v>
      </c>
    </row>
    <row r="131" spans="1:11" s="22" customFormat="1" x14ac:dyDescent="0.35">
      <c r="A131" s="19">
        <v>119</v>
      </c>
      <c r="B131" s="19" t="s">
        <v>56</v>
      </c>
      <c r="C131" s="20" t="s">
        <v>393</v>
      </c>
      <c r="D131" s="116">
        <v>698</v>
      </c>
      <c r="E131" s="405">
        <v>0.59</v>
      </c>
      <c r="F131" s="47">
        <f t="shared" si="10"/>
        <v>411.82</v>
      </c>
      <c r="G131" s="21">
        <f t="shared" si="11"/>
        <v>59.103902870857759</v>
      </c>
      <c r="H131" s="116">
        <v>360</v>
      </c>
      <c r="I131" s="405">
        <v>0.55000000000000004</v>
      </c>
      <c r="J131" s="47">
        <f t="shared" si="12"/>
        <v>198.00000000000003</v>
      </c>
      <c r="K131" s="21">
        <f t="shared" si="13"/>
        <v>55.096858608426729</v>
      </c>
    </row>
    <row r="132" spans="1:11" s="22" customFormat="1" ht="29" x14ac:dyDescent="0.35">
      <c r="A132" s="19">
        <v>120</v>
      </c>
      <c r="B132" s="19" t="s">
        <v>57</v>
      </c>
      <c r="C132" s="20" t="s">
        <v>136</v>
      </c>
      <c r="D132" s="116">
        <v>0</v>
      </c>
      <c r="E132" s="405">
        <v>0.75</v>
      </c>
      <c r="F132" s="47">
        <f t="shared" si="10"/>
        <v>0</v>
      </c>
      <c r="G132" s="21">
        <f t="shared" si="11"/>
        <v>75.132079920581901</v>
      </c>
      <c r="H132" s="116">
        <v>0</v>
      </c>
      <c r="I132" s="405">
        <v>0.37</v>
      </c>
      <c r="J132" s="47">
        <f t="shared" si="12"/>
        <v>0</v>
      </c>
      <c r="K132" s="21">
        <f t="shared" si="13"/>
        <v>37.065159427487067</v>
      </c>
    </row>
    <row r="133" spans="1:11" s="22" customFormat="1" ht="29" x14ac:dyDescent="0.35">
      <c r="A133" s="19">
        <v>121</v>
      </c>
      <c r="B133" s="19" t="s">
        <v>58</v>
      </c>
      <c r="C133" s="20" t="s">
        <v>137</v>
      </c>
      <c r="D133" s="116">
        <v>7</v>
      </c>
      <c r="E133" s="405">
        <v>0.75</v>
      </c>
      <c r="F133" s="47">
        <f t="shared" si="10"/>
        <v>5.25</v>
      </c>
      <c r="G133" s="21">
        <f t="shared" si="11"/>
        <v>75.132079920581901</v>
      </c>
      <c r="H133" s="116">
        <v>0</v>
      </c>
      <c r="I133" s="405">
        <v>0.37</v>
      </c>
      <c r="J133" s="47">
        <f t="shared" si="12"/>
        <v>0</v>
      </c>
      <c r="K133" s="21">
        <f t="shared" si="13"/>
        <v>37.065159427487067</v>
      </c>
    </row>
    <row r="134" spans="1:11" s="22" customFormat="1" ht="43.5" x14ac:dyDescent="0.35">
      <c r="A134" s="19">
        <v>122</v>
      </c>
      <c r="B134" s="19" t="s">
        <v>15</v>
      </c>
      <c r="C134" s="20" t="s">
        <v>18</v>
      </c>
      <c r="D134" s="116">
        <v>0</v>
      </c>
      <c r="E134" s="405">
        <v>0</v>
      </c>
      <c r="F134" s="47">
        <f t="shared" si="10"/>
        <v>0</v>
      </c>
      <c r="G134" s="21">
        <f t="shared" si="11"/>
        <v>0</v>
      </c>
      <c r="H134" s="116">
        <v>0</v>
      </c>
      <c r="I134" s="405">
        <v>0</v>
      </c>
      <c r="J134" s="47">
        <f t="shared" si="12"/>
        <v>0</v>
      </c>
      <c r="K134" s="21">
        <f t="shared" si="13"/>
        <v>0</v>
      </c>
    </row>
    <row r="135" spans="1:11" s="22" customFormat="1" ht="29" x14ac:dyDescent="0.35">
      <c r="A135" s="19">
        <v>123</v>
      </c>
      <c r="B135" s="19" t="s">
        <v>16</v>
      </c>
      <c r="C135" s="20" t="s">
        <v>138</v>
      </c>
      <c r="D135" s="116">
        <v>0</v>
      </c>
      <c r="E135" s="405">
        <v>0</v>
      </c>
      <c r="F135" s="47">
        <f t="shared" si="10"/>
        <v>0</v>
      </c>
      <c r="G135" s="21">
        <f t="shared" si="11"/>
        <v>0</v>
      </c>
      <c r="H135" s="116">
        <v>0</v>
      </c>
      <c r="I135" s="405">
        <v>0</v>
      </c>
      <c r="J135" s="47">
        <f t="shared" si="12"/>
        <v>0</v>
      </c>
      <c r="K135" s="21">
        <f t="shared" si="13"/>
        <v>0</v>
      </c>
    </row>
    <row r="136" spans="1:11" s="22" customFormat="1" ht="29" x14ac:dyDescent="0.35">
      <c r="A136" s="19">
        <v>124</v>
      </c>
      <c r="B136" s="19" t="s">
        <v>17</v>
      </c>
      <c r="C136" s="20" t="s">
        <v>139</v>
      </c>
      <c r="D136" s="116">
        <v>0</v>
      </c>
      <c r="E136" s="405">
        <v>0</v>
      </c>
      <c r="F136" s="47">
        <f t="shared" si="10"/>
        <v>0</v>
      </c>
      <c r="G136" s="21">
        <f t="shared" si="11"/>
        <v>0</v>
      </c>
      <c r="H136" s="116">
        <v>0</v>
      </c>
      <c r="I136" s="405">
        <v>0</v>
      </c>
      <c r="J136" s="47">
        <f t="shared" si="12"/>
        <v>0</v>
      </c>
      <c r="K136" s="21">
        <f t="shared" si="13"/>
        <v>0</v>
      </c>
    </row>
    <row r="137" spans="1:11" s="22" customFormat="1" x14ac:dyDescent="0.35">
      <c r="A137" s="19">
        <v>125</v>
      </c>
      <c r="B137" s="19" t="s">
        <v>23</v>
      </c>
      <c r="C137" s="20" t="s">
        <v>140</v>
      </c>
      <c r="D137" s="116">
        <v>0</v>
      </c>
      <c r="E137" s="405">
        <v>0</v>
      </c>
      <c r="F137" s="47">
        <f t="shared" si="10"/>
        <v>0</v>
      </c>
      <c r="G137" s="21">
        <f t="shared" si="11"/>
        <v>0</v>
      </c>
      <c r="H137" s="116">
        <v>0</v>
      </c>
      <c r="I137" s="405">
        <v>0</v>
      </c>
      <c r="J137" s="47">
        <f t="shared" si="12"/>
        <v>0</v>
      </c>
      <c r="K137" s="21">
        <f t="shared" si="13"/>
        <v>0</v>
      </c>
    </row>
    <row r="138" spans="1:11" s="22" customFormat="1" x14ac:dyDescent="0.35">
      <c r="A138" s="19">
        <v>126</v>
      </c>
      <c r="B138" s="19" t="s">
        <v>59</v>
      </c>
      <c r="C138" s="20" t="s">
        <v>395</v>
      </c>
      <c r="D138" s="116">
        <v>21</v>
      </c>
      <c r="E138" s="405">
        <v>3.27</v>
      </c>
      <c r="F138" s="47">
        <f t="shared" si="10"/>
        <v>68.67</v>
      </c>
      <c r="G138" s="21">
        <f t="shared" si="11"/>
        <v>327.57586845373709</v>
      </c>
      <c r="H138" s="116">
        <v>68</v>
      </c>
      <c r="I138" s="405">
        <v>2.17</v>
      </c>
      <c r="J138" s="47">
        <f t="shared" si="12"/>
        <v>147.56</v>
      </c>
      <c r="K138" s="21">
        <f t="shared" si="13"/>
        <v>217.38215123688363</v>
      </c>
    </row>
    <row r="139" spans="1:11" s="22" customFormat="1" x14ac:dyDescent="0.35">
      <c r="A139" s="19">
        <v>127</v>
      </c>
      <c r="B139" s="19" t="s">
        <v>60</v>
      </c>
      <c r="C139" s="20" t="s">
        <v>394</v>
      </c>
      <c r="D139" s="116">
        <v>492</v>
      </c>
      <c r="E139" s="405">
        <v>1.1499999999999999</v>
      </c>
      <c r="F139" s="47">
        <f t="shared" si="10"/>
        <v>565.79999999999995</v>
      </c>
      <c r="G139" s="21">
        <f t="shared" si="11"/>
        <v>115.20252254489223</v>
      </c>
      <c r="H139" s="116">
        <v>2646</v>
      </c>
      <c r="I139" s="405">
        <v>0.7</v>
      </c>
      <c r="J139" s="47">
        <f t="shared" si="12"/>
        <v>1852.1999999999998</v>
      </c>
      <c r="K139" s="21">
        <f t="shared" si="13"/>
        <v>70.123274592543098</v>
      </c>
    </row>
    <row r="140" spans="1:11" s="22" customFormat="1" x14ac:dyDescent="0.35">
      <c r="A140" s="19">
        <v>128</v>
      </c>
      <c r="B140" s="19" t="s">
        <v>61</v>
      </c>
      <c r="C140" s="20" t="s">
        <v>141</v>
      </c>
      <c r="D140" s="116">
        <v>0</v>
      </c>
      <c r="E140" s="405">
        <v>0.44</v>
      </c>
      <c r="F140" s="47">
        <f t="shared" si="10"/>
        <v>0</v>
      </c>
      <c r="G140" s="21">
        <f t="shared" si="11"/>
        <v>44.077486886741383</v>
      </c>
      <c r="H140" s="116">
        <v>0</v>
      </c>
      <c r="I140" s="405">
        <v>0.44</v>
      </c>
      <c r="J140" s="47">
        <f t="shared" si="12"/>
        <v>0</v>
      </c>
      <c r="K140" s="21">
        <f t="shared" si="13"/>
        <v>44.077486886741383</v>
      </c>
    </row>
    <row r="141" spans="1:11" s="22" customFormat="1" x14ac:dyDescent="0.35">
      <c r="A141" s="19">
        <v>129</v>
      </c>
      <c r="B141" s="19" t="s">
        <v>62</v>
      </c>
      <c r="C141" s="20" t="s">
        <v>396</v>
      </c>
      <c r="D141" s="116">
        <v>58</v>
      </c>
      <c r="E141" s="405">
        <v>0.92</v>
      </c>
      <c r="F141" s="47">
        <f t="shared" si="10"/>
        <v>53.36</v>
      </c>
      <c r="G141" s="21">
        <f t="shared" si="11"/>
        <v>92.162018035913803</v>
      </c>
      <c r="H141" s="116">
        <v>1605</v>
      </c>
      <c r="I141" s="405">
        <v>0.92</v>
      </c>
      <c r="J141" s="47">
        <f t="shared" si="12"/>
        <v>1476.6000000000001</v>
      </c>
      <c r="K141" s="21">
        <f t="shared" si="13"/>
        <v>92.162018035913803</v>
      </c>
    </row>
    <row r="142" spans="1:11" s="22" customFormat="1" x14ac:dyDescent="0.35">
      <c r="A142" s="19">
        <v>130</v>
      </c>
      <c r="B142" s="19" t="s">
        <v>63</v>
      </c>
      <c r="C142" s="20" t="s">
        <v>397</v>
      </c>
      <c r="D142" s="116">
        <v>0</v>
      </c>
      <c r="E142" s="405">
        <v>5.28</v>
      </c>
      <c r="F142" s="47">
        <f t="shared" si="10"/>
        <v>0</v>
      </c>
      <c r="G142" s="21">
        <f t="shared" si="11"/>
        <v>528.9298426408966</v>
      </c>
      <c r="H142" s="116">
        <v>0</v>
      </c>
      <c r="I142" s="405">
        <v>5.28</v>
      </c>
      <c r="J142" s="47">
        <f t="shared" si="12"/>
        <v>0</v>
      </c>
      <c r="K142" s="21">
        <f t="shared" si="13"/>
        <v>528.9298426408966</v>
      </c>
    </row>
    <row r="143" spans="1:11" s="22" customFormat="1" x14ac:dyDescent="0.35">
      <c r="A143" s="19">
        <v>131</v>
      </c>
      <c r="B143" s="19" t="s">
        <v>64</v>
      </c>
      <c r="C143" s="20" t="s">
        <v>399</v>
      </c>
      <c r="D143" s="116">
        <v>0</v>
      </c>
      <c r="E143" s="405">
        <v>0.44</v>
      </c>
      <c r="F143" s="47">
        <f t="shared" si="10"/>
        <v>0</v>
      </c>
      <c r="G143" s="21">
        <f t="shared" si="11"/>
        <v>44.077486886741383</v>
      </c>
      <c r="H143" s="116">
        <v>8</v>
      </c>
      <c r="I143" s="405">
        <v>0.44</v>
      </c>
      <c r="J143" s="47">
        <f t="shared" si="12"/>
        <v>3.52</v>
      </c>
      <c r="K143" s="21">
        <f t="shared" si="13"/>
        <v>44.077486886741383</v>
      </c>
    </row>
    <row r="144" spans="1:11" s="22" customFormat="1" x14ac:dyDescent="0.35">
      <c r="A144" s="19">
        <v>132</v>
      </c>
      <c r="B144" s="19" t="s">
        <v>65</v>
      </c>
      <c r="C144" s="20" t="s">
        <v>398</v>
      </c>
      <c r="D144" s="116">
        <v>0</v>
      </c>
      <c r="E144" s="405">
        <v>5.28</v>
      </c>
      <c r="F144" s="47">
        <f t="shared" si="10"/>
        <v>0</v>
      </c>
      <c r="G144" s="21">
        <f t="shared" si="11"/>
        <v>528.9298426408966</v>
      </c>
      <c r="H144" s="116">
        <v>0</v>
      </c>
      <c r="I144" s="405">
        <v>5.28</v>
      </c>
      <c r="J144" s="47">
        <f t="shared" si="12"/>
        <v>0</v>
      </c>
      <c r="K144" s="21">
        <f t="shared" si="13"/>
        <v>528.9298426408966</v>
      </c>
    </row>
    <row r="145" spans="1:11" s="22" customFormat="1" x14ac:dyDescent="0.35">
      <c r="A145" s="19">
        <v>133</v>
      </c>
      <c r="B145" s="19" t="s">
        <v>66</v>
      </c>
      <c r="C145" s="20" t="s">
        <v>142</v>
      </c>
      <c r="D145" s="116">
        <v>2384</v>
      </c>
      <c r="E145" s="405">
        <v>0.54</v>
      </c>
      <c r="F145" s="47">
        <f t="shared" si="10"/>
        <v>1287.3600000000001</v>
      </c>
      <c r="G145" s="21">
        <f t="shared" si="11"/>
        <v>54.095097542818969</v>
      </c>
      <c r="H145" s="116">
        <v>5757</v>
      </c>
      <c r="I145" s="405">
        <v>0.54</v>
      </c>
      <c r="J145" s="47">
        <f t="shared" si="12"/>
        <v>3108.78</v>
      </c>
      <c r="K145" s="21">
        <f t="shared" si="13"/>
        <v>54.095097542818969</v>
      </c>
    </row>
    <row r="146" spans="1:11" s="22" customFormat="1" x14ac:dyDescent="0.35">
      <c r="A146" s="19">
        <v>134</v>
      </c>
      <c r="B146" s="19" t="s">
        <v>67</v>
      </c>
      <c r="C146" s="20" t="s">
        <v>400</v>
      </c>
      <c r="D146" s="116">
        <v>6300</v>
      </c>
      <c r="E146" s="405">
        <v>1.29</v>
      </c>
      <c r="F146" s="47">
        <f t="shared" si="10"/>
        <v>8127</v>
      </c>
      <c r="G146" s="21">
        <f t="shared" si="11"/>
        <v>129.22717746340086</v>
      </c>
      <c r="H146" s="116">
        <v>1613</v>
      </c>
      <c r="I146" s="405">
        <v>1.1299999999999999</v>
      </c>
      <c r="J146" s="47">
        <f t="shared" si="12"/>
        <v>1822.6899999999998</v>
      </c>
      <c r="K146" s="21">
        <f t="shared" si="13"/>
        <v>113.19900041367671</v>
      </c>
    </row>
    <row r="147" spans="1:11" s="22" customFormat="1" x14ac:dyDescent="0.35">
      <c r="A147" s="19">
        <v>135</v>
      </c>
      <c r="B147" s="19" t="s">
        <v>68</v>
      </c>
      <c r="C147" s="20" t="s">
        <v>401</v>
      </c>
      <c r="D147" s="116">
        <v>10</v>
      </c>
      <c r="E147" s="405">
        <v>5.28</v>
      </c>
      <c r="F147" s="47">
        <f t="shared" si="10"/>
        <v>52.800000000000004</v>
      </c>
      <c r="G147" s="21">
        <f t="shared" si="11"/>
        <v>528.9298426408966</v>
      </c>
      <c r="H147" s="116">
        <v>0</v>
      </c>
      <c r="I147" s="405">
        <v>5.28</v>
      </c>
      <c r="J147" s="47">
        <f t="shared" si="12"/>
        <v>0</v>
      </c>
      <c r="K147" s="21">
        <f t="shared" si="13"/>
        <v>528.9298426408966</v>
      </c>
    </row>
    <row r="148" spans="1:11" s="22" customFormat="1" x14ac:dyDescent="0.35">
      <c r="A148" s="19">
        <v>136</v>
      </c>
      <c r="B148" s="19" t="s">
        <v>69</v>
      </c>
      <c r="C148" s="20" t="s">
        <v>402</v>
      </c>
      <c r="D148" s="116">
        <v>0</v>
      </c>
      <c r="E148" s="405">
        <v>0.14000000000000001</v>
      </c>
      <c r="F148" s="47">
        <f t="shared" si="10"/>
        <v>0</v>
      </c>
      <c r="G148" s="21">
        <f t="shared" si="11"/>
        <v>14.024654918508622</v>
      </c>
      <c r="H148" s="116">
        <v>0</v>
      </c>
      <c r="I148" s="405">
        <v>0.12</v>
      </c>
      <c r="J148" s="47">
        <f t="shared" si="12"/>
        <v>0</v>
      </c>
      <c r="K148" s="21">
        <f t="shared" si="13"/>
        <v>12.021132787293103</v>
      </c>
    </row>
    <row r="149" spans="1:11" s="22" customFormat="1" x14ac:dyDescent="0.35">
      <c r="A149" s="19">
        <v>137</v>
      </c>
      <c r="B149" s="19" t="s">
        <v>70</v>
      </c>
      <c r="C149" s="20" t="s">
        <v>403</v>
      </c>
      <c r="D149" s="116">
        <v>0</v>
      </c>
      <c r="E149" s="405">
        <v>3.08</v>
      </c>
      <c r="F149" s="47">
        <f t="shared" si="10"/>
        <v>0</v>
      </c>
      <c r="G149" s="21">
        <f t="shared" si="11"/>
        <v>308.54240820718968</v>
      </c>
      <c r="H149" s="116">
        <v>0</v>
      </c>
      <c r="I149" s="405">
        <v>2.6399999999999997</v>
      </c>
      <c r="J149" s="47">
        <f t="shared" si="12"/>
        <v>0</v>
      </c>
      <c r="K149" s="21">
        <f t="shared" si="13"/>
        <v>264.46492132044824</v>
      </c>
    </row>
    <row r="150" spans="1:11" s="22" customFormat="1" x14ac:dyDescent="0.35">
      <c r="A150" s="19">
        <v>138</v>
      </c>
      <c r="B150" s="19" t="s">
        <v>71</v>
      </c>
      <c r="C150" s="20" t="s">
        <v>404</v>
      </c>
      <c r="D150" s="116">
        <v>0</v>
      </c>
      <c r="E150" s="405">
        <v>5.28</v>
      </c>
      <c r="F150" s="47">
        <f t="shared" si="10"/>
        <v>0</v>
      </c>
      <c r="G150" s="21">
        <f t="shared" si="11"/>
        <v>528.9298426408966</v>
      </c>
      <c r="H150" s="116">
        <v>0</v>
      </c>
      <c r="I150" s="405">
        <v>5.28</v>
      </c>
      <c r="J150" s="47">
        <f t="shared" si="12"/>
        <v>0</v>
      </c>
      <c r="K150" s="21">
        <f t="shared" si="13"/>
        <v>528.9298426408966</v>
      </c>
    </row>
    <row r="151" spans="1:11" s="22" customFormat="1" x14ac:dyDescent="0.35">
      <c r="A151" s="19">
        <v>139</v>
      </c>
      <c r="B151" s="19" t="s">
        <v>789</v>
      </c>
      <c r="C151" s="20" t="s">
        <v>790</v>
      </c>
      <c r="D151" s="116">
        <v>0</v>
      </c>
      <c r="E151" s="405">
        <v>0.12</v>
      </c>
      <c r="F151" s="47">
        <f t="shared" ref="F151" si="14">D151*E151</f>
        <v>0</v>
      </c>
      <c r="G151" s="21">
        <f t="shared" ref="G151" si="15">E151*$F$12</f>
        <v>12.021132787293103</v>
      </c>
      <c r="H151" s="116">
        <v>0</v>
      </c>
      <c r="I151" s="405">
        <v>0.09</v>
      </c>
      <c r="J151" s="47">
        <f t="shared" ref="J151" si="16">H151*I151</f>
        <v>0</v>
      </c>
      <c r="K151" s="21">
        <f t="shared" ref="K151" si="17">I151*$F$12</f>
        <v>9.015849590469827</v>
      </c>
    </row>
    <row r="152" spans="1:11" s="22" customFormat="1" x14ac:dyDescent="0.35">
      <c r="A152" s="19">
        <v>140</v>
      </c>
      <c r="B152" s="19" t="s">
        <v>72</v>
      </c>
      <c r="C152" s="20" t="s">
        <v>405</v>
      </c>
      <c r="D152" s="116">
        <v>0</v>
      </c>
      <c r="E152" s="405">
        <v>1.02</v>
      </c>
      <c r="F152" s="47">
        <f t="shared" si="10"/>
        <v>0</v>
      </c>
      <c r="G152" s="21">
        <f t="shared" si="11"/>
        <v>102.17962869199138</v>
      </c>
      <c r="H152" s="116">
        <v>0</v>
      </c>
      <c r="I152" s="405">
        <v>0.94</v>
      </c>
      <c r="J152" s="47">
        <f t="shared" si="12"/>
        <v>0</v>
      </c>
      <c r="K152" s="21">
        <f t="shared" si="13"/>
        <v>94.165540167129308</v>
      </c>
    </row>
    <row r="153" spans="1:11" s="22" customFormat="1" x14ac:dyDescent="0.35">
      <c r="A153" s="19">
        <v>141</v>
      </c>
      <c r="B153" s="19" t="s">
        <v>20</v>
      </c>
      <c r="C153" s="20" t="s">
        <v>406</v>
      </c>
      <c r="D153" s="116">
        <v>0</v>
      </c>
      <c r="E153" s="405">
        <v>0</v>
      </c>
      <c r="F153" s="47">
        <f t="shared" si="10"/>
        <v>0</v>
      </c>
      <c r="G153" s="21">
        <f t="shared" si="11"/>
        <v>0</v>
      </c>
      <c r="H153" s="116">
        <v>0</v>
      </c>
      <c r="I153" s="405">
        <v>0</v>
      </c>
      <c r="J153" s="47">
        <f t="shared" si="12"/>
        <v>0</v>
      </c>
      <c r="K153" s="21">
        <f t="shared" si="13"/>
        <v>0</v>
      </c>
    </row>
    <row r="154" spans="1:11" s="22" customFormat="1" x14ac:dyDescent="0.35">
      <c r="A154" s="19">
        <v>142</v>
      </c>
      <c r="B154" s="19" t="s">
        <v>73</v>
      </c>
      <c r="C154" s="20" t="s">
        <v>143</v>
      </c>
      <c r="D154" s="116">
        <v>0</v>
      </c>
      <c r="E154" s="405">
        <v>5.17</v>
      </c>
      <c r="F154" s="47">
        <f t="shared" si="10"/>
        <v>0</v>
      </c>
      <c r="G154" s="21">
        <f t="shared" si="11"/>
        <v>517.91047091921121</v>
      </c>
      <c r="H154" s="116">
        <v>0</v>
      </c>
      <c r="I154" s="405">
        <v>4.43</v>
      </c>
      <c r="J154" s="47">
        <f t="shared" si="12"/>
        <v>0</v>
      </c>
      <c r="K154" s="21">
        <f t="shared" si="13"/>
        <v>443.78015206423703</v>
      </c>
    </row>
    <row r="155" spans="1:11" s="22" customFormat="1" x14ac:dyDescent="0.35">
      <c r="A155" s="19">
        <v>143</v>
      </c>
      <c r="B155" s="19" t="s">
        <v>74</v>
      </c>
      <c r="C155" s="20" t="s">
        <v>144</v>
      </c>
      <c r="D155" s="116">
        <v>0</v>
      </c>
      <c r="E155" s="405">
        <v>1.7</v>
      </c>
      <c r="F155" s="47">
        <f t="shared" si="10"/>
        <v>0</v>
      </c>
      <c r="G155" s="21">
        <f t="shared" si="11"/>
        <v>170.29938115331896</v>
      </c>
      <c r="H155" s="116">
        <v>0</v>
      </c>
      <c r="I155" s="405">
        <v>1.05</v>
      </c>
      <c r="J155" s="47">
        <f t="shared" si="12"/>
        <v>0</v>
      </c>
      <c r="K155" s="21">
        <f t="shared" si="13"/>
        <v>105.18491188881467</v>
      </c>
    </row>
    <row r="156" spans="1:11" s="22" customFormat="1" x14ac:dyDescent="0.35">
      <c r="A156" s="19">
        <v>144</v>
      </c>
      <c r="B156" s="19" t="s">
        <v>26</v>
      </c>
      <c r="C156" s="20" t="s">
        <v>143</v>
      </c>
      <c r="D156" s="116">
        <v>0</v>
      </c>
      <c r="E156" s="405">
        <v>0</v>
      </c>
      <c r="F156" s="47">
        <f t="shared" si="10"/>
        <v>0</v>
      </c>
      <c r="G156" s="21">
        <f t="shared" si="11"/>
        <v>0</v>
      </c>
      <c r="H156" s="116">
        <v>0</v>
      </c>
      <c r="I156" s="405">
        <v>0</v>
      </c>
      <c r="J156" s="47">
        <f t="shared" si="12"/>
        <v>0</v>
      </c>
      <c r="K156" s="21">
        <f t="shared" si="13"/>
        <v>0</v>
      </c>
    </row>
    <row r="157" spans="1:11" s="22" customFormat="1" x14ac:dyDescent="0.35">
      <c r="A157" s="19">
        <v>145</v>
      </c>
      <c r="B157" s="19" t="s">
        <v>75</v>
      </c>
      <c r="C157" s="20" t="s">
        <v>145</v>
      </c>
      <c r="D157" s="116">
        <v>0</v>
      </c>
      <c r="E157" s="405">
        <v>1.35</v>
      </c>
      <c r="F157" s="47">
        <f t="shared" si="10"/>
        <v>0</v>
      </c>
      <c r="G157" s="21">
        <f t="shared" si="11"/>
        <v>135.23774385704743</v>
      </c>
      <c r="H157" s="116">
        <v>0</v>
      </c>
      <c r="I157" s="405">
        <v>1.35</v>
      </c>
      <c r="J157" s="47">
        <f t="shared" si="12"/>
        <v>0</v>
      </c>
      <c r="K157" s="21">
        <f t="shared" si="13"/>
        <v>135.23774385704743</v>
      </c>
    </row>
    <row r="158" spans="1:11" s="22" customFormat="1" x14ac:dyDescent="0.35">
      <c r="A158" s="19">
        <v>146</v>
      </c>
      <c r="B158" s="19" t="s">
        <v>76</v>
      </c>
      <c r="C158" s="20" t="s">
        <v>146</v>
      </c>
      <c r="D158" s="116">
        <v>0</v>
      </c>
      <c r="E158" s="405">
        <v>2.56</v>
      </c>
      <c r="F158" s="47">
        <f t="shared" si="10"/>
        <v>0</v>
      </c>
      <c r="G158" s="21">
        <f t="shared" si="11"/>
        <v>256.45083279558622</v>
      </c>
      <c r="H158" s="116">
        <v>0</v>
      </c>
      <c r="I158" s="405">
        <v>2.14</v>
      </c>
      <c r="J158" s="47">
        <f t="shared" si="12"/>
        <v>0</v>
      </c>
      <c r="K158" s="21">
        <f t="shared" si="13"/>
        <v>214.37686804006037</v>
      </c>
    </row>
    <row r="159" spans="1:11" s="22" customFormat="1" x14ac:dyDescent="0.35">
      <c r="A159" s="19">
        <v>147</v>
      </c>
      <c r="B159" s="19" t="s">
        <v>77</v>
      </c>
      <c r="C159" s="20" t="s">
        <v>407</v>
      </c>
      <c r="D159" s="116">
        <v>0</v>
      </c>
      <c r="E159" s="405">
        <v>1.6</v>
      </c>
      <c r="F159" s="47">
        <f t="shared" si="10"/>
        <v>0</v>
      </c>
      <c r="G159" s="21">
        <f t="shared" si="11"/>
        <v>160.28177049724138</v>
      </c>
      <c r="H159" s="116">
        <v>0</v>
      </c>
      <c r="I159" s="405">
        <v>1.6</v>
      </c>
      <c r="J159" s="47">
        <f t="shared" si="12"/>
        <v>0</v>
      </c>
      <c r="K159" s="21">
        <f t="shared" si="13"/>
        <v>160.28177049724138</v>
      </c>
    </row>
    <row r="160" spans="1:11" s="22" customFormat="1" x14ac:dyDescent="0.35">
      <c r="A160" s="19">
        <v>148</v>
      </c>
      <c r="B160" s="19" t="s">
        <v>78</v>
      </c>
      <c r="C160" s="20" t="s">
        <v>408</v>
      </c>
      <c r="D160" s="116">
        <v>0</v>
      </c>
      <c r="E160" s="405">
        <v>2.64</v>
      </c>
      <c r="F160" s="47">
        <f t="shared" si="10"/>
        <v>0</v>
      </c>
      <c r="G160" s="21">
        <f t="shared" si="11"/>
        <v>264.4649213204483</v>
      </c>
      <c r="H160" s="116">
        <v>0</v>
      </c>
      <c r="I160" s="405">
        <v>2.64</v>
      </c>
      <c r="J160" s="47">
        <f t="shared" si="12"/>
        <v>0</v>
      </c>
      <c r="K160" s="21">
        <f t="shared" si="13"/>
        <v>264.4649213204483</v>
      </c>
    </row>
    <row r="161" spans="1:11" s="22" customFormat="1" x14ac:dyDescent="0.35">
      <c r="A161" s="19">
        <v>149</v>
      </c>
      <c r="B161" s="19" t="s">
        <v>79</v>
      </c>
      <c r="C161" s="20" t="s">
        <v>409</v>
      </c>
      <c r="D161" s="116">
        <v>1408</v>
      </c>
      <c r="E161" s="405">
        <v>1.24</v>
      </c>
      <c r="F161" s="47">
        <f t="shared" si="10"/>
        <v>1745.92</v>
      </c>
      <c r="G161" s="21">
        <f t="shared" si="11"/>
        <v>124.21837213536207</v>
      </c>
      <c r="H161" s="116">
        <v>2985</v>
      </c>
      <c r="I161" s="405">
        <v>1.24</v>
      </c>
      <c r="J161" s="47">
        <f t="shared" si="12"/>
        <v>3701.4</v>
      </c>
      <c r="K161" s="21">
        <f t="shared" si="13"/>
        <v>124.21837213536207</v>
      </c>
    </row>
    <row r="162" spans="1:11" s="22" customFormat="1" x14ac:dyDescent="0.35">
      <c r="A162" s="19">
        <v>150</v>
      </c>
      <c r="B162" s="19" t="s">
        <v>80</v>
      </c>
      <c r="C162" s="20" t="s">
        <v>410</v>
      </c>
      <c r="D162" s="116">
        <v>0</v>
      </c>
      <c r="E162" s="405">
        <v>0.83</v>
      </c>
      <c r="F162" s="47">
        <f t="shared" si="10"/>
        <v>0</v>
      </c>
      <c r="G162" s="21">
        <f t="shared" si="11"/>
        <v>83.146168445443962</v>
      </c>
      <c r="H162" s="116">
        <v>0</v>
      </c>
      <c r="I162" s="405">
        <v>0.72</v>
      </c>
      <c r="J162" s="47">
        <f t="shared" si="12"/>
        <v>0</v>
      </c>
      <c r="K162" s="21">
        <f t="shared" si="13"/>
        <v>72.126796723758616</v>
      </c>
    </row>
    <row r="163" spans="1:11" s="22" customFormat="1" x14ac:dyDescent="0.35">
      <c r="A163" s="19">
        <v>151</v>
      </c>
      <c r="B163" s="19" t="s">
        <v>81</v>
      </c>
      <c r="C163" s="20" t="s">
        <v>411</v>
      </c>
      <c r="D163" s="116">
        <v>7046</v>
      </c>
      <c r="E163" s="405">
        <v>0.92</v>
      </c>
      <c r="F163" s="47">
        <f t="shared" si="10"/>
        <v>6482.3200000000006</v>
      </c>
      <c r="G163" s="21">
        <f t="shared" si="11"/>
        <v>92.162018035913803</v>
      </c>
      <c r="H163" s="116">
        <v>42003</v>
      </c>
      <c r="I163" s="405">
        <v>0.92</v>
      </c>
      <c r="J163" s="47">
        <f t="shared" si="12"/>
        <v>38642.76</v>
      </c>
      <c r="K163" s="21">
        <f t="shared" si="13"/>
        <v>92.162018035913803</v>
      </c>
    </row>
    <row r="164" spans="1:11" s="22" customFormat="1" x14ac:dyDescent="0.35">
      <c r="A164" s="19">
        <v>152</v>
      </c>
      <c r="B164" s="19" t="s">
        <v>82</v>
      </c>
      <c r="C164" s="20" t="s">
        <v>412</v>
      </c>
      <c r="D164" s="116">
        <v>0</v>
      </c>
      <c r="E164" s="405">
        <v>0.14000000000000001</v>
      </c>
      <c r="F164" s="47">
        <f t="shared" si="10"/>
        <v>0</v>
      </c>
      <c r="G164" s="21">
        <f t="shared" si="11"/>
        <v>14.024654918508622</v>
      </c>
      <c r="H164" s="116">
        <v>0</v>
      </c>
      <c r="I164" s="405">
        <v>0.12</v>
      </c>
      <c r="J164" s="47">
        <f t="shared" si="12"/>
        <v>0</v>
      </c>
      <c r="K164" s="21">
        <f t="shared" si="13"/>
        <v>12.021132787293103</v>
      </c>
    </row>
    <row r="165" spans="1:11" s="22" customFormat="1" x14ac:dyDescent="0.35">
      <c r="A165" s="19">
        <v>153</v>
      </c>
      <c r="B165" s="19" t="s">
        <v>83</v>
      </c>
      <c r="C165" s="20" t="s">
        <v>417</v>
      </c>
      <c r="D165" s="116">
        <v>0</v>
      </c>
      <c r="E165" s="405">
        <v>3.3600000000000003</v>
      </c>
      <c r="F165" s="47">
        <f t="shared" si="10"/>
        <v>0</v>
      </c>
      <c r="G165" s="21">
        <f t="shared" si="11"/>
        <v>336.59171804420691</v>
      </c>
      <c r="H165" s="116">
        <v>0</v>
      </c>
      <c r="I165" s="405">
        <v>2.88</v>
      </c>
      <c r="J165" s="47">
        <f t="shared" si="12"/>
        <v>0</v>
      </c>
      <c r="K165" s="21">
        <f t="shared" si="13"/>
        <v>288.50718689503447</v>
      </c>
    </row>
    <row r="166" spans="1:11" s="22" customFormat="1" x14ac:dyDescent="0.35">
      <c r="A166" s="19">
        <v>154</v>
      </c>
      <c r="B166" s="19" t="s">
        <v>84</v>
      </c>
      <c r="C166" s="20" t="s">
        <v>415</v>
      </c>
      <c r="D166" s="116">
        <v>0</v>
      </c>
      <c r="E166" s="405">
        <v>0.44</v>
      </c>
      <c r="F166" s="47">
        <f t="shared" si="10"/>
        <v>0</v>
      </c>
      <c r="G166" s="21">
        <f t="shared" si="11"/>
        <v>44.077486886741383</v>
      </c>
      <c r="H166" s="116">
        <v>1468</v>
      </c>
      <c r="I166" s="405">
        <v>0.44</v>
      </c>
      <c r="J166" s="47">
        <f t="shared" si="12"/>
        <v>645.91999999999996</v>
      </c>
      <c r="K166" s="21">
        <f t="shared" si="13"/>
        <v>44.077486886741383</v>
      </c>
    </row>
    <row r="167" spans="1:11" s="22" customFormat="1" x14ac:dyDescent="0.35">
      <c r="A167" s="19">
        <v>155</v>
      </c>
      <c r="B167" s="19" t="s">
        <v>85</v>
      </c>
      <c r="C167" s="20" t="s">
        <v>416</v>
      </c>
      <c r="D167" s="116">
        <v>0</v>
      </c>
      <c r="E167" s="405">
        <v>5.28</v>
      </c>
      <c r="F167" s="47">
        <f t="shared" si="10"/>
        <v>0</v>
      </c>
      <c r="G167" s="21">
        <f t="shared" si="11"/>
        <v>528.9298426408966</v>
      </c>
      <c r="H167" s="116">
        <v>0</v>
      </c>
      <c r="I167" s="405">
        <v>5.28</v>
      </c>
      <c r="J167" s="47">
        <f t="shared" si="12"/>
        <v>0</v>
      </c>
      <c r="K167" s="21">
        <f t="shared" si="13"/>
        <v>528.9298426408966</v>
      </c>
    </row>
    <row r="168" spans="1:11" s="22" customFormat="1" x14ac:dyDescent="0.35">
      <c r="A168" s="19">
        <v>156</v>
      </c>
      <c r="B168" s="19" t="s">
        <v>86</v>
      </c>
      <c r="C168" s="20" t="s">
        <v>414</v>
      </c>
      <c r="D168" s="116">
        <v>0</v>
      </c>
      <c r="E168" s="405">
        <v>0.44</v>
      </c>
      <c r="F168" s="47">
        <f t="shared" si="10"/>
        <v>0</v>
      </c>
      <c r="G168" s="21">
        <f t="shared" si="11"/>
        <v>44.077486886741383</v>
      </c>
      <c r="H168" s="116">
        <v>0</v>
      </c>
      <c r="I168" s="405">
        <v>0.44</v>
      </c>
      <c r="J168" s="47">
        <f t="shared" si="12"/>
        <v>0</v>
      </c>
      <c r="K168" s="21">
        <f t="shared" si="13"/>
        <v>44.077486886741383</v>
      </c>
    </row>
    <row r="169" spans="1:11" s="22" customFormat="1" x14ac:dyDescent="0.35">
      <c r="A169" s="19">
        <v>157</v>
      </c>
      <c r="B169" s="19" t="s">
        <v>87</v>
      </c>
      <c r="C169" s="20" t="s">
        <v>413</v>
      </c>
      <c r="D169" s="116">
        <v>0</v>
      </c>
      <c r="E169" s="405">
        <v>5.28</v>
      </c>
      <c r="F169" s="47">
        <f t="shared" si="10"/>
        <v>0</v>
      </c>
      <c r="G169" s="21">
        <f t="shared" si="11"/>
        <v>528.9298426408966</v>
      </c>
      <c r="H169" s="116">
        <v>0</v>
      </c>
      <c r="I169" s="405">
        <v>5.28</v>
      </c>
      <c r="J169" s="47">
        <f t="shared" si="12"/>
        <v>0</v>
      </c>
      <c r="K169" s="21">
        <f t="shared" si="13"/>
        <v>528.9298426408966</v>
      </c>
    </row>
    <row r="170" spans="1:11" s="22" customFormat="1" x14ac:dyDescent="0.35">
      <c r="A170" s="19">
        <v>158</v>
      </c>
      <c r="B170" s="19" t="s">
        <v>88</v>
      </c>
      <c r="C170" s="20" t="s">
        <v>418</v>
      </c>
      <c r="D170" s="116">
        <v>56</v>
      </c>
      <c r="E170" s="405">
        <v>0.14000000000000001</v>
      </c>
      <c r="F170" s="47">
        <f t="shared" si="10"/>
        <v>7.8400000000000007</v>
      </c>
      <c r="G170" s="21">
        <f t="shared" si="11"/>
        <v>14.024654918508622</v>
      </c>
      <c r="H170" s="116">
        <v>28</v>
      </c>
      <c r="I170" s="405">
        <v>0.12</v>
      </c>
      <c r="J170" s="47">
        <f t="shared" si="12"/>
        <v>3.36</v>
      </c>
      <c r="K170" s="21">
        <f t="shared" si="13"/>
        <v>12.021132787293103</v>
      </c>
    </row>
    <row r="171" spans="1:11" s="22" customFormat="1" x14ac:dyDescent="0.35">
      <c r="A171" s="19">
        <v>159</v>
      </c>
      <c r="B171" s="19" t="s">
        <v>89</v>
      </c>
      <c r="C171" s="20" t="s">
        <v>419</v>
      </c>
      <c r="D171" s="116">
        <v>0</v>
      </c>
      <c r="E171" s="405">
        <v>3.3600000000000003</v>
      </c>
      <c r="F171" s="47">
        <f t="shared" si="10"/>
        <v>0</v>
      </c>
      <c r="G171" s="21">
        <f t="shared" si="11"/>
        <v>336.59171804420691</v>
      </c>
      <c r="H171" s="116">
        <v>0</v>
      </c>
      <c r="I171" s="405">
        <v>2.88</v>
      </c>
      <c r="J171" s="47">
        <f t="shared" si="12"/>
        <v>0</v>
      </c>
      <c r="K171" s="21">
        <f t="shared" si="13"/>
        <v>288.50718689503447</v>
      </c>
    </row>
    <row r="172" spans="1:11" s="22" customFormat="1" x14ac:dyDescent="0.35">
      <c r="A172" s="19">
        <v>160</v>
      </c>
      <c r="B172" s="19" t="s">
        <v>90</v>
      </c>
      <c r="C172" s="20" t="s">
        <v>420</v>
      </c>
      <c r="D172" s="116">
        <v>0</v>
      </c>
      <c r="E172" s="405">
        <v>0.14000000000000001</v>
      </c>
      <c r="F172" s="47">
        <f t="shared" si="10"/>
        <v>0</v>
      </c>
      <c r="G172" s="21">
        <f t="shared" si="11"/>
        <v>14.024654918508622</v>
      </c>
      <c r="H172" s="116">
        <v>0</v>
      </c>
      <c r="I172" s="405">
        <v>0.12</v>
      </c>
      <c r="J172" s="47">
        <f t="shared" si="12"/>
        <v>0</v>
      </c>
      <c r="K172" s="21">
        <f t="shared" si="13"/>
        <v>12.021132787293103</v>
      </c>
    </row>
    <row r="173" spans="1:11" s="22" customFormat="1" x14ac:dyDescent="0.35">
      <c r="A173" s="19">
        <v>161</v>
      </c>
      <c r="B173" s="19" t="s">
        <v>91</v>
      </c>
      <c r="C173" s="20" t="s">
        <v>421</v>
      </c>
      <c r="D173" s="116">
        <v>0</v>
      </c>
      <c r="E173" s="405">
        <v>3.3600000000000003</v>
      </c>
      <c r="F173" s="47">
        <f t="shared" si="10"/>
        <v>0</v>
      </c>
      <c r="G173" s="21">
        <f t="shared" si="11"/>
        <v>336.59171804420691</v>
      </c>
      <c r="H173" s="116">
        <v>0</v>
      </c>
      <c r="I173" s="405">
        <v>2.88</v>
      </c>
      <c r="J173" s="47">
        <f t="shared" si="12"/>
        <v>0</v>
      </c>
      <c r="K173" s="21">
        <f t="shared" si="13"/>
        <v>288.50718689503447</v>
      </c>
    </row>
    <row r="174" spans="1:11" s="22" customFormat="1" x14ac:dyDescent="0.35">
      <c r="A174" s="19">
        <v>162</v>
      </c>
      <c r="B174" s="19" t="s">
        <v>92</v>
      </c>
      <c r="C174" s="20" t="s">
        <v>422</v>
      </c>
      <c r="D174" s="116">
        <v>0</v>
      </c>
      <c r="E174" s="405">
        <v>0.14000000000000001</v>
      </c>
      <c r="F174" s="47">
        <f t="shared" si="10"/>
        <v>0</v>
      </c>
      <c r="G174" s="21">
        <f t="shared" si="11"/>
        <v>14.024654918508622</v>
      </c>
      <c r="H174" s="116">
        <v>1</v>
      </c>
      <c r="I174" s="405">
        <v>0.12</v>
      </c>
      <c r="J174" s="47">
        <f t="shared" si="12"/>
        <v>0.12</v>
      </c>
      <c r="K174" s="21">
        <f t="shared" si="13"/>
        <v>12.021132787293103</v>
      </c>
    </row>
    <row r="175" spans="1:11" s="22" customFormat="1" x14ac:dyDescent="0.35">
      <c r="A175" s="19">
        <v>163</v>
      </c>
      <c r="B175" s="19" t="s">
        <v>93</v>
      </c>
      <c r="C175" s="20" t="s">
        <v>423</v>
      </c>
      <c r="D175" s="116">
        <v>0</v>
      </c>
      <c r="E175" s="405">
        <v>0.14000000000000001</v>
      </c>
      <c r="F175" s="47">
        <f t="shared" si="10"/>
        <v>0</v>
      </c>
      <c r="G175" s="21">
        <f t="shared" si="11"/>
        <v>14.024654918508622</v>
      </c>
      <c r="H175" s="116">
        <v>0</v>
      </c>
      <c r="I175" s="405">
        <v>0.12</v>
      </c>
      <c r="J175" s="47">
        <f t="shared" si="12"/>
        <v>0</v>
      </c>
      <c r="K175" s="21">
        <f t="shared" si="13"/>
        <v>12.021132787293103</v>
      </c>
    </row>
    <row r="176" spans="1:11" s="22" customFormat="1" x14ac:dyDescent="0.35">
      <c r="A176" s="19">
        <v>164</v>
      </c>
      <c r="B176" s="19" t="s">
        <v>94</v>
      </c>
      <c r="C176" s="20" t="s">
        <v>424</v>
      </c>
      <c r="D176" s="116">
        <v>0</v>
      </c>
      <c r="E176" s="405">
        <v>3.3600000000000003</v>
      </c>
      <c r="F176" s="47">
        <f t="shared" si="10"/>
        <v>0</v>
      </c>
      <c r="G176" s="21">
        <f t="shared" si="11"/>
        <v>336.59171804420691</v>
      </c>
      <c r="H176" s="116">
        <v>0</v>
      </c>
      <c r="I176" s="405">
        <v>2.88</v>
      </c>
      <c r="J176" s="47">
        <f t="shared" si="12"/>
        <v>0</v>
      </c>
      <c r="K176" s="21">
        <f t="shared" si="13"/>
        <v>288.50718689503447</v>
      </c>
    </row>
    <row r="177" spans="1:11" s="22" customFormat="1" x14ac:dyDescent="0.35">
      <c r="A177" s="19">
        <v>165</v>
      </c>
      <c r="B177" s="19" t="s">
        <v>95</v>
      </c>
      <c r="C177" s="20" t="s">
        <v>425</v>
      </c>
      <c r="D177" s="116">
        <v>0</v>
      </c>
      <c r="E177" s="405">
        <v>0.14000000000000001</v>
      </c>
      <c r="F177" s="47">
        <f t="shared" si="10"/>
        <v>0</v>
      </c>
      <c r="G177" s="21">
        <f t="shared" si="11"/>
        <v>14.024654918508622</v>
      </c>
      <c r="H177" s="116">
        <v>0</v>
      </c>
      <c r="I177" s="405">
        <v>0.12</v>
      </c>
      <c r="J177" s="47">
        <f t="shared" si="12"/>
        <v>0</v>
      </c>
      <c r="K177" s="21">
        <f t="shared" si="13"/>
        <v>12.021132787293103</v>
      </c>
    </row>
    <row r="178" spans="1:11" s="22" customFormat="1" x14ac:dyDescent="0.35">
      <c r="A178" s="19">
        <v>166</v>
      </c>
      <c r="B178" s="19" t="s">
        <v>96</v>
      </c>
      <c r="C178" s="20" t="s">
        <v>426</v>
      </c>
      <c r="D178" s="116">
        <v>0</v>
      </c>
      <c r="E178" s="405">
        <v>1.29</v>
      </c>
      <c r="F178" s="47">
        <f t="shared" si="10"/>
        <v>0</v>
      </c>
      <c r="G178" s="21">
        <f t="shared" si="11"/>
        <v>129.22717746340086</v>
      </c>
      <c r="H178" s="116">
        <v>0</v>
      </c>
      <c r="I178" s="405">
        <v>1.1299999999999999</v>
      </c>
      <c r="J178" s="47">
        <f t="shared" si="12"/>
        <v>0</v>
      </c>
      <c r="K178" s="21">
        <f t="shared" si="13"/>
        <v>113.19900041367671</v>
      </c>
    </row>
    <row r="179" spans="1:11" s="22" customFormat="1" x14ac:dyDescent="0.35">
      <c r="A179" s="19">
        <v>167</v>
      </c>
      <c r="B179" s="19" t="s">
        <v>35</v>
      </c>
      <c r="C179" s="20" t="s">
        <v>37</v>
      </c>
      <c r="D179" s="116">
        <v>0</v>
      </c>
      <c r="E179" s="405">
        <v>0</v>
      </c>
      <c r="F179" s="47">
        <f t="shared" si="10"/>
        <v>0</v>
      </c>
      <c r="G179" s="21">
        <f t="shared" si="11"/>
        <v>0</v>
      </c>
      <c r="H179" s="116">
        <v>0</v>
      </c>
      <c r="I179" s="405">
        <v>0</v>
      </c>
      <c r="J179" s="47">
        <f t="shared" si="12"/>
        <v>0</v>
      </c>
      <c r="K179" s="21">
        <f t="shared" si="13"/>
        <v>0</v>
      </c>
    </row>
    <row r="180" spans="1:11" s="22" customFormat="1" x14ac:dyDescent="0.35">
      <c r="A180" s="19">
        <v>168</v>
      </c>
      <c r="B180" s="19" t="s">
        <v>97</v>
      </c>
      <c r="C180" s="20" t="s">
        <v>427</v>
      </c>
      <c r="D180" s="116">
        <v>0</v>
      </c>
      <c r="E180" s="405">
        <v>0</v>
      </c>
      <c r="F180" s="47">
        <f t="shared" si="10"/>
        <v>0</v>
      </c>
      <c r="G180" s="21">
        <f t="shared" si="11"/>
        <v>0</v>
      </c>
      <c r="H180" s="116">
        <v>0</v>
      </c>
      <c r="I180" s="405">
        <v>0</v>
      </c>
      <c r="J180" s="47">
        <f t="shared" si="12"/>
        <v>0</v>
      </c>
      <c r="K180" s="21">
        <f t="shared" si="13"/>
        <v>0</v>
      </c>
    </row>
    <row r="181" spans="1:11" s="22" customFormat="1" x14ac:dyDescent="0.35">
      <c r="A181" s="19">
        <v>169</v>
      </c>
      <c r="B181" s="19" t="s">
        <v>98</v>
      </c>
      <c r="C181" s="20" t="s">
        <v>428</v>
      </c>
      <c r="D181" s="116">
        <v>0</v>
      </c>
      <c r="E181" s="405">
        <v>0.22</v>
      </c>
      <c r="F181" s="47">
        <f t="shared" si="10"/>
        <v>0</v>
      </c>
      <c r="G181" s="21">
        <f t="shared" si="11"/>
        <v>22.038743443370691</v>
      </c>
      <c r="H181" s="116">
        <v>0</v>
      </c>
      <c r="I181" s="405">
        <v>0.22</v>
      </c>
      <c r="J181" s="47">
        <f t="shared" si="12"/>
        <v>0</v>
      </c>
      <c r="K181" s="21">
        <f t="shared" si="13"/>
        <v>22.038743443370691</v>
      </c>
    </row>
    <row r="182" spans="1:11" s="22" customFormat="1" x14ac:dyDescent="0.35">
      <c r="A182" s="19">
        <v>170</v>
      </c>
      <c r="B182" s="19" t="s">
        <v>99</v>
      </c>
      <c r="C182" s="20" t="s">
        <v>429</v>
      </c>
      <c r="D182" s="116">
        <v>0</v>
      </c>
      <c r="E182" s="405">
        <v>4.4000000000000004</v>
      </c>
      <c r="F182" s="47">
        <f t="shared" si="10"/>
        <v>0</v>
      </c>
      <c r="G182" s="21">
        <f t="shared" si="11"/>
        <v>440.77486886741383</v>
      </c>
      <c r="H182" s="116">
        <v>0</v>
      </c>
      <c r="I182" s="405">
        <v>4.4000000000000004</v>
      </c>
      <c r="J182" s="47">
        <f t="shared" si="12"/>
        <v>0</v>
      </c>
      <c r="K182" s="21">
        <f t="shared" si="13"/>
        <v>440.77486886741383</v>
      </c>
    </row>
    <row r="183" spans="1:11" s="22" customFormat="1" x14ac:dyDescent="0.35">
      <c r="A183" s="19">
        <v>171</v>
      </c>
      <c r="B183" s="19" t="s">
        <v>100</v>
      </c>
      <c r="C183" s="20" t="s">
        <v>147</v>
      </c>
      <c r="D183" s="116">
        <v>0</v>
      </c>
      <c r="E183" s="405">
        <v>1.02</v>
      </c>
      <c r="F183" s="47">
        <f t="shared" si="10"/>
        <v>0</v>
      </c>
      <c r="G183" s="21">
        <f t="shared" si="11"/>
        <v>102.17962869199138</v>
      </c>
      <c r="H183" s="116">
        <v>0</v>
      </c>
      <c r="I183" s="405">
        <v>0.94</v>
      </c>
      <c r="J183" s="47">
        <f t="shared" si="12"/>
        <v>0</v>
      </c>
      <c r="K183" s="21">
        <f t="shared" si="13"/>
        <v>94.165540167129308</v>
      </c>
    </row>
    <row r="184" spans="1:11" s="22" customFormat="1" x14ac:dyDescent="0.35">
      <c r="A184" s="19">
        <v>172</v>
      </c>
      <c r="B184" s="19" t="s">
        <v>101</v>
      </c>
      <c r="C184" s="20" t="s">
        <v>148</v>
      </c>
      <c r="D184" s="116">
        <v>0</v>
      </c>
      <c r="E184" s="405">
        <v>0.75</v>
      </c>
      <c r="F184" s="47">
        <f t="shared" si="10"/>
        <v>0</v>
      </c>
      <c r="G184" s="21">
        <f t="shared" si="11"/>
        <v>75.132079920581901</v>
      </c>
      <c r="H184" s="116">
        <v>0</v>
      </c>
      <c r="I184" s="405">
        <v>0.37</v>
      </c>
      <c r="J184" s="47">
        <f t="shared" si="12"/>
        <v>0</v>
      </c>
      <c r="K184" s="21">
        <f t="shared" si="13"/>
        <v>37.065159427487067</v>
      </c>
    </row>
    <row r="185" spans="1:11" s="22" customFormat="1" x14ac:dyDescent="0.35">
      <c r="A185" s="19">
        <v>173</v>
      </c>
      <c r="B185" s="19" t="s">
        <v>102</v>
      </c>
      <c r="C185" s="20" t="s">
        <v>430</v>
      </c>
      <c r="D185" s="116">
        <v>0</v>
      </c>
      <c r="E185" s="405">
        <v>0.75</v>
      </c>
      <c r="F185" s="47">
        <f t="shared" si="10"/>
        <v>0</v>
      </c>
      <c r="G185" s="21">
        <f t="shared" si="11"/>
        <v>75.132079920581901</v>
      </c>
      <c r="H185" s="116">
        <v>0</v>
      </c>
      <c r="I185" s="405">
        <v>0.37</v>
      </c>
      <c r="J185" s="47">
        <f t="shared" si="12"/>
        <v>0</v>
      </c>
      <c r="K185" s="21">
        <f t="shared" si="13"/>
        <v>37.065159427487067</v>
      </c>
    </row>
    <row r="186" spans="1:11" s="22" customFormat="1" x14ac:dyDescent="0.35">
      <c r="A186" s="19">
        <v>174</v>
      </c>
      <c r="B186" s="19" t="s">
        <v>103</v>
      </c>
      <c r="C186" s="20" t="s">
        <v>431</v>
      </c>
      <c r="D186" s="116">
        <v>0</v>
      </c>
      <c r="E186" s="405">
        <v>3.96</v>
      </c>
      <c r="F186" s="47">
        <f t="shared" si="10"/>
        <v>0</v>
      </c>
      <c r="G186" s="21">
        <f t="shared" si="11"/>
        <v>396.69738198067239</v>
      </c>
      <c r="H186" s="116">
        <v>2200</v>
      </c>
      <c r="I186" s="405">
        <v>3.96</v>
      </c>
      <c r="J186" s="47">
        <f t="shared" si="12"/>
        <v>8712</v>
      </c>
      <c r="K186" s="21">
        <f t="shared" si="13"/>
        <v>396.69738198067239</v>
      </c>
    </row>
    <row r="187" spans="1:11" s="22" customFormat="1" x14ac:dyDescent="0.35">
      <c r="A187" s="19">
        <v>175</v>
      </c>
      <c r="B187" s="19" t="s">
        <v>104</v>
      </c>
      <c r="C187" s="20" t="s">
        <v>432</v>
      </c>
      <c r="D187" s="116">
        <v>0</v>
      </c>
      <c r="E187" s="405">
        <v>3.59</v>
      </c>
      <c r="F187" s="47">
        <f t="shared" si="10"/>
        <v>0</v>
      </c>
      <c r="G187" s="21">
        <f t="shared" ref="G187:G196" si="18">E187*$F$12</f>
        <v>359.63222255318533</v>
      </c>
      <c r="H187" s="116">
        <v>0</v>
      </c>
      <c r="I187" s="405">
        <v>3.59</v>
      </c>
      <c r="J187" s="47">
        <f t="shared" si="12"/>
        <v>0</v>
      </c>
      <c r="K187" s="21">
        <f t="shared" ref="K187:K196" si="19">I187*$F$12</f>
        <v>359.63222255318533</v>
      </c>
    </row>
    <row r="188" spans="1:11" s="22" customFormat="1" x14ac:dyDescent="0.35">
      <c r="A188" s="19">
        <v>176</v>
      </c>
      <c r="B188" s="19" t="s">
        <v>36</v>
      </c>
      <c r="C188" s="20" t="s">
        <v>38</v>
      </c>
      <c r="D188" s="116">
        <v>0</v>
      </c>
      <c r="E188" s="405">
        <v>0</v>
      </c>
      <c r="F188" s="47">
        <f t="shared" ref="F188:F196" si="20">D188*E188</f>
        <v>0</v>
      </c>
      <c r="G188" s="21">
        <f t="shared" si="18"/>
        <v>0</v>
      </c>
      <c r="H188" s="116">
        <v>0</v>
      </c>
      <c r="I188" s="405">
        <v>0</v>
      </c>
      <c r="J188" s="47">
        <f t="shared" ref="J188:J196" si="21">H188*I188</f>
        <v>0</v>
      </c>
      <c r="K188" s="21">
        <f t="shared" si="19"/>
        <v>0</v>
      </c>
    </row>
    <row r="189" spans="1:11" s="22" customFormat="1" x14ac:dyDescent="0.35">
      <c r="A189" s="19">
        <v>177</v>
      </c>
      <c r="B189" s="19" t="s">
        <v>105</v>
      </c>
      <c r="C189" s="20" t="s">
        <v>433</v>
      </c>
      <c r="D189" s="116">
        <v>0</v>
      </c>
      <c r="E189" s="405">
        <v>0.28999999999999998</v>
      </c>
      <c r="F189" s="47">
        <f t="shared" si="20"/>
        <v>0</v>
      </c>
      <c r="G189" s="21">
        <f t="shared" si="18"/>
        <v>29.051070902625</v>
      </c>
      <c r="H189" s="116">
        <v>0</v>
      </c>
      <c r="I189" s="405">
        <v>0.28999999999999998</v>
      </c>
      <c r="J189" s="47">
        <f t="shared" si="21"/>
        <v>0</v>
      </c>
      <c r="K189" s="21">
        <f t="shared" si="19"/>
        <v>29.051070902625</v>
      </c>
    </row>
    <row r="190" spans="1:11" s="22" customFormat="1" x14ac:dyDescent="0.35">
      <c r="A190" s="19">
        <v>178</v>
      </c>
      <c r="B190" s="19" t="s">
        <v>106</v>
      </c>
      <c r="C190" s="20" t="s">
        <v>149</v>
      </c>
      <c r="D190" s="116">
        <v>0</v>
      </c>
      <c r="E190" s="405">
        <v>3.07</v>
      </c>
      <c r="F190" s="47">
        <f t="shared" si="20"/>
        <v>0</v>
      </c>
      <c r="G190" s="21">
        <f t="shared" si="18"/>
        <v>307.54064714158187</v>
      </c>
      <c r="H190" s="116">
        <v>0</v>
      </c>
      <c r="I190" s="405">
        <v>3.05</v>
      </c>
      <c r="J190" s="47">
        <f t="shared" si="21"/>
        <v>0</v>
      </c>
      <c r="K190" s="21">
        <f t="shared" si="19"/>
        <v>305.53712501036637</v>
      </c>
    </row>
    <row r="191" spans="1:11" s="22" customFormat="1" ht="29" x14ac:dyDescent="0.35">
      <c r="A191" s="19">
        <v>179</v>
      </c>
      <c r="B191" s="19" t="s">
        <v>27</v>
      </c>
      <c r="C191" s="20" t="s">
        <v>30</v>
      </c>
      <c r="D191" s="116">
        <v>0</v>
      </c>
      <c r="E191" s="405">
        <v>0</v>
      </c>
      <c r="F191" s="47">
        <f t="shared" si="20"/>
        <v>0</v>
      </c>
      <c r="G191" s="21">
        <f t="shared" si="18"/>
        <v>0</v>
      </c>
      <c r="H191" s="116">
        <v>0</v>
      </c>
      <c r="I191" s="405">
        <v>0</v>
      </c>
      <c r="J191" s="47">
        <f t="shared" si="21"/>
        <v>0</v>
      </c>
      <c r="K191" s="21">
        <f t="shared" si="19"/>
        <v>0</v>
      </c>
    </row>
    <row r="192" spans="1:11" s="22" customFormat="1" x14ac:dyDescent="0.35">
      <c r="A192" s="19">
        <v>180</v>
      </c>
      <c r="B192" s="19" t="s">
        <v>107</v>
      </c>
      <c r="C192" s="20" t="s">
        <v>150</v>
      </c>
      <c r="D192" s="116">
        <v>0</v>
      </c>
      <c r="E192" s="405">
        <v>0.59</v>
      </c>
      <c r="F192" s="47">
        <f t="shared" si="20"/>
        <v>0</v>
      </c>
      <c r="G192" s="21">
        <f t="shared" si="18"/>
        <v>59.103902870857759</v>
      </c>
      <c r="H192" s="116">
        <v>0</v>
      </c>
      <c r="I192" s="405">
        <v>0.55000000000000004</v>
      </c>
      <c r="J192" s="47">
        <f t="shared" si="21"/>
        <v>0</v>
      </c>
      <c r="K192" s="21">
        <f t="shared" si="19"/>
        <v>55.096858608426729</v>
      </c>
    </row>
    <row r="193" spans="1:11" s="22" customFormat="1" x14ac:dyDescent="0.35">
      <c r="A193" s="19">
        <v>181</v>
      </c>
      <c r="B193" s="19" t="s">
        <v>28</v>
      </c>
      <c r="C193" s="20" t="s">
        <v>31</v>
      </c>
      <c r="D193" s="116">
        <v>0</v>
      </c>
      <c r="E193" s="405">
        <v>0</v>
      </c>
      <c r="F193" s="47">
        <f t="shared" si="20"/>
        <v>0</v>
      </c>
      <c r="G193" s="21">
        <f t="shared" si="18"/>
        <v>0</v>
      </c>
      <c r="H193" s="116">
        <v>0</v>
      </c>
      <c r="I193" s="405">
        <v>0</v>
      </c>
      <c r="J193" s="47">
        <f t="shared" si="21"/>
        <v>0</v>
      </c>
      <c r="K193" s="21">
        <f t="shared" si="19"/>
        <v>0</v>
      </c>
    </row>
    <row r="194" spans="1:11" s="22" customFormat="1" x14ac:dyDescent="0.35">
      <c r="A194" s="19">
        <v>182</v>
      </c>
      <c r="B194" s="19" t="s">
        <v>108</v>
      </c>
      <c r="C194" s="20" t="s">
        <v>434</v>
      </c>
      <c r="D194" s="116">
        <v>0</v>
      </c>
      <c r="E194" s="405">
        <v>0.64</v>
      </c>
      <c r="F194" s="47">
        <f t="shared" si="20"/>
        <v>0</v>
      </c>
      <c r="G194" s="21">
        <f t="shared" si="18"/>
        <v>64.112708198896556</v>
      </c>
      <c r="H194" s="116">
        <v>0</v>
      </c>
      <c r="I194" s="405">
        <v>0.6</v>
      </c>
      <c r="J194" s="47">
        <f t="shared" si="21"/>
        <v>0</v>
      </c>
      <c r="K194" s="21">
        <f t="shared" si="19"/>
        <v>60.105663936465518</v>
      </c>
    </row>
    <row r="195" spans="1:11" s="22" customFormat="1" x14ac:dyDescent="0.35">
      <c r="A195" s="19">
        <v>183</v>
      </c>
      <c r="B195" s="19" t="s">
        <v>109</v>
      </c>
      <c r="C195" s="20" t="s">
        <v>151</v>
      </c>
      <c r="D195" s="116">
        <v>0</v>
      </c>
      <c r="E195" s="405">
        <v>0.65000000000000013</v>
      </c>
      <c r="F195" s="47">
        <f t="shared" si="20"/>
        <v>0</v>
      </c>
      <c r="G195" s="21">
        <f t="shared" si="18"/>
        <v>65.114469264504322</v>
      </c>
      <c r="H195" s="116">
        <v>0</v>
      </c>
      <c r="I195" s="405">
        <v>0.59999999999999987</v>
      </c>
      <c r="J195" s="47">
        <f t="shared" si="21"/>
        <v>0</v>
      </c>
      <c r="K195" s="21">
        <f t="shared" si="19"/>
        <v>60.105663936465504</v>
      </c>
    </row>
    <row r="196" spans="1:11" s="22" customFormat="1" x14ac:dyDescent="0.35">
      <c r="A196" s="19">
        <v>184</v>
      </c>
      <c r="B196" s="19" t="s">
        <v>29</v>
      </c>
      <c r="C196" s="20" t="s">
        <v>32</v>
      </c>
      <c r="D196" s="116">
        <v>0</v>
      </c>
      <c r="E196" s="405">
        <v>0</v>
      </c>
      <c r="F196" s="47">
        <f t="shared" si="20"/>
        <v>0</v>
      </c>
      <c r="G196" s="21">
        <f t="shared" si="18"/>
        <v>0</v>
      </c>
      <c r="H196" s="116">
        <v>0</v>
      </c>
      <c r="I196" s="405">
        <v>0</v>
      </c>
      <c r="J196" s="47">
        <f t="shared" si="21"/>
        <v>0</v>
      </c>
      <c r="K196" s="21">
        <f t="shared" si="19"/>
        <v>0</v>
      </c>
    </row>
    <row r="197" spans="1:11" x14ac:dyDescent="0.35">
      <c r="A197" s="19">
        <v>185</v>
      </c>
      <c r="D197" s="9">
        <f>SUM(D18:D196)</f>
        <v>32677</v>
      </c>
      <c r="E197" s="13"/>
      <c r="F197" s="9">
        <f>SUM(F18:F196)</f>
        <v>59667.61</v>
      </c>
      <c r="H197" s="9">
        <f>SUM(H18:H196)</f>
        <v>233906</v>
      </c>
      <c r="J197" s="9">
        <f>SUM(J18:J196)</f>
        <v>391070.84999999992</v>
      </c>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
    <mergeCell ref="K4:K6"/>
    <mergeCell ref="L4:L6"/>
    <mergeCell ref="D15:G15"/>
    <mergeCell ref="H15:K15"/>
    <mergeCell ref="J9:J11"/>
    <mergeCell ref="K9:K11"/>
  </mergeCells>
  <pageMargins left="0.7" right="0.7" top="0.75" bottom="0.75" header="0.3" footer="0.3"/>
  <pageSetup orientation="portrait" horizontalDpi="1200" verticalDpi="1200"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9CC5CA"/>
  </sheetPr>
  <dimension ref="A1:M46"/>
  <sheetViews>
    <sheetView workbookViewId="0">
      <selection activeCell="C52" sqref="C52"/>
    </sheetView>
  </sheetViews>
  <sheetFormatPr defaultColWidth="9.1796875" defaultRowHeight="14.5" x14ac:dyDescent="0.35"/>
  <cols>
    <col min="2" max="2" width="16.54296875" customWidth="1"/>
    <col min="3" max="3" width="40.7265625" customWidth="1"/>
    <col min="4" max="4" width="26.7265625" style="100" customWidth="1"/>
    <col min="5" max="5" width="3" customWidth="1"/>
    <col min="6" max="6" width="9.1796875" customWidth="1"/>
    <col min="7" max="7" width="33.26953125" style="48" customWidth="1"/>
    <col min="8" max="8" width="30.26953125" customWidth="1"/>
    <col min="9" max="9" width="23.54296875" customWidth="1"/>
  </cols>
  <sheetData>
    <row r="1" spans="1:13" ht="26" x14ac:dyDescent="0.6">
      <c r="A1" s="3" t="s">
        <v>774</v>
      </c>
      <c r="G1" s="128"/>
    </row>
    <row r="2" spans="1:13" ht="21" x14ac:dyDescent="0.5">
      <c r="A2" s="2" t="s">
        <v>772</v>
      </c>
      <c r="H2" s="40"/>
      <c r="I2" s="40"/>
      <c r="J2" s="40"/>
      <c r="K2" s="40"/>
      <c r="L2" s="40"/>
      <c r="M2" s="40"/>
    </row>
    <row r="3" spans="1:13" ht="21" x14ac:dyDescent="0.5">
      <c r="A3" s="241" t="s">
        <v>899</v>
      </c>
      <c r="G3" s="129"/>
      <c r="H3" s="129"/>
      <c r="I3" s="129"/>
      <c r="J3" s="40"/>
      <c r="K3" s="40"/>
      <c r="L3" s="40"/>
      <c r="M3" s="40"/>
    </row>
    <row r="4" spans="1:13" x14ac:dyDescent="0.35">
      <c r="G4" s="40"/>
      <c r="H4" s="40"/>
      <c r="I4" s="40"/>
      <c r="J4" s="40"/>
      <c r="K4" s="40"/>
      <c r="L4" s="40"/>
      <c r="M4" s="40"/>
    </row>
    <row r="5" spans="1:13" ht="15" customHeight="1" x14ac:dyDescent="0.35">
      <c r="A5" s="1" t="s">
        <v>773</v>
      </c>
      <c r="C5" s="415" t="str">
        <f>'As-Filed Schedule 1'!C5</f>
        <v>AllHealth Network</v>
      </c>
      <c r="D5" s="55"/>
      <c r="E5" s="53"/>
      <c r="F5" s="53"/>
      <c r="G5" s="50"/>
      <c r="H5" s="50"/>
      <c r="I5" s="13"/>
      <c r="J5" s="13"/>
      <c r="K5" s="40"/>
      <c r="L5" s="40"/>
    </row>
    <row r="6" spans="1:13" x14ac:dyDescent="0.35">
      <c r="A6" s="1" t="s">
        <v>0</v>
      </c>
      <c r="C6" s="35">
        <f>'As-Filed Schedule 1'!C6</f>
        <v>45473</v>
      </c>
      <c r="D6" s="35"/>
      <c r="E6" s="35"/>
      <c r="F6" s="35"/>
      <c r="G6" s="13"/>
      <c r="H6" s="13"/>
      <c r="I6" s="13"/>
      <c r="J6" s="13"/>
      <c r="K6" s="40"/>
      <c r="L6" s="40"/>
    </row>
    <row r="7" spans="1:13" s="1" customFormat="1" x14ac:dyDescent="0.35">
      <c r="D7" s="100"/>
      <c r="G7" s="40"/>
      <c r="H7" s="40"/>
      <c r="I7" s="40"/>
      <c r="J7" s="40"/>
      <c r="K7" s="40"/>
      <c r="L7" s="40"/>
      <c r="M7" s="40"/>
    </row>
    <row r="8" spans="1:13" x14ac:dyDescent="0.35">
      <c r="D8" s="174">
        <v>1</v>
      </c>
      <c r="G8" s="40"/>
      <c r="H8" s="40"/>
      <c r="I8" s="40"/>
      <c r="J8" s="40"/>
      <c r="K8" s="40"/>
      <c r="L8" s="40"/>
      <c r="M8" s="40"/>
    </row>
    <row r="9" spans="1:13" s="6" customFormat="1" x14ac:dyDescent="0.35">
      <c r="A9" s="97"/>
      <c r="B9" s="481" t="s">
        <v>868</v>
      </c>
      <c r="C9" s="481"/>
      <c r="D9" s="150" t="s">
        <v>869</v>
      </c>
      <c r="G9" s="128"/>
      <c r="H9" s="128"/>
      <c r="I9" s="128"/>
      <c r="J9" s="128"/>
      <c r="K9" s="128"/>
      <c r="L9" s="128"/>
      <c r="M9" s="128"/>
    </row>
    <row r="10" spans="1:13" s="6" customFormat="1" x14ac:dyDescent="0.35">
      <c r="A10" s="97"/>
      <c r="B10" s="151"/>
      <c r="C10" s="152"/>
      <c r="D10" s="153"/>
      <c r="G10" s="128"/>
      <c r="H10" s="128"/>
      <c r="I10" s="128"/>
      <c r="J10" s="128"/>
      <c r="K10" s="128"/>
      <c r="L10" s="128"/>
      <c r="M10" s="128"/>
    </row>
    <row r="11" spans="1:13" s="22" customFormat="1" x14ac:dyDescent="0.35">
      <c r="A11" s="482" t="s">
        <v>870</v>
      </c>
      <c r="B11" s="483"/>
      <c r="C11" s="483"/>
      <c r="D11" s="484"/>
      <c r="G11" s="127"/>
      <c r="H11" s="127"/>
      <c r="I11" s="127"/>
      <c r="J11" s="127"/>
      <c r="K11" s="127"/>
      <c r="L11" s="127"/>
      <c r="M11" s="127"/>
    </row>
    <row r="12" spans="1:13" s="22" customFormat="1" x14ac:dyDescent="0.35">
      <c r="A12" s="154">
        <v>1</v>
      </c>
      <c r="B12" s="485" t="s">
        <v>871</v>
      </c>
      <c r="C12" s="486"/>
      <c r="D12" s="156">
        <v>45605176</v>
      </c>
      <c r="G12" s="139"/>
    </row>
    <row r="13" spans="1:13" s="22" customFormat="1" x14ac:dyDescent="0.35">
      <c r="A13" s="154">
        <v>2</v>
      </c>
      <c r="B13" s="485" t="s">
        <v>872</v>
      </c>
      <c r="C13" s="486"/>
      <c r="D13" s="156">
        <v>7533673</v>
      </c>
      <c r="G13" s="139"/>
    </row>
    <row r="14" spans="1:13" s="22" customFormat="1" x14ac:dyDescent="0.35">
      <c r="A14" s="154">
        <v>3</v>
      </c>
      <c r="B14" s="172" t="s">
        <v>873</v>
      </c>
      <c r="C14" s="167"/>
      <c r="D14" s="156">
        <v>431784</v>
      </c>
      <c r="G14" s="139"/>
    </row>
    <row r="15" spans="1:13" s="22" customFormat="1" x14ac:dyDescent="0.35">
      <c r="A15" s="154">
        <v>4</v>
      </c>
      <c r="B15" s="172" t="s">
        <v>874</v>
      </c>
      <c r="C15" s="167"/>
      <c r="D15" s="156">
        <v>4767403</v>
      </c>
      <c r="G15" s="139"/>
    </row>
    <row r="16" spans="1:13" s="22" customFormat="1" x14ac:dyDescent="0.35">
      <c r="A16" s="154">
        <v>5</v>
      </c>
      <c r="B16" s="172" t="s">
        <v>875</v>
      </c>
      <c r="C16" s="167"/>
      <c r="D16" s="156">
        <v>1742957</v>
      </c>
      <c r="G16" s="139"/>
    </row>
    <row r="17" spans="1:7" s="22" customFormat="1" x14ac:dyDescent="0.35">
      <c r="A17" s="154">
        <v>6</v>
      </c>
      <c r="B17" s="172" t="s">
        <v>876</v>
      </c>
      <c r="C17" s="167"/>
      <c r="D17" s="156">
        <v>72000</v>
      </c>
      <c r="G17" s="139"/>
    </row>
    <row r="18" spans="1:7" s="22" customFormat="1" x14ac:dyDescent="0.35">
      <c r="A18" s="154">
        <v>7</v>
      </c>
      <c r="B18" s="485" t="s">
        <v>877</v>
      </c>
      <c r="C18" s="486"/>
      <c r="D18" s="156">
        <v>222115</v>
      </c>
      <c r="G18" s="139"/>
    </row>
    <row r="19" spans="1:7" s="22" customFormat="1" x14ac:dyDescent="0.35">
      <c r="A19" s="154">
        <v>8</v>
      </c>
      <c r="B19" s="479" t="s">
        <v>878</v>
      </c>
      <c r="C19" s="480"/>
      <c r="D19" s="159">
        <f>SUM(D12:D18)</f>
        <v>60375108</v>
      </c>
      <c r="G19" s="139"/>
    </row>
    <row r="20" spans="1:7" s="22" customFormat="1" x14ac:dyDescent="0.35">
      <c r="A20" s="160"/>
      <c r="B20" s="161"/>
      <c r="C20" s="161"/>
      <c r="D20" s="163"/>
      <c r="G20" s="139"/>
    </row>
    <row r="21" spans="1:7" s="22" customFormat="1" x14ac:dyDescent="0.35">
      <c r="A21" s="482" t="s">
        <v>879</v>
      </c>
      <c r="B21" s="483"/>
      <c r="C21" s="483"/>
      <c r="D21" s="484"/>
      <c r="E21" s="139"/>
      <c r="F21" s="139"/>
      <c r="G21" s="139"/>
    </row>
    <row r="22" spans="1:7" s="22" customFormat="1" x14ac:dyDescent="0.35">
      <c r="A22" s="154">
        <v>9</v>
      </c>
      <c r="B22" s="485" t="s">
        <v>880</v>
      </c>
      <c r="C22" s="486"/>
      <c r="D22" s="156">
        <v>1345</v>
      </c>
      <c r="E22" s="139"/>
      <c r="F22" s="139"/>
      <c r="G22" s="139"/>
    </row>
    <row r="23" spans="1:7" s="22" customFormat="1" x14ac:dyDescent="0.35">
      <c r="A23" s="154">
        <v>10</v>
      </c>
      <c r="B23" s="172" t="s">
        <v>881</v>
      </c>
      <c r="C23" s="167"/>
      <c r="D23" s="156">
        <v>8560270</v>
      </c>
      <c r="E23" s="139"/>
      <c r="F23" s="139"/>
      <c r="G23" s="139"/>
    </row>
    <row r="24" spans="1:7" s="22" customFormat="1" x14ac:dyDescent="0.35">
      <c r="A24" s="154">
        <v>11</v>
      </c>
      <c r="B24" s="172" t="s">
        <v>882</v>
      </c>
      <c r="C24" s="167"/>
      <c r="D24" s="156" t="s">
        <v>1027</v>
      </c>
      <c r="E24" s="139"/>
      <c r="F24" s="139"/>
      <c r="G24" s="139"/>
    </row>
    <row r="25" spans="1:7" s="22" customFormat="1" x14ac:dyDescent="0.35">
      <c r="A25" s="154">
        <v>12</v>
      </c>
      <c r="B25" s="172" t="s">
        <v>883</v>
      </c>
      <c r="C25" s="167"/>
      <c r="D25" s="156">
        <v>31272</v>
      </c>
      <c r="E25" s="139"/>
      <c r="F25" s="139"/>
      <c r="G25" s="139"/>
    </row>
    <row r="26" spans="1:7" s="22" customFormat="1" x14ac:dyDescent="0.35">
      <c r="A26" s="154">
        <v>13</v>
      </c>
      <c r="B26" s="172" t="s">
        <v>884</v>
      </c>
      <c r="C26" s="167"/>
      <c r="D26" s="156">
        <v>2813526</v>
      </c>
      <c r="E26" s="139"/>
      <c r="F26" s="139"/>
      <c r="G26" s="139"/>
    </row>
    <row r="27" spans="1:7" s="22" customFormat="1" x14ac:dyDescent="0.35">
      <c r="A27" s="154">
        <v>14</v>
      </c>
      <c r="B27" s="479" t="s">
        <v>885</v>
      </c>
      <c r="C27" s="480"/>
      <c r="D27" s="159">
        <f>SUM(D22:D26)</f>
        <v>11406413</v>
      </c>
      <c r="E27" s="139"/>
      <c r="F27" s="139"/>
      <c r="G27" s="139"/>
    </row>
    <row r="28" spans="1:7" s="22" customFormat="1" x14ac:dyDescent="0.35">
      <c r="A28" s="160"/>
      <c r="B28" s="161"/>
      <c r="C28" s="161"/>
      <c r="D28" s="163"/>
      <c r="F28" s="139"/>
      <c r="G28" s="139"/>
    </row>
    <row r="29" spans="1:7" s="22" customFormat="1" x14ac:dyDescent="0.35">
      <c r="A29" s="482" t="s">
        <v>886</v>
      </c>
      <c r="B29" s="483"/>
      <c r="C29" s="483"/>
      <c r="D29" s="484"/>
      <c r="F29" s="139"/>
      <c r="G29" s="139"/>
    </row>
    <row r="30" spans="1:7" s="22" customFormat="1" x14ac:dyDescent="0.35">
      <c r="A30" s="154">
        <v>15</v>
      </c>
      <c r="B30" s="485" t="s">
        <v>887</v>
      </c>
      <c r="C30" s="486"/>
      <c r="D30" s="156" t="s">
        <v>1027</v>
      </c>
      <c r="G30" s="139"/>
    </row>
    <row r="31" spans="1:7" s="22" customFormat="1" x14ac:dyDescent="0.35">
      <c r="A31" s="154">
        <v>16</v>
      </c>
      <c r="B31" s="172" t="s">
        <v>888</v>
      </c>
      <c r="C31" s="167"/>
      <c r="D31" s="156" t="s">
        <v>1027</v>
      </c>
      <c r="G31" s="139"/>
    </row>
    <row r="32" spans="1:7" s="22" customFormat="1" x14ac:dyDescent="0.35">
      <c r="A32" s="154">
        <v>17</v>
      </c>
      <c r="B32" s="172" t="s">
        <v>889</v>
      </c>
      <c r="C32" s="167"/>
      <c r="D32" s="156" t="s">
        <v>1027</v>
      </c>
      <c r="G32" s="139"/>
    </row>
    <row r="33" spans="1:7" s="22" customFormat="1" x14ac:dyDescent="0.35">
      <c r="A33" s="154">
        <v>18</v>
      </c>
      <c r="B33" s="172" t="s">
        <v>890</v>
      </c>
      <c r="C33" s="167"/>
      <c r="D33" s="156" t="s">
        <v>1027</v>
      </c>
      <c r="G33" s="139"/>
    </row>
    <row r="34" spans="1:7" s="22" customFormat="1" x14ac:dyDescent="0.35">
      <c r="A34" s="154">
        <v>19</v>
      </c>
      <c r="B34" s="172" t="s">
        <v>891</v>
      </c>
      <c r="C34" s="167"/>
      <c r="D34" s="156">
        <v>74434</v>
      </c>
      <c r="G34" s="139"/>
    </row>
    <row r="35" spans="1:7" s="22" customFormat="1" x14ac:dyDescent="0.35">
      <c r="A35" s="154">
        <v>20</v>
      </c>
      <c r="B35" s="479" t="s">
        <v>892</v>
      </c>
      <c r="C35" s="480"/>
      <c r="D35" s="159">
        <f>SUM(D30:D34)</f>
        <v>74434</v>
      </c>
      <c r="G35" s="139"/>
    </row>
    <row r="36" spans="1:7" s="22" customFormat="1" x14ac:dyDescent="0.35">
      <c r="A36" s="160"/>
      <c r="B36" s="161"/>
      <c r="C36" s="161"/>
      <c r="D36" s="163"/>
      <c r="G36" s="139"/>
    </row>
    <row r="37" spans="1:7" s="22" customFormat="1" x14ac:dyDescent="0.35">
      <c r="A37" s="482" t="s">
        <v>893</v>
      </c>
      <c r="B37" s="483"/>
      <c r="C37" s="483"/>
      <c r="D37" s="484"/>
      <c r="G37" s="139"/>
    </row>
    <row r="38" spans="1:7" s="22" customFormat="1" x14ac:dyDescent="0.35">
      <c r="A38" s="154">
        <v>21</v>
      </c>
      <c r="B38" s="485" t="s">
        <v>304</v>
      </c>
      <c r="C38" s="488"/>
      <c r="D38" s="156">
        <v>132071</v>
      </c>
      <c r="G38" s="139"/>
    </row>
    <row r="39" spans="1:7" s="22" customFormat="1" x14ac:dyDescent="0.35">
      <c r="A39" s="154">
        <v>22</v>
      </c>
      <c r="B39" s="485" t="s">
        <v>894</v>
      </c>
      <c r="C39" s="488"/>
      <c r="D39" s="156" t="s">
        <v>1027</v>
      </c>
      <c r="G39" s="139"/>
    </row>
    <row r="40" spans="1:7" s="22" customFormat="1" x14ac:dyDescent="0.35">
      <c r="A40" s="154">
        <v>23</v>
      </c>
      <c r="B40" s="485" t="s">
        <v>895</v>
      </c>
      <c r="C40" s="488"/>
      <c r="D40" s="156">
        <v>310923</v>
      </c>
      <c r="G40" s="139"/>
    </row>
    <row r="41" spans="1:7" s="22" customFormat="1" x14ac:dyDescent="0.35">
      <c r="A41" s="154">
        <v>24</v>
      </c>
      <c r="B41" s="479" t="s">
        <v>896</v>
      </c>
      <c r="C41" s="487"/>
      <c r="D41" s="159">
        <f>SUM(D38:D40)</f>
        <v>442994</v>
      </c>
      <c r="G41" s="139"/>
    </row>
    <row r="42" spans="1:7" s="22" customFormat="1" x14ac:dyDescent="0.35">
      <c r="A42" s="160"/>
      <c r="B42" s="161"/>
      <c r="C42" s="161"/>
      <c r="D42" s="163"/>
      <c r="G42" s="139"/>
    </row>
    <row r="43" spans="1:7" s="63" customFormat="1" ht="15.5" x14ac:dyDescent="0.35">
      <c r="A43" s="154">
        <v>25</v>
      </c>
      <c r="B43" s="491" t="s">
        <v>897</v>
      </c>
      <c r="C43" s="493"/>
      <c r="D43" s="168">
        <f>SUM(D19,D27,D35,D41)</f>
        <v>72298949</v>
      </c>
      <c r="G43" s="140"/>
    </row>
    <row r="44" spans="1:7" s="22" customFormat="1" x14ac:dyDescent="0.35">
      <c r="A44" s="169"/>
      <c r="B44" s="169"/>
      <c r="C44" s="169"/>
      <c r="D44" s="169"/>
      <c r="G44" s="139"/>
    </row>
    <row r="45" spans="1:7" s="22" customFormat="1" x14ac:dyDescent="0.35">
      <c r="A45" s="154">
        <v>26</v>
      </c>
      <c r="B45" s="490" t="s">
        <v>898</v>
      </c>
      <c r="C45" s="490"/>
      <c r="D45" s="156"/>
      <c r="G45" s="139"/>
    </row>
    <row r="46" spans="1:7" s="22" customFormat="1" ht="15.5" x14ac:dyDescent="0.35">
      <c r="A46" s="154">
        <v>27</v>
      </c>
      <c r="B46" s="490" t="s">
        <v>10</v>
      </c>
      <c r="C46" s="490"/>
      <c r="D46" s="168">
        <f>D43-D45</f>
        <v>72298949</v>
      </c>
      <c r="E46" s="33" t="str">
        <f>IF(ABS(D46)&gt;1,"Error - This variance should be 0.","")</f>
        <v>Error - This variance should be 0.</v>
      </c>
      <c r="G46" s="139"/>
    </row>
  </sheetData>
  <sheetProtection sheet="1" objects="1" scenarios="1"/>
  <customSheetViews>
    <customSheetView guid="{D0F83CC0-0361-4280-BCA4-9A92C986158B}">
      <pageMargins left="0.7" right="0.7" top="0.75" bottom="0.75" header="0.3" footer="0.3"/>
    </customSheetView>
    <customSheetView guid="{27BAF95E-10B4-4025-9660-F5A8EBC66DC3}">
      <pageMargins left="0.7" right="0.7" top="0.75" bottom="0.75" header="0.3" footer="0.3"/>
    </customSheetView>
  </customSheetViews>
  <mergeCells count="20">
    <mergeCell ref="B45:C45"/>
    <mergeCell ref="B46:C46"/>
    <mergeCell ref="A37:D37"/>
    <mergeCell ref="B38:C38"/>
    <mergeCell ref="B39:C39"/>
    <mergeCell ref="B40:C40"/>
    <mergeCell ref="B41:C41"/>
    <mergeCell ref="B43:C43"/>
    <mergeCell ref="B35:C35"/>
    <mergeCell ref="B9:C9"/>
    <mergeCell ref="A11:D11"/>
    <mergeCell ref="B12:C12"/>
    <mergeCell ref="B13:C13"/>
    <mergeCell ref="B18:C18"/>
    <mergeCell ref="B19:C19"/>
    <mergeCell ref="A21:D21"/>
    <mergeCell ref="B22:C22"/>
    <mergeCell ref="B27:C27"/>
    <mergeCell ref="A29:D29"/>
    <mergeCell ref="B30:C3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dimension ref="A1:AE104"/>
  <sheetViews>
    <sheetView workbookViewId="0">
      <selection activeCell="K89" sqref="K89"/>
    </sheetView>
  </sheetViews>
  <sheetFormatPr defaultColWidth="9.1796875" defaultRowHeight="14.5" x14ac:dyDescent="0.35"/>
  <cols>
    <col min="2" max="2" width="15.81640625" customWidth="1"/>
    <col min="3" max="3" width="43.81640625" customWidth="1"/>
    <col min="4" max="4" width="12.26953125" customWidth="1"/>
    <col min="5" max="5" width="15" style="260" customWidth="1"/>
    <col min="6" max="6" width="11.54296875" style="48" customWidth="1"/>
    <col min="7" max="7" width="20.26953125" customWidth="1"/>
    <col min="8" max="8" width="20.26953125" style="260" customWidth="1"/>
    <col min="9" max="9" width="20.26953125" style="48" customWidth="1"/>
    <col min="10" max="10" width="20.26953125" customWidth="1"/>
    <col min="11" max="11" width="20.26953125" style="260" customWidth="1"/>
    <col min="12" max="12" width="20.26953125" style="48" customWidth="1"/>
    <col min="13" max="13" width="20.26953125" customWidth="1"/>
    <col min="14" max="14" width="20.26953125" style="260" customWidth="1"/>
    <col min="15" max="15" width="20.26953125" style="48" customWidth="1"/>
    <col min="16" max="16" width="20.26953125" customWidth="1"/>
    <col min="17" max="17" width="20.26953125" style="260" customWidth="1"/>
    <col min="18" max="18" width="20.26953125" style="48" customWidth="1"/>
    <col min="19" max="19" width="20.26953125" customWidth="1"/>
    <col min="20" max="20" width="20.26953125" style="260" customWidth="1"/>
    <col min="21" max="21" width="20.26953125" style="48" customWidth="1"/>
    <col min="22" max="22" width="20.26953125" customWidth="1"/>
    <col min="23" max="23" width="20.26953125" style="260" customWidth="1"/>
    <col min="24" max="24" width="20.26953125" style="48" customWidth="1"/>
    <col min="25" max="25" width="33.26953125" style="48" customWidth="1"/>
    <col min="26" max="26" width="30.26953125" customWidth="1"/>
    <col min="27" max="27" width="23.54296875" customWidth="1"/>
  </cols>
  <sheetData>
    <row r="1" spans="1:31" ht="26" x14ac:dyDescent="0.6">
      <c r="A1" s="461" t="s">
        <v>774</v>
      </c>
      <c r="F1" s="53"/>
    </row>
    <row r="2" spans="1:31" ht="21" x14ac:dyDescent="0.5">
      <c r="A2" s="2" t="s">
        <v>772</v>
      </c>
      <c r="Z2" s="40"/>
      <c r="AA2" s="40"/>
      <c r="AB2" s="40"/>
      <c r="AC2" s="40"/>
      <c r="AD2" s="40"/>
      <c r="AE2" s="40"/>
    </row>
    <row r="3" spans="1:31" ht="25" customHeight="1" x14ac:dyDescent="0.5">
      <c r="A3" s="5" t="s">
        <v>551</v>
      </c>
      <c r="Y3" s="129"/>
      <c r="Z3" s="129"/>
      <c r="AA3" s="129"/>
      <c r="AB3" s="40"/>
      <c r="AC3" s="40"/>
      <c r="AD3" s="40"/>
      <c r="AE3" s="40"/>
    </row>
    <row r="4" spans="1:31" ht="25" customHeight="1" x14ac:dyDescent="0.5">
      <c r="A4" s="242" t="s">
        <v>496</v>
      </c>
      <c r="Y4" s="129"/>
      <c r="Z4" s="129"/>
      <c r="AA4" s="129"/>
      <c r="AB4" s="40"/>
      <c r="AC4" s="40"/>
      <c r="AD4" s="40"/>
      <c r="AE4" s="40"/>
    </row>
    <row r="5" spans="1:31" x14ac:dyDescent="0.35">
      <c r="J5" s="36"/>
      <c r="K5" s="268"/>
      <c r="L5" s="36"/>
      <c r="Y5" s="40"/>
      <c r="Z5" s="40"/>
      <c r="AA5" s="40"/>
      <c r="AB5" s="40"/>
      <c r="AC5" s="40"/>
      <c r="AD5" s="40"/>
      <c r="AE5" s="40"/>
    </row>
    <row r="6" spans="1:31" x14ac:dyDescent="0.35">
      <c r="A6" s="1" t="s">
        <v>773</v>
      </c>
      <c r="C6" s="416" t="str">
        <f>Results!$C$6</f>
        <v>AllHealth Network</v>
      </c>
      <c r="J6" s="48"/>
      <c r="Y6" s="40"/>
      <c r="Z6" s="40"/>
      <c r="AA6" s="40"/>
      <c r="AB6" s="40"/>
      <c r="AC6" s="40"/>
      <c r="AD6" s="40"/>
      <c r="AE6" s="40"/>
    </row>
    <row r="7" spans="1:31" x14ac:dyDescent="0.35">
      <c r="A7" s="1" t="s">
        <v>0</v>
      </c>
      <c r="C7" s="35">
        <f>Results!$C$7</f>
        <v>45473</v>
      </c>
      <c r="J7" s="40"/>
      <c r="K7" s="259"/>
      <c r="L7" s="40"/>
      <c r="Y7" s="40"/>
      <c r="Z7" s="40"/>
      <c r="AA7" s="40"/>
      <c r="AB7" s="40"/>
      <c r="AC7" s="40"/>
      <c r="AD7" s="40"/>
      <c r="AE7" s="40"/>
    </row>
    <row r="8" spans="1:31" s="1" customFormat="1" x14ac:dyDescent="0.35">
      <c r="E8" s="259"/>
      <c r="F8" s="40"/>
      <c r="G8"/>
      <c r="H8" s="260"/>
      <c r="I8" s="48"/>
      <c r="J8"/>
      <c r="K8" s="260"/>
      <c r="L8" s="48"/>
      <c r="M8" s="48"/>
      <c r="N8" s="260"/>
      <c r="O8" s="48"/>
      <c r="P8"/>
      <c r="Q8" s="260"/>
      <c r="R8" s="48"/>
      <c r="T8" s="259"/>
      <c r="U8" s="40"/>
      <c r="W8" s="259"/>
      <c r="X8" s="40"/>
      <c r="Y8" s="40"/>
      <c r="Z8" s="40"/>
      <c r="AA8" s="40"/>
      <c r="AB8" s="40"/>
      <c r="AC8" s="40"/>
      <c r="AD8" s="40"/>
      <c r="AE8" s="40"/>
    </row>
    <row r="9" spans="1:31" x14ac:dyDescent="0.35">
      <c r="D9" s="23">
        <v>1</v>
      </c>
      <c r="E9" s="255" t="s">
        <v>552</v>
      </c>
      <c r="F9" s="256" t="s">
        <v>553</v>
      </c>
      <c r="G9" s="23">
        <v>2</v>
      </c>
      <c r="H9" s="255" t="s">
        <v>556</v>
      </c>
      <c r="I9" s="256" t="s">
        <v>557</v>
      </c>
      <c r="J9" s="23">
        <v>3</v>
      </c>
      <c r="K9" s="255" t="s">
        <v>560</v>
      </c>
      <c r="L9" s="256" t="s">
        <v>561</v>
      </c>
      <c r="M9" s="23">
        <v>4</v>
      </c>
      <c r="N9" s="255" t="s">
        <v>564</v>
      </c>
      <c r="O9" s="256" t="s">
        <v>565</v>
      </c>
      <c r="P9" s="23">
        <v>5</v>
      </c>
      <c r="Q9" s="255" t="s">
        <v>566</v>
      </c>
      <c r="R9" s="256" t="s">
        <v>567</v>
      </c>
      <c r="S9" s="23">
        <v>6</v>
      </c>
      <c r="T9" s="255" t="s">
        <v>570</v>
      </c>
      <c r="U9" s="256" t="s">
        <v>571</v>
      </c>
      <c r="V9" s="23">
        <v>7</v>
      </c>
      <c r="W9" s="255" t="s">
        <v>574</v>
      </c>
      <c r="X9" s="256" t="s">
        <v>575</v>
      </c>
      <c r="Y9" s="40"/>
      <c r="Z9" s="40"/>
      <c r="AA9" s="40"/>
      <c r="AB9" s="40"/>
      <c r="AC9" s="40"/>
      <c r="AD9" s="40"/>
      <c r="AE9" s="40"/>
    </row>
    <row r="10" spans="1:31" s="6" customFormat="1" ht="116" x14ac:dyDescent="0.35">
      <c r="A10" s="97"/>
      <c r="B10" s="481" t="s">
        <v>1</v>
      </c>
      <c r="C10" s="481"/>
      <c r="D10" s="150" t="s">
        <v>7</v>
      </c>
      <c r="E10" s="257" t="s">
        <v>554</v>
      </c>
      <c r="F10" s="258" t="s">
        <v>555</v>
      </c>
      <c r="G10" s="150" t="s">
        <v>6</v>
      </c>
      <c r="H10" s="257" t="s">
        <v>558</v>
      </c>
      <c r="I10" s="258" t="s">
        <v>559</v>
      </c>
      <c r="J10" s="150" t="s">
        <v>485</v>
      </c>
      <c r="K10" s="257" t="s">
        <v>562</v>
      </c>
      <c r="L10" s="258" t="s">
        <v>563</v>
      </c>
      <c r="M10" s="150" t="s">
        <v>776</v>
      </c>
      <c r="N10" s="257" t="s">
        <v>777</v>
      </c>
      <c r="O10" s="258" t="s">
        <v>778</v>
      </c>
      <c r="P10" s="150" t="s">
        <v>486</v>
      </c>
      <c r="Q10" s="257" t="s">
        <v>568</v>
      </c>
      <c r="R10" s="258" t="s">
        <v>569</v>
      </c>
      <c r="S10" s="150" t="s">
        <v>9</v>
      </c>
      <c r="T10" s="257" t="s">
        <v>572</v>
      </c>
      <c r="U10" s="258" t="s">
        <v>573</v>
      </c>
      <c r="V10" s="150" t="s">
        <v>8</v>
      </c>
      <c r="W10" s="257" t="s">
        <v>576</v>
      </c>
      <c r="X10" s="258" t="s">
        <v>577</v>
      </c>
      <c r="Y10" s="128"/>
      <c r="Z10" s="128"/>
      <c r="AA10" s="128"/>
      <c r="AB10" s="128"/>
      <c r="AC10" s="128"/>
      <c r="AD10" s="128"/>
      <c r="AE10" s="128"/>
    </row>
    <row r="11" spans="1:31" s="6" customFormat="1" x14ac:dyDescent="0.35">
      <c r="A11" s="97"/>
      <c r="B11" s="151"/>
      <c r="C11" s="152"/>
      <c r="D11" s="153"/>
      <c r="E11" s="261"/>
      <c r="F11" s="270"/>
      <c r="G11" s="153"/>
      <c r="H11" s="261"/>
      <c r="I11" s="270"/>
      <c r="J11" s="153"/>
      <c r="K11" s="261"/>
      <c r="L11" s="270"/>
      <c r="M11" s="153"/>
      <c r="N11" s="261"/>
      <c r="O11" s="270"/>
      <c r="P11" s="153"/>
      <c r="Q11" s="261"/>
      <c r="R11" s="270"/>
      <c r="S11" s="153"/>
      <c r="T11" s="261"/>
      <c r="U11" s="270"/>
      <c r="V11" s="153"/>
      <c r="W11" s="261"/>
      <c r="X11" s="270"/>
      <c r="Y11" s="128"/>
      <c r="Z11" s="128"/>
      <c r="AA11" s="128"/>
      <c r="AB11" s="128"/>
      <c r="AC11" s="128"/>
      <c r="AD11" s="128"/>
      <c r="AE11" s="128"/>
    </row>
    <row r="12" spans="1:31" s="22" customFormat="1" x14ac:dyDescent="0.35">
      <c r="A12" s="482" t="s">
        <v>280</v>
      </c>
      <c r="B12" s="483"/>
      <c r="C12" s="483"/>
      <c r="D12" s="483"/>
      <c r="E12" s="483"/>
      <c r="F12" s="483"/>
      <c r="G12" s="483"/>
      <c r="H12" s="483"/>
      <c r="I12" s="483"/>
      <c r="J12" s="483"/>
      <c r="K12" s="483"/>
      <c r="L12" s="483"/>
      <c r="M12" s="483"/>
      <c r="N12" s="483"/>
      <c r="O12" s="483"/>
      <c r="P12" s="483"/>
      <c r="Q12" s="483"/>
      <c r="R12" s="483"/>
      <c r="S12" s="483"/>
      <c r="T12" s="483"/>
      <c r="U12" s="483"/>
      <c r="V12" s="483"/>
      <c r="W12" s="483"/>
      <c r="X12" s="484"/>
      <c r="Y12" s="127"/>
      <c r="Z12" s="127"/>
      <c r="AA12" s="127"/>
      <c r="AB12" s="127"/>
      <c r="AC12" s="127"/>
      <c r="AD12" s="127"/>
      <c r="AE12" s="127"/>
    </row>
    <row r="13" spans="1:31" s="22" customFormat="1" x14ac:dyDescent="0.35">
      <c r="A13" s="154">
        <v>1</v>
      </c>
      <c r="B13" s="485" t="s">
        <v>458</v>
      </c>
      <c r="C13" s="486"/>
      <c r="D13" s="155">
        <f>'As-Filed Schedule 1'!D12</f>
        <v>25.33</v>
      </c>
      <c r="E13" s="262">
        <f>SUMIFS(Adjustments!$G:$G,Adjustments!$H:$H,"1",Adjustments!$I:$I,$D$9,Adjustments!$J:$J,$A13)</f>
        <v>0</v>
      </c>
      <c r="F13" s="271">
        <f>SUM(D13:E13)</f>
        <v>25.33</v>
      </c>
      <c r="G13" s="156" t="str">
        <f>'As-Filed Schedule 1'!E12</f>
        <v xml:space="preserve"> $                                     -  </v>
      </c>
      <c r="H13" s="262">
        <f>SUMIFS(Adjustments!$G:$G,Adjustments!$H:$H,"1",Adjustments!$I:$I,$G$9,Adjustments!$J:$J,$A13)</f>
        <v>0</v>
      </c>
      <c r="I13" s="273">
        <f>SUM(G13:H13)</f>
        <v>0</v>
      </c>
      <c r="J13" s="156">
        <f>'As-Filed Schedule 1'!F12</f>
        <v>1405567</v>
      </c>
      <c r="K13" s="262">
        <f>SUMIFS(Adjustments!$G:$G,Adjustments!$H:$H,"1",Adjustments!$I:$I,$J$9,Adjustments!$J:$J,$A13)</f>
        <v>41116</v>
      </c>
      <c r="L13" s="273">
        <f>SUM(J13:K13)</f>
        <v>1446683</v>
      </c>
      <c r="M13" s="156">
        <f>'As-Filed Schedule 1'!G12</f>
        <v>211905</v>
      </c>
      <c r="N13" s="262">
        <f>SUMIFS(Adjustments!$G:$G,Adjustments!$H:$H,"1",Adjustments!$I:$I,$M$9,Adjustments!$J:$J,$A13)</f>
        <v>6241</v>
      </c>
      <c r="O13" s="273">
        <f t="shared" ref="O13:O15" si="0">SUM(M13:N13)</f>
        <v>218146</v>
      </c>
      <c r="P13" s="156">
        <f>'As-Filed Schedule 1'!H12</f>
        <v>7473</v>
      </c>
      <c r="Q13" s="262">
        <f>SUMIFS(Adjustments!$G:$G,Adjustments!$H:$H,"1",Adjustments!$I:$I,$P$9,Adjustments!$J:$J,$A13)</f>
        <v>206</v>
      </c>
      <c r="R13" s="273">
        <f>SUM(P13:Q13)</f>
        <v>7679</v>
      </c>
      <c r="S13" s="156" t="str">
        <f>'As-Filed Schedule 1'!I12</f>
        <v xml:space="preserve"> $                                     -  </v>
      </c>
      <c r="T13" s="262">
        <f>SUMIFS(Adjustments!$G:$G,Adjustments!$H:$H,"1",Adjustments!$I:$I,$S$9,Adjustments!$J:$J,$A13)</f>
        <v>0</v>
      </c>
      <c r="U13" s="273">
        <f t="shared" ref="U13:U15" si="1">SUM(S13:T13)</f>
        <v>0</v>
      </c>
      <c r="V13" s="159">
        <f>SUM(D13,G13,J13,M13,P13,S13)</f>
        <v>1624970.33</v>
      </c>
      <c r="W13" s="265">
        <f>SUM(E13,H13,K13,N13,Q13,T13)</f>
        <v>47563</v>
      </c>
      <c r="X13" s="274">
        <f>SUM(F13,I13,L13,O13,R13,U13)</f>
        <v>1672533.33</v>
      </c>
      <c r="Y13" s="139"/>
    </row>
    <row r="14" spans="1:31" s="22" customFormat="1" x14ac:dyDescent="0.35">
      <c r="A14" s="154">
        <v>2</v>
      </c>
      <c r="B14" s="485" t="s">
        <v>291</v>
      </c>
      <c r="C14" s="486"/>
      <c r="D14" s="155">
        <f>'As-Filed Schedule 1'!D13</f>
        <v>321.56</v>
      </c>
      <c r="E14" s="262">
        <f>SUMIFS(Adjustments!$G:$G,Adjustments!$H:$H,"1",Adjustments!$I:$I,$D$9,Adjustments!$J:$J,$A14)</f>
        <v>0</v>
      </c>
      <c r="F14" s="271">
        <f>SUM(D14:E14)</f>
        <v>321.56</v>
      </c>
      <c r="G14" s="156">
        <f>'As-Filed Schedule 1'!E13</f>
        <v>10640</v>
      </c>
      <c r="H14" s="262">
        <f>SUMIFS(Adjustments!$G:$G,Adjustments!$H:$H,"1",Adjustments!$I:$I,$G$9,Adjustments!$J:$J,$A14)</f>
        <v>-10400</v>
      </c>
      <c r="I14" s="273">
        <f t="shared" ref="I14:I15" si="2">SUM(G14:H14)</f>
        <v>240</v>
      </c>
      <c r="J14" s="156">
        <f>'As-Filed Schedule 1'!F13</f>
        <v>15248695</v>
      </c>
      <c r="K14" s="262">
        <f>SUMIFS(Adjustments!$G:$G,Adjustments!$H:$H,"1",Adjustments!$I:$I,$J$9,Adjustments!$J:$J,$A14)</f>
        <v>275223</v>
      </c>
      <c r="L14" s="273">
        <f t="shared" ref="L14:L15" si="3">SUM(J14:K14)</f>
        <v>15523918</v>
      </c>
      <c r="M14" s="156">
        <f>'As-Filed Schedule 1'!G13</f>
        <v>4363066</v>
      </c>
      <c r="N14" s="262">
        <f>SUMIFS(Adjustments!$G:$G,Adjustments!$H:$H,"1",Adjustments!$I:$I,$M$9,Adjustments!$J:$J,$A14)</f>
        <v>128500</v>
      </c>
      <c r="O14" s="273">
        <f t="shared" si="0"/>
        <v>4491566</v>
      </c>
      <c r="P14" s="156">
        <f>'As-Filed Schedule 1'!H13</f>
        <v>1008253</v>
      </c>
      <c r="Q14" s="262">
        <f>SUMIFS(Adjustments!$G:$G,Adjustments!$H:$H,"1",Adjustments!$I:$I,$P$9,Adjustments!$J:$J,$A14)</f>
        <v>209036</v>
      </c>
      <c r="R14" s="273">
        <f t="shared" ref="R14:R15" si="4">SUM(P14:Q14)</f>
        <v>1217289</v>
      </c>
      <c r="S14" s="156" t="str">
        <f>'As-Filed Schedule 1'!I13</f>
        <v xml:space="preserve"> $                                     -  </v>
      </c>
      <c r="T14" s="262">
        <f>SUMIFS(Adjustments!$G:$G,Adjustments!$H:$H,"1",Adjustments!$I:$I,$S$9,Adjustments!$J:$J,$A14)</f>
        <v>0</v>
      </c>
      <c r="U14" s="273">
        <f t="shared" si="1"/>
        <v>0</v>
      </c>
      <c r="V14" s="159">
        <f t="shared" ref="V14:V15" si="5">SUM(D14,G14,J14,M14,P14,S14)</f>
        <v>20630975.560000002</v>
      </c>
      <c r="W14" s="265">
        <f t="shared" ref="W14:W15" si="6">SUM(E14,H14,K14,N14,Q14,T14)</f>
        <v>602359</v>
      </c>
      <c r="X14" s="274">
        <f t="shared" ref="X14:X15" si="7">SUM(F14,I14,L14,O14,R14,U14)</f>
        <v>21233334.560000002</v>
      </c>
      <c r="Y14" s="139"/>
    </row>
    <row r="15" spans="1:31" s="22" customFormat="1" x14ac:dyDescent="0.35">
      <c r="A15" s="154">
        <v>3</v>
      </c>
      <c r="B15" s="485" t="s">
        <v>301</v>
      </c>
      <c r="C15" s="486"/>
      <c r="D15" s="155">
        <f>'As-Filed Schedule 1'!D14</f>
        <v>79.95</v>
      </c>
      <c r="E15" s="262">
        <f>SUMIFS(Adjustments!$G:$G,Adjustments!$H:$H,"1",Adjustments!$I:$I,$D$9,Adjustments!$J:$J,$A15)</f>
        <v>0</v>
      </c>
      <c r="F15" s="271">
        <f>SUM(D15:E15)</f>
        <v>79.95</v>
      </c>
      <c r="G15" s="156">
        <f>'As-Filed Schedule 1'!E14</f>
        <v>510607</v>
      </c>
      <c r="H15" s="262">
        <f>SUMIFS(Adjustments!$G:$G,Adjustments!$H:$H,"1",Adjustments!$I:$I,$G$9,Adjustments!$J:$J,$A15)</f>
        <v>-7800</v>
      </c>
      <c r="I15" s="273">
        <f t="shared" si="2"/>
        <v>502807</v>
      </c>
      <c r="J15" s="156">
        <f>'As-Filed Schedule 1'!F14</f>
        <v>3886103</v>
      </c>
      <c r="K15" s="262">
        <f>SUMIFS(Adjustments!$G:$G,Adjustments!$H:$H,"1",Adjustments!$I:$I,$J$9,Adjustments!$J:$J,$A15)</f>
        <v>137898</v>
      </c>
      <c r="L15" s="273">
        <f t="shared" si="3"/>
        <v>4024001</v>
      </c>
      <c r="M15" s="156">
        <f>'As-Filed Schedule 1'!G14</f>
        <v>376706</v>
      </c>
      <c r="N15" s="262">
        <f>SUMIFS(Adjustments!$G:$G,Adjustments!$H:$H,"1",Adjustments!$I:$I,$M$9,Adjustments!$J:$J,$A15)</f>
        <v>11095</v>
      </c>
      <c r="O15" s="273">
        <f t="shared" si="0"/>
        <v>387801</v>
      </c>
      <c r="P15" s="156">
        <f>'As-Filed Schedule 1'!H14</f>
        <v>356212</v>
      </c>
      <c r="Q15" s="262">
        <f>SUMIFS(Adjustments!$G:$G,Adjustments!$H:$H,"1",Adjustments!$I:$I,$P$9,Adjustments!$J:$J,$A15)</f>
        <v>-6599</v>
      </c>
      <c r="R15" s="273">
        <f t="shared" si="4"/>
        <v>349613</v>
      </c>
      <c r="S15" s="156" t="str">
        <f>'As-Filed Schedule 1'!I14</f>
        <v xml:space="preserve"> $                                     -  </v>
      </c>
      <c r="T15" s="262">
        <f>SUMIFS(Adjustments!$G:$G,Adjustments!$H:$H,"1",Adjustments!$I:$I,$S$9,Adjustments!$J:$J,$A15)</f>
        <v>0</v>
      </c>
      <c r="U15" s="273">
        <f t="shared" si="1"/>
        <v>0</v>
      </c>
      <c r="V15" s="159">
        <f t="shared" si="5"/>
        <v>5129707.95</v>
      </c>
      <c r="W15" s="265">
        <f t="shared" si="6"/>
        <v>134594</v>
      </c>
      <c r="X15" s="274">
        <f t="shared" si="7"/>
        <v>5264301.95</v>
      </c>
      <c r="Y15" s="139"/>
    </row>
    <row r="16" spans="1:31" s="22" customFormat="1" x14ac:dyDescent="0.35">
      <c r="A16" s="154">
        <v>4</v>
      </c>
      <c r="B16" s="479" t="s">
        <v>290</v>
      </c>
      <c r="C16" s="480"/>
      <c r="D16" s="158">
        <f>SUM(D13:D15)</f>
        <v>426.84</v>
      </c>
      <c r="E16" s="158">
        <f t="shared" ref="E16:F16" si="8">SUM(E13:E15)</f>
        <v>0</v>
      </c>
      <c r="F16" s="158">
        <f t="shared" si="8"/>
        <v>426.84</v>
      </c>
      <c r="G16" s="159">
        <f>SUM(G13:G15)</f>
        <v>521247</v>
      </c>
      <c r="H16" s="159">
        <f t="shared" ref="H16:U16" si="9">SUM(H13:H15)</f>
        <v>-18200</v>
      </c>
      <c r="I16" s="159">
        <f t="shared" si="9"/>
        <v>503047</v>
      </c>
      <c r="J16" s="159">
        <f t="shared" si="9"/>
        <v>20540365</v>
      </c>
      <c r="K16" s="159">
        <f t="shared" si="9"/>
        <v>454237</v>
      </c>
      <c r="L16" s="159">
        <f t="shared" si="9"/>
        <v>20994602</v>
      </c>
      <c r="M16" s="159">
        <f t="shared" si="9"/>
        <v>4951677</v>
      </c>
      <c r="N16" s="159">
        <f t="shared" si="9"/>
        <v>145836</v>
      </c>
      <c r="O16" s="159">
        <f t="shared" si="9"/>
        <v>5097513</v>
      </c>
      <c r="P16" s="159">
        <f t="shared" si="9"/>
        <v>1371938</v>
      </c>
      <c r="Q16" s="159">
        <f t="shared" si="9"/>
        <v>202643</v>
      </c>
      <c r="R16" s="159">
        <f t="shared" si="9"/>
        <v>1574581</v>
      </c>
      <c r="S16" s="159">
        <f t="shared" si="9"/>
        <v>0</v>
      </c>
      <c r="T16" s="159">
        <f t="shared" si="9"/>
        <v>0</v>
      </c>
      <c r="U16" s="159">
        <f t="shared" si="9"/>
        <v>0</v>
      </c>
      <c r="V16" s="159">
        <f>SUM(D16,G16,J16,M16,P16,S16)</f>
        <v>27385653.84</v>
      </c>
      <c r="W16" s="265">
        <f>SUM(E16,H16,K16,N16,Q16,T16)</f>
        <v>784516</v>
      </c>
      <c r="X16" s="274">
        <f>SUM(F16,I16,L16,O16,R16,U16)</f>
        <v>28170169.84</v>
      </c>
      <c r="Y16" s="139"/>
    </row>
    <row r="17" spans="1:25" s="22" customFormat="1" x14ac:dyDescent="0.35">
      <c r="A17" s="160"/>
      <c r="B17" s="161"/>
      <c r="C17" s="161"/>
      <c r="D17" s="162"/>
      <c r="E17" s="263"/>
      <c r="F17" s="272"/>
      <c r="G17" s="163"/>
      <c r="H17" s="266"/>
      <c r="I17" s="275"/>
      <c r="J17" s="163"/>
      <c r="K17" s="266"/>
      <c r="L17" s="275"/>
      <c r="M17" s="163"/>
      <c r="N17" s="266"/>
      <c r="O17" s="275"/>
      <c r="P17" s="163"/>
      <c r="Q17" s="266"/>
      <c r="R17" s="275"/>
      <c r="S17" s="163"/>
      <c r="T17" s="266"/>
      <c r="U17" s="275"/>
      <c r="V17" s="163"/>
      <c r="W17" s="266"/>
      <c r="X17" s="275"/>
      <c r="Y17" s="139"/>
    </row>
    <row r="18" spans="1:25" s="22" customFormat="1" x14ac:dyDescent="0.35">
      <c r="A18" s="482" t="s">
        <v>281</v>
      </c>
      <c r="B18" s="483"/>
      <c r="C18" s="483"/>
      <c r="D18" s="483"/>
      <c r="E18" s="483"/>
      <c r="F18" s="483"/>
      <c r="G18" s="483"/>
      <c r="H18" s="483"/>
      <c r="I18" s="483"/>
      <c r="J18" s="483"/>
      <c r="K18" s="483"/>
      <c r="L18" s="483"/>
      <c r="M18" s="483"/>
      <c r="N18" s="483"/>
      <c r="O18" s="483"/>
      <c r="P18" s="483"/>
      <c r="Q18" s="483"/>
      <c r="R18" s="483"/>
      <c r="S18" s="483"/>
      <c r="T18" s="483"/>
      <c r="U18" s="483"/>
      <c r="V18" s="483"/>
      <c r="W18" s="483"/>
      <c r="X18" s="484"/>
      <c r="Y18" s="139"/>
    </row>
    <row r="19" spans="1:25" s="22" customFormat="1" x14ac:dyDescent="0.35">
      <c r="A19" s="154">
        <v>5</v>
      </c>
      <c r="B19" s="485" t="s">
        <v>221</v>
      </c>
      <c r="C19" s="486"/>
      <c r="D19" s="155">
        <f>'As-Filed Schedule 1'!D18</f>
        <v>5</v>
      </c>
      <c r="E19" s="262">
        <f>SUMIFS(Adjustments!$G:$G,Adjustments!$H:$H,"1",Adjustments!$I:$I,$D$9,Adjustments!$J:$J,$A19)</f>
        <v>0</v>
      </c>
      <c r="F19" s="271">
        <f>SUM(D19:E19)</f>
        <v>5</v>
      </c>
      <c r="G19" s="156" t="str">
        <f>'As-Filed Schedule 1'!E18</f>
        <v xml:space="preserve"> $                                     -  </v>
      </c>
      <c r="H19" s="262">
        <f>SUMIFS(Adjustments!$G:$G,Adjustments!$H:$H,"1",Adjustments!$I:$I,$G$9,Adjustments!$J:$J,$A19)</f>
        <v>0</v>
      </c>
      <c r="I19" s="273">
        <f t="shared" ref="I19:I20" si="10">SUM(G19:H19)</f>
        <v>0</v>
      </c>
      <c r="J19" s="156" t="str">
        <f>'As-Filed Schedule 1'!F18</f>
        <v xml:space="preserve"> $                                     -  </v>
      </c>
      <c r="K19" s="262">
        <f>SUMIFS(Adjustments!$G:$G,Adjustments!$H:$H,"1",Adjustments!$I:$I,$J$9,Adjustments!$J:$J,$A19)</f>
        <v>0</v>
      </c>
      <c r="L19" s="273">
        <f t="shared" ref="L19:L20" si="11">SUM(J19:K19)</f>
        <v>0</v>
      </c>
      <c r="M19" s="156" t="str">
        <f>'As-Filed Schedule 1'!G18</f>
        <v xml:space="preserve"> $                                     -  </v>
      </c>
      <c r="N19" s="262">
        <f>SUMIFS(Adjustments!$G:$G,Adjustments!$H:$H,"1",Adjustments!$I:$I,$M$9,Adjustments!$J:$J,$A19)</f>
        <v>0</v>
      </c>
      <c r="O19" s="273">
        <f t="shared" ref="O19:O20" si="12">SUM(M19:N19)</f>
        <v>0</v>
      </c>
      <c r="P19" s="156" t="str">
        <f>'As-Filed Schedule 1'!H18</f>
        <v xml:space="preserve"> $                                     -  </v>
      </c>
      <c r="Q19" s="262">
        <f>SUMIFS(Adjustments!$G:$G,Adjustments!$H:$H,"1",Adjustments!$I:$I,$P$9,Adjustments!$J:$J,$A19)</f>
        <v>0</v>
      </c>
      <c r="R19" s="273">
        <f t="shared" ref="R19:R20" si="13">SUM(P19:Q19)</f>
        <v>0</v>
      </c>
      <c r="S19" s="156" t="str">
        <f>'As-Filed Schedule 1'!I18</f>
        <v xml:space="preserve"> $                                     -  </v>
      </c>
      <c r="T19" s="262">
        <f>SUMIFS(Adjustments!$G:$G,Adjustments!$H:$H,"1",Adjustments!$I:$I,$S$9,Adjustments!$J:$J,$A19)</f>
        <v>0</v>
      </c>
      <c r="U19" s="273">
        <f t="shared" ref="U19:U20" si="14">SUM(S19:T19)</f>
        <v>0</v>
      </c>
      <c r="V19" s="159">
        <f t="shared" ref="V19:V20" si="15">SUM(D19,G19,J19,M19,P19,S19)</f>
        <v>5</v>
      </c>
      <c r="W19" s="265">
        <f t="shared" ref="W19:W20" si="16">SUM(E19,H19,K19,N19,Q19,T19)</f>
        <v>0</v>
      </c>
      <c r="X19" s="274">
        <f t="shared" ref="X19:X20" si="17">SUM(F19,I19,L19,O19,R19,U19)</f>
        <v>5</v>
      </c>
      <c r="Y19" s="139"/>
    </row>
    <row r="20" spans="1:25" s="22" customFormat="1" x14ac:dyDescent="0.35">
      <c r="A20" s="154">
        <v>6</v>
      </c>
      <c r="B20" s="485" t="s">
        <v>293</v>
      </c>
      <c r="C20" s="486"/>
      <c r="D20" s="155">
        <f>'As-Filed Schedule 1'!D19</f>
        <v>76.150000000000006</v>
      </c>
      <c r="E20" s="262">
        <f>SUMIFS(Adjustments!$G:$G,Adjustments!$H:$H,"1",Adjustments!$I:$I,$D$9,Adjustments!$J:$J,$A20)</f>
        <v>0</v>
      </c>
      <c r="F20" s="271">
        <f>SUM(D20:E20)</f>
        <v>76.150000000000006</v>
      </c>
      <c r="G20" s="156">
        <f>'As-Filed Schedule 1'!E19</f>
        <v>9344472</v>
      </c>
      <c r="H20" s="262">
        <f>SUMIFS(Adjustments!$G:$G,Adjustments!$H:$H,"1",Adjustments!$I:$I,$G$9,Adjustments!$J:$J,$A20)</f>
        <v>-12934</v>
      </c>
      <c r="I20" s="273">
        <f t="shared" si="10"/>
        <v>9331538</v>
      </c>
      <c r="J20" s="156">
        <f>'As-Filed Schedule 1'!F19</f>
        <v>1467703</v>
      </c>
      <c r="K20" s="262">
        <f>SUMIFS(Adjustments!$G:$G,Adjustments!$H:$H,"1",Adjustments!$I:$I,$J$9,Adjustments!$J:$J,$A20)</f>
        <v>-16297</v>
      </c>
      <c r="L20" s="273">
        <f t="shared" si="11"/>
        <v>1451406</v>
      </c>
      <c r="M20" s="156">
        <f>'As-Filed Schedule 1'!G19</f>
        <v>685715</v>
      </c>
      <c r="N20" s="262">
        <f>SUMIFS(Adjustments!$G:$G,Adjustments!$H:$H,"1",Adjustments!$I:$I,$M$9,Adjustments!$J:$J,$A20)</f>
        <v>0</v>
      </c>
      <c r="O20" s="273">
        <f t="shared" si="12"/>
        <v>685715</v>
      </c>
      <c r="P20" s="156">
        <f>'As-Filed Schedule 1'!H19</f>
        <v>1378990</v>
      </c>
      <c r="Q20" s="262">
        <f>SUMIFS(Adjustments!$G:$G,Adjustments!$H:$H,"1",Adjustments!$I:$I,$P$9,Adjustments!$J:$J,$A20)</f>
        <v>16297</v>
      </c>
      <c r="R20" s="273">
        <f t="shared" si="13"/>
        <v>1395287</v>
      </c>
      <c r="S20" s="156" t="str">
        <f>'As-Filed Schedule 1'!I19</f>
        <v xml:space="preserve"> $                                     -  </v>
      </c>
      <c r="T20" s="262">
        <f>SUMIFS(Adjustments!$G:$G,Adjustments!$H:$H,"1",Adjustments!$I:$I,$S$9,Adjustments!$J:$J,$A20)</f>
        <v>0</v>
      </c>
      <c r="U20" s="273">
        <f t="shared" si="14"/>
        <v>0</v>
      </c>
      <c r="V20" s="159">
        <f t="shared" si="15"/>
        <v>12876956.15</v>
      </c>
      <c r="W20" s="265">
        <f t="shared" si="16"/>
        <v>-12934</v>
      </c>
      <c r="X20" s="274">
        <f t="shared" si="17"/>
        <v>12864022.15</v>
      </c>
      <c r="Y20" s="139"/>
    </row>
    <row r="21" spans="1:25" s="22" customFormat="1" x14ac:dyDescent="0.35">
      <c r="A21" s="154">
        <v>7</v>
      </c>
      <c r="B21" s="479" t="s">
        <v>220</v>
      </c>
      <c r="C21" s="480"/>
      <c r="D21" s="158">
        <f>SUM(D19:D20)</f>
        <v>81.150000000000006</v>
      </c>
      <c r="E21" s="158">
        <f t="shared" ref="E21:F21" si="18">SUM(E19:E20)</f>
        <v>0</v>
      </c>
      <c r="F21" s="158">
        <f t="shared" si="18"/>
        <v>81.150000000000006</v>
      </c>
      <c r="G21" s="159">
        <f>SUM(G19:G20)</f>
        <v>9344472</v>
      </c>
      <c r="H21" s="159">
        <f t="shared" ref="H21:U21" si="19">SUM(H19:H20)</f>
        <v>-12934</v>
      </c>
      <c r="I21" s="159">
        <f t="shared" si="19"/>
        <v>9331538</v>
      </c>
      <c r="J21" s="159">
        <f t="shared" si="19"/>
        <v>1467703</v>
      </c>
      <c r="K21" s="159">
        <f t="shared" si="19"/>
        <v>-16297</v>
      </c>
      <c r="L21" s="159">
        <f t="shared" si="19"/>
        <v>1451406</v>
      </c>
      <c r="M21" s="159">
        <f t="shared" si="19"/>
        <v>685715</v>
      </c>
      <c r="N21" s="159">
        <f t="shared" si="19"/>
        <v>0</v>
      </c>
      <c r="O21" s="159">
        <f t="shared" si="19"/>
        <v>685715</v>
      </c>
      <c r="P21" s="159">
        <f t="shared" si="19"/>
        <v>1378990</v>
      </c>
      <c r="Q21" s="159">
        <f t="shared" si="19"/>
        <v>16297</v>
      </c>
      <c r="R21" s="159">
        <f t="shared" si="19"/>
        <v>1395287</v>
      </c>
      <c r="S21" s="159">
        <f t="shared" si="19"/>
        <v>0</v>
      </c>
      <c r="T21" s="159">
        <f t="shared" si="19"/>
        <v>0</v>
      </c>
      <c r="U21" s="159">
        <f t="shared" si="19"/>
        <v>0</v>
      </c>
      <c r="V21" s="159">
        <f>SUM(D21,G21,J21,M21,P21,S21)</f>
        <v>12876961.15</v>
      </c>
      <c r="W21" s="265">
        <f>SUM(E21,H21,K21,N21,Q21,T21)</f>
        <v>-12934</v>
      </c>
      <c r="X21" s="274">
        <f>SUM(F21,I21,L21,O21,R21,U21)</f>
        <v>12864027.15</v>
      </c>
      <c r="Y21" s="139"/>
    </row>
    <row r="22" spans="1:25" s="22" customFormat="1" x14ac:dyDescent="0.35">
      <c r="A22" s="160"/>
      <c r="B22" s="161"/>
      <c r="C22" s="161"/>
      <c r="D22" s="162"/>
      <c r="E22" s="263"/>
      <c r="F22" s="272"/>
      <c r="G22" s="163"/>
      <c r="H22" s="266"/>
      <c r="I22" s="275"/>
      <c r="J22" s="163"/>
      <c r="K22" s="266"/>
      <c r="L22" s="275"/>
      <c r="M22" s="163"/>
      <c r="N22" s="266"/>
      <c r="O22" s="275"/>
      <c r="P22" s="163"/>
      <c r="Q22" s="266"/>
      <c r="R22" s="275"/>
      <c r="S22" s="163"/>
      <c r="T22" s="266"/>
      <c r="U22" s="275"/>
      <c r="V22" s="163"/>
      <c r="W22" s="266"/>
      <c r="X22" s="275"/>
      <c r="Y22" s="139"/>
    </row>
    <row r="23" spans="1:25" s="22" customFormat="1" x14ac:dyDescent="0.35">
      <c r="A23" s="482" t="s">
        <v>275</v>
      </c>
      <c r="B23" s="483"/>
      <c r="C23" s="483"/>
      <c r="D23" s="483"/>
      <c r="E23" s="483"/>
      <c r="F23" s="483"/>
      <c r="G23" s="483"/>
      <c r="H23" s="483"/>
      <c r="I23" s="483"/>
      <c r="J23" s="483"/>
      <c r="K23" s="483"/>
      <c r="L23" s="483"/>
      <c r="M23" s="483"/>
      <c r="N23" s="483"/>
      <c r="O23" s="483"/>
      <c r="P23" s="483"/>
      <c r="Q23" s="483"/>
      <c r="R23" s="483"/>
      <c r="S23" s="483"/>
      <c r="T23" s="483"/>
      <c r="U23" s="483"/>
      <c r="V23" s="483"/>
      <c r="W23" s="483"/>
      <c r="X23" s="484"/>
      <c r="Y23" s="139"/>
    </row>
    <row r="24" spans="1:25" s="22" customFormat="1" x14ac:dyDescent="0.35">
      <c r="A24" s="154">
        <v>8</v>
      </c>
      <c r="B24" s="485" t="s">
        <v>276</v>
      </c>
      <c r="C24" s="488"/>
      <c r="D24" s="488"/>
      <c r="E24" s="488"/>
      <c r="F24" s="486"/>
      <c r="G24" s="164">
        <f>'As-Filed Schedule 1A'!H27*-1</f>
        <v>-181733</v>
      </c>
      <c r="H24" s="159"/>
      <c r="I24" s="164">
        <f>'Schedule 1A Adjustments'!K27*-1</f>
        <v>-181733</v>
      </c>
      <c r="J24" s="164">
        <f>'As-Filed Schedule 1A'!H28*-1</f>
        <v>0</v>
      </c>
      <c r="K24" s="159"/>
      <c r="L24" s="164">
        <f>'Schedule 1A Adjustments'!K28*-1</f>
        <v>0</v>
      </c>
      <c r="M24" s="164">
        <f>-'As-Filed Schedule 1A'!H29</f>
        <v>0</v>
      </c>
      <c r="N24" s="159"/>
      <c r="O24" s="164">
        <f>'Schedule 1A Adjustments'!K29*-1</f>
        <v>0</v>
      </c>
      <c r="P24" s="164">
        <f>-'As-Filed Schedule 1A'!H30</f>
        <v>0</v>
      </c>
      <c r="Q24" s="159"/>
      <c r="R24" s="164">
        <f>'Schedule 1A Adjustments'!K30*-1</f>
        <v>0</v>
      </c>
      <c r="S24" s="164">
        <f>-SUM(G24,J24,M24,P24)</f>
        <v>181733</v>
      </c>
      <c r="T24" s="159"/>
      <c r="U24" s="276">
        <f>-SUM(I24,L24,O24,R24)</f>
        <v>181733</v>
      </c>
      <c r="V24" s="159">
        <f>SUM(G24,J24,M24,P24,S24)</f>
        <v>0</v>
      </c>
      <c r="W24" s="265"/>
      <c r="X24" s="274">
        <f>SUM(I24,L24,O24,R24,U24)</f>
        <v>0</v>
      </c>
      <c r="Y24" s="139"/>
    </row>
    <row r="25" spans="1:25" s="22" customFormat="1" x14ac:dyDescent="0.35">
      <c r="A25" s="154">
        <v>9</v>
      </c>
      <c r="B25" s="479" t="s">
        <v>222</v>
      </c>
      <c r="C25" s="487"/>
      <c r="D25" s="487"/>
      <c r="E25" s="487"/>
      <c r="F25" s="480"/>
      <c r="G25" s="159">
        <f>SUM(G24:G24)</f>
        <v>-181733</v>
      </c>
      <c r="H25" s="159">
        <f t="shared" ref="H25:I25" si="20">SUM(H24:H24)</f>
        <v>0</v>
      </c>
      <c r="I25" s="159">
        <f t="shared" si="20"/>
        <v>-181733</v>
      </c>
      <c r="J25" s="159">
        <f>SUM(J24:J24)</f>
        <v>0</v>
      </c>
      <c r="K25" s="159">
        <f t="shared" ref="K25:L25" si="21">SUM(K24:K24)</f>
        <v>0</v>
      </c>
      <c r="L25" s="159">
        <f t="shared" si="21"/>
        <v>0</v>
      </c>
      <c r="M25" s="159">
        <f>SUM(M24:M24)</f>
        <v>0</v>
      </c>
      <c r="N25" s="159">
        <f t="shared" ref="N25:O25" si="22">SUM(N24:N24)</f>
        <v>0</v>
      </c>
      <c r="O25" s="159">
        <f t="shared" si="22"/>
        <v>0</v>
      </c>
      <c r="P25" s="159">
        <f>SUM(P24:P24)</f>
        <v>0</v>
      </c>
      <c r="Q25" s="159">
        <f t="shared" ref="Q25:R25" si="23">SUM(Q24:Q24)</f>
        <v>0</v>
      </c>
      <c r="R25" s="159">
        <f t="shared" si="23"/>
        <v>0</v>
      </c>
      <c r="S25" s="159">
        <f>SUM(S24:S24)</f>
        <v>181733</v>
      </c>
      <c r="T25" s="159">
        <f t="shared" ref="T25:U25" si="24">SUM(T24:T24)</f>
        <v>0</v>
      </c>
      <c r="U25" s="159">
        <f t="shared" si="24"/>
        <v>181733</v>
      </c>
      <c r="V25" s="159">
        <f>SUM(G25,J25,M25,P25,S25)</f>
        <v>0</v>
      </c>
      <c r="W25" s="265">
        <f>SUM(,H25,K25,N25,Q25,T25)</f>
        <v>0</v>
      </c>
      <c r="X25" s="274">
        <f>SUM(I25,L25,O25,R25,U25)</f>
        <v>0</v>
      </c>
      <c r="Y25" s="139"/>
    </row>
    <row r="26" spans="1:25" s="22" customFormat="1" x14ac:dyDescent="0.35">
      <c r="A26" s="160"/>
      <c r="B26" s="161"/>
      <c r="C26" s="161"/>
      <c r="D26" s="162"/>
      <c r="E26" s="263"/>
      <c r="F26" s="272"/>
      <c r="G26" s="163"/>
      <c r="H26" s="266"/>
      <c r="I26" s="275"/>
      <c r="J26" s="163"/>
      <c r="K26" s="266"/>
      <c r="L26" s="275"/>
      <c r="M26" s="163"/>
      <c r="N26" s="266"/>
      <c r="O26" s="275"/>
      <c r="P26" s="163"/>
      <c r="Q26" s="266"/>
      <c r="R26" s="275"/>
      <c r="S26" s="163"/>
      <c r="T26" s="266"/>
      <c r="U26" s="275"/>
      <c r="V26" s="163"/>
      <c r="W26" s="266"/>
      <c r="X26" s="275"/>
      <c r="Y26" s="139"/>
    </row>
    <row r="27" spans="1:25" s="22" customFormat="1" x14ac:dyDescent="0.35">
      <c r="A27" s="482" t="s">
        <v>235</v>
      </c>
      <c r="B27" s="483"/>
      <c r="C27" s="483"/>
      <c r="D27" s="483"/>
      <c r="E27" s="483"/>
      <c r="F27" s="483"/>
      <c r="G27" s="483"/>
      <c r="H27" s="483"/>
      <c r="I27" s="483"/>
      <c r="J27" s="483"/>
      <c r="K27" s="483"/>
      <c r="L27" s="483"/>
      <c r="M27" s="483"/>
      <c r="N27" s="483"/>
      <c r="O27" s="483"/>
      <c r="P27" s="483"/>
      <c r="Q27" s="483"/>
      <c r="R27" s="483"/>
      <c r="S27" s="483"/>
      <c r="T27" s="483"/>
      <c r="U27" s="483"/>
      <c r="V27" s="483"/>
      <c r="W27" s="483"/>
      <c r="X27" s="484"/>
      <c r="Y27" s="139"/>
    </row>
    <row r="28" spans="1:25" s="22" customFormat="1" x14ac:dyDescent="0.35">
      <c r="A28" s="154">
        <v>10</v>
      </c>
      <c r="B28" s="485" t="s">
        <v>224</v>
      </c>
      <c r="C28" s="488"/>
      <c r="D28" s="488"/>
      <c r="E28" s="488"/>
      <c r="F28" s="486"/>
      <c r="G28" s="156">
        <f>'As-Filed Schedule 1'!E27</f>
        <v>152659</v>
      </c>
      <c r="H28" s="262">
        <f>SUMIFS(Adjustments!$G:$G,Adjustments!$H:$H,"1",Adjustments!$I:$I,$G$9,Adjustments!$J:$J,$A28)</f>
        <v>0</v>
      </c>
      <c r="I28" s="273">
        <f t="shared" ref="I28:I30" si="25">SUM(G28:H28)</f>
        <v>152659</v>
      </c>
      <c r="J28" s="156" t="str">
        <f>'As-Filed Schedule 1'!F27</f>
        <v xml:space="preserve"> $                                     -  </v>
      </c>
      <c r="K28" s="262">
        <f>SUMIFS(Adjustments!$G:$G,Adjustments!$H:$H,"1",Adjustments!$I:$I,$J$9,Adjustments!$J:$J,$A28)</f>
        <v>0</v>
      </c>
      <c r="L28" s="273">
        <f t="shared" ref="L28:L30" si="26">SUM(J28:K28)</f>
        <v>0</v>
      </c>
      <c r="M28" s="156">
        <f>'As-Filed Schedule 1'!G27</f>
        <v>16940</v>
      </c>
      <c r="N28" s="262">
        <f>SUMIFS(Adjustments!$G:$G,Adjustments!$H:$H,"1",Adjustments!$I:$I,$M$9,Adjustments!$J:$J,$A28)</f>
        <v>0</v>
      </c>
      <c r="O28" s="273">
        <f t="shared" ref="O28:O30" si="27">SUM(M28:N28)</f>
        <v>16940</v>
      </c>
      <c r="P28" s="156" t="str">
        <f>'As-Filed Schedule 1'!H27</f>
        <v xml:space="preserve"> $                                     -  </v>
      </c>
      <c r="Q28" s="262">
        <f>SUMIFS(Adjustments!$G:$G,Adjustments!$H:$H,"1",Adjustments!$I:$I,$P$9,Adjustments!$J:$J,$A28)</f>
        <v>0</v>
      </c>
      <c r="R28" s="273">
        <f t="shared" ref="R28:R30" si="28">SUM(P28:Q28)</f>
        <v>0</v>
      </c>
      <c r="S28" s="156" t="str">
        <f>'As-Filed Schedule 1'!I27</f>
        <v xml:space="preserve"> $                                     -  </v>
      </c>
      <c r="T28" s="262">
        <f>SUMIFS(Adjustments!$G:$G,Adjustments!$H:$H,"1",Adjustments!$I:$I,$S$9,Adjustments!$J:$J,$A28)</f>
        <v>0</v>
      </c>
      <c r="U28" s="273">
        <f t="shared" ref="U28:U30" si="29">SUM(S28:T28)</f>
        <v>0</v>
      </c>
      <c r="V28" s="159">
        <f t="shared" ref="V28:V30" si="30">SUM(G28,J28,M28,P28,S28)</f>
        <v>169599</v>
      </c>
      <c r="W28" s="265">
        <f t="shared" ref="W28:W30" si="31">SUM(,H28,K28,N28,Q28,T28)</f>
        <v>0</v>
      </c>
      <c r="X28" s="274">
        <f t="shared" ref="X28:X30" si="32">SUM(I28,L28,O28,R28,U28)</f>
        <v>169599</v>
      </c>
      <c r="Y28" s="139"/>
    </row>
    <row r="29" spans="1:25" s="22" customFormat="1" x14ac:dyDescent="0.35">
      <c r="A29" s="165">
        <v>11</v>
      </c>
      <c r="B29" s="485" t="s">
        <v>223</v>
      </c>
      <c r="C29" s="488"/>
      <c r="D29" s="488"/>
      <c r="E29" s="488"/>
      <c r="F29" s="486"/>
      <c r="G29" s="156">
        <f>'As-Filed Schedule 1'!E28</f>
        <v>2263538</v>
      </c>
      <c r="H29" s="262">
        <f>SUMIFS(Adjustments!$G:$G,Adjustments!$H:$H,"1",Adjustments!$I:$I,$G$9,Adjustments!$J:$J,$A29)</f>
        <v>-268801</v>
      </c>
      <c r="I29" s="273">
        <f t="shared" si="25"/>
        <v>1994737</v>
      </c>
      <c r="J29" s="156">
        <f>'As-Filed Schedule 1'!F28</f>
        <v>5036853</v>
      </c>
      <c r="K29" s="262">
        <f>SUMIFS(Adjustments!$G:$G,Adjustments!$H:$H,"1",Adjustments!$I:$I,$J$9,Adjustments!$J:$J,$A29)</f>
        <v>-633208</v>
      </c>
      <c r="L29" s="273">
        <f t="shared" si="26"/>
        <v>4403645</v>
      </c>
      <c r="M29" s="156">
        <f>'As-Filed Schedule 1'!G28</f>
        <v>993699</v>
      </c>
      <c r="N29" s="262">
        <f>SUMIFS(Adjustments!$G:$G,Adjustments!$H:$H,"1",Adjustments!$I:$I,$M$9,Adjustments!$J:$J,$A29)</f>
        <v>-145835</v>
      </c>
      <c r="O29" s="273">
        <f t="shared" si="27"/>
        <v>847864</v>
      </c>
      <c r="P29" s="156">
        <f>'As-Filed Schedule 1'!H28</f>
        <v>594472</v>
      </c>
      <c r="Q29" s="262">
        <f>SUMIFS(Adjustments!$G:$G,Adjustments!$H:$H,"1",Adjustments!$I:$I,$P$9,Adjustments!$J:$J,$A29)</f>
        <v>-5472</v>
      </c>
      <c r="R29" s="273">
        <f t="shared" si="28"/>
        <v>589000</v>
      </c>
      <c r="S29" s="156" t="str">
        <f>'As-Filed Schedule 1'!I28</f>
        <v xml:space="preserve"> $                                     -  </v>
      </c>
      <c r="T29" s="262">
        <f>SUMIFS(Adjustments!$G:$G,Adjustments!$H:$H,"1",Adjustments!$I:$I,$S$9,Adjustments!$J:$J,$A29)</f>
        <v>0</v>
      </c>
      <c r="U29" s="273">
        <f t="shared" si="29"/>
        <v>0</v>
      </c>
      <c r="V29" s="159">
        <f t="shared" si="30"/>
        <v>8888562</v>
      </c>
      <c r="W29" s="265">
        <f t="shared" si="31"/>
        <v>-1053316</v>
      </c>
      <c r="X29" s="274">
        <f t="shared" si="32"/>
        <v>7835246</v>
      </c>
      <c r="Y29" s="139"/>
    </row>
    <row r="30" spans="1:25" s="22" customFormat="1" x14ac:dyDescent="0.35">
      <c r="A30" s="154">
        <v>12</v>
      </c>
      <c r="B30" s="485" t="s">
        <v>300</v>
      </c>
      <c r="C30" s="488"/>
      <c r="D30" s="488"/>
      <c r="E30" s="488"/>
      <c r="F30" s="486"/>
      <c r="G30" s="156">
        <f>'As-Filed Schedule 1'!E29</f>
        <v>79253</v>
      </c>
      <c r="H30" s="262">
        <f>SUMIFS(Adjustments!$G:$G,Adjustments!$H:$H,"1",Adjustments!$I:$I,$G$9,Adjustments!$J:$J,$A30)</f>
        <v>0</v>
      </c>
      <c r="I30" s="273">
        <f t="shared" si="25"/>
        <v>79253</v>
      </c>
      <c r="J30" s="156">
        <f>'As-Filed Schedule 1'!F29</f>
        <v>54693</v>
      </c>
      <c r="K30" s="262">
        <f>SUMIFS(Adjustments!$G:$G,Adjustments!$H:$H,"1",Adjustments!$I:$I,$J$9,Adjustments!$J:$J,$A30)</f>
        <v>-1159</v>
      </c>
      <c r="L30" s="273">
        <f t="shared" si="26"/>
        <v>53534</v>
      </c>
      <c r="M30" s="156">
        <f>'As-Filed Schedule 1'!G29</f>
        <v>6604</v>
      </c>
      <c r="N30" s="262">
        <f>SUMIFS(Adjustments!$G:$G,Adjustments!$H:$H,"1",Adjustments!$I:$I,$M$9,Adjustments!$J:$J,$A30)</f>
        <v>0</v>
      </c>
      <c r="O30" s="273">
        <f t="shared" si="27"/>
        <v>6604</v>
      </c>
      <c r="P30" s="156">
        <f>'As-Filed Schedule 1'!H29</f>
        <v>8099</v>
      </c>
      <c r="Q30" s="262">
        <f>SUMIFS(Adjustments!$G:$G,Adjustments!$H:$H,"1",Adjustments!$I:$I,$P$9,Adjustments!$J:$J,$A30)</f>
        <v>1159</v>
      </c>
      <c r="R30" s="273">
        <f t="shared" si="28"/>
        <v>9258</v>
      </c>
      <c r="S30" s="156" t="str">
        <f>'As-Filed Schedule 1'!I29</f>
        <v xml:space="preserve"> $                                     -  </v>
      </c>
      <c r="T30" s="262">
        <f>SUMIFS(Adjustments!$G:$G,Adjustments!$H:$H,"1",Adjustments!$I:$I,$S$9,Adjustments!$J:$J,$A30)</f>
        <v>0</v>
      </c>
      <c r="U30" s="273">
        <f t="shared" si="29"/>
        <v>0</v>
      </c>
      <c r="V30" s="159">
        <f t="shared" si="30"/>
        <v>148649</v>
      </c>
      <c r="W30" s="265">
        <f t="shared" si="31"/>
        <v>0</v>
      </c>
      <c r="X30" s="274">
        <f t="shared" si="32"/>
        <v>148649</v>
      </c>
      <c r="Y30" s="139"/>
    </row>
    <row r="31" spans="1:25" s="22" customFormat="1" x14ac:dyDescent="0.35">
      <c r="A31" s="154">
        <v>13</v>
      </c>
      <c r="B31" s="479" t="s">
        <v>225</v>
      </c>
      <c r="C31" s="487"/>
      <c r="D31" s="487"/>
      <c r="E31" s="487"/>
      <c r="F31" s="480"/>
      <c r="G31" s="159">
        <f>SUM(G28:G30)</f>
        <v>2495450</v>
      </c>
      <c r="H31" s="159">
        <f t="shared" ref="H31:I31" si="33">SUM(H28:H30)</f>
        <v>-268801</v>
      </c>
      <c r="I31" s="159">
        <f t="shared" si="33"/>
        <v>2226649</v>
      </c>
      <c r="J31" s="159">
        <f>SUM(J28:J30)</f>
        <v>5091546</v>
      </c>
      <c r="K31" s="159">
        <f t="shared" ref="K31:L31" si="34">SUM(K28:K30)</f>
        <v>-634367</v>
      </c>
      <c r="L31" s="159">
        <f t="shared" si="34"/>
        <v>4457179</v>
      </c>
      <c r="M31" s="159">
        <f>SUM(M28:M30)</f>
        <v>1017243</v>
      </c>
      <c r="N31" s="159">
        <f t="shared" ref="N31:T31" si="35">SUM(N28:N30)</f>
        <v>-145835</v>
      </c>
      <c r="O31" s="159">
        <f t="shared" si="35"/>
        <v>871408</v>
      </c>
      <c r="P31" s="159">
        <f t="shared" si="35"/>
        <v>602571</v>
      </c>
      <c r="Q31" s="159">
        <f t="shared" si="35"/>
        <v>-4313</v>
      </c>
      <c r="R31" s="159">
        <f t="shared" si="35"/>
        <v>598258</v>
      </c>
      <c r="S31" s="159">
        <f t="shared" si="35"/>
        <v>0</v>
      </c>
      <c r="T31" s="159">
        <f t="shared" si="35"/>
        <v>0</v>
      </c>
      <c r="U31" s="159">
        <f>SUM(U28:U30)</f>
        <v>0</v>
      </c>
      <c r="V31" s="159">
        <f>SUM(G31,J31,M31,P31,S31)</f>
        <v>9206810</v>
      </c>
      <c r="W31" s="265">
        <f>SUM(,H31,K31,N31,Q31,T31)</f>
        <v>-1053316</v>
      </c>
      <c r="X31" s="274">
        <f>SUM(I31,L31,O31,R31,U31)</f>
        <v>8153494</v>
      </c>
      <c r="Y31" s="139"/>
    </row>
    <row r="32" spans="1:25" s="22" customFormat="1" x14ac:dyDescent="0.35">
      <c r="A32" s="160"/>
      <c r="B32" s="161"/>
      <c r="C32" s="161"/>
      <c r="D32" s="162"/>
      <c r="E32" s="263"/>
      <c r="F32" s="272"/>
      <c r="G32" s="163"/>
      <c r="H32" s="266"/>
      <c r="I32" s="275"/>
      <c r="J32" s="163"/>
      <c r="K32" s="266"/>
      <c r="L32" s="275"/>
      <c r="M32" s="163"/>
      <c r="N32" s="266"/>
      <c r="O32" s="275"/>
      <c r="P32" s="163"/>
      <c r="Q32" s="266"/>
      <c r="R32" s="275"/>
      <c r="S32" s="163"/>
      <c r="T32" s="266"/>
      <c r="U32" s="275"/>
      <c r="V32" s="163"/>
      <c r="W32" s="266"/>
      <c r="X32" s="275"/>
      <c r="Y32" s="139"/>
    </row>
    <row r="33" spans="1:25" s="22" customFormat="1" x14ac:dyDescent="0.35">
      <c r="A33" s="154">
        <v>14</v>
      </c>
      <c r="B33" s="479" t="s">
        <v>228</v>
      </c>
      <c r="C33" s="487"/>
      <c r="D33" s="487"/>
      <c r="E33" s="487"/>
      <c r="F33" s="480"/>
      <c r="G33" s="159">
        <f>G31+G25+G21+G16</f>
        <v>12179436</v>
      </c>
      <c r="H33" s="159">
        <f t="shared" ref="H33:I33" si="36">H31+H25+H21+H16</f>
        <v>-299935</v>
      </c>
      <c r="I33" s="159">
        <f t="shared" si="36"/>
        <v>11879501</v>
      </c>
      <c r="J33" s="159">
        <f>J31+J25+J21+J16</f>
        <v>27099614</v>
      </c>
      <c r="K33" s="159">
        <f>K31+K25+K21+K16</f>
        <v>-196427</v>
      </c>
      <c r="L33" s="159">
        <f t="shared" ref="L33" si="37">L31+L25+L21+L16</f>
        <v>26903187</v>
      </c>
      <c r="M33" s="159">
        <f>M31+M25+M21+M16</f>
        <v>6654635</v>
      </c>
      <c r="N33" s="159">
        <f t="shared" ref="N33:O33" si="38">N31+N25+N21+N16</f>
        <v>1</v>
      </c>
      <c r="O33" s="159">
        <f t="shared" si="38"/>
        <v>6654636</v>
      </c>
      <c r="P33" s="159">
        <f>P31+P25+P21+P16</f>
        <v>3353499</v>
      </c>
      <c r="Q33" s="159">
        <f t="shared" ref="Q33:R33" si="39">Q31+Q25+Q21+Q16</f>
        <v>214627</v>
      </c>
      <c r="R33" s="159">
        <f t="shared" si="39"/>
        <v>3568126</v>
      </c>
      <c r="S33" s="159">
        <f>S31+S25+S21+S16</f>
        <v>181733</v>
      </c>
      <c r="T33" s="159">
        <f>T31+T25+T21+T16</f>
        <v>0</v>
      </c>
      <c r="U33" s="159">
        <f t="shared" ref="U33" si="40">U31+U25+U21+U16</f>
        <v>181733</v>
      </c>
      <c r="V33" s="159">
        <f>SUM(G33,J33,M33,P33,S33)</f>
        <v>49468917</v>
      </c>
      <c r="W33" s="265">
        <f>SUM(,H33,K33,N33,Q33,T33)</f>
        <v>-281734</v>
      </c>
      <c r="X33" s="274">
        <f>SUM(I33,L33,O33,R33,U33)</f>
        <v>49187183</v>
      </c>
      <c r="Y33" s="139"/>
    </row>
    <row r="34" spans="1:25" s="22" customFormat="1" x14ac:dyDescent="0.35">
      <c r="A34" s="160"/>
      <c r="B34" s="161"/>
      <c r="C34" s="161"/>
      <c r="D34" s="162"/>
      <c r="E34" s="263"/>
      <c r="F34" s="272"/>
      <c r="G34" s="163"/>
      <c r="H34" s="266"/>
      <c r="I34" s="275"/>
      <c r="J34" s="163"/>
      <c r="K34" s="266"/>
      <c r="L34" s="275"/>
      <c r="M34" s="163"/>
      <c r="N34" s="266"/>
      <c r="O34" s="275"/>
      <c r="P34" s="163"/>
      <c r="Q34" s="266"/>
      <c r="R34" s="275"/>
      <c r="S34" s="163"/>
      <c r="T34" s="266"/>
      <c r="U34" s="275"/>
      <c r="V34" s="163"/>
      <c r="W34" s="266"/>
      <c r="X34" s="275"/>
      <c r="Y34" s="139"/>
    </row>
    <row r="35" spans="1:25" s="22" customFormat="1" x14ac:dyDescent="0.35">
      <c r="A35" s="482" t="s">
        <v>234</v>
      </c>
      <c r="B35" s="483"/>
      <c r="C35" s="483"/>
      <c r="D35" s="483"/>
      <c r="E35" s="483"/>
      <c r="F35" s="483"/>
      <c r="G35" s="483"/>
      <c r="H35" s="483"/>
      <c r="I35" s="483"/>
      <c r="J35" s="483"/>
      <c r="K35" s="483"/>
      <c r="L35" s="483"/>
      <c r="M35" s="483"/>
      <c r="N35" s="483"/>
      <c r="O35" s="483"/>
      <c r="P35" s="483"/>
      <c r="Q35" s="483"/>
      <c r="R35" s="483"/>
      <c r="S35" s="483"/>
      <c r="T35" s="483"/>
      <c r="U35" s="483"/>
      <c r="V35" s="483"/>
      <c r="W35" s="483"/>
      <c r="X35" s="484"/>
      <c r="Y35" s="139"/>
    </row>
    <row r="36" spans="1:25" s="22" customFormat="1" x14ac:dyDescent="0.35">
      <c r="A36" s="154">
        <v>15</v>
      </c>
      <c r="B36" s="485" t="s">
        <v>292</v>
      </c>
      <c r="C36" s="488"/>
      <c r="D36" s="488"/>
      <c r="E36" s="488"/>
      <c r="F36" s="486"/>
      <c r="G36" s="156" t="str">
        <f>'As-Filed Schedule 1'!E35</f>
        <v xml:space="preserve"> $                                     -  </v>
      </c>
      <c r="H36" s="262">
        <f>SUMIFS(Adjustments!$G:$G,Adjustments!$H:$H,"1",Adjustments!$I:$I,$G$9,Adjustments!$J:$J,$A36)</f>
        <v>0</v>
      </c>
      <c r="I36" s="273">
        <f t="shared" ref="I36:I38" si="41">SUM(G36:H36)</f>
        <v>0</v>
      </c>
      <c r="J36" s="156">
        <f>'As-Filed Schedule 1'!F35</f>
        <v>-113682</v>
      </c>
      <c r="K36" s="262">
        <f>SUMIFS(Adjustments!$G:$G,Adjustments!$H:$H,"1",Adjustments!$I:$I,$J$9,Adjustments!$J:$J,$A36)</f>
        <v>32910</v>
      </c>
      <c r="L36" s="273">
        <f t="shared" ref="L36:L38" si="42">SUM(J36:K36)</f>
        <v>-80772</v>
      </c>
      <c r="M36" s="156">
        <f>'As-Filed Schedule 1'!G35</f>
        <v>33555</v>
      </c>
      <c r="N36" s="262">
        <f>SUMIFS(Adjustments!$G:$G,Adjustments!$H:$H,"1",Adjustments!$I:$I,$M$9,Adjustments!$J:$J,$A36)</f>
        <v>0</v>
      </c>
      <c r="O36" s="273">
        <f t="shared" ref="O36:O38" si="43">SUM(M36:N36)</f>
        <v>33555</v>
      </c>
      <c r="P36" s="156">
        <f>'As-Filed Schedule 1'!H35</f>
        <v>80127</v>
      </c>
      <c r="Q36" s="262">
        <f>SUMIFS(Adjustments!$G:$G,Adjustments!$H:$H,"1",Adjustments!$I:$I,$P$9,Adjustments!$J:$J,$A36)</f>
        <v>-32910</v>
      </c>
      <c r="R36" s="273">
        <f t="shared" ref="R36:R38" si="44">SUM(P36:Q36)</f>
        <v>47217</v>
      </c>
      <c r="S36" s="156" t="str">
        <f>'As-Filed Schedule 1'!I35</f>
        <v xml:space="preserve"> $                                     -  </v>
      </c>
      <c r="T36" s="262">
        <f>SUMIFS(Adjustments!$G:$G,Adjustments!$H:$H,"1",Adjustments!$I:$I,$S$9,Adjustments!$J:$J,$A36)</f>
        <v>0</v>
      </c>
      <c r="U36" s="273">
        <f>SUM(S36:T36)</f>
        <v>0</v>
      </c>
      <c r="V36" s="159">
        <f t="shared" ref="V36:V39" si="45">SUM(G36,J36,M36,P36,S36)</f>
        <v>0</v>
      </c>
      <c r="W36" s="265">
        <f t="shared" ref="W36:W39" si="46">SUM(,H36,K36,N36,Q36,T36)</f>
        <v>0</v>
      </c>
      <c r="X36" s="274">
        <f t="shared" ref="X36:X39" si="47">SUM(I36,L36,O36,R36,U36)</f>
        <v>0</v>
      </c>
      <c r="Y36" s="139"/>
    </row>
    <row r="37" spans="1:25" s="22" customFormat="1" x14ac:dyDescent="0.35">
      <c r="A37" s="154">
        <v>16</v>
      </c>
      <c r="B37" s="485" t="s">
        <v>227</v>
      </c>
      <c r="C37" s="488"/>
      <c r="D37" s="488"/>
      <c r="E37" s="488"/>
      <c r="F37" s="486"/>
      <c r="G37" s="156">
        <f>'As-Filed Schedule 1'!E36</f>
        <v>485820</v>
      </c>
      <c r="H37" s="262">
        <f>SUMIFS(Adjustments!$G:$G,Adjustments!$H:$H,"1",Adjustments!$I:$I,$G$9,Adjustments!$J:$J,$A37)</f>
        <v>0</v>
      </c>
      <c r="I37" s="273">
        <f t="shared" si="41"/>
        <v>485820</v>
      </c>
      <c r="J37" s="156" t="str">
        <f>'As-Filed Schedule 1'!F36</f>
        <v xml:space="preserve"> $                                     -  </v>
      </c>
      <c r="K37" s="262">
        <f>SUMIFS(Adjustments!$G:$G,Adjustments!$H:$H,"1",Adjustments!$I:$I,$J$9,Adjustments!$J:$J,$A37)</f>
        <v>0</v>
      </c>
      <c r="L37" s="273">
        <f t="shared" si="42"/>
        <v>0</v>
      </c>
      <c r="M37" s="156" t="str">
        <f>'As-Filed Schedule 1'!G36</f>
        <v xml:space="preserve"> $                                     -  </v>
      </c>
      <c r="N37" s="262">
        <f>SUMIFS(Adjustments!$G:$G,Adjustments!$H:$H,"1",Adjustments!$I:$I,$M$9,Adjustments!$J:$J,$A37)</f>
        <v>0</v>
      </c>
      <c r="O37" s="273">
        <f t="shared" si="43"/>
        <v>0</v>
      </c>
      <c r="P37" s="156">
        <f>'As-Filed Schedule 1'!H36</f>
        <v>12250</v>
      </c>
      <c r="Q37" s="262">
        <f>SUMIFS(Adjustments!$G:$G,Adjustments!$H:$H,"1",Adjustments!$I:$I,$P$9,Adjustments!$J:$J,$A37)</f>
        <v>0</v>
      </c>
      <c r="R37" s="273">
        <f t="shared" si="44"/>
        <v>12250</v>
      </c>
      <c r="S37" s="156" t="str">
        <f>'As-Filed Schedule 1'!I36</f>
        <v xml:space="preserve"> $                                     -  </v>
      </c>
      <c r="T37" s="262">
        <f>SUMIFS(Adjustments!$G:$G,Adjustments!$H:$H,"1",Adjustments!$I:$I,$S$9,Adjustments!$J:$J,$A37)</f>
        <v>0</v>
      </c>
      <c r="U37" s="273">
        <f t="shared" ref="U37:U38" si="48">SUM(S37:T37)</f>
        <v>0</v>
      </c>
      <c r="V37" s="159">
        <f t="shared" si="45"/>
        <v>498070</v>
      </c>
      <c r="W37" s="265">
        <f t="shared" si="46"/>
        <v>0</v>
      </c>
      <c r="X37" s="274">
        <f t="shared" si="47"/>
        <v>498070</v>
      </c>
    </row>
    <row r="38" spans="1:25" s="22" customFormat="1" x14ac:dyDescent="0.35">
      <c r="A38" s="165">
        <v>17</v>
      </c>
      <c r="B38" s="485" t="s">
        <v>459</v>
      </c>
      <c r="C38" s="488"/>
      <c r="D38" s="488"/>
      <c r="E38" s="488"/>
      <c r="F38" s="486"/>
      <c r="G38" s="156" t="str">
        <f>'As-Filed Schedule 1'!E37</f>
        <v xml:space="preserve"> $                                     -  </v>
      </c>
      <c r="H38" s="262">
        <f>SUMIFS(Adjustments!$G:$G,Adjustments!$H:$H,"1",Adjustments!$I:$I,$G$9,Adjustments!$J:$J,$A38)</f>
        <v>0</v>
      </c>
      <c r="I38" s="273">
        <f t="shared" si="41"/>
        <v>0</v>
      </c>
      <c r="J38" s="156" t="str">
        <f>'As-Filed Schedule 1'!F37</f>
        <v xml:space="preserve"> $                                     -  </v>
      </c>
      <c r="K38" s="262">
        <f>SUMIFS(Adjustments!$G:$G,Adjustments!$H:$H,"1",Adjustments!$I:$I,$J$9,Adjustments!$J:$J,$A38)</f>
        <v>0</v>
      </c>
      <c r="L38" s="273">
        <f t="shared" si="42"/>
        <v>0</v>
      </c>
      <c r="M38" s="156" t="str">
        <f>'As-Filed Schedule 1'!G37</f>
        <v xml:space="preserve"> $                                     -  </v>
      </c>
      <c r="N38" s="262">
        <f>SUMIFS(Adjustments!$G:$G,Adjustments!$H:$H,"1",Adjustments!$I:$I,$M$9,Adjustments!$J:$J,$A38)</f>
        <v>0</v>
      </c>
      <c r="O38" s="273">
        <f t="shared" si="43"/>
        <v>0</v>
      </c>
      <c r="P38" s="156" t="str">
        <f>'As-Filed Schedule 1'!H37</f>
        <v xml:space="preserve"> $                                     -  </v>
      </c>
      <c r="Q38" s="262">
        <f>SUMIFS(Adjustments!$G:$G,Adjustments!$H:$H,"1",Adjustments!$I:$I,$P$9,Adjustments!$J:$J,$A38)</f>
        <v>0</v>
      </c>
      <c r="R38" s="273">
        <f t="shared" si="44"/>
        <v>0</v>
      </c>
      <c r="S38" s="156" t="str">
        <f>'As-Filed Schedule 1'!I37</f>
        <v xml:space="preserve"> $                                     -  </v>
      </c>
      <c r="T38" s="262">
        <f>SUMIFS(Adjustments!$G:$G,Adjustments!$H:$H,"1",Adjustments!$I:$I,$S$9,Adjustments!$J:$J,$A38)</f>
        <v>0</v>
      </c>
      <c r="U38" s="273">
        <f t="shared" si="48"/>
        <v>0</v>
      </c>
      <c r="V38" s="159">
        <f t="shared" si="45"/>
        <v>0</v>
      </c>
      <c r="W38" s="265">
        <f t="shared" si="46"/>
        <v>0</v>
      </c>
      <c r="X38" s="274">
        <f t="shared" si="47"/>
        <v>0</v>
      </c>
    </row>
    <row r="39" spans="1:25" s="22" customFormat="1" x14ac:dyDescent="0.35">
      <c r="A39" s="154">
        <v>18</v>
      </c>
      <c r="B39" s="479" t="s">
        <v>226</v>
      </c>
      <c r="C39" s="487"/>
      <c r="D39" s="487"/>
      <c r="E39" s="487"/>
      <c r="F39" s="480"/>
      <c r="G39" s="159">
        <f>SUM(G36:G38)</f>
        <v>485820</v>
      </c>
      <c r="H39" s="159">
        <f t="shared" ref="H39:I39" si="49">SUM(H36:H38)</f>
        <v>0</v>
      </c>
      <c r="I39" s="159">
        <f t="shared" si="49"/>
        <v>485820</v>
      </c>
      <c r="J39" s="159">
        <f>SUM(J36:J38)</f>
        <v>-113682</v>
      </c>
      <c r="K39" s="159">
        <f t="shared" ref="K39:L39" si="50">SUM(K36:K38)</f>
        <v>32910</v>
      </c>
      <c r="L39" s="159">
        <f t="shared" si="50"/>
        <v>-80772</v>
      </c>
      <c r="M39" s="159">
        <f t="shared" ref="M39:U39" si="51">SUM(M36:M38)</f>
        <v>33555</v>
      </c>
      <c r="N39" s="159">
        <f t="shared" si="51"/>
        <v>0</v>
      </c>
      <c r="O39" s="159">
        <f t="shared" si="51"/>
        <v>33555</v>
      </c>
      <c r="P39" s="159">
        <f t="shared" si="51"/>
        <v>92377</v>
      </c>
      <c r="Q39" s="159">
        <f t="shared" si="51"/>
        <v>-32910</v>
      </c>
      <c r="R39" s="159">
        <f t="shared" si="51"/>
        <v>59467</v>
      </c>
      <c r="S39" s="159">
        <f t="shared" si="51"/>
        <v>0</v>
      </c>
      <c r="T39" s="159">
        <f t="shared" si="51"/>
        <v>0</v>
      </c>
      <c r="U39" s="159">
        <f t="shared" si="51"/>
        <v>0</v>
      </c>
      <c r="V39" s="159">
        <f t="shared" si="45"/>
        <v>498070</v>
      </c>
      <c r="W39" s="265">
        <f t="shared" si="46"/>
        <v>0</v>
      </c>
      <c r="X39" s="274">
        <f t="shared" si="47"/>
        <v>498070</v>
      </c>
      <c r="Y39" s="139"/>
    </row>
    <row r="40" spans="1:25" s="22" customFormat="1" x14ac:dyDescent="0.35">
      <c r="A40" s="160"/>
      <c r="B40" s="161"/>
      <c r="C40" s="161"/>
      <c r="D40" s="162"/>
      <c r="E40" s="263"/>
      <c r="F40" s="272"/>
      <c r="G40" s="163"/>
      <c r="H40" s="266"/>
      <c r="I40" s="275"/>
      <c r="J40" s="163"/>
      <c r="K40" s="266"/>
      <c r="L40" s="275"/>
      <c r="M40" s="163"/>
      <c r="N40" s="266"/>
      <c r="O40" s="275"/>
      <c r="P40" s="163"/>
      <c r="Q40" s="266"/>
      <c r="R40" s="275"/>
      <c r="S40" s="163"/>
      <c r="T40" s="266"/>
      <c r="U40" s="275"/>
      <c r="V40" s="163"/>
      <c r="W40" s="266"/>
      <c r="X40" s="275"/>
      <c r="Y40" s="139"/>
    </row>
    <row r="41" spans="1:25" s="22" customFormat="1" x14ac:dyDescent="0.35">
      <c r="A41" s="154">
        <v>19</v>
      </c>
      <c r="B41" s="479" t="s">
        <v>229</v>
      </c>
      <c r="C41" s="487"/>
      <c r="D41" s="487"/>
      <c r="E41" s="487"/>
      <c r="F41" s="480"/>
      <c r="G41" s="159">
        <f>G39+G33</f>
        <v>12665256</v>
      </c>
      <c r="H41" s="159">
        <f>H39+H33</f>
        <v>-299935</v>
      </c>
      <c r="I41" s="159">
        <f>I39+I33</f>
        <v>12365321</v>
      </c>
      <c r="J41" s="159">
        <f>J39+J33</f>
        <v>26985932</v>
      </c>
      <c r="K41" s="159">
        <f t="shared" ref="K41:L41" si="52">K39+K33</f>
        <v>-163517</v>
      </c>
      <c r="L41" s="159">
        <f t="shared" si="52"/>
        <v>26822415</v>
      </c>
      <c r="M41" s="159">
        <f>M39+M33</f>
        <v>6688190</v>
      </c>
      <c r="N41" s="159">
        <f t="shared" ref="N41" si="53">N39+N33</f>
        <v>1</v>
      </c>
      <c r="O41" s="159">
        <f>O39+O33</f>
        <v>6688191</v>
      </c>
      <c r="P41" s="159">
        <f>P39+P33</f>
        <v>3445876</v>
      </c>
      <c r="Q41" s="159">
        <f t="shared" ref="Q41" si="54">Q39+Q33</f>
        <v>181717</v>
      </c>
      <c r="R41" s="159">
        <f>R39+R33</f>
        <v>3627593</v>
      </c>
      <c r="S41" s="159">
        <f>S39+S33</f>
        <v>181733</v>
      </c>
      <c r="T41" s="159">
        <f t="shared" ref="T41:U41" si="55">T39+T33</f>
        <v>0</v>
      </c>
      <c r="U41" s="159">
        <f t="shared" si="55"/>
        <v>181733</v>
      </c>
      <c r="V41" s="159">
        <f>SUM(G41,J41,M41,P41,S41)</f>
        <v>49966987</v>
      </c>
      <c r="W41" s="265">
        <f>SUM(,H41,K41,N41,Q41,T41)</f>
        <v>-281734</v>
      </c>
      <c r="X41" s="274">
        <f>SUM(I41,L41,O41,R41,U41)</f>
        <v>49685253</v>
      </c>
      <c r="Y41" s="139"/>
    </row>
    <row r="42" spans="1:25" s="22" customFormat="1" x14ac:dyDescent="0.35">
      <c r="A42" s="160"/>
      <c r="B42" s="161"/>
      <c r="C42" s="161"/>
      <c r="D42" s="162"/>
      <c r="E42" s="263"/>
      <c r="F42" s="272"/>
      <c r="G42" s="163"/>
      <c r="H42" s="266"/>
      <c r="I42" s="275"/>
      <c r="J42" s="163"/>
      <c r="K42" s="266"/>
      <c r="L42" s="275"/>
      <c r="M42" s="163"/>
      <c r="N42" s="266"/>
      <c r="O42" s="275"/>
      <c r="P42" s="163"/>
      <c r="Q42" s="266"/>
      <c r="R42" s="275"/>
      <c r="S42" s="163"/>
      <c r="T42" s="266"/>
      <c r="U42" s="275"/>
      <c r="V42" s="163"/>
      <c r="W42" s="266"/>
      <c r="X42" s="275"/>
      <c r="Y42" s="139"/>
    </row>
    <row r="43" spans="1:25" s="22" customFormat="1" x14ac:dyDescent="0.35">
      <c r="A43" s="482" t="s">
        <v>487</v>
      </c>
      <c r="B43" s="483"/>
      <c r="C43" s="483"/>
      <c r="D43" s="483"/>
      <c r="E43" s="483"/>
      <c r="F43" s="483"/>
      <c r="G43" s="483"/>
      <c r="H43" s="483"/>
      <c r="I43" s="483"/>
      <c r="J43" s="483"/>
      <c r="K43" s="483"/>
      <c r="L43" s="483"/>
      <c r="M43" s="483"/>
      <c r="N43" s="483"/>
      <c r="O43" s="483"/>
      <c r="P43" s="483"/>
      <c r="Q43" s="483"/>
      <c r="R43" s="483"/>
      <c r="S43" s="483"/>
      <c r="T43" s="483"/>
      <c r="U43" s="483"/>
      <c r="V43" s="483"/>
      <c r="W43" s="483"/>
      <c r="X43" s="484"/>
      <c r="Y43" s="139"/>
    </row>
    <row r="44" spans="1:25" s="22" customFormat="1" x14ac:dyDescent="0.35">
      <c r="A44" s="154">
        <v>20</v>
      </c>
      <c r="B44" s="485" t="s">
        <v>283</v>
      </c>
      <c r="C44" s="488"/>
      <c r="D44" s="488"/>
      <c r="E44" s="488"/>
      <c r="F44" s="486"/>
      <c r="G44" s="156" t="str">
        <f>'As-Filed Schedule 1'!E43</f>
        <v xml:space="preserve"> $                                     -  </v>
      </c>
      <c r="H44" s="262">
        <f>SUMIFS(Adjustments!$G:$G,Adjustments!$H:$H,"1",Adjustments!$I:$I,$G$9,Adjustments!$J:$J,$A44)</f>
        <v>0</v>
      </c>
      <c r="I44" s="273">
        <f>SUM(G44:H44)</f>
        <v>0</v>
      </c>
      <c r="J44" s="156" t="str">
        <f>'As-Filed Schedule 1'!F43</f>
        <v xml:space="preserve"> $                                     -  </v>
      </c>
      <c r="K44" s="262">
        <f>SUMIFS(Adjustments!$G:$G,Adjustments!$H:$H,"1",Adjustments!$I:$I,$J$9,Adjustments!$J:$J,$A44)</f>
        <v>0</v>
      </c>
      <c r="L44" s="273">
        <f t="shared" ref="L44:L50" si="56">SUM(J44:K44)</f>
        <v>0</v>
      </c>
      <c r="M44" s="156" t="str">
        <f>'As-Filed Schedule 1'!G43</f>
        <v xml:space="preserve"> $                                     -  </v>
      </c>
      <c r="N44" s="262">
        <f>SUMIFS(Adjustments!$G:$G,Adjustments!$H:$H,"1",Adjustments!$I:$I,$M$9,Adjustments!$J:$J,$A44)</f>
        <v>0</v>
      </c>
      <c r="O44" s="273">
        <f t="shared" ref="O44:O50" si="57">SUM(M44:N44)</f>
        <v>0</v>
      </c>
      <c r="P44" s="156" t="str">
        <f>'As-Filed Schedule 1'!H43</f>
        <v xml:space="preserve"> $                                     -  </v>
      </c>
      <c r="Q44" s="262">
        <f>SUMIFS(Adjustments!$G:$G,Adjustments!$H:$H,"1",Adjustments!$I:$I,$P$9,Adjustments!$J:$J,$A44)</f>
        <v>0</v>
      </c>
      <c r="R44" s="273">
        <f t="shared" ref="R44:R50" si="58">SUM(P44:Q44)</f>
        <v>0</v>
      </c>
      <c r="S44" s="156" t="str">
        <f>'As-Filed Schedule 1'!I43</f>
        <v xml:space="preserve"> $                                     -  </v>
      </c>
      <c r="T44" s="262">
        <f>SUMIFS(Adjustments!$G:$G,Adjustments!$H:$H,"1",Adjustments!$I:$I,$S$9,Adjustments!$J:$J,$A44)</f>
        <v>0</v>
      </c>
      <c r="U44" s="273">
        <f t="shared" ref="U44:U50" si="59">SUM(S44:T44)</f>
        <v>0</v>
      </c>
      <c r="V44" s="159">
        <f t="shared" ref="V44:V51" si="60">SUM(G44,J44,M44,P44,S44)</f>
        <v>0</v>
      </c>
      <c r="W44" s="265">
        <f t="shared" ref="W44:W51" si="61">SUM(,H44,K44,N44,Q44,T44)</f>
        <v>0</v>
      </c>
      <c r="X44" s="274">
        <f t="shared" ref="X44:X51" si="62">SUM(I44,L44,O44,R44,U44)</f>
        <v>0</v>
      </c>
      <c r="Y44" s="139"/>
    </row>
    <row r="45" spans="1:25" s="22" customFormat="1" x14ac:dyDescent="0.35">
      <c r="A45" s="154">
        <v>21</v>
      </c>
      <c r="B45" s="485" t="s">
        <v>230</v>
      </c>
      <c r="C45" s="488"/>
      <c r="D45" s="488"/>
      <c r="E45" s="488"/>
      <c r="F45" s="486"/>
      <c r="G45" s="156" t="str">
        <f>'As-Filed Schedule 1'!E44</f>
        <v xml:space="preserve"> $                                     -  </v>
      </c>
      <c r="H45" s="262">
        <f>SUMIFS(Adjustments!$G:$G,Adjustments!$H:$H,"1",Adjustments!$I:$I,$G$9,Adjustments!$J:$J,$A45)</f>
        <v>0</v>
      </c>
      <c r="I45" s="273">
        <f>SUM(G45:H45)</f>
        <v>0</v>
      </c>
      <c r="J45" s="156" t="str">
        <f>'As-Filed Schedule 1'!F44</f>
        <v xml:space="preserve"> $                                     -  </v>
      </c>
      <c r="K45" s="262">
        <f>SUMIFS(Adjustments!$G:$G,Adjustments!$H:$H,"1",Adjustments!$I:$I,$J$9,Adjustments!$J:$J,$A45)</f>
        <v>0</v>
      </c>
      <c r="L45" s="273">
        <f t="shared" si="56"/>
        <v>0</v>
      </c>
      <c r="M45" s="156" t="str">
        <f>'As-Filed Schedule 1'!G44</f>
        <v xml:space="preserve"> $                                     -  </v>
      </c>
      <c r="N45" s="262">
        <f>SUMIFS(Adjustments!$G:$G,Adjustments!$H:$H,"1",Adjustments!$I:$I,$M$9,Adjustments!$J:$J,$A45)</f>
        <v>0</v>
      </c>
      <c r="O45" s="273">
        <f t="shared" si="57"/>
        <v>0</v>
      </c>
      <c r="P45" s="156" t="str">
        <f>'As-Filed Schedule 1'!H44</f>
        <v xml:space="preserve"> $                                     -  </v>
      </c>
      <c r="Q45" s="262">
        <f>SUMIFS(Adjustments!$G:$G,Adjustments!$H:$H,"1",Adjustments!$I:$I,$P$9,Adjustments!$J:$J,$A45)</f>
        <v>0</v>
      </c>
      <c r="R45" s="273">
        <f t="shared" si="58"/>
        <v>0</v>
      </c>
      <c r="S45" s="156" t="str">
        <f>'As-Filed Schedule 1'!I44</f>
        <v xml:space="preserve"> $                                     -  </v>
      </c>
      <c r="T45" s="262">
        <f>SUMIFS(Adjustments!$G:$G,Adjustments!$H:$H,"1",Adjustments!$I:$I,$S$9,Adjustments!$J:$J,$A45)</f>
        <v>0</v>
      </c>
      <c r="U45" s="273">
        <f t="shared" si="59"/>
        <v>0</v>
      </c>
      <c r="V45" s="159">
        <f t="shared" si="60"/>
        <v>0</v>
      </c>
      <c r="W45" s="265">
        <f t="shared" si="61"/>
        <v>0</v>
      </c>
      <c r="X45" s="274">
        <f t="shared" si="62"/>
        <v>0</v>
      </c>
      <c r="Y45" s="139"/>
    </row>
    <row r="46" spans="1:25" s="22" customFormat="1" x14ac:dyDescent="0.35">
      <c r="A46" s="154">
        <v>22</v>
      </c>
      <c r="B46" s="485" t="s">
        <v>288</v>
      </c>
      <c r="C46" s="488"/>
      <c r="D46" s="488"/>
      <c r="E46" s="488"/>
      <c r="F46" s="486"/>
      <c r="G46" s="156">
        <f>'As-Filed Schedule 1'!E45</f>
        <v>59183</v>
      </c>
      <c r="H46" s="262">
        <f>SUMIFS(Adjustments!$G:$G,Adjustments!$H:$H,"1",Adjustments!$I:$I,$G$9,Adjustments!$J:$J,$A46)</f>
        <v>-291</v>
      </c>
      <c r="I46" s="273">
        <f t="shared" ref="I46" si="63">SUM(G46:H46)</f>
        <v>58892</v>
      </c>
      <c r="J46" s="156">
        <f>'As-Filed Schedule 1'!F45</f>
        <v>28548</v>
      </c>
      <c r="K46" s="262">
        <f>SUMIFS(Adjustments!$G:$G,Adjustments!$H:$H,"1",Adjustments!$I:$I,$J$9,Adjustments!$J:$J,$A46)</f>
        <v>-415</v>
      </c>
      <c r="L46" s="273">
        <f t="shared" si="56"/>
        <v>28133</v>
      </c>
      <c r="M46" s="156">
        <f>'As-Filed Schedule 1'!G45</f>
        <v>167185</v>
      </c>
      <c r="N46" s="262">
        <f>SUMIFS(Adjustments!$G:$G,Adjustments!$H:$H,"1",Adjustments!$I:$I,$M$9,Adjustments!$J:$J,$A46)</f>
        <v>0</v>
      </c>
      <c r="O46" s="273">
        <f t="shared" si="57"/>
        <v>167185</v>
      </c>
      <c r="P46" s="156">
        <f>'As-Filed Schedule 1'!H45</f>
        <v>7069</v>
      </c>
      <c r="Q46" s="262">
        <f>SUMIFS(Adjustments!$G:$G,Adjustments!$H:$H,"1",Adjustments!$I:$I,$P$9,Adjustments!$J:$J,$A46)</f>
        <v>706</v>
      </c>
      <c r="R46" s="273">
        <f t="shared" si="58"/>
        <v>7775</v>
      </c>
      <c r="S46" s="156" t="str">
        <f>'As-Filed Schedule 1'!I45</f>
        <v xml:space="preserve"> $                                     -  </v>
      </c>
      <c r="T46" s="262">
        <f>SUMIFS(Adjustments!$G:$G,Adjustments!$H:$H,"1",Adjustments!$I:$I,$S$9,Adjustments!$J:$J,$A46)</f>
        <v>0</v>
      </c>
      <c r="U46" s="273">
        <f t="shared" si="59"/>
        <v>0</v>
      </c>
      <c r="V46" s="159">
        <f t="shared" si="60"/>
        <v>261985</v>
      </c>
      <c r="W46" s="265">
        <f t="shared" si="61"/>
        <v>0</v>
      </c>
      <c r="X46" s="274">
        <f t="shared" si="62"/>
        <v>261985</v>
      </c>
      <c r="Y46" s="139"/>
    </row>
    <row r="47" spans="1:25" s="22" customFormat="1" x14ac:dyDescent="0.35">
      <c r="A47" s="154">
        <v>23</v>
      </c>
      <c r="B47" s="485" t="s">
        <v>284</v>
      </c>
      <c r="C47" s="488"/>
      <c r="D47" s="488"/>
      <c r="E47" s="488"/>
      <c r="F47" s="486"/>
      <c r="G47" s="156" t="str">
        <f>'As-Filed Schedule 1'!E46</f>
        <v xml:space="preserve"> $                                     -  </v>
      </c>
      <c r="H47" s="262">
        <f>SUMIFS(Adjustments!$G:$G,Adjustments!$H:$H,"1",Adjustments!$I:$I,$G$9,Adjustments!$J:$J,$A47)</f>
        <v>0</v>
      </c>
      <c r="I47" s="273">
        <f>SUM(G47:H47)</f>
        <v>0</v>
      </c>
      <c r="J47" s="156" t="str">
        <f>'As-Filed Schedule 1'!F46</f>
        <v xml:space="preserve"> $                                     -  </v>
      </c>
      <c r="K47" s="262">
        <f>SUMIFS(Adjustments!$G:$G,Adjustments!$H:$H,"1",Adjustments!$I:$I,$J$9,Adjustments!$J:$J,$A47)</f>
        <v>0</v>
      </c>
      <c r="L47" s="273">
        <f t="shared" si="56"/>
        <v>0</v>
      </c>
      <c r="M47" s="156" t="str">
        <f>'As-Filed Schedule 1'!G46</f>
        <v xml:space="preserve"> $                                     -  </v>
      </c>
      <c r="N47" s="262">
        <f>SUMIFS(Adjustments!$G:$G,Adjustments!$H:$H,"1",Adjustments!$I:$I,$M$9,Adjustments!$J:$J,$A47)</f>
        <v>0</v>
      </c>
      <c r="O47" s="273">
        <f t="shared" si="57"/>
        <v>0</v>
      </c>
      <c r="P47" s="156" t="str">
        <f>'As-Filed Schedule 1'!H46</f>
        <v xml:space="preserve"> $                                     -  </v>
      </c>
      <c r="Q47" s="262">
        <f>SUMIFS(Adjustments!$G:$G,Adjustments!$H:$H,"1",Adjustments!$I:$I,$P$9,Adjustments!$J:$J,$A47)</f>
        <v>0</v>
      </c>
      <c r="R47" s="273">
        <f t="shared" si="58"/>
        <v>0</v>
      </c>
      <c r="S47" s="156" t="str">
        <f>'As-Filed Schedule 1'!I46</f>
        <v xml:space="preserve"> $                                     -  </v>
      </c>
      <c r="T47" s="262">
        <f>SUMIFS(Adjustments!$G:$G,Adjustments!$H:$H,"1",Adjustments!$I:$I,$S$9,Adjustments!$J:$J,$A47)</f>
        <v>0</v>
      </c>
      <c r="U47" s="273">
        <f t="shared" si="59"/>
        <v>0</v>
      </c>
      <c r="V47" s="159">
        <f t="shared" si="60"/>
        <v>0</v>
      </c>
      <c r="W47" s="265">
        <f t="shared" si="61"/>
        <v>0</v>
      </c>
      <c r="X47" s="274">
        <f t="shared" si="62"/>
        <v>0</v>
      </c>
      <c r="Y47" s="139"/>
    </row>
    <row r="48" spans="1:25" s="22" customFormat="1" x14ac:dyDescent="0.35">
      <c r="A48" s="154">
        <v>24</v>
      </c>
      <c r="B48" s="485" t="s">
        <v>314</v>
      </c>
      <c r="C48" s="488"/>
      <c r="D48" s="488"/>
      <c r="E48" s="488"/>
      <c r="F48" s="486"/>
      <c r="G48" s="156" t="str">
        <f>'As-Filed Schedule 1'!E47</f>
        <v xml:space="preserve"> $                                     -  </v>
      </c>
      <c r="H48" s="262">
        <f>SUMIFS(Adjustments!$G:$G,Adjustments!$H:$H,"1",Adjustments!$I:$I,$G$9,Adjustments!$J:$J,$A48)</f>
        <v>0</v>
      </c>
      <c r="I48" s="273">
        <f>SUM(G48:H48)</f>
        <v>0</v>
      </c>
      <c r="J48" s="156" t="str">
        <f>'As-Filed Schedule 1'!F47</f>
        <v xml:space="preserve"> $                                     -  </v>
      </c>
      <c r="K48" s="262">
        <f>SUMIFS(Adjustments!$G:$G,Adjustments!$H:$H,"1",Adjustments!$I:$I,$J$9,Adjustments!$J:$J,$A48)</f>
        <v>0</v>
      </c>
      <c r="L48" s="273">
        <f t="shared" si="56"/>
        <v>0</v>
      </c>
      <c r="M48" s="156" t="str">
        <f>'As-Filed Schedule 1'!G47</f>
        <v xml:space="preserve"> $                                     -  </v>
      </c>
      <c r="N48" s="262">
        <f>SUMIFS(Adjustments!$G:$G,Adjustments!$H:$H,"1",Adjustments!$I:$I,$M$9,Adjustments!$J:$J,$A48)</f>
        <v>46979</v>
      </c>
      <c r="O48" s="273">
        <f t="shared" si="57"/>
        <v>46979</v>
      </c>
      <c r="P48" s="156" t="str">
        <f>'As-Filed Schedule 1'!H47</f>
        <v xml:space="preserve"> $                                     -  </v>
      </c>
      <c r="Q48" s="262">
        <f>SUMIFS(Adjustments!$G:$G,Adjustments!$H:$H,"1",Adjustments!$I:$I,$P$9,Adjustments!$J:$J,$A48)</f>
        <v>11951633</v>
      </c>
      <c r="R48" s="273">
        <f t="shared" si="58"/>
        <v>11951633</v>
      </c>
      <c r="S48" s="156" t="str">
        <f>'As-Filed Schedule 1'!I47</f>
        <v xml:space="preserve"> $                                     -  </v>
      </c>
      <c r="T48" s="262">
        <f>SUMIFS(Adjustments!$G:$G,Adjustments!$H:$H,"1",Adjustments!$I:$I,$S$9,Adjustments!$J:$J,$A48)</f>
        <v>0</v>
      </c>
      <c r="U48" s="273">
        <f t="shared" si="59"/>
        <v>0</v>
      </c>
      <c r="V48" s="159">
        <f t="shared" si="60"/>
        <v>0</v>
      </c>
      <c r="W48" s="265">
        <f>SUM(,H48,K48,N48,Q48,T48)</f>
        <v>11998612</v>
      </c>
      <c r="X48" s="274">
        <f t="shared" si="62"/>
        <v>11998612</v>
      </c>
      <c r="Y48" s="139"/>
    </row>
    <row r="49" spans="1:25" s="22" customFormat="1" x14ac:dyDescent="0.35">
      <c r="A49" s="154">
        <v>25</v>
      </c>
      <c r="B49" s="485" t="s">
        <v>775</v>
      </c>
      <c r="C49" s="488"/>
      <c r="D49" s="488"/>
      <c r="E49" s="488"/>
      <c r="F49" s="486"/>
      <c r="G49" s="156" t="str">
        <f>'As-Filed Schedule 1'!E48</f>
        <v xml:space="preserve"> $                                     -  </v>
      </c>
      <c r="H49" s="262">
        <f>SUMIFS(Adjustments!$G:$G,Adjustments!$H:$H,"1",Adjustments!$I:$I,$G$9,Adjustments!$J:$J,$A49)</f>
        <v>0</v>
      </c>
      <c r="I49" s="273">
        <f>SUM(G49:H49)</f>
        <v>0</v>
      </c>
      <c r="J49" s="156" t="str">
        <f>'As-Filed Schedule 1'!F48</f>
        <v xml:space="preserve"> $                                     -  </v>
      </c>
      <c r="K49" s="262">
        <f>SUMIFS(Adjustments!$G:$G,Adjustments!$H:$H,"1",Adjustments!$I:$I,$J$9,Adjustments!$J:$J,$A49)</f>
        <v>0</v>
      </c>
      <c r="L49" s="273">
        <f t="shared" ref="L49" si="64">SUM(J49:K49)</f>
        <v>0</v>
      </c>
      <c r="M49" s="156" t="str">
        <f>'As-Filed Schedule 1'!G48</f>
        <v xml:space="preserve"> $                                     -  </v>
      </c>
      <c r="N49" s="262">
        <f>SUMIFS(Adjustments!$G:$G,Adjustments!$H:$H,"1",Adjustments!$I:$I,$M$9,Adjustments!$J:$J,$A49)</f>
        <v>0</v>
      </c>
      <c r="O49" s="273">
        <f t="shared" ref="O49" si="65">SUM(M49:N49)</f>
        <v>0</v>
      </c>
      <c r="P49" s="156" t="str">
        <f>'As-Filed Schedule 1'!H48</f>
        <v xml:space="preserve"> $                                     -  </v>
      </c>
      <c r="Q49" s="262">
        <f>SUMIFS(Adjustments!$G:$G,Adjustments!$H:$H,"1",Adjustments!$I:$I,$P$9,Adjustments!$J:$J,$A49)</f>
        <v>0</v>
      </c>
      <c r="R49" s="273">
        <f t="shared" ref="R49" si="66">SUM(P49:Q49)</f>
        <v>0</v>
      </c>
      <c r="S49" s="156" t="str">
        <f>'As-Filed Schedule 1'!I48</f>
        <v xml:space="preserve"> $                                     -  </v>
      </c>
      <c r="T49" s="262">
        <f>SUMIFS(Adjustments!$G:$G,Adjustments!$H:$H,"1",Adjustments!$I:$I,$S$9,Adjustments!$J:$J,$A49)</f>
        <v>0</v>
      </c>
      <c r="U49" s="273">
        <f t="shared" ref="U49" si="67">SUM(S49:T49)</f>
        <v>0</v>
      </c>
      <c r="V49" s="159">
        <f t="shared" ref="V49" si="68">SUM(G49,J49,M49,P49,S49)</f>
        <v>0</v>
      </c>
      <c r="W49" s="265">
        <f>SUM(,H49,K49,N49,Q49,T49)</f>
        <v>0</v>
      </c>
      <c r="X49" s="274">
        <f t="shared" ref="X49" si="69">SUM(I49,L49,O49,R49,U49)</f>
        <v>0</v>
      </c>
      <c r="Y49" s="139"/>
    </row>
    <row r="50" spans="1:25" s="22" customFormat="1" x14ac:dyDescent="0.35">
      <c r="A50" s="154">
        <v>26</v>
      </c>
      <c r="B50" s="560" t="s">
        <v>452</v>
      </c>
      <c r="C50" s="561"/>
      <c r="D50" s="561"/>
      <c r="E50" s="561"/>
      <c r="F50" s="562"/>
      <c r="G50" s="156">
        <f>'As-Filed Schedule 1'!E49</f>
        <v>-2286</v>
      </c>
      <c r="H50" s="262">
        <f>SUMIFS(Adjustments!$G:$G,Adjustments!$H:$H,"1",Adjustments!$I:$I,$G$9,Adjustments!$J:$J,$A50)</f>
        <v>-5637</v>
      </c>
      <c r="I50" s="273">
        <f>SUM(G50:H50)</f>
        <v>-7923</v>
      </c>
      <c r="J50" s="156">
        <f>'As-Filed Schedule 1'!F49</f>
        <v>127956</v>
      </c>
      <c r="K50" s="262">
        <f>SUMIFS(Adjustments!$G:$G,Adjustments!$H:$H,"1",Adjustments!$I:$I,$J$9,Adjustments!$J:$J,$A50)</f>
        <v>-2111</v>
      </c>
      <c r="L50" s="273">
        <f t="shared" si="56"/>
        <v>125845</v>
      </c>
      <c r="M50" s="156">
        <f>'As-Filed Schedule 1'!G49</f>
        <v>80109</v>
      </c>
      <c r="N50" s="262">
        <f>SUMIFS(Adjustments!$G:$G,Adjustments!$H:$H,"1",Adjustments!$I:$I,$M$9,Adjustments!$J:$J,$A50)</f>
        <v>-46992</v>
      </c>
      <c r="O50" s="273">
        <f t="shared" si="57"/>
        <v>33117</v>
      </c>
      <c r="P50" s="156">
        <f>'As-Filed Schedule 1'!H49</f>
        <v>11962447</v>
      </c>
      <c r="Q50" s="262">
        <f>SUMIFS(Adjustments!$G:$G,Adjustments!$H:$H,"1",Adjustments!$I:$I,$P$9,Adjustments!$J:$J,$A50)</f>
        <v>-11943872</v>
      </c>
      <c r="R50" s="273">
        <f t="shared" si="58"/>
        <v>18575</v>
      </c>
      <c r="S50" s="156" t="str">
        <f>'As-Filed Schedule 1'!I49</f>
        <v xml:space="preserve"> $                                     -  </v>
      </c>
      <c r="T50" s="262">
        <f>SUMIFS(Adjustments!$G:$G,Adjustments!$H:$H,"1",Adjustments!$I:$I,$S$9,Adjustments!$J:$J,$A50)</f>
        <v>0</v>
      </c>
      <c r="U50" s="273">
        <f t="shared" si="59"/>
        <v>0</v>
      </c>
      <c r="V50" s="159">
        <f t="shared" si="60"/>
        <v>12168226</v>
      </c>
      <c r="W50" s="265">
        <f t="shared" si="61"/>
        <v>-11998612</v>
      </c>
      <c r="X50" s="274">
        <f t="shared" si="62"/>
        <v>169614</v>
      </c>
      <c r="Y50" s="139"/>
    </row>
    <row r="51" spans="1:25" s="22" customFormat="1" x14ac:dyDescent="0.35">
      <c r="A51" s="154">
        <v>27</v>
      </c>
      <c r="B51" s="479" t="s">
        <v>238</v>
      </c>
      <c r="C51" s="487"/>
      <c r="D51" s="487"/>
      <c r="E51" s="487"/>
      <c r="F51" s="480"/>
      <c r="G51" s="159">
        <f t="shared" ref="G51:U51" si="70">SUM(G44:G50)</f>
        <v>56897</v>
      </c>
      <c r="H51" s="159">
        <f t="shared" si="70"/>
        <v>-5928</v>
      </c>
      <c r="I51" s="159">
        <f t="shared" si="70"/>
        <v>50969</v>
      </c>
      <c r="J51" s="159">
        <f t="shared" si="70"/>
        <v>156504</v>
      </c>
      <c r="K51" s="159">
        <f t="shared" si="70"/>
        <v>-2526</v>
      </c>
      <c r="L51" s="159">
        <f t="shared" si="70"/>
        <v>153978</v>
      </c>
      <c r="M51" s="159">
        <f t="shared" si="70"/>
        <v>247294</v>
      </c>
      <c r="N51" s="159">
        <f t="shared" si="70"/>
        <v>-13</v>
      </c>
      <c r="O51" s="159">
        <f t="shared" si="70"/>
        <v>247281</v>
      </c>
      <c r="P51" s="159">
        <f t="shared" si="70"/>
        <v>11969516</v>
      </c>
      <c r="Q51" s="159">
        <f t="shared" si="70"/>
        <v>8467</v>
      </c>
      <c r="R51" s="159">
        <f t="shared" si="70"/>
        <v>11977983</v>
      </c>
      <c r="S51" s="159">
        <f t="shared" si="70"/>
        <v>0</v>
      </c>
      <c r="T51" s="159">
        <f t="shared" si="70"/>
        <v>0</v>
      </c>
      <c r="U51" s="159">
        <f t="shared" si="70"/>
        <v>0</v>
      </c>
      <c r="V51" s="159">
        <f t="shared" si="60"/>
        <v>12430211</v>
      </c>
      <c r="W51" s="265">
        <f t="shared" si="61"/>
        <v>0</v>
      </c>
      <c r="X51" s="274">
        <f t="shared" si="62"/>
        <v>12430211</v>
      </c>
      <c r="Y51" s="139"/>
    </row>
    <row r="52" spans="1:25" s="22" customFormat="1" x14ac:dyDescent="0.35">
      <c r="A52" s="160"/>
      <c r="B52" s="563"/>
      <c r="C52" s="563"/>
      <c r="D52" s="563"/>
      <c r="E52" s="563"/>
      <c r="F52" s="563"/>
      <c r="G52" s="563"/>
      <c r="H52" s="563"/>
      <c r="I52" s="563"/>
      <c r="J52" s="563"/>
      <c r="K52" s="563"/>
      <c r="L52" s="563"/>
      <c r="M52" s="563"/>
      <c r="N52" s="269"/>
      <c r="O52" s="279"/>
      <c r="P52" s="163"/>
      <c r="Q52" s="266"/>
      <c r="R52" s="275"/>
      <c r="S52" s="163"/>
      <c r="T52" s="266"/>
      <c r="U52" s="275"/>
      <c r="V52" s="163"/>
      <c r="W52" s="266"/>
      <c r="X52" s="275"/>
      <c r="Y52" s="139"/>
    </row>
    <row r="53" spans="1:25" s="22" customFormat="1" x14ac:dyDescent="0.35">
      <c r="A53" s="482" t="s">
        <v>233</v>
      </c>
      <c r="B53" s="483"/>
      <c r="C53" s="483"/>
      <c r="D53" s="483"/>
      <c r="E53" s="483"/>
      <c r="F53" s="483"/>
      <c r="G53" s="483"/>
      <c r="H53" s="483"/>
      <c r="I53" s="483"/>
      <c r="J53" s="483"/>
      <c r="K53" s="483"/>
      <c r="L53" s="483"/>
      <c r="M53" s="483"/>
      <c r="N53" s="483"/>
      <c r="O53" s="483"/>
      <c r="P53" s="483"/>
      <c r="Q53" s="483"/>
      <c r="R53" s="483"/>
      <c r="S53" s="483"/>
      <c r="T53" s="483"/>
      <c r="U53" s="483"/>
      <c r="V53" s="483"/>
      <c r="W53" s="483"/>
      <c r="X53" s="484"/>
      <c r="Y53" s="139"/>
    </row>
    <row r="54" spans="1:25" s="22" customFormat="1" x14ac:dyDescent="0.35">
      <c r="A54" s="154">
        <v>28</v>
      </c>
      <c r="B54" s="485" t="s">
        <v>282</v>
      </c>
      <c r="C54" s="488"/>
      <c r="D54" s="488"/>
      <c r="E54" s="488"/>
      <c r="F54" s="486"/>
      <c r="G54" s="156" t="str">
        <f>'As-Filed Schedule 1'!E53</f>
        <v xml:space="preserve"> $                                     -  </v>
      </c>
      <c r="H54" s="262">
        <f>SUMIFS(Adjustments!$G:$G,Adjustments!$H:$H,"1",Adjustments!$I:$I,$G$9,Adjustments!$J:$J,$A54)</f>
        <v>0</v>
      </c>
      <c r="I54" s="273">
        <f t="shared" ref="I54:I57" si="71">SUM(G54:H54)</f>
        <v>0</v>
      </c>
      <c r="J54" s="156" t="str">
        <f>'As-Filed Schedule 1'!F53</f>
        <v xml:space="preserve"> $                                     -  </v>
      </c>
      <c r="K54" s="262">
        <f>SUMIFS(Adjustments!$G:$G,Adjustments!$H:$H,"1",Adjustments!$I:$I,$J$9,Adjustments!$J:$J,$A54)</f>
        <v>0</v>
      </c>
      <c r="L54" s="273">
        <f t="shared" ref="L54:L57" si="72">SUM(J54:K54)</f>
        <v>0</v>
      </c>
      <c r="M54" s="156" t="str">
        <f>'As-Filed Schedule 1'!G53</f>
        <v xml:space="preserve"> $                                     -  </v>
      </c>
      <c r="N54" s="262">
        <f>SUMIFS(Adjustments!$G:$G,Adjustments!$H:$H,"1",Adjustments!$I:$I,$M$9,Adjustments!$J:$J,$A54)</f>
        <v>0</v>
      </c>
      <c r="O54" s="273">
        <f t="shared" ref="O54:O57" si="73">SUM(M54:N54)</f>
        <v>0</v>
      </c>
      <c r="P54" s="156" t="str">
        <f>'As-Filed Schedule 1'!H53</f>
        <v xml:space="preserve"> $                                     -  </v>
      </c>
      <c r="Q54" s="262">
        <f>SUMIFS(Adjustments!$G:$G,Adjustments!$H:$H,"1",Adjustments!$I:$I,$P$9,Adjustments!$J:$J,$A54)</f>
        <v>0</v>
      </c>
      <c r="R54" s="273">
        <f t="shared" ref="R54:R57" si="74">SUM(P54:Q54)</f>
        <v>0</v>
      </c>
      <c r="S54" s="156" t="str">
        <f>'As-Filed Schedule 1'!I53</f>
        <v xml:space="preserve"> $                                     -  </v>
      </c>
      <c r="T54" s="262">
        <f>SUMIFS(Adjustments!$G:$G,Adjustments!$H:$H,"1",Adjustments!$I:$I,$S$9,Adjustments!$J:$J,$A54)</f>
        <v>0</v>
      </c>
      <c r="U54" s="273">
        <f t="shared" ref="U54:U57" si="75">SUM(S54:T54)</f>
        <v>0</v>
      </c>
      <c r="V54" s="159">
        <f t="shared" ref="V54:V58" si="76">SUM(G54,J54,M54,P54,S54)</f>
        <v>0</v>
      </c>
      <c r="W54" s="265">
        <f t="shared" ref="W54:W58" si="77">SUM(,H54,K54,N54,Q54,T54)</f>
        <v>0</v>
      </c>
      <c r="X54" s="274">
        <f t="shared" ref="X54:X58" si="78">SUM(I54,L54,O54,R54,U54)</f>
        <v>0</v>
      </c>
      <c r="Y54" s="139"/>
    </row>
    <row r="55" spans="1:25" s="22" customFormat="1" x14ac:dyDescent="0.35">
      <c r="A55" s="154">
        <v>29</v>
      </c>
      <c r="B55" s="485" t="s">
        <v>294</v>
      </c>
      <c r="C55" s="488"/>
      <c r="D55" s="488"/>
      <c r="E55" s="488"/>
      <c r="F55" s="486"/>
      <c r="G55" s="156" t="str">
        <f>'As-Filed Schedule 1'!E54</f>
        <v xml:space="preserve"> $                                     -  </v>
      </c>
      <c r="H55" s="262">
        <f>SUMIFS(Adjustments!$G:$G,Adjustments!$H:$H,"1",Adjustments!$I:$I,$G$9,Adjustments!$J:$J,$A55)</f>
        <v>0</v>
      </c>
      <c r="I55" s="273">
        <f t="shared" si="71"/>
        <v>0</v>
      </c>
      <c r="J55" s="156" t="str">
        <f>'As-Filed Schedule 1'!F54</f>
        <v xml:space="preserve"> $                                     -  </v>
      </c>
      <c r="K55" s="262">
        <f>SUMIFS(Adjustments!$G:$G,Adjustments!$H:$H,"1",Adjustments!$I:$I,$J$9,Adjustments!$J:$J,$A55)</f>
        <v>0</v>
      </c>
      <c r="L55" s="273">
        <f t="shared" si="72"/>
        <v>0</v>
      </c>
      <c r="M55" s="156" t="str">
        <f>'As-Filed Schedule 1'!G54</f>
        <v xml:space="preserve"> $                                     -  </v>
      </c>
      <c r="N55" s="262">
        <f>SUMIFS(Adjustments!$G:$G,Adjustments!$H:$H,"1",Adjustments!$I:$I,$M$9,Adjustments!$J:$J,$A55)</f>
        <v>0</v>
      </c>
      <c r="O55" s="273">
        <f t="shared" si="73"/>
        <v>0</v>
      </c>
      <c r="P55" s="156" t="str">
        <f>'As-Filed Schedule 1'!H54</f>
        <v xml:space="preserve"> $                                     -  </v>
      </c>
      <c r="Q55" s="262">
        <f>SUMIFS(Adjustments!$G:$G,Adjustments!$H:$H,"1",Adjustments!$I:$I,$P$9,Adjustments!$J:$J,$A55)</f>
        <v>0</v>
      </c>
      <c r="R55" s="273">
        <f t="shared" si="74"/>
        <v>0</v>
      </c>
      <c r="S55" s="156" t="str">
        <f>'As-Filed Schedule 1'!I54</f>
        <v xml:space="preserve"> $                                     -  </v>
      </c>
      <c r="T55" s="262">
        <f>SUMIFS(Adjustments!$G:$G,Adjustments!$H:$H,"1",Adjustments!$I:$I,$S$9,Adjustments!$J:$J,$A55)</f>
        <v>0</v>
      </c>
      <c r="U55" s="273">
        <f t="shared" si="75"/>
        <v>0</v>
      </c>
      <c r="V55" s="159">
        <f t="shared" si="76"/>
        <v>0</v>
      </c>
      <c r="W55" s="265">
        <f t="shared" si="77"/>
        <v>0</v>
      </c>
      <c r="X55" s="274">
        <f t="shared" si="78"/>
        <v>0</v>
      </c>
      <c r="Y55" s="139"/>
    </row>
    <row r="56" spans="1:25" s="22" customFormat="1" x14ac:dyDescent="0.35">
      <c r="A56" s="154">
        <v>30</v>
      </c>
      <c r="B56" s="485" t="s">
        <v>295</v>
      </c>
      <c r="C56" s="488"/>
      <c r="D56" s="488"/>
      <c r="E56" s="488"/>
      <c r="F56" s="486"/>
      <c r="G56" s="156">
        <f>'As-Filed Schedule 1'!E55</f>
        <v>610104</v>
      </c>
      <c r="H56" s="262">
        <f>SUMIFS(Adjustments!$G:$G,Adjustments!$H:$H,"1",Adjustments!$I:$I,$G$9,Adjustments!$J:$J,$A56)</f>
        <v>0</v>
      </c>
      <c r="I56" s="273">
        <f t="shared" si="71"/>
        <v>610104</v>
      </c>
      <c r="J56" s="156">
        <f>'As-Filed Schedule 1'!F55</f>
        <v>39262</v>
      </c>
      <c r="K56" s="262">
        <f>SUMIFS(Adjustments!$G:$G,Adjustments!$H:$H,"1",Adjustments!$I:$I,$J$9,Adjustments!$J:$J,$A56)</f>
        <v>-32</v>
      </c>
      <c r="L56" s="273">
        <f t="shared" si="72"/>
        <v>39230</v>
      </c>
      <c r="M56" s="156">
        <f>'As-Filed Schedule 1'!G55</f>
        <v>16025</v>
      </c>
      <c r="N56" s="262">
        <f>SUMIFS(Adjustments!$G:$G,Adjustments!$H:$H,"1",Adjustments!$I:$I,$M$9,Adjustments!$J:$J,$A56)</f>
        <v>-14321</v>
      </c>
      <c r="O56" s="273">
        <f t="shared" si="73"/>
        <v>1704</v>
      </c>
      <c r="P56" s="156">
        <f>'As-Filed Schedule 1'!H55</f>
        <v>8328</v>
      </c>
      <c r="Q56" s="262">
        <f>SUMIFS(Adjustments!$G:$G,Adjustments!$H:$H,"1",Adjustments!$I:$I,$P$9,Adjustments!$J:$J,$A56)</f>
        <v>14353</v>
      </c>
      <c r="R56" s="273">
        <f t="shared" si="74"/>
        <v>22681</v>
      </c>
      <c r="S56" s="156" t="str">
        <f>'As-Filed Schedule 1'!I55</f>
        <v xml:space="preserve"> $                                     -  </v>
      </c>
      <c r="T56" s="262">
        <f>SUMIFS(Adjustments!$G:$G,Adjustments!$H:$H,"1",Adjustments!$I:$I,$S$9,Adjustments!$J:$J,$A56)</f>
        <v>0</v>
      </c>
      <c r="U56" s="273">
        <f t="shared" si="75"/>
        <v>0</v>
      </c>
      <c r="V56" s="159">
        <f t="shared" si="76"/>
        <v>673719</v>
      </c>
      <c r="W56" s="265">
        <f t="shared" si="77"/>
        <v>0</v>
      </c>
      <c r="X56" s="274">
        <f t="shared" si="78"/>
        <v>673719</v>
      </c>
      <c r="Y56" s="139"/>
    </row>
    <row r="57" spans="1:25" s="22" customFormat="1" x14ac:dyDescent="0.35">
      <c r="A57" s="154">
        <v>31</v>
      </c>
      <c r="B57" s="485" t="s">
        <v>296</v>
      </c>
      <c r="C57" s="488"/>
      <c r="D57" s="488"/>
      <c r="E57" s="488"/>
      <c r="F57" s="486"/>
      <c r="G57" s="156">
        <f>'As-Filed Schedule 1'!E56</f>
        <v>1998298</v>
      </c>
      <c r="H57" s="262">
        <f>SUMIFS(Adjustments!$G:$G,Adjustments!$H:$H,"1",Adjustments!$I:$I,$G$9,Adjustments!$J:$J,$A57)</f>
        <v>96290</v>
      </c>
      <c r="I57" s="273">
        <f t="shared" si="71"/>
        <v>2094588</v>
      </c>
      <c r="J57" s="156">
        <f>'As-Filed Schedule 1'!F56</f>
        <v>11367</v>
      </c>
      <c r="K57" s="262">
        <f>SUMIFS(Adjustments!$G:$G,Adjustments!$H:$H,"1",Adjustments!$I:$I,$J$9,Adjustments!$J:$J,$A57)</f>
        <v>6466</v>
      </c>
      <c r="L57" s="273">
        <f t="shared" si="72"/>
        <v>17833</v>
      </c>
      <c r="M57" s="156">
        <f>'As-Filed Schedule 1'!G56</f>
        <v>2551</v>
      </c>
      <c r="N57" s="262">
        <f>SUMIFS(Adjustments!$G:$G,Adjustments!$H:$H,"1",Adjustments!$I:$I,$M$9,Adjustments!$J:$J,$A57)</f>
        <v>3010</v>
      </c>
      <c r="O57" s="273">
        <f t="shared" si="73"/>
        <v>5561</v>
      </c>
      <c r="P57" s="156">
        <f>'As-Filed Schedule 1'!H56</f>
        <v>28610</v>
      </c>
      <c r="Q57" s="262">
        <f>SUMIFS(Adjustments!$G:$G,Adjustments!$H:$H,"1",Adjustments!$I:$I,$P$9,Adjustments!$J:$J,$A57)</f>
        <v>3721</v>
      </c>
      <c r="R57" s="273">
        <f t="shared" si="74"/>
        <v>32331</v>
      </c>
      <c r="S57" s="156" t="str">
        <f>'As-Filed Schedule 1'!I56</f>
        <v xml:space="preserve"> $                                     -  </v>
      </c>
      <c r="T57" s="262">
        <f>SUMIFS(Adjustments!$G:$G,Adjustments!$H:$H,"1",Adjustments!$I:$I,$S$9,Adjustments!$J:$J,$A57)</f>
        <v>0</v>
      </c>
      <c r="U57" s="273">
        <f t="shared" si="75"/>
        <v>0</v>
      </c>
      <c r="V57" s="159">
        <f t="shared" si="76"/>
        <v>2040826</v>
      </c>
      <c r="W57" s="265">
        <f t="shared" si="77"/>
        <v>109487</v>
      </c>
      <c r="X57" s="274">
        <f t="shared" si="78"/>
        <v>2150313</v>
      </c>
      <c r="Y57" s="139"/>
    </row>
    <row r="58" spans="1:25" s="22" customFormat="1" x14ac:dyDescent="0.35">
      <c r="A58" s="154">
        <v>32</v>
      </c>
      <c r="B58" s="479" t="s">
        <v>231</v>
      </c>
      <c r="C58" s="487"/>
      <c r="D58" s="487"/>
      <c r="E58" s="487"/>
      <c r="F58" s="480"/>
      <c r="G58" s="159">
        <f>SUM(G54:G57)</f>
        <v>2608402</v>
      </c>
      <c r="H58" s="159">
        <f t="shared" ref="H58:I58" si="79">SUM(H54:H57)</f>
        <v>96290</v>
      </c>
      <c r="I58" s="159">
        <f t="shared" si="79"/>
        <v>2704692</v>
      </c>
      <c r="J58" s="159">
        <f>SUM(J54:J57)</f>
        <v>50629</v>
      </c>
      <c r="K58" s="159">
        <f t="shared" ref="K58:L58" si="80">SUM(K54:K57)</f>
        <v>6434</v>
      </c>
      <c r="L58" s="159">
        <f t="shared" si="80"/>
        <v>57063</v>
      </c>
      <c r="M58" s="159">
        <f>SUM(M54:M57)</f>
        <v>18576</v>
      </c>
      <c r="N58" s="159">
        <f t="shared" ref="N58:O58" si="81">SUM(N54:N57)</f>
        <v>-11311</v>
      </c>
      <c r="O58" s="159">
        <f t="shared" si="81"/>
        <v>7265</v>
      </c>
      <c r="P58" s="159">
        <f>SUM(P54:P57)</f>
        <v>36938</v>
      </c>
      <c r="Q58" s="159">
        <f t="shared" ref="Q58:R58" si="82">SUM(Q54:Q57)</f>
        <v>18074</v>
      </c>
      <c r="R58" s="159">
        <f t="shared" si="82"/>
        <v>55012</v>
      </c>
      <c r="S58" s="159">
        <f>SUM(S54:S57)</f>
        <v>0</v>
      </c>
      <c r="T58" s="159">
        <f t="shared" ref="T58:U58" si="83">SUM(T54:T57)</f>
        <v>0</v>
      </c>
      <c r="U58" s="159">
        <f t="shared" si="83"/>
        <v>0</v>
      </c>
      <c r="V58" s="159">
        <f t="shared" si="76"/>
        <v>2714545</v>
      </c>
      <c r="W58" s="265">
        <f t="shared" si="77"/>
        <v>109487</v>
      </c>
      <c r="X58" s="274">
        <f t="shared" si="78"/>
        <v>2824032</v>
      </c>
      <c r="Y58" s="139"/>
    </row>
    <row r="59" spans="1:25" s="22" customFormat="1" x14ac:dyDescent="0.35">
      <c r="A59" s="160"/>
      <c r="B59" s="161"/>
      <c r="C59" s="161"/>
      <c r="D59" s="162"/>
      <c r="E59" s="263"/>
      <c r="F59" s="272"/>
      <c r="G59" s="163"/>
      <c r="H59" s="266"/>
      <c r="I59" s="275"/>
      <c r="J59" s="163"/>
      <c r="K59" s="266"/>
      <c r="L59" s="275"/>
      <c r="M59" s="163"/>
      <c r="N59" s="266"/>
      <c r="O59" s="275"/>
      <c r="P59" s="163"/>
      <c r="Q59" s="266"/>
      <c r="R59" s="275"/>
      <c r="S59" s="163"/>
      <c r="T59" s="266"/>
      <c r="U59" s="275"/>
      <c r="V59" s="163"/>
      <c r="W59" s="266"/>
      <c r="X59" s="275"/>
      <c r="Y59" s="139"/>
    </row>
    <row r="60" spans="1:25" s="22" customFormat="1" x14ac:dyDescent="0.35">
      <c r="A60" s="482" t="s">
        <v>232</v>
      </c>
      <c r="B60" s="483"/>
      <c r="C60" s="483"/>
      <c r="D60" s="483"/>
      <c r="E60" s="483"/>
      <c r="F60" s="483"/>
      <c r="G60" s="483"/>
      <c r="H60" s="483"/>
      <c r="I60" s="483"/>
      <c r="J60" s="483"/>
      <c r="K60" s="483"/>
      <c r="L60" s="483"/>
      <c r="M60" s="483"/>
      <c r="N60" s="483"/>
      <c r="O60" s="483"/>
      <c r="P60" s="483"/>
      <c r="Q60" s="483"/>
      <c r="R60" s="483"/>
      <c r="S60" s="483"/>
      <c r="T60" s="483"/>
      <c r="U60" s="483"/>
      <c r="V60" s="483"/>
      <c r="W60" s="483"/>
      <c r="X60" s="484"/>
      <c r="Y60" s="139"/>
    </row>
    <row r="61" spans="1:25" s="22" customFormat="1" x14ac:dyDescent="0.35">
      <c r="A61" s="154">
        <v>33</v>
      </c>
      <c r="B61" s="560" t="s">
        <v>297</v>
      </c>
      <c r="C61" s="561"/>
      <c r="D61" s="561"/>
      <c r="E61" s="561"/>
      <c r="F61" s="562"/>
      <c r="G61" s="156">
        <f>'As-Filed Schedule 1'!E60</f>
        <v>142687</v>
      </c>
      <c r="H61" s="262">
        <f>SUMIFS(Adjustments!$G:$G,Adjustments!$H:$H,"1",Adjustments!$I:$I,$G$9,Adjustments!$J:$J,$A61)</f>
        <v>0</v>
      </c>
      <c r="I61" s="273">
        <f t="shared" ref="I61:I67" si="84">SUM(G61:H61)</f>
        <v>142687</v>
      </c>
      <c r="J61" s="156">
        <f>'As-Filed Schedule 1'!F60</f>
        <v>-4356</v>
      </c>
      <c r="K61" s="262">
        <f>SUMIFS(Adjustments!$G:$G,Adjustments!$H:$H,"1",Adjustments!$I:$I,$J$9,Adjustments!$J:$J,$A61)</f>
        <v>0</v>
      </c>
      <c r="L61" s="273">
        <f t="shared" ref="L61:L67" si="85">SUM(J61:K61)</f>
        <v>-4356</v>
      </c>
      <c r="M61" s="156">
        <f>'As-Filed Schedule 1'!G60</f>
        <v>36000</v>
      </c>
      <c r="N61" s="262">
        <f>SUMIFS(Adjustments!$G:$G,Adjustments!$H:$H,"1",Adjustments!$I:$I,$M$9,Adjustments!$J:$J,$A61)</f>
        <v>-36000</v>
      </c>
      <c r="O61" s="273">
        <f t="shared" ref="O61:O67" si="86">SUM(M61:N61)</f>
        <v>0</v>
      </c>
      <c r="P61" s="156">
        <f>'As-Filed Schedule 1'!H60</f>
        <v>9289</v>
      </c>
      <c r="Q61" s="262">
        <f>SUMIFS(Adjustments!$G:$G,Adjustments!$H:$H,"1",Adjustments!$I:$I,$P$9,Adjustments!$J:$J,$A61)</f>
        <v>36000</v>
      </c>
      <c r="R61" s="273">
        <f t="shared" ref="R61:R67" si="87">SUM(P61:Q61)</f>
        <v>45289</v>
      </c>
      <c r="S61" s="156" t="str">
        <f>'As-Filed Schedule 1'!I60</f>
        <v xml:space="preserve"> $                                     -  </v>
      </c>
      <c r="T61" s="262">
        <f>SUMIFS(Adjustments!$G:$G,Adjustments!$H:$H,"1",Adjustments!$I:$I,$S$9,Adjustments!$J:$J,$A61)</f>
        <v>0</v>
      </c>
      <c r="U61" s="273">
        <f t="shared" ref="U61:U67" si="88">SUM(S61:T61)</f>
        <v>0</v>
      </c>
      <c r="V61" s="159">
        <f t="shared" ref="V61:V68" si="89">SUM(G61,J61,M61,P61,S61)</f>
        <v>183620</v>
      </c>
      <c r="W61" s="265">
        <f t="shared" ref="W61:W68" si="90">SUM(,H61,K61,N61,Q61,T61)</f>
        <v>0</v>
      </c>
      <c r="X61" s="274">
        <f t="shared" ref="X61:X68" si="91">SUM(I61,L61,O61,R61,U61)</f>
        <v>183620</v>
      </c>
      <c r="Y61" s="139"/>
    </row>
    <row r="62" spans="1:25" s="22" customFormat="1" x14ac:dyDescent="0.35">
      <c r="A62" s="154">
        <v>34</v>
      </c>
      <c r="B62" s="560" t="s">
        <v>298</v>
      </c>
      <c r="C62" s="561"/>
      <c r="D62" s="561"/>
      <c r="E62" s="561"/>
      <c r="F62" s="562"/>
      <c r="G62" s="156">
        <f>'As-Filed Schedule 1'!E61</f>
        <v>840767</v>
      </c>
      <c r="H62" s="262">
        <f>SUMIFS(Adjustments!$G:$G,Adjustments!$H:$H,"1",Adjustments!$I:$I,$G$9,Adjustments!$J:$J,$A62)</f>
        <v>-96290</v>
      </c>
      <c r="I62" s="273">
        <f t="shared" si="84"/>
        <v>744477</v>
      </c>
      <c r="J62" s="156">
        <f>'As-Filed Schedule 1'!F61</f>
        <v>2295197</v>
      </c>
      <c r="K62" s="262">
        <f>SUMIFS(Adjustments!$G:$G,Adjustments!$H:$H,"1",Adjustments!$I:$I,$J$9,Adjustments!$J:$J,$A62)</f>
        <v>-7887</v>
      </c>
      <c r="L62" s="273">
        <f t="shared" si="85"/>
        <v>2287310</v>
      </c>
      <c r="M62" s="156">
        <f>'As-Filed Schedule 1'!G61</f>
        <v>244137</v>
      </c>
      <c r="N62" s="262">
        <f>SUMIFS(Adjustments!$G:$G,Adjustments!$H:$H,"1",Adjustments!$I:$I,$M$9,Adjustments!$J:$J,$A62)</f>
        <v>-247147</v>
      </c>
      <c r="O62" s="273">
        <f t="shared" si="86"/>
        <v>-3010</v>
      </c>
      <c r="P62" s="156">
        <f>'As-Filed Schedule 1'!H61</f>
        <v>52617</v>
      </c>
      <c r="Q62" s="262">
        <f>SUMIFS(Adjustments!$G:$G,Adjustments!$H:$H,"1",Adjustments!$I:$I,$P$9,Adjustments!$J:$J,$A62)</f>
        <v>241837</v>
      </c>
      <c r="R62" s="273">
        <f t="shared" si="87"/>
        <v>294454</v>
      </c>
      <c r="S62" s="156" t="str">
        <f>'As-Filed Schedule 1'!I61</f>
        <v xml:space="preserve"> $                                     -  </v>
      </c>
      <c r="T62" s="262">
        <f>SUMIFS(Adjustments!$G:$G,Adjustments!$H:$H,"1",Adjustments!$I:$I,$S$9,Adjustments!$J:$J,$A62)</f>
        <v>0</v>
      </c>
      <c r="U62" s="273">
        <f t="shared" si="88"/>
        <v>0</v>
      </c>
      <c r="V62" s="159">
        <f t="shared" si="89"/>
        <v>3432718</v>
      </c>
      <c r="W62" s="265">
        <f t="shared" si="90"/>
        <v>-109487</v>
      </c>
      <c r="X62" s="274">
        <f t="shared" si="91"/>
        <v>3323231</v>
      </c>
      <c r="Y62" s="139"/>
    </row>
    <row r="63" spans="1:25" s="22" customFormat="1" x14ac:dyDescent="0.35">
      <c r="A63" s="154">
        <v>35</v>
      </c>
      <c r="B63" s="560" t="s">
        <v>302</v>
      </c>
      <c r="C63" s="561"/>
      <c r="D63" s="561"/>
      <c r="E63" s="561"/>
      <c r="F63" s="562"/>
      <c r="G63" s="156" t="str">
        <f>'As-Filed Schedule 1'!E62</f>
        <v xml:space="preserve"> $                                     -  </v>
      </c>
      <c r="H63" s="262">
        <f>SUMIFS(Adjustments!$G:$G,Adjustments!$H:$H,"1",Adjustments!$I:$I,$G$9,Adjustments!$J:$J,$A63)</f>
        <v>0</v>
      </c>
      <c r="I63" s="273">
        <f t="shared" si="84"/>
        <v>0</v>
      </c>
      <c r="J63" s="156" t="str">
        <f>'As-Filed Schedule 1'!F62</f>
        <v xml:space="preserve"> $                                     -  </v>
      </c>
      <c r="K63" s="262">
        <f>SUMIFS(Adjustments!$G:$G,Adjustments!$H:$H,"1",Adjustments!$I:$I,$J$9,Adjustments!$J:$J,$A63)</f>
        <v>0</v>
      </c>
      <c r="L63" s="273">
        <f t="shared" si="85"/>
        <v>0</v>
      </c>
      <c r="M63" s="156" t="str">
        <f>'As-Filed Schedule 1'!G62</f>
        <v xml:space="preserve"> $                                     -  </v>
      </c>
      <c r="N63" s="262">
        <f>SUMIFS(Adjustments!$G:$G,Adjustments!$H:$H,"1",Adjustments!$I:$I,$M$9,Adjustments!$J:$J,$A63)</f>
        <v>0</v>
      </c>
      <c r="O63" s="273">
        <f t="shared" si="86"/>
        <v>0</v>
      </c>
      <c r="P63" s="156" t="str">
        <f>'As-Filed Schedule 1'!H62</f>
        <v xml:space="preserve"> $                                     -  </v>
      </c>
      <c r="Q63" s="262">
        <f>SUMIFS(Adjustments!$G:$G,Adjustments!$H:$H,"1",Adjustments!$I:$I,$P$9,Adjustments!$J:$J,$A63)</f>
        <v>0</v>
      </c>
      <c r="R63" s="273">
        <f t="shared" si="87"/>
        <v>0</v>
      </c>
      <c r="S63" s="156" t="str">
        <f>'As-Filed Schedule 1'!I62</f>
        <v xml:space="preserve"> $                                     -  </v>
      </c>
      <c r="T63" s="262">
        <f>SUMIFS(Adjustments!$G:$G,Adjustments!$H:$H,"1",Adjustments!$I:$I,$S$9,Adjustments!$J:$J,$A63)</f>
        <v>0</v>
      </c>
      <c r="U63" s="273">
        <f t="shared" si="88"/>
        <v>0</v>
      </c>
      <c r="V63" s="159">
        <f t="shared" si="89"/>
        <v>0</v>
      </c>
      <c r="W63" s="265">
        <f t="shared" si="90"/>
        <v>0</v>
      </c>
      <c r="X63" s="274">
        <f t="shared" si="91"/>
        <v>0</v>
      </c>
      <c r="Y63" s="139"/>
    </row>
    <row r="64" spans="1:25" s="22" customFormat="1" x14ac:dyDescent="0.35">
      <c r="A64" s="154">
        <v>36</v>
      </c>
      <c r="B64" s="560" t="s">
        <v>315</v>
      </c>
      <c r="C64" s="561"/>
      <c r="D64" s="561"/>
      <c r="E64" s="561"/>
      <c r="F64" s="562"/>
      <c r="G64" s="156" t="str">
        <f>'As-Filed Schedule 1'!E63</f>
        <v xml:space="preserve"> $                                     -  </v>
      </c>
      <c r="H64" s="262">
        <f>SUMIFS(Adjustments!$G:$G,Adjustments!$H:$H,"1",Adjustments!$I:$I,$G$9,Adjustments!$J:$J,$A64)</f>
        <v>10143</v>
      </c>
      <c r="I64" s="273">
        <f t="shared" si="84"/>
        <v>10143</v>
      </c>
      <c r="J64" s="156" t="str">
        <f>'As-Filed Schedule 1'!F63</f>
        <v xml:space="preserve"> $                                     -  </v>
      </c>
      <c r="K64" s="262">
        <f>SUMIFS(Adjustments!$G:$G,Adjustments!$H:$H,"1",Adjustments!$I:$I,$J$9,Adjustments!$J:$J,$A64)</f>
        <v>158856</v>
      </c>
      <c r="L64" s="273">
        <f t="shared" si="85"/>
        <v>158856</v>
      </c>
      <c r="M64" s="156" t="str">
        <f>'As-Filed Schedule 1'!G63</f>
        <v xml:space="preserve"> $                                     -  </v>
      </c>
      <c r="N64" s="262">
        <f>SUMIFS(Adjustments!$G:$G,Adjustments!$H:$H,"1",Adjustments!$I:$I,$M$9,Adjustments!$J:$J,$A64)</f>
        <v>95219</v>
      </c>
      <c r="O64" s="273">
        <f t="shared" si="86"/>
        <v>95219</v>
      </c>
      <c r="P64" s="156" t="str">
        <f>'As-Filed Schedule 1'!H63</f>
        <v xml:space="preserve"> $                                     -  </v>
      </c>
      <c r="Q64" s="262">
        <f>SUMIFS(Adjustments!$G:$G,Adjustments!$H:$H,"1",Adjustments!$I:$I,$P$9,Adjustments!$J:$J,$A64)</f>
        <v>611</v>
      </c>
      <c r="R64" s="273">
        <f t="shared" si="87"/>
        <v>611</v>
      </c>
      <c r="S64" s="156" t="str">
        <f>'As-Filed Schedule 1'!I63</f>
        <v xml:space="preserve"> $                                     -  </v>
      </c>
      <c r="T64" s="262">
        <f>SUMIFS(Adjustments!$G:$G,Adjustments!$H:$H,"1",Adjustments!$I:$I,$S$9,Adjustments!$J:$J,$A64)</f>
        <v>0</v>
      </c>
      <c r="U64" s="273">
        <f t="shared" si="88"/>
        <v>0</v>
      </c>
      <c r="V64" s="159">
        <f t="shared" si="89"/>
        <v>0</v>
      </c>
      <c r="W64" s="265">
        <f t="shared" si="90"/>
        <v>264829</v>
      </c>
      <c r="X64" s="274">
        <f t="shared" si="91"/>
        <v>264829</v>
      </c>
      <c r="Y64" s="139"/>
    </row>
    <row r="65" spans="1:25" s="22" customFormat="1" x14ac:dyDescent="0.35">
      <c r="A65" s="154">
        <v>37</v>
      </c>
      <c r="B65" s="560" t="s">
        <v>316</v>
      </c>
      <c r="C65" s="561"/>
      <c r="D65" s="561"/>
      <c r="E65" s="561"/>
      <c r="F65" s="562"/>
      <c r="G65" s="156">
        <f>'As-Filed Schedule 1'!E64</f>
        <v>424</v>
      </c>
      <c r="H65" s="262">
        <f>SUMIFS(Adjustments!$G:$G,Adjustments!$H:$H,"1",Adjustments!$I:$I,$G$9,Adjustments!$J:$J,$A65)</f>
        <v>0</v>
      </c>
      <c r="I65" s="273">
        <f t="shared" si="84"/>
        <v>424</v>
      </c>
      <c r="J65" s="156">
        <f>'As-Filed Schedule 1'!F64</f>
        <v>2650</v>
      </c>
      <c r="K65" s="262">
        <f>SUMIFS(Adjustments!$G:$G,Adjustments!$H:$H,"1",Adjustments!$I:$I,$J$9,Adjustments!$J:$J,$A65)</f>
        <v>0</v>
      </c>
      <c r="L65" s="273">
        <f t="shared" si="85"/>
        <v>2650</v>
      </c>
      <c r="M65" s="156">
        <f>'As-Filed Schedule 1'!G64</f>
        <v>1636</v>
      </c>
      <c r="N65" s="262">
        <f>SUMIFS(Adjustments!$G:$G,Adjustments!$H:$H,"1",Adjustments!$I:$I,$M$9,Adjustments!$J:$J,$A65)</f>
        <v>-1636</v>
      </c>
      <c r="O65" s="273">
        <f t="shared" si="86"/>
        <v>0</v>
      </c>
      <c r="P65" s="156" t="str">
        <f>'As-Filed Schedule 1'!H64</f>
        <v xml:space="preserve"> $                                     -  </v>
      </c>
      <c r="Q65" s="262">
        <f>SUMIFS(Adjustments!$G:$G,Adjustments!$H:$H,"1",Adjustments!$I:$I,$P$9,Adjustments!$J:$J,$A65)</f>
        <v>1636</v>
      </c>
      <c r="R65" s="273">
        <f t="shared" si="87"/>
        <v>1636</v>
      </c>
      <c r="S65" s="156" t="str">
        <f>'As-Filed Schedule 1'!I64</f>
        <v xml:space="preserve"> $                                     -  </v>
      </c>
      <c r="T65" s="262">
        <f>SUMIFS(Adjustments!$G:$G,Adjustments!$H:$H,"1",Adjustments!$I:$I,$S$9,Adjustments!$J:$J,$A65)</f>
        <v>0</v>
      </c>
      <c r="U65" s="273">
        <f t="shared" si="88"/>
        <v>0</v>
      </c>
      <c r="V65" s="159">
        <f t="shared" si="89"/>
        <v>4710</v>
      </c>
      <c r="W65" s="265">
        <f t="shared" si="90"/>
        <v>0</v>
      </c>
      <c r="X65" s="274">
        <f t="shared" si="91"/>
        <v>4710</v>
      </c>
      <c r="Y65" s="139"/>
    </row>
    <row r="66" spans="1:25" s="22" customFormat="1" x14ac:dyDescent="0.35">
      <c r="A66" s="154">
        <v>38</v>
      </c>
      <c r="B66" s="560" t="s">
        <v>317</v>
      </c>
      <c r="C66" s="561"/>
      <c r="D66" s="561"/>
      <c r="E66" s="561"/>
      <c r="F66" s="562"/>
      <c r="G66" s="156" t="str">
        <f>'As-Filed Schedule 1'!E65</f>
        <v xml:space="preserve"> $                                     -  </v>
      </c>
      <c r="H66" s="262">
        <f>SUMIFS(Adjustments!$G:$G,Adjustments!$H:$H,"1",Adjustments!$I:$I,$G$9,Adjustments!$J:$J,$A66)</f>
        <v>0</v>
      </c>
      <c r="I66" s="273">
        <f t="shared" si="84"/>
        <v>0</v>
      </c>
      <c r="J66" s="156" t="str">
        <f>'As-Filed Schedule 1'!F65</f>
        <v xml:space="preserve"> $                                     -  </v>
      </c>
      <c r="K66" s="262">
        <f>SUMIFS(Adjustments!$G:$G,Adjustments!$H:$H,"1",Adjustments!$I:$I,$J$9,Adjustments!$J:$J,$A66)</f>
        <v>0</v>
      </c>
      <c r="L66" s="273">
        <f t="shared" si="85"/>
        <v>0</v>
      </c>
      <c r="M66" s="156" t="str">
        <f>'As-Filed Schedule 1'!G65</f>
        <v xml:space="preserve"> $                                     -  </v>
      </c>
      <c r="N66" s="262">
        <f>SUMIFS(Adjustments!$G:$G,Adjustments!$H:$H,"1",Adjustments!$I:$I,$M$9,Adjustments!$J:$J,$A66)</f>
        <v>0</v>
      </c>
      <c r="O66" s="273">
        <f t="shared" si="86"/>
        <v>0</v>
      </c>
      <c r="P66" s="156" t="str">
        <f>'As-Filed Schedule 1'!H65</f>
        <v xml:space="preserve"> $                                     -  </v>
      </c>
      <c r="Q66" s="262">
        <f>SUMIFS(Adjustments!$G:$G,Adjustments!$H:$H,"1",Adjustments!$I:$I,$P$9,Adjustments!$J:$J,$A66)</f>
        <v>0</v>
      </c>
      <c r="R66" s="273">
        <f t="shared" si="87"/>
        <v>0</v>
      </c>
      <c r="S66" s="156" t="str">
        <f>'As-Filed Schedule 1'!I65</f>
        <v xml:space="preserve"> $                                     -  </v>
      </c>
      <c r="T66" s="262">
        <f>SUMIFS(Adjustments!$G:$G,Adjustments!$H:$H,"1",Adjustments!$I:$I,$S$9,Adjustments!$J:$J,$A66)</f>
        <v>0</v>
      </c>
      <c r="U66" s="273">
        <f t="shared" si="88"/>
        <v>0</v>
      </c>
      <c r="V66" s="159">
        <f t="shared" si="89"/>
        <v>0</v>
      </c>
      <c r="W66" s="265">
        <f t="shared" si="90"/>
        <v>0</v>
      </c>
      <c r="X66" s="274">
        <f t="shared" si="91"/>
        <v>0</v>
      </c>
      <c r="Y66" s="139"/>
    </row>
    <row r="67" spans="1:25" s="22" customFormat="1" x14ac:dyDescent="0.35">
      <c r="A67" s="154">
        <v>39</v>
      </c>
      <c r="B67" s="560" t="s">
        <v>299</v>
      </c>
      <c r="C67" s="561"/>
      <c r="D67" s="561"/>
      <c r="E67" s="561"/>
      <c r="F67" s="562"/>
      <c r="G67" s="156">
        <f>'As-Filed Schedule 1'!E66</f>
        <v>60876</v>
      </c>
      <c r="H67" s="262">
        <f>SUMIFS(Adjustments!$G:$G,Adjustments!$H:$H,"1",Adjustments!$I:$I,$G$9,Adjustments!$J:$J,$A67)</f>
        <v>-10143</v>
      </c>
      <c r="I67" s="273">
        <f t="shared" si="84"/>
        <v>50733</v>
      </c>
      <c r="J67" s="156">
        <f>'As-Filed Schedule 1'!F66</f>
        <v>837798</v>
      </c>
      <c r="K67" s="262">
        <f>SUMIFS(Adjustments!$G:$G,Adjustments!$H:$H,"1",Adjustments!$I:$I,$J$9,Adjustments!$J:$J,$A67)</f>
        <v>-202592</v>
      </c>
      <c r="L67" s="273">
        <f t="shared" si="85"/>
        <v>635206</v>
      </c>
      <c r="M67" s="156">
        <f>'As-Filed Schedule 1'!G66</f>
        <v>17693</v>
      </c>
      <c r="N67" s="262">
        <f>SUMIFS(Adjustments!$G:$G,Adjustments!$H:$H,"1",Adjustments!$I:$I,$M$9,Adjustments!$J:$J,$A67)</f>
        <v>806507</v>
      </c>
      <c r="O67" s="273">
        <f t="shared" si="86"/>
        <v>824200</v>
      </c>
      <c r="P67" s="156">
        <f>'As-Filed Schedule 1'!H66</f>
        <v>453483</v>
      </c>
      <c r="Q67" s="262">
        <f>SUMIFS(Adjustments!$G:$G,Adjustments!$H:$H,"1",Adjustments!$I:$I,$P$9,Adjustments!$J:$J,$A67)</f>
        <v>-858601</v>
      </c>
      <c r="R67" s="273">
        <f t="shared" si="87"/>
        <v>-405118</v>
      </c>
      <c r="S67" s="156" t="str">
        <f>'As-Filed Schedule 1'!I66</f>
        <v xml:space="preserve"> $                                     -  </v>
      </c>
      <c r="T67" s="262">
        <f>SUMIFS(Adjustments!$G:$G,Adjustments!$H:$H,"1",Adjustments!$I:$I,$S$9,Adjustments!$J:$J,$A67)</f>
        <v>0</v>
      </c>
      <c r="U67" s="273">
        <f t="shared" si="88"/>
        <v>0</v>
      </c>
      <c r="V67" s="159">
        <f t="shared" si="89"/>
        <v>1369850</v>
      </c>
      <c r="W67" s="265">
        <f t="shared" si="90"/>
        <v>-264829</v>
      </c>
      <c r="X67" s="274">
        <f t="shared" si="91"/>
        <v>1105021</v>
      </c>
      <c r="Y67" s="139"/>
    </row>
    <row r="68" spans="1:25" s="22" customFormat="1" x14ac:dyDescent="0.35">
      <c r="A68" s="154">
        <v>40</v>
      </c>
      <c r="B68" s="564" t="s">
        <v>237</v>
      </c>
      <c r="C68" s="565"/>
      <c r="D68" s="565"/>
      <c r="E68" s="565"/>
      <c r="F68" s="566"/>
      <c r="G68" s="159">
        <f>SUM(G61:G67)</f>
        <v>1044754</v>
      </c>
      <c r="H68" s="159">
        <f>SUM(H61:H67)</f>
        <v>-96290</v>
      </c>
      <c r="I68" s="159">
        <f>SUM(I61:I67)</f>
        <v>948464</v>
      </c>
      <c r="J68" s="159">
        <f>SUM(J61:J67)</f>
        <v>3131289</v>
      </c>
      <c r="K68" s="159">
        <f t="shared" ref="K68:L68" si="92">SUM(K61:K67)</f>
        <v>-51623</v>
      </c>
      <c r="L68" s="159">
        <f t="shared" si="92"/>
        <v>3079666</v>
      </c>
      <c r="M68" s="159">
        <f>SUM(M61:M67)</f>
        <v>299466</v>
      </c>
      <c r="N68" s="159">
        <f t="shared" ref="N68:O68" si="93">SUM(N61:N67)</f>
        <v>616943</v>
      </c>
      <c r="O68" s="159">
        <f t="shared" si="93"/>
        <v>916409</v>
      </c>
      <c r="P68" s="159">
        <f>SUM(P61:P67)</f>
        <v>515389</v>
      </c>
      <c r="Q68" s="159">
        <f>SUM(Q61:Q67)</f>
        <v>-578517</v>
      </c>
      <c r="R68" s="159">
        <f>SUM(R61:R67)</f>
        <v>-63128</v>
      </c>
      <c r="S68" s="159">
        <f>SUM(S61:S67)</f>
        <v>0</v>
      </c>
      <c r="T68" s="159">
        <f t="shared" ref="T68:U68" si="94">SUM(T61:T67)</f>
        <v>0</v>
      </c>
      <c r="U68" s="159">
        <f t="shared" si="94"/>
        <v>0</v>
      </c>
      <c r="V68" s="159">
        <f t="shared" si="89"/>
        <v>4990898</v>
      </c>
      <c r="W68" s="265">
        <f t="shared" si="90"/>
        <v>-109487</v>
      </c>
      <c r="X68" s="274">
        <f t="shared" si="91"/>
        <v>4881411</v>
      </c>
      <c r="Y68" s="139"/>
    </row>
    <row r="69" spans="1:25" s="22" customFormat="1" x14ac:dyDescent="0.35">
      <c r="A69" s="160"/>
      <c r="B69" s="161"/>
      <c r="C69" s="161"/>
      <c r="D69" s="162"/>
      <c r="E69" s="263"/>
      <c r="F69" s="272"/>
      <c r="G69" s="163"/>
      <c r="H69" s="266"/>
      <c r="I69" s="275"/>
      <c r="J69" s="163"/>
      <c r="K69" s="266"/>
      <c r="L69" s="275"/>
      <c r="M69" s="163"/>
      <c r="N69" s="266"/>
      <c r="O69" s="275"/>
      <c r="P69" s="163"/>
      <c r="Q69" s="266"/>
      <c r="R69" s="275"/>
      <c r="S69" s="163"/>
      <c r="T69" s="266"/>
      <c r="U69" s="275"/>
      <c r="V69" s="163"/>
      <c r="W69" s="266"/>
      <c r="X69" s="275"/>
      <c r="Y69" s="139"/>
    </row>
    <row r="70" spans="1:25" s="22" customFormat="1" x14ac:dyDescent="0.35">
      <c r="A70" s="482" t="s">
        <v>236</v>
      </c>
      <c r="B70" s="483"/>
      <c r="C70" s="483"/>
      <c r="D70" s="483"/>
      <c r="E70" s="483"/>
      <c r="F70" s="483"/>
      <c r="G70" s="483"/>
      <c r="H70" s="483"/>
      <c r="I70" s="483"/>
      <c r="J70" s="483"/>
      <c r="K70" s="483"/>
      <c r="L70" s="483"/>
      <c r="M70" s="483"/>
      <c r="N70" s="483"/>
      <c r="O70" s="483"/>
      <c r="P70" s="483"/>
      <c r="Q70" s="483"/>
      <c r="R70" s="483"/>
      <c r="S70" s="483"/>
      <c r="T70" s="483"/>
      <c r="U70" s="483"/>
      <c r="V70" s="483"/>
      <c r="W70" s="483"/>
      <c r="X70" s="484"/>
      <c r="Y70" s="139"/>
    </row>
    <row r="71" spans="1:25" s="22" customFormat="1" x14ac:dyDescent="0.35">
      <c r="A71" s="154">
        <v>41</v>
      </c>
      <c r="B71" s="485" t="s">
        <v>239</v>
      </c>
      <c r="C71" s="488"/>
      <c r="D71" s="488"/>
      <c r="E71" s="488"/>
      <c r="F71" s="486"/>
      <c r="G71" s="156">
        <f>'As-Filed Schedule 1'!E70</f>
        <v>119838</v>
      </c>
      <c r="H71" s="262">
        <f>SUMIFS(Adjustments!$G:$G,Adjustments!$H:$H,"1",Adjustments!$I:$I,$G$9,Adjustments!$J:$J,$A71)</f>
        <v>-205</v>
      </c>
      <c r="I71" s="273">
        <f t="shared" ref="I71:I78" si="95">SUM(G71:H71)</f>
        <v>119633</v>
      </c>
      <c r="J71" s="156">
        <f>'As-Filed Schedule 1'!F70</f>
        <v>9039</v>
      </c>
      <c r="K71" s="262">
        <f>SUMIFS(Adjustments!$G:$G,Adjustments!$H:$H,"1",Adjustments!$I:$I,$J$9,Adjustments!$J:$J,$A71)</f>
        <v>-150</v>
      </c>
      <c r="L71" s="273">
        <f t="shared" ref="L71:L78" si="96">SUM(J71:K71)</f>
        <v>8889</v>
      </c>
      <c r="M71" s="156" t="str">
        <f>'As-Filed Schedule 1'!G70</f>
        <v xml:space="preserve"> $                                     -  </v>
      </c>
      <c r="N71" s="262">
        <f>SUMIFS(Adjustments!$G:$G,Adjustments!$H:$H,"1",Adjustments!$I:$I,$M$9,Adjustments!$J:$J,$A71)</f>
        <v>0</v>
      </c>
      <c r="O71" s="273">
        <f t="shared" ref="O71:O78" si="97">SUM(M71:N71)</f>
        <v>0</v>
      </c>
      <c r="P71" s="156">
        <f>'As-Filed Schedule 1'!H70</f>
        <v>3095</v>
      </c>
      <c r="Q71" s="262">
        <f>SUMIFS(Adjustments!$G:$G,Adjustments!$H:$H,"1",Adjustments!$I:$I,$P$9,Adjustments!$J:$J,$A71)</f>
        <v>-2320</v>
      </c>
      <c r="R71" s="273">
        <f t="shared" ref="R71:R78" si="98">SUM(P71:Q71)</f>
        <v>775</v>
      </c>
      <c r="S71" s="156" t="str">
        <f>'As-Filed Schedule 1'!I70</f>
        <v xml:space="preserve"> $                                     -  </v>
      </c>
      <c r="T71" s="262">
        <f>SUMIFS(Adjustments!$G:$G,Adjustments!$H:$H,"1",Adjustments!$I:$I,$S$9,Adjustments!$J:$J,$A71)</f>
        <v>2675</v>
      </c>
      <c r="U71" s="273">
        <f t="shared" ref="U71:U78" si="99">SUM(S71:T71)</f>
        <v>2675</v>
      </c>
      <c r="V71" s="159">
        <f t="shared" ref="V71:V79" si="100">SUM(G71,J71,M71,P71,S71)</f>
        <v>131972</v>
      </c>
      <c r="W71" s="265">
        <f t="shared" ref="W71:W79" si="101">SUM(,H71,K71,N71,Q71,T71)</f>
        <v>0</v>
      </c>
      <c r="X71" s="274">
        <f t="shared" ref="X71:X79" si="102">SUM(I71,L71,O71,R71,U71)</f>
        <v>131972</v>
      </c>
      <c r="Y71" s="139"/>
    </row>
    <row r="72" spans="1:25" s="22" customFormat="1" x14ac:dyDescent="0.35">
      <c r="A72" s="154">
        <v>42</v>
      </c>
      <c r="B72" s="485" t="s">
        <v>289</v>
      </c>
      <c r="C72" s="488"/>
      <c r="D72" s="488"/>
      <c r="E72" s="488"/>
      <c r="F72" s="486"/>
      <c r="G72" s="156">
        <f>'As-Filed Schedule 1'!E71</f>
        <v>72287</v>
      </c>
      <c r="H72" s="262">
        <f>SUMIFS(Adjustments!$G:$G,Adjustments!$H:$H,"1",Adjustments!$I:$I,$G$9,Adjustments!$J:$J,$A72)</f>
        <v>0</v>
      </c>
      <c r="I72" s="273">
        <f t="shared" si="95"/>
        <v>72287</v>
      </c>
      <c r="J72" s="156">
        <f>'As-Filed Schedule 1'!F71</f>
        <v>26962</v>
      </c>
      <c r="K72" s="262">
        <f>SUMIFS(Adjustments!$G:$G,Adjustments!$H:$H,"1",Adjustments!$I:$I,$J$9,Adjustments!$J:$J,$A72)</f>
        <v>387</v>
      </c>
      <c r="L72" s="273">
        <f t="shared" si="96"/>
        <v>27349</v>
      </c>
      <c r="M72" s="156">
        <f>'As-Filed Schedule 1'!G71</f>
        <v>5193</v>
      </c>
      <c r="N72" s="262">
        <f>SUMIFS(Adjustments!$G:$G,Adjustments!$H:$H,"1",Adjustments!$I:$I,$M$9,Adjustments!$J:$J,$A72)</f>
        <v>0</v>
      </c>
      <c r="O72" s="273">
        <f t="shared" si="97"/>
        <v>5193</v>
      </c>
      <c r="P72" s="156">
        <f>'As-Filed Schedule 1'!H71</f>
        <v>9528</v>
      </c>
      <c r="Q72" s="262">
        <f>SUMIFS(Adjustments!$G:$G,Adjustments!$H:$H,"1",Adjustments!$I:$I,$P$9,Adjustments!$J:$J,$A72)</f>
        <v>-387</v>
      </c>
      <c r="R72" s="273">
        <f t="shared" si="98"/>
        <v>9141</v>
      </c>
      <c r="S72" s="156" t="str">
        <f>'As-Filed Schedule 1'!I71</f>
        <v xml:space="preserve"> $                                     -  </v>
      </c>
      <c r="T72" s="262">
        <f>SUMIFS(Adjustments!$G:$G,Adjustments!$H:$H,"1",Adjustments!$I:$I,$S$9,Adjustments!$J:$J,$A72)</f>
        <v>0</v>
      </c>
      <c r="U72" s="273">
        <f t="shared" si="99"/>
        <v>0</v>
      </c>
      <c r="V72" s="159">
        <f t="shared" si="100"/>
        <v>113970</v>
      </c>
      <c r="W72" s="265">
        <f t="shared" si="101"/>
        <v>0</v>
      </c>
      <c r="X72" s="274">
        <f t="shared" si="102"/>
        <v>113970</v>
      </c>
      <c r="Y72" s="139"/>
    </row>
    <row r="73" spans="1:25" s="22" customFormat="1" x14ac:dyDescent="0.35">
      <c r="A73" s="154">
        <v>43</v>
      </c>
      <c r="B73" s="485" t="s">
        <v>240</v>
      </c>
      <c r="C73" s="488"/>
      <c r="D73" s="488"/>
      <c r="E73" s="488"/>
      <c r="F73" s="486"/>
      <c r="G73" s="156" t="str">
        <f>'As-Filed Schedule 1'!E72</f>
        <v xml:space="preserve"> $                                     -  </v>
      </c>
      <c r="H73" s="262">
        <f>SUMIFS(Adjustments!$G:$G,Adjustments!$H:$H,"1",Adjustments!$I:$I,$G$9,Adjustments!$J:$J,$A73)</f>
        <v>122062</v>
      </c>
      <c r="I73" s="273">
        <f t="shared" si="95"/>
        <v>122062</v>
      </c>
      <c r="J73" s="156" t="str">
        <f>'As-Filed Schedule 1'!F72</f>
        <v xml:space="preserve"> $                                     -  </v>
      </c>
      <c r="K73" s="262">
        <f>SUMIFS(Adjustments!$G:$G,Adjustments!$H:$H,"1",Adjustments!$I:$I,$J$9,Adjustments!$J:$J,$A73)</f>
        <v>1095</v>
      </c>
      <c r="L73" s="273">
        <f t="shared" si="96"/>
        <v>1095</v>
      </c>
      <c r="M73" s="156" t="str">
        <f>'As-Filed Schedule 1'!G72</f>
        <v xml:space="preserve"> $                                     -  </v>
      </c>
      <c r="N73" s="262">
        <f>SUMIFS(Adjustments!$G:$G,Adjustments!$H:$H,"1",Adjustments!$I:$I,$M$9,Adjustments!$J:$J,$A73)</f>
        <v>0</v>
      </c>
      <c r="O73" s="273">
        <f t="shared" si="97"/>
        <v>0</v>
      </c>
      <c r="P73" s="156" t="str">
        <f>'As-Filed Schedule 1'!H72</f>
        <v xml:space="preserve"> $                                     -  </v>
      </c>
      <c r="Q73" s="262">
        <f>SUMIFS(Adjustments!$G:$G,Adjustments!$H:$H,"1",Adjustments!$I:$I,$P$9,Adjustments!$J:$J,$A73)</f>
        <v>0</v>
      </c>
      <c r="R73" s="273">
        <f t="shared" si="98"/>
        <v>0</v>
      </c>
      <c r="S73" s="156" t="str">
        <f>'As-Filed Schedule 1'!I72</f>
        <v xml:space="preserve"> $                                     -  </v>
      </c>
      <c r="T73" s="262">
        <f>SUMIFS(Adjustments!$G:$G,Adjustments!$H:$H,"1",Adjustments!$I:$I,$S$9,Adjustments!$J:$J,$A73)</f>
        <v>0</v>
      </c>
      <c r="U73" s="273">
        <f t="shared" si="99"/>
        <v>0</v>
      </c>
      <c r="V73" s="159">
        <f t="shared" si="100"/>
        <v>0</v>
      </c>
      <c r="W73" s="265">
        <f t="shared" si="101"/>
        <v>123157</v>
      </c>
      <c r="X73" s="274">
        <f t="shared" si="102"/>
        <v>123157</v>
      </c>
      <c r="Y73" s="139"/>
    </row>
    <row r="74" spans="1:25" s="22" customFormat="1" x14ac:dyDescent="0.35">
      <c r="A74" s="154">
        <v>44</v>
      </c>
      <c r="B74" s="485" t="s">
        <v>308</v>
      </c>
      <c r="C74" s="488"/>
      <c r="D74" s="488"/>
      <c r="E74" s="488"/>
      <c r="F74" s="486"/>
      <c r="G74" s="156">
        <f>'As-Filed Schedule 1'!E73</f>
        <v>927925</v>
      </c>
      <c r="H74" s="262">
        <f>SUMIFS(Adjustments!$G:$G,Adjustments!$H:$H,"1",Adjustments!$I:$I,$G$9,Adjustments!$J:$J,$A74)</f>
        <v>0</v>
      </c>
      <c r="I74" s="273">
        <f t="shared" si="95"/>
        <v>927925</v>
      </c>
      <c r="J74" s="156">
        <f>'As-Filed Schedule 1'!F73</f>
        <v>26998</v>
      </c>
      <c r="K74" s="262">
        <f>SUMIFS(Adjustments!$G:$G,Adjustments!$H:$H,"1",Adjustments!$I:$I,$J$9,Adjustments!$J:$J,$A74)</f>
        <v>-1296</v>
      </c>
      <c r="L74" s="273">
        <f t="shared" si="96"/>
        <v>25702</v>
      </c>
      <c r="M74" s="156">
        <f>'As-Filed Schedule 1'!G73</f>
        <v>4920</v>
      </c>
      <c r="N74" s="262">
        <f>SUMIFS(Adjustments!$G:$G,Adjustments!$H:$H,"1",Adjustments!$I:$I,$M$9,Adjustments!$J:$J,$A74)</f>
        <v>-1253</v>
      </c>
      <c r="O74" s="273">
        <f t="shared" si="97"/>
        <v>3667</v>
      </c>
      <c r="P74" s="156">
        <f>'As-Filed Schedule 1'!H73</f>
        <v>29454</v>
      </c>
      <c r="Q74" s="262">
        <f>SUMIFS(Adjustments!$G:$G,Adjustments!$H:$H,"1",Adjustments!$I:$I,$P$9,Adjustments!$J:$J,$A74)</f>
        <v>2549</v>
      </c>
      <c r="R74" s="273">
        <f t="shared" si="98"/>
        <v>32003</v>
      </c>
      <c r="S74" s="156" t="str">
        <f>'As-Filed Schedule 1'!I73</f>
        <v xml:space="preserve"> $                                     -  </v>
      </c>
      <c r="T74" s="262">
        <f>SUMIFS(Adjustments!$G:$G,Adjustments!$H:$H,"1",Adjustments!$I:$I,$S$9,Adjustments!$J:$J,$A74)</f>
        <v>0</v>
      </c>
      <c r="U74" s="273">
        <f t="shared" si="99"/>
        <v>0</v>
      </c>
      <c r="V74" s="159">
        <f t="shared" si="100"/>
        <v>989297</v>
      </c>
      <c r="W74" s="265">
        <f t="shared" si="101"/>
        <v>0</v>
      </c>
      <c r="X74" s="274">
        <f t="shared" si="102"/>
        <v>989297</v>
      </c>
      <c r="Y74" s="139"/>
    </row>
    <row r="75" spans="1:25" s="22" customFormat="1" x14ac:dyDescent="0.35">
      <c r="A75" s="154">
        <v>45</v>
      </c>
      <c r="B75" s="485" t="s">
        <v>286</v>
      </c>
      <c r="C75" s="488"/>
      <c r="D75" s="488"/>
      <c r="E75" s="488"/>
      <c r="F75" s="486"/>
      <c r="G75" s="156">
        <f>'As-Filed Schedule 1'!E74</f>
        <v>224440</v>
      </c>
      <c r="H75" s="262">
        <f>SUMIFS(Adjustments!$G:$G,Adjustments!$H:$H,"1",Adjustments!$I:$I,$G$9,Adjustments!$J:$J,$A75)</f>
        <v>-210425</v>
      </c>
      <c r="I75" s="273">
        <f t="shared" si="95"/>
        <v>14015</v>
      </c>
      <c r="J75" s="156">
        <f>'As-Filed Schedule 1'!F74</f>
        <v>1003</v>
      </c>
      <c r="K75" s="262">
        <f>SUMIFS(Adjustments!$G:$G,Adjustments!$H:$H,"1",Adjustments!$I:$I,$J$9,Adjustments!$J:$J,$A75)</f>
        <v>-1003</v>
      </c>
      <c r="L75" s="273">
        <f t="shared" si="96"/>
        <v>0</v>
      </c>
      <c r="M75" s="156" t="str">
        <f>'As-Filed Schedule 1'!G74</f>
        <v xml:space="preserve"> $                                     -  </v>
      </c>
      <c r="N75" s="262">
        <f>SUMIFS(Adjustments!$G:$G,Adjustments!$H:$H,"1",Adjustments!$I:$I,$M$9,Adjustments!$J:$J,$A75)</f>
        <v>0</v>
      </c>
      <c r="O75" s="273">
        <f t="shared" si="97"/>
        <v>0</v>
      </c>
      <c r="P75" s="156">
        <f>'As-Filed Schedule 1'!H74</f>
        <v>1448</v>
      </c>
      <c r="Q75" s="262">
        <f>SUMIFS(Adjustments!$G:$G,Adjustments!$H:$H,"1",Adjustments!$I:$I,$P$9,Adjustments!$J:$J,$A75)</f>
        <v>-1448</v>
      </c>
      <c r="R75" s="273">
        <f t="shared" si="98"/>
        <v>0</v>
      </c>
      <c r="S75" s="156" t="str">
        <f>'As-Filed Schedule 1'!I74</f>
        <v xml:space="preserve"> $                                     -  </v>
      </c>
      <c r="T75" s="262">
        <f>SUMIFS(Adjustments!$G:$G,Adjustments!$H:$H,"1",Adjustments!$I:$I,$S$9,Adjustments!$J:$J,$A75)</f>
        <v>212876</v>
      </c>
      <c r="U75" s="273">
        <f t="shared" si="99"/>
        <v>212876</v>
      </c>
      <c r="V75" s="159">
        <f t="shared" si="100"/>
        <v>226891</v>
      </c>
      <c r="W75" s="265">
        <f t="shared" si="101"/>
        <v>0</v>
      </c>
      <c r="X75" s="274">
        <f t="shared" si="102"/>
        <v>226891</v>
      </c>
      <c r="Y75" s="139"/>
    </row>
    <row r="76" spans="1:25" s="22" customFormat="1" x14ac:dyDescent="0.35">
      <c r="A76" s="154">
        <v>46</v>
      </c>
      <c r="B76" s="485" t="s">
        <v>287</v>
      </c>
      <c r="C76" s="488"/>
      <c r="D76" s="488"/>
      <c r="E76" s="488"/>
      <c r="F76" s="486"/>
      <c r="G76" s="156">
        <f>'As-Filed Schedule 1'!E75</f>
        <v>373587</v>
      </c>
      <c r="H76" s="262">
        <f>SUMIFS(Adjustments!$G:$G,Adjustments!$H:$H,"1",Adjustments!$I:$I,$G$9,Adjustments!$J:$J,$A76)</f>
        <v>-122062</v>
      </c>
      <c r="I76" s="273">
        <f t="shared" si="95"/>
        <v>251525</v>
      </c>
      <c r="J76" s="156">
        <f>'As-Filed Schedule 1'!F75</f>
        <v>199560</v>
      </c>
      <c r="K76" s="262">
        <f>SUMIFS(Adjustments!$G:$G,Adjustments!$H:$H,"1",Adjustments!$I:$I,$J$9,Adjustments!$J:$J,$A76)</f>
        <v>-1095</v>
      </c>
      <c r="L76" s="273">
        <f t="shared" si="96"/>
        <v>198465</v>
      </c>
      <c r="M76" s="156">
        <f>'As-Filed Schedule 1'!G75</f>
        <v>1079985</v>
      </c>
      <c r="N76" s="262">
        <f>SUMIFS(Adjustments!$G:$G,Adjustments!$H:$H,"1",Adjustments!$I:$I,$M$9,Adjustments!$J:$J,$A76)</f>
        <v>-364962</v>
      </c>
      <c r="O76" s="273">
        <f t="shared" si="97"/>
        <v>715023</v>
      </c>
      <c r="P76" s="156">
        <f>'As-Filed Schedule 1'!H75</f>
        <v>19629</v>
      </c>
      <c r="Q76" s="262">
        <f>SUMIFS(Adjustments!$G:$G,Adjustments!$H:$H,"1",Adjustments!$I:$I,$P$9,Adjustments!$J:$J,$A76)</f>
        <v>364962</v>
      </c>
      <c r="R76" s="273">
        <f t="shared" si="98"/>
        <v>384591</v>
      </c>
      <c r="S76" s="156" t="str">
        <f>'As-Filed Schedule 1'!I75</f>
        <v xml:space="preserve"> $                                     -  </v>
      </c>
      <c r="T76" s="262">
        <f>SUMIFS(Adjustments!$G:$G,Adjustments!$H:$H,"1",Adjustments!$I:$I,$S$9,Adjustments!$J:$J,$A76)</f>
        <v>0</v>
      </c>
      <c r="U76" s="273">
        <f t="shared" si="99"/>
        <v>0</v>
      </c>
      <c r="V76" s="159">
        <f t="shared" si="100"/>
        <v>1672761</v>
      </c>
      <c r="W76" s="265">
        <f t="shared" si="101"/>
        <v>-123157</v>
      </c>
      <c r="X76" s="274">
        <f t="shared" si="102"/>
        <v>1549604</v>
      </c>
      <c r="Y76" s="139"/>
    </row>
    <row r="77" spans="1:25" s="22" customFormat="1" x14ac:dyDescent="0.35">
      <c r="A77" s="154">
        <v>47</v>
      </c>
      <c r="B77" s="485" t="s">
        <v>318</v>
      </c>
      <c r="C77" s="488"/>
      <c r="D77" s="488"/>
      <c r="E77" s="488"/>
      <c r="F77" s="486"/>
      <c r="G77" s="156" t="str">
        <f>'As-Filed Schedule 1'!E76</f>
        <v xml:space="preserve"> $                                     -  </v>
      </c>
      <c r="H77" s="262">
        <f>SUMIFS(Adjustments!$G:$G,Adjustments!$H:$H,"1",Adjustments!$I:$I,$G$9,Adjustments!$J:$J,$A77)</f>
        <v>0</v>
      </c>
      <c r="I77" s="273">
        <f t="shared" si="95"/>
        <v>0</v>
      </c>
      <c r="J77" s="156" t="str">
        <f>'As-Filed Schedule 1'!F76</f>
        <v xml:space="preserve"> $                                     -  </v>
      </c>
      <c r="K77" s="262">
        <f>SUMIFS(Adjustments!$G:$G,Adjustments!$H:$H,"1",Adjustments!$I:$I,$J$9,Adjustments!$J:$J,$A77)</f>
        <v>0</v>
      </c>
      <c r="L77" s="273">
        <f t="shared" si="96"/>
        <v>0</v>
      </c>
      <c r="M77" s="156" t="str">
        <f>'As-Filed Schedule 1'!G76</f>
        <v xml:space="preserve"> $                                     -  </v>
      </c>
      <c r="N77" s="262">
        <f>SUMIFS(Adjustments!$G:$G,Adjustments!$H:$H,"1",Adjustments!$I:$I,$M$9,Adjustments!$J:$J,$A77)</f>
        <v>0</v>
      </c>
      <c r="O77" s="273">
        <f t="shared" si="97"/>
        <v>0</v>
      </c>
      <c r="P77" s="156" t="str">
        <f>'As-Filed Schedule 1'!H76</f>
        <v xml:space="preserve"> $                                     -  </v>
      </c>
      <c r="Q77" s="262">
        <f>SUMIFS(Adjustments!$G:$G,Adjustments!$H:$H,"1",Adjustments!$I:$I,$P$9,Adjustments!$J:$J,$A77)</f>
        <v>0</v>
      </c>
      <c r="R77" s="273">
        <f t="shared" si="98"/>
        <v>0</v>
      </c>
      <c r="S77" s="156" t="str">
        <f>'As-Filed Schedule 1'!I76</f>
        <v xml:space="preserve"> $                                     -  </v>
      </c>
      <c r="T77" s="262">
        <f>SUMIFS(Adjustments!$G:$G,Adjustments!$H:$H,"1",Adjustments!$I:$I,$S$9,Adjustments!$J:$J,$A77)</f>
        <v>0</v>
      </c>
      <c r="U77" s="273">
        <f t="shared" si="99"/>
        <v>0</v>
      </c>
      <c r="V77" s="159">
        <f t="shared" si="100"/>
        <v>0</v>
      </c>
      <c r="W77" s="265">
        <f t="shared" si="101"/>
        <v>0</v>
      </c>
      <c r="X77" s="274">
        <f t="shared" si="102"/>
        <v>0</v>
      </c>
      <c r="Y77" s="139"/>
    </row>
    <row r="78" spans="1:25" s="22" customFormat="1" x14ac:dyDescent="0.35">
      <c r="A78" s="154">
        <v>48</v>
      </c>
      <c r="B78" s="485" t="s">
        <v>285</v>
      </c>
      <c r="C78" s="488"/>
      <c r="D78" s="488"/>
      <c r="E78" s="488"/>
      <c r="F78" s="486"/>
      <c r="G78" s="156">
        <f>'As-Filed Schedule 1'!E77</f>
        <v>1003625</v>
      </c>
      <c r="H78" s="262">
        <f>SUMIFS(Adjustments!$G:$G,Adjustments!$H:$H,"1",Adjustments!$I:$I,$G$9,Adjustments!$J:$J,$A78)</f>
        <v>0</v>
      </c>
      <c r="I78" s="273">
        <f t="shared" si="95"/>
        <v>1003625</v>
      </c>
      <c r="J78" s="156">
        <f>'As-Filed Schedule 1'!F77</f>
        <v>297356</v>
      </c>
      <c r="K78" s="262">
        <f>SUMIFS(Adjustments!$G:$G,Adjustments!$H:$H,"1",Adjustments!$I:$I,$J$9,Adjustments!$J:$J,$A78)</f>
        <v>16919</v>
      </c>
      <c r="L78" s="273">
        <f t="shared" si="96"/>
        <v>314275</v>
      </c>
      <c r="M78" s="156">
        <f>'As-Filed Schedule 1'!G77</f>
        <v>339242</v>
      </c>
      <c r="N78" s="262">
        <f>SUMIFS(Adjustments!$G:$G,Adjustments!$H:$H,"1",Adjustments!$I:$I,$M$9,Adjustments!$J:$J,$A78)</f>
        <v>-12753</v>
      </c>
      <c r="O78" s="273">
        <f t="shared" si="97"/>
        <v>326489</v>
      </c>
      <c r="P78" s="156">
        <f>'As-Filed Schedule 1'!H77</f>
        <v>110470</v>
      </c>
      <c r="Q78" s="262">
        <f>SUMIFS(Adjustments!$G:$G,Adjustments!$H:$H,"1",Adjustments!$I:$I,$P$9,Adjustments!$J:$J,$A78)</f>
        <v>-4166</v>
      </c>
      <c r="R78" s="273">
        <f t="shared" si="98"/>
        <v>106304</v>
      </c>
      <c r="S78" s="156" t="str">
        <f>'As-Filed Schedule 1'!I77</f>
        <v xml:space="preserve"> $                                     -  </v>
      </c>
      <c r="T78" s="262">
        <f>SUMIFS(Adjustments!$G:$G,Adjustments!$H:$H,"1",Adjustments!$I:$I,$S$9,Adjustments!$J:$J,$A78)</f>
        <v>0</v>
      </c>
      <c r="U78" s="273">
        <f t="shared" si="99"/>
        <v>0</v>
      </c>
      <c r="V78" s="159">
        <f t="shared" si="100"/>
        <v>1750693</v>
      </c>
      <c r="W78" s="265">
        <f t="shared" si="101"/>
        <v>0</v>
      </c>
      <c r="X78" s="274">
        <f t="shared" si="102"/>
        <v>1750693</v>
      </c>
      <c r="Y78" s="139"/>
    </row>
    <row r="79" spans="1:25" s="22" customFormat="1" x14ac:dyDescent="0.35">
      <c r="A79" s="154">
        <v>49</v>
      </c>
      <c r="B79" s="479" t="s">
        <v>279</v>
      </c>
      <c r="C79" s="487"/>
      <c r="D79" s="487"/>
      <c r="E79" s="487"/>
      <c r="F79" s="480"/>
      <c r="G79" s="159">
        <f>SUM(G71:G78)</f>
        <v>2721702</v>
      </c>
      <c r="H79" s="159">
        <f t="shared" ref="H79:I79" si="103">SUM(H71:H78)</f>
        <v>-210630</v>
      </c>
      <c r="I79" s="159">
        <f t="shared" si="103"/>
        <v>2511072</v>
      </c>
      <c r="J79" s="159">
        <f t="shared" ref="J79:U79" si="104">SUM(J71:J78)</f>
        <v>560918</v>
      </c>
      <c r="K79" s="159">
        <f t="shared" si="104"/>
        <v>14857</v>
      </c>
      <c r="L79" s="159">
        <f t="shared" si="104"/>
        <v>575775</v>
      </c>
      <c r="M79" s="159">
        <f t="shared" si="104"/>
        <v>1429340</v>
      </c>
      <c r="N79" s="159">
        <f t="shared" si="104"/>
        <v>-378968</v>
      </c>
      <c r="O79" s="159">
        <f t="shared" si="104"/>
        <v>1050372</v>
      </c>
      <c r="P79" s="159">
        <f t="shared" si="104"/>
        <v>173624</v>
      </c>
      <c r="Q79" s="159">
        <f>SUM(Q71:Q78)</f>
        <v>359190</v>
      </c>
      <c r="R79" s="159">
        <f t="shared" si="104"/>
        <v>532814</v>
      </c>
      <c r="S79" s="159">
        <f t="shared" si="104"/>
        <v>0</v>
      </c>
      <c r="T79" s="159">
        <f t="shared" si="104"/>
        <v>215551</v>
      </c>
      <c r="U79" s="159">
        <f t="shared" si="104"/>
        <v>215551</v>
      </c>
      <c r="V79" s="159">
        <f t="shared" si="100"/>
        <v>4885584</v>
      </c>
      <c r="W79" s="265">
        <f t="shared" si="101"/>
        <v>0</v>
      </c>
      <c r="X79" s="274">
        <f t="shared" si="102"/>
        <v>4885584</v>
      </c>
      <c r="Y79" s="139"/>
    </row>
    <row r="80" spans="1:25" s="22" customFormat="1" x14ac:dyDescent="0.35">
      <c r="A80" s="160"/>
      <c r="B80" s="161"/>
      <c r="C80" s="161"/>
      <c r="D80" s="162"/>
      <c r="E80" s="263"/>
      <c r="F80" s="272"/>
      <c r="G80" s="163"/>
      <c r="H80" s="266"/>
      <c r="I80" s="275"/>
      <c r="J80" s="163"/>
      <c r="K80" s="266"/>
      <c r="L80" s="275"/>
      <c r="M80" s="163"/>
      <c r="N80" s="266"/>
      <c r="O80" s="275"/>
      <c r="P80" s="163"/>
      <c r="Q80" s="266"/>
      <c r="R80" s="275"/>
      <c r="S80" s="163"/>
      <c r="T80" s="266"/>
      <c r="U80" s="275"/>
      <c r="V80" s="163"/>
      <c r="W80" s="266"/>
      <c r="X80" s="275"/>
      <c r="Y80" s="139"/>
    </row>
    <row r="81" spans="1:25" s="22" customFormat="1" x14ac:dyDescent="0.35">
      <c r="A81" s="482" t="s">
        <v>303</v>
      </c>
      <c r="B81" s="483"/>
      <c r="C81" s="483"/>
      <c r="D81" s="483"/>
      <c r="E81" s="483"/>
      <c r="F81" s="483"/>
      <c r="G81" s="483"/>
      <c r="H81" s="483"/>
      <c r="I81" s="483"/>
      <c r="J81" s="483"/>
      <c r="K81" s="483"/>
      <c r="L81" s="483"/>
      <c r="M81" s="483"/>
      <c r="N81" s="483"/>
      <c r="O81" s="483"/>
      <c r="P81" s="483"/>
      <c r="Q81" s="483"/>
      <c r="R81" s="483"/>
      <c r="S81" s="483"/>
      <c r="T81" s="483"/>
      <c r="U81" s="483"/>
      <c r="V81" s="483"/>
      <c r="W81" s="483"/>
      <c r="X81" s="484"/>
      <c r="Y81" s="139"/>
    </row>
    <row r="82" spans="1:25" s="22" customFormat="1" x14ac:dyDescent="0.35">
      <c r="A82" s="154">
        <v>50</v>
      </c>
      <c r="B82" s="485" t="s">
        <v>304</v>
      </c>
      <c r="C82" s="488"/>
      <c r="D82" s="488"/>
      <c r="E82" s="488"/>
      <c r="F82" s="486"/>
      <c r="G82" s="98"/>
      <c r="H82" s="267"/>
      <c r="I82" s="277"/>
      <c r="J82" s="98"/>
      <c r="K82" s="267"/>
      <c r="L82" s="277"/>
      <c r="M82" s="98"/>
      <c r="N82" s="267"/>
      <c r="O82" s="277"/>
      <c r="P82" s="98"/>
      <c r="Q82" s="267"/>
      <c r="R82" s="277"/>
      <c r="S82" s="156">
        <f>'As-Filed Schedule 1'!I81</f>
        <v>629029</v>
      </c>
      <c r="T82" s="262">
        <f>SUMIFS(Adjustments!$G:$G,Adjustments!$H:$H,"1",Adjustments!$I:$I,$S$9,Adjustments!$J:$J,$A82)</f>
        <v>0</v>
      </c>
      <c r="U82" s="273">
        <f>SUM(S82:T82)</f>
        <v>629029</v>
      </c>
      <c r="V82" s="159">
        <f t="shared" ref="V82:X85" si="105">S82</f>
        <v>629029</v>
      </c>
      <c r="W82" s="265">
        <f t="shared" si="105"/>
        <v>0</v>
      </c>
      <c r="X82" s="274">
        <f t="shared" si="105"/>
        <v>629029</v>
      </c>
      <c r="Y82" s="139"/>
    </row>
    <row r="83" spans="1:25" s="22" customFormat="1" x14ac:dyDescent="0.35">
      <c r="A83" s="154">
        <v>51</v>
      </c>
      <c r="B83" s="485" t="s">
        <v>309</v>
      </c>
      <c r="C83" s="488"/>
      <c r="D83" s="488"/>
      <c r="E83" s="488"/>
      <c r="F83" s="486"/>
      <c r="G83" s="98"/>
      <c r="H83" s="267"/>
      <c r="I83" s="277"/>
      <c r="J83" s="98"/>
      <c r="K83" s="267"/>
      <c r="L83" s="277"/>
      <c r="M83" s="98"/>
      <c r="N83" s="267"/>
      <c r="O83" s="277"/>
      <c r="P83" s="98"/>
      <c r="Q83" s="267"/>
      <c r="R83" s="277"/>
      <c r="S83" s="156">
        <f>'As-Filed Schedule 1'!I82</f>
        <v>1800</v>
      </c>
      <c r="T83" s="262">
        <f>SUMIFS(Adjustments!$G:$G,Adjustments!$H:$H,"1",Adjustments!$I:$I,$S$9,Adjustments!$J:$J,$A83)</f>
        <v>0</v>
      </c>
      <c r="U83" s="273">
        <f t="shared" ref="U83:U85" si="106">SUM(S83:T83)</f>
        <v>1800</v>
      </c>
      <c r="V83" s="159">
        <f t="shared" si="105"/>
        <v>1800</v>
      </c>
      <c r="W83" s="265">
        <f t="shared" si="105"/>
        <v>0</v>
      </c>
      <c r="X83" s="274">
        <f t="shared" si="105"/>
        <v>1800</v>
      </c>
      <c r="Y83" s="139"/>
    </row>
    <row r="84" spans="1:25" s="22" customFormat="1" x14ac:dyDescent="0.35">
      <c r="A84" s="154">
        <v>52</v>
      </c>
      <c r="B84" s="485" t="s">
        <v>310</v>
      </c>
      <c r="C84" s="488"/>
      <c r="D84" s="488"/>
      <c r="E84" s="488"/>
      <c r="F84" s="486"/>
      <c r="G84" s="98"/>
      <c r="H84" s="267"/>
      <c r="I84" s="277"/>
      <c r="J84" s="98"/>
      <c r="K84" s="267"/>
      <c r="L84" s="277"/>
      <c r="M84" s="98"/>
      <c r="N84" s="267"/>
      <c r="O84" s="277"/>
      <c r="P84" s="98"/>
      <c r="Q84" s="267"/>
      <c r="R84" s="277"/>
      <c r="S84" s="156" t="str">
        <f>'As-Filed Schedule 1'!I83</f>
        <v xml:space="preserve"> $                                     -  </v>
      </c>
      <c r="T84" s="262">
        <f>SUMIFS(Adjustments!$G:$G,Adjustments!$H:$H,"1",Adjustments!$I:$I,$S$9,Adjustments!$J:$J,$A84)</f>
        <v>0</v>
      </c>
      <c r="U84" s="273">
        <f>SUM(S84:T84)</f>
        <v>0</v>
      </c>
      <c r="V84" s="159" t="str">
        <f t="shared" si="105"/>
        <v xml:space="preserve"> $                                     -  </v>
      </c>
      <c r="W84" s="265">
        <f t="shared" si="105"/>
        <v>0</v>
      </c>
      <c r="X84" s="274">
        <f t="shared" si="105"/>
        <v>0</v>
      </c>
      <c r="Y84" s="139"/>
    </row>
    <row r="85" spans="1:25" s="22" customFormat="1" x14ac:dyDescent="0.35">
      <c r="A85" s="154">
        <v>53</v>
      </c>
      <c r="B85" s="485" t="s">
        <v>305</v>
      </c>
      <c r="C85" s="488"/>
      <c r="D85" s="488"/>
      <c r="E85" s="488"/>
      <c r="F85" s="486"/>
      <c r="G85" s="98"/>
      <c r="H85" s="267"/>
      <c r="I85" s="277"/>
      <c r="J85" s="98"/>
      <c r="K85" s="267"/>
      <c r="L85" s="277"/>
      <c r="M85" s="98"/>
      <c r="N85" s="267"/>
      <c r="O85" s="277"/>
      <c r="P85" s="98"/>
      <c r="Q85" s="267"/>
      <c r="R85" s="277"/>
      <c r="S85" s="156" t="str">
        <f>'As-Filed Schedule 1'!I84</f>
        <v xml:space="preserve"> $                                     -  </v>
      </c>
      <c r="T85" s="262">
        <f>SUMIFS(Adjustments!$G:$G,Adjustments!$H:$H,"1",Adjustments!$I:$I,$S$9,Adjustments!$J:$J,$A85)</f>
        <v>0</v>
      </c>
      <c r="U85" s="273">
        <f t="shared" si="106"/>
        <v>0</v>
      </c>
      <c r="V85" s="159" t="str">
        <f t="shared" si="105"/>
        <v xml:space="preserve"> $                                     -  </v>
      </c>
      <c r="W85" s="265">
        <f t="shared" si="105"/>
        <v>0</v>
      </c>
      <c r="X85" s="274">
        <f t="shared" si="105"/>
        <v>0</v>
      </c>
      <c r="Y85" s="139"/>
    </row>
    <row r="86" spans="1:25" s="22" customFormat="1" x14ac:dyDescent="0.35">
      <c r="A86" s="154">
        <v>54</v>
      </c>
      <c r="B86" s="479" t="s">
        <v>306</v>
      </c>
      <c r="C86" s="487"/>
      <c r="D86" s="487"/>
      <c r="E86" s="487"/>
      <c r="F86" s="480"/>
      <c r="G86" s="159">
        <v>0</v>
      </c>
      <c r="H86" s="159">
        <v>0</v>
      </c>
      <c r="I86" s="159">
        <v>0</v>
      </c>
      <c r="J86" s="159">
        <v>0</v>
      </c>
      <c r="K86" s="159">
        <v>0</v>
      </c>
      <c r="L86" s="159">
        <v>0</v>
      </c>
      <c r="M86" s="159">
        <v>0</v>
      </c>
      <c r="N86" s="159">
        <v>0</v>
      </c>
      <c r="O86" s="159">
        <v>0</v>
      </c>
      <c r="P86" s="159">
        <v>0</v>
      </c>
      <c r="Q86" s="159">
        <v>0</v>
      </c>
      <c r="R86" s="159">
        <v>0</v>
      </c>
      <c r="S86" s="159">
        <f>SUM(S82:S85)</f>
        <v>630829</v>
      </c>
      <c r="T86" s="159">
        <f t="shared" ref="T86:U86" si="107">SUM(T82:T85)</f>
        <v>0</v>
      </c>
      <c r="U86" s="159">
        <f t="shared" si="107"/>
        <v>630829</v>
      </c>
      <c r="V86" s="159">
        <f>SUM(G86,J86,M86,P86,S86)</f>
        <v>630829</v>
      </c>
      <c r="W86" s="265">
        <f>SUM(H86,K86,N86,Q86,T86)</f>
        <v>0</v>
      </c>
      <c r="X86" s="274">
        <f>SUM(I86,L86,O86,R86,U86)</f>
        <v>630829</v>
      </c>
      <c r="Y86" s="139"/>
    </row>
    <row r="87" spans="1:25" s="22" customFormat="1" x14ac:dyDescent="0.35">
      <c r="A87" s="160"/>
      <c r="B87" s="161"/>
      <c r="C87" s="161"/>
      <c r="D87" s="162"/>
      <c r="E87" s="263"/>
      <c r="F87" s="272"/>
      <c r="G87" s="163"/>
      <c r="H87" s="266"/>
      <c r="I87" s="275"/>
      <c r="J87" s="163"/>
      <c r="K87" s="266"/>
      <c r="L87" s="275"/>
      <c r="M87" s="163"/>
      <c r="N87" s="266"/>
      <c r="O87" s="275"/>
      <c r="P87" s="163"/>
      <c r="Q87" s="266"/>
      <c r="R87" s="275"/>
      <c r="S87" s="163"/>
      <c r="T87" s="266"/>
      <c r="U87" s="275"/>
      <c r="V87" s="163"/>
      <c r="W87" s="266"/>
      <c r="X87" s="275"/>
      <c r="Y87" s="139"/>
    </row>
    <row r="88" spans="1:25" s="22" customFormat="1" x14ac:dyDescent="0.35">
      <c r="A88" s="482" t="s">
        <v>273</v>
      </c>
      <c r="B88" s="483"/>
      <c r="C88" s="483"/>
      <c r="D88" s="483"/>
      <c r="E88" s="483"/>
      <c r="F88" s="483"/>
      <c r="G88" s="483"/>
      <c r="H88" s="483"/>
      <c r="I88" s="483"/>
      <c r="J88" s="483"/>
      <c r="K88" s="483"/>
      <c r="L88" s="483"/>
      <c r="M88" s="483"/>
      <c r="N88" s="483"/>
      <c r="O88" s="483"/>
      <c r="P88" s="483"/>
      <c r="Q88" s="483"/>
      <c r="R88" s="483"/>
      <c r="S88" s="483"/>
      <c r="T88" s="483"/>
      <c r="U88" s="483"/>
      <c r="V88" s="483"/>
      <c r="W88" s="483"/>
      <c r="X88" s="484"/>
      <c r="Y88" s="139"/>
    </row>
    <row r="89" spans="1:25" s="22" customFormat="1" x14ac:dyDescent="0.35">
      <c r="A89" s="154">
        <v>55</v>
      </c>
      <c r="B89" s="485" t="s">
        <v>274</v>
      </c>
      <c r="C89" s="488"/>
      <c r="D89" s="488"/>
      <c r="E89" s="488"/>
      <c r="F89" s="486"/>
      <c r="G89" s="164">
        <f>-'As-Filed Schedule 1C'!F27</f>
        <v>0</v>
      </c>
      <c r="H89" s="159"/>
      <c r="I89" s="276">
        <f>-'Adjusted Schedule 1C'!F28</f>
        <v>0</v>
      </c>
      <c r="J89" s="164">
        <f>-'As-Filed Schedule 1C'!F28</f>
        <v>0</v>
      </c>
      <c r="K89" s="159"/>
      <c r="L89" s="276">
        <f>-'Adjusted Schedule 1C'!F29</f>
        <v>0</v>
      </c>
      <c r="M89" s="164">
        <f>-'As-Filed Schedule 1C'!F29</f>
        <v>0</v>
      </c>
      <c r="N89" s="159"/>
      <c r="O89" s="276">
        <f>-'Adjusted Schedule 1C'!F30</f>
        <v>0</v>
      </c>
      <c r="P89" s="164">
        <f>-'As-Filed Schedule 1C'!F30</f>
        <v>0</v>
      </c>
      <c r="Q89" s="159"/>
      <c r="R89" s="276">
        <f>-'Adjusted Schedule 1C'!F31</f>
        <v>0</v>
      </c>
      <c r="S89" s="164">
        <f>SUM(G89,J89,M89,P89)</f>
        <v>0</v>
      </c>
      <c r="T89" s="159"/>
      <c r="U89" s="276">
        <f>SUM(I89,L89,O89,R89)</f>
        <v>0</v>
      </c>
      <c r="V89" s="159">
        <f>SUM(G89,J89,M89,P89,S89)</f>
        <v>0</v>
      </c>
      <c r="W89" s="265"/>
      <c r="X89" s="274">
        <f>SUM(I89,L89,O89,R89,U89)</f>
        <v>0</v>
      </c>
      <c r="Y89" s="139"/>
    </row>
    <row r="90" spans="1:25" s="22" customFormat="1" x14ac:dyDescent="0.35">
      <c r="A90" s="154">
        <v>56</v>
      </c>
      <c r="B90" s="479" t="s">
        <v>270</v>
      </c>
      <c r="C90" s="487"/>
      <c r="D90" s="487"/>
      <c r="E90" s="487"/>
      <c r="F90" s="480"/>
      <c r="G90" s="159">
        <f>SUM(G89:G89)</f>
        <v>0</v>
      </c>
      <c r="H90" s="159">
        <f t="shared" ref="H90:I90" si="108">SUM(H89:H89)</f>
        <v>0</v>
      </c>
      <c r="I90" s="159">
        <f t="shared" si="108"/>
        <v>0</v>
      </c>
      <c r="J90" s="159">
        <f>SUM(J89:J89)</f>
        <v>0</v>
      </c>
      <c r="K90" s="159">
        <f t="shared" ref="K90:L90" si="109">SUM(K89:K89)</f>
        <v>0</v>
      </c>
      <c r="L90" s="159">
        <f t="shared" si="109"/>
        <v>0</v>
      </c>
      <c r="M90" s="159">
        <f>SUM(M89:M89)</f>
        <v>0</v>
      </c>
      <c r="N90" s="159">
        <f t="shared" ref="N90:O90" si="110">SUM(N89:N89)</f>
        <v>0</v>
      </c>
      <c r="O90" s="159">
        <f t="shared" si="110"/>
        <v>0</v>
      </c>
      <c r="P90" s="159">
        <f>SUM(P89:P89)</f>
        <v>0</v>
      </c>
      <c r="Q90" s="159">
        <f t="shared" ref="Q90" si="111">SUM(Q89:Q89)</f>
        <v>0</v>
      </c>
      <c r="R90" s="159">
        <f>SUM(R89:R89)</f>
        <v>0</v>
      </c>
      <c r="S90" s="159">
        <f>SUM(S89:S89)</f>
        <v>0</v>
      </c>
      <c r="T90" s="159">
        <f>SUM(T89:T89)</f>
        <v>0</v>
      </c>
      <c r="U90" s="159">
        <f>SUM(U89:U89)</f>
        <v>0</v>
      </c>
      <c r="V90" s="159">
        <f>SUM(G90,J90,M90,P90,S90)</f>
        <v>0</v>
      </c>
      <c r="W90" s="265">
        <f>SUM(H90,K90,N90,Q90,T90)</f>
        <v>0</v>
      </c>
      <c r="X90" s="274">
        <f>SUM(I90,L90,O90,R90,U90)</f>
        <v>0</v>
      </c>
      <c r="Y90" s="139"/>
    </row>
    <row r="91" spans="1:25" s="22" customFormat="1" x14ac:dyDescent="0.35">
      <c r="A91" s="160"/>
      <c r="B91" s="161"/>
      <c r="C91" s="161"/>
      <c r="D91" s="162"/>
      <c r="E91" s="263"/>
      <c r="F91" s="272"/>
      <c r="G91" s="163"/>
      <c r="H91" s="266"/>
      <c r="I91" s="275"/>
      <c r="J91" s="163"/>
      <c r="K91" s="266"/>
      <c r="L91" s="275"/>
      <c r="M91" s="163"/>
      <c r="N91" s="266"/>
      <c r="O91" s="275"/>
      <c r="P91" s="163"/>
      <c r="Q91" s="266"/>
      <c r="R91" s="275"/>
      <c r="S91" s="163"/>
      <c r="T91" s="266"/>
      <c r="U91" s="275"/>
      <c r="V91" s="163"/>
      <c r="W91" s="266"/>
      <c r="X91" s="275"/>
      <c r="Y91" s="139"/>
    </row>
    <row r="92" spans="1:25" s="22" customFormat="1" x14ac:dyDescent="0.35">
      <c r="A92" s="154">
        <v>57</v>
      </c>
      <c r="B92" s="479" t="s">
        <v>241</v>
      </c>
      <c r="C92" s="487"/>
      <c r="D92" s="487"/>
      <c r="E92" s="487"/>
      <c r="F92" s="480"/>
      <c r="G92" s="159">
        <f t="shared" ref="G92:U92" si="112">G79+G68+G58+G51+G41+G90+G86</f>
        <v>19097011</v>
      </c>
      <c r="H92" s="159">
        <f t="shared" si="112"/>
        <v>-516493</v>
      </c>
      <c r="I92" s="159">
        <f>I79+I68+I58+I51+I41+I90+I86</f>
        <v>18580518</v>
      </c>
      <c r="J92" s="159">
        <f>J79+J68+J58+J51+J41+J90+J86</f>
        <v>30885272</v>
      </c>
      <c r="K92" s="159">
        <f t="shared" si="112"/>
        <v>-196375</v>
      </c>
      <c r="L92" s="159">
        <f t="shared" si="112"/>
        <v>30688897</v>
      </c>
      <c r="M92" s="159">
        <f t="shared" si="112"/>
        <v>8682866</v>
      </c>
      <c r="N92" s="159">
        <f t="shared" si="112"/>
        <v>226652</v>
      </c>
      <c r="O92" s="159">
        <f t="shared" si="112"/>
        <v>8909518</v>
      </c>
      <c r="P92" s="159">
        <f t="shared" si="112"/>
        <v>16141343</v>
      </c>
      <c r="Q92" s="159">
        <f t="shared" si="112"/>
        <v>-11069</v>
      </c>
      <c r="R92" s="159">
        <f t="shared" si="112"/>
        <v>16130274</v>
      </c>
      <c r="S92" s="159">
        <f t="shared" si="112"/>
        <v>812562</v>
      </c>
      <c r="T92" s="159">
        <f t="shared" si="112"/>
        <v>215551</v>
      </c>
      <c r="U92" s="159">
        <f t="shared" si="112"/>
        <v>1028113</v>
      </c>
      <c r="V92" s="159">
        <f>SUM(G92,J92,M92,P92,S92)</f>
        <v>75619054</v>
      </c>
      <c r="W92" s="265">
        <f>SUM(H92,K92,N92,Q92,T92)</f>
        <v>-281734</v>
      </c>
      <c r="X92" s="274">
        <f>SUM(I92,L92,O92,R92,U92)</f>
        <v>75337320</v>
      </c>
      <c r="Y92" s="139"/>
    </row>
    <row r="93" spans="1:25" s="22" customFormat="1" x14ac:dyDescent="0.35">
      <c r="A93" s="160"/>
      <c r="B93" s="161"/>
      <c r="C93" s="161"/>
      <c r="D93" s="162"/>
      <c r="E93" s="263"/>
      <c r="F93" s="272"/>
      <c r="G93" s="163"/>
      <c r="H93" s="266"/>
      <c r="I93" s="275"/>
      <c r="J93" s="163"/>
      <c r="K93" s="266"/>
      <c r="L93" s="275"/>
      <c r="M93" s="163"/>
      <c r="N93" s="266"/>
      <c r="O93" s="275"/>
      <c r="P93" s="163"/>
      <c r="Q93" s="266"/>
      <c r="R93" s="275"/>
      <c r="S93" s="163"/>
      <c r="T93" s="266"/>
      <c r="U93" s="275"/>
      <c r="V93" s="163"/>
      <c r="W93" s="266"/>
      <c r="X93" s="275"/>
      <c r="Y93" s="139"/>
    </row>
    <row r="94" spans="1:25" s="22" customFormat="1" x14ac:dyDescent="0.35">
      <c r="A94" s="154">
        <v>58</v>
      </c>
      <c r="B94" s="485" t="s">
        <v>2</v>
      </c>
      <c r="C94" s="488"/>
      <c r="D94" s="488"/>
      <c r="E94" s="488"/>
      <c r="F94" s="486"/>
      <c r="G94" s="157">
        <f>G92*-1</f>
        <v>-19097011</v>
      </c>
      <c r="H94" s="157">
        <f>H92*-1</f>
        <v>516493</v>
      </c>
      <c r="I94" s="148">
        <f>I92*-1</f>
        <v>-18580518</v>
      </c>
      <c r="J94" s="156">
        <f>'As-Filed Schedule 1'!F93</f>
        <v>14267952</v>
      </c>
      <c r="K94" s="262">
        <f>SUMIFS(Adjustments!$G:$G,Adjustments!$H:$H,"1",Adjustments!$I:$I,$J$9,Adjustments!$J:$J,$A94)</f>
        <v>-679094</v>
      </c>
      <c r="L94" s="273">
        <f>SUM(J94:K94)</f>
        <v>13588858</v>
      </c>
      <c r="M94" s="156">
        <f>'As-Filed Schedule 1'!G93</f>
        <v>3259742</v>
      </c>
      <c r="N94" s="262">
        <f>SUMIFS(Adjustments!$G:$G,Adjustments!$H:$H,"1",Adjustments!$I:$I,$M$9,Adjustments!$J:$J,$A94)</f>
        <v>-131022</v>
      </c>
      <c r="O94" s="273">
        <f>SUM(M94:N94)</f>
        <v>3128720</v>
      </c>
      <c r="P94" s="156">
        <f>'As-Filed Schedule 1'!H93</f>
        <v>1569318</v>
      </c>
      <c r="Q94" s="262">
        <f>SUMIFS(Adjustments!$G:$G,Adjustments!$H:$H,"1",Adjustments!$I:$I,$P$9,Adjustments!$J:$J,$A94)</f>
        <v>50554</v>
      </c>
      <c r="R94" s="273">
        <f>SUM(P94:Q94)</f>
        <v>1619872</v>
      </c>
      <c r="S94" s="156">
        <f>'As-Filed Schedule 1'!I93</f>
        <v>0</v>
      </c>
      <c r="T94" s="262">
        <f>SUMIFS(Adjustments!$G:$G,Adjustments!$H:$H,"1",Adjustments!$I:$I,$S$9,Adjustments!$J:$J,$A94)</f>
        <v>243070</v>
      </c>
      <c r="U94" s="273">
        <f t="shared" ref="U94" si="113">SUM(S94:T94)</f>
        <v>243070</v>
      </c>
      <c r="V94" s="159">
        <f>SUM(,G94,J94,M94,P94,S94)</f>
        <v>1</v>
      </c>
      <c r="W94" s="265">
        <f>SUM(H94,K94,N94,Q94,T94)</f>
        <v>1</v>
      </c>
      <c r="X94" s="274">
        <f>SUM(I94,L94,O94,R94,U94)</f>
        <v>2</v>
      </c>
      <c r="Y94" s="139"/>
    </row>
    <row r="95" spans="1:25" s="22" customFormat="1" x14ac:dyDescent="0.35">
      <c r="A95" s="160"/>
      <c r="B95" s="161"/>
      <c r="C95" s="161"/>
      <c r="D95" s="162"/>
      <c r="E95" s="263"/>
      <c r="F95" s="272"/>
      <c r="G95" s="163"/>
      <c r="H95" s="266"/>
      <c r="I95" s="275"/>
      <c r="J95" s="163"/>
      <c r="K95" s="266"/>
      <c r="L95" s="275"/>
      <c r="M95" s="163"/>
      <c r="N95" s="266"/>
      <c r="O95" s="275"/>
      <c r="P95" s="163"/>
      <c r="Q95" s="266"/>
      <c r="R95" s="275"/>
      <c r="S95" s="163"/>
      <c r="T95" s="266"/>
      <c r="U95" s="275"/>
      <c r="V95" s="163"/>
      <c r="W95" s="266"/>
      <c r="X95" s="275"/>
      <c r="Y95" s="139"/>
    </row>
    <row r="96" spans="1:25" s="63" customFormat="1" ht="15.5" x14ac:dyDescent="0.35">
      <c r="A96" s="154">
        <v>59</v>
      </c>
      <c r="B96" s="479" t="s">
        <v>242</v>
      </c>
      <c r="C96" s="487"/>
      <c r="D96" s="487"/>
      <c r="E96" s="487"/>
      <c r="F96" s="480"/>
      <c r="G96" s="159">
        <f>G94+G92</f>
        <v>0</v>
      </c>
      <c r="H96" s="159">
        <f t="shared" ref="H96:I96" si="114">H94+H92</f>
        <v>0</v>
      </c>
      <c r="I96" s="159">
        <f t="shared" si="114"/>
        <v>0</v>
      </c>
      <c r="J96" s="159">
        <f>J94+J92</f>
        <v>45153224</v>
      </c>
      <c r="K96" s="159">
        <f t="shared" ref="K96" si="115">K94+K92</f>
        <v>-875469</v>
      </c>
      <c r="L96" s="159">
        <f>L94+L92</f>
        <v>44277755</v>
      </c>
      <c r="M96" s="159">
        <f t="shared" ref="M96:R96" si="116">M94+M92</f>
        <v>11942608</v>
      </c>
      <c r="N96" s="159">
        <f t="shared" si="116"/>
        <v>95630</v>
      </c>
      <c r="O96" s="159">
        <f t="shared" si="116"/>
        <v>12038238</v>
      </c>
      <c r="P96" s="159">
        <f t="shared" si="116"/>
        <v>17710661</v>
      </c>
      <c r="Q96" s="159">
        <f t="shared" si="116"/>
        <v>39485</v>
      </c>
      <c r="R96" s="159">
        <f t="shared" si="116"/>
        <v>17750146</v>
      </c>
      <c r="S96" s="159">
        <f>S94+S92</f>
        <v>812562</v>
      </c>
      <c r="T96" s="159">
        <f t="shared" ref="T96:U96" si="117">T94+T92</f>
        <v>458621</v>
      </c>
      <c r="U96" s="159">
        <f t="shared" si="117"/>
        <v>1271183</v>
      </c>
      <c r="V96" s="159">
        <f>SUM(G96,J96,M96,P96,S96)</f>
        <v>75619055</v>
      </c>
      <c r="W96" s="265">
        <f>SUM(H96,K96,N96,Q96,T96)</f>
        <v>-281733</v>
      </c>
      <c r="X96" s="274">
        <f>SUM(I96,L96,O96,R96,U96)</f>
        <v>75337322</v>
      </c>
      <c r="Y96" s="140"/>
    </row>
    <row r="97" spans="1:25" s="22" customFormat="1" x14ac:dyDescent="0.35">
      <c r="A97" s="169"/>
      <c r="B97" s="169"/>
      <c r="C97" s="169"/>
      <c r="D97" s="169"/>
      <c r="E97" s="264"/>
      <c r="F97" s="139"/>
      <c r="G97" s="169"/>
      <c r="H97" s="264"/>
      <c r="I97" s="139"/>
      <c r="J97" s="169"/>
      <c r="K97" s="264"/>
      <c r="L97" s="139"/>
      <c r="M97" s="169"/>
      <c r="N97" s="264"/>
      <c r="O97" s="139"/>
      <c r="P97" s="169"/>
      <c r="Q97" s="264"/>
      <c r="R97" s="139"/>
      <c r="S97" s="169"/>
      <c r="T97" s="264"/>
      <c r="U97" s="139"/>
      <c r="V97" s="169"/>
      <c r="W97" s="264"/>
      <c r="X97" s="139"/>
      <c r="Y97" s="139"/>
    </row>
    <row r="98" spans="1:25" s="22" customFormat="1" x14ac:dyDescent="0.35">
      <c r="A98" s="154">
        <v>60</v>
      </c>
      <c r="B98" s="490" t="s">
        <v>4</v>
      </c>
      <c r="C98" s="490"/>
      <c r="D98" s="169"/>
      <c r="E98" s="264"/>
      <c r="F98" s="139"/>
      <c r="G98" s="169"/>
      <c r="H98" s="264"/>
      <c r="I98" s="139"/>
      <c r="J98" s="149">
        <f>'As-Filed Schedule 1'!F97</f>
        <v>0</v>
      </c>
      <c r="K98" s="262">
        <f>SUMIFS(Adjustments!$G:$G,Adjustments!$H:$H,"1",Adjustments!$I:$I,$J$9,Adjustments!$J:$J,$A98)</f>
        <v>0</v>
      </c>
      <c r="L98" s="273">
        <f>SUM(J98:K98)</f>
        <v>0</v>
      </c>
      <c r="M98" s="169"/>
      <c r="N98" s="264"/>
      <c r="O98" s="139"/>
      <c r="P98" s="169"/>
      <c r="Q98" s="264"/>
      <c r="R98" s="139"/>
      <c r="S98" s="169"/>
      <c r="T98" s="264"/>
      <c r="U98" s="139"/>
      <c r="V98" s="169"/>
      <c r="W98" s="264"/>
      <c r="X98" s="139"/>
      <c r="Y98" s="139"/>
    </row>
    <row r="99" spans="1:25" s="22" customFormat="1" x14ac:dyDescent="0.35">
      <c r="A99" s="154">
        <v>61</v>
      </c>
      <c r="B99" s="490" t="s">
        <v>5</v>
      </c>
      <c r="C99" s="490"/>
      <c r="D99" s="169"/>
      <c r="E99" s="264"/>
      <c r="F99" s="139"/>
      <c r="G99" s="169"/>
      <c r="H99" s="264"/>
      <c r="I99" s="139"/>
      <c r="J99" s="157" t="str">
        <f>IFERROR(J96/J98,"")</f>
        <v/>
      </c>
      <c r="K99" s="157" t="str">
        <f t="shared" ref="K99" si="118">IFERROR(K96/K98,"")</f>
        <v/>
      </c>
      <c r="L99" s="157" t="str">
        <f>IFERROR(L96/L98,"")</f>
        <v/>
      </c>
      <c r="M99" s="169"/>
      <c r="N99" s="264"/>
      <c r="O99" s="139"/>
      <c r="P99" s="169"/>
      <c r="Q99" s="264"/>
      <c r="R99" s="139"/>
      <c r="S99" s="169"/>
      <c r="T99" s="264"/>
      <c r="U99" s="139"/>
      <c r="V99" s="169"/>
      <c r="W99" s="264"/>
      <c r="X99" s="139"/>
      <c r="Y99" s="139"/>
    </row>
    <row r="100" spans="1:25" s="22" customFormat="1" x14ac:dyDescent="0.35">
      <c r="A100" s="170"/>
      <c r="B100" s="169"/>
      <c r="C100" s="169"/>
      <c r="D100" s="169"/>
      <c r="E100" s="264"/>
      <c r="F100" s="139"/>
      <c r="G100" s="169"/>
      <c r="H100" s="264"/>
      <c r="I100" s="139"/>
      <c r="J100" s="169"/>
      <c r="K100" s="264"/>
      <c r="L100" s="139"/>
      <c r="M100" s="169"/>
      <c r="N100" s="264"/>
      <c r="O100" s="139"/>
      <c r="P100" s="169"/>
      <c r="Q100" s="264"/>
      <c r="R100" s="139"/>
      <c r="S100" s="169"/>
      <c r="T100" s="264"/>
      <c r="U100" s="139"/>
      <c r="V100" s="169"/>
      <c r="W100" s="264"/>
      <c r="X100" s="139"/>
      <c r="Y100" s="139"/>
    </row>
    <row r="101" spans="1:25" s="22" customFormat="1" x14ac:dyDescent="0.35">
      <c r="A101" s="154">
        <v>62</v>
      </c>
      <c r="B101" s="490" t="s">
        <v>307</v>
      </c>
      <c r="C101" s="490"/>
      <c r="D101" s="169"/>
      <c r="E101" s="264"/>
      <c r="F101" s="139"/>
      <c r="G101" s="169"/>
      <c r="H101" s="264"/>
      <c r="I101" s="139"/>
      <c r="J101" s="169"/>
      <c r="K101" s="264"/>
      <c r="L101" s="139"/>
      <c r="M101" s="169"/>
      <c r="N101" s="264"/>
      <c r="O101" s="139"/>
      <c r="P101" s="169"/>
      <c r="Q101" s="264"/>
      <c r="R101" s="139"/>
      <c r="S101" s="169"/>
      <c r="T101" s="264"/>
      <c r="U101" s="139"/>
      <c r="V101" s="156">
        <f>'As-Filed Schedule 1'!J100</f>
        <v>0</v>
      </c>
      <c r="W101"/>
      <c r="X101" s="473">
        <v>75567615</v>
      </c>
      <c r="Y101" s="139"/>
    </row>
    <row r="102" spans="1:25" s="22" customFormat="1" x14ac:dyDescent="0.35">
      <c r="A102" s="154">
        <v>63</v>
      </c>
      <c r="B102" s="490" t="s">
        <v>10</v>
      </c>
      <c r="C102" s="490"/>
      <c r="D102" s="169"/>
      <c r="E102" s="264"/>
      <c r="F102" s="139"/>
      <c r="G102" s="169"/>
      <c r="H102" s="264"/>
      <c r="I102" s="139"/>
      <c r="J102" s="169"/>
      <c r="K102" s="264"/>
      <c r="L102" s="139"/>
      <c r="M102" s="169"/>
      <c r="N102" s="264"/>
      <c r="O102" s="139"/>
      <c r="P102" s="169"/>
      <c r="Q102" s="264"/>
      <c r="R102" s="139"/>
      <c r="S102" s="169"/>
      <c r="T102" s="264"/>
      <c r="U102" s="139"/>
      <c r="V102" s="157">
        <f>ROUND(V96-V101,0)</f>
        <v>75619055</v>
      </c>
      <c r="W102"/>
      <c r="X102" s="278">
        <f>ROUND(X96-X101,0)</f>
        <v>-230293</v>
      </c>
      <c r="Y102" s="139"/>
    </row>
    <row r="103" spans="1:25" x14ac:dyDescent="0.35">
      <c r="A103" s="100"/>
      <c r="B103" s="100"/>
      <c r="C103" s="100"/>
      <c r="D103" s="100"/>
      <c r="G103" s="100"/>
      <c r="J103" s="100"/>
      <c r="M103" s="100"/>
      <c r="P103" s="100"/>
      <c r="S103" s="100"/>
      <c r="V103" s="100"/>
    </row>
    <row r="104" spans="1:25" x14ac:dyDescent="0.35">
      <c r="A104" s="154">
        <v>64</v>
      </c>
      <c r="B104" s="490" t="s">
        <v>202</v>
      </c>
      <c r="C104" s="490"/>
      <c r="D104" s="100"/>
      <c r="G104" s="171">
        <f>IFERROR(G92/SUM(J92,M92,P92,S92),"")</f>
        <v>0.33786837818300375</v>
      </c>
      <c r="H104" s="171">
        <f>IFERROR(H92/SUM(K92,N92,Q92,T92),"")</f>
        <v>-2.2000988247521929</v>
      </c>
      <c r="I104" s="171">
        <f>IFERROR(I92/SUM(L92,O92,R92,U92),"")</f>
        <v>0.32737077046730012</v>
      </c>
      <c r="J104" s="100"/>
      <c r="M104" s="100"/>
      <c r="P104" s="100"/>
      <c r="S104" s="100"/>
      <c r="V104" s="100"/>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77">
    <mergeCell ref="B54:F54"/>
    <mergeCell ref="B55:F55"/>
    <mergeCell ref="B56:F56"/>
    <mergeCell ref="B57:F57"/>
    <mergeCell ref="B83:F83"/>
    <mergeCell ref="B68:F68"/>
    <mergeCell ref="B71:F71"/>
    <mergeCell ref="B72:F72"/>
    <mergeCell ref="B73:F73"/>
    <mergeCell ref="B74:F74"/>
    <mergeCell ref="B75:F75"/>
    <mergeCell ref="B76:F76"/>
    <mergeCell ref="B77:F77"/>
    <mergeCell ref="A70:X70"/>
    <mergeCell ref="B58:F58"/>
    <mergeCell ref="B65:F65"/>
    <mergeCell ref="B31:F31"/>
    <mergeCell ref="B44:F44"/>
    <mergeCell ref="B45:F45"/>
    <mergeCell ref="B46:F46"/>
    <mergeCell ref="B47:F47"/>
    <mergeCell ref="B52:M52"/>
    <mergeCell ref="B50:F50"/>
    <mergeCell ref="B51:F51"/>
    <mergeCell ref="B39:F39"/>
    <mergeCell ref="B33:F33"/>
    <mergeCell ref="B48:F48"/>
    <mergeCell ref="B41:F41"/>
    <mergeCell ref="B36:F36"/>
    <mergeCell ref="B37:F37"/>
    <mergeCell ref="B38:F38"/>
    <mergeCell ref="B49:F49"/>
    <mergeCell ref="B104:C104"/>
    <mergeCell ref="A12:X12"/>
    <mergeCell ref="A18:X18"/>
    <mergeCell ref="A23:X23"/>
    <mergeCell ref="A27:X27"/>
    <mergeCell ref="A35:X35"/>
    <mergeCell ref="A43:X43"/>
    <mergeCell ref="A53:X53"/>
    <mergeCell ref="A60:X60"/>
    <mergeCell ref="B98:C98"/>
    <mergeCell ref="B99:C99"/>
    <mergeCell ref="B101:C101"/>
    <mergeCell ref="B102:C102"/>
    <mergeCell ref="B96:F96"/>
    <mergeCell ref="B94:F94"/>
    <mergeCell ref="A88:X88"/>
    <mergeCell ref="B92:F92"/>
    <mergeCell ref="B89:F89"/>
    <mergeCell ref="B90:F90"/>
    <mergeCell ref="A81:X81"/>
    <mergeCell ref="B78:F78"/>
    <mergeCell ref="B79:F79"/>
    <mergeCell ref="B82:F82"/>
    <mergeCell ref="B84:F84"/>
    <mergeCell ref="B85:F85"/>
    <mergeCell ref="B86:F86"/>
    <mergeCell ref="B66:F66"/>
    <mergeCell ref="B67:F67"/>
    <mergeCell ref="B61:F61"/>
    <mergeCell ref="B62:F62"/>
    <mergeCell ref="B63:F63"/>
    <mergeCell ref="B64:F64"/>
    <mergeCell ref="B25:F25"/>
    <mergeCell ref="B28:F28"/>
    <mergeCell ref="B29:F29"/>
    <mergeCell ref="B30:F30"/>
    <mergeCell ref="B19:C19"/>
    <mergeCell ref="B20:C20"/>
    <mergeCell ref="B21:C21"/>
    <mergeCell ref="B24:F24"/>
    <mergeCell ref="B10:C10"/>
    <mergeCell ref="B13:C13"/>
    <mergeCell ref="B14:C14"/>
    <mergeCell ref="B15:C15"/>
    <mergeCell ref="B16:C16"/>
  </mergeCells>
  <pageMargins left="0.7" right="0.7" top="0.75" bottom="0.75" header="0.3" footer="0.3"/>
  <pageSetup orientation="portrait" horizontalDpi="1200" verticalDpi="1200"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dimension ref="A1:AA95"/>
  <sheetViews>
    <sheetView workbookViewId="0"/>
  </sheetViews>
  <sheetFormatPr defaultColWidth="9.1796875" defaultRowHeight="14.5" x14ac:dyDescent="0.35"/>
  <cols>
    <col min="1" max="1" width="6.81640625" customWidth="1"/>
    <col min="2" max="2" width="16" customWidth="1"/>
    <col min="3" max="3" width="29.1796875" customWidth="1"/>
    <col min="4" max="6" width="19" customWidth="1"/>
    <col min="7" max="11" width="21.1796875" customWidth="1"/>
    <col min="12" max="12" width="28.453125" customWidth="1"/>
    <col min="13" max="13" width="32.54296875" customWidth="1"/>
    <col min="14" max="14" width="37.453125" customWidth="1"/>
  </cols>
  <sheetData>
    <row r="1" spans="1:14" ht="26" x14ac:dyDescent="0.6">
      <c r="A1" s="3" t="s">
        <v>774</v>
      </c>
    </row>
    <row r="2" spans="1:14" ht="21" x14ac:dyDescent="0.5">
      <c r="A2" s="2" t="s">
        <v>772</v>
      </c>
    </row>
    <row r="3" spans="1:14" ht="25" customHeight="1" x14ac:dyDescent="0.5">
      <c r="A3" s="495" t="s">
        <v>597</v>
      </c>
      <c r="B3" s="495"/>
      <c r="C3" s="495"/>
      <c r="D3" s="495"/>
      <c r="E3" s="495"/>
      <c r="F3" s="495"/>
      <c r="G3" s="495"/>
      <c r="H3" s="495"/>
      <c r="I3" s="495"/>
      <c r="J3" s="495"/>
      <c r="K3" s="495"/>
      <c r="L3" s="495"/>
    </row>
    <row r="4" spans="1:14" x14ac:dyDescent="0.35">
      <c r="J4" s="61"/>
      <c r="L4" s="129"/>
      <c r="M4" s="129"/>
      <c r="N4" s="129"/>
    </row>
    <row r="5" spans="1:14" x14ac:dyDescent="0.35">
      <c r="A5" s="1" t="s">
        <v>773</v>
      </c>
      <c r="C5" s="416" t="str">
        <f>Results!$C$6</f>
        <v>AllHealth Network</v>
      </c>
      <c r="J5" s="48"/>
      <c r="L5" s="40"/>
      <c r="M5" s="40"/>
      <c r="N5" s="40"/>
    </row>
    <row r="6" spans="1:14" x14ac:dyDescent="0.35">
      <c r="A6" s="1" t="s">
        <v>0</v>
      </c>
      <c r="C6" s="35">
        <f>Results!$C$7</f>
        <v>45473</v>
      </c>
      <c r="D6" s="35"/>
      <c r="E6" s="35"/>
      <c r="F6" s="35"/>
      <c r="G6" s="35"/>
      <c r="H6" s="35"/>
      <c r="I6" s="35"/>
      <c r="J6" s="60"/>
      <c r="L6" s="40"/>
      <c r="M6" s="40"/>
      <c r="N6" s="40"/>
    </row>
    <row r="7" spans="1:14" x14ac:dyDescent="0.35">
      <c r="D7" s="78" t="s">
        <v>594</v>
      </c>
      <c r="E7" s="304" t="s">
        <v>593</v>
      </c>
      <c r="J7" s="48"/>
      <c r="L7" s="40"/>
      <c r="M7" s="40"/>
      <c r="N7" s="40"/>
    </row>
    <row r="8" spans="1:14" x14ac:dyDescent="0.35">
      <c r="A8" s="1" t="s">
        <v>264</v>
      </c>
      <c r="D8" s="117">
        <f>'As-Filed Schedule 1A'!D8</f>
        <v>332850</v>
      </c>
      <c r="E8" s="305">
        <v>332850</v>
      </c>
      <c r="F8" s="78"/>
      <c r="G8" s="48"/>
      <c r="H8" s="48"/>
      <c r="I8" s="48"/>
      <c r="J8" s="48"/>
      <c r="L8" s="40"/>
      <c r="M8" s="40"/>
      <c r="N8" s="40"/>
    </row>
    <row r="9" spans="1:14" ht="6.75" customHeight="1" x14ac:dyDescent="0.35">
      <c r="J9" s="48"/>
      <c r="L9" s="40"/>
      <c r="M9" s="40"/>
      <c r="N9" s="40"/>
    </row>
    <row r="10" spans="1:14" x14ac:dyDescent="0.35">
      <c r="A10" s="1" t="s">
        <v>265</v>
      </c>
      <c r="D10" s="77" t="s">
        <v>266</v>
      </c>
      <c r="E10" s="78"/>
      <c r="F10" s="78"/>
      <c r="J10" s="48"/>
      <c r="L10" s="40"/>
      <c r="M10" s="40"/>
      <c r="N10" s="40"/>
    </row>
    <row r="11" spans="1:14" x14ac:dyDescent="0.35">
      <c r="A11" s="1"/>
      <c r="D11" s="78"/>
      <c r="E11" s="78"/>
      <c r="F11" s="78"/>
      <c r="J11" s="48"/>
      <c r="L11" s="130"/>
    </row>
    <row r="12" spans="1:14" x14ac:dyDescent="0.35">
      <c r="A12" s="1" t="s">
        <v>267</v>
      </c>
      <c r="D12" s="48"/>
      <c r="E12" s="48"/>
      <c r="F12" s="48"/>
      <c r="L12" s="130"/>
    </row>
    <row r="13" spans="1:14" ht="15" customHeight="1" x14ac:dyDescent="0.35">
      <c r="A13" s="496" t="s">
        <v>488</v>
      </c>
      <c r="B13" s="496"/>
      <c r="C13" s="496"/>
      <c r="D13" s="496"/>
      <c r="E13" s="496"/>
      <c r="F13" s="496"/>
      <c r="G13" s="496"/>
      <c r="H13" s="496"/>
      <c r="I13" s="496"/>
      <c r="J13" s="496"/>
      <c r="K13" s="496"/>
      <c r="L13" s="62"/>
    </row>
    <row r="14" spans="1:14" ht="15" customHeight="1" x14ac:dyDescent="0.35">
      <c r="A14" s="496"/>
      <c r="B14" s="496"/>
      <c r="C14" s="496"/>
      <c r="D14" s="496"/>
      <c r="E14" s="496"/>
      <c r="F14" s="496"/>
      <c r="G14" s="496"/>
      <c r="H14" s="496"/>
      <c r="I14" s="496"/>
      <c r="J14" s="496"/>
      <c r="K14" s="496"/>
      <c r="L14" s="62"/>
    </row>
    <row r="15" spans="1:14" ht="15" customHeight="1" x14ac:dyDescent="0.35">
      <c r="A15" s="496"/>
      <c r="B15" s="496"/>
      <c r="C15" s="496"/>
      <c r="D15" s="496"/>
      <c r="E15" s="496"/>
      <c r="F15" s="496"/>
      <c r="G15" s="496"/>
      <c r="H15" s="496"/>
      <c r="I15" s="496"/>
      <c r="J15" s="496"/>
      <c r="K15" s="496"/>
      <c r="L15" s="62"/>
    </row>
    <row r="16" spans="1:14" x14ac:dyDescent="0.35">
      <c r="A16" s="496"/>
      <c r="B16" s="496"/>
      <c r="C16" s="496"/>
      <c r="D16" s="496"/>
      <c r="E16" s="496"/>
      <c r="F16" s="496"/>
      <c r="G16" s="496"/>
      <c r="H16" s="496"/>
      <c r="I16" s="496"/>
      <c r="J16" s="496"/>
      <c r="K16" s="496"/>
    </row>
    <row r="17" spans="1:27" x14ac:dyDescent="0.35">
      <c r="A17" s="173"/>
      <c r="B17" s="173"/>
      <c r="C17" s="173"/>
      <c r="D17" s="173"/>
      <c r="E17" s="173"/>
      <c r="F17" s="173"/>
      <c r="G17" s="173"/>
      <c r="H17" s="173"/>
      <c r="I17" s="173"/>
      <c r="J17" s="173"/>
      <c r="K17" s="126"/>
    </row>
    <row r="18" spans="1:27" x14ac:dyDescent="0.35">
      <c r="A18" s="173"/>
      <c r="B18" s="497">
        <v>1</v>
      </c>
      <c r="C18" s="498"/>
      <c r="D18" s="174">
        <v>2</v>
      </c>
      <c r="E18" s="174">
        <v>3</v>
      </c>
      <c r="F18" s="174">
        <v>4</v>
      </c>
      <c r="G18" s="174">
        <v>5</v>
      </c>
      <c r="H18" s="255" t="s">
        <v>566</v>
      </c>
      <c r="I18" s="256" t="s">
        <v>567</v>
      </c>
      <c r="J18" s="174">
        <v>6</v>
      </c>
      <c r="K18" s="256" t="s">
        <v>571</v>
      </c>
    </row>
    <row r="19" spans="1:27" s="4" customFormat="1" ht="58" x14ac:dyDescent="0.35">
      <c r="A19" s="175"/>
      <c r="B19" s="499" t="s">
        <v>599</v>
      </c>
      <c r="C19" s="499"/>
      <c r="D19" s="150" t="s">
        <v>600</v>
      </c>
      <c r="E19" s="150" t="s">
        <v>603</v>
      </c>
      <c r="F19" s="150" t="s">
        <v>604</v>
      </c>
      <c r="G19" s="150" t="s">
        <v>489</v>
      </c>
      <c r="H19" s="257" t="s">
        <v>601</v>
      </c>
      <c r="I19" s="258" t="s">
        <v>602</v>
      </c>
      <c r="J19" s="150" t="s">
        <v>490</v>
      </c>
      <c r="K19" s="258" t="s">
        <v>595</v>
      </c>
    </row>
    <row r="20" spans="1:27" x14ac:dyDescent="0.35">
      <c r="A20" s="176">
        <v>1</v>
      </c>
      <c r="B20" s="494" t="str">
        <f>IF('As-Filed Schedule 1A'!B20:C20=0,"",'As-Filed Schedule 1A'!B20:C20)</f>
        <v>Chief Executive Officer</v>
      </c>
      <c r="C20" s="494"/>
      <c r="D20" s="177">
        <f>IF('As-Filed Schedule 1A'!D20=0,"",'As-Filed Schedule 1A'!D20)</f>
        <v>2</v>
      </c>
      <c r="E20" s="178">
        <f>IF('As-Filed Schedule 1A'!E20=0,"",'As-Filed Schedule 1A'!E20)</f>
        <v>12</v>
      </c>
      <c r="F20" s="178">
        <f>IF('As-Filed Schedule 1A'!F20=0,"",'As-Filed Schedule 1A'!F20)</f>
        <v>1</v>
      </c>
      <c r="G20" s="179">
        <f>'As-Filed Schedule 1A'!G20</f>
        <v>503751</v>
      </c>
      <c r="H20" s="309">
        <f>SUMIFS(Adjustments!$G:$G,Adjustments!$H:$H,"1A",Adjustments!$I:$I,'Schedule 1A Adjustments'!$G$18,Adjustments!$J:$J,'Schedule 1A Adjustments'!A20)</f>
        <v>0</v>
      </c>
      <c r="I20" s="305">
        <f>SUM(G20:H20)</f>
        <v>503751</v>
      </c>
      <c r="J20" s="180">
        <f>IF(G20-$D$8&gt;0,G20-$D$8,0)</f>
        <v>170901</v>
      </c>
      <c r="K20" s="180">
        <f>IF(I20-$E$8&gt;0,I20-$E$8,0)</f>
        <v>170901</v>
      </c>
    </row>
    <row r="21" spans="1:27" x14ac:dyDescent="0.35">
      <c r="A21" s="176">
        <f>A20+1</f>
        <v>2</v>
      </c>
      <c r="B21" s="494" t="str">
        <f>IF('As-Filed Schedule 1A'!B21:C21=0,"",'As-Filed Schedule 1A'!B21:C21)</f>
        <v>Chief Business Officer</v>
      </c>
      <c r="C21" s="494"/>
      <c r="D21" s="177">
        <f>IF('As-Filed Schedule 1A'!D21=0,"",'As-Filed Schedule 1A'!D21)</f>
        <v>2</v>
      </c>
      <c r="E21" s="178">
        <f>IF('As-Filed Schedule 1A'!E21=0,"",'As-Filed Schedule 1A'!E21)</f>
        <v>12</v>
      </c>
      <c r="F21" s="178">
        <f>IF('As-Filed Schedule 1A'!F21=0,"",'As-Filed Schedule 1A'!F21)</f>
        <v>1</v>
      </c>
      <c r="G21" s="179">
        <f>'As-Filed Schedule 1A'!G21</f>
        <v>343682</v>
      </c>
      <c r="H21" s="309">
        <f>SUMIFS(Adjustments!$G:$G,Adjustments!$H:$H,"1A",Adjustments!$I:$I,'Schedule 1A Adjustments'!$G$18,Adjustments!$J:$J,'Schedule 1A Adjustments'!A21)</f>
        <v>0</v>
      </c>
      <c r="I21" s="305">
        <f t="shared" ref="I21:I24" si="0">SUM(G21:H21)</f>
        <v>343682</v>
      </c>
      <c r="J21" s="180">
        <f>IF(G21-$D$8&gt;0,G21-$D$8,0)</f>
        <v>10832</v>
      </c>
      <c r="K21" s="180">
        <f>IF(I21-$E$8&gt;0,I21-$E$8,0)</f>
        <v>10832</v>
      </c>
    </row>
    <row r="22" spans="1:27" x14ac:dyDescent="0.35">
      <c r="A22" s="176">
        <f t="shared" ref="A22:A30" si="1">A21+1</f>
        <v>3</v>
      </c>
      <c r="B22" s="494" t="str">
        <f>IF('As-Filed Schedule 1A'!B22:C22=0,"",'As-Filed Schedule 1A'!B22:C22)</f>
        <v/>
      </c>
      <c r="C22" s="494"/>
      <c r="D22" s="177" t="str">
        <f>IF('As-Filed Schedule 1A'!D22=0,"",'As-Filed Schedule 1A'!D22)</f>
        <v/>
      </c>
      <c r="E22" s="178" t="str">
        <f>IF('As-Filed Schedule 1A'!E22=0,"",'As-Filed Schedule 1A'!E22)</f>
        <v/>
      </c>
      <c r="F22" s="178" t="str">
        <f>IF('As-Filed Schedule 1A'!F22=0,"",'As-Filed Schedule 1A'!F22)</f>
        <v/>
      </c>
      <c r="G22" s="179">
        <f>'As-Filed Schedule 1A'!G22</f>
        <v>0</v>
      </c>
      <c r="H22" s="309">
        <f>SUMIFS(Adjustments!$G:$G,Adjustments!$H:$H,"1A",Adjustments!$I:$I,'Schedule 1A Adjustments'!$G$18,Adjustments!$J:$J,'Schedule 1A Adjustments'!A22)</f>
        <v>0</v>
      </c>
      <c r="I22" s="305">
        <f t="shared" si="0"/>
        <v>0</v>
      </c>
      <c r="J22" s="180">
        <f>IF(G22-$D$8&gt;0,G22-$D$8,0)</f>
        <v>0</v>
      </c>
      <c r="K22" s="180">
        <f>IF(I22-$E$8&gt;0,I22-$E$8,0)</f>
        <v>0</v>
      </c>
    </row>
    <row r="23" spans="1:27" x14ac:dyDescent="0.35">
      <c r="A23" s="176">
        <f t="shared" si="1"/>
        <v>4</v>
      </c>
      <c r="B23" s="494" t="str">
        <f>IF('As-Filed Schedule 1A'!B23:C23=0,"",'As-Filed Schedule 1A'!B23:C23)</f>
        <v/>
      </c>
      <c r="C23" s="494"/>
      <c r="D23" s="177" t="str">
        <f>IF('As-Filed Schedule 1A'!D23=0,"",'As-Filed Schedule 1A'!D23)</f>
        <v/>
      </c>
      <c r="E23" s="178" t="str">
        <f>IF('As-Filed Schedule 1A'!E23=0,"",'As-Filed Schedule 1A'!E23)</f>
        <v/>
      </c>
      <c r="F23" s="178" t="str">
        <f>IF('As-Filed Schedule 1A'!F23=0,"",'As-Filed Schedule 1A'!F23)</f>
        <v/>
      </c>
      <c r="G23" s="179">
        <f>'As-Filed Schedule 1A'!G23</f>
        <v>0</v>
      </c>
      <c r="H23" s="309">
        <f>SUMIFS(Adjustments!$G:$G,Adjustments!$H:$H,"1A",Adjustments!$I:$I,'Schedule 1A Adjustments'!$G$18,Adjustments!$J:$J,'Schedule 1A Adjustments'!A23)</f>
        <v>0</v>
      </c>
      <c r="I23" s="305">
        <f t="shared" si="0"/>
        <v>0</v>
      </c>
      <c r="J23" s="180">
        <f>IF(G23-$D$8&gt;0,G23-$D$8,0)</f>
        <v>0</v>
      </c>
      <c r="K23" s="180">
        <f>IF(I23-$E$8&gt;0,I23-$E$8,0)</f>
        <v>0</v>
      </c>
    </row>
    <row r="24" spans="1:27" x14ac:dyDescent="0.35">
      <c r="A24" s="176">
        <f t="shared" si="1"/>
        <v>5</v>
      </c>
      <c r="B24" s="494" t="str">
        <f>IF('As-Filed Schedule 1A'!B24:C24=0,"",'As-Filed Schedule 1A'!B24:C24)</f>
        <v/>
      </c>
      <c r="C24" s="494"/>
      <c r="D24" s="177" t="str">
        <f>IF('As-Filed Schedule 1A'!D24=0,"",'As-Filed Schedule 1A'!D24)</f>
        <v/>
      </c>
      <c r="E24" s="178" t="str">
        <f>IF('As-Filed Schedule 1A'!E24=0,"",'As-Filed Schedule 1A'!E24)</f>
        <v/>
      </c>
      <c r="F24" s="178" t="str">
        <f>IF('As-Filed Schedule 1A'!F24=0,"",'As-Filed Schedule 1A'!F24)</f>
        <v/>
      </c>
      <c r="G24" s="179">
        <f>'As-Filed Schedule 1A'!G24</f>
        <v>0</v>
      </c>
      <c r="H24" s="309">
        <f>SUMIFS(Adjustments!$G:$G,Adjustments!$H:$H,"1A",Adjustments!$I:$I,'Schedule 1A Adjustments'!$G$18,Adjustments!$J:$J,'Schedule 1A Adjustments'!A24)</f>
        <v>0</v>
      </c>
      <c r="I24" s="305">
        <f t="shared" si="0"/>
        <v>0</v>
      </c>
      <c r="J24" s="180">
        <f>IF(G24-$D$8&gt;0,G24-$D$8,0)</f>
        <v>0</v>
      </c>
      <c r="K24" s="180">
        <f>IF(I24-$E$8&gt;0,I24-$E$8,0)</f>
        <v>0</v>
      </c>
    </row>
    <row r="25" spans="1:27" x14ac:dyDescent="0.35">
      <c r="A25" s="181">
        <f t="shared" si="1"/>
        <v>6</v>
      </c>
      <c r="B25" s="308" t="s">
        <v>598</v>
      </c>
      <c r="C25" s="100"/>
      <c r="D25" s="100"/>
      <c r="E25" s="100"/>
      <c r="F25" s="100"/>
      <c r="G25" s="100"/>
      <c r="H25" s="100"/>
      <c r="I25" s="100"/>
      <c r="J25" s="182">
        <f>SUM(J20:J24)</f>
        <v>181733</v>
      </c>
      <c r="K25" s="182">
        <f>SUM(K20:K24)</f>
        <v>181733</v>
      </c>
    </row>
    <row r="26" spans="1:27" x14ac:dyDescent="0.35">
      <c r="A26" s="100"/>
      <c r="B26" s="100"/>
      <c r="C26" s="100"/>
      <c r="D26" s="100"/>
      <c r="E26" s="100"/>
      <c r="F26" s="100"/>
      <c r="G26" s="100"/>
      <c r="H26" s="100"/>
      <c r="I26" s="100"/>
      <c r="J26" s="100"/>
      <c r="K26" s="100"/>
    </row>
    <row r="27" spans="1:27" x14ac:dyDescent="0.35">
      <c r="A27" s="181">
        <v>7</v>
      </c>
      <c r="B27" s="100"/>
      <c r="C27" s="100"/>
      <c r="D27" s="100"/>
      <c r="E27" s="100"/>
      <c r="F27" s="100"/>
      <c r="I27" s="183" t="s">
        <v>184</v>
      </c>
      <c r="J27" s="184">
        <f>SUMIF($D$20:$D$24,2,$J$20:$J$24)</f>
        <v>181733</v>
      </c>
      <c r="K27" s="184">
        <f>SUMIF($D$20:$D$24,2,$K$20:$K$24)</f>
        <v>181733</v>
      </c>
    </row>
    <row r="28" spans="1:27" x14ac:dyDescent="0.35">
      <c r="A28" s="181">
        <v>8</v>
      </c>
      <c r="B28" s="100"/>
      <c r="C28" s="100"/>
      <c r="D28" s="100"/>
      <c r="E28" s="100"/>
      <c r="F28" s="100"/>
      <c r="I28" s="183" t="s">
        <v>182</v>
      </c>
      <c r="J28" s="184">
        <f>SUMIF($D$20:$D$24,3,$J$20:$J$24)</f>
        <v>0</v>
      </c>
      <c r="K28" s="184">
        <f>SUMIF($D$20:$D$24,3,$K$20:$K$24)</f>
        <v>0</v>
      </c>
    </row>
    <row r="29" spans="1:27" x14ac:dyDescent="0.35">
      <c r="A29" s="181">
        <v>9</v>
      </c>
      <c r="B29" s="100"/>
      <c r="C29" s="100"/>
      <c r="D29" s="100"/>
      <c r="E29" s="100"/>
      <c r="F29" s="100"/>
      <c r="I29" s="183" t="s">
        <v>183</v>
      </c>
      <c r="J29" s="184">
        <f>SUMIF($D$20:$D$24,4,$J$20:$J$24)</f>
        <v>0</v>
      </c>
      <c r="K29" s="184">
        <f>SUMIF($D$20:$D$24,4,$K$20:$K$24)</f>
        <v>0</v>
      </c>
    </row>
    <row r="30" spans="1:27" x14ac:dyDescent="0.35">
      <c r="A30" s="181">
        <f t="shared" si="1"/>
        <v>10</v>
      </c>
      <c r="B30" s="100"/>
      <c r="C30" s="100"/>
      <c r="D30" s="100"/>
      <c r="E30" s="100"/>
      <c r="F30" s="100"/>
      <c r="I30" s="183" t="s">
        <v>185</v>
      </c>
      <c r="J30" s="184">
        <f>SUMIF($D$20:$D$24,5,$J$20:$J$24)</f>
        <v>0</v>
      </c>
      <c r="K30" s="184">
        <f>SUMIF($D$20:$D$24,5,$K$20:$K$24)</f>
        <v>0</v>
      </c>
    </row>
    <row r="31" spans="1:27" x14ac:dyDescent="0.35">
      <c r="A31" s="100"/>
      <c r="B31" s="100"/>
      <c r="C31" s="100"/>
      <c r="D31" s="100"/>
      <c r="E31" s="100"/>
      <c r="F31" s="100"/>
      <c r="G31" s="100"/>
      <c r="H31" s="100"/>
      <c r="I31" s="100"/>
      <c r="J31" s="185" t="str">
        <f>IF(SUM(J27:J30)&lt;&gt;J25,"error","")</f>
        <v/>
      </c>
    </row>
    <row r="32" spans="1:27" ht="15.65" customHeight="1" x14ac:dyDescent="0.35">
      <c r="A32" s="100"/>
      <c r="B32" s="186"/>
      <c r="C32" s="186"/>
      <c r="D32" s="186"/>
      <c r="E32" s="186"/>
      <c r="F32" s="186"/>
      <c r="G32" s="186"/>
      <c r="H32" s="186"/>
      <c r="I32" s="186"/>
      <c r="J32" s="187" t="s">
        <v>269</v>
      </c>
      <c r="K32" s="80"/>
      <c r="L32" s="80"/>
      <c r="M32" s="64"/>
      <c r="W32" s="65"/>
      <c r="X32" s="65"/>
      <c r="Y32" s="65"/>
      <c r="Z32" s="65"/>
      <c r="AA32" s="65"/>
    </row>
    <row r="33" spans="1:10" x14ac:dyDescent="0.35">
      <c r="A33" s="100"/>
      <c r="B33" s="100"/>
      <c r="C33" s="100"/>
      <c r="D33" s="100"/>
      <c r="E33" s="100"/>
      <c r="F33" s="100"/>
      <c r="G33" s="100"/>
      <c r="H33" s="100"/>
      <c r="I33" s="100"/>
      <c r="J33" s="100"/>
    </row>
    <row r="34" spans="1:10" x14ac:dyDescent="0.35">
      <c r="A34" s="100"/>
      <c r="B34" s="100"/>
      <c r="C34" s="100"/>
      <c r="D34" s="100"/>
      <c r="E34" s="100"/>
      <c r="F34" s="100"/>
      <c r="G34" s="100"/>
      <c r="H34" s="100"/>
      <c r="I34" s="100"/>
      <c r="J34" s="100"/>
    </row>
    <row r="35" spans="1:10" x14ac:dyDescent="0.35">
      <c r="A35" s="100"/>
      <c r="B35" s="100"/>
      <c r="C35" s="100"/>
      <c r="D35" s="100"/>
      <c r="E35" s="100"/>
      <c r="F35" s="100"/>
      <c r="G35" s="100"/>
      <c r="H35" s="100"/>
      <c r="I35" s="100"/>
      <c r="J35" s="100"/>
    </row>
    <row r="36" spans="1:10" x14ac:dyDescent="0.35">
      <c r="A36" s="100"/>
      <c r="B36" s="100"/>
      <c r="C36" s="100"/>
      <c r="D36" s="100"/>
      <c r="E36" s="100"/>
      <c r="F36" s="100"/>
      <c r="G36" s="100"/>
      <c r="H36" s="100"/>
      <c r="I36" s="100"/>
      <c r="J36" s="100"/>
    </row>
    <row r="37" spans="1:10" x14ac:dyDescent="0.35">
      <c r="A37" s="100"/>
      <c r="B37" s="100"/>
      <c r="C37" s="100"/>
      <c r="D37" s="100"/>
      <c r="E37" s="100"/>
      <c r="F37" s="100"/>
      <c r="G37" s="100"/>
      <c r="H37" s="100"/>
      <c r="I37" s="100"/>
      <c r="J37" s="100"/>
    </row>
    <row r="38" spans="1:10" x14ac:dyDescent="0.35">
      <c r="A38" s="100"/>
      <c r="B38" s="100"/>
      <c r="C38" s="100"/>
      <c r="D38" s="100"/>
      <c r="E38" s="100"/>
      <c r="F38" s="100"/>
      <c r="G38" s="100"/>
      <c r="H38" s="100"/>
      <c r="I38" s="100"/>
      <c r="J38" s="100"/>
    </row>
    <row r="39" spans="1:10" x14ac:dyDescent="0.35">
      <c r="A39" s="100"/>
      <c r="B39" s="100"/>
      <c r="C39" s="100"/>
      <c r="D39" s="100"/>
      <c r="E39" s="100"/>
      <c r="F39" s="100"/>
      <c r="G39" s="100"/>
      <c r="H39" s="100"/>
      <c r="I39" s="100"/>
      <c r="J39" s="100"/>
    </row>
    <row r="40" spans="1:10" x14ac:dyDescent="0.35">
      <c r="A40" s="100"/>
      <c r="B40" s="100"/>
      <c r="C40" s="100"/>
      <c r="D40" s="100"/>
      <c r="E40" s="100"/>
      <c r="F40" s="100"/>
      <c r="G40" s="100"/>
      <c r="H40" s="100"/>
      <c r="I40" s="100"/>
      <c r="J40" s="100"/>
    </row>
    <row r="41" spans="1:10" x14ac:dyDescent="0.35">
      <c r="A41" s="100"/>
      <c r="B41" s="100"/>
      <c r="C41" s="100"/>
      <c r="D41" s="100"/>
      <c r="E41" s="100"/>
      <c r="F41" s="100"/>
      <c r="G41" s="100"/>
      <c r="H41" s="100"/>
      <c r="I41" s="100"/>
      <c r="J41" s="100"/>
    </row>
    <row r="42" spans="1:10" x14ac:dyDescent="0.35">
      <c r="A42" s="100"/>
      <c r="B42" s="100"/>
      <c r="C42" s="100"/>
      <c r="D42" s="100"/>
      <c r="E42" s="100"/>
      <c r="F42" s="100"/>
      <c r="G42" s="100"/>
      <c r="H42" s="100"/>
      <c r="I42" s="100"/>
      <c r="J42" s="100"/>
    </row>
    <row r="43" spans="1:10" x14ac:dyDescent="0.35">
      <c r="A43" s="100"/>
      <c r="B43" s="100"/>
      <c r="C43" s="100"/>
      <c r="D43" s="100"/>
      <c r="E43" s="100"/>
      <c r="F43" s="100"/>
      <c r="G43" s="100"/>
      <c r="H43" s="100"/>
      <c r="I43" s="100"/>
      <c r="J43" s="100"/>
    </row>
    <row r="44" spans="1:10" x14ac:dyDescent="0.35">
      <c r="A44" s="100"/>
      <c r="B44" s="100"/>
      <c r="C44" s="100"/>
      <c r="D44" s="100"/>
      <c r="E44" s="100"/>
      <c r="F44" s="100"/>
      <c r="G44" s="100"/>
      <c r="H44" s="100"/>
      <c r="I44" s="100"/>
      <c r="J44" s="100"/>
    </row>
    <row r="45" spans="1:10" x14ac:dyDescent="0.35">
      <c r="A45" s="100"/>
      <c r="B45" s="100"/>
      <c r="C45" s="100"/>
      <c r="D45" s="100"/>
      <c r="E45" s="100"/>
      <c r="F45" s="100"/>
      <c r="G45" s="100"/>
      <c r="H45" s="100"/>
      <c r="I45" s="100"/>
      <c r="J45" s="100"/>
    </row>
    <row r="46" spans="1:10" x14ac:dyDescent="0.35">
      <c r="A46" s="100"/>
      <c r="B46" s="100"/>
      <c r="C46" s="100"/>
      <c r="D46" s="100"/>
      <c r="E46" s="100"/>
      <c r="F46" s="100"/>
      <c r="G46" s="100"/>
      <c r="H46" s="100"/>
      <c r="I46" s="100"/>
      <c r="J46" s="100"/>
    </row>
    <row r="47" spans="1:10" x14ac:dyDescent="0.35">
      <c r="A47" s="100"/>
      <c r="B47" s="100"/>
      <c r="C47" s="100"/>
      <c r="D47" s="100"/>
      <c r="E47" s="100"/>
      <c r="F47" s="100"/>
      <c r="G47" s="100"/>
      <c r="H47" s="100"/>
      <c r="I47" s="100"/>
      <c r="J47" s="100"/>
    </row>
    <row r="48" spans="1:10" x14ac:dyDescent="0.35">
      <c r="A48" s="100"/>
      <c r="B48" s="100"/>
      <c r="C48" s="100"/>
      <c r="D48" s="100"/>
      <c r="E48" s="100"/>
      <c r="F48" s="100"/>
      <c r="G48" s="100"/>
      <c r="H48" s="100"/>
      <c r="I48" s="100"/>
      <c r="J48" s="100"/>
    </row>
    <row r="49" spans="1:10" x14ac:dyDescent="0.35">
      <c r="A49" s="100"/>
      <c r="B49" s="100"/>
      <c r="C49" s="100"/>
      <c r="D49" s="100"/>
      <c r="E49" s="100"/>
      <c r="F49" s="100"/>
      <c r="G49" s="100"/>
      <c r="H49" s="100"/>
      <c r="I49" s="100"/>
      <c r="J49" s="100"/>
    </row>
    <row r="50" spans="1:10" x14ac:dyDescent="0.35">
      <c r="A50" s="100"/>
      <c r="B50" s="100"/>
      <c r="C50" s="100"/>
      <c r="D50" s="100"/>
      <c r="E50" s="100"/>
      <c r="F50" s="100"/>
      <c r="G50" s="100"/>
      <c r="H50" s="100"/>
      <c r="I50" s="100"/>
      <c r="J50" s="100"/>
    </row>
    <row r="51" spans="1:10" x14ac:dyDescent="0.35">
      <c r="A51" s="100"/>
      <c r="B51" s="100"/>
      <c r="C51" s="100"/>
      <c r="D51" s="100"/>
      <c r="E51" s="100"/>
      <c r="F51" s="100"/>
      <c r="G51" s="100"/>
      <c r="H51" s="100"/>
      <c r="I51" s="100"/>
      <c r="J51" s="100"/>
    </row>
    <row r="52" spans="1:10" x14ac:dyDescent="0.35">
      <c r="A52" s="100"/>
      <c r="B52" s="100"/>
      <c r="C52" s="100"/>
      <c r="D52" s="100"/>
      <c r="E52" s="100"/>
      <c r="F52" s="100"/>
      <c r="G52" s="100"/>
      <c r="H52" s="100"/>
      <c r="I52" s="100"/>
      <c r="J52" s="100"/>
    </row>
    <row r="53" spans="1:10" x14ac:dyDescent="0.35">
      <c r="A53" s="100"/>
      <c r="B53" s="100"/>
      <c r="C53" s="100"/>
      <c r="D53" s="100"/>
      <c r="E53" s="100"/>
      <c r="F53" s="100"/>
      <c r="G53" s="100"/>
      <c r="H53" s="100"/>
      <c r="I53" s="100"/>
      <c r="J53" s="100"/>
    </row>
    <row r="54" spans="1:10" x14ac:dyDescent="0.35">
      <c r="A54" s="100"/>
      <c r="B54" s="100"/>
      <c r="C54" s="100"/>
      <c r="D54" s="100"/>
      <c r="E54" s="100"/>
      <c r="F54" s="100"/>
      <c r="G54" s="100"/>
      <c r="H54" s="100"/>
      <c r="I54" s="100"/>
      <c r="J54" s="100"/>
    </row>
    <row r="55" spans="1:10" x14ac:dyDescent="0.35">
      <c r="A55" s="100"/>
      <c r="B55" s="100"/>
      <c r="C55" s="100"/>
      <c r="D55" s="100"/>
      <c r="E55" s="100"/>
      <c r="F55" s="100"/>
      <c r="G55" s="100"/>
      <c r="H55" s="100"/>
      <c r="I55" s="100"/>
      <c r="J55" s="100"/>
    </row>
    <row r="56" spans="1:10" x14ac:dyDescent="0.35">
      <c r="A56" s="100"/>
      <c r="B56" s="100"/>
      <c r="C56" s="100"/>
      <c r="D56" s="100"/>
      <c r="E56" s="100"/>
      <c r="F56" s="100"/>
      <c r="G56" s="100"/>
      <c r="H56" s="100"/>
      <c r="I56" s="100"/>
      <c r="J56" s="100"/>
    </row>
    <row r="57" spans="1:10" x14ac:dyDescent="0.35">
      <c r="A57" s="100"/>
      <c r="B57" s="100"/>
      <c r="C57" s="100"/>
      <c r="D57" s="100"/>
      <c r="E57" s="100"/>
      <c r="F57" s="100"/>
      <c r="G57" s="100"/>
      <c r="H57" s="100"/>
      <c r="I57" s="100"/>
      <c r="J57" s="100"/>
    </row>
    <row r="58" spans="1:10" x14ac:dyDescent="0.35">
      <c r="A58" s="100"/>
      <c r="B58" s="100"/>
      <c r="C58" s="100"/>
      <c r="D58" s="100"/>
      <c r="E58" s="100"/>
      <c r="F58" s="100"/>
      <c r="G58" s="100"/>
      <c r="H58" s="100"/>
      <c r="I58" s="100"/>
      <c r="J58" s="100"/>
    </row>
    <row r="59" spans="1:10" x14ac:dyDescent="0.35">
      <c r="A59" s="100"/>
      <c r="B59" s="100"/>
      <c r="C59" s="100"/>
      <c r="D59" s="100"/>
      <c r="E59" s="100"/>
      <c r="F59" s="100"/>
      <c r="G59" s="100"/>
      <c r="H59" s="100"/>
      <c r="I59" s="100"/>
      <c r="J59" s="100"/>
    </row>
    <row r="60" spans="1:10" x14ac:dyDescent="0.35">
      <c r="A60" s="100"/>
      <c r="B60" s="100"/>
      <c r="C60" s="100"/>
      <c r="D60" s="100"/>
      <c r="E60" s="100"/>
      <c r="F60" s="100"/>
      <c r="G60" s="100"/>
      <c r="H60" s="100"/>
      <c r="I60" s="100"/>
      <c r="J60" s="100"/>
    </row>
    <row r="61" spans="1:10" x14ac:dyDescent="0.35">
      <c r="A61" s="100"/>
      <c r="B61" s="100"/>
      <c r="C61" s="100"/>
      <c r="D61" s="100"/>
      <c r="E61" s="100"/>
      <c r="F61" s="100"/>
      <c r="G61" s="100"/>
      <c r="H61" s="100"/>
      <c r="I61" s="100"/>
      <c r="J61" s="100"/>
    </row>
    <row r="62" spans="1:10" x14ac:dyDescent="0.35">
      <c r="A62" s="100"/>
      <c r="B62" s="100"/>
      <c r="C62" s="100"/>
      <c r="D62" s="100"/>
      <c r="E62" s="100"/>
      <c r="F62" s="100"/>
      <c r="G62" s="100"/>
      <c r="H62" s="100"/>
      <c r="I62" s="100"/>
      <c r="J62" s="100"/>
    </row>
    <row r="63" spans="1:10" x14ac:dyDescent="0.35">
      <c r="A63" s="100"/>
      <c r="B63" s="100"/>
      <c r="C63" s="100"/>
      <c r="D63" s="100"/>
      <c r="E63" s="100"/>
      <c r="F63" s="100"/>
      <c r="G63" s="100"/>
      <c r="H63" s="100"/>
      <c r="I63" s="100"/>
      <c r="J63" s="100"/>
    </row>
    <row r="64" spans="1:10" x14ac:dyDescent="0.35">
      <c r="A64" s="100"/>
      <c r="B64" s="100"/>
      <c r="C64" s="100"/>
      <c r="D64" s="100"/>
      <c r="E64" s="100"/>
      <c r="F64" s="100"/>
      <c r="G64" s="100"/>
      <c r="H64" s="100"/>
      <c r="I64" s="100"/>
      <c r="J64" s="100"/>
    </row>
    <row r="65" spans="1:10" x14ac:dyDescent="0.35">
      <c r="A65" s="100"/>
      <c r="B65" s="100"/>
      <c r="C65" s="100"/>
      <c r="D65" s="100"/>
      <c r="E65" s="100"/>
      <c r="F65" s="100"/>
      <c r="G65" s="100"/>
      <c r="H65" s="100"/>
      <c r="I65" s="100"/>
      <c r="J65" s="100"/>
    </row>
    <row r="66" spans="1:10" x14ac:dyDescent="0.35">
      <c r="A66" s="100"/>
      <c r="B66" s="100"/>
      <c r="C66" s="100"/>
      <c r="D66" s="100"/>
      <c r="E66" s="100"/>
      <c r="F66" s="100"/>
      <c r="G66" s="100"/>
      <c r="H66" s="100"/>
      <c r="I66" s="100"/>
      <c r="J66" s="100"/>
    </row>
    <row r="67" spans="1:10" x14ac:dyDescent="0.35">
      <c r="A67" s="100"/>
      <c r="B67" s="100"/>
      <c r="C67" s="100"/>
      <c r="D67" s="100"/>
      <c r="E67" s="100"/>
      <c r="F67" s="100"/>
      <c r="G67" s="100"/>
      <c r="H67" s="100"/>
      <c r="I67" s="100"/>
      <c r="J67" s="100"/>
    </row>
    <row r="92" spans="4:4" hidden="1" x14ac:dyDescent="0.35">
      <c r="D92">
        <v>2</v>
      </c>
    </row>
    <row r="93" spans="4:4" hidden="1" x14ac:dyDescent="0.35">
      <c r="D93">
        <v>3</v>
      </c>
    </row>
    <row r="94" spans="4:4" hidden="1" x14ac:dyDescent="0.35">
      <c r="D94">
        <v>4</v>
      </c>
    </row>
    <row r="95" spans="4:4" hidden="1" x14ac:dyDescent="0.35">
      <c r="D95">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9">
    <mergeCell ref="B22:C22"/>
    <mergeCell ref="B23:C23"/>
    <mergeCell ref="B24:C24"/>
    <mergeCell ref="A13:K16"/>
    <mergeCell ref="A3:L3"/>
    <mergeCell ref="B18:C18"/>
    <mergeCell ref="B19:C19"/>
    <mergeCell ref="B20:C20"/>
    <mergeCell ref="B21:C21"/>
  </mergeCells>
  <pageMargins left="0.7" right="0.7" top="0.75" bottom="0.75" header="0.3" footer="0.3"/>
  <pageSetup orientation="portrait" horizontalDpi="1200" verticalDpi="1200"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7"/>
  <dimension ref="A1:AC99"/>
  <sheetViews>
    <sheetView workbookViewId="0"/>
  </sheetViews>
  <sheetFormatPr defaultColWidth="9.1796875" defaultRowHeight="14.5" x14ac:dyDescent="0.35"/>
  <cols>
    <col min="1" max="1" width="6.54296875" customWidth="1"/>
    <col min="2" max="2" width="18.453125" customWidth="1"/>
    <col min="3" max="3" width="13" customWidth="1"/>
    <col min="4" max="12" width="20.26953125" customWidth="1"/>
    <col min="13" max="13" width="20.81640625" style="69" customWidth="1"/>
    <col min="14" max="14" width="36.7265625" customWidth="1"/>
    <col min="16" max="16" width="43.81640625" customWidth="1"/>
    <col min="17" max="18" width="32.7265625" customWidth="1"/>
  </cols>
  <sheetData>
    <row r="1" spans="1:29" ht="26" x14ac:dyDescent="0.6">
      <c r="A1" s="3" t="s">
        <v>774</v>
      </c>
      <c r="B1" s="3"/>
      <c r="C1" s="3"/>
    </row>
    <row r="2" spans="1:29" ht="21" x14ac:dyDescent="0.5">
      <c r="A2" s="2" t="s">
        <v>772</v>
      </c>
      <c r="B2" s="2"/>
      <c r="C2" s="2"/>
    </row>
    <row r="3" spans="1:29" ht="25" customHeight="1" x14ac:dyDescent="0.5">
      <c r="A3" s="5" t="s">
        <v>757</v>
      </c>
    </row>
    <row r="5" spans="1:29" x14ac:dyDescent="0.35">
      <c r="A5" s="1" t="s">
        <v>773</v>
      </c>
      <c r="C5" s="416" t="str">
        <f>Results!$C$6</f>
        <v>AllHealth Network</v>
      </c>
      <c r="D5" s="240"/>
      <c r="E5" s="240"/>
      <c r="F5" s="240"/>
    </row>
    <row r="6" spans="1:29" x14ac:dyDescent="0.35">
      <c r="A6" s="1" t="s">
        <v>0</v>
      </c>
      <c r="C6" s="35">
        <f>Results!$C$7</f>
        <v>45473</v>
      </c>
      <c r="D6" s="35"/>
      <c r="E6" s="35"/>
      <c r="F6" s="35"/>
      <c r="G6" s="56"/>
      <c r="H6" s="56"/>
      <c r="I6" s="56"/>
      <c r="L6" s="40"/>
      <c r="P6" s="129"/>
      <c r="Q6" s="129"/>
      <c r="R6" s="129"/>
    </row>
    <row r="7" spans="1:29" x14ac:dyDescent="0.35">
      <c r="L7" s="40"/>
      <c r="P7" s="40"/>
      <c r="Q7" s="40"/>
      <c r="R7" s="40"/>
    </row>
    <row r="8" spans="1:29" x14ac:dyDescent="0.35">
      <c r="A8" s="1" t="s">
        <v>272</v>
      </c>
      <c r="L8" s="40"/>
      <c r="P8" s="40"/>
      <c r="Q8" s="40"/>
      <c r="R8" s="40"/>
    </row>
    <row r="9" spans="1:29" ht="15" customHeight="1" x14ac:dyDescent="0.35">
      <c r="A9" s="502" t="s">
        <v>922</v>
      </c>
      <c r="B9" s="502"/>
      <c r="C9" s="502"/>
      <c r="D9" s="502"/>
      <c r="E9" s="502"/>
      <c r="F9" s="502"/>
      <c r="G9" s="502"/>
      <c r="H9" s="502"/>
      <c r="I9" s="502"/>
      <c r="J9" s="502"/>
      <c r="K9" s="502"/>
      <c r="L9" s="502"/>
      <c r="M9" s="502"/>
      <c r="N9" s="502"/>
      <c r="O9" s="64"/>
      <c r="P9" s="40"/>
      <c r="Q9" s="40"/>
      <c r="R9" s="40"/>
      <c r="Y9" s="65"/>
      <c r="Z9" s="65"/>
      <c r="AA9" s="65"/>
      <c r="AB9" s="65"/>
      <c r="AC9" s="65"/>
    </row>
    <row r="10" spans="1:29" ht="15" customHeight="1" x14ac:dyDescent="0.35">
      <c r="A10" s="502"/>
      <c r="B10" s="502"/>
      <c r="C10" s="502"/>
      <c r="D10" s="502"/>
      <c r="E10" s="502"/>
      <c r="F10" s="502"/>
      <c r="G10" s="502"/>
      <c r="H10" s="502"/>
      <c r="I10" s="502"/>
      <c r="J10" s="502"/>
      <c r="K10" s="502"/>
      <c r="L10" s="502"/>
      <c r="M10" s="502"/>
      <c r="N10" s="502"/>
      <c r="O10" s="64"/>
      <c r="P10" s="40"/>
      <c r="Q10" s="40"/>
      <c r="R10" s="40"/>
      <c r="Y10" s="65"/>
      <c r="Z10" s="65"/>
      <c r="AA10" s="65"/>
      <c r="AB10" s="65"/>
      <c r="AC10" s="65"/>
    </row>
    <row r="11" spans="1:29" x14ac:dyDescent="0.35">
      <c r="A11" s="502"/>
      <c r="B11" s="502"/>
      <c r="C11" s="502"/>
      <c r="D11" s="502"/>
      <c r="E11" s="502"/>
      <c r="F11" s="502"/>
      <c r="G11" s="502"/>
      <c r="H11" s="502"/>
      <c r="I11" s="502"/>
      <c r="J11" s="502"/>
      <c r="K11" s="502"/>
      <c r="L11" s="502"/>
      <c r="M11" s="502"/>
      <c r="N11" s="502"/>
      <c r="O11" s="64"/>
      <c r="Y11" s="65"/>
      <c r="Z11" s="65"/>
      <c r="AA11" s="65"/>
      <c r="AB11" s="65"/>
      <c r="AC11" s="65"/>
    </row>
    <row r="12" spans="1:29" x14ac:dyDescent="0.35">
      <c r="A12" s="188"/>
      <c r="B12" s="188"/>
      <c r="C12" s="188"/>
      <c r="D12" s="188"/>
      <c r="E12" s="188"/>
      <c r="F12" s="188"/>
      <c r="G12" s="188"/>
      <c r="H12" s="188"/>
      <c r="I12" s="188"/>
      <c r="J12" s="188"/>
      <c r="K12" s="188"/>
      <c r="L12" s="188"/>
      <c r="M12" s="188"/>
      <c r="N12" s="188"/>
      <c r="O12" s="64"/>
      <c r="Y12" s="65"/>
      <c r="Z12" s="65"/>
      <c r="AA12" s="65"/>
      <c r="AB12" s="65"/>
      <c r="AC12" s="65"/>
    </row>
    <row r="13" spans="1:29" ht="15" customHeight="1" x14ac:dyDescent="0.35">
      <c r="A13" s="189"/>
      <c r="B13" s="503">
        <v>1</v>
      </c>
      <c r="C13" s="503"/>
      <c r="D13" s="174">
        <v>2</v>
      </c>
      <c r="E13" s="255" t="s">
        <v>556</v>
      </c>
      <c r="F13" s="256" t="s">
        <v>557</v>
      </c>
      <c r="G13" s="174">
        <v>3</v>
      </c>
      <c r="H13" s="255" t="s">
        <v>560</v>
      </c>
      <c r="I13" s="256" t="s">
        <v>561</v>
      </c>
      <c r="J13" s="174">
        <v>4</v>
      </c>
      <c r="K13" s="256" t="s">
        <v>565</v>
      </c>
      <c r="L13" s="174">
        <v>5</v>
      </c>
      <c r="M13" s="174">
        <v>6</v>
      </c>
      <c r="N13" s="174">
        <v>7</v>
      </c>
      <c r="O13" s="64"/>
      <c r="Y13" s="65"/>
      <c r="Z13" s="65"/>
      <c r="AA13" s="65"/>
      <c r="AB13" s="65"/>
      <c r="AC13" s="65"/>
    </row>
    <row r="14" spans="1:29" s="4" customFormat="1" ht="72.5" x14ac:dyDescent="0.35">
      <c r="A14" s="190"/>
      <c r="B14" s="499" t="s">
        <v>606</v>
      </c>
      <c r="C14" s="504"/>
      <c r="D14" s="150" t="s">
        <v>781</v>
      </c>
      <c r="E14" s="257" t="s">
        <v>782</v>
      </c>
      <c r="F14" s="258" t="s">
        <v>783</v>
      </c>
      <c r="G14" s="191" t="s">
        <v>263</v>
      </c>
      <c r="H14" s="303" t="s">
        <v>605</v>
      </c>
      <c r="I14" s="311" t="s">
        <v>592</v>
      </c>
      <c r="J14" s="150" t="s">
        <v>785</v>
      </c>
      <c r="K14" s="258" t="s">
        <v>786</v>
      </c>
      <c r="L14" s="192" t="s">
        <v>600</v>
      </c>
      <c r="M14" s="191" t="s">
        <v>607</v>
      </c>
      <c r="N14" s="150" t="s">
        <v>608</v>
      </c>
      <c r="O14" s="66"/>
      <c r="Y14" s="67"/>
      <c r="Z14" s="67"/>
      <c r="AA14" s="67"/>
      <c r="AB14" s="67"/>
      <c r="AC14" s="67"/>
    </row>
    <row r="15" spans="1:29" s="4" customFormat="1" ht="15" customHeight="1" x14ac:dyDescent="0.35">
      <c r="A15" s="181">
        <v>1</v>
      </c>
      <c r="B15" s="494" t="str">
        <f>IF('As-Filed Schedule 1C'!B15:C15=0,"",'As-Filed Schedule 1C'!B15:C15)</f>
        <v/>
      </c>
      <c r="C15" s="494"/>
      <c r="D15" s="179">
        <f>'As-Filed Schedule 1C'!D15</f>
        <v>0</v>
      </c>
      <c r="E15" s="309">
        <f>SUMIFS(Adjustments!$G:$G,Adjustments!$H:$H,"1C",Adjustments!$I:$I,'Schedule 1C Adjustments'!$D$13,Adjustments!$J:$J,'Schedule 1C Adjustments'!A15)</f>
        <v>0</v>
      </c>
      <c r="F15" s="305">
        <f>SUM(D15:E15)</f>
        <v>0</v>
      </c>
      <c r="G15" s="179">
        <f>'As-Filed Schedule 1C'!E15</f>
        <v>0</v>
      </c>
      <c r="H15" s="309">
        <f>SUMIFS(Adjustments!$G:$G,Adjustments!$H:$H,"1C",Adjustments!$I:$I,'Schedule 1C Adjustments'!$G$13,Adjustments!$J:$J,'Schedule 1C Adjustments'!A15)</f>
        <v>0</v>
      </c>
      <c r="I15" s="305">
        <f>SUM(G15:H15)</f>
        <v>0</v>
      </c>
      <c r="J15" s="193">
        <f>IF(D15-G15&lt;0,0,D15-G15)</f>
        <v>0</v>
      </c>
      <c r="K15" s="193">
        <f>IF(F15-I15&lt;0,0,F15-I15)</f>
        <v>0</v>
      </c>
      <c r="L15" s="194" t="str">
        <f>IF('As-Filed Schedule 1C'!G15=0,"",'As-Filed Schedule 1C'!G15)</f>
        <v/>
      </c>
      <c r="M15" s="177" t="str">
        <f>IF('As-Filed Schedule 1C'!H15=0,"",'As-Filed Schedule 1C'!H15)</f>
        <v/>
      </c>
      <c r="N15" s="195" t="str">
        <f>IF('As-Filed Schedule 1C'!I15=0,"",'As-Filed Schedule 1C'!I15)</f>
        <v/>
      </c>
      <c r="O15" s="66"/>
      <c r="Y15" s="67"/>
      <c r="Z15" s="67"/>
      <c r="AA15" s="67"/>
      <c r="AB15" s="67"/>
      <c r="AC15" s="67"/>
    </row>
    <row r="16" spans="1:29" s="4" customFormat="1" ht="15" customHeight="1" x14ac:dyDescent="0.35">
      <c r="A16" s="181">
        <f>A15+1</f>
        <v>2</v>
      </c>
      <c r="B16" s="494" t="str">
        <f>IF('As-Filed Schedule 1C'!B16:C16=0,"",'As-Filed Schedule 1C'!B16:C16)</f>
        <v/>
      </c>
      <c r="C16" s="494"/>
      <c r="D16" s="179">
        <f>'As-Filed Schedule 1C'!D16</f>
        <v>0</v>
      </c>
      <c r="E16" s="309">
        <f>SUMIFS(Adjustments!$G:$G,Adjustments!$H:$H,"1C",Adjustments!$I:$I,'Schedule 1C Adjustments'!$D$13,Adjustments!$J:$J,'Schedule 1C Adjustments'!A16)</f>
        <v>0</v>
      </c>
      <c r="F16" s="305">
        <f t="shared" ref="F16:F24" si="0">SUM(D16:E16)</f>
        <v>0</v>
      </c>
      <c r="G16" s="179">
        <f>'As-Filed Schedule 1C'!E16</f>
        <v>0</v>
      </c>
      <c r="H16" s="309">
        <f>SUMIFS(Adjustments!$G:$G,Adjustments!$H:$H,"1C",Adjustments!$I:$I,'Schedule 1C Adjustments'!$G$13,Adjustments!$J:$J,'Schedule 1C Adjustments'!A16)</f>
        <v>0</v>
      </c>
      <c r="I16" s="305">
        <f t="shared" ref="I16:I24" si="1">SUM(G16:H16)</f>
        <v>0</v>
      </c>
      <c r="J16" s="193">
        <f t="shared" ref="J16:J24" si="2">IF(D16-G16&lt;0,0,D16-G16)</f>
        <v>0</v>
      </c>
      <c r="K16" s="193">
        <f t="shared" ref="K16:K24" si="3">IF(F16-I16&lt;0,0,F16-I16)</f>
        <v>0</v>
      </c>
      <c r="L16" s="194" t="str">
        <f>IF('As-Filed Schedule 1C'!G16=0,"",'As-Filed Schedule 1C'!G16)</f>
        <v/>
      </c>
      <c r="M16" s="177" t="str">
        <f>IF('As-Filed Schedule 1C'!H16=0,"",'As-Filed Schedule 1C'!H16)</f>
        <v/>
      </c>
      <c r="N16" s="195" t="str">
        <f>IF('As-Filed Schedule 1C'!I16=0,"",'As-Filed Schedule 1C'!I16)</f>
        <v/>
      </c>
      <c r="O16" s="141"/>
      <c r="Y16" s="67"/>
      <c r="Z16" s="67"/>
      <c r="AA16" s="67"/>
      <c r="AB16" s="67"/>
      <c r="AC16" s="67"/>
    </row>
    <row r="17" spans="1:29" s="4" customFormat="1" ht="15" customHeight="1" x14ac:dyDescent="0.35">
      <c r="A17" s="181">
        <f t="shared" ref="A17:A30" si="4">A16+1</f>
        <v>3</v>
      </c>
      <c r="B17" s="494" t="str">
        <f>IF('As-Filed Schedule 1C'!B17:C17=0,"",'As-Filed Schedule 1C'!B17:C17)</f>
        <v/>
      </c>
      <c r="C17" s="494"/>
      <c r="D17" s="179">
        <f>'As-Filed Schedule 1C'!D17</f>
        <v>0</v>
      </c>
      <c r="E17" s="309">
        <f>SUMIFS(Adjustments!$G:$G,Adjustments!$H:$H,"1C",Adjustments!$I:$I,'Schedule 1C Adjustments'!$D$13,Adjustments!$J:$J,'Schedule 1C Adjustments'!A17)</f>
        <v>0</v>
      </c>
      <c r="F17" s="305">
        <f t="shared" si="0"/>
        <v>0</v>
      </c>
      <c r="G17" s="179">
        <f>'As-Filed Schedule 1C'!E17</f>
        <v>0</v>
      </c>
      <c r="H17" s="309">
        <f>SUMIFS(Adjustments!$G:$G,Adjustments!$H:$H,"1C",Adjustments!$I:$I,'Schedule 1C Adjustments'!$G$13,Adjustments!$J:$J,'Schedule 1C Adjustments'!A17)</f>
        <v>0</v>
      </c>
      <c r="I17" s="305">
        <f t="shared" si="1"/>
        <v>0</v>
      </c>
      <c r="J17" s="193">
        <f t="shared" si="2"/>
        <v>0</v>
      </c>
      <c r="K17" s="193">
        <f t="shared" si="3"/>
        <v>0</v>
      </c>
      <c r="L17" s="194" t="str">
        <f>IF('As-Filed Schedule 1C'!G17=0,"",'As-Filed Schedule 1C'!G17)</f>
        <v/>
      </c>
      <c r="M17" s="177" t="str">
        <f>IF('As-Filed Schedule 1C'!H17=0,"",'As-Filed Schedule 1C'!H17)</f>
        <v/>
      </c>
      <c r="N17" s="195" t="str">
        <f>IF('As-Filed Schedule 1C'!I17=0,"",'As-Filed Schedule 1C'!I17)</f>
        <v/>
      </c>
      <c r="O17" s="66"/>
      <c r="Y17" s="67"/>
      <c r="Z17" s="67"/>
      <c r="AA17" s="67"/>
      <c r="AB17" s="67"/>
      <c r="AC17" s="67"/>
    </row>
    <row r="18" spans="1:29" s="4" customFormat="1" ht="15" customHeight="1" x14ac:dyDescent="0.35">
      <c r="A18" s="181">
        <f t="shared" si="4"/>
        <v>4</v>
      </c>
      <c r="B18" s="494" t="str">
        <f>IF('As-Filed Schedule 1C'!B18:C18=0,"",'As-Filed Schedule 1C'!B18:C18)</f>
        <v/>
      </c>
      <c r="C18" s="494"/>
      <c r="D18" s="179">
        <f>'As-Filed Schedule 1C'!D18</f>
        <v>0</v>
      </c>
      <c r="E18" s="309">
        <f>SUMIFS(Adjustments!$G:$G,Adjustments!$H:$H,"1C",Adjustments!$I:$I,'Schedule 1C Adjustments'!$D$13,Adjustments!$J:$J,'Schedule 1C Adjustments'!A18)</f>
        <v>0</v>
      </c>
      <c r="F18" s="305">
        <f t="shared" si="0"/>
        <v>0</v>
      </c>
      <c r="G18" s="179">
        <f>'As-Filed Schedule 1C'!E18</f>
        <v>0</v>
      </c>
      <c r="H18" s="309">
        <f>SUMIFS(Adjustments!$G:$G,Adjustments!$H:$H,"1C",Adjustments!$I:$I,'Schedule 1C Adjustments'!$G$13,Adjustments!$J:$J,'Schedule 1C Adjustments'!A18)</f>
        <v>0</v>
      </c>
      <c r="I18" s="305">
        <f t="shared" si="1"/>
        <v>0</v>
      </c>
      <c r="J18" s="193">
        <f t="shared" si="2"/>
        <v>0</v>
      </c>
      <c r="K18" s="193">
        <f t="shared" si="3"/>
        <v>0</v>
      </c>
      <c r="L18" s="194" t="str">
        <f>IF('As-Filed Schedule 1C'!G18=0,"",'As-Filed Schedule 1C'!G18)</f>
        <v/>
      </c>
      <c r="M18" s="177" t="str">
        <f>IF('As-Filed Schedule 1C'!H18=0,"",'As-Filed Schedule 1C'!H18)</f>
        <v/>
      </c>
      <c r="N18" s="195" t="str">
        <f>IF('As-Filed Schedule 1C'!I18=0,"",'As-Filed Schedule 1C'!I18)</f>
        <v/>
      </c>
      <c r="O18" s="66"/>
      <c r="Y18" s="67"/>
      <c r="Z18" s="67"/>
      <c r="AA18" s="67"/>
      <c r="AB18" s="67"/>
      <c r="AC18" s="67"/>
    </row>
    <row r="19" spans="1:29" s="4" customFormat="1" ht="15" customHeight="1" x14ac:dyDescent="0.35">
      <c r="A19" s="181">
        <f t="shared" si="4"/>
        <v>5</v>
      </c>
      <c r="B19" s="494" t="str">
        <f>IF('As-Filed Schedule 1C'!B19:C19=0,"",'As-Filed Schedule 1C'!B19:C19)</f>
        <v/>
      </c>
      <c r="C19" s="494"/>
      <c r="D19" s="179">
        <f>'As-Filed Schedule 1C'!D19</f>
        <v>0</v>
      </c>
      <c r="E19" s="309">
        <f>SUMIFS(Adjustments!$G:$G,Adjustments!$H:$H,"1C",Adjustments!$I:$I,'Schedule 1C Adjustments'!$D$13,Adjustments!$J:$J,'Schedule 1C Adjustments'!A19)</f>
        <v>0</v>
      </c>
      <c r="F19" s="305">
        <f t="shared" si="0"/>
        <v>0</v>
      </c>
      <c r="G19" s="179">
        <f>'As-Filed Schedule 1C'!E19</f>
        <v>0</v>
      </c>
      <c r="H19" s="309">
        <f>SUMIFS(Adjustments!$G:$G,Adjustments!$H:$H,"1C",Adjustments!$I:$I,'Schedule 1C Adjustments'!$G$13,Adjustments!$J:$J,'Schedule 1C Adjustments'!A19)</f>
        <v>0</v>
      </c>
      <c r="I19" s="305">
        <f t="shared" si="1"/>
        <v>0</v>
      </c>
      <c r="J19" s="193">
        <f t="shared" si="2"/>
        <v>0</v>
      </c>
      <c r="K19" s="193">
        <f t="shared" si="3"/>
        <v>0</v>
      </c>
      <c r="L19" s="194" t="str">
        <f>IF('As-Filed Schedule 1C'!G19=0,"",'As-Filed Schedule 1C'!G19)</f>
        <v/>
      </c>
      <c r="M19" s="177" t="str">
        <f>IF('As-Filed Schedule 1C'!H19=0,"",'As-Filed Schedule 1C'!H19)</f>
        <v/>
      </c>
      <c r="N19" s="195" t="str">
        <f>IF('As-Filed Schedule 1C'!I19=0,"",'As-Filed Schedule 1C'!I19)</f>
        <v/>
      </c>
      <c r="O19" s="66"/>
      <c r="Y19" s="67"/>
      <c r="Z19" s="67"/>
      <c r="AA19" s="67"/>
      <c r="AB19" s="67"/>
      <c r="AC19" s="67"/>
    </row>
    <row r="20" spans="1:29" s="4" customFormat="1" ht="15" customHeight="1" x14ac:dyDescent="0.35">
      <c r="A20" s="181">
        <f t="shared" si="4"/>
        <v>6</v>
      </c>
      <c r="B20" s="494" t="str">
        <f>IF('As-Filed Schedule 1C'!B20:C20=0,"",'As-Filed Schedule 1C'!B20:C20)</f>
        <v/>
      </c>
      <c r="C20" s="494"/>
      <c r="D20" s="179">
        <f>'As-Filed Schedule 1C'!D20</f>
        <v>0</v>
      </c>
      <c r="E20" s="309">
        <f>SUMIFS(Adjustments!$G:$G,Adjustments!$H:$H,"1C",Adjustments!$I:$I,'Schedule 1C Adjustments'!$D$13,Adjustments!$J:$J,'Schedule 1C Adjustments'!A20)</f>
        <v>0</v>
      </c>
      <c r="F20" s="305">
        <f t="shared" si="0"/>
        <v>0</v>
      </c>
      <c r="G20" s="179">
        <f>'As-Filed Schedule 1C'!E20</f>
        <v>0</v>
      </c>
      <c r="H20" s="309">
        <f>SUMIFS(Adjustments!$G:$G,Adjustments!$H:$H,"1C",Adjustments!$I:$I,'Schedule 1C Adjustments'!$G$13,Adjustments!$J:$J,'Schedule 1C Adjustments'!A20)</f>
        <v>0</v>
      </c>
      <c r="I20" s="305">
        <f t="shared" si="1"/>
        <v>0</v>
      </c>
      <c r="J20" s="193">
        <f t="shared" si="2"/>
        <v>0</v>
      </c>
      <c r="K20" s="193">
        <f t="shared" si="3"/>
        <v>0</v>
      </c>
      <c r="L20" s="194" t="str">
        <f>IF('As-Filed Schedule 1C'!G20=0,"",'As-Filed Schedule 1C'!G20)</f>
        <v/>
      </c>
      <c r="M20" s="177" t="str">
        <f>IF('As-Filed Schedule 1C'!H20=0,"",'As-Filed Schedule 1C'!H20)</f>
        <v/>
      </c>
      <c r="N20" s="195" t="str">
        <f>IF('As-Filed Schedule 1C'!I20=0,"",'As-Filed Schedule 1C'!I20)</f>
        <v/>
      </c>
      <c r="O20" s="66"/>
      <c r="Y20" s="67"/>
      <c r="Z20" s="67"/>
      <c r="AA20" s="67"/>
      <c r="AB20" s="67"/>
      <c r="AC20" s="67"/>
    </row>
    <row r="21" spans="1:29" s="4" customFormat="1" ht="15" customHeight="1" x14ac:dyDescent="0.35">
      <c r="A21" s="181">
        <f t="shared" si="4"/>
        <v>7</v>
      </c>
      <c r="B21" s="494" t="str">
        <f>IF('As-Filed Schedule 1C'!B21:C21=0,"",'As-Filed Schedule 1C'!B21:C21)</f>
        <v/>
      </c>
      <c r="C21" s="494"/>
      <c r="D21" s="179">
        <f>'As-Filed Schedule 1C'!D21</f>
        <v>0</v>
      </c>
      <c r="E21" s="309">
        <f>SUMIFS(Adjustments!$G:$G,Adjustments!$H:$H,"1C",Adjustments!$I:$I,'Schedule 1C Adjustments'!$D$13,Adjustments!$J:$J,'Schedule 1C Adjustments'!A21)</f>
        <v>0</v>
      </c>
      <c r="F21" s="305">
        <f t="shared" si="0"/>
        <v>0</v>
      </c>
      <c r="G21" s="179">
        <f>'As-Filed Schedule 1C'!E21</f>
        <v>0</v>
      </c>
      <c r="H21" s="309">
        <f>SUMIFS(Adjustments!$G:$G,Adjustments!$H:$H,"1C",Adjustments!$I:$I,'Schedule 1C Adjustments'!$G$13,Adjustments!$J:$J,'Schedule 1C Adjustments'!A21)</f>
        <v>0</v>
      </c>
      <c r="I21" s="305">
        <f t="shared" si="1"/>
        <v>0</v>
      </c>
      <c r="J21" s="193">
        <f t="shared" si="2"/>
        <v>0</v>
      </c>
      <c r="K21" s="193">
        <f t="shared" si="3"/>
        <v>0</v>
      </c>
      <c r="L21" s="194" t="str">
        <f>IF('As-Filed Schedule 1C'!G21=0,"",'As-Filed Schedule 1C'!G21)</f>
        <v/>
      </c>
      <c r="M21" s="177" t="str">
        <f>IF('As-Filed Schedule 1C'!H21=0,"",'As-Filed Schedule 1C'!H21)</f>
        <v/>
      </c>
      <c r="N21" s="195" t="str">
        <f>IF('As-Filed Schedule 1C'!I21=0,"",'As-Filed Schedule 1C'!I21)</f>
        <v/>
      </c>
      <c r="O21" s="66"/>
      <c r="Y21" s="67"/>
      <c r="Z21" s="67"/>
      <c r="AA21" s="67"/>
      <c r="AB21" s="67"/>
      <c r="AC21" s="67"/>
    </row>
    <row r="22" spans="1:29" s="4" customFormat="1" ht="15" customHeight="1" x14ac:dyDescent="0.35">
      <c r="A22" s="181">
        <f t="shared" si="4"/>
        <v>8</v>
      </c>
      <c r="B22" s="494" t="str">
        <f>IF('As-Filed Schedule 1C'!B22:C22=0,"",'As-Filed Schedule 1C'!B22:C22)</f>
        <v/>
      </c>
      <c r="C22" s="494"/>
      <c r="D22" s="179">
        <f>'As-Filed Schedule 1C'!D22</f>
        <v>0</v>
      </c>
      <c r="E22" s="309">
        <f>SUMIFS(Adjustments!$G:$G,Adjustments!$H:$H,"1C",Adjustments!$I:$I,'Schedule 1C Adjustments'!$D$13,Adjustments!$J:$J,'Schedule 1C Adjustments'!A22)</f>
        <v>0</v>
      </c>
      <c r="F22" s="305">
        <f t="shared" si="0"/>
        <v>0</v>
      </c>
      <c r="G22" s="179">
        <f>'As-Filed Schedule 1C'!E22</f>
        <v>0</v>
      </c>
      <c r="H22" s="309">
        <f>SUMIFS(Adjustments!$G:$G,Adjustments!$H:$H,"1C",Adjustments!$I:$I,'Schedule 1C Adjustments'!$G$13,Adjustments!$J:$J,'Schedule 1C Adjustments'!A22)</f>
        <v>0</v>
      </c>
      <c r="I22" s="305">
        <f t="shared" si="1"/>
        <v>0</v>
      </c>
      <c r="J22" s="193">
        <f t="shared" si="2"/>
        <v>0</v>
      </c>
      <c r="K22" s="193">
        <f t="shared" si="3"/>
        <v>0</v>
      </c>
      <c r="L22" s="194" t="str">
        <f>IF('As-Filed Schedule 1C'!G22=0,"",'As-Filed Schedule 1C'!G22)</f>
        <v/>
      </c>
      <c r="M22" s="177" t="str">
        <f>IF('As-Filed Schedule 1C'!H22=0,"",'As-Filed Schedule 1C'!H22)</f>
        <v/>
      </c>
      <c r="N22" s="195" t="str">
        <f>IF('As-Filed Schedule 1C'!I22=0,"",'As-Filed Schedule 1C'!I22)</f>
        <v/>
      </c>
      <c r="O22" s="66"/>
      <c r="Y22" s="67"/>
      <c r="Z22" s="67"/>
      <c r="AA22" s="67"/>
      <c r="AB22" s="67"/>
      <c r="AC22" s="67"/>
    </row>
    <row r="23" spans="1:29" s="4" customFormat="1" ht="15" customHeight="1" x14ac:dyDescent="0.35">
      <c r="A23" s="181">
        <f t="shared" si="4"/>
        <v>9</v>
      </c>
      <c r="B23" s="494" t="str">
        <f>IF('As-Filed Schedule 1C'!B23:C23=0,"",'As-Filed Schedule 1C'!B23:C23)</f>
        <v/>
      </c>
      <c r="C23" s="494"/>
      <c r="D23" s="179">
        <f>'As-Filed Schedule 1C'!D23</f>
        <v>0</v>
      </c>
      <c r="E23" s="309">
        <f>SUMIFS(Adjustments!$G:$G,Adjustments!$H:$H,"1C",Adjustments!$I:$I,'Schedule 1C Adjustments'!$D$13,Adjustments!$J:$J,'Schedule 1C Adjustments'!A23)</f>
        <v>0</v>
      </c>
      <c r="F23" s="305">
        <f t="shared" si="0"/>
        <v>0</v>
      </c>
      <c r="G23" s="179">
        <f>'As-Filed Schedule 1C'!E23</f>
        <v>0</v>
      </c>
      <c r="H23" s="309">
        <f>SUMIFS(Adjustments!$G:$G,Adjustments!$H:$H,"1C",Adjustments!$I:$I,'Schedule 1C Adjustments'!$G$13,Adjustments!$J:$J,'Schedule 1C Adjustments'!A23)</f>
        <v>0</v>
      </c>
      <c r="I23" s="305">
        <f t="shared" si="1"/>
        <v>0</v>
      </c>
      <c r="J23" s="193">
        <f t="shared" si="2"/>
        <v>0</v>
      </c>
      <c r="K23" s="193">
        <f t="shared" si="3"/>
        <v>0</v>
      </c>
      <c r="L23" s="194" t="str">
        <f>IF('As-Filed Schedule 1C'!G23=0,"",'As-Filed Schedule 1C'!G23)</f>
        <v/>
      </c>
      <c r="M23" s="177" t="str">
        <f>IF('As-Filed Schedule 1C'!H23=0,"",'As-Filed Schedule 1C'!H23)</f>
        <v/>
      </c>
      <c r="N23" s="195" t="str">
        <f>IF('As-Filed Schedule 1C'!I23=0,"",'As-Filed Schedule 1C'!I23)</f>
        <v/>
      </c>
      <c r="O23" s="66"/>
      <c r="Y23" s="67"/>
      <c r="Z23" s="67"/>
      <c r="AA23" s="67"/>
      <c r="AB23" s="67"/>
      <c r="AC23" s="67"/>
    </row>
    <row r="24" spans="1:29" s="4" customFormat="1" ht="15" customHeight="1" x14ac:dyDescent="0.35">
      <c r="A24" s="181">
        <f t="shared" si="4"/>
        <v>10</v>
      </c>
      <c r="B24" s="494" t="str">
        <f>IF('As-Filed Schedule 1C'!B24:C24=0,"",'As-Filed Schedule 1C'!B24:C24)</f>
        <v/>
      </c>
      <c r="C24" s="494"/>
      <c r="D24" s="179">
        <f>'As-Filed Schedule 1C'!D24</f>
        <v>0</v>
      </c>
      <c r="E24" s="309">
        <f>SUMIFS(Adjustments!$G:$G,Adjustments!$H:$H,"1C",Adjustments!$I:$I,'Schedule 1C Adjustments'!$D$13,Adjustments!$J:$J,'Schedule 1C Adjustments'!A24)</f>
        <v>0</v>
      </c>
      <c r="F24" s="305">
        <f t="shared" si="0"/>
        <v>0</v>
      </c>
      <c r="G24" s="179">
        <f>'As-Filed Schedule 1C'!E24</f>
        <v>0</v>
      </c>
      <c r="H24" s="309">
        <f>SUMIFS(Adjustments!$G:$G,Adjustments!$H:$H,"1C",Adjustments!$I:$I,'Schedule 1C Adjustments'!$G$13,Adjustments!$J:$J,'Schedule 1C Adjustments'!A24)</f>
        <v>0</v>
      </c>
      <c r="I24" s="305">
        <f t="shared" si="1"/>
        <v>0</v>
      </c>
      <c r="J24" s="193">
        <f t="shared" si="2"/>
        <v>0</v>
      </c>
      <c r="K24" s="193">
        <f t="shared" si="3"/>
        <v>0</v>
      </c>
      <c r="L24" s="194" t="str">
        <f>IF('As-Filed Schedule 1C'!G24=0,"",'As-Filed Schedule 1C'!G24)</f>
        <v/>
      </c>
      <c r="M24" s="177" t="str">
        <f>IF('As-Filed Schedule 1C'!H24=0,"",'As-Filed Schedule 1C'!H24)</f>
        <v/>
      </c>
      <c r="N24" s="195" t="str">
        <f>IF('As-Filed Schedule 1C'!I24=0,"",'As-Filed Schedule 1C'!I24)</f>
        <v/>
      </c>
      <c r="O24" s="66"/>
      <c r="Y24" s="67"/>
      <c r="Z24" s="67"/>
      <c r="AA24" s="67"/>
      <c r="AB24" s="67"/>
      <c r="AC24" s="67"/>
    </row>
    <row r="25" spans="1:29" s="4" customFormat="1" ht="15" customHeight="1" x14ac:dyDescent="0.35">
      <c r="A25" s="181">
        <f t="shared" si="4"/>
        <v>11</v>
      </c>
      <c r="B25" s="310" t="s">
        <v>598</v>
      </c>
      <c r="C25" s="190"/>
      <c r="D25" s="196"/>
      <c r="E25" s="196"/>
      <c r="F25" s="196"/>
      <c r="G25" s="190"/>
      <c r="H25" s="190"/>
      <c r="I25" s="190"/>
      <c r="J25" s="184">
        <f>SUM(J15:J24)</f>
        <v>0</v>
      </c>
      <c r="K25" s="184">
        <f>SUM(K15:K24)</f>
        <v>0</v>
      </c>
      <c r="L25" s="190"/>
      <c r="M25" s="197"/>
      <c r="N25" s="190"/>
      <c r="O25" s="66"/>
      <c r="Y25" s="67"/>
      <c r="Z25" s="67"/>
      <c r="AA25" s="67"/>
      <c r="AB25" s="67"/>
      <c r="AC25" s="67"/>
    </row>
    <row r="26" spans="1:29" s="4" customFormat="1" ht="15" customHeight="1" x14ac:dyDescent="0.35">
      <c r="A26" s="198"/>
      <c r="B26" s="190"/>
      <c r="C26" s="190"/>
      <c r="D26" s="196"/>
      <c r="E26" s="196"/>
      <c r="F26" s="196"/>
      <c r="G26" s="190"/>
      <c r="H26" s="190"/>
      <c r="I26" s="190"/>
      <c r="J26" s="190"/>
      <c r="K26" s="312"/>
      <c r="L26" s="190"/>
      <c r="M26" s="197"/>
      <c r="N26" s="190"/>
      <c r="O26" s="66"/>
      <c r="Y26" s="67"/>
      <c r="Z26" s="67"/>
      <c r="AA26" s="67"/>
      <c r="AB26" s="67"/>
      <c r="AC26" s="67"/>
    </row>
    <row r="27" spans="1:29" x14ac:dyDescent="0.35">
      <c r="A27" s="181">
        <v>12</v>
      </c>
      <c r="B27" s="100"/>
      <c r="C27" s="100"/>
      <c r="D27" s="100"/>
      <c r="E27" s="100"/>
      <c r="F27" s="100"/>
      <c r="H27" s="183"/>
      <c r="I27" s="183" t="s">
        <v>184</v>
      </c>
      <c r="J27" s="184">
        <f>SUMIF($L$15:$L$24,2,$J$15:$J$24)</f>
        <v>0</v>
      </c>
      <c r="K27" s="184">
        <f>SUMIF($L$15:$L$24,2,$K$15:$K$24)</f>
        <v>0</v>
      </c>
      <c r="L27" s="190"/>
      <c r="M27" s="100"/>
      <c r="N27" s="100"/>
    </row>
    <row r="28" spans="1:29" x14ac:dyDescent="0.35">
      <c r="A28" s="181">
        <v>13</v>
      </c>
      <c r="B28" s="100"/>
      <c r="C28" s="100"/>
      <c r="D28" s="100"/>
      <c r="E28" s="100"/>
      <c r="F28" s="100"/>
      <c r="H28" s="183"/>
      <c r="I28" s="183" t="s">
        <v>182</v>
      </c>
      <c r="J28" s="184">
        <f>SUMIF($L$15:$L$24,3,$J$15:$J$24)</f>
        <v>0</v>
      </c>
      <c r="K28" s="184">
        <f>SUMIF($L$15:$L$24,3,$K$15:$K$24)</f>
        <v>0</v>
      </c>
      <c r="L28" s="190"/>
      <c r="M28" s="100"/>
      <c r="N28" s="100"/>
    </row>
    <row r="29" spans="1:29" x14ac:dyDescent="0.35">
      <c r="A29" s="181">
        <f t="shared" si="4"/>
        <v>14</v>
      </c>
      <c r="B29" s="100"/>
      <c r="C29" s="100"/>
      <c r="D29" s="100"/>
      <c r="E29" s="100"/>
      <c r="F29" s="100"/>
      <c r="H29" s="183"/>
      <c r="I29" s="183" t="s">
        <v>183</v>
      </c>
      <c r="J29" s="184">
        <f>SUMIF($L$15:$L$24,4,$J$15:$J$24)</f>
        <v>0</v>
      </c>
      <c r="K29" s="184">
        <f>SUMIF($L$15:$L$24,4,$K$15:$K$24)</f>
        <v>0</v>
      </c>
      <c r="L29" s="190"/>
      <c r="M29" s="100"/>
      <c r="N29" s="100"/>
    </row>
    <row r="30" spans="1:29" x14ac:dyDescent="0.35">
      <c r="A30" s="181">
        <f t="shared" si="4"/>
        <v>15</v>
      </c>
      <c r="B30" s="100"/>
      <c r="C30" s="100"/>
      <c r="D30" s="100"/>
      <c r="E30" s="100"/>
      <c r="F30" s="100"/>
      <c r="H30" s="183"/>
      <c r="I30" s="183" t="s">
        <v>185</v>
      </c>
      <c r="J30" s="184">
        <f>SUMIF($L$15:$L$24,5,$J$15:$J$24)</f>
        <v>0</v>
      </c>
      <c r="K30" s="184">
        <f>SUMIF($L$15:$L$24,5,$K$15:$K$24)</f>
        <v>0</v>
      </c>
      <c r="L30" s="190"/>
      <c r="M30" s="100"/>
      <c r="N30" s="100"/>
    </row>
    <row r="31" spans="1:29" x14ac:dyDescent="0.35">
      <c r="A31" s="100"/>
      <c r="B31" s="100"/>
      <c r="C31" s="100"/>
      <c r="D31" s="100"/>
      <c r="E31" s="100"/>
      <c r="F31" s="100"/>
      <c r="G31" s="100"/>
      <c r="H31" s="100"/>
      <c r="I31" s="100"/>
      <c r="J31" s="185" t="str">
        <f>IF(SUM(J27:J30)&lt;&gt;J25,"error","")</f>
        <v/>
      </c>
      <c r="K31" s="185"/>
      <c r="L31" s="190"/>
      <c r="M31" s="100"/>
      <c r="N31" s="100"/>
    </row>
    <row r="32" spans="1:29" ht="15.65" customHeight="1" x14ac:dyDescent="0.35">
      <c r="A32" s="100"/>
      <c r="B32" s="186"/>
      <c r="C32" s="186"/>
      <c r="D32" s="186"/>
      <c r="E32" s="186"/>
      <c r="F32" s="186"/>
      <c r="G32" s="186"/>
      <c r="H32" s="186"/>
      <c r="I32" s="186"/>
      <c r="J32" s="187" t="s">
        <v>271</v>
      </c>
      <c r="K32" s="187"/>
      <c r="L32" s="187"/>
      <c r="M32" s="186"/>
      <c r="N32" s="186"/>
      <c r="O32" s="64"/>
      <c r="Y32" s="65"/>
      <c r="Z32" s="65"/>
      <c r="AA32" s="65"/>
      <c r="AB32" s="65"/>
      <c r="AC32" s="65"/>
    </row>
    <row r="33" spans="1:29" x14ac:dyDescent="0.35">
      <c r="A33" s="199"/>
      <c r="B33" s="200"/>
      <c r="C33" s="200"/>
      <c r="D33" s="201"/>
      <c r="E33" s="201"/>
      <c r="F33" s="201"/>
      <c r="G33" s="200"/>
      <c r="H33" s="200"/>
      <c r="I33" s="200"/>
      <c r="J33" s="200"/>
      <c r="K33" s="200"/>
      <c r="L33" s="200"/>
      <c r="M33" s="202"/>
      <c r="N33" s="200"/>
      <c r="O33" s="64"/>
      <c r="Y33" s="65"/>
      <c r="Z33" s="65"/>
      <c r="AA33" s="65"/>
      <c r="AB33" s="65"/>
      <c r="AC33" s="65"/>
    </row>
    <row r="34" spans="1:29" ht="15.65" customHeight="1" x14ac:dyDescent="0.35">
      <c r="A34" s="505" t="s">
        <v>923</v>
      </c>
      <c r="B34" s="505"/>
      <c r="C34" s="505"/>
      <c r="D34" s="505"/>
      <c r="E34" s="505"/>
      <c r="F34" s="505"/>
      <c r="G34" s="505"/>
      <c r="H34" s="505"/>
      <c r="I34" s="505"/>
      <c r="J34" s="505"/>
      <c r="K34" s="505"/>
      <c r="L34" s="505"/>
      <c r="M34" s="505"/>
      <c r="N34" s="505"/>
      <c r="O34" s="64"/>
      <c r="Y34" s="65"/>
      <c r="Z34" s="65"/>
      <c r="AA34" s="65"/>
      <c r="AB34" s="65"/>
      <c r="AC34" s="65"/>
    </row>
    <row r="35" spans="1:29" x14ac:dyDescent="0.35">
      <c r="A35" s="505"/>
      <c r="B35" s="505"/>
      <c r="C35" s="505"/>
      <c r="D35" s="505"/>
      <c r="E35" s="505"/>
      <c r="F35" s="505"/>
      <c r="G35" s="505"/>
      <c r="H35" s="505"/>
      <c r="I35" s="505"/>
      <c r="J35" s="505"/>
      <c r="K35" s="505"/>
      <c r="L35" s="505"/>
      <c r="M35" s="505"/>
      <c r="N35" s="505"/>
      <c r="O35" s="64"/>
      <c r="Y35" s="65"/>
      <c r="Z35" s="65"/>
      <c r="AA35" s="65"/>
      <c r="AB35" s="65"/>
      <c r="AC35" s="65"/>
    </row>
    <row r="36" spans="1:29" x14ac:dyDescent="0.35">
      <c r="A36" s="505"/>
      <c r="B36" s="505"/>
      <c r="C36" s="505"/>
      <c r="D36" s="505"/>
      <c r="E36" s="505"/>
      <c r="F36" s="505"/>
      <c r="G36" s="505"/>
      <c r="H36" s="505"/>
      <c r="I36" s="505"/>
      <c r="J36" s="505"/>
      <c r="K36" s="505"/>
      <c r="L36" s="505"/>
      <c r="M36" s="505"/>
      <c r="N36" s="505"/>
      <c r="O36" s="64"/>
      <c r="Y36" s="65"/>
      <c r="Z36" s="65"/>
      <c r="AA36" s="65"/>
      <c r="AB36" s="65"/>
      <c r="AC36" s="65"/>
    </row>
    <row r="37" spans="1:29" x14ac:dyDescent="0.35">
      <c r="A37" s="505"/>
      <c r="B37" s="505"/>
      <c r="C37" s="505"/>
      <c r="D37" s="505"/>
      <c r="E37" s="505"/>
      <c r="F37" s="505"/>
      <c r="G37" s="505"/>
      <c r="H37" s="505"/>
      <c r="I37" s="505"/>
      <c r="J37" s="505"/>
      <c r="K37" s="505"/>
      <c r="L37" s="505"/>
      <c r="M37" s="505"/>
      <c r="N37" s="505"/>
      <c r="O37" s="64"/>
      <c r="Y37" s="65"/>
      <c r="Z37" s="65"/>
      <c r="AA37" s="65"/>
      <c r="AB37" s="65"/>
      <c r="AC37" s="65"/>
    </row>
    <row r="38" spans="1:29" x14ac:dyDescent="0.35">
      <c r="A38" s="505"/>
      <c r="B38" s="505"/>
      <c r="C38" s="505"/>
      <c r="D38" s="505"/>
      <c r="E38" s="505"/>
      <c r="F38" s="505"/>
      <c r="G38" s="505"/>
      <c r="H38" s="505"/>
      <c r="I38" s="505"/>
      <c r="J38" s="505"/>
      <c r="K38" s="505"/>
      <c r="L38" s="505"/>
      <c r="M38" s="505"/>
      <c r="N38" s="505"/>
      <c r="O38" s="64"/>
      <c r="Y38" s="65"/>
      <c r="Z38" s="65"/>
      <c r="AA38" s="65"/>
      <c r="AB38" s="65"/>
      <c r="AC38" s="65"/>
    </row>
    <row r="39" spans="1:29" x14ac:dyDescent="0.35">
      <c r="A39" s="505"/>
      <c r="B39" s="505"/>
      <c r="C39" s="505"/>
      <c r="D39" s="505"/>
      <c r="E39" s="505"/>
      <c r="F39" s="505"/>
      <c r="G39" s="505"/>
      <c r="H39" s="505"/>
      <c r="I39" s="505"/>
      <c r="J39" s="505"/>
      <c r="K39" s="505"/>
      <c r="L39" s="505"/>
      <c r="M39" s="505"/>
      <c r="N39" s="505"/>
      <c r="O39" s="64"/>
      <c r="Y39" s="65"/>
      <c r="Z39" s="65"/>
      <c r="AA39" s="65"/>
      <c r="AB39" s="65"/>
      <c r="AC39" s="65"/>
    </row>
    <row r="40" spans="1:29" ht="14.25" customHeight="1" x14ac:dyDescent="0.35">
      <c r="A40" s="100"/>
      <c r="B40" s="100"/>
      <c r="C40" s="100"/>
      <c r="D40" s="100"/>
      <c r="E40" s="100"/>
      <c r="F40" s="100"/>
      <c r="G40" s="100"/>
      <c r="H40" s="100"/>
      <c r="I40" s="100"/>
      <c r="J40" s="100"/>
      <c r="K40" s="100"/>
      <c r="L40" s="100"/>
      <c r="M40" s="113"/>
      <c r="N40" s="100"/>
    </row>
    <row r="41" spans="1:29" x14ac:dyDescent="0.35">
      <c r="A41" s="100"/>
      <c r="B41" s="100"/>
      <c r="C41" s="100"/>
      <c r="D41" s="100"/>
      <c r="E41" s="100"/>
      <c r="F41" s="100"/>
      <c r="G41" s="100"/>
      <c r="H41" s="100"/>
      <c r="I41" s="100"/>
      <c r="J41" s="100"/>
      <c r="K41" s="100"/>
      <c r="L41" s="100"/>
      <c r="M41" s="113"/>
      <c r="N41" s="100"/>
    </row>
    <row r="42" spans="1:29" x14ac:dyDescent="0.35">
      <c r="A42" s="100"/>
      <c r="B42" s="100"/>
      <c r="C42" s="100"/>
      <c r="D42" s="100"/>
      <c r="E42" s="100"/>
      <c r="F42" s="100"/>
      <c r="G42" s="100"/>
      <c r="H42" s="100"/>
      <c r="I42" s="100"/>
      <c r="J42" s="100"/>
      <c r="K42" s="100"/>
      <c r="L42" s="100"/>
      <c r="M42" s="113"/>
      <c r="N42" s="100"/>
    </row>
    <row r="43" spans="1:29" x14ac:dyDescent="0.35">
      <c r="A43" s="100"/>
      <c r="B43" s="100"/>
      <c r="C43" s="100"/>
      <c r="D43" s="100"/>
      <c r="E43" s="100"/>
      <c r="F43" s="100"/>
      <c r="G43" s="100"/>
      <c r="H43" s="100"/>
      <c r="I43" s="100"/>
      <c r="J43" s="100"/>
      <c r="K43" s="100"/>
      <c r="L43" s="100"/>
      <c r="M43" s="113"/>
      <c r="N43" s="100"/>
    </row>
    <row r="44" spans="1:29" x14ac:dyDescent="0.35">
      <c r="A44" s="100"/>
      <c r="B44" s="100"/>
      <c r="C44" s="100"/>
      <c r="D44" s="100"/>
      <c r="E44" s="100"/>
      <c r="F44" s="100"/>
      <c r="G44" s="100"/>
      <c r="H44" s="100"/>
      <c r="I44" s="100"/>
      <c r="J44" s="100"/>
      <c r="K44" s="100"/>
      <c r="L44" s="100"/>
      <c r="M44" s="113"/>
      <c r="N44" s="100"/>
    </row>
    <row r="45" spans="1:29" x14ac:dyDescent="0.35">
      <c r="A45" s="100"/>
      <c r="B45" s="100"/>
      <c r="C45" s="100"/>
      <c r="D45" s="100"/>
      <c r="E45" s="100"/>
      <c r="F45" s="100"/>
      <c r="G45" s="100"/>
      <c r="H45" s="100"/>
      <c r="I45" s="100"/>
      <c r="J45" s="100"/>
      <c r="K45" s="100"/>
      <c r="L45" s="100"/>
      <c r="M45" s="113"/>
      <c r="N45" s="100"/>
    </row>
    <row r="46" spans="1:29" x14ac:dyDescent="0.35">
      <c r="A46" s="100"/>
      <c r="B46" s="100"/>
      <c r="C46" s="100"/>
      <c r="D46" s="100"/>
      <c r="E46" s="100"/>
      <c r="F46" s="100"/>
      <c r="G46" s="100"/>
      <c r="H46" s="100"/>
      <c r="I46" s="100"/>
      <c r="J46" s="100"/>
      <c r="K46" s="100"/>
      <c r="L46" s="100"/>
      <c r="M46" s="113"/>
      <c r="N46" s="100"/>
    </row>
    <row r="47" spans="1:29" x14ac:dyDescent="0.35">
      <c r="A47" s="100"/>
      <c r="B47" s="100"/>
      <c r="C47" s="100"/>
      <c r="D47" s="100"/>
      <c r="E47" s="100"/>
      <c r="F47" s="100"/>
      <c r="G47" s="100"/>
      <c r="H47" s="100"/>
      <c r="I47" s="100"/>
      <c r="J47" s="100"/>
      <c r="K47" s="100"/>
      <c r="L47" s="100"/>
      <c r="M47" s="113"/>
      <c r="N47" s="100"/>
    </row>
    <row r="48" spans="1:29" x14ac:dyDescent="0.35">
      <c r="A48" s="100"/>
      <c r="B48" s="100"/>
      <c r="C48" s="100"/>
      <c r="D48" s="100"/>
      <c r="E48" s="100"/>
      <c r="F48" s="100"/>
      <c r="G48" s="100"/>
      <c r="H48" s="100"/>
      <c r="I48" s="100"/>
      <c r="J48" s="100"/>
      <c r="K48" s="100"/>
      <c r="L48" s="100"/>
      <c r="M48" s="113"/>
      <c r="N48" s="100"/>
    </row>
    <row r="49" spans="1:14" x14ac:dyDescent="0.35">
      <c r="A49" s="100"/>
      <c r="B49" s="100"/>
      <c r="C49" s="100"/>
      <c r="D49" s="100"/>
      <c r="E49" s="100"/>
      <c r="F49" s="100"/>
      <c r="G49" s="100"/>
      <c r="H49" s="100"/>
      <c r="I49" s="100"/>
      <c r="J49" s="100"/>
      <c r="K49" s="100"/>
      <c r="L49" s="100"/>
      <c r="M49" s="113"/>
      <c r="N49" s="100"/>
    </row>
    <row r="50" spans="1:14" x14ac:dyDescent="0.35">
      <c r="A50" s="100"/>
      <c r="B50" s="100"/>
      <c r="C50" s="100"/>
      <c r="D50" s="100"/>
      <c r="E50" s="100"/>
      <c r="F50" s="100"/>
      <c r="G50" s="100"/>
      <c r="H50" s="100"/>
      <c r="I50" s="100"/>
      <c r="J50" s="100"/>
      <c r="K50" s="100"/>
      <c r="L50" s="100"/>
      <c r="M50" s="113"/>
      <c r="N50" s="100"/>
    </row>
    <row r="51" spans="1:14" x14ac:dyDescent="0.35">
      <c r="A51" s="100"/>
      <c r="B51" s="100"/>
      <c r="C51" s="100"/>
      <c r="D51" s="100"/>
      <c r="E51" s="100"/>
      <c r="F51" s="100"/>
      <c r="G51" s="100"/>
      <c r="H51" s="100"/>
      <c r="I51" s="100"/>
      <c r="J51" s="100"/>
      <c r="K51" s="100"/>
      <c r="L51" s="100"/>
      <c r="M51" s="113"/>
      <c r="N51" s="100"/>
    </row>
    <row r="52" spans="1:14" x14ac:dyDescent="0.35">
      <c r="A52" s="100"/>
      <c r="B52" s="100"/>
      <c r="C52" s="100"/>
      <c r="D52" s="100"/>
      <c r="E52" s="100"/>
      <c r="F52" s="100"/>
      <c r="G52" s="100"/>
      <c r="H52" s="100"/>
      <c r="I52" s="100"/>
      <c r="J52" s="100"/>
      <c r="K52" s="100"/>
      <c r="L52" s="100"/>
      <c r="M52" s="113"/>
      <c r="N52" s="100"/>
    </row>
    <row r="53" spans="1:14" x14ac:dyDescent="0.35">
      <c r="A53" s="100"/>
      <c r="B53" s="100"/>
      <c r="C53" s="100"/>
      <c r="D53" s="100"/>
      <c r="E53" s="100"/>
      <c r="F53" s="100"/>
      <c r="G53" s="100"/>
      <c r="H53" s="100"/>
      <c r="I53" s="100"/>
      <c r="J53" s="100"/>
      <c r="K53" s="100"/>
      <c r="L53" s="100"/>
      <c r="M53" s="113"/>
      <c r="N53" s="100"/>
    </row>
    <row r="54" spans="1:14" x14ac:dyDescent="0.35">
      <c r="A54" s="100"/>
      <c r="B54" s="100"/>
      <c r="C54" s="100"/>
      <c r="D54" s="100"/>
      <c r="E54" s="100"/>
      <c r="F54" s="100"/>
      <c r="G54" s="100"/>
      <c r="H54" s="100"/>
      <c r="I54" s="100"/>
      <c r="J54" s="100"/>
      <c r="K54" s="100"/>
      <c r="L54" s="100"/>
      <c r="M54" s="113"/>
      <c r="N54" s="100"/>
    </row>
    <row r="55" spans="1:14" x14ac:dyDescent="0.35">
      <c r="A55" s="100"/>
      <c r="B55" s="100"/>
      <c r="C55" s="100"/>
      <c r="D55" s="100"/>
      <c r="E55" s="100"/>
      <c r="F55" s="100"/>
      <c r="G55" s="100"/>
      <c r="H55" s="100"/>
      <c r="I55" s="100"/>
      <c r="J55" s="100"/>
      <c r="K55" s="100"/>
      <c r="L55" s="100"/>
      <c r="M55" s="113"/>
      <c r="N55" s="100"/>
    </row>
    <row r="56" spans="1:14" x14ac:dyDescent="0.35">
      <c r="A56" s="100"/>
      <c r="B56" s="100"/>
      <c r="C56" s="100"/>
      <c r="D56" s="100"/>
      <c r="E56" s="100"/>
      <c r="F56" s="100"/>
      <c r="G56" s="100"/>
      <c r="H56" s="100"/>
      <c r="I56" s="100"/>
      <c r="J56" s="100"/>
      <c r="K56" s="100"/>
      <c r="L56" s="100"/>
      <c r="M56" s="113"/>
      <c r="N56" s="100"/>
    </row>
    <row r="57" spans="1:14" x14ac:dyDescent="0.35">
      <c r="A57" s="100"/>
      <c r="B57" s="100"/>
      <c r="C57" s="100"/>
      <c r="D57" s="100"/>
      <c r="E57" s="100"/>
      <c r="F57" s="100"/>
      <c r="G57" s="100"/>
      <c r="H57" s="100"/>
      <c r="I57" s="100"/>
      <c r="J57" s="100"/>
      <c r="K57" s="100"/>
      <c r="L57" s="100"/>
      <c r="M57" s="113"/>
      <c r="N57" s="100"/>
    </row>
    <row r="58" spans="1:14" x14ac:dyDescent="0.35">
      <c r="A58" s="100"/>
      <c r="B58" s="100"/>
      <c r="C58" s="100"/>
      <c r="D58" s="100"/>
      <c r="E58" s="100"/>
      <c r="F58" s="100"/>
      <c r="G58" s="100"/>
      <c r="H58" s="100"/>
      <c r="I58" s="100"/>
      <c r="J58" s="100"/>
      <c r="K58" s="100"/>
      <c r="L58" s="100"/>
      <c r="M58" s="113"/>
      <c r="N58" s="100"/>
    </row>
    <row r="59" spans="1:14" x14ac:dyDescent="0.35">
      <c r="A59" s="100"/>
      <c r="B59" s="100"/>
      <c r="C59" s="100"/>
      <c r="D59" s="100"/>
      <c r="E59" s="100"/>
      <c r="F59" s="100"/>
      <c r="G59" s="100"/>
      <c r="H59" s="100"/>
      <c r="I59" s="100"/>
      <c r="J59" s="100"/>
      <c r="K59" s="100"/>
      <c r="L59" s="100"/>
      <c r="M59" s="113"/>
      <c r="N59" s="100"/>
    </row>
    <row r="60" spans="1:14" x14ac:dyDescent="0.35">
      <c r="A60" s="100"/>
      <c r="B60" s="100"/>
      <c r="C60" s="100"/>
      <c r="D60" s="100"/>
      <c r="E60" s="100"/>
      <c r="F60" s="100"/>
      <c r="G60" s="100"/>
      <c r="H60" s="100"/>
      <c r="I60" s="100"/>
      <c r="J60" s="100"/>
      <c r="K60" s="100"/>
      <c r="L60" s="100"/>
      <c r="M60" s="113"/>
      <c r="N60" s="100"/>
    </row>
    <row r="61" spans="1:14" x14ac:dyDescent="0.35">
      <c r="A61" s="100"/>
      <c r="B61" s="100"/>
      <c r="C61" s="100"/>
      <c r="D61" s="100"/>
      <c r="E61" s="100"/>
      <c r="F61" s="100"/>
      <c r="G61" s="100"/>
      <c r="H61" s="100"/>
      <c r="I61" s="100"/>
      <c r="J61" s="100"/>
      <c r="K61" s="100"/>
      <c r="L61" s="100"/>
      <c r="M61" s="113"/>
      <c r="N61" s="100"/>
    </row>
    <row r="62" spans="1:14" x14ac:dyDescent="0.35">
      <c r="A62" s="100"/>
      <c r="B62" s="100"/>
      <c r="C62" s="100"/>
      <c r="D62" s="100"/>
      <c r="E62" s="100"/>
      <c r="F62" s="100"/>
      <c r="G62" s="100"/>
      <c r="H62" s="100"/>
      <c r="I62" s="100"/>
      <c r="J62" s="100"/>
      <c r="K62" s="100"/>
      <c r="L62" s="100"/>
      <c r="M62" s="113"/>
      <c r="N62" s="100"/>
    </row>
    <row r="63" spans="1:14" x14ac:dyDescent="0.35">
      <c r="A63" s="100"/>
      <c r="B63" s="100"/>
      <c r="C63" s="100"/>
      <c r="D63" s="100"/>
      <c r="E63" s="100"/>
      <c r="F63" s="100"/>
      <c r="G63" s="100"/>
      <c r="H63" s="100"/>
      <c r="I63" s="100"/>
      <c r="J63" s="100"/>
      <c r="K63" s="100"/>
      <c r="L63" s="100"/>
      <c r="M63" s="113"/>
      <c r="N63" s="100"/>
    </row>
    <row r="64" spans="1:14" x14ac:dyDescent="0.35">
      <c r="A64" s="100"/>
      <c r="B64" s="100"/>
      <c r="C64" s="100"/>
      <c r="D64" s="100"/>
      <c r="E64" s="100"/>
      <c r="F64" s="100"/>
      <c r="G64" s="100"/>
      <c r="H64" s="100"/>
      <c r="I64" s="100"/>
      <c r="J64" s="100"/>
      <c r="K64" s="100"/>
      <c r="L64" s="100"/>
      <c r="M64" s="113"/>
      <c r="N64" s="100"/>
    </row>
    <row r="65" spans="1:14" x14ac:dyDescent="0.35">
      <c r="A65" s="100"/>
      <c r="B65" s="100"/>
      <c r="C65" s="100"/>
      <c r="D65" s="100"/>
      <c r="E65" s="100"/>
      <c r="F65" s="100"/>
      <c r="G65" s="100"/>
      <c r="H65" s="100"/>
      <c r="I65" s="100"/>
      <c r="J65" s="100"/>
      <c r="K65" s="100"/>
      <c r="L65" s="100"/>
      <c r="M65" s="113"/>
      <c r="N65" s="100"/>
    </row>
    <row r="66" spans="1:14" x14ac:dyDescent="0.35">
      <c r="A66" s="100"/>
      <c r="B66" s="100"/>
      <c r="C66" s="100"/>
      <c r="D66" s="100"/>
      <c r="E66" s="100"/>
      <c r="F66" s="100"/>
      <c r="G66" s="100"/>
      <c r="H66" s="100"/>
      <c r="I66" s="100"/>
      <c r="J66" s="100"/>
      <c r="K66" s="100"/>
      <c r="L66" s="100"/>
      <c r="M66" s="113"/>
      <c r="N66" s="100"/>
    </row>
    <row r="67" spans="1:14" x14ac:dyDescent="0.35">
      <c r="A67" s="100"/>
      <c r="B67" s="100"/>
      <c r="C67" s="100"/>
      <c r="D67" s="100"/>
      <c r="E67" s="100"/>
      <c r="F67" s="100"/>
      <c r="G67" s="100"/>
      <c r="H67" s="100"/>
      <c r="I67" s="100"/>
      <c r="J67" s="100"/>
      <c r="K67" s="100"/>
      <c r="L67" s="100"/>
      <c r="M67" s="113"/>
      <c r="N67" s="100"/>
    </row>
    <row r="68" spans="1:14" x14ac:dyDescent="0.35">
      <c r="A68" s="100"/>
      <c r="B68" s="100"/>
      <c r="C68" s="100"/>
      <c r="D68" s="100"/>
      <c r="E68" s="100"/>
      <c r="F68" s="100"/>
      <c r="G68" s="100"/>
      <c r="H68" s="100"/>
      <c r="I68" s="100"/>
      <c r="J68" s="100"/>
      <c r="K68" s="100"/>
      <c r="L68" s="100"/>
      <c r="M68" s="113"/>
      <c r="N68" s="100"/>
    </row>
    <row r="69" spans="1:14" x14ac:dyDescent="0.35">
      <c r="A69" s="100"/>
      <c r="B69" s="100"/>
      <c r="C69" s="100"/>
      <c r="D69" s="100"/>
      <c r="E69" s="100"/>
      <c r="F69" s="100"/>
      <c r="G69" s="100"/>
      <c r="H69" s="100"/>
      <c r="I69" s="100"/>
      <c r="J69" s="100"/>
      <c r="K69" s="100"/>
      <c r="L69" s="100"/>
      <c r="M69" s="113"/>
      <c r="N69" s="100"/>
    </row>
    <row r="70" spans="1:14" x14ac:dyDescent="0.35">
      <c r="A70" s="100"/>
      <c r="B70" s="100"/>
      <c r="C70" s="100"/>
      <c r="D70" s="100"/>
      <c r="E70" s="100"/>
      <c r="F70" s="100"/>
      <c r="G70" s="100"/>
      <c r="H70" s="100"/>
      <c r="I70" s="100"/>
      <c r="J70" s="100"/>
      <c r="K70" s="100"/>
      <c r="L70" s="100"/>
      <c r="M70" s="113"/>
      <c r="N70" s="100"/>
    </row>
    <row r="71" spans="1:14" x14ac:dyDescent="0.35">
      <c r="A71" s="100"/>
      <c r="B71" s="100"/>
      <c r="C71" s="100"/>
      <c r="D71" s="100"/>
      <c r="E71" s="100"/>
      <c r="F71" s="100"/>
      <c r="G71" s="100"/>
      <c r="H71" s="100"/>
      <c r="I71" s="100"/>
      <c r="J71" s="100"/>
      <c r="K71" s="100"/>
      <c r="L71" s="100"/>
      <c r="M71" s="113"/>
      <c r="N71" s="100"/>
    </row>
    <row r="72" spans="1:14" x14ac:dyDescent="0.35">
      <c r="A72" s="100"/>
      <c r="B72" s="100"/>
      <c r="C72" s="100"/>
      <c r="D72" s="100"/>
      <c r="E72" s="100"/>
      <c r="F72" s="100"/>
      <c r="G72" s="100"/>
      <c r="H72" s="100"/>
      <c r="I72" s="100"/>
      <c r="J72" s="100"/>
      <c r="K72" s="100"/>
      <c r="L72" s="100"/>
      <c r="M72" s="113"/>
      <c r="N72" s="100"/>
    </row>
    <row r="73" spans="1:14" x14ac:dyDescent="0.35">
      <c r="A73" s="100"/>
      <c r="B73" s="100"/>
      <c r="C73" s="100"/>
      <c r="D73" s="100"/>
      <c r="E73" s="100"/>
      <c r="F73" s="100"/>
      <c r="G73" s="100"/>
      <c r="H73" s="100"/>
      <c r="I73" s="100"/>
      <c r="J73" s="100"/>
      <c r="K73" s="100"/>
      <c r="L73" s="100"/>
      <c r="M73" s="113"/>
      <c r="N73" s="100"/>
    </row>
    <row r="74" spans="1:14" x14ac:dyDescent="0.35">
      <c r="A74" s="100"/>
      <c r="B74" s="100"/>
      <c r="C74" s="100"/>
      <c r="D74" s="100"/>
      <c r="E74" s="100"/>
      <c r="F74" s="100"/>
      <c r="G74" s="100"/>
      <c r="H74" s="100"/>
      <c r="I74" s="100"/>
      <c r="J74" s="100"/>
      <c r="K74" s="100"/>
      <c r="L74" s="100"/>
      <c r="M74" s="113"/>
      <c r="N74" s="100"/>
    </row>
    <row r="75" spans="1:14" x14ac:dyDescent="0.35">
      <c r="A75" s="100"/>
      <c r="B75" s="100"/>
      <c r="C75" s="100"/>
      <c r="D75" s="100"/>
      <c r="E75" s="100"/>
      <c r="F75" s="100"/>
      <c r="G75" s="100"/>
      <c r="H75" s="100"/>
      <c r="I75" s="100"/>
      <c r="J75" s="100"/>
      <c r="K75" s="100"/>
      <c r="L75" s="100"/>
      <c r="M75" s="113"/>
      <c r="N75" s="100"/>
    </row>
    <row r="76" spans="1:14" x14ac:dyDescent="0.35">
      <c r="A76" s="100"/>
      <c r="B76" s="100"/>
      <c r="C76" s="100"/>
      <c r="D76" s="100"/>
      <c r="E76" s="100"/>
      <c r="F76" s="100"/>
      <c r="G76" s="100"/>
      <c r="H76" s="100"/>
      <c r="I76" s="100"/>
      <c r="J76" s="100"/>
      <c r="K76" s="100"/>
      <c r="L76" s="100"/>
      <c r="M76" s="113"/>
      <c r="N76" s="100"/>
    </row>
    <row r="77" spans="1:14" x14ac:dyDescent="0.35">
      <c r="A77" s="100"/>
      <c r="B77" s="100"/>
      <c r="C77" s="100"/>
      <c r="D77" s="100"/>
      <c r="E77" s="100"/>
      <c r="F77" s="100"/>
      <c r="G77" s="100"/>
      <c r="H77" s="100"/>
      <c r="I77" s="100"/>
      <c r="J77" s="100"/>
      <c r="K77" s="100"/>
      <c r="L77" s="100"/>
      <c r="M77" s="113"/>
      <c r="N77" s="100"/>
    </row>
    <row r="78" spans="1:14" x14ac:dyDescent="0.35">
      <c r="A78" s="100"/>
      <c r="B78" s="100"/>
      <c r="C78" s="100"/>
      <c r="D78" s="100"/>
      <c r="E78" s="100"/>
      <c r="F78" s="100"/>
      <c r="G78" s="100"/>
      <c r="H78" s="100"/>
      <c r="I78" s="100"/>
      <c r="J78" s="100"/>
      <c r="K78" s="100"/>
      <c r="L78" s="100"/>
      <c r="M78" s="113"/>
      <c r="N78" s="100"/>
    </row>
    <row r="79" spans="1:14" x14ac:dyDescent="0.35">
      <c r="A79" s="100"/>
      <c r="B79" s="100"/>
      <c r="C79" s="100"/>
      <c r="D79" s="100"/>
      <c r="E79" s="100"/>
      <c r="F79" s="100"/>
      <c r="G79" s="100"/>
      <c r="H79" s="100"/>
      <c r="I79" s="100"/>
      <c r="J79" s="100"/>
      <c r="K79" s="100"/>
      <c r="L79" s="100"/>
      <c r="M79" s="113"/>
      <c r="N79" s="100"/>
    </row>
    <row r="80" spans="1:14" x14ac:dyDescent="0.35">
      <c r="A80" s="100"/>
      <c r="B80" s="100"/>
      <c r="C80" s="100"/>
      <c r="D80" s="100"/>
      <c r="E80" s="100"/>
      <c r="F80" s="100"/>
      <c r="G80" s="100"/>
      <c r="H80" s="100"/>
      <c r="I80" s="100"/>
      <c r="J80" s="100"/>
      <c r="K80" s="100"/>
      <c r="L80" s="100"/>
      <c r="M80" s="113"/>
      <c r="N80" s="100"/>
    </row>
    <row r="81" spans="1:14" x14ac:dyDescent="0.35">
      <c r="A81" s="100"/>
      <c r="B81" s="100"/>
      <c r="C81" s="100"/>
      <c r="D81" s="100"/>
      <c r="E81" s="100"/>
      <c r="F81" s="100"/>
      <c r="G81" s="100"/>
      <c r="H81" s="100"/>
      <c r="I81" s="100"/>
      <c r="J81" s="100"/>
      <c r="K81" s="100"/>
      <c r="L81" s="100"/>
      <c r="M81" s="113"/>
      <c r="N81" s="100"/>
    </row>
    <row r="82" spans="1:14" x14ac:dyDescent="0.35">
      <c r="A82" s="100"/>
      <c r="B82" s="100"/>
      <c r="C82" s="100"/>
      <c r="D82" s="100"/>
      <c r="E82" s="100"/>
      <c r="F82" s="100"/>
      <c r="G82" s="100"/>
      <c r="H82" s="100"/>
      <c r="I82" s="100"/>
      <c r="J82" s="100"/>
      <c r="K82" s="100"/>
      <c r="L82" s="100"/>
      <c r="M82" s="113"/>
      <c r="N82" s="100"/>
    </row>
    <row r="83" spans="1:14" x14ac:dyDescent="0.35">
      <c r="A83" s="100"/>
      <c r="B83" s="100"/>
      <c r="C83" s="100"/>
      <c r="D83" s="100"/>
      <c r="E83" s="100"/>
      <c r="F83" s="100"/>
      <c r="G83" s="100"/>
      <c r="H83" s="100"/>
      <c r="I83" s="100"/>
      <c r="J83" s="100"/>
      <c r="K83" s="100"/>
      <c r="L83" s="100"/>
      <c r="M83" s="113"/>
      <c r="N83" s="100"/>
    </row>
    <row r="84" spans="1:14" x14ac:dyDescent="0.35">
      <c r="A84" s="100"/>
      <c r="B84" s="100"/>
      <c r="C84" s="100"/>
      <c r="D84" s="100"/>
      <c r="E84" s="100"/>
      <c r="F84" s="100"/>
      <c r="G84" s="100"/>
      <c r="H84" s="100"/>
      <c r="I84" s="100"/>
      <c r="J84" s="100"/>
      <c r="K84" s="100"/>
      <c r="L84" s="100"/>
      <c r="M84" s="113"/>
      <c r="N84" s="100"/>
    </row>
    <row r="85" spans="1:14" x14ac:dyDescent="0.35">
      <c r="A85" s="100"/>
      <c r="B85" s="100"/>
      <c r="C85" s="100"/>
      <c r="D85" s="100"/>
      <c r="E85" s="100"/>
      <c r="F85" s="100"/>
      <c r="G85" s="100"/>
      <c r="H85" s="100"/>
      <c r="I85" s="100"/>
      <c r="J85" s="100"/>
      <c r="K85" s="100"/>
      <c r="L85" s="100"/>
      <c r="M85" s="113"/>
      <c r="N85" s="100"/>
    </row>
    <row r="86" spans="1:14" x14ac:dyDescent="0.35">
      <c r="A86" s="100"/>
      <c r="B86" s="100"/>
      <c r="C86" s="100"/>
      <c r="D86" s="100"/>
      <c r="E86" s="100"/>
      <c r="F86" s="100"/>
      <c r="G86" s="100"/>
      <c r="H86" s="100"/>
      <c r="I86" s="100"/>
      <c r="J86" s="100"/>
      <c r="K86" s="100"/>
      <c r="L86" s="100"/>
      <c r="M86" s="113"/>
      <c r="N86" s="100"/>
    </row>
    <row r="87" spans="1:14" x14ac:dyDescent="0.35">
      <c r="A87" s="100"/>
      <c r="B87" s="100"/>
      <c r="C87" s="100"/>
      <c r="D87" s="100"/>
      <c r="E87" s="100"/>
      <c r="F87" s="100"/>
      <c r="G87" s="100"/>
      <c r="H87" s="100"/>
      <c r="I87" s="100"/>
      <c r="J87" s="100"/>
      <c r="K87" s="100"/>
      <c r="L87" s="100"/>
      <c r="M87" s="113"/>
      <c r="N87" s="100"/>
    </row>
    <row r="96" spans="1:14" hidden="1" x14ac:dyDescent="0.35">
      <c r="L96">
        <v>2</v>
      </c>
    </row>
    <row r="97" spans="12:12" hidden="1" x14ac:dyDescent="0.35">
      <c r="L97">
        <v>3</v>
      </c>
    </row>
    <row r="98" spans="12:12" hidden="1" x14ac:dyDescent="0.35">
      <c r="L98">
        <v>4</v>
      </c>
    </row>
    <row r="99" spans="12:12" hidden="1" x14ac:dyDescent="0.35">
      <c r="L99">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14">
    <mergeCell ref="B23:C23"/>
    <mergeCell ref="B24:C24"/>
    <mergeCell ref="A34:N39"/>
    <mergeCell ref="B16:C16"/>
    <mergeCell ref="B17:C17"/>
    <mergeCell ref="B18:C18"/>
    <mergeCell ref="B19:C19"/>
    <mergeCell ref="B20:C20"/>
    <mergeCell ref="B21:C21"/>
    <mergeCell ref="B15:C15"/>
    <mergeCell ref="A9:N11"/>
    <mergeCell ref="B13:C13"/>
    <mergeCell ref="B14:C14"/>
    <mergeCell ref="B22:C22"/>
  </mergeCells>
  <pageMargins left="0.7" right="0.7" top="0.75" bottom="0.75" header="0.3" footer="0.3"/>
  <pageSetup orientation="portrait" horizontalDpi="1200" verticalDpi="1200"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dimension ref="A1:AE76"/>
  <sheetViews>
    <sheetView topLeftCell="H61" workbookViewId="0">
      <selection activeCell="O86" sqref="O86"/>
    </sheetView>
  </sheetViews>
  <sheetFormatPr defaultColWidth="9.1796875" defaultRowHeight="14.5" x14ac:dyDescent="0.35"/>
  <cols>
    <col min="1" max="1" width="9.7265625" customWidth="1"/>
    <col min="2" max="2" width="16" customWidth="1"/>
    <col min="3" max="3" width="19.453125" customWidth="1"/>
    <col min="4" max="4" width="15.453125" customWidth="1"/>
    <col min="5" max="5" width="2.26953125" customWidth="1"/>
    <col min="6" max="6" width="18.54296875" customWidth="1"/>
    <col min="7" max="7" width="18.54296875" style="260" customWidth="1"/>
    <col min="8" max="8" width="18.54296875" style="48" customWidth="1"/>
    <col min="9" max="9" width="18.54296875" customWidth="1"/>
    <col min="10" max="10" width="18.54296875" style="48" customWidth="1"/>
    <col min="11" max="11" width="18.54296875" customWidth="1"/>
    <col min="12" max="12" width="18.54296875" style="48" customWidth="1"/>
    <col min="13" max="13" width="2.7265625" customWidth="1"/>
    <col min="14" max="14" width="18.54296875" customWidth="1"/>
    <col min="15" max="15" width="18.54296875" style="260" customWidth="1"/>
    <col min="16" max="16" width="18.54296875" style="48" customWidth="1"/>
    <col min="17" max="17" width="18.54296875" customWidth="1"/>
    <col min="18" max="18" width="18.54296875" style="48" customWidth="1"/>
    <col min="19" max="19" width="18.54296875" customWidth="1"/>
    <col min="20" max="20" width="18.54296875" style="48" customWidth="1"/>
    <col min="21" max="21" width="2.7265625" customWidth="1"/>
    <col min="22" max="22" width="12.1796875" customWidth="1"/>
    <col min="23" max="23" width="15" style="260" bestFit="1" customWidth="1"/>
    <col min="24" max="24" width="12.1796875" style="48" customWidth="1"/>
    <col min="25" max="25" width="12.1796875" customWidth="1"/>
    <col min="26" max="26" width="15.26953125" style="260" customWidth="1"/>
    <col min="27" max="27" width="12.1796875" style="48" customWidth="1"/>
    <col min="28" max="28" width="24.54296875" customWidth="1"/>
  </cols>
  <sheetData>
    <row r="1" spans="1:31" ht="26" x14ac:dyDescent="0.6">
      <c r="A1" s="3" t="s">
        <v>774</v>
      </c>
    </row>
    <row r="2" spans="1:31" ht="21" x14ac:dyDescent="0.5">
      <c r="A2" s="2" t="s">
        <v>772</v>
      </c>
    </row>
    <row r="3" spans="1:31" ht="25" customHeight="1" x14ac:dyDescent="0.5">
      <c r="A3" s="495" t="s">
        <v>756</v>
      </c>
      <c r="B3" s="495"/>
      <c r="C3" s="495"/>
      <c r="D3" s="495"/>
      <c r="E3" s="495"/>
      <c r="F3" s="495"/>
      <c r="G3" s="314"/>
      <c r="H3" s="317"/>
    </row>
    <row r="4" spans="1:31" x14ac:dyDescent="0.35">
      <c r="A4" s="48"/>
    </row>
    <row r="5" spans="1:31" x14ac:dyDescent="0.35">
      <c r="A5" s="1" t="s">
        <v>773</v>
      </c>
      <c r="C5" s="416" t="str">
        <f>Results!$C$6</f>
        <v>AllHealth Network</v>
      </c>
    </row>
    <row r="6" spans="1:31" x14ac:dyDescent="0.35">
      <c r="A6" s="1" t="s">
        <v>0</v>
      </c>
      <c r="C6" s="35">
        <f>Results!$C$7</f>
        <v>45473</v>
      </c>
      <c r="F6" s="35"/>
      <c r="G6" s="315"/>
      <c r="H6" s="60"/>
      <c r="V6" s="129"/>
      <c r="W6" s="325"/>
      <c r="X6" s="129"/>
      <c r="Y6" s="129"/>
      <c r="Z6" s="325"/>
      <c r="AA6" s="129"/>
      <c r="AB6" s="129"/>
    </row>
    <row r="7" spans="1:31" x14ac:dyDescent="0.35">
      <c r="V7" s="40"/>
      <c r="W7" s="259"/>
      <c r="X7" s="40"/>
      <c r="Y7" s="40"/>
      <c r="Z7" s="259"/>
      <c r="AA7" s="40"/>
      <c r="AB7" s="40"/>
    </row>
    <row r="8" spans="1:31" x14ac:dyDescent="0.35">
      <c r="A8" s="1" t="s">
        <v>253</v>
      </c>
      <c r="B8" s="1" t="s">
        <v>611</v>
      </c>
      <c r="C8" s="1"/>
      <c r="D8" s="118" t="str">
        <f>'As-Filed Schedule 2A'!D8</f>
        <v>Yes</v>
      </c>
      <c r="E8" s="41" t="s">
        <v>259</v>
      </c>
      <c r="V8" s="40"/>
      <c r="W8" s="259"/>
      <c r="X8" s="40"/>
      <c r="Y8" s="40"/>
      <c r="Z8" s="259"/>
      <c r="AA8" s="40"/>
      <c r="AB8" s="40"/>
    </row>
    <row r="9" spans="1:31" x14ac:dyDescent="0.35">
      <c r="V9" s="129"/>
      <c r="W9" s="325"/>
      <c r="X9" s="129"/>
      <c r="Y9" s="129"/>
      <c r="Z9" s="325"/>
      <c r="AA9" s="129"/>
      <c r="AB9" s="129"/>
    </row>
    <row r="10" spans="1:31" x14ac:dyDescent="0.35">
      <c r="A10" s="1" t="s">
        <v>254</v>
      </c>
      <c r="B10" s="1" t="s">
        <v>256</v>
      </c>
      <c r="C10" s="1"/>
      <c r="V10" s="40"/>
      <c r="W10" s="259"/>
      <c r="X10" s="40"/>
      <c r="Y10" s="40"/>
      <c r="Z10" s="259"/>
      <c r="AA10" s="40"/>
      <c r="AB10" s="40"/>
    </row>
    <row r="11" spans="1:31" x14ac:dyDescent="0.35">
      <c r="A11" s="1"/>
      <c r="B11" s="318" t="s">
        <v>598</v>
      </c>
      <c r="C11" s="1"/>
      <c r="V11" s="40"/>
      <c r="W11" s="259"/>
      <c r="X11" s="40"/>
      <c r="Y11" s="40"/>
      <c r="Z11" s="259"/>
      <c r="AA11" s="40"/>
      <c r="AB11" s="40"/>
    </row>
    <row r="12" spans="1:31" x14ac:dyDescent="0.35">
      <c r="B12" s="506">
        <v>1</v>
      </c>
      <c r="C12" s="506"/>
      <c r="D12" s="506"/>
      <c r="F12" s="23">
        <v>2</v>
      </c>
      <c r="G12" s="255" t="s">
        <v>556</v>
      </c>
      <c r="H12" s="256" t="s">
        <v>557</v>
      </c>
      <c r="I12" s="23">
        <v>3</v>
      </c>
      <c r="J12" s="256" t="s">
        <v>561</v>
      </c>
      <c r="K12" s="23">
        <v>4</v>
      </c>
      <c r="L12" s="256" t="s">
        <v>614</v>
      </c>
      <c r="N12" s="23">
        <v>5</v>
      </c>
      <c r="O12" s="255" t="s">
        <v>566</v>
      </c>
      <c r="P12" s="256" t="s">
        <v>567</v>
      </c>
      <c r="Q12" s="23">
        <v>6</v>
      </c>
      <c r="R12" s="256" t="s">
        <v>571</v>
      </c>
      <c r="S12" s="23">
        <v>7</v>
      </c>
      <c r="T12" s="256" t="s">
        <v>575</v>
      </c>
      <c r="V12" s="23">
        <v>8</v>
      </c>
      <c r="W12" s="255" t="s">
        <v>616</v>
      </c>
      <c r="X12" s="256" t="s">
        <v>617</v>
      </c>
      <c r="Y12" s="23">
        <v>9</v>
      </c>
      <c r="Z12" s="255" t="s">
        <v>618</v>
      </c>
      <c r="AA12" s="256" t="s">
        <v>619</v>
      </c>
      <c r="AC12" s="40"/>
      <c r="AD12" s="40"/>
      <c r="AE12" s="40"/>
    </row>
    <row r="13" spans="1:31" x14ac:dyDescent="0.35">
      <c r="B13" s="515" t="s">
        <v>612</v>
      </c>
      <c r="C13" s="516"/>
      <c r="D13" s="517"/>
      <c r="F13" s="509" t="s">
        <v>261</v>
      </c>
      <c r="G13" s="521"/>
      <c r="H13" s="521"/>
      <c r="I13" s="521"/>
      <c r="J13" s="521"/>
      <c r="K13" s="510"/>
      <c r="L13" s="319"/>
      <c r="N13" s="509" t="s">
        <v>262</v>
      </c>
      <c r="O13" s="521"/>
      <c r="P13" s="521"/>
      <c r="Q13" s="521"/>
      <c r="R13" s="521"/>
      <c r="S13" s="510"/>
      <c r="T13" s="319"/>
      <c r="V13" s="522" t="s">
        <v>250</v>
      </c>
      <c r="W13" s="567" t="s">
        <v>620</v>
      </c>
      <c r="X13" s="569" t="s">
        <v>621</v>
      </c>
      <c r="Y13" s="522" t="s">
        <v>312</v>
      </c>
      <c r="Z13" s="567" t="s">
        <v>622</v>
      </c>
      <c r="AA13" s="569" t="s">
        <v>623</v>
      </c>
      <c r="AC13" s="40"/>
      <c r="AD13" s="40"/>
      <c r="AE13" s="40"/>
    </row>
    <row r="14" spans="1:31" ht="56.25" customHeight="1" x14ac:dyDescent="0.35">
      <c r="B14" s="518"/>
      <c r="C14" s="519"/>
      <c r="D14" s="520"/>
      <c r="F14" s="10" t="s">
        <v>214</v>
      </c>
      <c r="G14" s="257" t="s">
        <v>609</v>
      </c>
      <c r="H14" s="258" t="s">
        <v>610</v>
      </c>
      <c r="I14" s="150" t="s">
        <v>491</v>
      </c>
      <c r="J14" s="258" t="s">
        <v>613</v>
      </c>
      <c r="K14" s="150" t="s">
        <v>215</v>
      </c>
      <c r="L14" s="258" t="s">
        <v>615</v>
      </c>
      <c r="M14" s="100"/>
      <c r="N14" s="150" t="s">
        <v>214</v>
      </c>
      <c r="O14" s="257" t="s">
        <v>609</v>
      </c>
      <c r="P14" s="258" t="s">
        <v>610</v>
      </c>
      <c r="Q14" s="150" t="s">
        <v>491</v>
      </c>
      <c r="R14" s="258" t="s">
        <v>613</v>
      </c>
      <c r="S14" s="10" t="s">
        <v>215</v>
      </c>
      <c r="T14" s="258" t="s">
        <v>615</v>
      </c>
      <c r="V14" s="523"/>
      <c r="W14" s="568"/>
      <c r="X14" s="570"/>
      <c r="Y14" s="523"/>
      <c r="Z14" s="568"/>
      <c r="AA14" s="570"/>
    </row>
    <row r="15" spans="1:31" x14ac:dyDescent="0.35">
      <c r="A15" s="24">
        <v>1</v>
      </c>
      <c r="B15" s="514" t="str">
        <f>IF('As-Filed Schedule 2A'!B15:D15=0,"",'As-Filed Schedule 2A'!B15:D15)</f>
        <v>CRP (Co-Responder Program)</v>
      </c>
      <c r="C15" s="514"/>
      <c r="D15" s="514"/>
      <c r="F15" s="117">
        <f>'As-Filed Schedule 2A'!F15</f>
        <v>1208061</v>
      </c>
      <c r="G15" s="309">
        <f>SUMIFS(Adjustments!$G:$G,Adjustments!$H:$H,"2A",Adjustments!$I:$I,'Schedule 2A Adjustments'!$F$12,Adjustments!$J:$J,'Schedule 2A Adjustments'!A15)</f>
        <v>0</v>
      </c>
      <c r="H15" s="305">
        <f>SUM(F15:G15)</f>
        <v>1208061</v>
      </c>
      <c r="I15" s="68">
        <f>IFERROR(F15*'As-Filed Schedule 1'!$E$103,0)</f>
        <v>408165.61081613769</v>
      </c>
      <c r="J15" s="306">
        <f>IFERROR(H15*'Adjusted Schedule 1'!$E$104,0)</f>
        <v>395483.86034149706</v>
      </c>
      <c r="K15" s="68">
        <f>SUM(F15,I15)</f>
        <v>1616226.6108161376</v>
      </c>
      <c r="L15" s="306">
        <f>SUM(H15,J15)</f>
        <v>1603544.860341497</v>
      </c>
      <c r="N15" s="117" t="str">
        <f>'As-Filed Schedule 2A'!J15</f>
        <v xml:space="preserve"> $                                 -  </v>
      </c>
      <c r="O15" s="309">
        <f>SUMIFS(Adjustments!$G:$G,Adjustments!$H:$H,"2A",Adjustments!$I:$I,'Schedule 2A Adjustments'!$N$12,Adjustments!$J:$J,'Schedule 2A Adjustments'!A15)</f>
        <v>0</v>
      </c>
      <c r="P15" s="305">
        <f>SUM(N15:O15)</f>
        <v>0</v>
      </c>
      <c r="Q15" s="68">
        <f>IFERROR(N15*'As-Filed Schedule 1'!$E$103,0)</f>
        <v>0</v>
      </c>
      <c r="R15" s="306">
        <f>IFERROR(P15*'Adjusted Schedule 1'!$E$104,0)</f>
        <v>0</v>
      </c>
      <c r="S15" s="68">
        <f t="shared" ref="S15:S21" si="0">SUM(N15,Q15)</f>
        <v>0</v>
      </c>
      <c r="T15" s="306">
        <f>SUM(P15,R15)</f>
        <v>0</v>
      </c>
      <c r="V15" s="119">
        <f>'As-Filed Schedule 2A'!N15</f>
        <v>11</v>
      </c>
      <c r="W15" s="309">
        <f>SUMIFS(Adjustments!$G:$G,Adjustments!$H:$H,"2A",Adjustments!$I:$I,'Schedule 2A Adjustments'!$V$12,Adjustments!$J:$J,'Schedule 2A Adjustments'!A15)</f>
        <v>0</v>
      </c>
      <c r="X15" s="322">
        <f>SUM(V15:W15)</f>
        <v>11</v>
      </c>
      <c r="Y15" s="119">
        <f>'As-Filed Schedule 2A'!O15</f>
        <v>458</v>
      </c>
      <c r="Z15" s="309">
        <f>SUMIFS(Adjustments!$G:$G,Adjustments!$H:$H,"2A",Adjustments!$I:$I,'Schedule 2A Adjustments'!$Y$12,Adjustments!$J:$J,'Schedule 2A Adjustments'!A15)</f>
        <v>0</v>
      </c>
      <c r="AA15" s="322">
        <f>SUM(Y15:Z15)</f>
        <v>458</v>
      </c>
    </row>
    <row r="16" spans="1:31" x14ac:dyDescent="0.35">
      <c r="A16" s="24">
        <v>2</v>
      </c>
      <c r="B16" s="514" t="str">
        <f>IF('As-Filed Schedule 2A'!B16:D16=0,"",'As-Filed Schedule 2A'!B16:D16)</f>
        <v>Crisis Response Team</v>
      </c>
      <c r="C16" s="514"/>
      <c r="D16" s="514"/>
      <c r="F16" s="117">
        <f>'As-Filed Schedule 2A'!F16</f>
        <v>1908901</v>
      </c>
      <c r="G16" s="309">
        <f>SUMIFS(Adjustments!$G:$G,Adjustments!$H:$H,"2A",Adjustments!$I:$I,'Schedule 2A Adjustments'!$F$12,Adjustments!$J:$J,'Schedule 2A Adjustments'!A16)</f>
        <v>-404996</v>
      </c>
      <c r="H16" s="305">
        <f t="shared" ref="H16:H72" si="1">SUM(F16:G16)</f>
        <v>1503905</v>
      </c>
      <c r="I16" s="68">
        <f>IFERROR(F16*'As-Filed Schedule 1'!$E$103,0)</f>
        <v>644957.28498191398</v>
      </c>
      <c r="J16" s="306">
        <f>IFERROR(H16*'Adjusted Schedule 1'!$E$104,0)</f>
        <v>492334.53855962498</v>
      </c>
      <c r="K16" s="68">
        <f>SUM(F16,I16)</f>
        <v>2553858.2849819139</v>
      </c>
      <c r="L16" s="306">
        <f t="shared" ref="L16:L72" si="2">SUM(H16,J16)</f>
        <v>1996239.5385596249</v>
      </c>
      <c r="N16" s="117" t="str">
        <f>'As-Filed Schedule 2A'!J16</f>
        <v xml:space="preserve"> $                                 -  </v>
      </c>
      <c r="O16" s="309">
        <f>SUMIFS(Adjustments!$G:$G,Adjustments!$H:$H,"2A",Adjustments!$I:$I,'Schedule 2A Adjustments'!$N$12,Adjustments!$J:$J,'Schedule 2A Adjustments'!A16)</f>
        <v>404996</v>
      </c>
      <c r="P16" s="305">
        <f t="shared" ref="P16:P72" si="3">SUM(N16:O16)</f>
        <v>404996</v>
      </c>
      <c r="Q16" s="68">
        <f>IFERROR(N16*'As-Filed Schedule 1'!$E$103,0)</f>
        <v>0</v>
      </c>
      <c r="R16" s="306">
        <f>IFERROR(P16*'Adjusted Schedule 1'!$E$104,0)</f>
        <v>132583.85255617468</v>
      </c>
      <c r="S16" s="68">
        <f t="shared" si="0"/>
        <v>0</v>
      </c>
      <c r="T16" s="306">
        <f t="shared" ref="T16:T72" si="4">SUM(P16,R16)</f>
        <v>537579.85255617462</v>
      </c>
      <c r="V16" s="119">
        <f>'As-Filed Schedule 2A'!N16</f>
        <v>17.14</v>
      </c>
      <c r="W16" s="309">
        <f>SUMIFS(Adjustments!$G:$G,Adjustments!$H:$H,"2A",Adjustments!$I:$I,'Schedule 2A Adjustments'!$V$12,Adjustments!$J:$J,'Schedule 2A Adjustments'!A16)</f>
        <v>0</v>
      </c>
      <c r="X16" s="322">
        <f t="shared" ref="X16:X72" si="5">SUM(V16:W16)</f>
        <v>17.14</v>
      </c>
      <c r="Y16" s="119">
        <f>'As-Filed Schedule 2A'!O16</f>
        <v>1204</v>
      </c>
      <c r="Z16" s="309">
        <f>SUMIFS(Adjustments!$G:$G,Adjustments!$H:$H,"2A",Adjustments!$I:$I,'Schedule 2A Adjustments'!$Y$12,Adjustments!$J:$J,'Schedule 2A Adjustments'!A16)</f>
        <v>0</v>
      </c>
      <c r="AA16" s="322">
        <f t="shared" ref="AA16:AA72" si="6">SUM(Y16:Z16)</f>
        <v>1204</v>
      </c>
    </row>
    <row r="17" spans="1:27" x14ac:dyDescent="0.35">
      <c r="A17" s="24">
        <v>3</v>
      </c>
      <c r="B17" s="514" t="str">
        <f>IF('As-Filed Schedule 2A'!B17:D17=0,"",'As-Filed Schedule 2A'!B17:D17)</f>
        <v/>
      </c>
      <c r="C17" s="514"/>
      <c r="D17" s="514"/>
      <c r="F17" s="117">
        <f>'As-Filed Schedule 2A'!F17</f>
        <v>0</v>
      </c>
      <c r="G17" s="309">
        <f>SUMIFS(Adjustments!$G:$G,Adjustments!$H:$H,"2A",Adjustments!$I:$I,'Schedule 2A Adjustments'!$F$12,Adjustments!$J:$J,'Schedule 2A Adjustments'!A17)</f>
        <v>0</v>
      </c>
      <c r="H17" s="305">
        <f t="shared" si="1"/>
        <v>0</v>
      </c>
      <c r="I17" s="68">
        <f>IFERROR(F17*'As-Filed Schedule 1'!$E$103,0)</f>
        <v>0</v>
      </c>
      <c r="J17" s="306">
        <f>IFERROR(H17*'Adjusted Schedule 1'!$E$104,0)</f>
        <v>0</v>
      </c>
      <c r="K17" s="68">
        <f>SUM(F17,I17)</f>
        <v>0</v>
      </c>
      <c r="L17" s="306">
        <f t="shared" si="2"/>
        <v>0</v>
      </c>
      <c r="N17" s="117">
        <f>'As-Filed Schedule 2A'!J17</f>
        <v>0</v>
      </c>
      <c r="O17" s="309">
        <f>SUMIFS(Adjustments!$G:$G,Adjustments!$H:$H,"2A",Adjustments!$I:$I,'Schedule 2A Adjustments'!$N$12,Adjustments!$J:$J,'Schedule 2A Adjustments'!A17)</f>
        <v>18491</v>
      </c>
      <c r="P17" s="305">
        <f t="shared" si="3"/>
        <v>18491</v>
      </c>
      <c r="Q17" s="68">
        <f>IFERROR(N17*'As-Filed Schedule 1'!$E$103,0)</f>
        <v>0</v>
      </c>
      <c r="R17" s="306">
        <f>IFERROR(P17*'Adjusted Schedule 1'!$E$104,0)</f>
        <v>6053.4129167108467</v>
      </c>
      <c r="S17" s="68">
        <f t="shared" si="0"/>
        <v>0</v>
      </c>
      <c r="T17" s="306">
        <f>SUM(P17,R17)</f>
        <v>24544.412916710848</v>
      </c>
      <c r="V17" s="119">
        <f>'As-Filed Schedule 2A'!N17</f>
        <v>0</v>
      </c>
      <c r="W17" s="309">
        <f>SUMIFS(Adjustments!$G:$G,Adjustments!$H:$H,"2A",Adjustments!$I:$I,'Schedule 2A Adjustments'!$V$12,Adjustments!$J:$J,'Schedule 2A Adjustments'!A17)</f>
        <v>0</v>
      </c>
      <c r="X17" s="322">
        <f t="shared" si="5"/>
        <v>0</v>
      </c>
      <c r="Y17" s="119">
        <f>'As-Filed Schedule 2A'!O17</f>
        <v>0</v>
      </c>
      <c r="Z17" s="309">
        <f>SUMIFS(Adjustments!$G:$G,Adjustments!$H:$H,"2A",Adjustments!$I:$I,'Schedule 2A Adjustments'!$Y$12,Adjustments!$J:$J,'Schedule 2A Adjustments'!A17)</f>
        <v>0</v>
      </c>
      <c r="AA17" s="322">
        <f t="shared" si="6"/>
        <v>0</v>
      </c>
    </row>
    <row r="18" spans="1:27" x14ac:dyDescent="0.35">
      <c r="A18" s="24">
        <v>4</v>
      </c>
      <c r="B18" s="514" t="str">
        <f>IF('As-Filed Schedule 2A'!B18:D18=0,"",'As-Filed Schedule 2A'!B18:D18)</f>
        <v/>
      </c>
      <c r="C18" s="514"/>
      <c r="D18" s="514"/>
      <c r="F18" s="117">
        <f>'As-Filed Schedule 2A'!F18</f>
        <v>0</v>
      </c>
      <c r="G18" s="309">
        <f>SUMIFS(Adjustments!$G:$G,Adjustments!$H:$H,"2A",Adjustments!$I:$I,'Schedule 2A Adjustments'!$F$12,Adjustments!$J:$J,'Schedule 2A Adjustments'!A18)</f>
        <v>0</v>
      </c>
      <c r="H18" s="305">
        <f t="shared" si="1"/>
        <v>0</v>
      </c>
      <c r="I18" s="68">
        <f>IFERROR(F18*'As-Filed Schedule 1'!$E$103,0)</f>
        <v>0</v>
      </c>
      <c r="J18" s="306">
        <f>IFERROR(H18*'Adjusted Schedule 1'!$E$104,0)</f>
        <v>0</v>
      </c>
      <c r="K18" s="68">
        <f t="shared" ref="K18:K72" si="7">SUM(F18,I18)</f>
        <v>0</v>
      </c>
      <c r="L18" s="306">
        <f t="shared" si="2"/>
        <v>0</v>
      </c>
      <c r="N18" s="117">
        <f>'As-Filed Schedule 2A'!J18</f>
        <v>0</v>
      </c>
      <c r="O18" s="309">
        <f>SUMIFS(Adjustments!$G:$G,Adjustments!$H:$H,"2A",Adjustments!$I:$I,'Schedule 2A Adjustments'!$N$12,Adjustments!$J:$J,'Schedule 2A Adjustments'!A18)</f>
        <v>0</v>
      </c>
      <c r="P18" s="305">
        <f t="shared" si="3"/>
        <v>0</v>
      </c>
      <c r="Q18" s="68">
        <f>IFERROR(N18*'As-Filed Schedule 1'!$E$103,0)</f>
        <v>0</v>
      </c>
      <c r="R18" s="306">
        <f>IFERROR(P18*'Adjusted Schedule 1'!$E$104,0)</f>
        <v>0</v>
      </c>
      <c r="S18" s="68">
        <f t="shared" si="0"/>
        <v>0</v>
      </c>
      <c r="T18" s="306">
        <f t="shared" si="4"/>
        <v>0</v>
      </c>
      <c r="V18" s="119">
        <f>'As-Filed Schedule 2A'!N18</f>
        <v>0</v>
      </c>
      <c r="W18" s="309">
        <f>SUMIFS(Adjustments!$G:$G,Adjustments!$H:$H,"2A",Adjustments!$I:$I,'Schedule 2A Adjustments'!$V$12,Adjustments!$J:$J,'Schedule 2A Adjustments'!A18)</f>
        <v>0</v>
      </c>
      <c r="X18" s="322">
        <f t="shared" si="5"/>
        <v>0</v>
      </c>
      <c r="Y18" s="119">
        <f>'As-Filed Schedule 2A'!O18</f>
        <v>0</v>
      </c>
      <c r="Z18" s="309">
        <f>SUMIFS(Adjustments!$G:$G,Adjustments!$H:$H,"2A",Adjustments!$I:$I,'Schedule 2A Adjustments'!$Y$12,Adjustments!$J:$J,'Schedule 2A Adjustments'!A18)</f>
        <v>0</v>
      </c>
      <c r="AA18" s="322">
        <f t="shared" si="6"/>
        <v>0</v>
      </c>
    </row>
    <row r="19" spans="1:27" x14ac:dyDescent="0.35">
      <c r="A19" s="24">
        <v>5</v>
      </c>
      <c r="B19" s="514" t="str">
        <f>IF('As-Filed Schedule 2A'!B19:D19=0,"",'As-Filed Schedule 2A'!B19:D19)</f>
        <v/>
      </c>
      <c r="C19" s="514"/>
      <c r="D19" s="514"/>
      <c r="F19" s="117">
        <f>'As-Filed Schedule 2A'!F19</f>
        <v>0</v>
      </c>
      <c r="G19" s="309">
        <f>SUMIFS(Adjustments!$G:$G,Adjustments!$H:$H,"2A",Adjustments!$I:$I,'Schedule 2A Adjustments'!$F$12,Adjustments!$J:$J,'Schedule 2A Adjustments'!A19)</f>
        <v>0</v>
      </c>
      <c r="H19" s="305">
        <f t="shared" si="1"/>
        <v>0</v>
      </c>
      <c r="I19" s="68">
        <f>IFERROR(F19*'As-Filed Schedule 1'!$E$103,0)</f>
        <v>0</v>
      </c>
      <c r="J19" s="306">
        <f>IFERROR(H19*'Adjusted Schedule 1'!$E$104,0)</f>
        <v>0</v>
      </c>
      <c r="K19" s="68">
        <f t="shared" si="7"/>
        <v>0</v>
      </c>
      <c r="L19" s="306">
        <f t="shared" si="2"/>
        <v>0</v>
      </c>
      <c r="N19" s="117">
        <f>'As-Filed Schedule 2A'!J19</f>
        <v>0</v>
      </c>
      <c r="O19" s="309">
        <f>SUMIFS(Adjustments!$G:$G,Adjustments!$H:$H,"2A",Adjustments!$I:$I,'Schedule 2A Adjustments'!$N$12,Adjustments!$J:$J,'Schedule 2A Adjustments'!A19)</f>
        <v>0</v>
      </c>
      <c r="P19" s="305">
        <f t="shared" si="3"/>
        <v>0</v>
      </c>
      <c r="Q19" s="68">
        <f>IFERROR(N19*'As-Filed Schedule 1'!$E$103,0)</f>
        <v>0</v>
      </c>
      <c r="R19" s="306">
        <f>IFERROR(P19*'Adjusted Schedule 1'!$E$104,0)</f>
        <v>0</v>
      </c>
      <c r="S19" s="68">
        <f t="shared" si="0"/>
        <v>0</v>
      </c>
      <c r="T19" s="306">
        <f t="shared" si="4"/>
        <v>0</v>
      </c>
      <c r="V19" s="119">
        <f>'As-Filed Schedule 2A'!N19</f>
        <v>0</v>
      </c>
      <c r="W19" s="309">
        <f>SUMIFS(Adjustments!$G:$G,Adjustments!$H:$H,"2A",Adjustments!$I:$I,'Schedule 2A Adjustments'!$V$12,Adjustments!$J:$J,'Schedule 2A Adjustments'!A19)</f>
        <v>0</v>
      </c>
      <c r="X19" s="322">
        <f t="shared" si="5"/>
        <v>0</v>
      </c>
      <c r="Y19" s="119">
        <f>'As-Filed Schedule 2A'!O19</f>
        <v>0</v>
      </c>
      <c r="Z19" s="309">
        <f>SUMIFS(Adjustments!$G:$G,Adjustments!$H:$H,"2A",Adjustments!$I:$I,'Schedule 2A Adjustments'!$Y$12,Adjustments!$J:$J,'Schedule 2A Adjustments'!A19)</f>
        <v>0</v>
      </c>
      <c r="AA19" s="322">
        <f t="shared" si="6"/>
        <v>0</v>
      </c>
    </row>
    <row r="20" spans="1:27" x14ac:dyDescent="0.35">
      <c r="A20" s="24">
        <v>6</v>
      </c>
      <c r="B20" s="514" t="str">
        <f>IF('As-Filed Schedule 2A'!B20:D20=0,"",'As-Filed Schedule 2A'!B20:D20)</f>
        <v/>
      </c>
      <c r="C20" s="514"/>
      <c r="D20" s="514"/>
      <c r="F20" s="117">
        <f>'As-Filed Schedule 2A'!F20</f>
        <v>0</v>
      </c>
      <c r="G20" s="309">
        <f>SUMIFS(Adjustments!$G:$G,Adjustments!$H:$H,"2A",Adjustments!$I:$I,'Schedule 2A Adjustments'!$F$12,Adjustments!$J:$J,'Schedule 2A Adjustments'!A20)</f>
        <v>0</v>
      </c>
      <c r="H20" s="305">
        <f t="shared" si="1"/>
        <v>0</v>
      </c>
      <c r="I20" s="68">
        <f>IFERROR(F20*'As-Filed Schedule 1'!$E$103,0)</f>
        <v>0</v>
      </c>
      <c r="J20" s="306">
        <f>IFERROR(H20*'Adjusted Schedule 1'!$E$104,0)</f>
        <v>0</v>
      </c>
      <c r="K20" s="68">
        <f t="shared" si="7"/>
        <v>0</v>
      </c>
      <c r="L20" s="306">
        <f t="shared" si="2"/>
        <v>0</v>
      </c>
      <c r="N20" s="117">
        <f>'As-Filed Schedule 2A'!J20</f>
        <v>0</v>
      </c>
      <c r="O20" s="309">
        <f>SUMIFS(Adjustments!$G:$G,Adjustments!$H:$H,"2A",Adjustments!$I:$I,'Schedule 2A Adjustments'!$N$12,Adjustments!$J:$J,'Schedule 2A Adjustments'!A20)</f>
        <v>0</v>
      </c>
      <c r="P20" s="305">
        <f t="shared" si="3"/>
        <v>0</v>
      </c>
      <c r="Q20" s="68">
        <f>IFERROR(N20*'As-Filed Schedule 1'!$E$103,0)</f>
        <v>0</v>
      </c>
      <c r="R20" s="306">
        <f>IFERROR(P20*'Adjusted Schedule 1'!$E$104,0)</f>
        <v>0</v>
      </c>
      <c r="S20" s="68">
        <f t="shared" si="0"/>
        <v>0</v>
      </c>
      <c r="T20" s="306">
        <f t="shared" si="4"/>
        <v>0</v>
      </c>
      <c r="V20" s="119">
        <f>'As-Filed Schedule 2A'!N20</f>
        <v>0</v>
      </c>
      <c r="W20" s="309">
        <f>SUMIFS(Adjustments!$G:$G,Adjustments!$H:$H,"2A",Adjustments!$I:$I,'Schedule 2A Adjustments'!$V$12,Adjustments!$J:$J,'Schedule 2A Adjustments'!A20)</f>
        <v>0</v>
      </c>
      <c r="X20" s="322">
        <f t="shared" si="5"/>
        <v>0</v>
      </c>
      <c r="Y20" s="119">
        <f>'As-Filed Schedule 2A'!O20</f>
        <v>0</v>
      </c>
      <c r="Z20" s="309">
        <f>SUMIFS(Adjustments!$G:$G,Adjustments!$H:$H,"2A",Adjustments!$I:$I,'Schedule 2A Adjustments'!$Y$12,Adjustments!$J:$J,'Schedule 2A Adjustments'!A20)</f>
        <v>0</v>
      </c>
      <c r="AA20" s="322">
        <f t="shared" si="6"/>
        <v>0</v>
      </c>
    </row>
    <row r="21" spans="1:27" x14ac:dyDescent="0.35">
      <c r="A21" s="24">
        <v>7</v>
      </c>
      <c r="B21" s="514" t="str">
        <f>IF('As-Filed Schedule 2A'!B21:D21=0,"",'As-Filed Schedule 2A'!B21:D21)</f>
        <v/>
      </c>
      <c r="C21" s="514"/>
      <c r="D21" s="514"/>
      <c r="F21" s="117">
        <f>'As-Filed Schedule 2A'!F21</f>
        <v>0</v>
      </c>
      <c r="G21" s="309">
        <f>SUMIFS(Adjustments!$G:$G,Adjustments!$H:$H,"2A",Adjustments!$I:$I,'Schedule 2A Adjustments'!$F$12,Adjustments!$J:$J,'Schedule 2A Adjustments'!A21)</f>
        <v>0</v>
      </c>
      <c r="H21" s="305">
        <f t="shared" si="1"/>
        <v>0</v>
      </c>
      <c r="I21" s="68">
        <f>IFERROR(F21*'As-Filed Schedule 1'!$E$103,0)</f>
        <v>0</v>
      </c>
      <c r="J21" s="306">
        <f>IFERROR(H21*'Adjusted Schedule 1'!$E$104,0)</f>
        <v>0</v>
      </c>
      <c r="K21" s="68">
        <f t="shared" si="7"/>
        <v>0</v>
      </c>
      <c r="L21" s="306">
        <f t="shared" si="2"/>
        <v>0</v>
      </c>
      <c r="N21" s="117">
        <f>'As-Filed Schedule 2A'!J21</f>
        <v>0</v>
      </c>
      <c r="O21" s="309">
        <f>SUMIFS(Adjustments!$G:$G,Adjustments!$H:$H,"2A",Adjustments!$I:$I,'Schedule 2A Adjustments'!$N$12,Adjustments!$J:$J,'Schedule 2A Adjustments'!A21)</f>
        <v>0</v>
      </c>
      <c r="P21" s="305">
        <f t="shared" si="3"/>
        <v>0</v>
      </c>
      <c r="Q21" s="68">
        <f>IFERROR(N21*'As-Filed Schedule 1'!$E$103,0)</f>
        <v>0</v>
      </c>
      <c r="R21" s="306">
        <f>IFERROR(P21*'Adjusted Schedule 1'!$E$104,0)</f>
        <v>0</v>
      </c>
      <c r="S21" s="68">
        <f t="shared" si="0"/>
        <v>0</v>
      </c>
      <c r="T21" s="306">
        <f t="shared" si="4"/>
        <v>0</v>
      </c>
      <c r="V21" s="119">
        <f>'As-Filed Schedule 2A'!N21</f>
        <v>0</v>
      </c>
      <c r="W21" s="309">
        <f>SUMIFS(Adjustments!$G:$G,Adjustments!$H:$H,"2A",Adjustments!$I:$I,'Schedule 2A Adjustments'!$V$12,Adjustments!$J:$J,'Schedule 2A Adjustments'!A21)</f>
        <v>0</v>
      </c>
      <c r="X21" s="322">
        <f t="shared" si="5"/>
        <v>0</v>
      </c>
      <c r="Y21" s="119">
        <f>'As-Filed Schedule 2A'!O21</f>
        <v>0</v>
      </c>
      <c r="Z21" s="309">
        <f>SUMIFS(Adjustments!$G:$G,Adjustments!$H:$H,"2A",Adjustments!$I:$I,'Schedule 2A Adjustments'!$Y$12,Adjustments!$J:$J,'Schedule 2A Adjustments'!A21)</f>
        <v>0</v>
      </c>
      <c r="AA21" s="322">
        <f t="shared" si="6"/>
        <v>0</v>
      </c>
    </row>
    <row r="22" spans="1:27" x14ac:dyDescent="0.35">
      <c r="A22" s="24">
        <v>8</v>
      </c>
      <c r="B22" s="514" t="str">
        <f>IF('As-Filed Schedule 2A'!B22:D22=0,"",'As-Filed Schedule 2A'!B22:D22)</f>
        <v/>
      </c>
      <c r="C22" s="514"/>
      <c r="D22" s="514"/>
      <c r="F22" s="117">
        <f>'As-Filed Schedule 2A'!F22</f>
        <v>0</v>
      </c>
      <c r="G22" s="309">
        <f>SUMIFS(Adjustments!$G:$G,Adjustments!$H:$H,"2A",Adjustments!$I:$I,'Schedule 2A Adjustments'!$F$12,Adjustments!$J:$J,'Schedule 2A Adjustments'!A22)</f>
        <v>0</v>
      </c>
      <c r="H22" s="305">
        <f t="shared" si="1"/>
        <v>0</v>
      </c>
      <c r="I22" s="68">
        <f>IFERROR(F22*'As-Filed Schedule 1'!$E$103,0)</f>
        <v>0</v>
      </c>
      <c r="J22" s="306">
        <f>IFERROR(H22*'Adjusted Schedule 1'!$E$104,0)</f>
        <v>0</v>
      </c>
      <c r="K22" s="68">
        <f t="shared" si="7"/>
        <v>0</v>
      </c>
      <c r="L22" s="306">
        <f t="shared" si="2"/>
        <v>0</v>
      </c>
      <c r="N22" s="117">
        <f>'As-Filed Schedule 2A'!J22</f>
        <v>0</v>
      </c>
      <c r="O22" s="309">
        <f>SUMIFS(Adjustments!$G:$G,Adjustments!$H:$H,"2A",Adjustments!$I:$I,'Schedule 2A Adjustments'!$N$12,Adjustments!$J:$J,'Schedule 2A Adjustments'!A22)</f>
        <v>0</v>
      </c>
      <c r="P22" s="305">
        <f t="shared" si="3"/>
        <v>0</v>
      </c>
      <c r="Q22" s="68">
        <f>IFERROR(N22*'As-Filed Schedule 1'!$E$103,0)</f>
        <v>0</v>
      </c>
      <c r="R22" s="306">
        <f>IFERROR(P22*'Adjusted Schedule 1'!$E$104,0)</f>
        <v>0</v>
      </c>
      <c r="S22" s="68">
        <f t="shared" ref="S22:S72" si="8">SUM(N22,Q22)</f>
        <v>0</v>
      </c>
      <c r="T22" s="306">
        <f>SUM(P22,R22)</f>
        <v>0</v>
      </c>
      <c r="V22" s="119">
        <f>'As-Filed Schedule 2A'!N22</f>
        <v>0</v>
      </c>
      <c r="W22" s="309">
        <f>SUMIFS(Adjustments!$G:$G,Adjustments!$H:$H,"2A",Adjustments!$I:$I,'Schedule 2A Adjustments'!$V$12,Adjustments!$J:$J,'Schedule 2A Adjustments'!A22)</f>
        <v>0</v>
      </c>
      <c r="X22" s="322">
        <f t="shared" si="5"/>
        <v>0</v>
      </c>
      <c r="Y22" s="119">
        <f>'As-Filed Schedule 2A'!O22</f>
        <v>0</v>
      </c>
      <c r="Z22" s="309">
        <f>SUMIFS(Adjustments!$G:$G,Adjustments!$H:$H,"2A",Adjustments!$I:$I,'Schedule 2A Adjustments'!$Y$12,Adjustments!$J:$J,'Schedule 2A Adjustments'!A22)</f>
        <v>0</v>
      </c>
      <c r="AA22" s="322">
        <f t="shared" si="6"/>
        <v>0</v>
      </c>
    </row>
    <row r="23" spans="1:27" x14ac:dyDescent="0.35">
      <c r="A23" s="24">
        <v>9</v>
      </c>
      <c r="B23" s="514" t="str">
        <f>IF('As-Filed Schedule 2A'!B23:D23=0,"",'As-Filed Schedule 2A'!B23:D23)</f>
        <v/>
      </c>
      <c r="C23" s="514"/>
      <c r="D23" s="514"/>
      <c r="F23" s="117">
        <f>'As-Filed Schedule 2A'!F23</f>
        <v>0</v>
      </c>
      <c r="G23" s="309">
        <f>SUMIFS(Adjustments!$G:$G,Adjustments!$H:$H,"2A",Adjustments!$I:$I,'Schedule 2A Adjustments'!$F$12,Adjustments!$J:$J,'Schedule 2A Adjustments'!A23)</f>
        <v>0</v>
      </c>
      <c r="H23" s="305">
        <f t="shared" si="1"/>
        <v>0</v>
      </c>
      <c r="I23" s="68">
        <f>IFERROR(F23*'As-Filed Schedule 1'!$E$103,0)</f>
        <v>0</v>
      </c>
      <c r="J23" s="306">
        <f>IFERROR(H23*'Adjusted Schedule 1'!$E$104,0)</f>
        <v>0</v>
      </c>
      <c r="K23" s="68">
        <f t="shared" si="7"/>
        <v>0</v>
      </c>
      <c r="L23" s="306">
        <f t="shared" si="2"/>
        <v>0</v>
      </c>
      <c r="N23" s="117">
        <f>'As-Filed Schedule 2A'!J23</f>
        <v>0</v>
      </c>
      <c r="O23" s="309">
        <f>SUMIFS(Adjustments!$G:$G,Adjustments!$H:$H,"2A",Adjustments!$I:$I,'Schedule 2A Adjustments'!$N$12,Adjustments!$J:$J,'Schedule 2A Adjustments'!A23)</f>
        <v>0</v>
      </c>
      <c r="P23" s="305">
        <f t="shared" si="3"/>
        <v>0</v>
      </c>
      <c r="Q23" s="68">
        <f>IFERROR(N23*'As-Filed Schedule 1'!$E$103,0)</f>
        <v>0</v>
      </c>
      <c r="R23" s="306">
        <f>IFERROR(P23*'Adjusted Schedule 1'!$E$104,0)</f>
        <v>0</v>
      </c>
      <c r="S23" s="68">
        <f t="shared" si="8"/>
        <v>0</v>
      </c>
      <c r="T23" s="306">
        <f t="shared" si="4"/>
        <v>0</v>
      </c>
      <c r="V23" s="119">
        <f>'As-Filed Schedule 2A'!N23</f>
        <v>0</v>
      </c>
      <c r="W23" s="309">
        <f>SUMIFS(Adjustments!$G:$G,Adjustments!$H:$H,"2A",Adjustments!$I:$I,'Schedule 2A Adjustments'!$V$12,Adjustments!$J:$J,'Schedule 2A Adjustments'!A23)</f>
        <v>0</v>
      </c>
      <c r="X23" s="322">
        <f t="shared" si="5"/>
        <v>0</v>
      </c>
      <c r="Y23" s="119">
        <f>'As-Filed Schedule 2A'!O23</f>
        <v>0</v>
      </c>
      <c r="Z23" s="309">
        <f>SUMIFS(Adjustments!$G:$G,Adjustments!$H:$H,"2A",Adjustments!$I:$I,'Schedule 2A Adjustments'!$Y$12,Adjustments!$J:$J,'Schedule 2A Adjustments'!A23)</f>
        <v>0</v>
      </c>
      <c r="AA23" s="322">
        <f t="shared" si="6"/>
        <v>0</v>
      </c>
    </row>
    <row r="24" spans="1:27" x14ac:dyDescent="0.35">
      <c r="A24" s="24">
        <v>10</v>
      </c>
      <c r="B24" s="514" t="str">
        <f>IF('As-Filed Schedule 2A'!B24:D24=0,"",'As-Filed Schedule 2A'!B24:D24)</f>
        <v/>
      </c>
      <c r="C24" s="514"/>
      <c r="D24" s="514"/>
      <c r="F24" s="117">
        <f>'As-Filed Schedule 2A'!F24</f>
        <v>0</v>
      </c>
      <c r="G24" s="309">
        <f>SUMIFS(Adjustments!$G:$G,Adjustments!$H:$H,"2A",Adjustments!$I:$I,'Schedule 2A Adjustments'!$F$12,Adjustments!$J:$J,'Schedule 2A Adjustments'!A24)</f>
        <v>0</v>
      </c>
      <c r="H24" s="305">
        <f t="shared" si="1"/>
        <v>0</v>
      </c>
      <c r="I24" s="68">
        <f>IFERROR(F24*'As-Filed Schedule 1'!$E$103,0)</f>
        <v>0</v>
      </c>
      <c r="J24" s="306">
        <f>IFERROR(H24*'Adjusted Schedule 1'!$E$104,0)</f>
        <v>0</v>
      </c>
      <c r="K24" s="68">
        <f t="shared" si="7"/>
        <v>0</v>
      </c>
      <c r="L24" s="306">
        <f t="shared" si="2"/>
        <v>0</v>
      </c>
      <c r="N24" s="117">
        <f>'As-Filed Schedule 2A'!J24</f>
        <v>0</v>
      </c>
      <c r="O24" s="309">
        <f>SUMIFS(Adjustments!$G:$G,Adjustments!$H:$H,"2A",Adjustments!$I:$I,'Schedule 2A Adjustments'!$N$12,Adjustments!$J:$J,'Schedule 2A Adjustments'!A24)</f>
        <v>0</v>
      </c>
      <c r="P24" s="305">
        <f t="shared" si="3"/>
        <v>0</v>
      </c>
      <c r="Q24" s="68">
        <f>IFERROR(N24*'As-Filed Schedule 1'!$E$103,0)</f>
        <v>0</v>
      </c>
      <c r="R24" s="306">
        <f>IFERROR(P24*'Adjusted Schedule 1'!$E$104,0)</f>
        <v>0</v>
      </c>
      <c r="S24" s="68">
        <f t="shared" si="8"/>
        <v>0</v>
      </c>
      <c r="T24" s="306">
        <f t="shared" si="4"/>
        <v>0</v>
      </c>
      <c r="V24" s="119">
        <f>'As-Filed Schedule 2A'!N24</f>
        <v>0</v>
      </c>
      <c r="W24" s="309">
        <f>SUMIFS(Adjustments!$G:$G,Adjustments!$H:$H,"2A",Adjustments!$I:$I,'Schedule 2A Adjustments'!$V$12,Adjustments!$J:$J,'Schedule 2A Adjustments'!A24)</f>
        <v>0</v>
      </c>
      <c r="X24" s="322">
        <f t="shared" si="5"/>
        <v>0</v>
      </c>
      <c r="Y24" s="119">
        <f>'As-Filed Schedule 2A'!O24</f>
        <v>0</v>
      </c>
      <c r="Z24" s="309">
        <f>SUMIFS(Adjustments!$G:$G,Adjustments!$H:$H,"2A",Adjustments!$I:$I,'Schedule 2A Adjustments'!$Y$12,Adjustments!$J:$J,'Schedule 2A Adjustments'!A24)</f>
        <v>0</v>
      </c>
      <c r="AA24" s="322">
        <f t="shared" si="6"/>
        <v>0</v>
      </c>
    </row>
    <row r="25" spans="1:27" x14ac:dyDescent="0.35">
      <c r="A25" s="24">
        <v>11</v>
      </c>
      <c r="B25" s="514" t="str">
        <f>IF('As-Filed Schedule 2A'!B25:D25=0,"",'As-Filed Schedule 2A'!B25:D25)</f>
        <v/>
      </c>
      <c r="C25" s="514"/>
      <c r="D25" s="514"/>
      <c r="F25" s="117">
        <f>'As-Filed Schedule 2A'!F25</f>
        <v>0</v>
      </c>
      <c r="G25" s="309">
        <f>SUMIFS(Adjustments!$G:$G,Adjustments!$H:$H,"2A",Adjustments!$I:$I,'Schedule 2A Adjustments'!$F$12,Adjustments!$J:$J,'Schedule 2A Adjustments'!A25)</f>
        <v>0</v>
      </c>
      <c r="H25" s="305">
        <f t="shared" si="1"/>
        <v>0</v>
      </c>
      <c r="I25" s="68">
        <f>IFERROR(F25*'As-Filed Schedule 1'!$E$103,0)</f>
        <v>0</v>
      </c>
      <c r="J25" s="306">
        <f>IFERROR(H25*'Adjusted Schedule 1'!$E$104,0)</f>
        <v>0</v>
      </c>
      <c r="K25" s="68">
        <f t="shared" si="7"/>
        <v>0</v>
      </c>
      <c r="L25" s="306">
        <f t="shared" si="2"/>
        <v>0</v>
      </c>
      <c r="N25" s="117">
        <f>'As-Filed Schedule 2A'!J25</f>
        <v>0</v>
      </c>
      <c r="O25" s="309">
        <f>SUMIFS(Adjustments!$G:$G,Adjustments!$H:$H,"2A",Adjustments!$I:$I,'Schedule 2A Adjustments'!$N$12,Adjustments!$J:$J,'Schedule 2A Adjustments'!A25)</f>
        <v>0</v>
      </c>
      <c r="P25" s="305">
        <f t="shared" si="3"/>
        <v>0</v>
      </c>
      <c r="Q25" s="68">
        <f>IFERROR(N25*'As-Filed Schedule 1'!$E$103,0)</f>
        <v>0</v>
      </c>
      <c r="R25" s="306">
        <f>IFERROR(P25*'Adjusted Schedule 1'!$E$104,0)</f>
        <v>0</v>
      </c>
      <c r="S25" s="68">
        <f t="shared" si="8"/>
        <v>0</v>
      </c>
      <c r="T25" s="306">
        <f t="shared" si="4"/>
        <v>0</v>
      </c>
      <c r="V25" s="119">
        <f>'As-Filed Schedule 2A'!N25</f>
        <v>0</v>
      </c>
      <c r="W25" s="309">
        <f>SUMIFS(Adjustments!$G:$G,Adjustments!$H:$H,"2A",Adjustments!$I:$I,'Schedule 2A Adjustments'!$V$12,Adjustments!$J:$J,'Schedule 2A Adjustments'!A25)</f>
        <v>0</v>
      </c>
      <c r="X25" s="322">
        <f t="shared" si="5"/>
        <v>0</v>
      </c>
      <c r="Y25" s="119">
        <f>'As-Filed Schedule 2A'!O25</f>
        <v>0</v>
      </c>
      <c r="Z25" s="309">
        <f>SUMIFS(Adjustments!$G:$G,Adjustments!$H:$H,"2A",Adjustments!$I:$I,'Schedule 2A Adjustments'!$Y$12,Adjustments!$J:$J,'Schedule 2A Adjustments'!A25)</f>
        <v>0</v>
      </c>
      <c r="AA25" s="322">
        <f t="shared" si="6"/>
        <v>0</v>
      </c>
    </row>
    <row r="26" spans="1:27" x14ac:dyDescent="0.35">
      <c r="A26" s="24">
        <v>12</v>
      </c>
      <c r="B26" s="514" t="str">
        <f>IF('As-Filed Schedule 2A'!B26:D26=0,"",'As-Filed Schedule 2A'!B26:D26)</f>
        <v/>
      </c>
      <c r="C26" s="514"/>
      <c r="D26" s="514"/>
      <c r="F26" s="117">
        <f>'As-Filed Schedule 2A'!F26</f>
        <v>0</v>
      </c>
      <c r="G26" s="309">
        <f>SUMIFS(Adjustments!$G:$G,Adjustments!$H:$H,"2A",Adjustments!$I:$I,'Schedule 2A Adjustments'!$F$12,Adjustments!$J:$J,'Schedule 2A Adjustments'!A26)</f>
        <v>0</v>
      </c>
      <c r="H26" s="305">
        <f t="shared" si="1"/>
        <v>0</v>
      </c>
      <c r="I26" s="68">
        <f>IFERROR(F26*'As-Filed Schedule 1'!$E$103,0)</f>
        <v>0</v>
      </c>
      <c r="J26" s="306">
        <f>IFERROR(H26*'Adjusted Schedule 1'!$E$104,0)</f>
        <v>0</v>
      </c>
      <c r="K26" s="68">
        <f t="shared" si="7"/>
        <v>0</v>
      </c>
      <c r="L26" s="306">
        <f t="shared" si="2"/>
        <v>0</v>
      </c>
      <c r="N26" s="117">
        <f>'As-Filed Schedule 2A'!J26</f>
        <v>0</v>
      </c>
      <c r="O26" s="309">
        <f>SUMIFS(Adjustments!$G:$G,Adjustments!$H:$H,"2A",Adjustments!$I:$I,'Schedule 2A Adjustments'!$N$12,Adjustments!$J:$J,'Schedule 2A Adjustments'!A26)</f>
        <v>0</v>
      </c>
      <c r="P26" s="305">
        <f t="shared" si="3"/>
        <v>0</v>
      </c>
      <c r="Q26" s="68">
        <f>IFERROR(N26*'As-Filed Schedule 1'!$E$103,0)</f>
        <v>0</v>
      </c>
      <c r="R26" s="306">
        <f>IFERROR(P26*'Adjusted Schedule 1'!$E$104,0)</f>
        <v>0</v>
      </c>
      <c r="S26" s="68">
        <f t="shared" si="8"/>
        <v>0</v>
      </c>
      <c r="T26" s="306">
        <f t="shared" si="4"/>
        <v>0</v>
      </c>
      <c r="V26" s="119">
        <f>'As-Filed Schedule 2A'!N26</f>
        <v>0</v>
      </c>
      <c r="W26" s="309">
        <f>SUMIFS(Adjustments!$G:$G,Adjustments!$H:$H,"2A",Adjustments!$I:$I,'Schedule 2A Adjustments'!$V$12,Adjustments!$J:$J,'Schedule 2A Adjustments'!A26)</f>
        <v>0</v>
      </c>
      <c r="X26" s="322">
        <f t="shared" si="5"/>
        <v>0</v>
      </c>
      <c r="Y26" s="119">
        <f>'As-Filed Schedule 2A'!O26</f>
        <v>0</v>
      </c>
      <c r="Z26" s="309">
        <f>SUMIFS(Adjustments!$G:$G,Adjustments!$H:$H,"2A",Adjustments!$I:$I,'Schedule 2A Adjustments'!$Y$12,Adjustments!$J:$J,'Schedule 2A Adjustments'!A26)</f>
        <v>0</v>
      </c>
      <c r="AA26" s="322">
        <f t="shared" si="6"/>
        <v>0</v>
      </c>
    </row>
    <row r="27" spans="1:27" x14ac:dyDescent="0.35">
      <c r="A27" s="24">
        <v>13</v>
      </c>
      <c r="B27" s="514" t="str">
        <f>IF('As-Filed Schedule 2A'!B27:D27=0,"",'As-Filed Schedule 2A'!B27:D27)</f>
        <v/>
      </c>
      <c r="C27" s="514"/>
      <c r="D27" s="514"/>
      <c r="F27" s="117">
        <f>'As-Filed Schedule 2A'!F27</f>
        <v>0</v>
      </c>
      <c r="G27" s="309">
        <f>SUMIFS(Adjustments!$G:$G,Adjustments!$H:$H,"2A",Adjustments!$I:$I,'Schedule 2A Adjustments'!$F$12,Adjustments!$J:$J,'Schedule 2A Adjustments'!A27)</f>
        <v>0</v>
      </c>
      <c r="H27" s="305">
        <f t="shared" si="1"/>
        <v>0</v>
      </c>
      <c r="I27" s="68">
        <f>IFERROR(F27*'As-Filed Schedule 1'!$E$103,0)</f>
        <v>0</v>
      </c>
      <c r="J27" s="306">
        <f>IFERROR(H27*'Adjusted Schedule 1'!$E$104,0)</f>
        <v>0</v>
      </c>
      <c r="K27" s="68">
        <f t="shared" si="7"/>
        <v>0</v>
      </c>
      <c r="L27" s="306">
        <f t="shared" si="2"/>
        <v>0</v>
      </c>
      <c r="N27" s="117">
        <f>'As-Filed Schedule 2A'!J27</f>
        <v>0</v>
      </c>
      <c r="O27" s="309">
        <f>SUMIFS(Adjustments!$G:$G,Adjustments!$H:$H,"2A",Adjustments!$I:$I,'Schedule 2A Adjustments'!$N$12,Adjustments!$J:$J,'Schedule 2A Adjustments'!A27)</f>
        <v>0</v>
      </c>
      <c r="P27" s="305">
        <f t="shared" si="3"/>
        <v>0</v>
      </c>
      <c r="Q27" s="68">
        <f>IFERROR(N27*'As-Filed Schedule 1'!$E$103,0)</f>
        <v>0</v>
      </c>
      <c r="R27" s="306">
        <f>IFERROR(P27*'Adjusted Schedule 1'!$E$104,0)</f>
        <v>0</v>
      </c>
      <c r="S27" s="68">
        <f t="shared" si="8"/>
        <v>0</v>
      </c>
      <c r="T27" s="306">
        <f t="shared" si="4"/>
        <v>0</v>
      </c>
      <c r="V27" s="119">
        <f>'As-Filed Schedule 2A'!N27</f>
        <v>0</v>
      </c>
      <c r="W27" s="309">
        <f>SUMIFS(Adjustments!$G:$G,Adjustments!$H:$H,"2A",Adjustments!$I:$I,'Schedule 2A Adjustments'!$V$12,Adjustments!$J:$J,'Schedule 2A Adjustments'!A27)</f>
        <v>0</v>
      </c>
      <c r="X27" s="322">
        <f t="shared" si="5"/>
        <v>0</v>
      </c>
      <c r="Y27" s="119">
        <f>'As-Filed Schedule 2A'!O27</f>
        <v>0</v>
      </c>
      <c r="Z27" s="309">
        <f>SUMIFS(Adjustments!$G:$G,Adjustments!$H:$H,"2A",Adjustments!$I:$I,'Schedule 2A Adjustments'!$Y$12,Adjustments!$J:$J,'Schedule 2A Adjustments'!A27)</f>
        <v>0</v>
      </c>
      <c r="AA27" s="322">
        <f t="shared" si="6"/>
        <v>0</v>
      </c>
    </row>
    <row r="28" spans="1:27" x14ac:dyDescent="0.35">
      <c r="A28" s="24">
        <v>14</v>
      </c>
      <c r="B28" s="514" t="str">
        <f>IF('As-Filed Schedule 2A'!B28:D28=0,"",'As-Filed Schedule 2A'!B28:D28)</f>
        <v/>
      </c>
      <c r="C28" s="514"/>
      <c r="D28" s="514"/>
      <c r="F28" s="117">
        <f>'As-Filed Schedule 2A'!F28</f>
        <v>0</v>
      </c>
      <c r="G28" s="309">
        <f>SUMIFS(Adjustments!$G:$G,Adjustments!$H:$H,"2A",Adjustments!$I:$I,'Schedule 2A Adjustments'!$F$12,Adjustments!$J:$J,'Schedule 2A Adjustments'!A28)</f>
        <v>0</v>
      </c>
      <c r="H28" s="305">
        <f t="shared" si="1"/>
        <v>0</v>
      </c>
      <c r="I28" s="68">
        <f>IFERROR(F28*'As-Filed Schedule 1'!$E$103,0)</f>
        <v>0</v>
      </c>
      <c r="J28" s="306">
        <f>IFERROR(H28*'Adjusted Schedule 1'!$E$104,0)</f>
        <v>0</v>
      </c>
      <c r="K28" s="68">
        <f t="shared" si="7"/>
        <v>0</v>
      </c>
      <c r="L28" s="306">
        <f t="shared" si="2"/>
        <v>0</v>
      </c>
      <c r="N28" s="117">
        <f>'As-Filed Schedule 2A'!J28</f>
        <v>0</v>
      </c>
      <c r="O28" s="309">
        <f>SUMIFS(Adjustments!$G:$G,Adjustments!$H:$H,"2A",Adjustments!$I:$I,'Schedule 2A Adjustments'!$N$12,Adjustments!$J:$J,'Schedule 2A Adjustments'!A28)</f>
        <v>0</v>
      </c>
      <c r="P28" s="305">
        <f t="shared" si="3"/>
        <v>0</v>
      </c>
      <c r="Q28" s="68">
        <f>IFERROR(N28*'As-Filed Schedule 1'!$E$103,0)</f>
        <v>0</v>
      </c>
      <c r="R28" s="306">
        <f>IFERROR(P28*'Adjusted Schedule 1'!$E$104,0)</f>
        <v>0</v>
      </c>
      <c r="S28" s="68">
        <f t="shared" si="8"/>
        <v>0</v>
      </c>
      <c r="T28" s="306">
        <f t="shared" si="4"/>
        <v>0</v>
      </c>
      <c r="V28" s="119">
        <f>'As-Filed Schedule 2A'!N28</f>
        <v>0</v>
      </c>
      <c r="W28" s="309">
        <f>SUMIFS(Adjustments!$G:$G,Adjustments!$H:$H,"2A",Adjustments!$I:$I,'Schedule 2A Adjustments'!$V$12,Adjustments!$J:$J,'Schedule 2A Adjustments'!A28)</f>
        <v>0</v>
      </c>
      <c r="X28" s="322">
        <f t="shared" si="5"/>
        <v>0</v>
      </c>
      <c r="Y28" s="119">
        <f>'As-Filed Schedule 2A'!O28</f>
        <v>0</v>
      </c>
      <c r="Z28" s="309">
        <f>SUMIFS(Adjustments!$G:$G,Adjustments!$H:$H,"2A",Adjustments!$I:$I,'Schedule 2A Adjustments'!$Y$12,Adjustments!$J:$J,'Schedule 2A Adjustments'!A28)</f>
        <v>0</v>
      </c>
      <c r="AA28" s="322">
        <f t="shared" si="6"/>
        <v>0</v>
      </c>
    </row>
    <row r="29" spans="1:27" x14ac:dyDescent="0.35">
      <c r="A29" s="24">
        <v>15</v>
      </c>
      <c r="B29" s="514" t="str">
        <f>IF('As-Filed Schedule 2A'!B29:D29=0,"",'As-Filed Schedule 2A'!B29:D29)</f>
        <v/>
      </c>
      <c r="C29" s="514"/>
      <c r="D29" s="514"/>
      <c r="F29" s="117">
        <f>'As-Filed Schedule 2A'!F29</f>
        <v>0</v>
      </c>
      <c r="G29" s="309">
        <f>SUMIFS(Adjustments!$G:$G,Adjustments!$H:$H,"2A",Adjustments!$I:$I,'Schedule 2A Adjustments'!$F$12,Adjustments!$J:$J,'Schedule 2A Adjustments'!A29)</f>
        <v>0</v>
      </c>
      <c r="H29" s="305">
        <f t="shared" si="1"/>
        <v>0</v>
      </c>
      <c r="I29" s="68">
        <f>IFERROR(F29*'As-Filed Schedule 1'!$E$103,0)</f>
        <v>0</v>
      </c>
      <c r="J29" s="306">
        <f>IFERROR(H29*'Adjusted Schedule 1'!$E$104,0)</f>
        <v>0</v>
      </c>
      <c r="K29" s="68">
        <f t="shared" si="7"/>
        <v>0</v>
      </c>
      <c r="L29" s="306">
        <f t="shared" si="2"/>
        <v>0</v>
      </c>
      <c r="N29" s="117">
        <f>'As-Filed Schedule 2A'!J29</f>
        <v>0</v>
      </c>
      <c r="O29" s="309">
        <f>SUMIFS(Adjustments!$G:$G,Adjustments!$H:$H,"2A",Adjustments!$I:$I,'Schedule 2A Adjustments'!$N$12,Adjustments!$J:$J,'Schedule 2A Adjustments'!A29)</f>
        <v>0</v>
      </c>
      <c r="P29" s="305">
        <f t="shared" si="3"/>
        <v>0</v>
      </c>
      <c r="Q29" s="68">
        <f>IFERROR(N29*'As-Filed Schedule 1'!$E$103,0)</f>
        <v>0</v>
      </c>
      <c r="R29" s="306">
        <f>IFERROR(P29*'Adjusted Schedule 1'!$E$104,0)</f>
        <v>0</v>
      </c>
      <c r="S29" s="68">
        <f t="shared" si="8"/>
        <v>0</v>
      </c>
      <c r="T29" s="306">
        <f t="shared" si="4"/>
        <v>0</v>
      </c>
      <c r="V29" s="119">
        <f>'As-Filed Schedule 2A'!N29</f>
        <v>0</v>
      </c>
      <c r="W29" s="309">
        <f>SUMIFS(Adjustments!$G:$G,Adjustments!$H:$H,"2A",Adjustments!$I:$I,'Schedule 2A Adjustments'!$V$12,Adjustments!$J:$J,'Schedule 2A Adjustments'!A29)</f>
        <v>0</v>
      </c>
      <c r="X29" s="322">
        <f t="shared" si="5"/>
        <v>0</v>
      </c>
      <c r="Y29" s="119">
        <f>'As-Filed Schedule 2A'!O29</f>
        <v>0</v>
      </c>
      <c r="Z29" s="309">
        <f>SUMIFS(Adjustments!$G:$G,Adjustments!$H:$H,"2A",Adjustments!$I:$I,'Schedule 2A Adjustments'!$Y$12,Adjustments!$J:$J,'Schedule 2A Adjustments'!A29)</f>
        <v>0</v>
      </c>
      <c r="AA29" s="322">
        <f t="shared" si="6"/>
        <v>0</v>
      </c>
    </row>
    <row r="30" spans="1:27" x14ac:dyDescent="0.35">
      <c r="A30" s="24">
        <v>16</v>
      </c>
      <c r="B30" s="514" t="str">
        <f>IF('As-Filed Schedule 2A'!B30:D30=0,"",'As-Filed Schedule 2A'!B30:D30)</f>
        <v/>
      </c>
      <c r="C30" s="514"/>
      <c r="D30" s="514"/>
      <c r="F30" s="117">
        <f>'As-Filed Schedule 2A'!F30</f>
        <v>0</v>
      </c>
      <c r="G30" s="309">
        <f>SUMIFS(Adjustments!$G:$G,Adjustments!$H:$H,"2A",Adjustments!$I:$I,'Schedule 2A Adjustments'!$F$12,Adjustments!$J:$J,'Schedule 2A Adjustments'!A30)</f>
        <v>0</v>
      </c>
      <c r="H30" s="305">
        <f t="shared" si="1"/>
        <v>0</v>
      </c>
      <c r="I30" s="68">
        <f>IFERROR(F30*'As-Filed Schedule 1'!$E$103,0)</f>
        <v>0</v>
      </c>
      <c r="J30" s="306">
        <f>IFERROR(H30*'Adjusted Schedule 1'!$E$104,0)</f>
        <v>0</v>
      </c>
      <c r="K30" s="68">
        <f t="shared" si="7"/>
        <v>0</v>
      </c>
      <c r="L30" s="306">
        <f t="shared" si="2"/>
        <v>0</v>
      </c>
      <c r="N30" s="117">
        <f>'As-Filed Schedule 2A'!J30</f>
        <v>0</v>
      </c>
      <c r="O30" s="309">
        <f>SUMIFS(Adjustments!$G:$G,Adjustments!$H:$H,"2A",Adjustments!$I:$I,'Schedule 2A Adjustments'!$N$12,Adjustments!$J:$J,'Schedule 2A Adjustments'!A30)</f>
        <v>0</v>
      </c>
      <c r="P30" s="305">
        <f t="shared" si="3"/>
        <v>0</v>
      </c>
      <c r="Q30" s="68">
        <f>IFERROR(N30*'As-Filed Schedule 1'!$E$103,0)</f>
        <v>0</v>
      </c>
      <c r="R30" s="306">
        <f>IFERROR(P30*'Adjusted Schedule 1'!$E$104,0)</f>
        <v>0</v>
      </c>
      <c r="S30" s="68">
        <f t="shared" si="8"/>
        <v>0</v>
      </c>
      <c r="T30" s="306">
        <f t="shared" si="4"/>
        <v>0</v>
      </c>
      <c r="V30" s="119">
        <f>'As-Filed Schedule 2A'!N30</f>
        <v>0</v>
      </c>
      <c r="W30" s="309">
        <f>SUMIFS(Adjustments!$G:$G,Adjustments!$H:$H,"2A",Adjustments!$I:$I,'Schedule 2A Adjustments'!$V$12,Adjustments!$J:$J,'Schedule 2A Adjustments'!A30)</f>
        <v>0</v>
      </c>
      <c r="X30" s="322">
        <f t="shared" si="5"/>
        <v>0</v>
      </c>
      <c r="Y30" s="119">
        <f>'As-Filed Schedule 2A'!O30</f>
        <v>0</v>
      </c>
      <c r="Z30" s="309">
        <f>SUMIFS(Adjustments!$G:$G,Adjustments!$H:$H,"2A",Adjustments!$I:$I,'Schedule 2A Adjustments'!$Y$12,Adjustments!$J:$J,'Schedule 2A Adjustments'!A30)</f>
        <v>0</v>
      </c>
      <c r="AA30" s="322">
        <f t="shared" si="6"/>
        <v>0</v>
      </c>
    </row>
    <row r="31" spans="1:27" x14ac:dyDescent="0.35">
      <c r="A31" s="24">
        <v>17</v>
      </c>
      <c r="B31" s="514" t="str">
        <f>IF('As-Filed Schedule 2A'!B31:D31=0,"",'As-Filed Schedule 2A'!B31:D31)</f>
        <v/>
      </c>
      <c r="C31" s="514"/>
      <c r="D31" s="514"/>
      <c r="F31" s="117">
        <f>'As-Filed Schedule 2A'!F31</f>
        <v>0</v>
      </c>
      <c r="G31" s="309">
        <f>SUMIFS(Adjustments!$G:$G,Adjustments!$H:$H,"2A",Adjustments!$I:$I,'Schedule 2A Adjustments'!$F$12,Adjustments!$J:$J,'Schedule 2A Adjustments'!A31)</f>
        <v>0</v>
      </c>
      <c r="H31" s="305">
        <f t="shared" si="1"/>
        <v>0</v>
      </c>
      <c r="I31" s="68">
        <f>IFERROR(F31*'As-Filed Schedule 1'!$E$103,0)</f>
        <v>0</v>
      </c>
      <c r="J31" s="306">
        <f>IFERROR(H31*'Adjusted Schedule 1'!$E$104,0)</f>
        <v>0</v>
      </c>
      <c r="K31" s="68">
        <f t="shared" si="7"/>
        <v>0</v>
      </c>
      <c r="L31" s="306">
        <f t="shared" si="2"/>
        <v>0</v>
      </c>
      <c r="N31" s="117">
        <f>'As-Filed Schedule 2A'!J31</f>
        <v>0</v>
      </c>
      <c r="O31" s="309">
        <f>SUMIFS(Adjustments!$G:$G,Adjustments!$H:$H,"2A",Adjustments!$I:$I,'Schedule 2A Adjustments'!$N$12,Adjustments!$J:$J,'Schedule 2A Adjustments'!A31)</f>
        <v>0</v>
      </c>
      <c r="P31" s="305">
        <f t="shared" si="3"/>
        <v>0</v>
      </c>
      <c r="Q31" s="68">
        <f>IFERROR(N31*'As-Filed Schedule 1'!$E$103,0)</f>
        <v>0</v>
      </c>
      <c r="R31" s="306">
        <f>IFERROR(P31*'Adjusted Schedule 1'!$E$104,0)</f>
        <v>0</v>
      </c>
      <c r="S31" s="68">
        <f t="shared" si="8"/>
        <v>0</v>
      </c>
      <c r="T31" s="306">
        <f t="shared" si="4"/>
        <v>0</v>
      </c>
      <c r="V31" s="119">
        <f>'As-Filed Schedule 2A'!N31</f>
        <v>0</v>
      </c>
      <c r="W31" s="309">
        <f>SUMIFS(Adjustments!$G:$G,Adjustments!$H:$H,"2A",Adjustments!$I:$I,'Schedule 2A Adjustments'!$V$12,Adjustments!$J:$J,'Schedule 2A Adjustments'!A31)</f>
        <v>0</v>
      </c>
      <c r="X31" s="322">
        <f t="shared" si="5"/>
        <v>0</v>
      </c>
      <c r="Y31" s="119">
        <f>'As-Filed Schedule 2A'!O31</f>
        <v>0</v>
      </c>
      <c r="Z31" s="309">
        <f>SUMIFS(Adjustments!$G:$G,Adjustments!$H:$H,"2A",Adjustments!$I:$I,'Schedule 2A Adjustments'!$Y$12,Adjustments!$J:$J,'Schedule 2A Adjustments'!A31)</f>
        <v>0</v>
      </c>
      <c r="AA31" s="322">
        <f t="shared" si="6"/>
        <v>0</v>
      </c>
    </row>
    <row r="32" spans="1:27" x14ac:dyDescent="0.35">
      <c r="A32" s="24">
        <v>18</v>
      </c>
      <c r="B32" s="514" t="str">
        <f>IF('As-Filed Schedule 2A'!B32:D32=0,"",'As-Filed Schedule 2A'!B32:D32)</f>
        <v/>
      </c>
      <c r="C32" s="514"/>
      <c r="D32" s="514"/>
      <c r="F32" s="117">
        <f>'As-Filed Schedule 2A'!F32</f>
        <v>0</v>
      </c>
      <c r="G32" s="309">
        <f>SUMIFS(Adjustments!$G:$G,Adjustments!$H:$H,"2A",Adjustments!$I:$I,'Schedule 2A Adjustments'!$F$12,Adjustments!$J:$J,'Schedule 2A Adjustments'!A32)</f>
        <v>0</v>
      </c>
      <c r="H32" s="305">
        <f t="shared" si="1"/>
        <v>0</v>
      </c>
      <c r="I32" s="68">
        <f>IFERROR(F32*'As-Filed Schedule 1'!$E$103,0)</f>
        <v>0</v>
      </c>
      <c r="J32" s="306">
        <f>IFERROR(H32*'Adjusted Schedule 1'!$E$104,0)</f>
        <v>0</v>
      </c>
      <c r="K32" s="68">
        <f t="shared" si="7"/>
        <v>0</v>
      </c>
      <c r="L32" s="306">
        <f t="shared" si="2"/>
        <v>0</v>
      </c>
      <c r="N32" s="117">
        <f>'As-Filed Schedule 2A'!J32</f>
        <v>0</v>
      </c>
      <c r="O32" s="309">
        <f>SUMIFS(Adjustments!$G:$G,Adjustments!$H:$H,"2A",Adjustments!$I:$I,'Schedule 2A Adjustments'!$N$12,Adjustments!$J:$J,'Schedule 2A Adjustments'!A32)</f>
        <v>0</v>
      </c>
      <c r="P32" s="305">
        <f t="shared" si="3"/>
        <v>0</v>
      </c>
      <c r="Q32" s="68">
        <f>IFERROR(N32*'As-Filed Schedule 1'!$E$103,0)</f>
        <v>0</v>
      </c>
      <c r="R32" s="306">
        <f>IFERROR(P32*'Adjusted Schedule 1'!$E$104,0)</f>
        <v>0</v>
      </c>
      <c r="S32" s="68">
        <f t="shared" si="8"/>
        <v>0</v>
      </c>
      <c r="T32" s="306">
        <f t="shared" si="4"/>
        <v>0</v>
      </c>
      <c r="V32" s="119">
        <f>'As-Filed Schedule 2A'!N32</f>
        <v>0</v>
      </c>
      <c r="W32" s="309">
        <f>SUMIFS(Adjustments!$G:$G,Adjustments!$H:$H,"2A",Adjustments!$I:$I,'Schedule 2A Adjustments'!$V$12,Adjustments!$J:$J,'Schedule 2A Adjustments'!A32)</f>
        <v>0</v>
      </c>
      <c r="X32" s="322">
        <f t="shared" si="5"/>
        <v>0</v>
      </c>
      <c r="Y32" s="119">
        <f>'As-Filed Schedule 2A'!O32</f>
        <v>0</v>
      </c>
      <c r="Z32" s="309">
        <f>SUMIFS(Adjustments!$G:$G,Adjustments!$H:$H,"2A",Adjustments!$I:$I,'Schedule 2A Adjustments'!$Y$12,Adjustments!$J:$J,'Schedule 2A Adjustments'!A32)</f>
        <v>0</v>
      </c>
      <c r="AA32" s="322">
        <f t="shared" si="6"/>
        <v>0</v>
      </c>
    </row>
    <row r="33" spans="1:27" x14ac:dyDescent="0.35">
      <c r="A33" s="24">
        <v>19</v>
      </c>
      <c r="B33" s="514" t="str">
        <f>IF('As-Filed Schedule 2A'!B33:D33=0,"",'As-Filed Schedule 2A'!B33:D33)</f>
        <v/>
      </c>
      <c r="C33" s="514"/>
      <c r="D33" s="514"/>
      <c r="F33" s="117">
        <f>'As-Filed Schedule 2A'!F33</f>
        <v>0</v>
      </c>
      <c r="G33" s="309">
        <f>SUMIFS(Adjustments!$G:$G,Adjustments!$H:$H,"2A",Adjustments!$I:$I,'Schedule 2A Adjustments'!$F$12,Adjustments!$J:$J,'Schedule 2A Adjustments'!A33)</f>
        <v>0</v>
      </c>
      <c r="H33" s="305">
        <f t="shared" si="1"/>
        <v>0</v>
      </c>
      <c r="I33" s="68">
        <f>IFERROR(F33*'As-Filed Schedule 1'!$E$103,0)</f>
        <v>0</v>
      </c>
      <c r="J33" s="306">
        <f>IFERROR(H33*'Adjusted Schedule 1'!$E$104,0)</f>
        <v>0</v>
      </c>
      <c r="K33" s="68">
        <f t="shared" si="7"/>
        <v>0</v>
      </c>
      <c r="L33" s="306">
        <f t="shared" si="2"/>
        <v>0</v>
      </c>
      <c r="N33" s="117">
        <f>'As-Filed Schedule 2A'!J33</f>
        <v>0</v>
      </c>
      <c r="O33" s="309">
        <f>SUMIFS(Adjustments!$G:$G,Adjustments!$H:$H,"2A",Adjustments!$I:$I,'Schedule 2A Adjustments'!$N$12,Adjustments!$J:$J,'Schedule 2A Adjustments'!A33)</f>
        <v>0</v>
      </c>
      <c r="P33" s="305">
        <f t="shared" si="3"/>
        <v>0</v>
      </c>
      <c r="Q33" s="68">
        <f>IFERROR(N33*'As-Filed Schedule 1'!$E$103,0)</f>
        <v>0</v>
      </c>
      <c r="R33" s="306">
        <f>IFERROR(P33*'Adjusted Schedule 1'!$E$104,0)</f>
        <v>0</v>
      </c>
      <c r="S33" s="68">
        <f t="shared" si="8"/>
        <v>0</v>
      </c>
      <c r="T33" s="306">
        <f t="shared" si="4"/>
        <v>0</v>
      </c>
      <c r="V33" s="119">
        <f>'As-Filed Schedule 2A'!N33</f>
        <v>0</v>
      </c>
      <c r="W33" s="309">
        <f>SUMIFS(Adjustments!$G:$G,Adjustments!$H:$H,"2A",Adjustments!$I:$I,'Schedule 2A Adjustments'!$V$12,Adjustments!$J:$J,'Schedule 2A Adjustments'!A33)</f>
        <v>0</v>
      </c>
      <c r="X33" s="322">
        <f t="shared" si="5"/>
        <v>0</v>
      </c>
      <c r="Y33" s="119">
        <f>'As-Filed Schedule 2A'!O33</f>
        <v>0</v>
      </c>
      <c r="Z33" s="309">
        <f>SUMIFS(Adjustments!$G:$G,Adjustments!$H:$H,"2A",Adjustments!$I:$I,'Schedule 2A Adjustments'!$Y$12,Adjustments!$J:$J,'Schedule 2A Adjustments'!A33)</f>
        <v>0</v>
      </c>
      <c r="AA33" s="322">
        <f t="shared" si="6"/>
        <v>0</v>
      </c>
    </row>
    <row r="34" spans="1:27" x14ac:dyDescent="0.35">
      <c r="A34" s="24">
        <v>20</v>
      </c>
      <c r="B34" s="514" t="str">
        <f>IF('As-Filed Schedule 2A'!B34:D34=0,"",'As-Filed Schedule 2A'!B34:D34)</f>
        <v/>
      </c>
      <c r="C34" s="514"/>
      <c r="D34" s="514"/>
      <c r="F34" s="117">
        <f>'As-Filed Schedule 2A'!F34</f>
        <v>0</v>
      </c>
      <c r="G34" s="309">
        <f>SUMIFS(Adjustments!$G:$G,Adjustments!$H:$H,"2A",Adjustments!$I:$I,'Schedule 2A Adjustments'!$F$12,Adjustments!$J:$J,'Schedule 2A Adjustments'!A34)</f>
        <v>0</v>
      </c>
      <c r="H34" s="305">
        <f t="shared" si="1"/>
        <v>0</v>
      </c>
      <c r="I34" s="68">
        <f>IFERROR(F34*'As-Filed Schedule 1'!$E$103,0)</f>
        <v>0</v>
      </c>
      <c r="J34" s="306">
        <f>IFERROR(H34*'Adjusted Schedule 1'!$E$104,0)</f>
        <v>0</v>
      </c>
      <c r="K34" s="68">
        <f t="shared" si="7"/>
        <v>0</v>
      </c>
      <c r="L34" s="306">
        <f t="shared" si="2"/>
        <v>0</v>
      </c>
      <c r="N34" s="117">
        <f>'As-Filed Schedule 2A'!J34</f>
        <v>0</v>
      </c>
      <c r="O34" s="309">
        <f>SUMIFS(Adjustments!$G:$G,Adjustments!$H:$H,"2A",Adjustments!$I:$I,'Schedule 2A Adjustments'!$N$12,Adjustments!$J:$J,'Schedule 2A Adjustments'!A34)</f>
        <v>0</v>
      </c>
      <c r="P34" s="305">
        <f t="shared" si="3"/>
        <v>0</v>
      </c>
      <c r="Q34" s="68">
        <f>IFERROR(N34*'As-Filed Schedule 1'!$E$103,0)</f>
        <v>0</v>
      </c>
      <c r="R34" s="306">
        <f>IFERROR(P34*'Adjusted Schedule 1'!$E$104,0)</f>
        <v>0</v>
      </c>
      <c r="S34" s="68">
        <f t="shared" si="8"/>
        <v>0</v>
      </c>
      <c r="T34" s="306">
        <f t="shared" si="4"/>
        <v>0</v>
      </c>
      <c r="V34" s="119">
        <f>'As-Filed Schedule 2A'!N34</f>
        <v>0</v>
      </c>
      <c r="W34" s="309">
        <f>SUMIFS(Adjustments!$G:$G,Adjustments!$H:$H,"2A",Adjustments!$I:$I,'Schedule 2A Adjustments'!$V$12,Adjustments!$J:$J,'Schedule 2A Adjustments'!A34)</f>
        <v>0</v>
      </c>
      <c r="X34" s="322">
        <f t="shared" si="5"/>
        <v>0</v>
      </c>
      <c r="Y34" s="119">
        <f>'As-Filed Schedule 2A'!O34</f>
        <v>0</v>
      </c>
      <c r="Z34" s="309">
        <f>SUMIFS(Adjustments!$G:$G,Adjustments!$H:$H,"2A",Adjustments!$I:$I,'Schedule 2A Adjustments'!$Y$12,Adjustments!$J:$J,'Schedule 2A Adjustments'!A34)</f>
        <v>0</v>
      </c>
      <c r="AA34" s="322">
        <f t="shared" si="6"/>
        <v>0</v>
      </c>
    </row>
    <row r="35" spans="1:27" x14ac:dyDescent="0.35">
      <c r="A35" s="24">
        <v>21</v>
      </c>
      <c r="B35" s="514" t="str">
        <f>IF('As-Filed Schedule 2A'!B35:D35=0,"",'As-Filed Schedule 2A'!B35:D35)</f>
        <v/>
      </c>
      <c r="C35" s="514"/>
      <c r="D35" s="514"/>
      <c r="F35" s="117">
        <f>'As-Filed Schedule 2A'!F35</f>
        <v>0</v>
      </c>
      <c r="G35" s="309">
        <f>SUMIFS(Adjustments!$G:$G,Adjustments!$H:$H,"2A",Adjustments!$I:$I,'Schedule 2A Adjustments'!$F$12,Adjustments!$J:$J,'Schedule 2A Adjustments'!A35)</f>
        <v>0</v>
      </c>
      <c r="H35" s="305">
        <f t="shared" si="1"/>
        <v>0</v>
      </c>
      <c r="I35" s="68">
        <f>IFERROR(F35*'As-Filed Schedule 1'!$E$103,0)</f>
        <v>0</v>
      </c>
      <c r="J35" s="306">
        <f>IFERROR(H35*'Adjusted Schedule 1'!$E$104,0)</f>
        <v>0</v>
      </c>
      <c r="K35" s="68">
        <f t="shared" si="7"/>
        <v>0</v>
      </c>
      <c r="L35" s="306">
        <f t="shared" si="2"/>
        <v>0</v>
      </c>
      <c r="N35" s="117">
        <f>'As-Filed Schedule 2A'!J35</f>
        <v>0</v>
      </c>
      <c r="O35" s="309">
        <f>SUMIFS(Adjustments!$G:$G,Adjustments!$H:$H,"2A",Adjustments!$I:$I,'Schedule 2A Adjustments'!$N$12,Adjustments!$J:$J,'Schedule 2A Adjustments'!A35)</f>
        <v>0</v>
      </c>
      <c r="P35" s="305">
        <f t="shared" si="3"/>
        <v>0</v>
      </c>
      <c r="Q35" s="68">
        <f>IFERROR(N35*'As-Filed Schedule 1'!$E$103,0)</f>
        <v>0</v>
      </c>
      <c r="R35" s="306">
        <f>IFERROR(P35*'Adjusted Schedule 1'!$E$104,0)</f>
        <v>0</v>
      </c>
      <c r="S35" s="68">
        <f t="shared" si="8"/>
        <v>0</v>
      </c>
      <c r="T35" s="306">
        <f t="shared" si="4"/>
        <v>0</v>
      </c>
      <c r="V35" s="119">
        <f>'As-Filed Schedule 2A'!N35</f>
        <v>0</v>
      </c>
      <c r="W35" s="309">
        <f>SUMIFS(Adjustments!$G:$G,Adjustments!$H:$H,"2A",Adjustments!$I:$I,'Schedule 2A Adjustments'!$V$12,Adjustments!$J:$J,'Schedule 2A Adjustments'!A35)</f>
        <v>0</v>
      </c>
      <c r="X35" s="322">
        <f t="shared" si="5"/>
        <v>0</v>
      </c>
      <c r="Y35" s="119">
        <f>'As-Filed Schedule 2A'!O35</f>
        <v>0</v>
      </c>
      <c r="Z35" s="309">
        <f>SUMIFS(Adjustments!$G:$G,Adjustments!$H:$H,"2A",Adjustments!$I:$I,'Schedule 2A Adjustments'!$Y$12,Adjustments!$J:$J,'Schedule 2A Adjustments'!A35)</f>
        <v>0</v>
      </c>
      <c r="AA35" s="322">
        <f t="shared" si="6"/>
        <v>0</v>
      </c>
    </row>
    <row r="36" spans="1:27" x14ac:dyDescent="0.35">
      <c r="A36" s="24">
        <v>22</v>
      </c>
      <c r="B36" s="514" t="str">
        <f>IF('As-Filed Schedule 2A'!B36:D36=0,"",'As-Filed Schedule 2A'!B36:D36)</f>
        <v/>
      </c>
      <c r="C36" s="514"/>
      <c r="D36" s="514"/>
      <c r="F36" s="117">
        <f>'As-Filed Schedule 2A'!F36</f>
        <v>0</v>
      </c>
      <c r="G36" s="309">
        <f>SUMIFS(Adjustments!$G:$G,Adjustments!$H:$H,"2A",Adjustments!$I:$I,'Schedule 2A Adjustments'!$F$12,Adjustments!$J:$J,'Schedule 2A Adjustments'!A36)</f>
        <v>0</v>
      </c>
      <c r="H36" s="305">
        <f t="shared" si="1"/>
        <v>0</v>
      </c>
      <c r="I36" s="68">
        <f>IFERROR(F36*'As-Filed Schedule 1'!$E$103,0)</f>
        <v>0</v>
      </c>
      <c r="J36" s="306">
        <f>IFERROR(H36*'Adjusted Schedule 1'!$E$104,0)</f>
        <v>0</v>
      </c>
      <c r="K36" s="68">
        <f t="shared" si="7"/>
        <v>0</v>
      </c>
      <c r="L36" s="306">
        <f t="shared" si="2"/>
        <v>0</v>
      </c>
      <c r="N36" s="117">
        <f>'As-Filed Schedule 2A'!J36</f>
        <v>0</v>
      </c>
      <c r="O36" s="309">
        <f>SUMIFS(Adjustments!$G:$G,Adjustments!$H:$H,"2A",Adjustments!$I:$I,'Schedule 2A Adjustments'!$N$12,Adjustments!$J:$J,'Schedule 2A Adjustments'!A36)</f>
        <v>0</v>
      </c>
      <c r="P36" s="305">
        <f t="shared" si="3"/>
        <v>0</v>
      </c>
      <c r="Q36" s="68">
        <f>IFERROR(N36*'As-Filed Schedule 1'!$E$103,0)</f>
        <v>0</v>
      </c>
      <c r="R36" s="306">
        <f>IFERROR(P36*'Adjusted Schedule 1'!$E$104,0)</f>
        <v>0</v>
      </c>
      <c r="S36" s="68">
        <f t="shared" si="8"/>
        <v>0</v>
      </c>
      <c r="T36" s="306">
        <f t="shared" si="4"/>
        <v>0</v>
      </c>
      <c r="V36" s="119">
        <f>'As-Filed Schedule 2A'!N36</f>
        <v>0</v>
      </c>
      <c r="W36" s="309">
        <f>SUMIFS(Adjustments!$G:$G,Adjustments!$H:$H,"2A",Adjustments!$I:$I,'Schedule 2A Adjustments'!$V$12,Adjustments!$J:$J,'Schedule 2A Adjustments'!A36)</f>
        <v>0</v>
      </c>
      <c r="X36" s="322">
        <f t="shared" si="5"/>
        <v>0</v>
      </c>
      <c r="Y36" s="119">
        <f>'As-Filed Schedule 2A'!O36</f>
        <v>0</v>
      </c>
      <c r="Z36" s="309">
        <f>SUMIFS(Adjustments!$G:$G,Adjustments!$H:$H,"2A",Adjustments!$I:$I,'Schedule 2A Adjustments'!$Y$12,Adjustments!$J:$J,'Schedule 2A Adjustments'!A36)</f>
        <v>0</v>
      </c>
      <c r="AA36" s="322">
        <f t="shared" si="6"/>
        <v>0</v>
      </c>
    </row>
    <row r="37" spans="1:27" x14ac:dyDescent="0.35">
      <c r="A37" s="24">
        <v>23</v>
      </c>
      <c r="B37" s="514" t="str">
        <f>IF('As-Filed Schedule 2A'!B37:D37=0,"",'As-Filed Schedule 2A'!B37:D37)</f>
        <v/>
      </c>
      <c r="C37" s="514"/>
      <c r="D37" s="514"/>
      <c r="F37" s="117">
        <f>'As-Filed Schedule 2A'!F37</f>
        <v>0</v>
      </c>
      <c r="G37" s="309">
        <f>SUMIFS(Adjustments!$G:$G,Adjustments!$H:$H,"2A",Adjustments!$I:$I,'Schedule 2A Adjustments'!$F$12,Adjustments!$J:$J,'Schedule 2A Adjustments'!A37)</f>
        <v>0</v>
      </c>
      <c r="H37" s="305">
        <f t="shared" si="1"/>
        <v>0</v>
      </c>
      <c r="I37" s="68">
        <f>IFERROR(F37*'As-Filed Schedule 1'!$E$103,0)</f>
        <v>0</v>
      </c>
      <c r="J37" s="306">
        <f>IFERROR(H37*'Adjusted Schedule 1'!$E$104,0)</f>
        <v>0</v>
      </c>
      <c r="K37" s="68">
        <f t="shared" si="7"/>
        <v>0</v>
      </c>
      <c r="L37" s="306">
        <f t="shared" si="2"/>
        <v>0</v>
      </c>
      <c r="N37" s="117">
        <f>'As-Filed Schedule 2A'!J37</f>
        <v>0</v>
      </c>
      <c r="O37" s="309">
        <f>SUMIFS(Adjustments!$G:$G,Adjustments!$H:$H,"2A",Adjustments!$I:$I,'Schedule 2A Adjustments'!$N$12,Adjustments!$J:$J,'Schedule 2A Adjustments'!A37)</f>
        <v>0</v>
      </c>
      <c r="P37" s="305">
        <f t="shared" si="3"/>
        <v>0</v>
      </c>
      <c r="Q37" s="68">
        <f>IFERROR(N37*'As-Filed Schedule 1'!$E$103,0)</f>
        <v>0</v>
      </c>
      <c r="R37" s="306">
        <f>IFERROR(P37*'Adjusted Schedule 1'!$E$104,0)</f>
        <v>0</v>
      </c>
      <c r="S37" s="68">
        <f t="shared" si="8"/>
        <v>0</v>
      </c>
      <c r="T37" s="306">
        <f t="shared" si="4"/>
        <v>0</v>
      </c>
      <c r="V37" s="119">
        <f>'As-Filed Schedule 2A'!N37</f>
        <v>0</v>
      </c>
      <c r="W37" s="309">
        <f>SUMIFS(Adjustments!$G:$G,Adjustments!$H:$H,"2A",Adjustments!$I:$I,'Schedule 2A Adjustments'!$V$12,Adjustments!$J:$J,'Schedule 2A Adjustments'!A37)</f>
        <v>0</v>
      </c>
      <c r="X37" s="322">
        <f t="shared" si="5"/>
        <v>0</v>
      </c>
      <c r="Y37" s="119">
        <f>'As-Filed Schedule 2A'!O37</f>
        <v>0</v>
      </c>
      <c r="Z37" s="309">
        <f>SUMIFS(Adjustments!$G:$G,Adjustments!$H:$H,"2A",Adjustments!$I:$I,'Schedule 2A Adjustments'!$Y$12,Adjustments!$J:$J,'Schedule 2A Adjustments'!A37)</f>
        <v>0</v>
      </c>
      <c r="AA37" s="322">
        <f t="shared" si="6"/>
        <v>0</v>
      </c>
    </row>
    <row r="38" spans="1:27" x14ac:dyDescent="0.35">
      <c r="A38" s="24">
        <v>24</v>
      </c>
      <c r="B38" s="514" t="str">
        <f>IF('As-Filed Schedule 2A'!B38:D38=0,"",'As-Filed Schedule 2A'!B38:D38)</f>
        <v/>
      </c>
      <c r="C38" s="514"/>
      <c r="D38" s="514"/>
      <c r="F38" s="117">
        <f>'As-Filed Schedule 2A'!F38</f>
        <v>0</v>
      </c>
      <c r="G38" s="309">
        <f>SUMIFS(Adjustments!$G:$G,Adjustments!$H:$H,"2A",Adjustments!$I:$I,'Schedule 2A Adjustments'!$F$12,Adjustments!$J:$J,'Schedule 2A Adjustments'!A38)</f>
        <v>0</v>
      </c>
      <c r="H38" s="305">
        <f t="shared" si="1"/>
        <v>0</v>
      </c>
      <c r="I38" s="68">
        <f>IFERROR(F38*'As-Filed Schedule 1'!$E$103,0)</f>
        <v>0</v>
      </c>
      <c r="J38" s="306">
        <f>IFERROR(H38*'Adjusted Schedule 1'!$E$104,0)</f>
        <v>0</v>
      </c>
      <c r="K38" s="68">
        <f t="shared" si="7"/>
        <v>0</v>
      </c>
      <c r="L38" s="306">
        <f t="shared" si="2"/>
        <v>0</v>
      </c>
      <c r="N38" s="117">
        <f>'As-Filed Schedule 2A'!J38</f>
        <v>0</v>
      </c>
      <c r="O38" s="309">
        <f>SUMIFS(Adjustments!$G:$G,Adjustments!$H:$H,"2A",Adjustments!$I:$I,'Schedule 2A Adjustments'!$N$12,Adjustments!$J:$J,'Schedule 2A Adjustments'!A38)</f>
        <v>0</v>
      </c>
      <c r="P38" s="305">
        <f t="shared" si="3"/>
        <v>0</v>
      </c>
      <c r="Q38" s="68">
        <f>IFERROR(N38*'As-Filed Schedule 1'!$E$103,0)</f>
        <v>0</v>
      </c>
      <c r="R38" s="306">
        <f>IFERROR(P38*'Adjusted Schedule 1'!$E$104,0)</f>
        <v>0</v>
      </c>
      <c r="S38" s="68">
        <f t="shared" si="8"/>
        <v>0</v>
      </c>
      <c r="T38" s="306">
        <f t="shared" si="4"/>
        <v>0</v>
      </c>
      <c r="V38" s="119">
        <f>'As-Filed Schedule 2A'!N38</f>
        <v>0</v>
      </c>
      <c r="W38" s="309">
        <f>SUMIFS(Adjustments!$G:$G,Adjustments!$H:$H,"2A",Adjustments!$I:$I,'Schedule 2A Adjustments'!$V$12,Adjustments!$J:$J,'Schedule 2A Adjustments'!A38)</f>
        <v>0</v>
      </c>
      <c r="X38" s="322">
        <f t="shared" si="5"/>
        <v>0</v>
      </c>
      <c r="Y38" s="119">
        <f>'As-Filed Schedule 2A'!O38</f>
        <v>0</v>
      </c>
      <c r="Z38" s="309">
        <f>SUMIFS(Adjustments!$G:$G,Adjustments!$H:$H,"2A",Adjustments!$I:$I,'Schedule 2A Adjustments'!$Y$12,Adjustments!$J:$J,'Schedule 2A Adjustments'!A38)</f>
        <v>0</v>
      </c>
      <c r="AA38" s="322">
        <f t="shared" si="6"/>
        <v>0</v>
      </c>
    </row>
    <row r="39" spans="1:27" x14ac:dyDescent="0.35">
      <c r="A39" s="24">
        <v>25</v>
      </c>
      <c r="B39" s="514" t="str">
        <f>IF('As-Filed Schedule 2A'!B39:D39=0,"",'As-Filed Schedule 2A'!B39:D39)</f>
        <v/>
      </c>
      <c r="C39" s="514"/>
      <c r="D39" s="514"/>
      <c r="F39" s="117">
        <f>'As-Filed Schedule 2A'!F39</f>
        <v>0</v>
      </c>
      <c r="G39" s="309">
        <f>SUMIFS(Adjustments!$G:$G,Adjustments!$H:$H,"2A",Adjustments!$I:$I,'Schedule 2A Adjustments'!$F$12,Adjustments!$J:$J,'Schedule 2A Adjustments'!A39)</f>
        <v>0</v>
      </c>
      <c r="H39" s="305">
        <f t="shared" si="1"/>
        <v>0</v>
      </c>
      <c r="I39" s="68">
        <f>IFERROR(F39*'As-Filed Schedule 1'!$E$103,0)</f>
        <v>0</v>
      </c>
      <c r="J39" s="306">
        <f>IFERROR(H39*'Adjusted Schedule 1'!$E$104,0)</f>
        <v>0</v>
      </c>
      <c r="K39" s="68">
        <f t="shared" si="7"/>
        <v>0</v>
      </c>
      <c r="L39" s="306">
        <f t="shared" si="2"/>
        <v>0</v>
      </c>
      <c r="N39" s="117">
        <f>'As-Filed Schedule 2A'!J39</f>
        <v>0</v>
      </c>
      <c r="O39" s="309">
        <f>SUMIFS(Adjustments!$G:$G,Adjustments!$H:$H,"2A",Adjustments!$I:$I,'Schedule 2A Adjustments'!$N$12,Adjustments!$J:$J,'Schedule 2A Adjustments'!A39)</f>
        <v>0</v>
      </c>
      <c r="P39" s="305">
        <f t="shared" si="3"/>
        <v>0</v>
      </c>
      <c r="Q39" s="68">
        <f>IFERROR(N39*'As-Filed Schedule 1'!$E$103,0)</f>
        <v>0</v>
      </c>
      <c r="R39" s="306">
        <f>IFERROR(P39*'Adjusted Schedule 1'!$E$104,0)</f>
        <v>0</v>
      </c>
      <c r="S39" s="68">
        <f t="shared" si="8"/>
        <v>0</v>
      </c>
      <c r="T39" s="306">
        <f t="shared" si="4"/>
        <v>0</v>
      </c>
      <c r="V39" s="119">
        <f>'As-Filed Schedule 2A'!N39</f>
        <v>0</v>
      </c>
      <c r="W39" s="309">
        <f>SUMIFS(Adjustments!$G:$G,Adjustments!$H:$H,"2A",Adjustments!$I:$I,'Schedule 2A Adjustments'!$V$12,Adjustments!$J:$J,'Schedule 2A Adjustments'!A39)</f>
        <v>0</v>
      </c>
      <c r="X39" s="322">
        <f t="shared" si="5"/>
        <v>0</v>
      </c>
      <c r="Y39" s="119">
        <f>'As-Filed Schedule 2A'!O39</f>
        <v>0</v>
      </c>
      <c r="Z39" s="309">
        <f>SUMIFS(Adjustments!$G:$G,Adjustments!$H:$H,"2A",Adjustments!$I:$I,'Schedule 2A Adjustments'!$Y$12,Adjustments!$J:$J,'Schedule 2A Adjustments'!A39)</f>
        <v>0</v>
      </c>
      <c r="AA39" s="322">
        <f t="shared" si="6"/>
        <v>0</v>
      </c>
    </row>
    <row r="40" spans="1:27" x14ac:dyDescent="0.35">
      <c r="A40" s="24">
        <v>26</v>
      </c>
      <c r="B40" s="514" t="str">
        <f>IF('As-Filed Schedule 2A'!B40:D40=0,"",'As-Filed Schedule 2A'!B40:D40)</f>
        <v/>
      </c>
      <c r="C40" s="514"/>
      <c r="D40" s="514"/>
      <c r="F40" s="117">
        <f>'As-Filed Schedule 2A'!F40</f>
        <v>0</v>
      </c>
      <c r="G40" s="309">
        <f>SUMIFS(Adjustments!$G:$G,Adjustments!$H:$H,"2A",Adjustments!$I:$I,'Schedule 2A Adjustments'!$F$12,Adjustments!$J:$J,'Schedule 2A Adjustments'!A40)</f>
        <v>0</v>
      </c>
      <c r="H40" s="305">
        <f t="shared" si="1"/>
        <v>0</v>
      </c>
      <c r="I40" s="68">
        <f>IFERROR(F40*'As-Filed Schedule 1'!$E$103,0)</f>
        <v>0</v>
      </c>
      <c r="J40" s="306">
        <f>IFERROR(H40*'Adjusted Schedule 1'!$E$104,0)</f>
        <v>0</v>
      </c>
      <c r="K40" s="68">
        <f t="shared" si="7"/>
        <v>0</v>
      </c>
      <c r="L40" s="306">
        <f t="shared" si="2"/>
        <v>0</v>
      </c>
      <c r="N40" s="117">
        <f>'As-Filed Schedule 2A'!J40</f>
        <v>0</v>
      </c>
      <c r="O40" s="309">
        <f>SUMIFS(Adjustments!$G:$G,Adjustments!$H:$H,"2A",Adjustments!$I:$I,'Schedule 2A Adjustments'!$N$12,Adjustments!$J:$J,'Schedule 2A Adjustments'!A40)</f>
        <v>0</v>
      </c>
      <c r="P40" s="305">
        <f t="shared" si="3"/>
        <v>0</v>
      </c>
      <c r="Q40" s="68">
        <f>IFERROR(N40*'As-Filed Schedule 1'!$E$103,0)</f>
        <v>0</v>
      </c>
      <c r="R40" s="306">
        <f>IFERROR(P40*'Adjusted Schedule 1'!$E$104,0)</f>
        <v>0</v>
      </c>
      <c r="S40" s="68">
        <f t="shared" si="8"/>
        <v>0</v>
      </c>
      <c r="T40" s="306">
        <f t="shared" si="4"/>
        <v>0</v>
      </c>
      <c r="V40" s="119">
        <f>'As-Filed Schedule 2A'!N40</f>
        <v>0</v>
      </c>
      <c r="W40" s="309">
        <f>SUMIFS(Adjustments!$G:$G,Adjustments!$H:$H,"2A",Adjustments!$I:$I,'Schedule 2A Adjustments'!$V$12,Adjustments!$J:$J,'Schedule 2A Adjustments'!A40)</f>
        <v>0</v>
      </c>
      <c r="X40" s="322">
        <f t="shared" si="5"/>
        <v>0</v>
      </c>
      <c r="Y40" s="119">
        <f>'As-Filed Schedule 2A'!O40</f>
        <v>0</v>
      </c>
      <c r="Z40" s="309">
        <f>SUMIFS(Adjustments!$G:$G,Adjustments!$H:$H,"2A",Adjustments!$I:$I,'Schedule 2A Adjustments'!$Y$12,Adjustments!$J:$J,'Schedule 2A Adjustments'!A40)</f>
        <v>0</v>
      </c>
      <c r="AA40" s="322">
        <f t="shared" si="6"/>
        <v>0</v>
      </c>
    </row>
    <row r="41" spans="1:27" x14ac:dyDescent="0.35">
      <c r="A41" s="24">
        <v>27</v>
      </c>
      <c r="B41" s="514" t="str">
        <f>IF('As-Filed Schedule 2A'!B41:D41=0,"",'As-Filed Schedule 2A'!B41:D41)</f>
        <v/>
      </c>
      <c r="C41" s="514"/>
      <c r="D41" s="514"/>
      <c r="F41" s="117">
        <f>'As-Filed Schedule 2A'!F41</f>
        <v>0</v>
      </c>
      <c r="G41" s="309">
        <f>SUMIFS(Adjustments!$G:$G,Adjustments!$H:$H,"2A",Adjustments!$I:$I,'Schedule 2A Adjustments'!$F$12,Adjustments!$J:$J,'Schedule 2A Adjustments'!A41)</f>
        <v>0</v>
      </c>
      <c r="H41" s="305">
        <f t="shared" si="1"/>
        <v>0</v>
      </c>
      <c r="I41" s="68">
        <f>IFERROR(F41*'As-Filed Schedule 1'!$E$103,0)</f>
        <v>0</v>
      </c>
      <c r="J41" s="306">
        <f>IFERROR(H41*'Adjusted Schedule 1'!$E$104,0)</f>
        <v>0</v>
      </c>
      <c r="K41" s="68">
        <f t="shared" si="7"/>
        <v>0</v>
      </c>
      <c r="L41" s="306">
        <f t="shared" si="2"/>
        <v>0</v>
      </c>
      <c r="N41" s="117">
        <f>'As-Filed Schedule 2A'!J41</f>
        <v>0</v>
      </c>
      <c r="O41" s="309">
        <f>SUMIFS(Adjustments!$G:$G,Adjustments!$H:$H,"2A",Adjustments!$I:$I,'Schedule 2A Adjustments'!$N$12,Adjustments!$J:$J,'Schedule 2A Adjustments'!A41)</f>
        <v>0</v>
      </c>
      <c r="P41" s="305">
        <f t="shared" si="3"/>
        <v>0</v>
      </c>
      <c r="Q41" s="68">
        <f>IFERROR(N41*'As-Filed Schedule 1'!$E$103,0)</f>
        <v>0</v>
      </c>
      <c r="R41" s="306">
        <f>IFERROR(P41*'Adjusted Schedule 1'!$E$104,0)</f>
        <v>0</v>
      </c>
      <c r="S41" s="68">
        <f t="shared" si="8"/>
        <v>0</v>
      </c>
      <c r="T41" s="306">
        <f t="shared" si="4"/>
        <v>0</v>
      </c>
      <c r="V41" s="119">
        <f>'As-Filed Schedule 2A'!N41</f>
        <v>0</v>
      </c>
      <c r="W41" s="309">
        <f>SUMIFS(Adjustments!$G:$G,Adjustments!$H:$H,"2A",Adjustments!$I:$I,'Schedule 2A Adjustments'!$V$12,Adjustments!$J:$J,'Schedule 2A Adjustments'!A41)</f>
        <v>0</v>
      </c>
      <c r="X41" s="322">
        <f t="shared" si="5"/>
        <v>0</v>
      </c>
      <c r="Y41" s="119">
        <f>'As-Filed Schedule 2A'!O41</f>
        <v>0</v>
      </c>
      <c r="Z41" s="309">
        <f>SUMIFS(Adjustments!$G:$G,Adjustments!$H:$H,"2A",Adjustments!$I:$I,'Schedule 2A Adjustments'!$Y$12,Adjustments!$J:$J,'Schedule 2A Adjustments'!A41)</f>
        <v>0</v>
      </c>
      <c r="AA41" s="322">
        <f t="shared" si="6"/>
        <v>0</v>
      </c>
    </row>
    <row r="42" spans="1:27" x14ac:dyDescent="0.35">
      <c r="A42" s="24">
        <v>28</v>
      </c>
      <c r="B42" s="514" t="str">
        <f>IF('As-Filed Schedule 2A'!B42:D42=0,"",'As-Filed Schedule 2A'!B42:D42)</f>
        <v/>
      </c>
      <c r="C42" s="514"/>
      <c r="D42" s="514"/>
      <c r="F42" s="117">
        <f>'As-Filed Schedule 2A'!F42</f>
        <v>0</v>
      </c>
      <c r="G42" s="309">
        <f>SUMIFS(Adjustments!$G:$G,Adjustments!$H:$H,"2A",Adjustments!$I:$I,'Schedule 2A Adjustments'!$F$12,Adjustments!$J:$J,'Schedule 2A Adjustments'!A42)</f>
        <v>0</v>
      </c>
      <c r="H42" s="305">
        <f t="shared" si="1"/>
        <v>0</v>
      </c>
      <c r="I42" s="68">
        <f>IFERROR(F42*'As-Filed Schedule 1'!$E$103,0)</f>
        <v>0</v>
      </c>
      <c r="J42" s="306">
        <f>IFERROR(H42*'Adjusted Schedule 1'!$E$104,0)</f>
        <v>0</v>
      </c>
      <c r="K42" s="68">
        <f t="shared" si="7"/>
        <v>0</v>
      </c>
      <c r="L42" s="306">
        <f t="shared" si="2"/>
        <v>0</v>
      </c>
      <c r="N42" s="117">
        <f>'As-Filed Schedule 2A'!J42</f>
        <v>0</v>
      </c>
      <c r="O42" s="309">
        <f>SUMIFS(Adjustments!$G:$G,Adjustments!$H:$H,"2A",Adjustments!$I:$I,'Schedule 2A Adjustments'!$N$12,Adjustments!$J:$J,'Schedule 2A Adjustments'!A42)</f>
        <v>0</v>
      </c>
      <c r="P42" s="305">
        <f t="shared" si="3"/>
        <v>0</v>
      </c>
      <c r="Q42" s="68">
        <f>IFERROR(N42*'As-Filed Schedule 1'!$E$103,0)</f>
        <v>0</v>
      </c>
      <c r="R42" s="306">
        <f>IFERROR(P42*'Adjusted Schedule 1'!$E$104,0)</f>
        <v>0</v>
      </c>
      <c r="S42" s="68">
        <f t="shared" si="8"/>
        <v>0</v>
      </c>
      <c r="T42" s="306">
        <f t="shared" si="4"/>
        <v>0</v>
      </c>
      <c r="V42" s="119">
        <f>'As-Filed Schedule 2A'!N42</f>
        <v>0</v>
      </c>
      <c r="W42" s="309">
        <f>SUMIFS(Adjustments!$G:$G,Adjustments!$H:$H,"2A",Adjustments!$I:$I,'Schedule 2A Adjustments'!$V$12,Adjustments!$J:$J,'Schedule 2A Adjustments'!A42)</f>
        <v>0</v>
      </c>
      <c r="X42" s="322">
        <f t="shared" si="5"/>
        <v>0</v>
      </c>
      <c r="Y42" s="119">
        <f>'As-Filed Schedule 2A'!O42</f>
        <v>0</v>
      </c>
      <c r="Z42" s="309">
        <f>SUMIFS(Adjustments!$G:$G,Adjustments!$H:$H,"2A",Adjustments!$I:$I,'Schedule 2A Adjustments'!$Y$12,Adjustments!$J:$J,'Schedule 2A Adjustments'!A42)</f>
        <v>0</v>
      </c>
      <c r="AA42" s="322">
        <f t="shared" si="6"/>
        <v>0</v>
      </c>
    </row>
    <row r="43" spans="1:27" x14ac:dyDescent="0.35">
      <c r="A43" s="24">
        <v>29</v>
      </c>
      <c r="B43" s="514" t="str">
        <f>IF('As-Filed Schedule 2A'!B43:D43=0,"",'As-Filed Schedule 2A'!B43:D43)</f>
        <v/>
      </c>
      <c r="C43" s="514"/>
      <c r="D43" s="514"/>
      <c r="F43" s="117">
        <f>'As-Filed Schedule 2A'!F43</f>
        <v>0</v>
      </c>
      <c r="G43" s="309">
        <f>SUMIFS(Adjustments!$G:$G,Adjustments!$H:$H,"2A",Adjustments!$I:$I,'Schedule 2A Adjustments'!$F$12,Adjustments!$J:$J,'Schedule 2A Adjustments'!A43)</f>
        <v>0</v>
      </c>
      <c r="H43" s="305">
        <f t="shared" si="1"/>
        <v>0</v>
      </c>
      <c r="I43" s="68">
        <f>IFERROR(F43*'As-Filed Schedule 1'!$E$103,0)</f>
        <v>0</v>
      </c>
      <c r="J43" s="306">
        <f>IFERROR(H43*'Adjusted Schedule 1'!$E$104,0)</f>
        <v>0</v>
      </c>
      <c r="K43" s="68">
        <f t="shared" si="7"/>
        <v>0</v>
      </c>
      <c r="L43" s="306">
        <f t="shared" si="2"/>
        <v>0</v>
      </c>
      <c r="N43" s="117">
        <f>'As-Filed Schedule 2A'!J43</f>
        <v>0</v>
      </c>
      <c r="O43" s="309">
        <f>SUMIFS(Adjustments!$G:$G,Adjustments!$H:$H,"2A",Adjustments!$I:$I,'Schedule 2A Adjustments'!$N$12,Adjustments!$J:$J,'Schedule 2A Adjustments'!A43)</f>
        <v>0</v>
      </c>
      <c r="P43" s="305">
        <f t="shared" si="3"/>
        <v>0</v>
      </c>
      <c r="Q43" s="68">
        <f>IFERROR(N43*'As-Filed Schedule 1'!$E$103,0)</f>
        <v>0</v>
      </c>
      <c r="R43" s="306">
        <f>IFERROR(P43*'Adjusted Schedule 1'!$E$104,0)</f>
        <v>0</v>
      </c>
      <c r="S43" s="68">
        <f t="shared" si="8"/>
        <v>0</v>
      </c>
      <c r="T43" s="306">
        <f t="shared" si="4"/>
        <v>0</v>
      </c>
      <c r="V43" s="119">
        <f>'As-Filed Schedule 2A'!N43</f>
        <v>0</v>
      </c>
      <c r="W43" s="309">
        <f>SUMIFS(Adjustments!$G:$G,Adjustments!$H:$H,"2A",Adjustments!$I:$I,'Schedule 2A Adjustments'!$V$12,Adjustments!$J:$J,'Schedule 2A Adjustments'!A43)</f>
        <v>0</v>
      </c>
      <c r="X43" s="322">
        <f t="shared" si="5"/>
        <v>0</v>
      </c>
      <c r="Y43" s="119">
        <f>'As-Filed Schedule 2A'!O43</f>
        <v>0</v>
      </c>
      <c r="Z43" s="309">
        <f>SUMIFS(Adjustments!$G:$G,Adjustments!$H:$H,"2A",Adjustments!$I:$I,'Schedule 2A Adjustments'!$Y$12,Adjustments!$J:$J,'Schedule 2A Adjustments'!A43)</f>
        <v>0</v>
      </c>
      <c r="AA43" s="322">
        <f t="shared" si="6"/>
        <v>0</v>
      </c>
    </row>
    <row r="44" spans="1:27" x14ac:dyDescent="0.35">
      <c r="A44" s="24">
        <v>30</v>
      </c>
      <c r="B44" s="514" t="str">
        <f>IF('As-Filed Schedule 2A'!B44:D44=0,"",'As-Filed Schedule 2A'!B44:D44)</f>
        <v/>
      </c>
      <c r="C44" s="514"/>
      <c r="D44" s="514"/>
      <c r="F44" s="117">
        <f>'As-Filed Schedule 2A'!F44</f>
        <v>0</v>
      </c>
      <c r="G44" s="309">
        <f>SUMIFS(Adjustments!$G:$G,Adjustments!$H:$H,"2A",Adjustments!$I:$I,'Schedule 2A Adjustments'!$F$12,Adjustments!$J:$J,'Schedule 2A Adjustments'!A44)</f>
        <v>0</v>
      </c>
      <c r="H44" s="305">
        <f t="shared" si="1"/>
        <v>0</v>
      </c>
      <c r="I44" s="68">
        <f>IFERROR(F44*'As-Filed Schedule 1'!$E$103,0)</f>
        <v>0</v>
      </c>
      <c r="J44" s="306">
        <f>IFERROR(H44*'Adjusted Schedule 1'!$E$104,0)</f>
        <v>0</v>
      </c>
      <c r="K44" s="68">
        <f t="shared" si="7"/>
        <v>0</v>
      </c>
      <c r="L44" s="306">
        <f t="shared" si="2"/>
        <v>0</v>
      </c>
      <c r="N44" s="117">
        <f>'As-Filed Schedule 2A'!J44</f>
        <v>0</v>
      </c>
      <c r="O44" s="309">
        <f>SUMIFS(Adjustments!$G:$G,Adjustments!$H:$H,"2A",Adjustments!$I:$I,'Schedule 2A Adjustments'!$N$12,Adjustments!$J:$J,'Schedule 2A Adjustments'!A44)</f>
        <v>0</v>
      </c>
      <c r="P44" s="305">
        <f t="shared" si="3"/>
        <v>0</v>
      </c>
      <c r="Q44" s="68">
        <f>IFERROR(N44*'As-Filed Schedule 1'!$E$103,0)</f>
        <v>0</v>
      </c>
      <c r="R44" s="306">
        <f>IFERROR(P44*'Adjusted Schedule 1'!$E$104,0)</f>
        <v>0</v>
      </c>
      <c r="S44" s="68">
        <f t="shared" si="8"/>
        <v>0</v>
      </c>
      <c r="T44" s="306">
        <f t="shared" si="4"/>
        <v>0</v>
      </c>
      <c r="V44" s="119">
        <f>'As-Filed Schedule 2A'!N44</f>
        <v>0</v>
      </c>
      <c r="W44" s="309">
        <f>SUMIFS(Adjustments!$G:$G,Adjustments!$H:$H,"2A",Adjustments!$I:$I,'Schedule 2A Adjustments'!$V$12,Adjustments!$J:$J,'Schedule 2A Adjustments'!A44)</f>
        <v>0</v>
      </c>
      <c r="X44" s="322">
        <f t="shared" si="5"/>
        <v>0</v>
      </c>
      <c r="Y44" s="119">
        <f>'As-Filed Schedule 2A'!O44</f>
        <v>0</v>
      </c>
      <c r="Z44" s="309">
        <f>SUMIFS(Adjustments!$G:$G,Adjustments!$H:$H,"2A",Adjustments!$I:$I,'Schedule 2A Adjustments'!$Y$12,Adjustments!$J:$J,'Schedule 2A Adjustments'!A44)</f>
        <v>0</v>
      </c>
      <c r="AA44" s="322">
        <f t="shared" si="6"/>
        <v>0</v>
      </c>
    </row>
    <row r="45" spans="1:27" x14ac:dyDescent="0.35">
      <c r="A45" s="24">
        <v>31</v>
      </c>
      <c r="B45" s="514" t="str">
        <f>IF('As-Filed Schedule 2A'!B45:D45=0,"",'As-Filed Schedule 2A'!B45:D45)</f>
        <v/>
      </c>
      <c r="C45" s="514"/>
      <c r="D45" s="514"/>
      <c r="F45" s="117">
        <f>'As-Filed Schedule 2A'!F45</f>
        <v>0</v>
      </c>
      <c r="G45" s="309">
        <f>SUMIFS(Adjustments!$G:$G,Adjustments!$H:$H,"2A",Adjustments!$I:$I,'Schedule 2A Adjustments'!$F$12,Adjustments!$J:$J,'Schedule 2A Adjustments'!A45)</f>
        <v>0</v>
      </c>
      <c r="H45" s="305">
        <f t="shared" si="1"/>
        <v>0</v>
      </c>
      <c r="I45" s="68">
        <f>IFERROR(F45*'As-Filed Schedule 1'!$E$103,0)</f>
        <v>0</v>
      </c>
      <c r="J45" s="306">
        <f>IFERROR(H45*'Adjusted Schedule 1'!$E$104,0)</f>
        <v>0</v>
      </c>
      <c r="K45" s="68">
        <f t="shared" si="7"/>
        <v>0</v>
      </c>
      <c r="L45" s="306">
        <f t="shared" si="2"/>
        <v>0</v>
      </c>
      <c r="N45" s="117">
        <f>'As-Filed Schedule 2A'!J45</f>
        <v>0</v>
      </c>
      <c r="O45" s="309">
        <f>SUMIFS(Adjustments!$G:$G,Adjustments!$H:$H,"2A",Adjustments!$I:$I,'Schedule 2A Adjustments'!$N$12,Adjustments!$J:$J,'Schedule 2A Adjustments'!A45)</f>
        <v>0</v>
      </c>
      <c r="P45" s="305">
        <f t="shared" si="3"/>
        <v>0</v>
      </c>
      <c r="Q45" s="68">
        <f>IFERROR(N45*'As-Filed Schedule 1'!$E$103,0)</f>
        <v>0</v>
      </c>
      <c r="R45" s="306">
        <f>IFERROR(P45*'Adjusted Schedule 1'!$E$104,0)</f>
        <v>0</v>
      </c>
      <c r="S45" s="68">
        <f t="shared" si="8"/>
        <v>0</v>
      </c>
      <c r="T45" s="306">
        <f t="shared" si="4"/>
        <v>0</v>
      </c>
      <c r="V45" s="119">
        <f>'As-Filed Schedule 2A'!N45</f>
        <v>0</v>
      </c>
      <c r="W45" s="309">
        <f>SUMIFS(Adjustments!$G:$G,Adjustments!$H:$H,"2A",Adjustments!$I:$I,'Schedule 2A Adjustments'!$V$12,Adjustments!$J:$J,'Schedule 2A Adjustments'!A45)</f>
        <v>0</v>
      </c>
      <c r="X45" s="322">
        <f t="shared" si="5"/>
        <v>0</v>
      </c>
      <c r="Y45" s="119">
        <f>'As-Filed Schedule 2A'!O45</f>
        <v>0</v>
      </c>
      <c r="Z45" s="309">
        <f>SUMIFS(Adjustments!$G:$G,Adjustments!$H:$H,"2A",Adjustments!$I:$I,'Schedule 2A Adjustments'!$Y$12,Adjustments!$J:$J,'Schedule 2A Adjustments'!A45)</f>
        <v>0</v>
      </c>
      <c r="AA45" s="322">
        <f t="shared" si="6"/>
        <v>0</v>
      </c>
    </row>
    <row r="46" spans="1:27" x14ac:dyDescent="0.35">
      <c r="A46" s="24">
        <v>32</v>
      </c>
      <c r="B46" s="514" t="str">
        <f>IF('As-Filed Schedule 2A'!B46:D46=0,"",'As-Filed Schedule 2A'!B46:D46)</f>
        <v/>
      </c>
      <c r="C46" s="514"/>
      <c r="D46" s="514"/>
      <c r="F46" s="117">
        <f>'As-Filed Schedule 2A'!F46</f>
        <v>0</v>
      </c>
      <c r="G46" s="309">
        <f>SUMIFS(Adjustments!$G:$G,Adjustments!$H:$H,"2A",Adjustments!$I:$I,'Schedule 2A Adjustments'!$F$12,Adjustments!$J:$J,'Schedule 2A Adjustments'!A46)</f>
        <v>0</v>
      </c>
      <c r="H46" s="305">
        <f t="shared" si="1"/>
        <v>0</v>
      </c>
      <c r="I46" s="68">
        <f>IFERROR(F46*'As-Filed Schedule 1'!$E$103,0)</f>
        <v>0</v>
      </c>
      <c r="J46" s="306">
        <f>IFERROR(H46*'Adjusted Schedule 1'!$E$104,0)</f>
        <v>0</v>
      </c>
      <c r="K46" s="68">
        <f t="shared" si="7"/>
        <v>0</v>
      </c>
      <c r="L46" s="306">
        <f t="shared" si="2"/>
        <v>0</v>
      </c>
      <c r="N46" s="117">
        <f>'As-Filed Schedule 2A'!J46</f>
        <v>0</v>
      </c>
      <c r="O46" s="309">
        <f>SUMIFS(Adjustments!$G:$G,Adjustments!$H:$H,"2A",Adjustments!$I:$I,'Schedule 2A Adjustments'!$N$12,Adjustments!$J:$J,'Schedule 2A Adjustments'!A46)</f>
        <v>0</v>
      </c>
      <c r="P46" s="305">
        <f t="shared" si="3"/>
        <v>0</v>
      </c>
      <c r="Q46" s="68">
        <f>IFERROR(N46*'As-Filed Schedule 1'!$E$103,0)</f>
        <v>0</v>
      </c>
      <c r="R46" s="306">
        <f>IFERROR(P46*'Adjusted Schedule 1'!$E$104,0)</f>
        <v>0</v>
      </c>
      <c r="S46" s="68">
        <f t="shared" si="8"/>
        <v>0</v>
      </c>
      <c r="T46" s="306">
        <f t="shared" si="4"/>
        <v>0</v>
      </c>
      <c r="V46" s="119">
        <f>'As-Filed Schedule 2A'!N46</f>
        <v>0</v>
      </c>
      <c r="W46" s="309">
        <f>SUMIFS(Adjustments!$G:$G,Adjustments!$H:$H,"2A",Adjustments!$I:$I,'Schedule 2A Adjustments'!$V$12,Adjustments!$J:$J,'Schedule 2A Adjustments'!A46)</f>
        <v>0</v>
      </c>
      <c r="X46" s="322">
        <f t="shared" si="5"/>
        <v>0</v>
      </c>
      <c r="Y46" s="119">
        <f>'As-Filed Schedule 2A'!O46</f>
        <v>0</v>
      </c>
      <c r="Z46" s="309">
        <f>SUMIFS(Adjustments!$G:$G,Adjustments!$H:$H,"2A",Adjustments!$I:$I,'Schedule 2A Adjustments'!$Y$12,Adjustments!$J:$J,'Schedule 2A Adjustments'!A46)</f>
        <v>0</v>
      </c>
      <c r="AA46" s="322">
        <f t="shared" si="6"/>
        <v>0</v>
      </c>
    </row>
    <row r="47" spans="1:27" x14ac:dyDescent="0.35">
      <c r="A47" s="24">
        <v>33</v>
      </c>
      <c r="B47" s="514" t="str">
        <f>IF('As-Filed Schedule 2A'!B47:D47=0,"",'As-Filed Schedule 2A'!B47:D47)</f>
        <v/>
      </c>
      <c r="C47" s="514"/>
      <c r="D47" s="514"/>
      <c r="F47" s="117">
        <f>'As-Filed Schedule 2A'!F47</f>
        <v>0</v>
      </c>
      <c r="G47" s="309">
        <f>SUMIFS(Adjustments!$G:$G,Adjustments!$H:$H,"2A",Adjustments!$I:$I,'Schedule 2A Adjustments'!$F$12,Adjustments!$J:$J,'Schedule 2A Adjustments'!A47)</f>
        <v>0</v>
      </c>
      <c r="H47" s="305">
        <f t="shared" si="1"/>
        <v>0</v>
      </c>
      <c r="I47" s="68">
        <f>IFERROR(F47*'As-Filed Schedule 1'!$E$103,0)</f>
        <v>0</v>
      </c>
      <c r="J47" s="306">
        <f>IFERROR(H47*'Adjusted Schedule 1'!$E$104,0)</f>
        <v>0</v>
      </c>
      <c r="K47" s="68">
        <f t="shared" si="7"/>
        <v>0</v>
      </c>
      <c r="L47" s="306">
        <f t="shared" si="2"/>
        <v>0</v>
      </c>
      <c r="N47" s="117">
        <f>'As-Filed Schedule 2A'!J47</f>
        <v>0</v>
      </c>
      <c r="O47" s="309">
        <f>SUMIFS(Adjustments!$G:$G,Adjustments!$H:$H,"2A",Adjustments!$I:$I,'Schedule 2A Adjustments'!$N$12,Adjustments!$J:$J,'Schedule 2A Adjustments'!A47)</f>
        <v>0</v>
      </c>
      <c r="P47" s="305">
        <f t="shared" si="3"/>
        <v>0</v>
      </c>
      <c r="Q47" s="68">
        <f>IFERROR(N47*'As-Filed Schedule 1'!$E$103,0)</f>
        <v>0</v>
      </c>
      <c r="R47" s="306">
        <f>IFERROR(P47*'Adjusted Schedule 1'!$E$104,0)</f>
        <v>0</v>
      </c>
      <c r="S47" s="68">
        <f t="shared" si="8"/>
        <v>0</v>
      </c>
      <c r="T47" s="306">
        <f t="shared" si="4"/>
        <v>0</v>
      </c>
      <c r="V47" s="119">
        <f>'As-Filed Schedule 2A'!N47</f>
        <v>0</v>
      </c>
      <c r="W47" s="309">
        <f>SUMIFS(Adjustments!$G:$G,Adjustments!$H:$H,"2A",Adjustments!$I:$I,'Schedule 2A Adjustments'!$V$12,Adjustments!$J:$J,'Schedule 2A Adjustments'!A47)</f>
        <v>0</v>
      </c>
      <c r="X47" s="322">
        <f t="shared" si="5"/>
        <v>0</v>
      </c>
      <c r="Y47" s="119">
        <f>'As-Filed Schedule 2A'!O47</f>
        <v>0</v>
      </c>
      <c r="Z47" s="309">
        <f>SUMIFS(Adjustments!$G:$G,Adjustments!$H:$H,"2A",Adjustments!$I:$I,'Schedule 2A Adjustments'!$Y$12,Adjustments!$J:$J,'Schedule 2A Adjustments'!A47)</f>
        <v>0</v>
      </c>
      <c r="AA47" s="322">
        <f t="shared" si="6"/>
        <v>0</v>
      </c>
    </row>
    <row r="48" spans="1:27" x14ac:dyDescent="0.35">
      <c r="A48" s="24">
        <v>34</v>
      </c>
      <c r="B48" s="514" t="str">
        <f>IF('As-Filed Schedule 2A'!B48:D48=0,"",'As-Filed Schedule 2A'!B48:D48)</f>
        <v/>
      </c>
      <c r="C48" s="514"/>
      <c r="D48" s="514"/>
      <c r="F48" s="117">
        <f>'As-Filed Schedule 2A'!F48</f>
        <v>0</v>
      </c>
      <c r="G48" s="309">
        <f>SUMIFS(Adjustments!$G:$G,Adjustments!$H:$H,"2A",Adjustments!$I:$I,'Schedule 2A Adjustments'!$F$12,Adjustments!$J:$J,'Schedule 2A Adjustments'!A48)</f>
        <v>0</v>
      </c>
      <c r="H48" s="305">
        <f t="shared" si="1"/>
        <v>0</v>
      </c>
      <c r="I48" s="68">
        <f>IFERROR(F48*'As-Filed Schedule 1'!$E$103,0)</f>
        <v>0</v>
      </c>
      <c r="J48" s="306">
        <f>IFERROR(H48*'Adjusted Schedule 1'!$E$104,0)</f>
        <v>0</v>
      </c>
      <c r="K48" s="68">
        <f t="shared" si="7"/>
        <v>0</v>
      </c>
      <c r="L48" s="306">
        <f t="shared" si="2"/>
        <v>0</v>
      </c>
      <c r="N48" s="117">
        <f>'As-Filed Schedule 2A'!J48</f>
        <v>0</v>
      </c>
      <c r="O48" s="309">
        <f>SUMIFS(Adjustments!$G:$G,Adjustments!$H:$H,"2A",Adjustments!$I:$I,'Schedule 2A Adjustments'!$N$12,Adjustments!$J:$J,'Schedule 2A Adjustments'!A48)</f>
        <v>0</v>
      </c>
      <c r="P48" s="305">
        <f t="shared" si="3"/>
        <v>0</v>
      </c>
      <c r="Q48" s="68">
        <f>IFERROR(N48*'As-Filed Schedule 1'!$E$103,0)</f>
        <v>0</v>
      </c>
      <c r="R48" s="306">
        <f>IFERROR(P48*'Adjusted Schedule 1'!$E$104,0)</f>
        <v>0</v>
      </c>
      <c r="S48" s="68">
        <f t="shared" si="8"/>
        <v>0</v>
      </c>
      <c r="T48" s="306">
        <f t="shared" si="4"/>
        <v>0</v>
      </c>
      <c r="V48" s="119">
        <f>'As-Filed Schedule 2A'!N48</f>
        <v>0</v>
      </c>
      <c r="W48" s="309">
        <f>SUMIFS(Adjustments!$G:$G,Adjustments!$H:$H,"2A",Adjustments!$I:$I,'Schedule 2A Adjustments'!$V$12,Adjustments!$J:$J,'Schedule 2A Adjustments'!A48)</f>
        <v>0</v>
      </c>
      <c r="X48" s="322">
        <f t="shared" si="5"/>
        <v>0</v>
      </c>
      <c r="Y48" s="119">
        <f>'As-Filed Schedule 2A'!O48</f>
        <v>0</v>
      </c>
      <c r="Z48" s="309">
        <f>SUMIFS(Adjustments!$G:$G,Adjustments!$H:$H,"2A",Adjustments!$I:$I,'Schedule 2A Adjustments'!$Y$12,Adjustments!$J:$J,'Schedule 2A Adjustments'!A48)</f>
        <v>0</v>
      </c>
      <c r="AA48" s="322">
        <f t="shared" si="6"/>
        <v>0</v>
      </c>
    </row>
    <row r="49" spans="1:27" x14ac:dyDescent="0.35">
      <c r="A49" s="24">
        <v>35</v>
      </c>
      <c r="B49" s="514" t="str">
        <f>IF('As-Filed Schedule 2A'!B49:D49=0,"",'As-Filed Schedule 2A'!B49:D49)</f>
        <v/>
      </c>
      <c r="C49" s="514"/>
      <c r="D49" s="514"/>
      <c r="F49" s="117">
        <f>'As-Filed Schedule 2A'!F49</f>
        <v>0</v>
      </c>
      <c r="G49" s="309">
        <f>SUMIFS(Adjustments!$G:$G,Adjustments!$H:$H,"2A",Adjustments!$I:$I,'Schedule 2A Adjustments'!$F$12,Adjustments!$J:$J,'Schedule 2A Adjustments'!A49)</f>
        <v>0</v>
      </c>
      <c r="H49" s="305">
        <f t="shared" si="1"/>
        <v>0</v>
      </c>
      <c r="I49" s="68">
        <f>IFERROR(F49*'As-Filed Schedule 1'!$E$103,0)</f>
        <v>0</v>
      </c>
      <c r="J49" s="306">
        <f>IFERROR(H49*'Adjusted Schedule 1'!$E$104,0)</f>
        <v>0</v>
      </c>
      <c r="K49" s="68">
        <f t="shared" si="7"/>
        <v>0</v>
      </c>
      <c r="L49" s="306">
        <f t="shared" si="2"/>
        <v>0</v>
      </c>
      <c r="N49" s="117">
        <f>'As-Filed Schedule 2A'!J49</f>
        <v>0</v>
      </c>
      <c r="O49" s="309">
        <f>SUMIFS(Adjustments!$G:$G,Adjustments!$H:$H,"2A",Adjustments!$I:$I,'Schedule 2A Adjustments'!$N$12,Adjustments!$J:$J,'Schedule 2A Adjustments'!A49)</f>
        <v>0</v>
      </c>
      <c r="P49" s="305">
        <f t="shared" si="3"/>
        <v>0</v>
      </c>
      <c r="Q49" s="68">
        <f>IFERROR(N49*'As-Filed Schedule 1'!$E$103,0)</f>
        <v>0</v>
      </c>
      <c r="R49" s="306">
        <f>IFERROR(P49*'Adjusted Schedule 1'!$E$104,0)</f>
        <v>0</v>
      </c>
      <c r="S49" s="68">
        <f t="shared" si="8"/>
        <v>0</v>
      </c>
      <c r="T49" s="306">
        <f t="shared" si="4"/>
        <v>0</v>
      </c>
      <c r="V49" s="119">
        <f>'As-Filed Schedule 2A'!N49</f>
        <v>0</v>
      </c>
      <c r="W49" s="309">
        <f>SUMIFS(Adjustments!$G:$G,Adjustments!$H:$H,"2A",Adjustments!$I:$I,'Schedule 2A Adjustments'!$V$12,Adjustments!$J:$J,'Schedule 2A Adjustments'!A49)</f>
        <v>0</v>
      </c>
      <c r="X49" s="322">
        <f t="shared" si="5"/>
        <v>0</v>
      </c>
      <c r="Y49" s="119">
        <f>'As-Filed Schedule 2A'!O49</f>
        <v>0</v>
      </c>
      <c r="Z49" s="309">
        <f>SUMIFS(Adjustments!$G:$G,Adjustments!$H:$H,"2A",Adjustments!$I:$I,'Schedule 2A Adjustments'!$Y$12,Adjustments!$J:$J,'Schedule 2A Adjustments'!A49)</f>
        <v>0</v>
      </c>
      <c r="AA49" s="322">
        <f t="shared" si="6"/>
        <v>0</v>
      </c>
    </row>
    <row r="50" spans="1:27" x14ac:dyDescent="0.35">
      <c r="A50" s="24">
        <v>36</v>
      </c>
      <c r="B50" s="514" t="str">
        <f>IF('As-Filed Schedule 2A'!B50:D50=0,"",'As-Filed Schedule 2A'!B50:D50)</f>
        <v/>
      </c>
      <c r="C50" s="514"/>
      <c r="D50" s="514"/>
      <c r="F50" s="117">
        <f>'As-Filed Schedule 2A'!F50</f>
        <v>0</v>
      </c>
      <c r="G50" s="309">
        <f>SUMIFS(Adjustments!$G:$G,Adjustments!$H:$H,"2A",Adjustments!$I:$I,'Schedule 2A Adjustments'!$F$12,Adjustments!$J:$J,'Schedule 2A Adjustments'!A50)</f>
        <v>0</v>
      </c>
      <c r="H50" s="305">
        <f t="shared" si="1"/>
        <v>0</v>
      </c>
      <c r="I50" s="68">
        <f>IFERROR(F50*'As-Filed Schedule 1'!$E$103,0)</f>
        <v>0</v>
      </c>
      <c r="J50" s="306">
        <f>IFERROR(H50*'Adjusted Schedule 1'!$E$104,0)</f>
        <v>0</v>
      </c>
      <c r="K50" s="68">
        <f t="shared" si="7"/>
        <v>0</v>
      </c>
      <c r="L50" s="306">
        <f t="shared" si="2"/>
        <v>0</v>
      </c>
      <c r="N50" s="117">
        <f>'As-Filed Schedule 2A'!J50</f>
        <v>0</v>
      </c>
      <c r="O50" s="309">
        <f>SUMIFS(Adjustments!$G:$G,Adjustments!$H:$H,"2A",Adjustments!$I:$I,'Schedule 2A Adjustments'!$N$12,Adjustments!$J:$J,'Schedule 2A Adjustments'!A50)</f>
        <v>0</v>
      </c>
      <c r="P50" s="305">
        <f t="shared" si="3"/>
        <v>0</v>
      </c>
      <c r="Q50" s="68">
        <f>IFERROR(N50*'As-Filed Schedule 1'!$E$103,0)</f>
        <v>0</v>
      </c>
      <c r="R50" s="306">
        <f>IFERROR(P50*'Adjusted Schedule 1'!$E$104,0)</f>
        <v>0</v>
      </c>
      <c r="S50" s="68">
        <f t="shared" si="8"/>
        <v>0</v>
      </c>
      <c r="T50" s="306">
        <f t="shared" si="4"/>
        <v>0</v>
      </c>
      <c r="V50" s="119">
        <f>'As-Filed Schedule 2A'!N50</f>
        <v>0</v>
      </c>
      <c r="W50" s="309">
        <f>SUMIFS(Adjustments!$G:$G,Adjustments!$H:$H,"2A",Adjustments!$I:$I,'Schedule 2A Adjustments'!$V$12,Adjustments!$J:$J,'Schedule 2A Adjustments'!A50)</f>
        <v>0</v>
      </c>
      <c r="X50" s="322">
        <f t="shared" si="5"/>
        <v>0</v>
      </c>
      <c r="Y50" s="119">
        <f>'As-Filed Schedule 2A'!O50</f>
        <v>0</v>
      </c>
      <c r="Z50" s="309">
        <f>SUMIFS(Adjustments!$G:$G,Adjustments!$H:$H,"2A",Adjustments!$I:$I,'Schedule 2A Adjustments'!$Y$12,Adjustments!$J:$J,'Schedule 2A Adjustments'!A50)</f>
        <v>0</v>
      </c>
      <c r="AA50" s="322">
        <f t="shared" si="6"/>
        <v>0</v>
      </c>
    </row>
    <row r="51" spans="1:27" x14ac:dyDescent="0.35">
      <c r="A51" s="24">
        <v>37</v>
      </c>
      <c r="B51" s="514" t="str">
        <f>IF('As-Filed Schedule 2A'!B51:D51=0,"",'As-Filed Schedule 2A'!B51:D51)</f>
        <v/>
      </c>
      <c r="C51" s="514"/>
      <c r="D51" s="514"/>
      <c r="F51" s="117">
        <f>'As-Filed Schedule 2A'!F51</f>
        <v>0</v>
      </c>
      <c r="G51" s="309">
        <f>SUMIFS(Adjustments!$G:$G,Adjustments!$H:$H,"2A",Adjustments!$I:$I,'Schedule 2A Adjustments'!$F$12,Adjustments!$J:$J,'Schedule 2A Adjustments'!A51)</f>
        <v>0</v>
      </c>
      <c r="H51" s="305">
        <f t="shared" si="1"/>
        <v>0</v>
      </c>
      <c r="I51" s="68">
        <f>IFERROR(F51*'As-Filed Schedule 1'!$E$103,0)</f>
        <v>0</v>
      </c>
      <c r="J51" s="306">
        <f>IFERROR(H51*'Adjusted Schedule 1'!$E$104,0)</f>
        <v>0</v>
      </c>
      <c r="K51" s="68">
        <f t="shared" si="7"/>
        <v>0</v>
      </c>
      <c r="L51" s="306">
        <f t="shared" si="2"/>
        <v>0</v>
      </c>
      <c r="N51" s="117">
        <f>'As-Filed Schedule 2A'!J51</f>
        <v>0</v>
      </c>
      <c r="O51" s="309">
        <f>SUMIFS(Adjustments!$G:$G,Adjustments!$H:$H,"2A",Adjustments!$I:$I,'Schedule 2A Adjustments'!$N$12,Adjustments!$J:$J,'Schedule 2A Adjustments'!A51)</f>
        <v>0</v>
      </c>
      <c r="P51" s="305">
        <f t="shared" si="3"/>
        <v>0</v>
      </c>
      <c r="Q51" s="68">
        <f>IFERROR(N51*'As-Filed Schedule 1'!$E$103,0)</f>
        <v>0</v>
      </c>
      <c r="R51" s="306">
        <f>IFERROR(P51*'Adjusted Schedule 1'!$E$104,0)</f>
        <v>0</v>
      </c>
      <c r="S51" s="68">
        <f t="shared" si="8"/>
        <v>0</v>
      </c>
      <c r="T51" s="306">
        <f t="shared" si="4"/>
        <v>0</v>
      </c>
      <c r="V51" s="119">
        <f>'As-Filed Schedule 2A'!N51</f>
        <v>0</v>
      </c>
      <c r="W51" s="309">
        <f>SUMIFS(Adjustments!$G:$G,Adjustments!$H:$H,"2A",Adjustments!$I:$I,'Schedule 2A Adjustments'!$V$12,Adjustments!$J:$J,'Schedule 2A Adjustments'!A51)</f>
        <v>0</v>
      </c>
      <c r="X51" s="322">
        <f t="shared" si="5"/>
        <v>0</v>
      </c>
      <c r="Y51" s="119">
        <f>'As-Filed Schedule 2A'!O51</f>
        <v>0</v>
      </c>
      <c r="Z51" s="309">
        <f>SUMIFS(Adjustments!$G:$G,Adjustments!$H:$H,"2A",Adjustments!$I:$I,'Schedule 2A Adjustments'!$Y$12,Adjustments!$J:$J,'Schedule 2A Adjustments'!A51)</f>
        <v>0</v>
      </c>
      <c r="AA51" s="322">
        <f t="shared" si="6"/>
        <v>0</v>
      </c>
    </row>
    <row r="52" spans="1:27" x14ac:dyDescent="0.35">
      <c r="A52" s="24">
        <v>38</v>
      </c>
      <c r="B52" s="514" t="str">
        <f>IF('As-Filed Schedule 2A'!B52:D52=0,"",'As-Filed Schedule 2A'!B52:D52)</f>
        <v/>
      </c>
      <c r="C52" s="514"/>
      <c r="D52" s="514"/>
      <c r="F52" s="117">
        <f>'As-Filed Schedule 2A'!F52</f>
        <v>0</v>
      </c>
      <c r="G52" s="309">
        <f>SUMIFS(Adjustments!$G:$G,Adjustments!$H:$H,"2A",Adjustments!$I:$I,'Schedule 2A Adjustments'!$F$12,Adjustments!$J:$J,'Schedule 2A Adjustments'!A52)</f>
        <v>0</v>
      </c>
      <c r="H52" s="305">
        <f t="shared" si="1"/>
        <v>0</v>
      </c>
      <c r="I52" s="68">
        <f>IFERROR(F52*'As-Filed Schedule 1'!$E$103,0)</f>
        <v>0</v>
      </c>
      <c r="J52" s="306">
        <f>IFERROR(H52*'Adjusted Schedule 1'!$E$104,0)</f>
        <v>0</v>
      </c>
      <c r="K52" s="68">
        <f t="shared" si="7"/>
        <v>0</v>
      </c>
      <c r="L52" s="306">
        <f t="shared" si="2"/>
        <v>0</v>
      </c>
      <c r="N52" s="117">
        <f>'As-Filed Schedule 2A'!J52</f>
        <v>0</v>
      </c>
      <c r="O52" s="309">
        <f>SUMIFS(Adjustments!$G:$G,Adjustments!$H:$H,"2A",Adjustments!$I:$I,'Schedule 2A Adjustments'!$N$12,Adjustments!$J:$J,'Schedule 2A Adjustments'!A52)</f>
        <v>0</v>
      </c>
      <c r="P52" s="305">
        <f t="shared" si="3"/>
        <v>0</v>
      </c>
      <c r="Q52" s="68">
        <f>IFERROR(N52*'As-Filed Schedule 1'!$E$103,0)</f>
        <v>0</v>
      </c>
      <c r="R52" s="306">
        <f>IFERROR(P52*'Adjusted Schedule 1'!$E$104,0)</f>
        <v>0</v>
      </c>
      <c r="S52" s="68">
        <f t="shared" si="8"/>
        <v>0</v>
      </c>
      <c r="T52" s="306">
        <f t="shared" si="4"/>
        <v>0</v>
      </c>
      <c r="V52" s="119">
        <f>'As-Filed Schedule 2A'!N52</f>
        <v>0</v>
      </c>
      <c r="W52" s="309">
        <f>SUMIFS(Adjustments!$G:$G,Adjustments!$H:$H,"2A",Adjustments!$I:$I,'Schedule 2A Adjustments'!$V$12,Adjustments!$J:$J,'Schedule 2A Adjustments'!A52)</f>
        <v>0</v>
      </c>
      <c r="X52" s="322">
        <f t="shared" si="5"/>
        <v>0</v>
      </c>
      <c r="Y52" s="119">
        <f>'As-Filed Schedule 2A'!O52</f>
        <v>0</v>
      </c>
      <c r="Z52" s="309">
        <f>SUMIFS(Adjustments!$G:$G,Adjustments!$H:$H,"2A",Adjustments!$I:$I,'Schedule 2A Adjustments'!$Y$12,Adjustments!$J:$J,'Schedule 2A Adjustments'!A52)</f>
        <v>0</v>
      </c>
      <c r="AA52" s="322">
        <f t="shared" si="6"/>
        <v>0</v>
      </c>
    </row>
    <row r="53" spans="1:27" x14ac:dyDescent="0.35">
      <c r="A53" s="24">
        <v>39</v>
      </c>
      <c r="B53" s="514" t="str">
        <f>IF('As-Filed Schedule 2A'!B53:D53=0,"",'As-Filed Schedule 2A'!B53:D53)</f>
        <v/>
      </c>
      <c r="C53" s="514"/>
      <c r="D53" s="514"/>
      <c r="F53" s="117">
        <f>'As-Filed Schedule 2A'!F53</f>
        <v>0</v>
      </c>
      <c r="G53" s="309">
        <f>SUMIFS(Adjustments!$G:$G,Adjustments!$H:$H,"2A",Adjustments!$I:$I,'Schedule 2A Adjustments'!$F$12,Adjustments!$J:$J,'Schedule 2A Adjustments'!A53)</f>
        <v>0</v>
      </c>
      <c r="H53" s="305">
        <f t="shared" si="1"/>
        <v>0</v>
      </c>
      <c r="I53" s="68">
        <f>IFERROR(F53*'As-Filed Schedule 1'!$E$103,0)</f>
        <v>0</v>
      </c>
      <c r="J53" s="306">
        <f>IFERROR(H53*'Adjusted Schedule 1'!$E$104,0)</f>
        <v>0</v>
      </c>
      <c r="K53" s="68">
        <f t="shared" si="7"/>
        <v>0</v>
      </c>
      <c r="L53" s="306">
        <f t="shared" si="2"/>
        <v>0</v>
      </c>
      <c r="N53" s="117">
        <f>'As-Filed Schedule 2A'!J53</f>
        <v>0</v>
      </c>
      <c r="O53" s="309">
        <f>SUMIFS(Adjustments!$G:$G,Adjustments!$H:$H,"2A",Adjustments!$I:$I,'Schedule 2A Adjustments'!$N$12,Adjustments!$J:$J,'Schedule 2A Adjustments'!A53)</f>
        <v>0</v>
      </c>
      <c r="P53" s="305">
        <f t="shared" si="3"/>
        <v>0</v>
      </c>
      <c r="Q53" s="68">
        <f>IFERROR(N53*'As-Filed Schedule 1'!$E$103,0)</f>
        <v>0</v>
      </c>
      <c r="R53" s="306">
        <f>IFERROR(P53*'Adjusted Schedule 1'!$E$104,0)</f>
        <v>0</v>
      </c>
      <c r="S53" s="68">
        <f t="shared" si="8"/>
        <v>0</v>
      </c>
      <c r="T53" s="306">
        <f t="shared" si="4"/>
        <v>0</v>
      </c>
      <c r="V53" s="119">
        <f>'As-Filed Schedule 2A'!N53</f>
        <v>0</v>
      </c>
      <c r="W53" s="309">
        <f>SUMIFS(Adjustments!$G:$G,Adjustments!$H:$H,"2A",Adjustments!$I:$I,'Schedule 2A Adjustments'!$V$12,Adjustments!$J:$J,'Schedule 2A Adjustments'!A53)</f>
        <v>0</v>
      </c>
      <c r="X53" s="322">
        <f t="shared" si="5"/>
        <v>0</v>
      </c>
      <c r="Y53" s="119">
        <f>'As-Filed Schedule 2A'!O53</f>
        <v>0</v>
      </c>
      <c r="Z53" s="309">
        <f>SUMIFS(Adjustments!$G:$G,Adjustments!$H:$H,"2A",Adjustments!$I:$I,'Schedule 2A Adjustments'!$Y$12,Adjustments!$J:$J,'Schedule 2A Adjustments'!A53)</f>
        <v>0</v>
      </c>
      <c r="AA53" s="322">
        <f t="shared" si="6"/>
        <v>0</v>
      </c>
    </row>
    <row r="54" spans="1:27" x14ac:dyDescent="0.35">
      <c r="A54" s="24">
        <v>40</v>
      </c>
      <c r="B54" s="514" t="str">
        <f>IF('As-Filed Schedule 2A'!B54:D54=0,"",'As-Filed Schedule 2A'!B54:D54)</f>
        <v/>
      </c>
      <c r="C54" s="514"/>
      <c r="D54" s="514"/>
      <c r="F54" s="117">
        <f>'As-Filed Schedule 2A'!F54</f>
        <v>0</v>
      </c>
      <c r="G54" s="309">
        <f>SUMIFS(Adjustments!$G:$G,Adjustments!$H:$H,"2A",Adjustments!$I:$I,'Schedule 2A Adjustments'!$F$12,Adjustments!$J:$J,'Schedule 2A Adjustments'!A54)</f>
        <v>0</v>
      </c>
      <c r="H54" s="305">
        <f t="shared" si="1"/>
        <v>0</v>
      </c>
      <c r="I54" s="68">
        <f>IFERROR(F54*'As-Filed Schedule 1'!$E$103,0)</f>
        <v>0</v>
      </c>
      <c r="J54" s="306">
        <f>IFERROR(H54*'Adjusted Schedule 1'!$E$104,0)</f>
        <v>0</v>
      </c>
      <c r="K54" s="68">
        <f t="shared" si="7"/>
        <v>0</v>
      </c>
      <c r="L54" s="306">
        <f t="shared" si="2"/>
        <v>0</v>
      </c>
      <c r="N54" s="117">
        <f>'As-Filed Schedule 2A'!J54</f>
        <v>0</v>
      </c>
      <c r="O54" s="309">
        <f>SUMIFS(Adjustments!$G:$G,Adjustments!$H:$H,"2A",Adjustments!$I:$I,'Schedule 2A Adjustments'!$N$12,Adjustments!$J:$J,'Schedule 2A Adjustments'!A54)</f>
        <v>0</v>
      </c>
      <c r="P54" s="305">
        <f t="shared" si="3"/>
        <v>0</v>
      </c>
      <c r="Q54" s="68">
        <f>IFERROR(N54*'As-Filed Schedule 1'!$E$103,0)</f>
        <v>0</v>
      </c>
      <c r="R54" s="306">
        <f>IFERROR(P54*'Adjusted Schedule 1'!$E$104,0)</f>
        <v>0</v>
      </c>
      <c r="S54" s="68">
        <f t="shared" si="8"/>
        <v>0</v>
      </c>
      <c r="T54" s="306">
        <f t="shared" si="4"/>
        <v>0</v>
      </c>
      <c r="V54" s="119">
        <f>'As-Filed Schedule 2A'!N54</f>
        <v>0</v>
      </c>
      <c r="W54" s="309">
        <f>SUMIFS(Adjustments!$G:$G,Adjustments!$H:$H,"2A",Adjustments!$I:$I,'Schedule 2A Adjustments'!$V$12,Adjustments!$J:$J,'Schedule 2A Adjustments'!A54)</f>
        <v>0</v>
      </c>
      <c r="X54" s="322">
        <f t="shared" si="5"/>
        <v>0</v>
      </c>
      <c r="Y54" s="119">
        <f>'As-Filed Schedule 2A'!O54</f>
        <v>0</v>
      </c>
      <c r="Z54" s="309">
        <f>SUMIFS(Adjustments!$G:$G,Adjustments!$H:$H,"2A",Adjustments!$I:$I,'Schedule 2A Adjustments'!$Y$12,Adjustments!$J:$J,'Schedule 2A Adjustments'!A54)</f>
        <v>0</v>
      </c>
      <c r="AA54" s="322">
        <f t="shared" si="6"/>
        <v>0</v>
      </c>
    </row>
    <row r="55" spans="1:27" x14ac:dyDescent="0.35">
      <c r="A55" s="24">
        <v>41</v>
      </c>
      <c r="B55" s="514" t="str">
        <f>IF('As-Filed Schedule 2A'!B55:D55=0,"",'As-Filed Schedule 2A'!B55:D55)</f>
        <v/>
      </c>
      <c r="C55" s="514"/>
      <c r="D55" s="514"/>
      <c r="F55" s="117">
        <f>'As-Filed Schedule 2A'!F55</f>
        <v>0</v>
      </c>
      <c r="G55" s="309">
        <f>SUMIFS(Adjustments!$G:$G,Adjustments!$H:$H,"2A",Adjustments!$I:$I,'Schedule 2A Adjustments'!$F$12,Adjustments!$J:$J,'Schedule 2A Adjustments'!A55)</f>
        <v>0</v>
      </c>
      <c r="H55" s="305">
        <f t="shared" si="1"/>
        <v>0</v>
      </c>
      <c r="I55" s="68">
        <f>IFERROR(F55*'As-Filed Schedule 1'!$E$103,0)</f>
        <v>0</v>
      </c>
      <c r="J55" s="306">
        <f>IFERROR(H55*'Adjusted Schedule 1'!$E$104,0)</f>
        <v>0</v>
      </c>
      <c r="K55" s="68">
        <f t="shared" si="7"/>
        <v>0</v>
      </c>
      <c r="L55" s="306">
        <f t="shared" si="2"/>
        <v>0</v>
      </c>
      <c r="N55" s="117">
        <f>'As-Filed Schedule 2A'!J55</f>
        <v>0</v>
      </c>
      <c r="O55" s="309">
        <f>SUMIFS(Adjustments!$G:$G,Adjustments!$H:$H,"2A",Adjustments!$I:$I,'Schedule 2A Adjustments'!$N$12,Adjustments!$J:$J,'Schedule 2A Adjustments'!A55)</f>
        <v>0</v>
      </c>
      <c r="P55" s="305">
        <f t="shared" si="3"/>
        <v>0</v>
      </c>
      <c r="Q55" s="68">
        <f>IFERROR(N55*'As-Filed Schedule 1'!$E$103,0)</f>
        <v>0</v>
      </c>
      <c r="R55" s="306">
        <f>IFERROR(P55*'Adjusted Schedule 1'!$E$104,0)</f>
        <v>0</v>
      </c>
      <c r="S55" s="68">
        <f t="shared" si="8"/>
        <v>0</v>
      </c>
      <c r="T55" s="306">
        <f t="shared" si="4"/>
        <v>0</v>
      </c>
      <c r="V55" s="119">
        <f>'As-Filed Schedule 2A'!N55</f>
        <v>0</v>
      </c>
      <c r="W55" s="309">
        <f>SUMIFS(Adjustments!$G:$G,Adjustments!$H:$H,"2A",Adjustments!$I:$I,'Schedule 2A Adjustments'!$V$12,Adjustments!$J:$J,'Schedule 2A Adjustments'!A55)</f>
        <v>0</v>
      </c>
      <c r="X55" s="322">
        <f t="shared" si="5"/>
        <v>0</v>
      </c>
      <c r="Y55" s="119">
        <f>'As-Filed Schedule 2A'!O55</f>
        <v>0</v>
      </c>
      <c r="Z55" s="309">
        <f>SUMIFS(Adjustments!$G:$G,Adjustments!$H:$H,"2A",Adjustments!$I:$I,'Schedule 2A Adjustments'!$Y$12,Adjustments!$J:$J,'Schedule 2A Adjustments'!A55)</f>
        <v>0</v>
      </c>
      <c r="AA55" s="322">
        <f t="shared" si="6"/>
        <v>0</v>
      </c>
    </row>
    <row r="56" spans="1:27" x14ac:dyDescent="0.35">
      <c r="A56" s="24">
        <v>42</v>
      </c>
      <c r="B56" s="514" t="str">
        <f>IF('As-Filed Schedule 2A'!B56:D56=0,"",'As-Filed Schedule 2A'!B56:D56)</f>
        <v/>
      </c>
      <c r="C56" s="514"/>
      <c r="D56" s="514"/>
      <c r="F56" s="117">
        <f>'As-Filed Schedule 2A'!F56</f>
        <v>0</v>
      </c>
      <c r="G56" s="309">
        <f>SUMIFS(Adjustments!$G:$G,Adjustments!$H:$H,"2A",Adjustments!$I:$I,'Schedule 2A Adjustments'!$F$12,Adjustments!$J:$J,'Schedule 2A Adjustments'!A56)</f>
        <v>0</v>
      </c>
      <c r="H56" s="305">
        <f t="shared" si="1"/>
        <v>0</v>
      </c>
      <c r="I56" s="68">
        <f>IFERROR(F56*'As-Filed Schedule 1'!$E$103,0)</f>
        <v>0</v>
      </c>
      <c r="J56" s="306">
        <f>IFERROR(H56*'Adjusted Schedule 1'!$E$104,0)</f>
        <v>0</v>
      </c>
      <c r="K56" s="68">
        <f t="shared" si="7"/>
        <v>0</v>
      </c>
      <c r="L56" s="306">
        <f t="shared" si="2"/>
        <v>0</v>
      </c>
      <c r="N56" s="117">
        <f>'As-Filed Schedule 2A'!J56</f>
        <v>0</v>
      </c>
      <c r="O56" s="309">
        <f>SUMIFS(Adjustments!$G:$G,Adjustments!$H:$H,"2A",Adjustments!$I:$I,'Schedule 2A Adjustments'!$N$12,Adjustments!$J:$J,'Schedule 2A Adjustments'!A56)</f>
        <v>0</v>
      </c>
      <c r="P56" s="305">
        <f t="shared" si="3"/>
        <v>0</v>
      </c>
      <c r="Q56" s="68">
        <f>IFERROR(N56*'As-Filed Schedule 1'!$E$103,0)</f>
        <v>0</v>
      </c>
      <c r="R56" s="306">
        <f>IFERROR(P56*'Adjusted Schedule 1'!$E$104,0)</f>
        <v>0</v>
      </c>
      <c r="S56" s="68">
        <f t="shared" si="8"/>
        <v>0</v>
      </c>
      <c r="T56" s="306">
        <f t="shared" si="4"/>
        <v>0</v>
      </c>
      <c r="V56" s="119">
        <f>'As-Filed Schedule 2A'!N56</f>
        <v>0</v>
      </c>
      <c r="W56" s="309">
        <f>SUMIFS(Adjustments!$G:$G,Adjustments!$H:$H,"2A",Adjustments!$I:$I,'Schedule 2A Adjustments'!$V$12,Adjustments!$J:$J,'Schedule 2A Adjustments'!A56)</f>
        <v>0</v>
      </c>
      <c r="X56" s="322">
        <f t="shared" si="5"/>
        <v>0</v>
      </c>
      <c r="Y56" s="119">
        <f>'As-Filed Schedule 2A'!O56</f>
        <v>0</v>
      </c>
      <c r="Z56" s="309">
        <f>SUMIFS(Adjustments!$G:$G,Adjustments!$H:$H,"2A",Adjustments!$I:$I,'Schedule 2A Adjustments'!$Y$12,Adjustments!$J:$J,'Schedule 2A Adjustments'!A56)</f>
        <v>0</v>
      </c>
      <c r="AA56" s="322">
        <f t="shared" si="6"/>
        <v>0</v>
      </c>
    </row>
    <row r="57" spans="1:27" x14ac:dyDescent="0.35">
      <c r="A57" s="24">
        <v>43</v>
      </c>
      <c r="B57" s="514" t="str">
        <f>IF('As-Filed Schedule 2A'!B57:D57=0,"",'As-Filed Schedule 2A'!B57:D57)</f>
        <v/>
      </c>
      <c r="C57" s="514"/>
      <c r="D57" s="514"/>
      <c r="F57" s="117">
        <f>'As-Filed Schedule 2A'!F57</f>
        <v>0</v>
      </c>
      <c r="G57" s="309">
        <f>SUMIFS(Adjustments!$G:$G,Adjustments!$H:$H,"2A",Adjustments!$I:$I,'Schedule 2A Adjustments'!$F$12,Adjustments!$J:$J,'Schedule 2A Adjustments'!A57)</f>
        <v>0</v>
      </c>
      <c r="H57" s="305">
        <f t="shared" si="1"/>
        <v>0</v>
      </c>
      <c r="I57" s="68">
        <f>IFERROR(F57*'As-Filed Schedule 1'!$E$103,0)</f>
        <v>0</v>
      </c>
      <c r="J57" s="306">
        <f>IFERROR(H57*'Adjusted Schedule 1'!$E$104,0)</f>
        <v>0</v>
      </c>
      <c r="K57" s="68">
        <f t="shared" si="7"/>
        <v>0</v>
      </c>
      <c r="L57" s="306">
        <f t="shared" si="2"/>
        <v>0</v>
      </c>
      <c r="N57" s="117">
        <f>'As-Filed Schedule 2A'!J57</f>
        <v>0</v>
      </c>
      <c r="O57" s="309">
        <f>SUMIFS(Adjustments!$G:$G,Adjustments!$H:$H,"2A",Adjustments!$I:$I,'Schedule 2A Adjustments'!$N$12,Adjustments!$J:$J,'Schedule 2A Adjustments'!A57)</f>
        <v>0</v>
      </c>
      <c r="P57" s="305">
        <f t="shared" si="3"/>
        <v>0</v>
      </c>
      <c r="Q57" s="68">
        <f>IFERROR(N57*'As-Filed Schedule 1'!$E$103,0)</f>
        <v>0</v>
      </c>
      <c r="R57" s="306">
        <f>IFERROR(P57*'Adjusted Schedule 1'!$E$104,0)</f>
        <v>0</v>
      </c>
      <c r="S57" s="68">
        <f t="shared" si="8"/>
        <v>0</v>
      </c>
      <c r="T57" s="306">
        <f t="shared" si="4"/>
        <v>0</v>
      </c>
      <c r="V57" s="119">
        <f>'As-Filed Schedule 2A'!N57</f>
        <v>0</v>
      </c>
      <c r="W57" s="309">
        <f>SUMIFS(Adjustments!$G:$G,Adjustments!$H:$H,"2A",Adjustments!$I:$I,'Schedule 2A Adjustments'!$V$12,Adjustments!$J:$J,'Schedule 2A Adjustments'!A57)</f>
        <v>0</v>
      </c>
      <c r="X57" s="322">
        <f t="shared" si="5"/>
        <v>0</v>
      </c>
      <c r="Y57" s="119">
        <f>'As-Filed Schedule 2A'!O57</f>
        <v>0</v>
      </c>
      <c r="Z57" s="309">
        <f>SUMIFS(Adjustments!$G:$G,Adjustments!$H:$H,"2A",Adjustments!$I:$I,'Schedule 2A Adjustments'!$Y$12,Adjustments!$J:$J,'Schedule 2A Adjustments'!A57)</f>
        <v>0</v>
      </c>
      <c r="AA57" s="322">
        <f t="shared" si="6"/>
        <v>0</v>
      </c>
    </row>
    <row r="58" spans="1:27" x14ac:dyDescent="0.35">
      <c r="A58" s="24">
        <v>44</v>
      </c>
      <c r="B58" s="514" t="str">
        <f>IF('As-Filed Schedule 2A'!B58:D58=0,"",'As-Filed Schedule 2A'!B58:D58)</f>
        <v/>
      </c>
      <c r="C58" s="514"/>
      <c r="D58" s="514"/>
      <c r="F58" s="117">
        <f>'As-Filed Schedule 2A'!F58</f>
        <v>0</v>
      </c>
      <c r="G58" s="309">
        <f>SUMIFS(Adjustments!$G:$G,Adjustments!$H:$H,"2A",Adjustments!$I:$I,'Schedule 2A Adjustments'!$F$12,Adjustments!$J:$J,'Schedule 2A Adjustments'!A58)</f>
        <v>0</v>
      </c>
      <c r="H58" s="305">
        <f t="shared" si="1"/>
        <v>0</v>
      </c>
      <c r="I58" s="68">
        <f>IFERROR(F58*'As-Filed Schedule 1'!$E$103,0)</f>
        <v>0</v>
      </c>
      <c r="J58" s="306">
        <f>IFERROR(H58*'Adjusted Schedule 1'!$E$104,0)</f>
        <v>0</v>
      </c>
      <c r="K58" s="68">
        <f t="shared" si="7"/>
        <v>0</v>
      </c>
      <c r="L58" s="306">
        <f t="shared" si="2"/>
        <v>0</v>
      </c>
      <c r="N58" s="117">
        <f>'As-Filed Schedule 2A'!J58</f>
        <v>0</v>
      </c>
      <c r="O58" s="309">
        <f>SUMIFS(Adjustments!$G:$G,Adjustments!$H:$H,"2A",Adjustments!$I:$I,'Schedule 2A Adjustments'!$N$12,Adjustments!$J:$J,'Schedule 2A Adjustments'!A58)</f>
        <v>0</v>
      </c>
      <c r="P58" s="305">
        <f t="shared" si="3"/>
        <v>0</v>
      </c>
      <c r="Q58" s="68">
        <f>IFERROR(N58*'As-Filed Schedule 1'!$E$103,0)</f>
        <v>0</v>
      </c>
      <c r="R58" s="306">
        <f>IFERROR(P58*'Adjusted Schedule 1'!$E$104,0)</f>
        <v>0</v>
      </c>
      <c r="S58" s="68">
        <f t="shared" si="8"/>
        <v>0</v>
      </c>
      <c r="T58" s="306">
        <f t="shared" si="4"/>
        <v>0</v>
      </c>
      <c r="V58" s="119">
        <f>'As-Filed Schedule 2A'!N58</f>
        <v>0</v>
      </c>
      <c r="W58" s="309">
        <f>SUMIFS(Adjustments!$G:$G,Adjustments!$H:$H,"2A",Adjustments!$I:$I,'Schedule 2A Adjustments'!$V$12,Adjustments!$J:$J,'Schedule 2A Adjustments'!A58)</f>
        <v>0</v>
      </c>
      <c r="X58" s="322">
        <f t="shared" si="5"/>
        <v>0</v>
      </c>
      <c r="Y58" s="119">
        <f>'As-Filed Schedule 2A'!O58</f>
        <v>0</v>
      </c>
      <c r="Z58" s="309">
        <f>SUMIFS(Adjustments!$G:$G,Adjustments!$H:$H,"2A",Adjustments!$I:$I,'Schedule 2A Adjustments'!$Y$12,Adjustments!$J:$J,'Schedule 2A Adjustments'!A58)</f>
        <v>0</v>
      </c>
      <c r="AA58" s="322">
        <f t="shared" si="6"/>
        <v>0</v>
      </c>
    </row>
    <row r="59" spans="1:27" x14ac:dyDescent="0.35">
      <c r="A59" s="24">
        <v>45</v>
      </c>
      <c r="B59" s="514" t="str">
        <f>IF('As-Filed Schedule 2A'!B59:D59=0,"",'As-Filed Schedule 2A'!B59:D59)</f>
        <v/>
      </c>
      <c r="C59" s="514"/>
      <c r="D59" s="514"/>
      <c r="F59" s="117">
        <f>'As-Filed Schedule 2A'!F59</f>
        <v>0</v>
      </c>
      <c r="G59" s="309">
        <f>SUMIFS(Adjustments!$G:$G,Adjustments!$H:$H,"2A",Adjustments!$I:$I,'Schedule 2A Adjustments'!$F$12,Adjustments!$J:$J,'Schedule 2A Adjustments'!A59)</f>
        <v>0</v>
      </c>
      <c r="H59" s="305">
        <f t="shared" si="1"/>
        <v>0</v>
      </c>
      <c r="I59" s="68">
        <f>IFERROR(F59*'As-Filed Schedule 1'!$E$103,0)</f>
        <v>0</v>
      </c>
      <c r="J59" s="306">
        <f>IFERROR(H59*'Adjusted Schedule 1'!$E$104,0)</f>
        <v>0</v>
      </c>
      <c r="K59" s="68">
        <f t="shared" si="7"/>
        <v>0</v>
      </c>
      <c r="L59" s="306">
        <f t="shared" si="2"/>
        <v>0</v>
      </c>
      <c r="N59" s="117">
        <f>'As-Filed Schedule 2A'!J59</f>
        <v>0</v>
      </c>
      <c r="O59" s="309">
        <f>SUMIFS(Adjustments!$G:$G,Adjustments!$H:$H,"2A",Adjustments!$I:$I,'Schedule 2A Adjustments'!$N$12,Adjustments!$J:$J,'Schedule 2A Adjustments'!A59)</f>
        <v>0</v>
      </c>
      <c r="P59" s="305">
        <f t="shared" si="3"/>
        <v>0</v>
      </c>
      <c r="Q59" s="68">
        <f>IFERROR(N59*'As-Filed Schedule 1'!$E$103,0)</f>
        <v>0</v>
      </c>
      <c r="R59" s="306">
        <f>IFERROR(P59*'Adjusted Schedule 1'!$E$104,0)</f>
        <v>0</v>
      </c>
      <c r="S59" s="68">
        <f t="shared" si="8"/>
        <v>0</v>
      </c>
      <c r="T59" s="306">
        <f t="shared" si="4"/>
        <v>0</v>
      </c>
      <c r="V59" s="119">
        <f>'As-Filed Schedule 2A'!N59</f>
        <v>0</v>
      </c>
      <c r="W59" s="309">
        <f>SUMIFS(Adjustments!$G:$G,Adjustments!$H:$H,"2A",Adjustments!$I:$I,'Schedule 2A Adjustments'!$V$12,Adjustments!$J:$J,'Schedule 2A Adjustments'!A59)</f>
        <v>0</v>
      </c>
      <c r="X59" s="322">
        <f t="shared" si="5"/>
        <v>0</v>
      </c>
      <c r="Y59" s="119">
        <f>'As-Filed Schedule 2A'!O59</f>
        <v>0</v>
      </c>
      <c r="Z59" s="309">
        <f>SUMIFS(Adjustments!$G:$G,Adjustments!$H:$H,"2A",Adjustments!$I:$I,'Schedule 2A Adjustments'!$Y$12,Adjustments!$J:$J,'Schedule 2A Adjustments'!A59)</f>
        <v>0</v>
      </c>
      <c r="AA59" s="322">
        <f t="shared" si="6"/>
        <v>0</v>
      </c>
    </row>
    <row r="60" spans="1:27" x14ac:dyDescent="0.35">
      <c r="A60" s="24">
        <v>46</v>
      </c>
      <c r="B60" s="514" t="str">
        <f>IF('As-Filed Schedule 2A'!B60:D60=0,"",'As-Filed Schedule 2A'!B60:D60)</f>
        <v/>
      </c>
      <c r="C60" s="514"/>
      <c r="D60" s="514"/>
      <c r="F60" s="117">
        <f>'As-Filed Schedule 2A'!F60</f>
        <v>0</v>
      </c>
      <c r="G60" s="309">
        <f>SUMIFS(Adjustments!$G:$G,Adjustments!$H:$H,"2A",Adjustments!$I:$I,'Schedule 2A Adjustments'!$F$12,Adjustments!$J:$J,'Schedule 2A Adjustments'!A60)</f>
        <v>0</v>
      </c>
      <c r="H60" s="305">
        <f t="shared" si="1"/>
        <v>0</v>
      </c>
      <c r="I60" s="68">
        <f>IFERROR(F60*'As-Filed Schedule 1'!$E$103,0)</f>
        <v>0</v>
      </c>
      <c r="J60" s="306">
        <f>IFERROR(H60*'Adjusted Schedule 1'!$E$104,0)</f>
        <v>0</v>
      </c>
      <c r="K60" s="68">
        <f t="shared" si="7"/>
        <v>0</v>
      </c>
      <c r="L60" s="306">
        <f t="shared" si="2"/>
        <v>0</v>
      </c>
      <c r="N60" s="117">
        <f>'As-Filed Schedule 2A'!J60</f>
        <v>0</v>
      </c>
      <c r="O60" s="309">
        <f>SUMIFS(Adjustments!$G:$G,Adjustments!$H:$H,"2A",Adjustments!$I:$I,'Schedule 2A Adjustments'!$N$12,Adjustments!$J:$J,'Schedule 2A Adjustments'!A60)</f>
        <v>0</v>
      </c>
      <c r="P60" s="305">
        <f t="shared" si="3"/>
        <v>0</v>
      </c>
      <c r="Q60" s="68">
        <f>IFERROR(N60*'As-Filed Schedule 1'!$E$103,0)</f>
        <v>0</v>
      </c>
      <c r="R60" s="306">
        <f>IFERROR(P60*'Adjusted Schedule 1'!$E$104,0)</f>
        <v>0</v>
      </c>
      <c r="S60" s="68">
        <f t="shared" si="8"/>
        <v>0</v>
      </c>
      <c r="T60" s="306">
        <f t="shared" si="4"/>
        <v>0</v>
      </c>
      <c r="V60" s="119">
        <f>'As-Filed Schedule 2A'!N60</f>
        <v>0</v>
      </c>
      <c r="W60" s="309">
        <f>SUMIFS(Adjustments!$G:$G,Adjustments!$H:$H,"2A",Adjustments!$I:$I,'Schedule 2A Adjustments'!$V$12,Adjustments!$J:$J,'Schedule 2A Adjustments'!A60)</f>
        <v>0</v>
      </c>
      <c r="X60" s="322">
        <f t="shared" si="5"/>
        <v>0</v>
      </c>
      <c r="Y60" s="119">
        <f>'As-Filed Schedule 2A'!O60</f>
        <v>0</v>
      </c>
      <c r="Z60" s="309">
        <f>SUMIFS(Adjustments!$G:$G,Adjustments!$H:$H,"2A",Adjustments!$I:$I,'Schedule 2A Adjustments'!$Y$12,Adjustments!$J:$J,'Schedule 2A Adjustments'!A60)</f>
        <v>0</v>
      </c>
      <c r="AA60" s="322">
        <f t="shared" si="6"/>
        <v>0</v>
      </c>
    </row>
    <row r="61" spans="1:27" x14ac:dyDescent="0.35">
      <c r="A61" s="24">
        <v>47</v>
      </c>
      <c r="B61" s="514" t="str">
        <f>IF('As-Filed Schedule 2A'!B61:D61=0,"",'As-Filed Schedule 2A'!B61:D61)</f>
        <v/>
      </c>
      <c r="C61" s="514"/>
      <c r="D61" s="514"/>
      <c r="F61" s="117">
        <f>'As-Filed Schedule 2A'!F61</f>
        <v>0</v>
      </c>
      <c r="G61" s="309">
        <f>SUMIFS(Adjustments!$G:$G,Adjustments!$H:$H,"2A",Adjustments!$I:$I,'Schedule 2A Adjustments'!$F$12,Adjustments!$J:$J,'Schedule 2A Adjustments'!A61)</f>
        <v>0</v>
      </c>
      <c r="H61" s="305">
        <f t="shared" si="1"/>
        <v>0</v>
      </c>
      <c r="I61" s="68">
        <f>IFERROR(F61*'As-Filed Schedule 1'!$E$103,0)</f>
        <v>0</v>
      </c>
      <c r="J61" s="306">
        <f>IFERROR(H61*'Adjusted Schedule 1'!$E$104,0)</f>
        <v>0</v>
      </c>
      <c r="K61" s="68">
        <f t="shared" si="7"/>
        <v>0</v>
      </c>
      <c r="L61" s="306">
        <f t="shared" si="2"/>
        <v>0</v>
      </c>
      <c r="N61" s="117">
        <f>'As-Filed Schedule 2A'!J61</f>
        <v>0</v>
      </c>
      <c r="O61" s="309">
        <f>SUMIFS(Adjustments!$G:$G,Adjustments!$H:$H,"2A",Adjustments!$I:$I,'Schedule 2A Adjustments'!$N$12,Adjustments!$J:$J,'Schedule 2A Adjustments'!A61)</f>
        <v>0</v>
      </c>
      <c r="P61" s="305">
        <f t="shared" si="3"/>
        <v>0</v>
      </c>
      <c r="Q61" s="68">
        <f>IFERROR(N61*'As-Filed Schedule 1'!$E$103,0)</f>
        <v>0</v>
      </c>
      <c r="R61" s="306">
        <f>IFERROR(P61*'Adjusted Schedule 1'!$E$104,0)</f>
        <v>0</v>
      </c>
      <c r="S61" s="68">
        <f t="shared" si="8"/>
        <v>0</v>
      </c>
      <c r="T61" s="306">
        <f t="shared" si="4"/>
        <v>0</v>
      </c>
      <c r="V61" s="119">
        <f>'As-Filed Schedule 2A'!N61</f>
        <v>0</v>
      </c>
      <c r="W61" s="309">
        <f>SUMIFS(Adjustments!$G:$G,Adjustments!$H:$H,"2A",Adjustments!$I:$I,'Schedule 2A Adjustments'!$V$12,Adjustments!$J:$J,'Schedule 2A Adjustments'!A61)</f>
        <v>0</v>
      </c>
      <c r="X61" s="322">
        <f t="shared" si="5"/>
        <v>0</v>
      </c>
      <c r="Y61" s="119">
        <f>'As-Filed Schedule 2A'!O61</f>
        <v>0</v>
      </c>
      <c r="Z61" s="309">
        <f>SUMIFS(Adjustments!$G:$G,Adjustments!$H:$H,"2A",Adjustments!$I:$I,'Schedule 2A Adjustments'!$Y$12,Adjustments!$J:$J,'Schedule 2A Adjustments'!A61)</f>
        <v>0</v>
      </c>
      <c r="AA61" s="322">
        <f t="shared" si="6"/>
        <v>0</v>
      </c>
    </row>
    <row r="62" spans="1:27" x14ac:dyDescent="0.35">
      <c r="A62" s="24">
        <v>48</v>
      </c>
      <c r="B62" s="514" t="str">
        <f>IF('As-Filed Schedule 2A'!B62:D62=0,"",'As-Filed Schedule 2A'!B62:D62)</f>
        <v/>
      </c>
      <c r="C62" s="514"/>
      <c r="D62" s="514"/>
      <c r="F62" s="117">
        <f>'As-Filed Schedule 2A'!F62</f>
        <v>0</v>
      </c>
      <c r="G62" s="309">
        <f>SUMIFS(Adjustments!$G:$G,Adjustments!$H:$H,"2A",Adjustments!$I:$I,'Schedule 2A Adjustments'!$F$12,Adjustments!$J:$J,'Schedule 2A Adjustments'!A62)</f>
        <v>0</v>
      </c>
      <c r="H62" s="305">
        <f t="shared" si="1"/>
        <v>0</v>
      </c>
      <c r="I62" s="68">
        <f>IFERROR(F62*'As-Filed Schedule 1'!$E$103,0)</f>
        <v>0</v>
      </c>
      <c r="J62" s="306">
        <f>IFERROR(H62*'Adjusted Schedule 1'!$E$104,0)</f>
        <v>0</v>
      </c>
      <c r="K62" s="68">
        <f t="shared" si="7"/>
        <v>0</v>
      </c>
      <c r="L62" s="306">
        <f t="shared" si="2"/>
        <v>0</v>
      </c>
      <c r="N62" s="117">
        <f>'As-Filed Schedule 2A'!J62</f>
        <v>0</v>
      </c>
      <c r="O62" s="309">
        <f>SUMIFS(Adjustments!$G:$G,Adjustments!$H:$H,"2A",Adjustments!$I:$I,'Schedule 2A Adjustments'!$N$12,Adjustments!$J:$J,'Schedule 2A Adjustments'!A62)</f>
        <v>0</v>
      </c>
      <c r="P62" s="305">
        <f t="shared" si="3"/>
        <v>0</v>
      </c>
      <c r="Q62" s="68">
        <f>IFERROR(N62*'As-Filed Schedule 1'!$E$103,0)</f>
        <v>0</v>
      </c>
      <c r="R62" s="306">
        <f>IFERROR(P62*'Adjusted Schedule 1'!$E$104,0)</f>
        <v>0</v>
      </c>
      <c r="S62" s="68">
        <f t="shared" si="8"/>
        <v>0</v>
      </c>
      <c r="T62" s="306">
        <f t="shared" si="4"/>
        <v>0</v>
      </c>
      <c r="V62" s="119">
        <f>'As-Filed Schedule 2A'!N62</f>
        <v>0</v>
      </c>
      <c r="W62" s="309">
        <f>SUMIFS(Adjustments!$G:$G,Adjustments!$H:$H,"2A",Adjustments!$I:$I,'Schedule 2A Adjustments'!$V$12,Adjustments!$J:$J,'Schedule 2A Adjustments'!A62)</f>
        <v>0</v>
      </c>
      <c r="X62" s="322">
        <f t="shared" si="5"/>
        <v>0</v>
      </c>
      <c r="Y62" s="119">
        <f>'As-Filed Schedule 2A'!O62</f>
        <v>0</v>
      </c>
      <c r="Z62" s="309">
        <f>SUMIFS(Adjustments!$G:$G,Adjustments!$H:$H,"2A",Adjustments!$I:$I,'Schedule 2A Adjustments'!$Y$12,Adjustments!$J:$J,'Schedule 2A Adjustments'!A62)</f>
        <v>0</v>
      </c>
      <c r="AA62" s="322">
        <f t="shared" si="6"/>
        <v>0</v>
      </c>
    </row>
    <row r="63" spans="1:27" x14ac:dyDescent="0.35">
      <c r="A63" s="24">
        <v>49</v>
      </c>
      <c r="B63" s="514" t="str">
        <f>IF('As-Filed Schedule 2A'!B63:D63=0,"",'As-Filed Schedule 2A'!B63:D63)</f>
        <v/>
      </c>
      <c r="C63" s="514"/>
      <c r="D63" s="514"/>
      <c r="F63" s="117">
        <f>'As-Filed Schedule 2A'!F63</f>
        <v>0</v>
      </c>
      <c r="G63" s="309">
        <f>SUMIFS(Adjustments!$G:$G,Adjustments!$H:$H,"2A",Adjustments!$I:$I,'Schedule 2A Adjustments'!$F$12,Adjustments!$J:$J,'Schedule 2A Adjustments'!A63)</f>
        <v>0</v>
      </c>
      <c r="H63" s="305">
        <f t="shared" si="1"/>
        <v>0</v>
      </c>
      <c r="I63" s="68">
        <f>IFERROR(F63*'As-Filed Schedule 1'!$E$103,0)</f>
        <v>0</v>
      </c>
      <c r="J63" s="306">
        <f>IFERROR(H63*'Adjusted Schedule 1'!$E$104,0)</f>
        <v>0</v>
      </c>
      <c r="K63" s="68">
        <f t="shared" si="7"/>
        <v>0</v>
      </c>
      <c r="L63" s="306">
        <f t="shared" si="2"/>
        <v>0</v>
      </c>
      <c r="N63" s="117">
        <f>'As-Filed Schedule 2A'!J63</f>
        <v>0</v>
      </c>
      <c r="O63" s="309">
        <f>SUMIFS(Adjustments!$G:$G,Adjustments!$H:$H,"2A",Adjustments!$I:$I,'Schedule 2A Adjustments'!$N$12,Adjustments!$J:$J,'Schedule 2A Adjustments'!A63)</f>
        <v>0</v>
      </c>
      <c r="P63" s="305">
        <f t="shared" si="3"/>
        <v>0</v>
      </c>
      <c r="Q63" s="68">
        <f>IFERROR(N63*'As-Filed Schedule 1'!$E$103,0)</f>
        <v>0</v>
      </c>
      <c r="R63" s="306">
        <f>IFERROR(P63*'Adjusted Schedule 1'!$E$104,0)</f>
        <v>0</v>
      </c>
      <c r="S63" s="68">
        <f t="shared" si="8"/>
        <v>0</v>
      </c>
      <c r="T63" s="306">
        <f t="shared" si="4"/>
        <v>0</v>
      </c>
      <c r="V63" s="119">
        <f>'As-Filed Schedule 2A'!N63</f>
        <v>0</v>
      </c>
      <c r="W63" s="309">
        <f>SUMIFS(Adjustments!$G:$G,Adjustments!$H:$H,"2A",Adjustments!$I:$I,'Schedule 2A Adjustments'!$V$12,Adjustments!$J:$J,'Schedule 2A Adjustments'!A63)</f>
        <v>0</v>
      </c>
      <c r="X63" s="322">
        <f t="shared" si="5"/>
        <v>0</v>
      </c>
      <c r="Y63" s="119">
        <f>'As-Filed Schedule 2A'!O63</f>
        <v>0</v>
      </c>
      <c r="Z63" s="309">
        <f>SUMIFS(Adjustments!$G:$G,Adjustments!$H:$H,"2A",Adjustments!$I:$I,'Schedule 2A Adjustments'!$Y$12,Adjustments!$J:$J,'Schedule 2A Adjustments'!A63)</f>
        <v>0</v>
      </c>
      <c r="AA63" s="322">
        <f t="shared" si="6"/>
        <v>0</v>
      </c>
    </row>
    <row r="64" spans="1:27" x14ac:dyDescent="0.35">
      <c r="A64" s="24">
        <v>50</v>
      </c>
      <c r="B64" s="514" t="str">
        <f>IF('As-Filed Schedule 2A'!B64:D64=0,"",'As-Filed Schedule 2A'!B64:D64)</f>
        <v/>
      </c>
      <c r="C64" s="514"/>
      <c r="D64" s="514"/>
      <c r="F64" s="117">
        <f>'As-Filed Schedule 2A'!F64</f>
        <v>0</v>
      </c>
      <c r="G64" s="309">
        <f>SUMIFS(Adjustments!$G:$G,Adjustments!$H:$H,"2A",Adjustments!$I:$I,'Schedule 2A Adjustments'!$F$12,Adjustments!$J:$J,'Schedule 2A Adjustments'!A64)</f>
        <v>0</v>
      </c>
      <c r="H64" s="305">
        <f t="shared" si="1"/>
        <v>0</v>
      </c>
      <c r="I64" s="68">
        <f>IFERROR(F64*'As-Filed Schedule 1'!$E$103,0)</f>
        <v>0</v>
      </c>
      <c r="J64" s="306">
        <f>IFERROR(H64*'Adjusted Schedule 1'!$E$104,0)</f>
        <v>0</v>
      </c>
      <c r="K64" s="68">
        <f t="shared" si="7"/>
        <v>0</v>
      </c>
      <c r="L64" s="306">
        <f t="shared" si="2"/>
        <v>0</v>
      </c>
      <c r="N64" s="117">
        <f>'As-Filed Schedule 2A'!J64</f>
        <v>0</v>
      </c>
      <c r="O64" s="309">
        <f>SUMIFS(Adjustments!$G:$G,Adjustments!$H:$H,"2A",Adjustments!$I:$I,'Schedule 2A Adjustments'!$N$12,Adjustments!$J:$J,'Schedule 2A Adjustments'!A64)</f>
        <v>0</v>
      </c>
      <c r="P64" s="305">
        <f t="shared" si="3"/>
        <v>0</v>
      </c>
      <c r="Q64" s="68">
        <f>IFERROR(N64*'As-Filed Schedule 1'!$E$103,0)</f>
        <v>0</v>
      </c>
      <c r="R64" s="306">
        <f>IFERROR(P64*'Adjusted Schedule 1'!$E$104,0)</f>
        <v>0</v>
      </c>
      <c r="S64" s="68">
        <f t="shared" si="8"/>
        <v>0</v>
      </c>
      <c r="T64" s="306">
        <f t="shared" si="4"/>
        <v>0</v>
      </c>
      <c r="V64" s="119">
        <f>'As-Filed Schedule 2A'!N64</f>
        <v>0</v>
      </c>
      <c r="W64" s="309">
        <f>SUMIFS(Adjustments!$G:$G,Adjustments!$H:$H,"2A",Adjustments!$I:$I,'Schedule 2A Adjustments'!$V$12,Adjustments!$J:$J,'Schedule 2A Adjustments'!A64)</f>
        <v>0</v>
      </c>
      <c r="X64" s="322">
        <f t="shared" si="5"/>
        <v>0</v>
      </c>
      <c r="Y64" s="119">
        <f>'As-Filed Schedule 2A'!O64</f>
        <v>0</v>
      </c>
      <c r="Z64" s="309">
        <f>SUMIFS(Adjustments!$G:$G,Adjustments!$H:$H,"2A",Adjustments!$I:$I,'Schedule 2A Adjustments'!$Y$12,Adjustments!$J:$J,'Schedule 2A Adjustments'!A64)</f>
        <v>0</v>
      </c>
      <c r="AA64" s="322">
        <f t="shared" si="6"/>
        <v>0</v>
      </c>
    </row>
    <row r="65" spans="1:27" x14ac:dyDescent="0.35">
      <c r="A65" s="24">
        <v>51</v>
      </c>
      <c r="B65" s="514" t="str">
        <f>IF('As-Filed Schedule 2A'!B65:D65=0,"",'As-Filed Schedule 2A'!B65:D65)</f>
        <v/>
      </c>
      <c r="C65" s="514"/>
      <c r="D65" s="514"/>
      <c r="F65" s="117">
        <f>'As-Filed Schedule 2A'!F65</f>
        <v>0</v>
      </c>
      <c r="G65" s="309">
        <f>SUMIFS(Adjustments!$G:$G,Adjustments!$H:$H,"2A",Adjustments!$I:$I,'Schedule 2A Adjustments'!$F$12,Adjustments!$J:$J,'Schedule 2A Adjustments'!A65)</f>
        <v>0</v>
      </c>
      <c r="H65" s="305">
        <f t="shared" si="1"/>
        <v>0</v>
      </c>
      <c r="I65" s="68">
        <f>IFERROR(F65*'As-Filed Schedule 1'!$E$103,0)</f>
        <v>0</v>
      </c>
      <c r="J65" s="306">
        <f>IFERROR(H65*'Adjusted Schedule 1'!$E$104,0)</f>
        <v>0</v>
      </c>
      <c r="K65" s="68">
        <f t="shared" si="7"/>
        <v>0</v>
      </c>
      <c r="L65" s="306">
        <f t="shared" si="2"/>
        <v>0</v>
      </c>
      <c r="N65" s="117">
        <f>'As-Filed Schedule 2A'!J65</f>
        <v>0</v>
      </c>
      <c r="O65" s="309">
        <f>SUMIFS(Adjustments!$G:$G,Adjustments!$H:$H,"2A",Adjustments!$I:$I,'Schedule 2A Adjustments'!$N$12,Adjustments!$J:$J,'Schedule 2A Adjustments'!A65)</f>
        <v>0</v>
      </c>
      <c r="P65" s="305">
        <f t="shared" si="3"/>
        <v>0</v>
      </c>
      <c r="Q65" s="68">
        <f>IFERROR(N65*'As-Filed Schedule 1'!$E$103,0)</f>
        <v>0</v>
      </c>
      <c r="R65" s="306">
        <f>IFERROR(P65*'Adjusted Schedule 1'!$E$104,0)</f>
        <v>0</v>
      </c>
      <c r="S65" s="68">
        <f t="shared" si="8"/>
        <v>0</v>
      </c>
      <c r="T65" s="306">
        <f t="shared" si="4"/>
        <v>0</v>
      </c>
      <c r="V65" s="119">
        <f>'As-Filed Schedule 2A'!N65</f>
        <v>0</v>
      </c>
      <c r="W65" s="309">
        <f>SUMIFS(Adjustments!$G:$G,Adjustments!$H:$H,"2A",Adjustments!$I:$I,'Schedule 2A Adjustments'!$V$12,Adjustments!$J:$J,'Schedule 2A Adjustments'!A65)</f>
        <v>0</v>
      </c>
      <c r="X65" s="322">
        <f t="shared" si="5"/>
        <v>0</v>
      </c>
      <c r="Y65" s="119">
        <f>'As-Filed Schedule 2A'!O65</f>
        <v>0</v>
      </c>
      <c r="Z65" s="309">
        <f>SUMIFS(Adjustments!$G:$G,Adjustments!$H:$H,"2A",Adjustments!$I:$I,'Schedule 2A Adjustments'!$Y$12,Adjustments!$J:$J,'Schedule 2A Adjustments'!A65)</f>
        <v>0</v>
      </c>
      <c r="AA65" s="322">
        <f t="shared" si="6"/>
        <v>0</v>
      </c>
    </row>
    <row r="66" spans="1:27" x14ac:dyDescent="0.35">
      <c r="A66" s="24">
        <v>52</v>
      </c>
      <c r="B66" s="514" t="str">
        <f>IF('As-Filed Schedule 2A'!B66:D66=0,"",'As-Filed Schedule 2A'!B66:D66)</f>
        <v/>
      </c>
      <c r="C66" s="514"/>
      <c r="D66" s="514"/>
      <c r="F66" s="117">
        <f>'As-Filed Schedule 2A'!F66</f>
        <v>0</v>
      </c>
      <c r="G66" s="309">
        <f>SUMIFS(Adjustments!$G:$G,Adjustments!$H:$H,"2A",Adjustments!$I:$I,'Schedule 2A Adjustments'!$F$12,Adjustments!$J:$J,'Schedule 2A Adjustments'!A66)</f>
        <v>0</v>
      </c>
      <c r="H66" s="305">
        <f t="shared" si="1"/>
        <v>0</v>
      </c>
      <c r="I66" s="68">
        <f>IFERROR(F66*'As-Filed Schedule 1'!$E$103,0)</f>
        <v>0</v>
      </c>
      <c r="J66" s="306">
        <f>IFERROR(H66*'Adjusted Schedule 1'!$E$104,0)</f>
        <v>0</v>
      </c>
      <c r="K66" s="68">
        <f t="shared" si="7"/>
        <v>0</v>
      </c>
      <c r="L66" s="306">
        <f t="shared" si="2"/>
        <v>0</v>
      </c>
      <c r="N66" s="117">
        <f>'As-Filed Schedule 2A'!J66</f>
        <v>0</v>
      </c>
      <c r="O66" s="309">
        <f>SUMIFS(Adjustments!$G:$G,Adjustments!$H:$H,"2A",Adjustments!$I:$I,'Schedule 2A Adjustments'!$N$12,Adjustments!$J:$J,'Schedule 2A Adjustments'!A66)</f>
        <v>0</v>
      </c>
      <c r="P66" s="305">
        <f t="shared" si="3"/>
        <v>0</v>
      </c>
      <c r="Q66" s="68">
        <f>IFERROR(N66*'As-Filed Schedule 1'!$E$103,0)</f>
        <v>0</v>
      </c>
      <c r="R66" s="306">
        <f>IFERROR(P66*'Adjusted Schedule 1'!$E$104,0)</f>
        <v>0</v>
      </c>
      <c r="S66" s="68">
        <f t="shared" si="8"/>
        <v>0</v>
      </c>
      <c r="T66" s="306">
        <f t="shared" si="4"/>
        <v>0</v>
      </c>
      <c r="V66" s="119">
        <f>'As-Filed Schedule 2A'!N66</f>
        <v>0</v>
      </c>
      <c r="W66" s="309">
        <f>SUMIFS(Adjustments!$G:$G,Adjustments!$H:$H,"2A",Adjustments!$I:$I,'Schedule 2A Adjustments'!$V$12,Adjustments!$J:$J,'Schedule 2A Adjustments'!A66)</f>
        <v>0</v>
      </c>
      <c r="X66" s="322">
        <f t="shared" si="5"/>
        <v>0</v>
      </c>
      <c r="Y66" s="119">
        <f>'As-Filed Schedule 2A'!O66</f>
        <v>0</v>
      </c>
      <c r="Z66" s="309">
        <f>SUMIFS(Adjustments!$G:$G,Adjustments!$H:$H,"2A",Adjustments!$I:$I,'Schedule 2A Adjustments'!$Y$12,Adjustments!$J:$J,'Schedule 2A Adjustments'!A66)</f>
        <v>0</v>
      </c>
      <c r="AA66" s="322">
        <f t="shared" si="6"/>
        <v>0</v>
      </c>
    </row>
    <row r="67" spans="1:27" x14ac:dyDescent="0.35">
      <c r="A67" s="24">
        <v>53</v>
      </c>
      <c r="B67" s="514" t="str">
        <f>IF('As-Filed Schedule 2A'!B67:D67=0,"",'As-Filed Schedule 2A'!B67:D67)</f>
        <v/>
      </c>
      <c r="C67" s="514"/>
      <c r="D67" s="514"/>
      <c r="F67" s="117">
        <f>'As-Filed Schedule 2A'!F67</f>
        <v>0</v>
      </c>
      <c r="G67" s="309">
        <f>SUMIFS(Adjustments!$G:$G,Adjustments!$H:$H,"2A",Adjustments!$I:$I,'Schedule 2A Adjustments'!$F$12,Adjustments!$J:$J,'Schedule 2A Adjustments'!A67)</f>
        <v>0</v>
      </c>
      <c r="H67" s="305">
        <f t="shared" si="1"/>
        <v>0</v>
      </c>
      <c r="I67" s="68">
        <f>IFERROR(F67*'As-Filed Schedule 1'!$E$103,0)</f>
        <v>0</v>
      </c>
      <c r="J67" s="306">
        <f>IFERROR(H67*'Adjusted Schedule 1'!$E$104,0)</f>
        <v>0</v>
      </c>
      <c r="K67" s="68">
        <f t="shared" si="7"/>
        <v>0</v>
      </c>
      <c r="L67" s="306">
        <f t="shared" si="2"/>
        <v>0</v>
      </c>
      <c r="N67" s="117">
        <f>'As-Filed Schedule 2A'!J67</f>
        <v>0</v>
      </c>
      <c r="O67" s="309">
        <f>SUMIFS(Adjustments!$G:$G,Adjustments!$H:$H,"2A",Adjustments!$I:$I,'Schedule 2A Adjustments'!$N$12,Adjustments!$J:$J,'Schedule 2A Adjustments'!A67)</f>
        <v>0</v>
      </c>
      <c r="P67" s="305">
        <f t="shared" si="3"/>
        <v>0</v>
      </c>
      <c r="Q67" s="68">
        <f>IFERROR(N67*'As-Filed Schedule 1'!$E$103,0)</f>
        <v>0</v>
      </c>
      <c r="R67" s="306">
        <f>IFERROR(P67*'Adjusted Schedule 1'!$E$104,0)</f>
        <v>0</v>
      </c>
      <c r="S67" s="68">
        <f t="shared" si="8"/>
        <v>0</v>
      </c>
      <c r="T67" s="306">
        <f t="shared" si="4"/>
        <v>0</v>
      </c>
      <c r="V67" s="119">
        <f>'As-Filed Schedule 2A'!N67</f>
        <v>0</v>
      </c>
      <c r="W67" s="309">
        <f>SUMIFS(Adjustments!$G:$G,Adjustments!$H:$H,"2A",Adjustments!$I:$I,'Schedule 2A Adjustments'!$V$12,Adjustments!$J:$J,'Schedule 2A Adjustments'!A67)</f>
        <v>0</v>
      </c>
      <c r="X67" s="322">
        <f t="shared" si="5"/>
        <v>0</v>
      </c>
      <c r="Y67" s="119">
        <f>'As-Filed Schedule 2A'!O67</f>
        <v>0</v>
      </c>
      <c r="Z67" s="309">
        <f>SUMIFS(Adjustments!$G:$G,Adjustments!$H:$H,"2A",Adjustments!$I:$I,'Schedule 2A Adjustments'!$Y$12,Adjustments!$J:$J,'Schedule 2A Adjustments'!A67)</f>
        <v>0</v>
      </c>
      <c r="AA67" s="322">
        <f t="shared" si="6"/>
        <v>0</v>
      </c>
    </row>
    <row r="68" spans="1:27" x14ac:dyDescent="0.35">
      <c r="A68" s="24">
        <v>54</v>
      </c>
      <c r="B68" s="514" t="str">
        <f>IF('As-Filed Schedule 2A'!B68:D68=0,"",'As-Filed Schedule 2A'!B68:D68)</f>
        <v/>
      </c>
      <c r="C68" s="514"/>
      <c r="D68" s="514"/>
      <c r="F68" s="117">
        <f>'As-Filed Schedule 2A'!F68</f>
        <v>0</v>
      </c>
      <c r="G68" s="309">
        <f>SUMIFS(Adjustments!$G:$G,Adjustments!$H:$H,"2A",Adjustments!$I:$I,'Schedule 2A Adjustments'!$F$12,Adjustments!$J:$J,'Schedule 2A Adjustments'!A68)</f>
        <v>0</v>
      </c>
      <c r="H68" s="305">
        <f t="shared" si="1"/>
        <v>0</v>
      </c>
      <c r="I68" s="68">
        <f>IFERROR(F68*'As-Filed Schedule 1'!$E$103,0)</f>
        <v>0</v>
      </c>
      <c r="J68" s="306">
        <f>IFERROR(H68*'Adjusted Schedule 1'!$E$104,0)</f>
        <v>0</v>
      </c>
      <c r="K68" s="68">
        <f t="shared" si="7"/>
        <v>0</v>
      </c>
      <c r="L68" s="306">
        <f t="shared" si="2"/>
        <v>0</v>
      </c>
      <c r="N68" s="117">
        <f>'As-Filed Schedule 2A'!J68</f>
        <v>0</v>
      </c>
      <c r="O68" s="309">
        <f>SUMIFS(Adjustments!$G:$G,Adjustments!$H:$H,"2A",Adjustments!$I:$I,'Schedule 2A Adjustments'!$N$12,Adjustments!$J:$J,'Schedule 2A Adjustments'!A68)</f>
        <v>0</v>
      </c>
      <c r="P68" s="305">
        <f t="shared" si="3"/>
        <v>0</v>
      </c>
      <c r="Q68" s="68">
        <f>IFERROR(N68*'As-Filed Schedule 1'!$E$103,0)</f>
        <v>0</v>
      </c>
      <c r="R68" s="306">
        <f>IFERROR(P68*'Adjusted Schedule 1'!$E$104,0)</f>
        <v>0</v>
      </c>
      <c r="S68" s="68">
        <f t="shared" si="8"/>
        <v>0</v>
      </c>
      <c r="T68" s="306">
        <f t="shared" si="4"/>
        <v>0</v>
      </c>
      <c r="V68" s="119">
        <f>'As-Filed Schedule 2A'!N68</f>
        <v>0</v>
      </c>
      <c r="W68" s="309">
        <f>SUMIFS(Adjustments!$G:$G,Adjustments!$H:$H,"2A",Adjustments!$I:$I,'Schedule 2A Adjustments'!$V$12,Adjustments!$J:$J,'Schedule 2A Adjustments'!A68)</f>
        <v>0</v>
      </c>
      <c r="X68" s="322">
        <f t="shared" si="5"/>
        <v>0</v>
      </c>
      <c r="Y68" s="119">
        <f>'As-Filed Schedule 2A'!O68</f>
        <v>0</v>
      </c>
      <c r="Z68" s="309">
        <f>SUMIFS(Adjustments!$G:$G,Adjustments!$H:$H,"2A",Adjustments!$I:$I,'Schedule 2A Adjustments'!$Y$12,Adjustments!$J:$J,'Schedule 2A Adjustments'!A68)</f>
        <v>0</v>
      </c>
      <c r="AA68" s="322">
        <f t="shared" si="6"/>
        <v>0</v>
      </c>
    </row>
    <row r="69" spans="1:27" x14ac:dyDescent="0.35">
      <c r="A69" s="24">
        <v>55</v>
      </c>
      <c r="B69" s="514" t="str">
        <f>IF('As-Filed Schedule 2A'!B69:D69=0,"",'As-Filed Schedule 2A'!B69:D69)</f>
        <v/>
      </c>
      <c r="C69" s="514"/>
      <c r="D69" s="514"/>
      <c r="F69" s="117">
        <f>'As-Filed Schedule 2A'!F69</f>
        <v>0</v>
      </c>
      <c r="G69" s="309">
        <f>SUMIFS(Adjustments!$G:$G,Adjustments!$H:$H,"2A",Adjustments!$I:$I,'Schedule 2A Adjustments'!$F$12,Adjustments!$J:$J,'Schedule 2A Adjustments'!A69)</f>
        <v>0</v>
      </c>
      <c r="H69" s="305">
        <f t="shared" si="1"/>
        <v>0</v>
      </c>
      <c r="I69" s="68">
        <f>IFERROR(F69*'As-Filed Schedule 1'!$E$103,0)</f>
        <v>0</v>
      </c>
      <c r="J69" s="306">
        <f>IFERROR(H69*'Adjusted Schedule 1'!$E$104,0)</f>
        <v>0</v>
      </c>
      <c r="K69" s="68">
        <f t="shared" si="7"/>
        <v>0</v>
      </c>
      <c r="L69" s="306">
        <f t="shared" si="2"/>
        <v>0</v>
      </c>
      <c r="N69" s="117">
        <f>'As-Filed Schedule 2A'!J69</f>
        <v>0</v>
      </c>
      <c r="O69" s="309">
        <f>SUMIFS(Adjustments!$G:$G,Adjustments!$H:$H,"2A",Adjustments!$I:$I,'Schedule 2A Adjustments'!$N$12,Adjustments!$J:$J,'Schedule 2A Adjustments'!A69)</f>
        <v>0</v>
      </c>
      <c r="P69" s="305">
        <f t="shared" si="3"/>
        <v>0</v>
      </c>
      <c r="Q69" s="68">
        <f>IFERROR(N69*'As-Filed Schedule 1'!$E$103,0)</f>
        <v>0</v>
      </c>
      <c r="R69" s="306">
        <f>IFERROR(P69*'Adjusted Schedule 1'!$E$104,0)</f>
        <v>0</v>
      </c>
      <c r="S69" s="68">
        <f t="shared" si="8"/>
        <v>0</v>
      </c>
      <c r="T69" s="306">
        <f t="shared" si="4"/>
        <v>0</v>
      </c>
      <c r="V69" s="119">
        <f>'As-Filed Schedule 2A'!N69</f>
        <v>0</v>
      </c>
      <c r="W69" s="309">
        <f>SUMIFS(Adjustments!$G:$G,Adjustments!$H:$H,"2A",Adjustments!$I:$I,'Schedule 2A Adjustments'!$V$12,Adjustments!$J:$J,'Schedule 2A Adjustments'!A69)</f>
        <v>0</v>
      </c>
      <c r="X69" s="322">
        <f t="shared" si="5"/>
        <v>0</v>
      </c>
      <c r="Y69" s="119">
        <f>'As-Filed Schedule 2A'!O69</f>
        <v>0</v>
      </c>
      <c r="Z69" s="309">
        <f>SUMIFS(Adjustments!$G:$G,Adjustments!$H:$H,"2A",Adjustments!$I:$I,'Schedule 2A Adjustments'!$Y$12,Adjustments!$J:$J,'Schedule 2A Adjustments'!A69)</f>
        <v>0</v>
      </c>
      <c r="AA69" s="322">
        <f t="shared" si="6"/>
        <v>0</v>
      </c>
    </row>
    <row r="70" spans="1:27" x14ac:dyDescent="0.35">
      <c r="A70" s="24">
        <v>56</v>
      </c>
      <c r="B70" s="514" t="str">
        <f>IF('As-Filed Schedule 2A'!B70:D70=0,"",'As-Filed Schedule 2A'!B70:D70)</f>
        <v/>
      </c>
      <c r="C70" s="514"/>
      <c r="D70" s="514"/>
      <c r="F70" s="117">
        <f>'As-Filed Schedule 2A'!F70</f>
        <v>0</v>
      </c>
      <c r="G70" s="309">
        <f>SUMIFS(Adjustments!$G:$G,Adjustments!$H:$H,"2A",Adjustments!$I:$I,'Schedule 2A Adjustments'!$F$12,Adjustments!$J:$J,'Schedule 2A Adjustments'!A70)</f>
        <v>0</v>
      </c>
      <c r="H70" s="305">
        <f t="shared" si="1"/>
        <v>0</v>
      </c>
      <c r="I70" s="68">
        <f>IFERROR(F70*'As-Filed Schedule 1'!$E$103,0)</f>
        <v>0</v>
      </c>
      <c r="J70" s="306">
        <f>IFERROR(H70*'Adjusted Schedule 1'!$E$104,0)</f>
        <v>0</v>
      </c>
      <c r="K70" s="68">
        <f t="shared" si="7"/>
        <v>0</v>
      </c>
      <c r="L70" s="306">
        <f t="shared" si="2"/>
        <v>0</v>
      </c>
      <c r="N70" s="117">
        <f>'As-Filed Schedule 2A'!J70</f>
        <v>0</v>
      </c>
      <c r="O70" s="309">
        <f>SUMIFS(Adjustments!$G:$G,Adjustments!$H:$H,"2A",Adjustments!$I:$I,'Schedule 2A Adjustments'!$N$12,Adjustments!$J:$J,'Schedule 2A Adjustments'!A70)</f>
        <v>0</v>
      </c>
      <c r="P70" s="305">
        <f t="shared" si="3"/>
        <v>0</v>
      </c>
      <c r="Q70" s="68">
        <f>IFERROR(N70*'As-Filed Schedule 1'!$E$103,0)</f>
        <v>0</v>
      </c>
      <c r="R70" s="306">
        <f>IFERROR(P70*'Adjusted Schedule 1'!$E$104,0)</f>
        <v>0</v>
      </c>
      <c r="S70" s="68">
        <f t="shared" si="8"/>
        <v>0</v>
      </c>
      <c r="T70" s="306">
        <f t="shared" si="4"/>
        <v>0</v>
      </c>
      <c r="V70" s="119">
        <f>'As-Filed Schedule 2A'!N70</f>
        <v>0</v>
      </c>
      <c r="W70" s="309">
        <f>SUMIFS(Adjustments!$G:$G,Adjustments!$H:$H,"2A",Adjustments!$I:$I,'Schedule 2A Adjustments'!$V$12,Adjustments!$J:$J,'Schedule 2A Adjustments'!A70)</f>
        <v>0</v>
      </c>
      <c r="X70" s="322">
        <f t="shared" si="5"/>
        <v>0</v>
      </c>
      <c r="Y70" s="119">
        <f>'As-Filed Schedule 2A'!O70</f>
        <v>0</v>
      </c>
      <c r="Z70" s="309">
        <f>SUMIFS(Adjustments!$G:$G,Adjustments!$H:$H,"2A",Adjustments!$I:$I,'Schedule 2A Adjustments'!$Y$12,Adjustments!$J:$J,'Schedule 2A Adjustments'!A70)</f>
        <v>0</v>
      </c>
      <c r="AA70" s="322">
        <f t="shared" si="6"/>
        <v>0</v>
      </c>
    </row>
    <row r="71" spans="1:27" x14ac:dyDescent="0.35">
      <c r="A71" s="24">
        <v>57</v>
      </c>
      <c r="B71" s="514" t="str">
        <f>IF('As-Filed Schedule 2A'!B71:D71=0,"",'As-Filed Schedule 2A'!B71:D71)</f>
        <v/>
      </c>
      <c r="C71" s="514"/>
      <c r="D71" s="514"/>
      <c r="F71" s="117">
        <f>'As-Filed Schedule 2A'!F71</f>
        <v>0</v>
      </c>
      <c r="G71" s="309">
        <f>SUMIFS(Adjustments!$G:$G,Adjustments!$H:$H,"2A",Adjustments!$I:$I,'Schedule 2A Adjustments'!$F$12,Adjustments!$J:$J,'Schedule 2A Adjustments'!A71)</f>
        <v>0</v>
      </c>
      <c r="H71" s="305">
        <f t="shared" si="1"/>
        <v>0</v>
      </c>
      <c r="I71" s="68">
        <f>IFERROR(F71*'As-Filed Schedule 1'!$E$103,0)</f>
        <v>0</v>
      </c>
      <c r="J71" s="306">
        <f>IFERROR(H71*'Adjusted Schedule 1'!$E$104,0)</f>
        <v>0</v>
      </c>
      <c r="K71" s="68">
        <f t="shared" si="7"/>
        <v>0</v>
      </c>
      <c r="L71" s="306">
        <f t="shared" si="2"/>
        <v>0</v>
      </c>
      <c r="N71" s="117">
        <f>'As-Filed Schedule 2A'!J71</f>
        <v>0</v>
      </c>
      <c r="O71" s="309">
        <f>SUMIFS(Adjustments!$G:$G,Adjustments!$H:$H,"2A",Adjustments!$I:$I,'Schedule 2A Adjustments'!$N$12,Adjustments!$J:$J,'Schedule 2A Adjustments'!A71)</f>
        <v>0</v>
      </c>
      <c r="P71" s="305">
        <f t="shared" si="3"/>
        <v>0</v>
      </c>
      <c r="Q71" s="68">
        <f>IFERROR(N71*'As-Filed Schedule 1'!$E$103,0)</f>
        <v>0</v>
      </c>
      <c r="R71" s="306">
        <f>IFERROR(P71*'Adjusted Schedule 1'!$E$104,0)</f>
        <v>0</v>
      </c>
      <c r="S71" s="68">
        <f t="shared" si="8"/>
        <v>0</v>
      </c>
      <c r="T71" s="306">
        <f t="shared" si="4"/>
        <v>0</v>
      </c>
      <c r="V71" s="119">
        <f>'As-Filed Schedule 2A'!N71</f>
        <v>0</v>
      </c>
      <c r="W71" s="309">
        <f>SUMIFS(Adjustments!$G:$G,Adjustments!$H:$H,"2A",Adjustments!$I:$I,'Schedule 2A Adjustments'!$V$12,Adjustments!$J:$J,'Schedule 2A Adjustments'!A71)</f>
        <v>0</v>
      </c>
      <c r="X71" s="322">
        <f t="shared" si="5"/>
        <v>0</v>
      </c>
      <c r="Y71" s="119">
        <f>'As-Filed Schedule 2A'!O71</f>
        <v>0</v>
      </c>
      <c r="Z71" s="309">
        <f>SUMIFS(Adjustments!$G:$G,Adjustments!$H:$H,"2A",Adjustments!$I:$I,'Schedule 2A Adjustments'!$Y$12,Adjustments!$J:$J,'Schedule 2A Adjustments'!A71)</f>
        <v>0</v>
      </c>
      <c r="AA71" s="322">
        <f t="shared" si="6"/>
        <v>0</v>
      </c>
    </row>
    <row r="72" spans="1:27" x14ac:dyDescent="0.35">
      <c r="A72" s="24">
        <v>58</v>
      </c>
      <c r="B72" s="514" t="str">
        <f>IF('As-Filed Schedule 2A'!B72:D72=0,"",'As-Filed Schedule 2A'!B72:D72)</f>
        <v/>
      </c>
      <c r="C72" s="514"/>
      <c r="D72" s="514"/>
      <c r="F72" s="117">
        <f>'As-Filed Schedule 2A'!F72</f>
        <v>0</v>
      </c>
      <c r="G72" s="309">
        <f>SUMIFS(Adjustments!$G:$G,Adjustments!$H:$H,"2A",Adjustments!$I:$I,'Schedule 2A Adjustments'!$F$12,Adjustments!$J:$J,'Schedule 2A Adjustments'!A72)</f>
        <v>0</v>
      </c>
      <c r="H72" s="305">
        <f t="shared" si="1"/>
        <v>0</v>
      </c>
      <c r="I72" s="68">
        <f>IFERROR(F72*'As-Filed Schedule 1'!$E$103,0)</f>
        <v>0</v>
      </c>
      <c r="J72" s="306">
        <f>IFERROR(H72*'Adjusted Schedule 1'!$E$104,0)</f>
        <v>0</v>
      </c>
      <c r="K72" s="68">
        <f t="shared" si="7"/>
        <v>0</v>
      </c>
      <c r="L72" s="306">
        <f t="shared" si="2"/>
        <v>0</v>
      </c>
      <c r="N72" s="117">
        <f>'As-Filed Schedule 2A'!J72</f>
        <v>0</v>
      </c>
      <c r="O72" s="309">
        <f>SUMIFS(Adjustments!$G:$G,Adjustments!$H:$H,"2A",Adjustments!$I:$I,'Schedule 2A Adjustments'!$N$12,Adjustments!$J:$J,'Schedule 2A Adjustments'!A72)</f>
        <v>0</v>
      </c>
      <c r="P72" s="305">
        <f t="shared" si="3"/>
        <v>0</v>
      </c>
      <c r="Q72" s="68">
        <f>IFERROR(N72*'As-Filed Schedule 1'!$E$103,0)</f>
        <v>0</v>
      </c>
      <c r="R72" s="306">
        <f>IFERROR(P72*'Adjusted Schedule 1'!$E$104,0)</f>
        <v>0</v>
      </c>
      <c r="S72" s="68">
        <f t="shared" si="8"/>
        <v>0</v>
      </c>
      <c r="T72" s="306">
        <f t="shared" si="4"/>
        <v>0</v>
      </c>
      <c r="V72" s="119">
        <f>'As-Filed Schedule 2A'!N72</f>
        <v>0</v>
      </c>
      <c r="W72" s="309">
        <f>SUMIFS(Adjustments!$G:$G,Adjustments!$H:$H,"2A",Adjustments!$I:$I,'Schedule 2A Adjustments'!$V$12,Adjustments!$J:$J,'Schedule 2A Adjustments'!A72)</f>
        <v>0</v>
      </c>
      <c r="X72" s="322">
        <f t="shared" si="5"/>
        <v>0</v>
      </c>
      <c r="Y72" s="119">
        <f>'As-Filed Schedule 2A'!O72</f>
        <v>0</v>
      </c>
      <c r="Z72" s="309">
        <f>SUMIFS(Adjustments!$G:$G,Adjustments!$H:$H,"2A",Adjustments!$I:$I,'Schedule 2A Adjustments'!$Y$12,Adjustments!$J:$J,'Schedule 2A Adjustments'!A72)</f>
        <v>0</v>
      </c>
      <c r="AA72" s="322">
        <f t="shared" si="6"/>
        <v>0</v>
      </c>
    </row>
    <row r="73" spans="1:27" x14ac:dyDescent="0.35">
      <c r="A73" s="24">
        <v>59</v>
      </c>
      <c r="F73" s="18">
        <f t="shared" ref="F73:L73" si="9">SUM(F15:F72)</f>
        <v>3116962</v>
      </c>
      <c r="G73" s="316">
        <f t="shared" si="9"/>
        <v>-404996</v>
      </c>
      <c r="H73" s="307">
        <f t="shared" si="9"/>
        <v>2711966</v>
      </c>
      <c r="I73" s="18">
        <f t="shared" si="9"/>
        <v>1053122.8957980517</v>
      </c>
      <c r="J73" s="307">
        <f t="shared" si="9"/>
        <v>887818.39890112204</v>
      </c>
      <c r="K73" s="18">
        <f t="shared" si="9"/>
        <v>4170084.8957980517</v>
      </c>
      <c r="L73" s="307">
        <f t="shared" si="9"/>
        <v>3599784.3989011217</v>
      </c>
      <c r="N73" s="18">
        <f>SUM(N15:N72)</f>
        <v>0</v>
      </c>
      <c r="O73" s="316">
        <f t="shared" ref="O73:P73" si="10">SUM(O15:O72)</f>
        <v>423487</v>
      </c>
      <c r="P73" s="307">
        <f t="shared" si="10"/>
        <v>423487</v>
      </c>
      <c r="Q73" s="18">
        <f t="shared" ref="Q73" si="11">SUM(Q15:Q72)</f>
        <v>0</v>
      </c>
      <c r="R73" s="307">
        <f>SUM(R15:R72)</f>
        <v>138637.26547288551</v>
      </c>
      <c r="S73" s="18">
        <f>SUM(S15:S72)</f>
        <v>0</v>
      </c>
      <c r="T73" s="307">
        <f>SUM(T15:T72)</f>
        <v>562124.26547288545</v>
      </c>
      <c r="Y73" s="83" t="s">
        <v>313</v>
      </c>
      <c r="Z73" s="327"/>
      <c r="AA73" s="324"/>
    </row>
    <row r="74" spans="1:27" ht="15" thickBot="1" x14ac:dyDescent="0.4">
      <c r="K74" s="37" t="s">
        <v>257</v>
      </c>
      <c r="L74" s="320" t="s">
        <v>257</v>
      </c>
      <c r="S74" s="37" t="s">
        <v>258</v>
      </c>
      <c r="T74" s="320" t="s">
        <v>258</v>
      </c>
    </row>
    <row r="75" spans="1:27" ht="16" thickBot="1" x14ac:dyDescent="0.4">
      <c r="A75" s="24">
        <v>60</v>
      </c>
      <c r="B75" s="142" t="s">
        <v>463</v>
      </c>
      <c r="C75" s="72"/>
      <c r="E75" s="72"/>
      <c r="F75" s="75">
        <f>K73+S73</f>
        <v>4170084.8957980517</v>
      </c>
      <c r="G75"/>
      <c r="H75" s="75">
        <f>L73+T73</f>
        <v>4161908.6643740069</v>
      </c>
      <c r="M75" s="74"/>
      <c r="N75" s="74"/>
      <c r="O75" s="328"/>
      <c r="P75" s="321"/>
      <c r="Q75" s="74"/>
      <c r="R75" s="321"/>
      <c r="S75" s="74"/>
      <c r="T75" s="321"/>
      <c r="V75" s="72"/>
      <c r="W75" s="326"/>
      <c r="X75" s="323"/>
      <c r="Y75" s="72"/>
      <c r="Z75" s="326"/>
      <c r="AA75" s="323"/>
    </row>
    <row r="76" spans="1:27" x14ac:dyDescent="0.35">
      <c r="F76" s="78" t="s">
        <v>500</v>
      </c>
      <c r="H76" s="304" t="s">
        <v>596</v>
      </c>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B68:D68"/>
    <mergeCell ref="B69:D69"/>
    <mergeCell ref="B70:D70"/>
    <mergeCell ref="B71:D71"/>
    <mergeCell ref="B72:D72"/>
    <mergeCell ref="B67:D67"/>
    <mergeCell ref="B56:D56"/>
    <mergeCell ref="B57:D57"/>
    <mergeCell ref="B58:D58"/>
    <mergeCell ref="B59:D59"/>
    <mergeCell ref="B60:D60"/>
    <mergeCell ref="B61:D61"/>
    <mergeCell ref="B62:D62"/>
    <mergeCell ref="B63:D63"/>
    <mergeCell ref="B64:D64"/>
    <mergeCell ref="B65:D65"/>
    <mergeCell ref="B66:D66"/>
    <mergeCell ref="B55:D55"/>
    <mergeCell ref="B44:D44"/>
    <mergeCell ref="B45:D45"/>
    <mergeCell ref="B46:D46"/>
    <mergeCell ref="B47:D47"/>
    <mergeCell ref="B48:D48"/>
    <mergeCell ref="B49:D49"/>
    <mergeCell ref="B50:D50"/>
    <mergeCell ref="B51:D51"/>
    <mergeCell ref="B52:D52"/>
    <mergeCell ref="B53:D53"/>
    <mergeCell ref="B54:D54"/>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A3:F3"/>
    <mergeCell ref="B12:D12"/>
    <mergeCell ref="B13:D14"/>
    <mergeCell ref="F13:K13"/>
    <mergeCell ref="Y13:Y14"/>
    <mergeCell ref="N13:S13"/>
    <mergeCell ref="V13:V14"/>
    <mergeCell ref="Z13:Z14"/>
    <mergeCell ref="AA13:AA14"/>
    <mergeCell ref="W13:W14"/>
    <mergeCell ref="X13:X14"/>
    <mergeCell ref="B19:D19"/>
    <mergeCell ref="B15:D15"/>
    <mergeCell ref="B16:D16"/>
    <mergeCell ref="B17:D17"/>
    <mergeCell ref="B18:D18"/>
  </mergeCells>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8971D"/>
  </sheetPr>
  <dimension ref="A1:Y96"/>
  <sheetViews>
    <sheetView workbookViewId="0"/>
  </sheetViews>
  <sheetFormatPr defaultColWidth="9.1796875" defaultRowHeight="14.5" x14ac:dyDescent="0.35"/>
  <cols>
    <col min="1" max="1" width="6.81640625" customWidth="1"/>
    <col min="2" max="2" width="16" customWidth="1"/>
    <col min="3" max="3" width="29.1796875" customWidth="1"/>
    <col min="4" max="6" width="19" customWidth="1"/>
    <col min="7" max="9" width="21.1796875" customWidth="1"/>
    <col min="10" max="10" width="28.453125" customWidth="1"/>
    <col min="11" max="11" width="32.54296875" customWidth="1"/>
    <col min="12" max="12" width="37.453125" customWidth="1"/>
  </cols>
  <sheetData>
    <row r="1" spans="1:12" ht="26" x14ac:dyDescent="0.6">
      <c r="A1" s="3" t="s">
        <v>774</v>
      </c>
    </row>
    <row r="2" spans="1:12" ht="21" x14ac:dyDescent="0.5">
      <c r="A2" s="2" t="s">
        <v>772</v>
      </c>
    </row>
    <row r="3" spans="1:12" ht="25" customHeight="1" x14ac:dyDescent="0.5">
      <c r="A3" s="495" t="s">
        <v>676</v>
      </c>
      <c r="B3" s="495"/>
      <c r="C3" s="495"/>
      <c r="D3" s="495"/>
      <c r="E3" s="495"/>
      <c r="F3" s="495"/>
      <c r="G3" s="495"/>
      <c r="H3" s="495"/>
      <c r="I3" s="495"/>
      <c r="J3" s="495"/>
    </row>
    <row r="4" spans="1:12" ht="25" customHeight="1" x14ac:dyDescent="0.5">
      <c r="A4" s="242" t="str">
        <f>Results!A4</f>
        <v>Final Adjustments</v>
      </c>
      <c r="B4" s="356"/>
      <c r="C4" s="356"/>
      <c r="D4" s="356"/>
      <c r="E4" s="356"/>
      <c r="F4" s="356"/>
      <c r="G4" s="356"/>
      <c r="H4" s="356"/>
      <c r="I4" s="356"/>
      <c r="J4" s="356"/>
    </row>
    <row r="5" spans="1:12" x14ac:dyDescent="0.35">
      <c r="H5" s="61"/>
      <c r="J5" s="129"/>
      <c r="K5" s="129"/>
      <c r="L5" s="129"/>
    </row>
    <row r="6" spans="1:12" x14ac:dyDescent="0.35">
      <c r="A6" s="1" t="s">
        <v>773</v>
      </c>
      <c r="C6" s="416" t="str">
        <f>Results!$C$6</f>
        <v>AllHealth Network</v>
      </c>
      <c r="H6" s="48"/>
      <c r="J6" s="40"/>
      <c r="K6" s="40"/>
      <c r="L6" s="40"/>
    </row>
    <row r="7" spans="1:12" x14ac:dyDescent="0.35">
      <c r="A7" s="1" t="s">
        <v>0</v>
      </c>
      <c r="C7" s="35">
        <f>Results!$C$7</f>
        <v>45473</v>
      </c>
      <c r="D7" s="35"/>
      <c r="E7" s="35"/>
      <c r="F7" s="35"/>
      <c r="G7" s="35"/>
      <c r="H7" s="60"/>
      <c r="J7" s="40"/>
      <c r="K7" s="40"/>
      <c r="L7" s="40"/>
    </row>
    <row r="8" spans="1:12" x14ac:dyDescent="0.35">
      <c r="H8" s="48"/>
      <c r="J8" s="40"/>
      <c r="K8" s="40"/>
      <c r="L8" s="40"/>
    </row>
    <row r="9" spans="1:12" x14ac:dyDescent="0.35">
      <c r="A9" s="1" t="s">
        <v>264</v>
      </c>
      <c r="D9" s="117">
        <f>'Schedule 1A Adjustments'!E8</f>
        <v>332850</v>
      </c>
      <c r="F9" s="78"/>
      <c r="G9" s="48"/>
      <c r="H9" s="48"/>
      <c r="J9" s="40"/>
      <c r="K9" s="40"/>
      <c r="L9" s="40"/>
    </row>
    <row r="10" spans="1:12" ht="6.75" customHeight="1" x14ac:dyDescent="0.35">
      <c r="H10" s="48"/>
      <c r="J10" s="40"/>
      <c r="K10" s="40"/>
      <c r="L10" s="40"/>
    </row>
    <row r="11" spans="1:12" x14ac:dyDescent="0.35">
      <c r="A11" s="1" t="s">
        <v>265</v>
      </c>
      <c r="D11" s="77" t="s">
        <v>266</v>
      </c>
      <c r="E11" s="78"/>
      <c r="F11" s="78"/>
      <c r="H11" s="48"/>
      <c r="J11" s="40"/>
      <c r="K11" s="40"/>
      <c r="L11" s="40"/>
    </row>
    <row r="12" spans="1:12" x14ac:dyDescent="0.35">
      <c r="A12" s="1"/>
      <c r="D12" s="78"/>
      <c r="E12" s="78"/>
      <c r="F12" s="78"/>
      <c r="H12" s="48"/>
      <c r="J12" s="130"/>
    </row>
    <row r="13" spans="1:12" x14ac:dyDescent="0.35">
      <c r="A13" s="1" t="s">
        <v>267</v>
      </c>
      <c r="D13" s="48"/>
      <c r="E13" s="48"/>
      <c r="F13" s="48"/>
      <c r="J13" s="130"/>
    </row>
    <row r="14" spans="1:12" ht="15" customHeight="1" x14ac:dyDescent="0.35">
      <c r="A14" s="496" t="s">
        <v>488</v>
      </c>
      <c r="B14" s="496"/>
      <c r="C14" s="496"/>
      <c r="D14" s="496"/>
      <c r="E14" s="496"/>
      <c r="F14" s="496"/>
      <c r="G14" s="496"/>
      <c r="H14" s="496"/>
      <c r="I14" s="79"/>
      <c r="J14" s="62"/>
    </row>
    <row r="15" spans="1:12" ht="15" customHeight="1" x14ac:dyDescent="0.35">
      <c r="A15" s="496"/>
      <c r="B15" s="496"/>
      <c r="C15" s="496"/>
      <c r="D15" s="496"/>
      <c r="E15" s="496"/>
      <c r="F15" s="496"/>
      <c r="G15" s="496"/>
      <c r="H15" s="496"/>
      <c r="I15" s="79"/>
      <c r="J15" s="62"/>
    </row>
    <row r="16" spans="1:12" ht="15" customHeight="1" x14ac:dyDescent="0.35">
      <c r="A16" s="496"/>
      <c r="B16" s="496"/>
      <c r="C16" s="496"/>
      <c r="D16" s="496"/>
      <c r="E16" s="496"/>
      <c r="F16" s="496"/>
      <c r="G16" s="496"/>
      <c r="H16" s="496"/>
      <c r="I16" s="79"/>
      <c r="J16" s="62"/>
    </row>
    <row r="17" spans="1:9" x14ac:dyDescent="0.35">
      <c r="A17" s="496"/>
      <c r="B17" s="496"/>
      <c r="C17" s="496"/>
      <c r="D17" s="496"/>
      <c r="E17" s="496"/>
      <c r="F17" s="496"/>
      <c r="G17" s="496"/>
      <c r="H17" s="496"/>
      <c r="I17" s="62"/>
    </row>
    <row r="18" spans="1:9" x14ac:dyDescent="0.35">
      <c r="A18" s="173"/>
      <c r="B18" s="173"/>
      <c r="C18" s="173"/>
      <c r="D18" s="173"/>
      <c r="E18" s="173"/>
      <c r="F18" s="173"/>
      <c r="G18" s="173"/>
      <c r="H18" s="173"/>
      <c r="I18" s="126"/>
    </row>
    <row r="19" spans="1:9" x14ac:dyDescent="0.35">
      <c r="A19" s="173"/>
      <c r="B19" s="497">
        <v>1</v>
      </c>
      <c r="C19" s="498"/>
      <c r="D19" s="174">
        <v>2</v>
      </c>
      <c r="E19" s="174">
        <v>3</v>
      </c>
      <c r="F19" s="174">
        <v>4</v>
      </c>
      <c r="G19" s="174">
        <v>5</v>
      </c>
      <c r="H19" s="174">
        <v>6</v>
      </c>
      <c r="I19" s="126"/>
    </row>
    <row r="20" spans="1:9" s="4" customFormat="1" ht="58" x14ac:dyDescent="0.35">
      <c r="A20" s="175"/>
      <c r="B20" s="499" t="s">
        <v>599</v>
      </c>
      <c r="C20" s="499"/>
      <c r="D20" s="150" t="s">
        <v>719</v>
      </c>
      <c r="E20" s="150" t="s">
        <v>720</v>
      </c>
      <c r="F20" s="150" t="s">
        <v>721</v>
      </c>
      <c r="G20" s="150" t="s">
        <v>677</v>
      </c>
      <c r="H20" s="150" t="s">
        <v>678</v>
      </c>
      <c r="I20" s="36"/>
    </row>
    <row r="21" spans="1:9" x14ac:dyDescent="0.35">
      <c r="A21" s="176">
        <v>1</v>
      </c>
      <c r="B21" s="494" t="str">
        <f>'Schedule 1A Adjustments'!B20:C20</f>
        <v>Chief Executive Officer</v>
      </c>
      <c r="C21" s="494"/>
      <c r="D21" s="177">
        <f>'Schedule 1A Adjustments'!D20</f>
        <v>2</v>
      </c>
      <c r="E21" s="178">
        <f>'Schedule 1A Adjustments'!E20</f>
        <v>12</v>
      </c>
      <c r="F21" s="178">
        <f>'Schedule 1A Adjustments'!F20</f>
        <v>1</v>
      </c>
      <c r="G21" s="179">
        <f>'Schedule 1A Adjustments'!I20</f>
        <v>503751</v>
      </c>
      <c r="H21" s="180">
        <f>IF(G21-$D$9&gt;0,G21-$D$9,0)</f>
        <v>170901</v>
      </c>
      <c r="I21" s="36"/>
    </row>
    <row r="22" spans="1:9" x14ac:dyDescent="0.35">
      <c r="A22" s="176">
        <f>A21+1</f>
        <v>2</v>
      </c>
      <c r="B22" s="494" t="str">
        <f>'Schedule 1A Adjustments'!B21:C21</f>
        <v>Chief Business Officer</v>
      </c>
      <c r="C22" s="494"/>
      <c r="D22" s="177">
        <f>'Schedule 1A Adjustments'!D21</f>
        <v>2</v>
      </c>
      <c r="E22" s="178">
        <f>'Schedule 1A Adjustments'!E21</f>
        <v>12</v>
      </c>
      <c r="F22" s="178">
        <f>'Schedule 1A Adjustments'!F21</f>
        <v>1</v>
      </c>
      <c r="G22" s="179">
        <f>'Schedule 1A Adjustments'!I21</f>
        <v>343682</v>
      </c>
      <c r="H22" s="180">
        <f>IF(G22-$D$9&gt;0,G22-$D$9,0)</f>
        <v>10832</v>
      </c>
      <c r="I22" s="48"/>
    </row>
    <row r="23" spans="1:9" x14ac:dyDescent="0.35">
      <c r="A23" s="176">
        <f t="shared" ref="A23:A31" si="0">A22+1</f>
        <v>3</v>
      </c>
      <c r="B23" s="494" t="str">
        <f>'Schedule 1A Adjustments'!B22:C22</f>
        <v/>
      </c>
      <c r="C23" s="494"/>
      <c r="D23" s="177" t="str">
        <f>'Schedule 1A Adjustments'!D22</f>
        <v/>
      </c>
      <c r="E23" s="178" t="str">
        <f>'Schedule 1A Adjustments'!E22</f>
        <v/>
      </c>
      <c r="F23" s="178" t="str">
        <f>'Schedule 1A Adjustments'!F22</f>
        <v/>
      </c>
      <c r="G23" s="179">
        <f>'Schedule 1A Adjustments'!I22</f>
        <v>0</v>
      </c>
      <c r="H23" s="180">
        <f>IF(G23-$D$9&gt;0,G23-$D$9,0)</f>
        <v>0</v>
      </c>
      <c r="I23" s="48"/>
    </row>
    <row r="24" spans="1:9" x14ac:dyDescent="0.35">
      <c r="A24" s="176">
        <f t="shared" si="0"/>
        <v>4</v>
      </c>
      <c r="B24" s="494" t="str">
        <f>'Schedule 1A Adjustments'!B23:C23</f>
        <v/>
      </c>
      <c r="C24" s="494"/>
      <c r="D24" s="177" t="str">
        <f>'Schedule 1A Adjustments'!D23</f>
        <v/>
      </c>
      <c r="E24" s="178" t="str">
        <f>'Schedule 1A Adjustments'!E23</f>
        <v/>
      </c>
      <c r="F24" s="178" t="str">
        <f>'Schedule 1A Adjustments'!F23</f>
        <v/>
      </c>
      <c r="G24" s="179">
        <f>'Schedule 1A Adjustments'!I23</f>
        <v>0</v>
      </c>
      <c r="H24" s="180">
        <f>IF(G24-$D$9&gt;0,G24-$D$9,0)</f>
        <v>0</v>
      </c>
      <c r="I24" s="48"/>
    </row>
    <row r="25" spans="1:9" x14ac:dyDescent="0.35">
      <c r="A25" s="176">
        <f t="shared" si="0"/>
        <v>5</v>
      </c>
      <c r="B25" s="494" t="str">
        <f>'Schedule 1A Adjustments'!B24:C24</f>
        <v/>
      </c>
      <c r="C25" s="494"/>
      <c r="D25" s="177" t="str">
        <f>'Schedule 1A Adjustments'!D24</f>
        <v/>
      </c>
      <c r="E25" s="178" t="str">
        <f>'Schedule 1A Adjustments'!E24</f>
        <v/>
      </c>
      <c r="F25" s="178" t="str">
        <f>'Schedule 1A Adjustments'!F24</f>
        <v/>
      </c>
      <c r="G25" s="179">
        <f>'Schedule 1A Adjustments'!I24</f>
        <v>0</v>
      </c>
      <c r="H25" s="180">
        <f>IF(G25-$D$9&gt;0,G25-$D$9,0)</f>
        <v>0</v>
      </c>
    </row>
    <row r="26" spans="1:9" x14ac:dyDescent="0.35">
      <c r="A26" s="181">
        <f t="shared" si="0"/>
        <v>6</v>
      </c>
      <c r="B26" s="313" t="s">
        <v>598</v>
      </c>
      <c r="C26" s="100"/>
      <c r="D26" s="100"/>
      <c r="E26" s="100"/>
      <c r="F26" s="100"/>
      <c r="G26" s="100"/>
      <c r="H26" s="182">
        <f>SUM(H21:H25)</f>
        <v>181733</v>
      </c>
      <c r="I26" s="48"/>
    </row>
    <row r="27" spans="1:9" x14ac:dyDescent="0.35">
      <c r="A27" s="100"/>
      <c r="B27" s="100"/>
      <c r="C27" s="100"/>
      <c r="D27" s="100"/>
      <c r="E27" s="100"/>
      <c r="F27" s="100"/>
      <c r="G27" s="100"/>
      <c r="H27" s="100"/>
    </row>
    <row r="28" spans="1:9" x14ac:dyDescent="0.35">
      <c r="A28" s="181">
        <v>7</v>
      </c>
      <c r="B28" s="100"/>
      <c r="C28" s="100"/>
      <c r="D28" s="100"/>
      <c r="E28" s="100"/>
      <c r="F28" s="100"/>
      <c r="G28" s="183" t="s">
        <v>184</v>
      </c>
      <c r="H28" s="184">
        <f>SUMIF($D$21:$D$25,2,$H$21:$H$25)</f>
        <v>181733</v>
      </c>
    </row>
    <row r="29" spans="1:9" x14ac:dyDescent="0.35">
      <c r="A29" s="181">
        <v>8</v>
      </c>
      <c r="B29" s="100"/>
      <c r="C29" s="100"/>
      <c r="D29" s="100"/>
      <c r="E29" s="100"/>
      <c r="F29" s="100"/>
      <c r="G29" s="183" t="s">
        <v>182</v>
      </c>
      <c r="H29" s="184">
        <f>SUMIF($D$21:$D$25,3,$H$21:$H$25)</f>
        <v>0</v>
      </c>
    </row>
    <row r="30" spans="1:9" x14ac:dyDescent="0.35">
      <c r="A30" s="181">
        <v>9</v>
      </c>
      <c r="B30" s="100"/>
      <c r="C30" s="100"/>
      <c r="D30" s="100"/>
      <c r="E30" s="100"/>
      <c r="F30" s="100"/>
      <c r="G30" s="183" t="s">
        <v>183</v>
      </c>
      <c r="H30" s="184">
        <f>SUMIF($D$21:$D$25,4,$H$21:$H$25)</f>
        <v>0</v>
      </c>
    </row>
    <row r="31" spans="1:9" x14ac:dyDescent="0.35">
      <c r="A31" s="181">
        <f t="shared" si="0"/>
        <v>10</v>
      </c>
      <c r="B31" s="100"/>
      <c r="C31" s="100"/>
      <c r="D31" s="100"/>
      <c r="E31" s="100"/>
      <c r="F31" s="100"/>
      <c r="G31" s="183" t="s">
        <v>185</v>
      </c>
      <c r="H31" s="184">
        <f>SUMIF($D$21:$D$25,5,$H$21:$H$25)</f>
        <v>0</v>
      </c>
    </row>
    <row r="32" spans="1:9" x14ac:dyDescent="0.35">
      <c r="A32" s="100"/>
      <c r="B32" s="100"/>
      <c r="C32" s="100"/>
      <c r="D32" s="100"/>
      <c r="E32" s="100"/>
      <c r="F32" s="100"/>
      <c r="G32" s="100"/>
      <c r="H32" s="185" t="str">
        <f>IF(SUM(H28:H31)&lt;&gt;H26,"error","")</f>
        <v/>
      </c>
    </row>
    <row r="33" spans="1:25" ht="15.65" customHeight="1" x14ac:dyDescent="0.35">
      <c r="A33" s="100"/>
      <c r="B33" s="186"/>
      <c r="C33" s="186"/>
      <c r="D33" s="186"/>
      <c r="E33" s="186"/>
      <c r="F33" s="186"/>
      <c r="G33" s="186"/>
      <c r="H33" s="187" t="s">
        <v>269</v>
      </c>
      <c r="I33" s="80"/>
      <c r="J33" s="80"/>
      <c r="K33" s="64"/>
      <c r="U33" s="65"/>
      <c r="V33" s="65"/>
      <c r="W33" s="65"/>
      <c r="X33" s="65"/>
      <c r="Y33" s="65"/>
    </row>
    <row r="34" spans="1:25" x14ac:dyDescent="0.35">
      <c r="A34" s="100"/>
      <c r="B34" s="100"/>
      <c r="C34" s="100"/>
      <c r="D34" s="100"/>
      <c r="E34" s="100"/>
      <c r="F34" s="100"/>
      <c r="G34" s="100"/>
      <c r="H34" s="100"/>
    </row>
    <row r="35" spans="1:25" x14ac:dyDescent="0.35">
      <c r="A35" s="100"/>
      <c r="B35" s="100"/>
      <c r="C35" s="100"/>
      <c r="D35" s="100"/>
      <c r="E35" s="100"/>
      <c r="F35" s="100"/>
      <c r="G35" s="100"/>
      <c r="H35" s="100"/>
    </row>
    <row r="36" spans="1:25" x14ac:dyDescent="0.35">
      <c r="A36" s="100"/>
      <c r="B36" s="100"/>
      <c r="C36" s="100"/>
      <c r="D36" s="100"/>
      <c r="E36" s="100"/>
      <c r="F36" s="100"/>
      <c r="G36" s="100"/>
      <c r="H36" s="100"/>
    </row>
    <row r="37" spans="1:25" x14ac:dyDescent="0.35">
      <c r="A37" s="100"/>
      <c r="B37" s="100"/>
      <c r="C37" s="100"/>
      <c r="D37" s="100"/>
      <c r="E37" s="100"/>
      <c r="F37" s="100"/>
      <c r="G37" s="100"/>
      <c r="H37" s="100"/>
    </row>
    <row r="38" spans="1:25" x14ac:dyDescent="0.35">
      <c r="A38" s="100"/>
      <c r="B38" s="100"/>
      <c r="C38" s="100"/>
      <c r="D38" s="100"/>
      <c r="E38" s="100"/>
      <c r="F38" s="100"/>
      <c r="G38" s="100"/>
      <c r="H38" s="100"/>
    </row>
    <row r="39" spans="1:25" x14ac:dyDescent="0.35">
      <c r="A39" s="100"/>
      <c r="B39" s="100"/>
      <c r="C39" s="100"/>
      <c r="D39" s="100"/>
      <c r="E39" s="100"/>
      <c r="F39" s="100"/>
      <c r="G39" s="100"/>
      <c r="H39" s="100"/>
    </row>
    <row r="40" spans="1:25" x14ac:dyDescent="0.35">
      <c r="A40" s="100"/>
      <c r="B40" s="100"/>
      <c r="C40" s="100"/>
      <c r="D40" s="100"/>
      <c r="E40" s="100"/>
      <c r="F40" s="100"/>
      <c r="G40" s="100"/>
      <c r="H40" s="100"/>
    </row>
    <row r="41" spans="1:25" x14ac:dyDescent="0.35">
      <c r="A41" s="100"/>
      <c r="B41" s="100"/>
      <c r="C41" s="100"/>
      <c r="D41" s="100"/>
      <c r="E41" s="100"/>
      <c r="F41" s="100"/>
      <c r="G41" s="100"/>
      <c r="H41" s="100"/>
    </row>
    <row r="42" spans="1:25" x14ac:dyDescent="0.35">
      <c r="A42" s="100"/>
      <c r="B42" s="100"/>
      <c r="C42" s="100"/>
      <c r="D42" s="100"/>
      <c r="E42" s="100"/>
      <c r="F42" s="100"/>
      <c r="G42" s="100"/>
      <c r="H42" s="100"/>
    </row>
    <row r="43" spans="1:25" x14ac:dyDescent="0.35">
      <c r="A43" s="100"/>
      <c r="B43" s="100"/>
      <c r="C43" s="100"/>
      <c r="D43" s="100"/>
      <c r="E43" s="100"/>
      <c r="F43" s="100"/>
      <c r="G43" s="100"/>
      <c r="H43" s="100"/>
    </row>
    <row r="44" spans="1:25" x14ac:dyDescent="0.35">
      <c r="A44" s="100"/>
      <c r="B44" s="100"/>
      <c r="C44" s="100"/>
      <c r="D44" s="100"/>
      <c r="E44" s="100"/>
      <c r="F44" s="100"/>
      <c r="G44" s="100"/>
      <c r="H44" s="100"/>
    </row>
    <row r="45" spans="1:25" x14ac:dyDescent="0.35">
      <c r="A45" s="100"/>
      <c r="B45" s="100"/>
      <c r="C45" s="100"/>
      <c r="D45" s="100"/>
      <c r="E45" s="100"/>
      <c r="F45" s="100"/>
      <c r="G45" s="100"/>
      <c r="H45" s="100"/>
    </row>
    <row r="46" spans="1:25" x14ac:dyDescent="0.35">
      <c r="A46" s="100"/>
      <c r="B46" s="100"/>
      <c r="C46" s="100"/>
      <c r="D46" s="100"/>
      <c r="E46" s="100"/>
      <c r="F46" s="100"/>
      <c r="G46" s="100"/>
      <c r="H46" s="100"/>
    </row>
    <row r="47" spans="1:25" x14ac:dyDescent="0.35">
      <c r="A47" s="100"/>
      <c r="B47" s="100"/>
      <c r="C47" s="100"/>
      <c r="D47" s="100"/>
      <c r="E47" s="100"/>
      <c r="F47" s="100"/>
      <c r="G47" s="100"/>
      <c r="H47" s="100"/>
    </row>
    <row r="48" spans="1:25" x14ac:dyDescent="0.35">
      <c r="A48" s="100"/>
      <c r="B48" s="100"/>
      <c r="C48" s="100"/>
      <c r="D48" s="100"/>
      <c r="E48" s="100"/>
      <c r="F48" s="100"/>
      <c r="G48" s="100"/>
      <c r="H48" s="100"/>
    </row>
    <row r="49" spans="1:8" x14ac:dyDescent="0.35">
      <c r="A49" s="100"/>
      <c r="B49" s="100"/>
      <c r="C49" s="100"/>
      <c r="D49" s="100"/>
      <c r="E49" s="100"/>
      <c r="F49" s="100"/>
      <c r="G49" s="100"/>
      <c r="H49" s="100"/>
    </row>
    <row r="50" spans="1:8" x14ac:dyDescent="0.35">
      <c r="A50" s="100"/>
      <c r="B50" s="100"/>
      <c r="C50" s="100"/>
      <c r="D50" s="100"/>
      <c r="E50" s="100"/>
      <c r="F50" s="100"/>
      <c r="G50" s="100"/>
      <c r="H50" s="100"/>
    </row>
    <row r="51" spans="1:8" x14ac:dyDescent="0.35">
      <c r="A51" s="100"/>
      <c r="B51" s="100"/>
      <c r="C51" s="100"/>
      <c r="D51" s="100"/>
      <c r="E51" s="100"/>
      <c r="F51" s="100"/>
      <c r="G51" s="100"/>
      <c r="H51" s="100"/>
    </row>
    <row r="52" spans="1:8" x14ac:dyDescent="0.35">
      <c r="A52" s="100"/>
      <c r="B52" s="100"/>
      <c r="C52" s="100"/>
      <c r="D52" s="100"/>
      <c r="E52" s="100"/>
      <c r="F52" s="100"/>
      <c r="G52" s="100"/>
      <c r="H52" s="100"/>
    </row>
    <row r="53" spans="1:8" x14ac:dyDescent="0.35">
      <c r="A53" s="100"/>
      <c r="B53" s="100"/>
      <c r="C53" s="100"/>
      <c r="D53" s="100"/>
      <c r="E53" s="100"/>
      <c r="F53" s="100"/>
      <c r="G53" s="100"/>
      <c r="H53" s="100"/>
    </row>
    <row r="54" spans="1:8" x14ac:dyDescent="0.35">
      <c r="A54" s="100"/>
      <c r="B54" s="100"/>
      <c r="C54" s="100"/>
      <c r="D54" s="100"/>
      <c r="E54" s="100"/>
      <c r="F54" s="100"/>
      <c r="G54" s="100"/>
      <c r="H54" s="100"/>
    </row>
    <row r="55" spans="1:8" x14ac:dyDescent="0.35">
      <c r="A55" s="100"/>
      <c r="B55" s="100"/>
      <c r="C55" s="100"/>
      <c r="D55" s="100"/>
      <c r="E55" s="100"/>
      <c r="F55" s="100"/>
      <c r="G55" s="100"/>
      <c r="H55" s="100"/>
    </row>
    <row r="56" spans="1:8" x14ac:dyDescent="0.35">
      <c r="A56" s="100"/>
      <c r="B56" s="100"/>
      <c r="C56" s="100"/>
      <c r="D56" s="100"/>
      <c r="E56" s="100"/>
      <c r="F56" s="100"/>
      <c r="G56" s="100"/>
      <c r="H56" s="100"/>
    </row>
    <row r="57" spans="1:8" x14ac:dyDescent="0.35">
      <c r="A57" s="100"/>
      <c r="B57" s="100"/>
      <c r="C57" s="100"/>
      <c r="D57" s="100"/>
      <c r="E57" s="100"/>
      <c r="F57" s="100"/>
      <c r="G57" s="100"/>
      <c r="H57" s="100"/>
    </row>
    <row r="58" spans="1:8" x14ac:dyDescent="0.35">
      <c r="A58" s="100"/>
      <c r="B58" s="100"/>
      <c r="C58" s="100"/>
      <c r="D58" s="100"/>
      <c r="E58" s="100"/>
      <c r="F58" s="100"/>
      <c r="G58" s="100"/>
      <c r="H58" s="100"/>
    </row>
    <row r="59" spans="1:8" x14ac:dyDescent="0.35">
      <c r="A59" s="100"/>
      <c r="B59" s="100"/>
      <c r="C59" s="100"/>
      <c r="D59" s="100"/>
      <c r="E59" s="100"/>
      <c r="F59" s="100"/>
      <c r="G59" s="100"/>
      <c r="H59" s="100"/>
    </row>
    <row r="60" spans="1:8" x14ac:dyDescent="0.35">
      <c r="A60" s="100"/>
      <c r="B60" s="100"/>
      <c r="C60" s="100"/>
      <c r="D60" s="100"/>
      <c r="E60" s="100"/>
      <c r="F60" s="100"/>
      <c r="G60" s="100"/>
      <c r="H60" s="100"/>
    </row>
    <row r="61" spans="1:8" x14ac:dyDescent="0.35">
      <c r="A61" s="100"/>
      <c r="B61" s="100"/>
      <c r="C61" s="100"/>
      <c r="D61" s="100"/>
      <c r="E61" s="100"/>
      <c r="F61" s="100"/>
      <c r="G61" s="100"/>
      <c r="H61" s="100"/>
    </row>
    <row r="62" spans="1:8" x14ac:dyDescent="0.35">
      <c r="A62" s="100"/>
      <c r="B62" s="100"/>
      <c r="C62" s="100"/>
      <c r="D62" s="100"/>
      <c r="E62" s="100"/>
      <c r="F62" s="100"/>
      <c r="G62" s="100"/>
      <c r="H62" s="100"/>
    </row>
    <row r="63" spans="1:8" x14ac:dyDescent="0.35">
      <c r="A63" s="100"/>
      <c r="B63" s="100"/>
      <c r="C63" s="100"/>
      <c r="D63" s="100"/>
      <c r="E63" s="100"/>
      <c r="F63" s="100"/>
      <c r="G63" s="100"/>
      <c r="H63" s="100"/>
    </row>
    <row r="64" spans="1:8" x14ac:dyDescent="0.35">
      <c r="A64" s="100"/>
      <c r="B64" s="100"/>
      <c r="C64" s="100"/>
      <c r="D64" s="100"/>
      <c r="E64" s="100"/>
      <c r="F64" s="100"/>
      <c r="G64" s="100"/>
      <c r="H64" s="100"/>
    </row>
    <row r="65" spans="1:8" x14ac:dyDescent="0.35">
      <c r="A65" s="100"/>
      <c r="B65" s="100"/>
      <c r="C65" s="100"/>
      <c r="D65" s="100"/>
      <c r="E65" s="100"/>
      <c r="F65" s="100"/>
      <c r="G65" s="100"/>
      <c r="H65" s="100"/>
    </row>
    <row r="66" spans="1:8" x14ac:dyDescent="0.35">
      <c r="A66" s="100"/>
      <c r="B66" s="100"/>
      <c r="C66" s="100"/>
      <c r="D66" s="100"/>
      <c r="E66" s="100"/>
      <c r="F66" s="100"/>
      <c r="G66" s="100"/>
      <c r="H66" s="100"/>
    </row>
    <row r="67" spans="1:8" x14ac:dyDescent="0.35">
      <c r="A67" s="100"/>
      <c r="B67" s="100"/>
      <c r="C67" s="100"/>
      <c r="D67" s="100"/>
      <c r="E67" s="100"/>
      <c r="F67" s="100"/>
      <c r="G67" s="100"/>
      <c r="H67" s="100"/>
    </row>
    <row r="68" spans="1:8" x14ac:dyDescent="0.35">
      <c r="A68" s="100"/>
      <c r="B68" s="100"/>
      <c r="C68" s="100"/>
      <c r="D68" s="100"/>
      <c r="E68" s="100"/>
      <c r="F68" s="100"/>
      <c r="G68" s="100"/>
      <c r="H68" s="100"/>
    </row>
    <row r="93" spans="4:4" hidden="1" x14ac:dyDescent="0.35">
      <c r="D93">
        <v>2</v>
      </c>
    </row>
    <row r="94" spans="4:4" hidden="1" x14ac:dyDescent="0.35">
      <c r="D94">
        <v>3</v>
      </c>
    </row>
    <row r="95" spans="4:4" hidden="1" x14ac:dyDescent="0.35">
      <c r="D95">
        <v>4</v>
      </c>
    </row>
    <row r="96" spans="4:4" hidden="1" x14ac:dyDescent="0.35">
      <c r="D96">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9">
    <mergeCell ref="B23:C23"/>
    <mergeCell ref="B24:C24"/>
    <mergeCell ref="B25:C25"/>
    <mergeCell ref="A3:J3"/>
    <mergeCell ref="A14:H17"/>
    <mergeCell ref="B19:C19"/>
    <mergeCell ref="B20:C20"/>
    <mergeCell ref="B21:C21"/>
    <mergeCell ref="B22:C22"/>
  </mergeCells>
  <pageMargins left="0.7" right="0.7" top="0.75" bottom="0.75" header="0.3" footer="0.3"/>
  <pageSetup orientation="portrait" horizontalDpi="1200" verticalDpi="1200"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A1:AA75"/>
  <sheetViews>
    <sheetView topLeftCell="D55" workbookViewId="0">
      <selection activeCell="O81" sqref="O81"/>
    </sheetView>
  </sheetViews>
  <sheetFormatPr defaultColWidth="9.1796875" defaultRowHeight="14.5" x14ac:dyDescent="0.35"/>
  <cols>
    <col min="1" max="1" width="9.54296875" customWidth="1"/>
    <col min="2" max="2" width="16" customWidth="1"/>
    <col min="3" max="3" width="22.54296875" customWidth="1"/>
    <col min="4" max="4" width="15.4531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4.453125" style="260" customWidth="1"/>
    <col min="24" max="24" width="12.1796875" style="48" customWidth="1"/>
    <col min="25" max="25" width="12" customWidth="1"/>
    <col min="26" max="26" width="15.453125" style="260" customWidth="1"/>
    <col min="27" max="27" width="12" style="48" customWidth="1"/>
  </cols>
  <sheetData>
    <row r="1" spans="1:27" ht="26" x14ac:dyDescent="0.6">
      <c r="A1" s="3" t="s">
        <v>774</v>
      </c>
    </row>
    <row r="2" spans="1:27" ht="21" x14ac:dyDescent="0.5">
      <c r="A2" s="2" t="s">
        <v>772</v>
      </c>
    </row>
    <row r="3" spans="1:27" ht="25" customHeight="1" x14ac:dyDescent="0.5">
      <c r="A3" s="495" t="s">
        <v>755</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624</v>
      </c>
      <c r="C8" s="1"/>
      <c r="F8" s="118" t="str">
        <f>'As-Filed Schedule 2B'!F8</f>
        <v>Yes</v>
      </c>
      <c r="G8" s="41" t="s">
        <v>259</v>
      </c>
      <c r="J8" s="331"/>
    </row>
    <row r="10" spans="1:27" x14ac:dyDescent="0.35">
      <c r="A10" s="1" t="s">
        <v>254</v>
      </c>
      <c r="B10" s="1" t="s">
        <v>256</v>
      </c>
      <c r="C10" s="1"/>
    </row>
    <row r="11" spans="1:27" x14ac:dyDescent="0.35">
      <c r="B11" s="329" t="s">
        <v>598</v>
      </c>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617</v>
      </c>
      <c r="Y12" s="23">
        <v>9</v>
      </c>
      <c r="Z12" s="255" t="s">
        <v>618</v>
      </c>
      <c r="AA12" s="256" t="s">
        <v>619</v>
      </c>
    </row>
    <row r="13" spans="1:27" x14ac:dyDescent="0.35">
      <c r="B13" s="515" t="s">
        <v>612</v>
      </c>
      <c r="C13" s="516"/>
      <c r="D13" s="517"/>
      <c r="F13" s="509" t="s">
        <v>261</v>
      </c>
      <c r="G13" s="521"/>
      <c r="H13" s="521"/>
      <c r="I13" s="521"/>
      <c r="J13" s="521"/>
      <c r="K13" s="521"/>
      <c r="L13" s="510"/>
      <c r="N13" s="509" t="s">
        <v>262</v>
      </c>
      <c r="O13" s="521"/>
      <c r="P13" s="521"/>
      <c r="Q13" s="521"/>
      <c r="R13" s="521"/>
      <c r="S13" s="521"/>
      <c r="T13" s="510"/>
      <c r="V13" s="522" t="s">
        <v>250</v>
      </c>
      <c r="W13" s="567" t="s">
        <v>620</v>
      </c>
      <c r="X13" s="569" t="s">
        <v>621</v>
      </c>
      <c r="Y13" s="508" t="s">
        <v>312</v>
      </c>
      <c r="Z13" s="571" t="s">
        <v>622</v>
      </c>
      <c r="AA13" s="572" t="s">
        <v>625</v>
      </c>
    </row>
    <row r="14" spans="1:27" ht="55.5" customHeight="1" x14ac:dyDescent="0.35">
      <c r="B14" s="518"/>
      <c r="C14" s="519"/>
      <c r="D14" s="520"/>
      <c r="E14" s="48"/>
      <c r="F14" s="10" t="s">
        <v>214</v>
      </c>
      <c r="G14" s="257" t="s">
        <v>609</v>
      </c>
      <c r="H14" s="258" t="s">
        <v>610</v>
      </c>
      <c r="I14" s="150" t="s">
        <v>491</v>
      </c>
      <c r="J14" s="258" t="s">
        <v>613</v>
      </c>
      <c r="K14" s="150" t="s">
        <v>215</v>
      </c>
      <c r="L14" s="258" t="s">
        <v>615</v>
      </c>
      <c r="M14" s="100"/>
      <c r="N14" s="150" t="s">
        <v>214</v>
      </c>
      <c r="O14" s="257" t="s">
        <v>609</v>
      </c>
      <c r="P14" s="258" t="s">
        <v>610</v>
      </c>
      <c r="Q14" s="150" t="s">
        <v>491</v>
      </c>
      <c r="R14" s="258" t="s">
        <v>613</v>
      </c>
      <c r="S14" s="10" t="s">
        <v>215</v>
      </c>
      <c r="T14" s="258" t="s">
        <v>615</v>
      </c>
      <c r="U14" s="48"/>
      <c r="V14" s="523"/>
      <c r="W14" s="568"/>
      <c r="X14" s="570"/>
      <c r="Y14" s="508"/>
      <c r="Z14" s="571"/>
      <c r="AA14" s="572"/>
    </row>
    <row r="15" spans="1:27" x14ac:dyDescent="0.35">
      <c r="A15" s="24">
        <v>1</v>
      </c>
      <c r="B15" s="514" t="str">
        <f>IF('As-Filed Schedule 2B'!B15:D15=0,"",'As-Filed Schedule 2B'!B15:D15)</f>
        <v>STEM-Ctr for Strength-AEAP</v>
      </c>
      <c r="C15" s="514"/>
      <c r="D15" s="514"/>
      <c r="F15" s="117" t="str">
        <f>'As-Filed Schedule 2B'!F15</f>
        <v xml:space="preserve"> $                                -  </v>
      </c>
      <c r="G15" s="309">
        <f>SUMIFS(Adjustments!$G:$G,Adjustments!$H:$H,"2B",Adjustments!$I:$I,'Schedule 2B Adjustments'!$F$12,Adjustments!$J:$J,'Schedule 2B Adjustments'!$A15)</f>
        <v>0</v>
      </c>
      <c r="H15" s="305">
        <f>SUM(F15:G15)</f>
        <v>0</v>
      </c>
      <c r="I15" s="180">
        <f>IFERROR(F15*'As-Filed Schedule 1'!$E$103,0)</f>
        <v>0</v>
      </c>
      <c r="J15" s="306">
        <f>IFERROR(H15*'Adjusted Schedule 1'!$E$104,0)</f>
        <v>0</v>
      </c>
      <c r="K15" s="180">
        <f>SUM(F15,I15)</f>
        <v>0</v>
      </c>
      <c r="L15" s="306">
        <f>SUM(H15,J15)</f>
        <v>0</v>
      </c>
      <c r="M15" s="100"/>
      <c r="N15" s="179">
        <f>'As-Filed Schedule 2B'!J15</f>
        <v>435518</v>
      </c>
      <c r="O15" s="309">
        <f>SUMIFS(Adjustments!$G:$G,Adjustments!$H:$H,"2B",Adjustments!$I:$I,'Schedule 2B Adjustments'!$N$12,Adjustments!$J:$J,'Schedule 2B Adjustments'!$A15)</f>
        <v>-3524</v>
      </c>
      <c r="P15" s="305">
        <f>SUM(N15:O15)</f>
        <v>431994</v>
      </c>
      <c r="Q15" s="180">
        <f>IFERROR(N15*'As-Filed Schedule 1'!$E$103,0)</f>
        <v>147147.76032950543</v>
      </c>
      <c r="R15" s="306">
        <f>IFERROR(P15*'Adjusted Schedule 1'!$E$104,0)</f>
        <v>141422.20861725084</v>
      </c>
      <c r="S15" s="68">
        <f>SUM(N15,Q15)</f>
        <v>582665.76032950543</v>
      </c>
      <c r="T15" s="306">
        <f>SUM(P15,R15)</f>
        <v>573416.2086172509</v>
      </c>
      <c r="V15" s="119">
        <f>'As-Filed Schedule 2B'!N15</f>
        <v>4.37</v>
      </c>
      <c r="W15" s="309">
        <f>SUMIFS(Adjustments!$G:$G,Adjustments!$H:$H,"2B",Adjustments!$I:$I,'Schedule 2B Adjustments'!$V$12,Adjustments!$J:$J,'Schedule 2B Adjustments'!$A15)</f>
        <v>0</v>
      </c>
      <c r="X15" s="322">
        <f>SUM(V15:W15)</f>
        <v>4.37</v>
      </c>
      <c r="Y15" s="119">
        <f>'As-Filed Schedule 2B'!O15</f>
        <v>2</v>
      </c>
      <c r="Z15" s="309">
        <f>SUMIFS(Adjustments!$G:$G,Adjustments!$H:$H,"2B",Adjustments!$I:$I,'Schedule 2B Adjustments'!$Y$12,Adjustments!$J:$J,'Schedule 2B Adjustments'!$A15)</f>
        <v>0</v>
      </c>
      <c r="AA15" s="322">
        <f>SUM(Y15:Z15)</f>
        <v>2</v>
      </c>
    </row>
    <row r="16" spans="1:27" x14ac:dyDescent="0.35">
      <c r="A16" s="24">
        <v>2</v>
      </c>
      <c r="B16" s="514" t="str">
        <f>IF('As-Filed Schedule 2B'!B16:D16=0,"",'As-Filed Schedule 2B'!B16:D16)</f>
        <v/>
      </c>
      <c r="C16" s="514"/>
      <c r="D16" s="514"/>
      <c r="F16" s="117">
        <f>'As-Filed Schedule 2B'!F16</f>
        <v>0</v>
      </c>
      <c r="G16" s="309">
        <f>SUMIFS(Adjustments!$G:$G,Adjustments!$H:$H,"2B",Adjustments!$I:$I,'Schedule 2B Adjustments'!$F$12,Adjustments!$J:$J,'Schedule 2B Adjustments'!$A16)</f>
        <v>0</v>
      </c>
      <c r="H16" s="305">
        <f t="shared" ref="H16:H72" si="0">SUM(F16:G16)</f>
        <v>0</v>
      </c>
      <c r="I16" s="68">
        <f>IFERROR(F16*'As-Filed Schedule 1'!$E$103,0)</f>
        <v>0</v>
      </c>
      <c r="J16" s="306">
        <f>IFERROR(H16*'Adjusted Schedule 1'!$E$104,0)</f>
        <v>0</v>
      </c>
      <c r="K16" s="180">
        <f t="shared" ref="K16:K72" si="1">SUM(F16,I16)</f>
        <v>0</v>
      </c>
      <c r="L16" s="306">
        <f>SUM(H16,J16)</f>
        <v>0</v>
      </c>
      <c r="N16" s="179">
        <f>'As-Filed Schedule 2B'!J16</f>
        <v>0</v>
      </c>
      <c r="O16" s="309">
        <f>SUMIFS(Adjustments!$G:$G,Adjustments!$H:$H,"2B",Adjustments!$I:$I,'Schedule 2B Adjustments'!$N$12,Adjustments!$J:$J,'Schedule 2B Adjustments'!$A16)</f>
        <v>0</v>
      </c>
      <c r="P16" s="305">
        <f t="shared" ref="P16:P72" si="2">SUM(N16:O16)</f>
        <v>0</v>
      </c>
      <c r="Q16" s="68">
        <f>IFERROR(N16*'As-Filed Schedule 1'!$E$103,0)</f>
        <v>0</v>
      </c>
      <c r="R16" s="306">
        <f>IFERROR(P16*'Adjusted Schedule 1'!$E$104,0)</f>
        <v>0</v>
      </c>
      <c r="S16" s="68">
        <f t="shared" ref="S16:S72" si="3">SUM(N16,Q16)</f>
        <v>0</v>
      </c>
      <c r="T16" s="306">
        <f t="shared" ref="T16:T72" si="4">SUM(P16,R16)</f>
        <v>0</v>
      </c>
      <c r="V16" s="119">
        <f>'As-Filed Schedule 2B'!N16</f>
        <v>0</v>
      </c>
      <c r="W16" s="309">
        <f>SUMIFS(Adjustments!$G:$G,Adjustments!$H:$H,"2B",Adjustments!$I:$I,'Schedule 2B Adjustments'!$V$12,Adjustments!$J:$J,'Schedule 2B Adjustments'!$A16)</f>
        <v>0</v>
      </c>
      <c r="X16" s="322">
        <f t="shared" ref="X16:X72" si="5">SUM(V16:W16)</f>
        <v>0</v>
      </c>
      <c r="Y16" s="119">
        <f>'As-Filed Schedule 2B'!O16</f>
        <v>0</v>
      </c>
      <c r="Z16" s="309">
        <f>SUMIFS(Adjustments!$G:$G,Adjustments!$H:$H,"2B",Adjustments!$I:$I,'Schedule 2B Adjustments'!$Y$12,Adjustments!$J:$J,'Schedule 2B Adjustments'!$A16)</f>
        <v>0</v>
      </c>
      <c r="AA16" s="322">
        <f t="shared" ref="AA16:AA72" si="6">SUM(Y16:Z16)</f>
        <v>0</v>
      </c>
    </row>
    <row r="17" spans="1:27" x14ac:dyDescent="0.35">
      <c r="A17" s="24">
        <v>3</v>
      </c>
      <c r="B17" s="514" t="str">
        <f>IF('As-Filed Schedule 2B'!B17:D17=0,"",'As-Filed Schedule 2B'!B17:D17)</f>
        <v/>
      </c>
      <c r="C17" s="514"/>
      <c r="D17" s="514"/>
      <c r="F17" s="117">
        <f>'As-Filed Schedule 2B'!F17</f>
        <v>0</v>
      </c>
      <c r="G17" s="309">
        <f>SUMIFS(Adjustments!$G:$G,Adjustments!$H:$H,"2B",Adjustments!$I:$I,'Schedule 2B Adjustments'!$F$12,Adjustments!$J:$J,'Schedule 2B Adjustments'!$A17)</f>
        <v>0</v>
      </c>
      <c r="H17" s="305">
        <f t="shared" si="0"/>
        <v>0</v>
      </c>
      <c r="I17" s="68">
        <f>IFERROR(F17*'As-Filed Schedule 1'!$E$103,0)</f>
        <v>0</v>
      </c>
      <c r="J17" s="306">
        <f>IFERROR(H17*'Adjusted Schedule 1'!$E$104,0)</f>
        <v>0</v>
      </c>
      <c r="K17" s="180">
        <f t="shared" si="1"/>
        <v>0</v>
      </c>
      <c r="L17" s="306">
        <f>SUM(H17,J17)</f>
        <v>0</v>
      </c>
      <c r="N17" s="179">
        <f>'As-Filed Schedule 2B'!J17</f>
        <v>0</v>
      </c>
      <c r="O17" s="309">
        <f>SUMIFS(Adjustments!$G:$G,Adjustments!$H:$H,"2B",Adjustments!$I:$I,'Schedule 2B Adjustments'!$N$12,Adjustments!$J:$J,'Schedule 2B Adjustments'!$A17)</f>
        <v>312084</v>
      </c>
      <c r="P17" s="305">
        <f t="shared" si="2"/>
        <v>312084</v>
      </c>
      <c r="Q17" s="68">
        <f>IFERROR(N17*'As-Filed Schedule 1'!$E$103,0)</f>
        <v>0</v>
      </c>
      <c r="R17" s="306">
        <f>IFERROR(P17*'Adjusted Schedule 1'!$E$104,0)</f>
        <v>102167.17953051689</v>
      </c>
      <c r="S17" s="68">
        <f t="shared" si="3"/>
        <v>0</v>
      </c>
      <c r="T17" s="306">
        <f t="shared" si="4"/>
        <v>414251.17953051691</v>
      </c>
      <c r="V17" s="119">
        <f>'As-Filed Schedule 2B'!N17</f>
        <v>0</v>
      </c>
      <c r="W17" s="309">
        <f>SUMIFS(Adjustments!$G:$G,Adjustments!$H:$H,"2B",Adjustments!$I:$I,'Schedule 2B Adjustments'!$V$12,Adjustments!$J:$J,'Schedule 2B Adjustments'!$A17)</f>
        <v>3</v>
      </c>
      <c r="X17" s="322">
        <f t="shared" si="5"/>
        <v>3</v>
      </c>
      <c r="Y17" s="119">
        <f>'As-Filed Schedule 2B'!O17</f>
        <v>0</v>
      </c>
      <c r="Z17" s="309">
        <f>SUMIFS(Adjustments!$G:$G,Adjustments!$H:$H,"2B",Adjustments!$I:$I,'Schedule 2B Adjustments'!$Y$12,Adjustments!$J:$J,'Schedule 2B Adjustments'!$A17)</f>
        <v>0</v>
      </c>
      <c r="AA17" s="322">
        <f t="shared" si="6"/>
        <v>0</v>
      </c>
    </row>
    <row r="18" spans="1:27" x14ac:dyDescent="0.35">
      <c r="A18" s="24">
        <v>4</v>
      </c>
      <c r="B18" s="514" t="str">
        <f>IF('As-Filed Schedule 2B'!B18:D18=0,"",'As-Filed Schedule 2B'!B18:D18)</f>
        <v/>
      </c>
      <c r="C18" s="514"/>
      <c r="D18" s="514"/>
      <c r="F18" s="117">
        <f>'As-Filed Schedule 2B'!F18</f>
        <v>0</v>
      </c>
      <c r="G18" s="309">
        <f>SUMIFS(Adjustments!$G:$G,Adjustments!$H:$H,"2B",Adjustments!$I:$I,'Schedule 2B Adjustments'!$F$12,Adjustments!$J:$J,'Schedule 2B Adjustments'!$A18)</f>
        <v>0</v>
      </c>
      <c r="H18" s="305">
        <f t="shared" si="0"/>
        <v>0</v>
      </c>
      <c r="I18" s="68">
        <f>IFERROR(F18*'As-Filed Schedule 1'!$E$103,0)</f>
        <v>0</v>
      </c>
      <c r="J18" s="306">
        <f>IFERROR(H18*'Adjusted Schedule 1'!$E$104,0)</f>
        <v>0</v>
      </c>
      <c r="K18" s="180">
        <f t="shared" si="1"/>
        <v>0</v>
      </c>
      <c r="L18" s="306">
        <f t="shared" ref="L18:L72" si="7">SUM(H18,J18)</f>
        <v>0</v>
      </c>
      <c r="N18" s="179">
        <f>'As-Filed Schedule 2B'!J18</f>
        <v>0</v>
      </c>
      <c r="O18" s="309">
        <f>SUMIFS(Adjustments!$G:$G,Adjustments!$H:$H,"2B",Adjustments!$I:$I,'Schedule 2B Adjustments'!$N$12,Adjustments!$J:$J,'Schedule 2B Adjustments'!$A18)</f>
        <v>0</v>
      </c>
      <c r="P18" s="305">
        <f t="shared" si="2"/>
        <v>0</v>
      </c>
      <c r="Q18" s="68">
        <f>IFERROR(N18*'As-Filed Schedule 1'!$E$103,0)</f>
        <v>0</v>
      </c>
      <c r="R18" s="306">
        <f>IFERROR(P18*'Adjusted Schedule 1'!$E$104,0)</f>
        <v>0</v>
      </c>
      <c r="S18" s="68">
        <f t="shared" si="3"/>
        <v>0</v>
      </c>
      <c r="T18" s="306">
        <f t="shared" si="4"/>
        <v>0</v>
      </c>
      <c r="V18" s="119">
        <f>'As-Filed Schedule 2B'!N18</f>
        <v>0</v>
      </c>
      <c r="W18" s="309">
        <f>SUMIFS(Adjustments!$G:$G,Adjustments!$H:$H,"2B",Adjustments!$I:$I,'Schedule 2B Adjustments'!$V$12,Adjustments!$J:$J,'Schedule 2B Adjustments'!$A18)</f>
        <v>0</v>
      </c>
      <c r="X18" s="322">
        <f t="shared" si="5"/>
        <v>0</v>
      </c>
      <c r="Y18" s="119">
        <f>'As-Filed Schedule 2B'!O18</f>
        <v>0</v>
      </c>
      <c r="Z18" s="309">
        <f>SUMIFS(Adjustments!$G:$G,Adjustments!$H:$H,"2B",Adjustments!$I:$I,'Schedule 2B Adjustments'!$Y$12,Adjustments!$J:$J,'Schedule 2B Adjustments'!$A18)</f>
        <v>0</v>
      </c>
      <c r="AA18" s="322">
        <f t="shared" si="6"/>
        <v>0</v>
      </c>
    </row>
    <row r="19" spans="1:27" x14ac:dyDescent="0.35">
      <c r="A19" s="24">
        <v>5</v>
      </c>
      <c r="B19" s="514" t="str">
        <f>IF('As-Filed Schedule 2B'!B19:D19=0,"",'As-Filed Schedule 2B'!B19:D19)</f>
        <v/>
      </c>
      <c r="C19" s="514"/>
      <c r="D19" s="514"/>
      <c r="F19" s="117">
        <f>'As-Filed Schedule 2B'!F19</f>
        <v>0</v>
      </c>
      <c r="G19" s="309">
        <f>SUMIFS(Adjustments!$G:$G,Adjustments!$H:$H,"2B",Adjustments!$I:$I,'Schedule 2B Adjustments'!$F$12,Adjustments!$J:$J,'Schedule 2B Adjustments'!$A19)</f>
        <v>0</v>
      </c>
      <c r="H19" s="305">
        <f t="shared" si="0"/>
        <v>0</v>
      </c>
      <c r="I19" s="68">
        <f>IFERROR(F19*'As-Filed Schedule 1'!$E$103,0)</f>
        <v>0</v>
      </c>
      <c r="J19" s="306">
        <f>IFERROR(H19*'Adjusted Schedule 1'!$E$104,0)</f>
        <v>0</v>
      </c>
      <c r="K19" s="180">
        <f>SUM(F19,I19)</f>
        <v>0</v>
      </c>
      <c r="L19" s="306">
        <f t="shared" si="7"/>
        <v>0</v>
      </c>
      <c r="N19" s="179">
        <f>'As-Filed Schedule 2B'!J19</f>
        <v>0</v>
      </c>
      <c r="O19" s="309">
        <f>SUMIFS(Adjustments!$G:$G,Adjustments!$H:$H,"2B",Adjustments!$I:$I,'Schedule 2B Adjustments'!$N$12,Adjustments!$J:$J,'Schedule 2B Adjustments'!$A19)</f>
        <v>216523</v>
      </c>
      <c r="P19" s="305">
        <f t="shared" si="2"/>
        <v>216523</v>
      </c>
      <c r="Q19" s="68">
        <f>IFERROR(N19*'As-Filed Schedule 1'!$E$103,0)</f>
        <v>0</v>
      </c>
      <c r="R19" s="306">
        <f>IFERROR(P19*'Adjusted Schedule 1'!$E$104,0)</f>
        <v>70883.301333891228</v>
      </c>
      <c r="S19" s="68">
        <f t="shared" si="3"/>
        <v>0</v>
      </c>
      <c r="T19" s="306">
        <f t="shared" si="4"/>
        <v>287406.30133389123</v>
      </c>
      <c r="V19" s="119">
        <f>'As-Filed Schedule 2B'!N19</f>
        <v>0</v>
      </c>
      <c r="W19" s="309">
        <f>SUMIFS(Adjustments!$G:$G,Adjustments!$H:$H,"2B",Adjustments!$I:$I,'Schedule 2B Adjustments'!$V$12,Adjustments!$J:$J,'Schedule 2B Adjustments'!$A19)</f>
        <v>0</v>
      </c>
      <c r="X19" s="322">
        <f t="shared" si="5"/>
        <v>0</v>
      </c>
      <c r="Y19" s="119">
        <f>'As-Filed Schedule 2B'!O19</f>
        <v>0</v>
      </c>
      <c r="Z19" s="309">
        <f>SUMIFS(Adjustments!$G:$G,Adjustments!$H:$H,"2B",Adjustments!$I:$I,'Schedule 2B Adjustments'!$Y$12,Adjustments!$J:$J,'Schedule 2B Adjustments'!$A19)</f>
        <v>0</v>
      </c>
      <c r="AA19" s="322">
        <f t="shared" si="6"/>
        <v>0</v>
      </c>
    </row>
    <row r="20" spans="1:27" x14ac:dyDescent="0.35">
      <c r="A20" s="24">
        <v>6</v>
      </c>
      <c r="B20" s="514" t="str">
        <f>IF('As-Filed Schedule 2B'!B20:D20=0,"",'As-Filed Schedule 2B'!B20:D20)</f>
        <v/>
      </c>
      <c r="C20" s="514"/>
      <c r="D20" s="514"/>
      <c r="F20" s="117">
        <f>'As-Filed Schedule 2B'!F20</f>
        <v>0</v>
      </c>
      <c r="G20" s="309">
        <f>SUMIFS(Adjustments!$G:$G,Adjustments!$H:$H,"2B",Adjustments!$I:$I,'Schedule 2B Adjustments'!$F$12,Adjustments!$J:$J,'Schedule 2B Adjustments'!$A20)</f>
        <v>0</v>
      </c>
      <c r="H20" s="305">
        <f t="shared" si="0"/>
        <v>0</v>
      </c>
      <c r="I20" s="68">
        <f>IFERROR(F20*'As-Filed Schedule 1'!$E$103,0)</f>
        <v>0</v>
      </c>
      <c r="J20" s="306">
        <f>IFERROR(H20*'Adjusted Schedule 1'!$E$104,0)</f>
        <v>0</v>
      </c>
      <c r="K20" s="180">
        <f t="shared" si="1"/>
        <v>0</v>
      </c>
      <c r="L20" s="306">
        <f t="shared" si="7"/>
        <v>0</v>
      </c>
      <c r="N20" s="179">
        <f>'As-Filed Schedule 2B'!J20</f>
        <v>0</v>
      </c>
      <c r="O20" s="309">
        <f>SUMIFS(Adjustments!$G:$G,Adjustments!$H:$H,"2B",Adjustments!$I:$I,'Schedule 2B Adjustments'!$N$12,Adjustments!$J:$J,'Schedule 2B Adjustments'!$A20)</f>
        <v>0</v>
      </c>
      <c r="P20" s="305">
        <f t="shared" si="2"/>
        <v>0</v>
      </c>
      <c r="Q20" s="68">
        <f>IFERROR(N20*'As-Filed Schedule 1'!$E$103,0)</f>
        <v>0</v>
      </c>
      <c r="R20" s="306">
        <f>IFERROR(P20*'Adjusted Schedule 1'!$E$104,0)</f>
        <v>0</v>
      </c>
      <c r="S20" s="68">
        <f t="shared" si="3"/>
        <v>0</v>
      </c>
      <c r="T20" s="306">
        <f>SUM(P20,R20)</f>
        <v>0</v>
      </c>
      <c r="V20" s="119">
        <f>'As-Filed Schedule 2B'!N20</f>
        <v>0</v>
      </c>
      <c r="W20" s="309">
        <f>SUMIFS(Adjustments!$G:$G,Adjustments!$H:$H,"2B",Adjustments!$I:$I,'Schedule 2B Adjustments'!$V$12,Adjustments!$J:$J,'Schedule 2B Adjustments'!$A20)</f>
        <v>0</v>
      </c>
      <c r="X20" s="322">
        <f t="shared" si="5"/>
        <v>0</v>
      </c>
      <c r="Y20" s="119">
        <f>'As-Filed Schedule 2B'!O20</f>
        <v>0</v>
      </c>
      <c r="Z20" s="309">
        <f>SUMIFS(Adjustments!$G:$G,Adjustments!$H:$H,"2B",Adjustments!$I:$I,'Schedule 2B Adjustments'!$Y$12,Adjustments!$J:$J,'Schedule 2B Adjustments'!$A20)</f>
        <v>0</v>
      </c>
      <c r="AA20" s="322">
        <f t="shared" si="6"/>
        <v>0</v>
      </c>
    </row>
    <row r="21" spans="1:27" x14ac:dyDescent="0.35">
      <c r="A21" s="24">
        <v>7</v>
      </c>
      <c r="B21" s="514" t="str">
        <f>IF('As-Filed Schedule 2B'!B21:D21=0,"",'As-Filed Schedule 2B'!B21:D21)</f>
        <v/>
      </c>
      <c r="C21" s="514"/>
      <c r="D21" s="514"/>
      <c r="F21" s="117">
        <f>'As-Filed Schedule 2B'!F21</f>
        <v>0</v>
      </c>
      <c r="G21" s="309">
        <f>SUMIFS(Adjustments!$G:$G,Adjustments!$H:$H,"2B",Adjustments!$I:$I,'Schedule 2B Adjustments'!$F$12,Adjustments!$J:$J,'Schedule 2B Adjustments'!$A21)</f>
        <v>0</v>
      </c>
      <c r="H21" s="305">
        <f t="shared" si="0"/>
        <v>0</v>
      </c>
      <c r="I21" s="68">
        <f>IFERROR(F21*'As-Filed Schedule 1'!$E$103,0)</f>
        <v>0</v>
      </c>
      <c r="J21" s="306">
        <f>IFERROR(H21*'Adjusted Schedule 1'!$E$104,0)</f>
        <v>0</v>
      </c>
      <c r="K21" s="180">
        <f t="shared" si="1"/>
        <v>0</v>
      </c>
      <c r="L21" s="306">
        <f t="shared" si="7"/>
        <v>0</v>
      </c>
      <c r="N21" s="179">
        <f>'As-Filed Schedule 2B'!J21</f>
        <v>0</v>
      </c>
      <c r="O21" s="309">
        <f>SUMIFS(Adjustments!$G:$G,Adjustments!$H:$H,"2B",Adjustments!$I:$I,'Schedule 2B Adjustments'!$N$12,Adjustments!$J:$J,'Schedule 2B Adjustments'!$A21)</f>
        <v>0</v>
      </c>
      <c r="P21" s="305">
        <f t="shared" si="2"/>
        <v>0</v>
      </c>
      <c r="Q21" s="68">
        <f>IFERROR(N21*'As-Filed Schedule 1'!$E$103,0)</f>
        <v>0</v>
      </c>
      <c r="R21" s="306">
        <f>IFERROR(P21*'Adjusted Schedule 1'!$E$104,0)</f>
        <v>0</v>
      </c>
      <c r="S21" s="68">
        <f t="shared" si="3"/>
        <v>0</v>
      </c>
      <c r="T21" s="306">
        <f t="shared" si="4"/>
        <v>0</v>
      </c>
      <c r="V21" s="119">
        <f>'As-Filed Schedule 2B'!N21</f>
        <v>0</v>
      </c>
      <c r="W21" s="309">
        <f>SUMIFS(Adjustments!$G:$G,Adjustments!$H:$H,"2B",Adjustments!$I:$I,'Schedule 2B Adjustments'!$V$12,Adjustments!$J:$J,'Schedule 2B Adjustments'!$A21)</f>
        <v>0</v>
      </c>
      <c r="X21" s="322">
        <f t="shared" si="5"/>
        <v>0</v>
      </c>
      <c r="Y21" s="119">
        <f>'As-Filed Schedule 2B'!O21</f>
        <v>0</v>
      </c>
      <c r="Z21" s="309">
        <f>SUMIFS(Adjustments!$G:$G,Adjustments!$H:$H,"2B",Adjustments!$I:$I,'Schedule 2B Adjustments'!$Y$12,Adjustments!$J:$J,'Schedule 2B Adjustments'!$A21)</f>
        <v>0</v>
      </c>
      <c r="AA21" s="322">
        <f t="shared" si="6"/>
        <v>0</v>
      </c>
    </row>
    <row r="22" spans="1:27" x14ac:dyDescent="0.35">
      <c r="A22" s="24">
        <v>8</v>
      </c>
      <c r="B22" s="514" t="str">
        <f>IF('As-Filed Schedule 2B'!B22:D22=0,"",'As-Filed Schedule 2B'!B22:D22)</f>
        <v/>
      </c>
      <c r="C22" s="514"/>
      <c r="D22" s="514"/>
      <c r="F22" s="117">
        <f>'As-Filed Schedule 2B'!F22</f>
        <v>0</v>
      </c>
      <c r="G22" s="309">
        <f>SUMIFS(Adjustments!$G:$G,Adjustments!$H:$H,"2B",Adjustments!$I:$I,'Schedule 2B Adjustments'!$F$12,Adjustments!$J:$J,'Schedule 2B Adjustments'!$A22)</f>
        <v>0</v>
      </c>
      <c r="H22" s="305">
        <f t="shared" si="0"/>
        <v>0</v>
      </c>
      <c r="I22" s="68">
        <f>IFERROR(F22*'As-Filed Schedule 1'!$E$103,0)</f>
        <v>0</v>
      </c>
      <c r="J22" s="306">
        <f>IFERROR(H22*'Adjusted Schedule 1'!$E$104,0)</f>
        <v>0</v>
      </c>
      <c r="K22" s="180">
        <f t="shared" si="1"/>
        <v>0</v>
      </c>
      <c r="L22" s="306">
        <f t="shared" si="7"/>
        <v>0</v>
      </c>
      <c r="N22" s="179">
        <f>'As-Filed Schedule 2B'!J22</f>
        <v>0</v>
      </c>
      <c r="O22" s="309">
        <f>SUMIFS(Adjustments!$G:$G,Adjustments!$H:$H,"2B",Adjustments!$I:$I,'Schedule 2B Adjustments'!$N$12,Adjustments!$J:$J,'Schedule 2B Adjustments'!$A22)</f>
        <v>0</v>
      </c>
      <c r="P22" s="305">
        <f t="shared" si="2"/>
        <v>0</v>
      </c>
      <c r="Q22" s="68">
        <f>IFERROR(N22*'As-Filed Schedule 1'!$E$103,0)</f>
        <v>0</v>
      </c>
      <c r="R22" s="306">
        <f>IFERROR(P22*'Adjusted Schedule 1'!$E$104,0)</f>
        <v>0</v>
      </c>
      <c r="S22" s="68">
        <f t="shared" si="3"/>
        <v>0</v>
      </c>
      <c r="T22" s="306">
        <f t="shared" si="4"/>
        <v>0</v>
      </c>
      <c r="V22" s="119">
        <f>'As-Filed Schedule 2B'!N22</f>
        <v>0</v>
      </c>
      <c r="W22" s="309">
        <f>SUMIFS(Adjustments!$G:$G,Adjustments!$H:$H,"2B",Adjustments!$I:$I,'Schedule 2B Adjustments'!$V$12,Adjustments!$J:$J,'Schedule 2B Adjustments'!$A22)</f>
        <v>0</v>
      </c>
      <c r="X22" s="322">
        <f t="shared" si="5"/>
        <v>0</v>
      </c>
      <c r="Y22" s="119">
        <f>'As-Filed Schedule 2B'!O22</f>
        <v>0</v>
      </c>
      <c r="Z22" s="309">
        <f>SUMIFS(Adjustments!$G:$G,Adjustments!$H:$H,"2B",Adjustments!$I:$I,'Schedule 2B Adjustments'!$Y$12,Adjustments!$J:$J,'Schedule 2B Adjustments'!$A22)</f>
        <v>0</v>
      </c>
      <c r="AA22" s="322">
        <f t="shared" si="6"/>
        <v>0</v>
      </c>
    </row>
    <row r="23" spans="1:27" x14ac:dyDescent="0.35">
      <c r="A23" s="24">
        <v>9</v>
      </c>
      <c r="B23" s="514" t="str">
        <f>IF('As-Filed Schedule 2B'!B23:D23=0,"",'As-Filed Schedule 2B'!B23:D23)</f>
        <v/>
      </c>
      <c r="C23" s="514"/>
      <c r="D23" s="514"/>
      <c r="F23" s="117">
        <f>'As-Filed Schedule 2B'!F23</f>
        <v>0</v>
      </c>
      <c r="G23" s="309">
        <f>SUMIFS(Adjustments!$G:$G,Adjustments!$H:$H,"2B",Adjustments!$I:$I,'Schedule 2B Adjustments'!$F$12,Adjustments!$J:$J,'Schedule 2B Adjustments'!$A23)</f>
        <v>0</v>
      </c>
      <c r="H23" s="305">
        <f t="shared" si="0"/>
        <v>0</v>
      </c>
      <c r="I23" s="68">
        <f>IFERROR(F23*'As-Filed Schedule 1'!$E$103,0)</f>
        <v>0</v>
      </c>
      <c r="J23" s="306">
        <f>IFERROR(H23*'Adjusted Schedule 1'!$E$104,0)</f>
        <v>0</v>
      </c>
      <c r="K23" s="180">
        <f t="shared" si="1"/>
        <v>0</v>
      </c>
      <c r="L23" s="306">
        <f t="shared" si="7"/>
        <v>0</v>
      </c>
      <c r="N23" s="179">
        <f>'As-Filed Schedule 2B'!J23</f>
        <v>0</v>
      </c>
      <c r="O23" s="309">
        <f>SUMIFS(Adjustments!$G:$G,Adjustments!$H:$H,"2B",Adjustments!$I:$I,'Schedule 2B Adjustments'!$N$12,Adjustments!$J:$J,'Schedule 2B Adjustments'!$A23)</f>
        <v>0</v>
      </c>
      <c r="P23" s="305">
        <f t="shared" si="2"/>
        <v>0</v>
      </c>
      <c r="Q23" s="68">
        <f>IFERROR(N23*'As-Filed Schedule 1'!$E$103,0)</f>
        <v>0</v>
      </c>
      <c r="R23" s="306">
        <f>IFERROR(P23*'Adjusted Schedule 1'!$E$104,0)</f>
        <v>0</v>
      </c>
      <c r="S23" s="68">
        <f t="shared" si="3"/>
        <v>0</v>
      </c>
      <c r="T23" s="306">
        <f t="shared" si="4"/>
        <v>0</v>
      </c>
      <c r="V23" s="119">
        <f>'As-Filed Schedule 2B'!N23</f>
        <v>0</v>
      </c>
      <c r="W23" s="309">
        <f>SUMIFS(Adjustments!$G:$G,Adjustments!$H:$H,"2B",Adjustments!$I:$I,'Schedule 2B Adjustments'!$V$12,Adjustments!$J:$J,'Schedule 2B Adjustments'!$A23)</f>
        <v>0</v>
      </c>
      <c r="X23" s="322">
        <f t="shared" si="5"/>
        <v>0</v>
      </c>
      <c r="Y23" s="119">
        <f>'As-Filed Schedule 2B'!O23</f>
        <v>0</v>
      </c>
      <c r="Z23" s="309">
        <f>SUMIFS(Adjustments!$G:$G,Adjustments!$H:$H,"2B",Adjustments!$I:$I,'Schedule 2B Adjustments'!$Y$12,Adjustments!$J:$J,'Schedule 2B Adjustments'!$A23)</f>
        <v>0</v>
      </c>
      <c r="AA23" s="322">
        <f t="shared" si="6"/>
        <v>0</v>
      </c>
    </row>
    <row r="24" spans="1:27" x14ac:dyDescent="0.35">
      <c r="A24" s="24">
        <v>10</v>
      </c>
      <c r="B24" s="514" t="str">
        <f>IF('As-Filed Schedule 2B'!B24:D24=0,"",'As-Filed Schedule 2B'!B24:D24)</f>
        <v/>
      </c>
      <c r="C24" s="514"/>
      <c r="D24" s="514"/>
      <c r="F24" s="117">
        <f>'As-Filed Schedule 2B'!F24</f>
        <v>0</v>
      </c>
      <c r="G24" s="309">
        <f>SUMIFS(Adjustments!$G:$G,Adjustments!$H:$H,"2B",Adjustments!$I:$I,'Schedule 2B Adjustments'!$F$12,Adjustments!$J:$J,'Schedule 2B Adjustments'!$A24)</f>
        <v>0</v>
      </c>
      <c r="H24" s="305">
        <f t="shared" si="0"/>
        <v>0</v>
      </c>
      <c r="I24" s="68">
        <f>IFERROR(F24*'As-Filed Schedule 1'!$E$103,0)</f>
        <v>0</v>
      </c>
      <c r="J24" s="306">
        <f>IFERROR(H24*'Adjusted Schedule 1'!$E$104,0)</f>
        <v>0</v>
      </c>
      <c r="K24" s="180">
        <f t="shared" si="1"/>
        <v>0</v>
      </c>
      <c r="L24" s="306">
        <f t="shared" si="7"/>
        <v>0</v>
      </c>
      <c r="N24" s="179">
        <f>'As-Filed Schedule 2B'!J24</f>
        <v>0</v>
      </c>
      <c r="O24" s="309">
        <f>SUMIFS(Adjustments!$G:$G,Adjustments!$H:$H,"2B",Adjustments!$I:$I,'Schedule 2B Adjustments'!$N$12,Adjustments!$J:$J,'Schedule 2B Adjustments'!$A24)</f>
        <v>0</v>
      </c>
      <c r="P24" s="305">
        <f t="shared" si="2"/>
        <v>0</v>
      </c>
      <c r="Q24" s="68">
        <f>IFERROR(N24*'As-Filed Schedule 1'!$E$103,0)</f>
        <v>0</v>
      </c>
      <c r="R24" s="306">
        <f>IFERROR(P24*'Adjusted Schedule 1'!$E$104,0)</f>
        <v>0</v>
      </c>
      <c r="S24" s="68">
        <f t="shared" si="3"/>
        <v>0</v>
      </c>
      <c r="T24" s="306">
        <f t="shared" si="4"/>
        <v>0</v>
      </c>
      <c r="V24" s="119">
        <f>'As-Filed Schedule 2B'!N24</f>
        <v>0</v>
      </c>
      <c r="W24" s="309">
        <f>SUMIFS(Adjustments!$G:$G,Adjustments!$H:$H,"2B",Adjustments!$I:$I,'Schedule 2B Adjustments'!$V$12,Adjustments!$J:$J,'Schedule 2B Adjustments'!$A24)</f>
        <v>0</v>
      </c>
      <c r="X24" s="322">
        <f t="shared" si="5"/>
        <v>0</v>
      </c>
      <c r="Y24" s="119">
        <f>'As-Filed Schedule 2B'!O24</f>
        <v>0</v>
      </c>
      <c r="Z24" s="309">
        <f>SUMIFS(Adjustments!$G:$G,Adjustments!$H:$H,"2B",Adjustments!$I:$I,'Schedule 2B Adjustments'!$Y$12,Adjustments!$J:$J,'Schedule 2B Adjustments'!$A24)</f>
        <v>0</v>
      </c>
      <c r="AA24" s="322">
        <f t="shared" si="6"/>
        <v>0</v>
      </c>
    </row>
    <row r="25" spans="1:27" x14ac:dyDescent="0.35">
      <c r="A25" s="24">
        <v>11</v>
      </c>
      <c r="B25" s="514" t="str">
        <f>IF('As-Filed Schedule 2B'!B25:D25=0,"",'As-Filed Schedule 2B'!B25:D25)</f>
        <v/>
      </c>
      <c r="C25" s="514"/>
      <c r="D25" s="514"/>
      <c r="F25" s="117">
        <f>'As-Filed Schedule 2B'!F25</f>
        <v>0</v>
      </c>
      <c r="G25" s="309">
        <f>SUMIFS(Adjustments!$G:$G,Adjustments!$H:$H,"2B",Adjustments!$I:$I,'Schedule 2B Adjustments'!$F$12,Adjustments!$J:$J,'Schedule 2B Adjustments'!$A25)</f>
        <v>0</v>
      </c>
      <c r="H25" s="305">
        <f t="shared" si="0"/>
        <v>0</v>
      </c>
      <c r="I25" s="68">
        <f>IFERROR(F25*'As-Filed Schedule 1'!$E$103,0)</f>
        <v>0</v>
      </c>
      <c r="J25" s="306">
        <f>IFERROR(H25*'Adjusted Schedule 1'!$E$104,0)</f>
        <v>0</v>
      </c>
      <c r="K25" s="180">
        <f t="shared" si="1"/>
        <v>0</v>
      </c>
      <c r="L25" s="306">
        <f t="shared" si="7"/>
        <v>0</v>
      </c>
      <c r="N25" s="179">
        <f>'As-Filed Schedule 2B'!J25</f>
        <v>0</v>
      </c>
      <c r="O25" s="309">
        <f>SUMIFS(Adjustments!$G:$G,Adjustments!$H:$H,"2B",Adjustments!$I:$I,'Schedule 2B Adjustments'!$N$12,Adjustments!$J:$J,'Schedule 2B Adjustments'!$A25)</f>
        <v>0</v>
      </c>
      <c r="P25" s="305">
        <f t="shared" si="2"/>
        <v>0</v>
      </c>
      <c r="Q25" s="68">
        <f>IFERROR(N25*'As-Filed Schedule 1'!$E$103,0)</f>
        <v>0</v>
      </c>
      <c r="R25" s="306">
        <f>IFERROR(P25*'Adjusted Schedule 1'!$E$104,0)</f>
        <v>0</v>
      </c>
      <c r="S25" s="68">
        <f t="shared" si="3"/>
        <v>0</v>
      </c>
      <c r="T25" s="306">
        <f t="shared" si="4"/>
        <v>0</v>
      </c>
      <c r="V25" s="119">
        <f>'As-Filed Schedule 2B'!N25</f>
        <v>0</v>
      </c>
      <c r="W25" s="309">
        <f>SUMIFS(Adjustments!$G:$G,Adjustments!$H:$H,"2B",Adjustments!$I:$I,'Schedule 2B Adjustments'!$V$12,Adjustments!$J:$J,'Schedule 2B Adjustments'!$A25)</f>
        <v>0</v>
      </c>
      <c r="X25" s="322">
        <f t="shared" si="5"/>
        <v>0</v>
      </c>
      <c r="Y25" s="119">
        <f>'As-Filed Schedule 2B'!O25</f>
        <v>0</v>
      </c>
      <c r="Z25" s="309">
        <f>SUMIFS(Adjustments!$G:$G,Adjustments!$H:$H,"2B",Adjustments!$I:$I,'Schedule 2B Adjustments'!$Y$12,Adjustments!$J:$J,'Schedule 2B Adjustments'!$A25)</f>
        <v>0</v>
      </c>
      <c r="AA25" s="322">
        <f t="shared" si="6"/>
        <v>0</v>
      </c>
    </row>
    <row r="26" spans="1:27" x14ac:dyDescent="0.35">
      <c r="A26" s="24">
        <v>12</v>
      </c>
      <c r="B26" s="514" t="str">
        <f>IF('As-Filed Schedule 2B'!B26:D26=0,"",'As-Filed Schedule 2B'!B26:D26)</f>
        <v/>
      </c>
      <c r="C26" s="514"/>
      <c r="D26" s="514"/>
      <c r="F26" s="117">
        <f>'As-Filed Schedule 2B'!F26</f>
        <v>0</v>
      </c>
      <c r="G26" s="309">
        <f>SUMIFS(Adjustments!$G:$G,Adjustments!$H:$H,"2B",Adjustments!$I:$I,'Schedule 2B Adjustments'!$F$12,Adjustments!$J:$J,'Schedule 2B Adjustments'!$A26)</f>
        <v>0</v>
      </c>
      <c r="H26" s="305">
        <f t="shared" si="0"/>
        <v>0</v>
      </c>
      <c r="I26" s="68">
        <f>IFERROR(F26*'As-Filed Schedule 1'!$E$103,0)</f>
        <v>0</v>
      </c>
      <c r="J26" s="306">
        <f>IFERROR(H26*'Adjusted Schedule 1'!$E$104,0)</f>
        <v>0</v>
      </c>
      <c r="K26" s="180">
        <f t="shared" si="1"/>
        <v>0</v>
      </c>
      <c r="L26" s="306">
        <f t="shared" si="7"/>
        <v>0</v>
      </c>
      <c r="N26" s="179">
        <f>'As-Filed Schedule 2B'!J26</f>
        <v>0</v>
      </c>
      <c r="O26" s="309">
        <f>SUMIFS(Adjustments!$G:$G,Adjustments!$H:$H,"2B",Adjustments!$I:$I,'Schedule 2B Adjustments'!$N$12,Adjustments!$J:$J,'Schedule 2B Adjustments'!$A26)</f>
        <v>0</v>
      </c>
      <c r="P26" s="305">
        <f t="shared" si="2"/>
        <v>0</v>
      </c>
      <c r="Q26" s="68">
        <f>IFERROR(N26*'As-Filed Schedule 1'!$E$103,0)</f>
        <v>0</v>
      </c>
      <c r="R26" s="306">
        <f>IFERROR(P26*'Adjusted Schedule 1'!$E$104,0)</f>
        <v>0</v>
      </c>
      <c r="S26" s="68">
        <f t="shared" si="3"/>
        <v>0</v>
      </c>
      <c r="T26" s="306">
        <f t="shared" si="4"/>
        <v>0</v>
      </c>
      <c r="V26" s="119">
        <f>'As-Filed Schedule 2B'!N26</f>
        <v>0</v>
      </c>
      <c r="W26" s="309">
        <f>SUMIFS(Adjustments!$G:$G,Adjustments!$H:$H,"2B",Adjustments!$I:$I,'Schedule 2B Adjustments'!$V$12,Adjustments!$J:$J,'Schedule 2B Adjustments'!$A26)</f>
        <v>0</v>
      </c>
      <c r="X26" s="322">
        <f t="shared" si="5"/>
        <v>0</v>
      </c>
      <c r="Y26" s="119">
        <f>'As-Filed Schedule 2B'!O26</f>
        <v>0</v>
      </c>
      <c r="Z26" s="309">
        <f>SUMIFS(Adjustments!$G:$G,Adjustments!$H:$H,"2B",Adjustments!$I:$I,'Schedule 2B Adjustments'!$Y$12,Adjustments!$J:$J,'Schedule 2B Adjustments'!$A26)</f>
        <v>0</v>
      </c>
      <c r="AA26" s="322">
        <f t="shared" si="6"/>
        <v>0</v>
      </c>
    </row>
    <row r="27" spans="1:27" x14ac:dyDescent="0.35">
      <c r="A27" s="24">
        <v>13</v>
      </c>
      <c r="B27" s="514" t="str">
        <f>IF('As-Filed Schedule 2B'!B27:D27=0,"",'As-Filed Schedule 2B'!B27:D27)</f>
        <v/>
      </c>
      <c r="C27" s="514"/>
      <c r="D27" s="514"/>
      <c r="F27" s="117">
        <f>'As-Filed Schedule 2B'!F27</f>
        <v>0</v>
      </c>
      <c r="G27" s="309">
        <f>SUMIFS(Adjustments!$G:$G,Adjustments!$H:$H,"2B",Adjustments!$I:$I,'Schedule 2B Adjustments'!$F$12,Adjustments!$J:$J,'Schedule 2B Adjustments'!$A27)</f>
        <v>0</v>
      </c>
      <c r="H27" s="305">
        <f t="shared" si="0"/>
        <v>0</v>
      </c>
      <c r="I27" s="68">
        <f>IFERROR(F27*'As-Filed Schedule 1'!$E$103,0)</f>
        <v>0</v>
      </c>
      <c r="J27" s="306">
        <f>IFERROR(H27*'Adjusted Schedule 1'!$E$104,0)</f>
        <v>0</v>
      </c>
      <c r="K27" s="180">
        <f t="shared" si="1"/>
        <v>0</v>
      </c>
      <c r="L27" s="306">
        <f t="shared" si="7"/>
        <v>0</v>
      </c>
      <c r="N27" s="179">
        <f>'As-Filed Schedule 2B'!J27</f>
        <v>0</v>
      </c>
      <c r="O27" s="309">
        <f>SUMIFS(Adjustments!$G:$G,Adjustments!$H:$H,"2B",Adjustments!$I:$I,'Schedule 2B Adjustments'!$N$12,Adjustments!$J:$J,'Schedule 2B Adjustments'!$A27)</f>
        <v>0</v>
      </c>
      <c r="P27" s="305">
        <f t="shared" si="2"/>
        <v>0</v>
      </c>
      <c r="Q27" s="68">
        <f>IFERROR(N27*'As-Filed Schedule 1'!$E$103,0)</f>
        <v>0</v>
      </c>
      <c r="R27" s="306">
        <f>IFERROR(P27*'Adjusted Schedule 1'!$E$104,0)</f>
        <v>0</v>
      </c>
      <c r="S27" s="68">
        <f t="shared" si="3"/>
        <v>0</v>
      </c>
      <c r="T27" s="306">
        <f t="shared" si="4"/>
        <v>0</v>
      </c>
      <c r="V27" s="119">
        <f>'As-Filed Schedule 2B'!N27</f>
        <v>0</v>
      </c>
      <c r="W27" s="309">
        <f>SUMIFS(Adjustments!$G:$G,Adjustments!$H:$H,"2B",Adjustments!$I:$I,'Schedule 2B Adjustments'!$V$12,Adjustments!$J:$J,'Schedule 2B Adjustments'!$A27)</f>
        <v>0</v>
      </c>
      <c r="X27" s="322">
        <f t="shared" si="5"/>
        <v>0</v>
      </c>
      <c r="Y27" s="119">
        <f>'As-Filed Schedule 2B'!O27</f>
        <v>0</v>
      </c>
      <c r="Z27" s="309">
        <f>SUMIFS(Adjustments!$G:$G,Adjustments!$H:$H,"2B",Adjustments!$I:$I,'Schedule 2B Adjustments'!$Y$12,Adjustments!$J:$J,'Schedule 2B Adjustments'!$A27)</f>
        <v>0</v>
      </c>
      <c r="AA27" s="322">
        <f t="shared" si="6"/>
        <v>0</v>
      </c>
    </row>
    <row r="28" spans="1:27" x14ac:dyDescent="0.35">
      <c r="A28" s="24">
        <v>14</v>
      </c>
      <c r="B28" s="514" t="str">
        <f>IF('As-Filed Schedule 2B'!B28:D28=0,"",'As-Filed Schedule 2B'!B28:D28)</f>
        <v/>
      </c>
      <c r="C28" s="514"/>
      <c r="D28" s="514"/>
      <c r="F28" s="117">
        <f>'As-Filed Schedule 2B'!F28</f>
        <v>0</v>
      </c>
      <c r="G28" s="309">
        <f>SUMIFS(Adjustments!$G:$G,Adjustments!$H:$H,"2B",Adjustments!$I:$I,'Schedule 2B Adjustments'!$F$12,Adjustments!$J:$J,'Schedule 2B Adjustments'!$A28)</f>
        <v>0</v>
      </c>
      <c r="H28" s="305">
        <f t="shared" si="0"/>
        <v>0</v>
      </c>
      <c r="I28" s="68">
        <f>IFERROR(F28*'As-Filed Schedule 1'!$E$103,0)</f>
        <v>0</v>
      </c>
      <c r="J28" s="306">
        <f>IFERROR(H28*'Adjusted Schedule 1'!$E$104,0)</f>
        <v>0</v>
      </c>
      <c r="K28" s="180">
        <f t="shared" si="1"/>
        <v>0</v>
      </c>
      <c r="L28" s="306">
        <f>SUM(H28,J28)</f>
        <v>0</v>
      </c>
      <c r="N28" s="179">
        <f>'As-Filed Schedule 2B'!J28</f>
        <v>0</v>
      </c>
      <c r="O28" s="309">
        <f>SUMIFS(Adjustments!$G:$G,Adjustments!$H:$H,"2B",Adjustments!$I:$I,'Schedule 2B Adjustments'!$N$12,Adjustments!$J:$J,'Schedule 2B Adjustments'!$A28)</f>
        <v>0</v>
      </c>
      <c r="P28" s="305">
        <f t="shared" si="2"/>
        <v>0</v>
      </c>
      <c r="Q28" s="68">
        <f>IFERROR(N28*'As-Filed Schedule 1'!$E$103,0)</f>
        <v>0</v>
      </c>
      <c r="R28" s="306">
        <f>IFERROR(P28*'Adjusted Schedule 1'!$E$104,0)</f>
        <v>0</v>
      </c>
      <c r="S28" s="68">
        <f t="shared" si="3"/>
        <v>0</v>
      </c>
      <c r="T28" s="306">
        <f t="shared" si="4"/>
        <v>0</v>
      </c>
      <c r="V28" s="119">
        <f>'As-Filed Schedule 2B'!N28</f>
        <v>0</v>
      </c>
      <c r="W28" s="309">
        <f>SUMIFS(Adjustments!$G:$G,Adjustments!$H:$H,"2B",Adjustments!$I:$I,'Schedule 2B Adjustments'!$V$12,Adjustments!$J:$J,'Schedule 2B Adjustments'!$A28)</f>
        <v>0</v>
      </c>
      <c r="X28" s="322">
        <f t="shared" si="5"/>
        <v>0</v>
      </c>
      <c r="Y28" s="119">
        <f>'As-Filed Schedule 2B'!O28</f>
        <v>0</v>
      </c>
      <c r="Z28" s="309">
        <f>SUMIFS(Adjustments!$G:$G,Adjustments!$H:$H,"2B",Adjustments!$I:$I,'Schedule 2B Adjustments'!$Y$12,Adjustments!$J:$J,'Schedule 2B Adjustments'!$A28)</f>
        <v>0</v>
      </c>
      <c r="AA28" s="322">
        <f t="shared" si="6"/>
        <v>0</v>
      </c>
    </row>
    <row r="29" spans="1:27" x14ac:dyDescent="0.35">
      <c r="A29" s="24">
        <v>15</v>
      </c>
      <c r="B29" s="514" t="str">
        <f>IF('As-Filed Schedule 2B'!B29:D29=0,"",'As-Filed Schedule 2B'!B29:D29)</f>
        <v/>
      </c>
      <c r="C29" s="514"/>
      <c r="D29" s="514"/>
      <c r="F29" s="117">
        <f>'As-Filed Schedule 2B'!F29</f>
        <v>0</v>
      </c>
      <c r="G29" s="309">
        <f>SUMIFS(Adjustments!$G:$G,Adjustments!$H:$H,"2B",Adjustments!$I:$I,'Schedule 2B Adjustments'!$F$12,Adjustments!$J:$J,'Schedule 2B Adjustments'!$A29)</f>
        <v>0</v>
      </c>
      <c r="H29" s="305">
        <f t="shared" si="0"/>
        <v>0</v>
      </c>
      <c r="I29" s="68">
        <f>IFERROR(F29*'As-Filed Schedule 1'!$E$103,0)</f>
        <v>0</v>
      </c>
      <c r="J29" s="306">
        <f>IFERROR(H29*'Adjusted Schedule 1'!$E$104,0)</f>
        <v>0</v>
      </c>
      <c r="K29" s="180">
        <f t="shared" si="1"/>
        <v>0</v>
      </c>
      <c r="L29" s="306">
        <f t="shared" si="7"/>
        <v>0</v>
      </c>
      <c r="N29" s="179">
        <f>'As-Filed Schedule 2B'!J29</f>
        <v>0</v>
      </c>
      <c r="O29" s="309">
        <f>SUMIFS(Adjustments!$G:$G,Adjustments!$H:$H,"2B",Adjustments!$I:$I,'Schedule 2B Adjustments'!$N$12,Adjustments!$J:$J,'Schedule 2B Adjustments'!$A29)</f>
        <v>0</v>
      </c>
      <c r="P29" s="305">
        <f t="shared" si="2"/>
        <v>0</v>
      </c>
      <c r="Q29" s="68">
        <f>IFERROR(N29*'As-Filed Schedule 1'!$E$103,0)</f>
        <v>0</v>
      </c>
      <c r="R29" s="306">
        <f>IFERROR(P29*'Adjusted Schedule 1'!$E$104,0)</f>
        <v>0</v>
      </c>
      <c r="S29" s="68">
        <f t="shared" si="3"/>
        <v>0</v>
      </c>
      <c r="T29" s="306">
        <f t="shared" si="4"/>
        <v>0</v>
      </c>
      <c r="V29" s="119">
        <f>'As-Filed Schedule 2B'!N29</f>
        <v>0</v>
      </c>
      <c r="W29" s="309">
        <f>SUMIFS(Adjustments!$G:$G,Adjustments!$H:$H,"2B",Adjustments!$I:$I,'Schedule 2B Adjustments'!$V$12,Adjustments!$J:$J,'Schedule 2B Adjustments'!$A29)</f>
        <v>0</v>
      </c>
      <c r="X29" s="322">
        <f t="shared" si="5"/>
        <v>0</v>
      </c>
      <c r="Y29" s="119">
        <f>'As-Filed Schedule 2B'!O29</f>
        <v>0</v>
      </c>
      <c r="Z29" s="309">
        <f>SUMIFS(Adjustments!$G:$G,Adjustments!$H:$H,"2B",Adjustments!$I:$I,'Schedule 2B Adjustments'!$Y$12,Adjustments!$J:$J,'Schedule 2B Adjustments'!$A29)</f>
        <v>0</v>
      </c>
      <c r="AA29" s="322">
        <f t="shared" si="6"/>
        <v>0</v>
      </c>
    </row>
    <row r="30" spans="1:27" x14ac:dyDescent="0.35">
      <c r="A30" s="24">
        <v>16</v>
      </c>
      <c r="B30" s="514" t="str">
        <f>IF('As-Filed Schedule 2B'!B30:D30=0,"",'As-Filed Schedule 2B'!B30:D30)</f>
        <v/>
      </c>
      <c r="C30" s="514"/>
      <c r="D30" s="514"/>
      <c r="F30" s="117">
        <f>'As-Filed Schedule 2B'!F30</f>
        <v>0</v>
      </c>
      <c r="G30" s="309">
        <f>SUMIFS(Adjustments!$G:$G,Adjustments!$H:$H,"2B",Adjustments!$I:$I,'Schedule 2B Adjustments'!$F$12,Adjustments!$J:$J,'Schedule 2B Adjustments'!$A30)</f>
        <v>0</v>
      </c>
      <c r="H30" s="305">
        <f t="shared" si="0"/>
        <v>0</v>
      </c>
      <c r="I30" s="68">
        <f>IFERROR(F30*'As-Filed Schedule 1'!$E$103,0)</f>
        <v>0</v>
      </c>
      <c r="J30" s="306">
        <f>IFERROR(H30*'Adjusted Schedule 1'!$E$104,0)</f>
        <v>0</v>
      </c>
      <c r="K30" s="180">
        <f t="shared" si="1"/>
        <v>0</v>
      </c>
      <c r="L30" s="306">
        <f t="shared" si="7"/>
        <v>0</v>
      </c>
      <c r="N30" s="179">
        <f>'As-Filed Schedule 2B'!J30</f>
        <v>0</v>
      </c>
      <c r="O30" s="309">
        <f>SUMIFS(Adjustments!$G:$G,Adjustments!$H:$H,"2B",Adjustments!$I:$I,'Schedule 2B Adjustments'!$N$12,Adjustments!$J:$J,'Schedule 2B Adjustments'!$A30)</f>
        <v>0</v>
      </c>
      <c r="P30" s="305">
        <f t="shared" si="2"/>
        <v>0</v>
      </c>
      <c r="Q30" s="68">
        <f>IFERROR(N30*'As-Filed Schedule 1'!$E$103,0)</f>
        <v>0</v>
      </c>
      <c r="R30" s="306">
        <f>IFERROR(P30*'Adjusted Schedule 1'!$E$104,0)</f>
        <v>0</v>
      </c>
      <c r="S30" s="68">
        <f t="shared" si="3"/>
        <v>0</v>
      </c>
      <c r="T30" s="306">
        <f t="shared" si="4"/>
        <v>0</v>
      </c>
      <c r="V30" s="119">
        <f>'As-Filed Schedule 2B'!N30</f>
        <v>0</v>
      </c>
      <c r="W30" s="309">
        <f>SUMIFS(Adjustments!$G:$G,Adjustments!$H:$H,"2B",Adjustments!$I:$I,'Schedule 2B Adjustments'!$V$12,Adjustments!$J:$J,'Schedule 2B Adjustments'!$A30)</f>
        <v>0</v>
      </c>
      <c r="X30" s="322">
        <f t="shared" si="5"/>
        <v>0</v>
      </c>
      <c r="Y30" s="119">
        <f>'As-Filed Schedule 2B'!O30</f>
        <v>0</v>
      </c>
      <c r="Z30" s="309">
        <f>SUMIFS(Adjustments!$G:$G,Adjustments!$H:$H,"2B",Adjustments!$I:$I,'Schedule 2B Adjustments'!$Y$12,Adjustments!$J:$J,'Schedule 2B Adjustments'!$A30)</f>
        <v>0</v>
      </c>
      <c r="AA30" s="322">
        <f t="shared" si="6"/>
        <v>0</v>
      </c>
    </row>
    <row r="31" spans="1:27" x14ac:dyDescent="0.35">
      <c r="A31" s="24">
        <v>17</v>
      </c>
      <c r="B31" s="514" t="str">
        <f>IF('As-Filed Schedule 2B'!B31:D31=0,"",'As-Filed Schedule 2B'!B31:D31)</f>
        <v/>
      </c>
      <c r="C31" s="514"/>
      <c r="D31" s="514"/>
      <c r="F31" s="117">
        <f>'As-Filed Schedule 2B'!F31</f>
        <v>0</v>
      </c>
      <c r="G31" s="309">
        <f>SUMIFS(Adjustments!$G:$G,Adjustments!$H:$H,"2B",Adjustments!$I:$I,'Schedule 2B Adjustments'!$F$12,Adjustments!$J:$J,'Schedule 2B Adjustments'!$A31)</f>
        <v>0</v>
      </c>
      <c r="H31" s="305">
        <f t="shared" si="0"/>
        <v>0</v>
      </c>
      <c r="I31" s="68">
        <f>IFERROR(F31*'As-Filed Schedule 1'!$E$103,0)</f>
        <v>0</v>
      </c>
      <c r="J31" s="306">
        <f>IFERROR(H31*'Adjusted Schedule 1'!$E$104,0)</f>
        <v>0</v>
      </c>
      <c r="K31" s="180">
        <f t="shared" si="1"/>
        <v>0</v>
      </c>
      <c r="L31" s="306">
        <f t="shared" si="7"/>
        <v>0</v>
      </c>
      <c r="N31" s="179">
        <f>'As-Filed Schedule 2B'!J31</f>
        <v>0</v>
      </c>
      <c r="O31" s="309">
        <f>SUMIFS(Adjustments!$G:$G,Adjustments!$H:$H,"2B",Adjustments!$I:$I,'Schedule 2B Adjustments'!$N$12,Adjustments!$J:$J,'Schedule 2B Adjustments'!$A31)</f>
        <v>0</v>
      </c>
      <c r="P31" s="305">
        <f t="shared" si="2"/>
        <v>0</v>
      </c>
      <c r="Q31" s="68">
        <f>IFERROR(N31*'As-Filed Schedule 1'!$E$103,0)</f>
        <v>0</v>
      </c>
      <c r="R31" s="306">
        <f>IFERROR(P31*'Adjusted Schedule 1'!$E$104,0)</f>
        <v>0</v>
      </c>
      <c r="S31" s="68">
        <f t="shared" si="3"/>
        <v>0</v>
      </c>
      <c r="T31" s="306">
        <f t="shared" si="4"/>
        <v>0</v>
      </c>
      <c r="V31" s="119">
        <f>'As-Filed Schedule 2B'!N31</f>
        <v>0</v>
      </c>
      <c r="W31" s="309">
        <f>SUMIFS(Adjustments!$G:$G,Adjustments!$H:$H,"2B",Adjustments!$I:$I,'Schedule 2B Adjustments'!$V$12,Adjustments!$J:$J,'Schedule 2B Adjustments'!$A31)</f>
        <v>0</v>
      </c>
      <c r="X31" s="322">
        <f t="shared" si="5"/>
        <v>0</v>
      </c>
      <c r="Y31" s="119">
        <f>'As-Filed Schedule 2B'!O31</f>
        <v>0</v>
      </c>
      <c r="Z31" s="309">
        <f>SUMIFS(Adjustments!$G:$G,Adjustments!$H:$H,"2B",Adjustments!$I:$I,'Schedule 2B Adjustments'!$Y$12,Adjustments!$J:$J,'Schedule 2B Adjustments'!$A31)</f>
        <v>0</v>
      </c>
      <c r="AA31" s="322">
        <f t="shared" si="6"/>
        <v>0</v>
      </c>
    </row>
    <row r="32" spans="1:27" x14ac:dyDescent="0.35">
      <c r="A32" s="24">
        <v>18</v>
      </c>
      <c r="B32" s="514" t="str">
        <f>IF('As-Filed Schedule 2B'!B32:D32=0,"",'As-Filed Schedule 2B'!B32:D32)</f>
        <v/>
      </c>
      <c r="C32" s="514"/>
      <c r="D32" s="514"/>
      <c r="F32" s="117">
        <f>'As-Filed Schedule 2B'!F32</f>
        <v>0</v>
      </c>
      <c r="G32" s="309">
        <f>SUMIFS(Adjustments!$G:$G,Adjustments!$H:$H,"2B",Adjustments!$I:$I,'Schedule 2B Adjustments'!$F$12,Adjustments!$J:$J,'Schedule 2B Adjustments'!$A32)</f>
        <v>0</v>
      </c>
      <c r="H32" s="305">
        <f t="shared" si="0"/>
        <v>0</v>
      </c>
      <c r="I32" s="68">
        <f>IFERROR(F32*'As-Filed Schedule 1'!$E$103,0)</f>
        <v>0</v>
      </c>
      <c r="J32" s="306">
        <f>IFERROR(H32*'Adjusted Schedule 1'!$E$104,0)</f>
        <v>0</v>
      </c>
      <c r="K32" s="180">
        <f t="shared" si="1"/>
        <v>0</v>
      </c>
      <c r="L32" s="306">
        <f t="shared" si="7"/>
        <v>0</v>
      </c>
      <c r="N32" s="179">
        <f>'As-Filed Schedule 2B'!J32</f>
        <v>0</v>
      </c>
      <c r="O32" s="309">
        <f>SUMIFS(Adjustments!$G:$G,Adjustments!$H:$H,"2B",Adjustments!$I:$I,'Schedule 2B Adjustments'!$N$12,Adjustments!$J:$J,'Schedule 2B Adjustments'!$A32)</f>
        <v>0</v>
      </c>
      <c r="P32" s="305">
        <f t="shared" si="2"/>
        <v>0</v>
      </c>
      <c r="Q32" s="68">
        <f>IFERROR(N32*'As-Filed Schedule 1'!$E$103,0)</f>
        <v>0</v>
      </c>
      <c r="R32" s="306">
        <f>IFERROR(P32*'Adjusted Schedule 1'!$E$104,0)</f>
        <v>0</v>
      </c>
      <c r="S32" s="68">
        <f t="shared" si="3"/>
        <v>0</v>
      </c>
      <c r="T32" s="306">
        <f t="shared" si="4"/>
        <v>0</v>
      </c>
      <c r="V32" s="119">
        <f>'As-Filed Schedule 2B'!N32</f>
        <v>0</v>
      </c>
      <c r="W32" s="309">
        <f>SUMIFS(Adjustments!$G:$G,Adjustments!$H:$H,"2B",Adjustments!$I:$I,'Schedule 2B Adjustments'!$V$12,Adjustments!$J:$J,'Schedule 2B Adjustments'!$A32)</f>
        <v>0</v>
      </c>
      <c r="X32" s="322">
        <f t="shared" si="5"/>
        <v>0</v>
      </c>
      <c r="Y32" s="119">
        <f>'As-Filed Schedule 2B'!O32</f>
        <v>0</v>
      </c>
      <c r="Z32" s="309">
        <f>SUMIFS(Adjustments!$G:$G,Adjustments!$H:$H,"2B",Adjustments!$I:$I,'Schedule 2B Adjustments'!$Y$12,Adjustments!$J:$J,'Schedule 2B Adjustments'!$A32)</f>
        <v>0</v>
      </c>
      <c r="AA32" s="322">
        <f t="shared" si="6"/>
        <v>0</v>
      </c>
    </row>
    <row r="33" spans="1:27" x14ac:dyDescent="0.35">
      <c r="A33" s="24">
        <v>19</v>
      </c>
      <c r="B33" s="514" t="str">
        <f>IF('As-Filed Schedule 2B'!B33:D33=0,"",'As-Filed Schedule 2B'!B33:D33)</f>
        <v/>
      </c>
      <c r="C33" s="514"/>
      <c r="D33" s="514"/>
      <c r="F33" s="117">
        <f>'As-Filed Schedule 2B'!F33</f>
        <v>0</v>
      </c>
      <c r="G33" s="309">
        <f>SUMIFS(Adjustments!$G:$G,Adjustments!$H:$H,"2B",Adjustments!$I:$I,'Schedule 2B Adjustments'!$F$12,Adjustments!$J:$J,'Schedule 2B Adjustments'!$A33)</f>
        <v>0</v>
      </c>
      <c r="H33" s="305">
        <f t="shared" si="0"/>
        <v>0</v>
      </c>
      <c r="I33" s="68">
        <f>IFERROR(F33*'As-Filed Schedule 1'!$E$103,0)</f>
        <v>0</v>
      </c>
      <c r="J33" s="306">
        <f>IFERROR(H33*'Adjusted Schedule 1'!$E$104,0)</f>
        <v>0</v>
      </c>
      <c r="K33" s="180">
        <f t="shared" si="1"/>
        <v>0</v>
      </c>
      <c r="L33" s="306">
        <f t="shared" si="7"/>
        <v>0</v>
      </c>
      <c r="N33" s="179">
        <f>'As-Filed Schedule 2B'!J33</f>
        <v>0</v>
      </c>
      <c r="O33" s="309">
        <f>SUMIFS(Adjustments!$G:$G,Adjustments!$H:$H,"2B",Adjustments!$I:$I,'Schedule 2B Adjustments'!$N$12,Adjustments!$J:$J,'Schedule 2B Adjustments'!$A33)</f>
        <v>0</v>
      </c>
      <c r="P33" s="305">
        <f t="shared" si="2"/>
        <v>0</v>
      </c>
      <c r="Q33" s="68">
        <f>IFERROR(N33*'As-Filed Schedule 1'!$E$103,0)</f>
        <v>0</v>
      </c>
      <c r="R33" s="306">
        <f>IFERROR(P33*'Adjusted Schedule 1'!$E$104,0)</f>
        <v>0</v>
      </c>
      <c r="S33" s="68">
        <f t="shared" si="3"/>
        <v>0</v>
      </c>
      <c r="T33" s="306">
        <f t="shared" si="4"/>
        <v>0</v>
      </c>
      <c r="V33" s="119">
        <f>'As-Filed Schedule 2B'!N33</f>
        <v>0</v>
      </c>
      <c r="W33" s="309">
        <f>SUMIFS(Adjustments!$G:$G,Adjustments!$H:$H,"2B",Adjustments!$I:$I,'Schedule 2B Adjustments'!$V$12,Adjustments!$J:$J,'Schedule 2B Adjustments'!$A33)</f>
        <v>0</v>
      </c>
      <c r="X33" s="322">
        <f t="shared" si="5"/>
        <v>0</v>
      </c>
      <c r="Y33" s="119">
        <f>'As-Filed Schedule 2B'!O33</f>
        <v>0</v>
      </c>
      <c r="Z33" s="309">
        <f>SUMIFS(Adjustments!$G:$G,Adjustments!$H:$H,"2B",Adjustments!$I:$I,'Schedule 2B Adjustments'!$Y$12,Adjustments!$J:$J,'Schedule 2B Adjustments'!$A33)</f>
        <v>0</v>
      </c>
      <c r="AA33" s="322">
        <f t="shared" si="6"/>
        <v>0</v>
      </c>
    </row>
    <row r="34" spans="1:27" x14ac:dyDescent="0.35">
      <c r="A34" s="24">
        <v>20</v>
      </c>
      <c r="B34" s="514" t="str">
        <f>IF('As-Filed Schedule 2B'!B34:D34=0,"",'As-Filed Schedule 2B'!B34:D34)</f>
        <v/>
      </c>
      <c r="C34" s="514"/>
      <c r="D34" s="514"/>
      <c r="F34" s="117">
        <f>'As-Filed Schedule 2B'!F34</f>
        <v>0</v>
      </c>
      <c r="G34" s="309">
        <f>SUMIFS(Adjustments!$G:$G,Adjustments!$H:$H,"2B",Adjustments!$I:$I,'Schedule 2B Adjustments'!$F$12,Adjustments!$J:$J,'Schedule 2B Adjustments'!$A34)</f>
        <v>0</v>
      </c>
      <c r="H34" s="305">
        <f t="shared" si="0"/>
        <v>0</v>
      </c>
      <c r="I34" s="68">
        <f>IFERROR(F34*'As-Filed Schedule 1'!$E$103,0)</f>
        <v>0</v>
      </c>
      <c r="J34" s="306">
        <f>IFERROR(H34*'Adjusted Schedule 1'!$E$104,0)</f>
        <v>0</v>
      </c>
      <c r="K34" s="180">
        <f t="shared" si="1"/>
        <v>0</v>
      </c>
      <c r="L34" s="306">
        <f t="shared" si="7"/>
        <v>0</v>
      </c>
      <c r="N34" s="179">
        <f>'As-Filed Schedule 2B'!J34</f>
        <v>0</v>
      </c>
      <c r="O34" s="309">
        <f>SUMIFS(Adjustments!$G:$G,Adjustments!$H:$H,"2B",Adjustments!$I:$I,'Schedule 2B Adjustments'!$N$12,Adjustments!$J:$J,'Schedule 2B Adjustments'!$A34)</f>
        <v>0</v>
      </c>
      <c r="P34" s="305">
        <f t="shared" si="2"/>
        <v>0</v>
      </c>
      <c r="Q34" s="68">
        <f>IFERROR(N34*'As-Filed Schedule 1'!$E$103,0)</f>
        <v>0</v>
      </c>
      <c r="R34" s="306">
        <f>IFERROR(P34*'Adjusted Schedule 1'!$E$104,0)</f>
        <v>0</v>
      </c>
      <c r="S34" s="68">
        <f t="shared" si="3"/>
        <v>0</v>
      </c>
      <c r="T34" s="306">
        <f t="shared" si="4"/>
        <v>0</v>
      </c>
      <c r="V34" s="119">
        <f>'As-Filed Schedule 2B'!N34</f>
        <v>0</v>
      </c>
      <c r="W34" s="309">
        <f>SUMIFS(Adjustments!$G:$G,Adjustments!$H:$H,"2B",Adjustments!$I:$I,'Schedule 2B Adjustments'!$V$12,Adjustments!$J:$J,'Schedule 2B Adjustments'!$A34)</f>
        <v>0</v>
      </c>
      <c r="X34" s="322">
        <f t="shared" si="5"/>
        <v>0</v>
      </c>
      <c r="Y34" s="119">
        <f>'As-Filed Schedule 2B'!O34</f>
        <v>0</v>
      </c>
      <c r="Z34" s="309">
        <f>SUMIFS(Adjustments!$G:$G,Adjustments!$H:$H,"2B",Adjustments!$I:$I,'Schedule 2B Adjustments'!$Y$12,Adjustments!$J:$J,'Schedule 2B Adjustments'!$A34)</f>
        <v>0</v>
      </c>
      <c r="AA34" s="322">
        <f t="shared" si="6"/>
        <v>0</v>
      </c>
    </row>
    <row r="35" spans="1:27" x14ac:dyDescent="0.35">
      <c r="A35" s="24">
        <v>21</v>
      </c>
      <c r="B35" s="514" t="str">
        <f>IF('As-Filed Schedule 2B'!B35:D35=0,"",'As-Filed Schedule 2B'!B35:D35)</f>
        <v/>
      </c>
      <c r="C35" s="514"/>
      <c r="D35" s="514"/>
      <c r="F35" s="117">
        <f>'As-Filed Schedule 2B'!F35</f>
        <v>0</v>
      </c>
      <c r="G35" s="309">
        <f>SUMIFS(Adjustments!$G:$G,Adjustments!$H:$H,"2B",Adjustments!$I:$I,'Schedule 2B Adjustments'!$F$12,Adjustments!$J:$J,'Schedule 2B Adjustments'!$A35)</f>
        <v>0</v>
      </c>
      <c r="H35" s="305">
        <f t="shared" si="0"/>
        <v>0</v>
      </c>
      <c r="I35" s="68">
        <f>IFERROR(F35*'As-Filed Schedule 1'!$E$103,0)</f>
        <v>0</v>
      </c>
      <c r="J35" s="306">
        <f>IFERROR(H35*'Adjusted Schedule 1'!$E$104,0)</f>
        <v>0</v>
      </c>
      <c r="K35" s="180">
        <f t="shared" si="1"/>
        <v>0</v>
      </c>
      <c r="L35" s="306">
        <f t="shared" si="7"/>
        <v>0</v>
      </c>
      <c r="N35" s="179">
        <f>'As-Filed Schedule 2B'!J35</f>
        <v>0</v>
      </c>
      <c r="O35" s="309">
        <f>SUMIFS(Adjustments!$G:$G,Adjustments!$H:$H,"2B",Adjustments!$I:$I,'Schedule 2B Adjustments'!$N$12,Adjustments!$J:$J,'Schedule 2B Adjustments'!$A35)</f>
        <v>0</v>
      </c>
      <c r="P35" s="305">
        <f t="shared" si="2"/>
        <v>0</v>
      </c>
      <c r="Q35" s="68">
        <f>IFERROR(N35*'As-Filed Schedule 1'!$E$103,0)</f>
        <v>0</v>
      </c>
      <c r="R35" s="306">
        <f>IFERROR(P35*'Adjusted Schedule 1'!$E$104,0)</f>
        <v>0</v>
      </c>
      <c r="S35" s="68">
        <f t="shared" si="3"/>
        <v>0</v>
      </c>
      <c r="T35" s="306">
        <f t="shared" si="4"/>
        <v>0</v>
      </c>
      <c r="V35" s="119">
        <f>'As-Filed Schedule 2B'!N35</f>
        <v>0</v>
      </c>
      <c r="W35" s="309">
        <f>SUMIFS(Adjustments!$G:$G,Adjustments!$H:$H,"2B",Adjustments!$I:$I,'Schedule 2B Adjustments'!$V$12,Adjustments!$J:$J,'Schedule 2B Adjustments'!$A35)</f>
        <v>0</v>
      </c>
      <c r="X35" s="322">
        <f t="shared" si="5"/>
        <v>0</v>
      </c>
      <c r="Y35" s="119">
        <f>'As-Filed Schedule 2B'!O35</f>
        <v>0</v>
      </c>
      <c r="Z35" s="309">
        <f>SUMIFS(Adjustments!$G:$G,Adjustments!$H:$H,"2B",Adjustments!$I:$I,'Schedule 2B Adjustments'!$Y$12,Adjustments!$J:$J,'Schedule 2B Adjustments'!$A35)</f>
        <v>0</v>
      </c>
      <c r="AA35" s="322">
        <f t="shared" si="6"/>
        <v>0</v>
      </c>
    </row>
    <row r="36" spans="1:27" x14ac:dyDescent="0.35">
      <c r="A36" s="24">
        <v>22</v>
      </c>
      <c r="B36" s="514" t="str">
        <f>IF('As-Filed Schedule 2B'!B36:D36=0,"",'As-Filed Schedule 2B'!B36:D36)</f>
        <v/>
      </c>
      <c r="C36" s="514"/>
      <c r="D36" s="514"/>
      <c r="F36" s="117">
        <f>'As-Filed Schedule 2B'!F36</f>
        <v>0</v>
      </c>
      <c r="G36" s="309">
        <f>SUMIFS(Adjustments!$G:$G,Adjustments!$H:$H,"2B",Adjustments!$I:$I,'Schedule 2B Adjustments'!$F$12,Adjustments!$J:$J,'Schedule 2B Adjustments'!$A36)</f>
        <v>0</v>
      </c>
      <c r="H36" s="305">
        <f t="shared" si="0"/>
        <v>0</v>
      </c>
      <c r="I36" s="68">
        <f>IFERROR(F36*'As-Filed Schedule 1'!$E$103,0)</f>
        <v>0</v>
      </c>
      <c r="J36" s="306">
        <f>IFERROR(H36*'Adjusted Schedule 1'!$E$104,0)</f>
        <v>0</v>
      </c>
      <c r="K36" s="180">
        <f t="shared" si="1"/>
        <v>0</v>
      </c>
      <c r="L36" s="306">
        <f t="shared" si="7"/>
        <v>0</v>
      </c>
      <c r="N36" s="179">
        <f>'As-Filed Schedule 2B'!J36</f>
        <v>0</v>
      </c>
      <c r="O36" s="309">
        <f>SUMIFS(Adjustments!$G:$G,Adjustments!$H:$H,"2B",Adjustments!$I:$I,'Schedule 2B Adjustments'!$N$12,Adjustments!$J:$J,'Schedule 2B Adjustments'!$A36)</f>
        <v>0</v>
      </c>
      <c r="P36" s="305">
        <f t="shared" si="2"/>
        <v>0</v>
      </c>
      <c r="Q36" s="68">
        <f>IFERROR(N36*'As-Filed Schedule 1'!$E$103,0)</f>
        <v>0</v>
      </c>
      <c r="R36" s="306">
        <f>IFERROR(P36*'Adjusted Schedule 1'!$E$104,0)</f>
        <v>0</v>
      </c>
      <c r="S36" s="68">
        <f t="shared" si="3"/>
        <v>0</v>
      </c>
      <c r="T36" s="306">
        <f t="shared" si="4"/>
        <v>0</v>
      </c>
      <c r="V36" s="119">
        <f>'As-Filed Schedule 2B'!N36</f>
        <v>0</v>
      </c>
      <c r="W36" s="309">
        <f>SUMIFS(Adjustments!$G:$G,Adjustments!$H:$H,"2B",Adjustments!$I:$I,'Schedule 2B Adjustments'!$V$12,Adjustments!$J:$J,'Schedule 2B Adjustments'!$A36)</f>
        <v>0</v>
      </c>
      <c r="X36" s="322">
        <f t="shared" si="5"/>
        <v>0</v>
      </c>
      <c r="Y36" s="119">
        <f>'As-Filed Schedule 2B'!O36</f>
        <v>0</v>
      </c>
      <c r="Z36" s="309">
        <f>SUMIFS(Adjustments!$G:$G,Adjustments!$H:$H,"2B",Adjustments!$I:$I,'Schedule 2B Adjustments'!$Y$12,Adjustments!$J:$J,'Schedule 2B Adjustments'!$A36)</f>
        <v>0</v>
      </c>
      <c r="AA36" s="322">
        <f t="shared" si="6"/>
        <v>0</v>
      </c>
    </row>
    <row r="37" spans="1:27" x14ac:dyDescent="0.35">
      <c r="A37" s="24">
        <v>23</v>
      </c>
      <c r="B37" s="514" t="str">
        <f>IF('As-Filed Schedule 2B'!B37:D37=0,"",'As-Filed Schedule 2B'!B37:D37)</f>
        <v/>
      </c>
      <c r="C37" s="514"/>
      <c r="D37" s="514"/>
      <c r="F37" s="117">
        <f>'As-Filed Schedule 2B'!F37</f>
        <v>0</v>
      </c>
      <c r="G37" s="309">
        <f>SUMIFS(Adjustments!$G:$G,Adjustments!$H:$H,"2B",Adjustments!$I:$I,'Schedule 2B Adjustments'!$F$12,Adjustments!$J:$J,'Schedule 2B Adjustments'!$A37)</f>
        <v>0</v>
      </c>
      <c r="H37" s="305">
        <f t="shared" si="0"/>
        <v>0</v>
      </c>
      <c r="I37" s="68">
        <f>IFERROR(F37*'As-Filed Schedule 1'!$E$103,0)</f>
        <v>0</v>
      </c>
      <c r="J37" s="306">
        <f>IFERROR(H37*'Adjusted Schedule 1'!$E$104,0)</f>
        <v>0</v>
      </c>
      <c r="K37" s="180">
        <f t="shared" si="1"/>
        <v>0</v>
      </c>
      <c r="L37" s="306">
        <f t="shared" si="7"/>
        <v>0</v>
      </c>
      <c r="N37" s="179">
        <f>'As-Filed Schedule 2B'!J37</f>
        <v>0</v>
      </c>
      <c r="O37" s="309">
        <f>SUMIFS(Adjustments!$G:$G,Adjustments!$H:$H,"2B",Adjustments!$I:$I,'Schedule 2B Adjustments'!$N$12,Adjustments!$J:$J,'Schedule 2B Adjustments'!$A37)</f>
        <v>0</v>
      </c>
      <c r="P37" s="305">
        <f t="shared" si="2"/>
        <v>0</v>
      </c>
      <c r="Q37" s="68">
        <f>IFERROR(N37*'As-Filed Schedule 1'!$E$103,0)</f>
        <v>0</v>
      </c>
      <c r="R37" s="306">
        <f>IFERROR(P37*'Adjusted Schedule 1'!$E$104,0)</f>
        <v>0</v>
      </c>
      <c r="S37" s="68">
        <f t="shared" si="3"/>
        <v>0</v>
      </c>
      <c r="T37" s="306">
        <f t="shared" si="4"/>
        <v>0</v>
      </c>
      <c r="V37" s="119">
        <f>'As-Filed Schedule 2B'!N37</f>
        <v>0</v>
      </c>
      <c r="W37" s="309">
        <f>SUMIFS(Adjustments!$G:$G,Adjustments!$H:$H,"2B",Adjustments!$I:$I,'Schedule 2B Adjustments'!$V$12,Adjustments!$J:$J,'Schedule 2B Adjustments'!$A37)</f>
        <v>0</v>
      </c>
      <c r="X37" s="322">
        <f t="shared" si="5"/>
        <v>0</v>
      </c>
      <c r="Y37" s="119">
        <f>'As-Filed Schedule 2B'!O37</f>
        <v>0</v>
      </c>
      <c r="Z37" s="309">
        <f>SUMIFS(Adjustments!$G:$G,Adjustments!$H:$H,"2B",Adjustments!$I:$I,'Schedule 2B Adjustments'!$Y$12,Adjustments!$J:$J,'Schedule 2B Adjustments'!$A37)</f>
        <v>0</v>
      </c>
      <c r="AA37" s="322">
        <f t="shared" si="6"/>
        <v>0</v>
      </c>
    </row>
    <row r="38" spans="1:27" x14ac:dyDescent="0.35">
      <c r="A38" s="24">
        <v>24</v>
      </c>
      <c r="B38" s="514" t="str">
        <f>IF('As-Filed Schedule 2B'!B38:D38=0,"",'As-Filed Schedule 2B'!B38:D38)</f>
        <v/>
      </c>
      <c r="C38" s="514"/>
      <c r="D38" s="514"/>
      <c r="F38" s="117">
        <f>'As-Filed Schedule 2B'!F38</f>
        <v>0</v>
      </c>
      <c r="G38" s="309">
        <f>SUMIFS(Adjustments!$G:$G,Adjustments!$H:$H,"2B",Adjustments!$I:$I,'Schedule 2B Adjustments'!$F$12,Adjustments!$J:$J,'Schedule 2B Adjustments'!$A38)</f>
        <v>0</v>
      </c>
      <c r="H38" s="305">
        <f t="shared" si="0"/>
        <v>0</v>
      </c>
      <c r="I38" s="68">
        <f>IFERROR(F38*'As-Filed Schedule 1'!$E$103,0)</f>
        <v>0</v>
      </c>
      <c r="J38" s="306">
        <f>IFERROR(H38*'Adjusted Schedule 1'!$E$104,0)</f>
        <v>0</v>
      </c>
      <c r="K38" s="180">
        <f t="shared" si="1"/>
        <v>0</v>
      </c>
      <c r="L38" s="306">
        <f t="shared" si="7"/>
        <v>0</v>
      </c>
      <c r="N38" s="179">
        <f>'As-Filed Schedule 2B'!J38</f>
        <v>0</v>
      </c>
      <c r="O38" s="309">
        <f>SUMIFS(Adjustments!$G:$G,Adjustments!$H:$H,"2B",Adjustments!$I:$I,'Schedule 2B Adjustments'!$N$12,Adjustments!$J:$J,'Schedule 2B Adjustments'!$A38)</f>
        <v>0</v>
      </c>
      <c r="P38" s="305">
        <f t="shared" si="2"/>
        <v>0</v>
      </c>
      <c r="Q38" s="68">
        <f>IFERROR(N38*'As-Filed Schedule 1'!$E$103,0)</f>
        <v>0</v>
      </c>
      <c r="R38" s="306">
        <f>IFERROR(P38*'Adjusted Schedule 1'!$E$104,0)</f>
        <v>0</v>
      </c>
      <c r="S38" s="68">
        <f t="shared" si="3"/>
        <v>0</v>
      </c>
      <c r="T38" s="306">
        <f t="shared" si="4"/>
        <v>0</v>
      </c>
      <c r="V38" s="119">
        <f>'As-Filed Schedule 2B'!N38</f>
        <v>0</v>
      </c>
      <c r="W38" s="309">
        <f>SUMIFS(Adjustments!$G:$G,Adjustments!$H:$H,"2B",Adjustments!$I:$I,'Schedule 2B Adjustments'!$V$12,Adjustments!$J:$J,'Schedule 2B Adjustments'!$A38)</f>
        <v>0</v>
      </c>
      <c r="X38" s="322">
        <f t="shared" si="5"/>
        <v>0</v>
      </c>
      <c r="Y38" s="119">
        <f>'As-Filed Schedule 2B'!O38</f>
        <v>0</v>
      </c>
      <c r="Z38" s="309">
        <f>SUMIFS(Adjustments!$G:$G,Adjustments!$H:$H,"2B",Adjustments!$I:$I,'Schedule 2B Adjustments'!$Y$12,Adjustments!$J:$J,'Schedule 2B Adjustments'!$A38)</f>
        <v>0</v>
      </c>
      <c r="AA38" s="322">
        <f t="shared" si="6"/>
        <v>0</v>
      </c>
    </row>
    <row r="39" spans="1:27" x14ac:dyDescent="0.35">
      <c r="A39" s="24">
        <v>25</v>
      </c>
      <c r="B39" s="514" t="str">
        <f>IF('As-Filed Schedule 2B'!B39:D39=0,"",'As-Filed Schedule 2B'!B39:D39)</f>
        <v/>
      </c>
      <c r="C39" s="514"/>
      <c r="D39" s="514"/>
      <c r="F39" s="117">
        <f>'As-Filed Schedule 2B'!F39</f>
        <v>0</v>
      </c>
      <c r="G39" s="309">
        <f>SUMIFS(Adjustments!$G:$G,Adjustments!$H:$H,"2B",Adjustments!$I:$I,'Schedule 2B Adjustments'!$F$12,Adjustments!$J:$J,'Schedule 2B Adjustments'!$A39)</f>
        <v>0</v>
      </c>
      <c r="H39" s="305">
        <f t="shared" si="0"/>
        <v>0</v>
      </c>
      <c r="I39" s="68">
        <f>IFERROR(F39*'As-Filed Schedule 1'!$E$103,0)</f>
        <v>0</v>
      </c>
      <c r="J39" s="306">
        <f>IFERROR(H39*'Adjusted Schedule 1'!$E$104,0)</f>
        <v>0</v>
      </c>
      <c r="K39" s="180">
        <f t="shared" si="1"/>
        <v>0</v>
      </c>
      <c r="L39" s="306">
        <f t="shared" si="7"/>
        <v>0</v>
      </c>
      <c r="N39" s="179">
        <f>'As-Filed Schedule 2B'!J39</f>
        <v>0</v>
      </c>
      <c r="O39" s="309">
        <f>SUMIFS(Adjustments!$G:$G,Adjustments!$H:$H,"2B",Adjustments!$I:$I,'Schedule 2B Adjustments'!$N$12,Adjustments!$J:$J,'Schedule 2B Adjustments'!$A39)</f>
        <v>0</v>
      </c>
      <c r="P39" s="305">
        <f t="shared" si="2"/>
        <v>0</v>
      </c>
      <c r="Q39" s="68">
        <f>IFERROR(N39*'As-Filed Schedule 1'!$E$103,0)</f>
        <v>0</v>
      </c>
      <c r="R39" s="306">
        <f>IFERROR(P39*'Adjusted Schedule 1'!$E$104,0)</f>
        <v>0</v>
      </c>
      <c r="S39" s="68">
        <f t="shared" si="3"/>
        <v>0</v>
      </c>
      <c r="T39" s="306">
        <f t="shared" si="4"/>
        <v>0</v>
      </c>
      <c r="V39" s="119">
        <f>'As-Filed Schedule 2B'!N39</f>
        <v>0</v>
      </c>
      <c r="W39" s="309">
        <f>SUMIFS(Adjustments!$G:$G,Adjustments!$H:$H,"2B",Adjustments!$I:$I,'Schedule 2B Adjustments'!$V$12,Adjustments!$J:$J,'Schedule 2B Adjustments'!$A39)</f>
        <v>0</v>
      </c>
      <c r="X39" s="322">
        <f t="shared" si="5"/>
        <v>0</v>
      </c>
      <c r="Y39" s="119">
        <f>'As-Filed Schedule 2B'!O39</f>
        <v>0</v>
      </c>
      <c r="Z39" s="309">
        <f>SUMIFS(Adjustments!$G:$G,Adjustments!$H:$H,"2B",Adjustments!$I:$I,'Schedule 2B Adjustments'!$Y$12,Adjustments!$J:$J,'Schedule 2B Adjustments'!$A39)</f>
        <v>0</v>
      </c>
      <c r="AA39" s="322">
        <f t="shared" si="6"/>
        <v>0</v>
      </c>
    </row>
    <row r="40" spans="1:27" x14ac:dyDescent="0.35">
      <c r="A40" s="24">
        <v>26</v>
      </c>
      <c r="B40" s="514" t="str">
        <f>IF('As-Filed Schedule 2B'!B40:D40=0,"",'As-Filed Schedule 2B'!B40:D40)</f>
        <v/>
      </c>
      <c r="C40" s="514"/>
      <c r="D40" s="514"/>
      <c r="F40" s="117">
        <f>'As-Filed Schedule 2B'!F40</f>
        <v>0</v>
      </c>
      <c r="G40" s="309">
        <f>SUMIFS(Adjustments!$G:$G,Adjustments!$H:$H,"2B",Adjustments!$I:$I,'Schedule 2B Adjustments'!$F$12,Adjustments!$J:$J,'Schedule 2B Adjustments'!$A40)</f>
        <v>0</v>
      </c>
      <c r="H40" s="305">
        <f t="shared" si="0"/>
        <v>0</v>
      </c>
      <c r="I40" s="68">
        <f>IFERROR(F40*'As-Filed Schedule 1'!$E$103,0)</f>
        <v>0</v>
      </c>
      <c r="J40" s="306">
        <f>IFERROR(H40*'Adjusted Schedule 1'!$E$104,0)</f>
        <v>0</v>
      </c>
      <c r="K40" s="180">
        <f t="shared" si="1"/>
        <v>0</v>
      </c>
      <c r="L40" s="306">
        <f t="shared" si="7"/>
        <v>0</v>
      </c>
      <c r="N40" s="179">
        <f>'As-Filed Schedule 2B'!J40</f>
        <v>0</v>
      </c>
      <c r="O40" s="309">
        <f>SUMIFS(Adjustments!$G:$G,Adjustments!$H:$H,"2B",Adjustments!$I:$I,'Schedule 2B Adjustments'!$N$12,Adjustments!$J:$J,'Schedule 2B Adjustments'!$A40)</f>
        <v>0</v>
      </c>
      <c r="P40" s="305">
        <f t="shared" si="2"/>
        <v>0</v>
      </c>
      <c r="Q40" s="68">
        <f>IFERROR(N40*'As-Filed Schedule 1'!$E$103,0)</f>
        <v>0</v>
      </c>
      <c r="R40" s="306">
        <f>IFERROR(P40*'Adjusted Schedule 1'!$E$104,0)</f>
        <v>0</v>
      </c>
      <c r="S40" s="68">
        <f t="shared" si="3"/>
        <v>0</v>
      </c>
      <c r="T40" s="306">
        <f t="shared" si="4"/>
        <v>0</v>
      </c>
      <c r="V40" s="119">
        <f>'As-Filed Schedule 2B'!N40</f>
        <v>0</v>
      </c>
      <c r="W40" s="309">
        <f>SUMIFS(Adjustments!$G:$G,Adjustments!$H:$H,"2B",Adjustments!$I:$I,'Schedule 2B Adjustments'!$V$12,Adjustments!$J:$J,'Schedule 2B Adjustments'!$A40)</f>
        <v>0</v>
      </c>
      <c r="X40" s="322">
        <f t="shared" si="5"/>
        <v>0</v>
      </c>
      <c r="Y40" s="119">
        <f>'As-Filed Schedule 2B'!O40</f>
        <v>0</v>
      </c>
      <c r="Z40" s="309">
        <f>SUMIFS(Adjustments!$G:$G,Adjustments!$H:$H,"2B",Adjustments!$I:$I,'Schedule 2B Adjustments'!$Y$12,Adjustments!$J:$J,'Schedule 2B Adjustments'!$A40)</f>
        <v>0</v>
      </c>
      <c r="AA40" s="322">
        <f t="shared" si="6"/>
        <v>0</v>
      </c>
    </row>
    <row r="41" spans="1:27" x14ac:dyDescent="0.35">
      <c r="A41" s="24">
        <v>27</v>
      </c>
      <c r="B41" s="514" t="str">
        <f>IF('As-Filed Schedule 2B'!B41:D41=0,"",'As-Filed Schedule 2B'!B41:D41)</f>
        <v/>
      </c>
      <c r="C41" s="514"/>
      <c r="D41" s="514"/>
      <c r="F41" s="117">
        <f>'As-Filed Schedule 2B'!F41</f>
        <v>0</v>
      </c>
      <c r="G41" s="309">
        <f>SUMIFS(Adjustments!$G:$G,Adjustments!$H:$H,"2B",Adjustments!$I:$I,'Schedule 2B Adjustments'!$F$12,Adjustments!$J:$J,'Schedule 2B Adjustments'!$A41)</f>
        <v>0</v>
      </c>
      <c r="H41" s="305">
        <f t="shared" si="0"/>
        <v>0</v>
      </c>
      <c r="I41" s="68">
        <f>IFERROR(F41*'As-Filed Schedule 1'!$E$103,0)</f>
        <v>0</v>
      </c>
      <c r="J41" s="306">
        <f>IFERROR(H41*'Adjusted Schedule 1'!$E$104,0)</f>
        <v>0</v>
      </c>
      <c r="K41" s="180">
        <f t="shared" si="1"/>
        <v>0</v>
      </c>
      <c r="L41" s="306">
        <f t="shared" si="7"/>
        <v>0</v>
      </c>
      <c r="N41" s="179">
        <f>'As-Filed Schedule 2B'!J41</f>
        <v>0</v>
      </c>
      <c r="O41" s="309">
        <f>SUMIFS(Adjustments!$G:$G,Adjustments!$H:$H,"2B",Adjustments!$I:$I,'Schedule 2B Adjustments'!$N$12,Adjustments!$J:$J,'Schedule 2B Adjustments'!$A41)</f>
        <v>0</v>
      </c>
      <c r="P41" s="305">
        <f t="shared" si="2"/>
        <v>0</v>
      </c>
      <c r="Q41" s="68">
        <f>IFERROR(N41*'As-Filed Schedule 1'!$E$103,0)</f>
        <v>0</v>
      </c>
      <c r="R41" s="306">
        <f>IFERROR(P41*'Adjusted Schedule 1'!$E$104,0)</f>
        <v>0</v>
      </c>
      <c r="S41" s="68">
        <f t="shared" si="3"/>
        <v>0</v>
      </c>
      <c r="T41" s="306">
        <f t="shared" si="4"/>
        <v>0</v>
      </c>
      <c r="V41" s="119">
        <f>'As-Filed Schedule 2B'!N41</f>
        <v>0</v>
      </c>
      <c r="W41" s="309">
        <f>SUMIFS(Adjustments!$G:$G,Adjustments!$H:$H,"2B",Adjustments!$I:$I,'Schedule 2B Adjustments'!$V$12,Adjustments!$J:$J,'Schedule 2B Adjustments'!$A41)</f>
        <v>0</v>
      </c>
      <c r="X41" s="322">
        <f t="shared" si="5"/>
        <v>0</v>
      </c>
      <c r="Y41" s="119">
        <f>'As-Filed Schedule 2B'!O41</f>
        <v>0</v>
      </c>
      <c r="Z41" s="309">
        <f>SUMIFS(Adjustments!$G:$G,Adjustments!$H:$H,"2B",Adjustments!$I:$I,'Schedule 2B Adjustments'!$Y$12,Adjustments!$J:$J,'Schedule 2B Adjustments'!$A41)</f>
        <v>0</v>
      </c>
      <c r="AA41" s="322">
        <f t="shared" si="6"/>
        <v>0</v>
      </c>
    </row>
    <row r="42" spans="1:27" x14ac:dyDescent="0.35">
      <c r="A42" s="24">
        <v>28</v>
      </c>
      <c r="B42" s="514" t="str">
        <f>IF('As-Filed Schedule 2B'!B42:D42=0,"",'As-Filed Schedule 2B'!B42:D42)</f>
        <v/>
      </c>
      <c r="C42" s="514"/>
      <c r="D42" s="514"/>
      <c r="F42" s="117">
        <f>'As-Filed Schedule 2B'!F42</f>
        <v>0</v>
      </c>
      <c r="G42" s="309">
        <f>SUMIFS(Adjustments!$G:$G,Adjustments!$H:$H,"2B",Adjustments!$I:$I,'Schedule 2B Adjustments'!$F$12,Adjustments!$J:$J,'Schedule 2B Adjustments'!$A42)</f>
        <v>0</v>
      </c>
      <c r="H42" s="305">
        <f t="shared" si="0"/>
        <v>0</v>
      </c>
      <c r="I42" s="68">
        <f>IFERROR(F42*'As-Filed Schedule 1'!$E$103,0)</f>
        <v>0</v>
      </c>
      <c r="J42" s="306">
        <f>IFERROR(H42*'Adjusted Schedule 1'!$E$104,0)</f>
        <v>0</v>
      </c>
      <c r="K42" s="180">
        <f t="shared" si="1"/>
        <v>0</v>
      </c>
      <c r="L42" s="306">
        <f t="shared" si="7"/>
        <v>0</v>
      </c>
      <c r="N42" s="179">
        <f>'As-Filed Schedule 2B'!J42</f>
        <v>0</v>
      </c>
      <c r="O42" s="309">
        <f>SUMIFS(Adjustments!$G:$G,Adjustments!$H:$H,"2B",Adjustments!$I:$I,'Schedule 2B Adjustments'!$N$12,Adjustments!$J:$J,'Schedule 2B Adjustments'!$A42)</f>
        <v>0</v>
      </c>
      <c r="P42" s="305">
        <f t="shared" si="2"/>
        <v>0</v>
      </c>
      <c r="Q42" s="68">
        <f>IFERROR(N42*'As-Filed Schedule 1'!$E$103,0)</f>
        <v>0</v>
      </c>
      <c r="R42" s="306">
        <f>IFERROR(P42*'Adjusted Schedule 1'!$E$104,0)</f>
        <v>0</v>
      </c>
      <c r="S42" s="68">
        <f t="shared" si="3"/>
        <v>0</v>
      </c>
      <c r="T42" s="306">
        <f t="shared" si="4"/>
        <v>0</v>
      </c>
      <c r="V42" s="119">
        <f>'As-Filed Schedule 2B'!N42</f>
        <v>0</v>
      </c>
      <c r="W42" s="309">
        <f>SUMIFS(Adjustments!$G:$G,Adjustments!$H:$H,"2B",Adjustments!$I:$I,'Schedule 2B Adjustments'!$V$12,Adjustments!$J:$J,'Schedule 2B Adjustments'!$A42)</f>
        <v>0</v>
      </c>
      <c r="X42" s="322">
        <f t="shared" si="5"/>
        <v>0</v>
      </c>
      <c r="Y42" s="119">
        <f>'As-Filed Schedule 2B'!O42</f>
        <v>0</v>
      </c>
      <c r="Z42" s="309">
        <f>SUMIFS(Adjustments!$G:$G,Adjustments!$H:$H,"2B",Adjustments!$I:$I,'Schedule 2B Adjustments'!$Y$12,Adjustments!$J:$J,'Schedule 2B Adjustments'!$A42)</f>
        <v>0</v>
      </c>
      <c r="AA42" s="322">
        <f t="shared" si="6"/>
        <v>0</v>
      </c>
    </row>
    <row r="43" spans="1:27" x14ac:dyDescent="0.35">
      <c r="A43" s="24">
        <v>29</v>
      </c>
      <c r="B43" s="514" t="str">
        <f>IF('As-Filed Schedule 2B'!B43:D43=0,"",'As-Filed Schedule 2B'!B43:D43)</f>
        <v/>
      </c>
      <c r="C43" s="514"/>
      <c r="D43" s="514"/>
      <c r="F43" s="117">
        <f>'As-Filed Schedule 2B'!F43</f>
        <v>0</v>
      </c>
      <c r="G43" s="309">
        <f>SUMIFS(Adjustments!$G:$G,Adjustments!$H:$H,"2B",Adjustments!$I:$I,'Schedule 2B Adjustments'!$F$12,Adjustments!$J:$J,'Schedule 2B Adjustments'!$A43)</f>
        <v>0</v>
      </c>
      <c r="H43" s="305">
        <f t="shared" si="0"/>
        <v>0</v>
      </c>
      <c r="I43" s="68">
        <f>IFERROR(F43*'As-Filed Schedule 1'!$E$103,0)</f>
        <v>0</v>
      </c>
      <c r="J43" s="306">
        <f>IFERROR(H43*'Adjusted Schedule 1'!$E$104,0)</f>
        <v>0</v>
      </c>
      <c r="K43" s="180">
        <f t="shared" si="1"/>
        <v>0</v>
      </c>
      <c r="L43" s="306">
        <f t="shared" si="7"/>
        <v>0</v>
      </c>
      <c r="N43" s="179">
        <f>'As-Filed Schedule 2B'!J43</f>
        <v>0</v>
      </c>
      <c r="O43" s="309">
        <f>SUMIFS(Adjustments!$G:$G,Adjustments!$H:$H,"2B",Adjustments!$I:$I,'Schedule 2B Adjustments'!$N$12,Adjustments!$J:$J,'Schedule 2B Adjustments'!$A43)</f>
        <v>0</v>
      </c>
      <c r="P43" s="305">
        <f t="shared" si="2"/>
        <v>0</v>
      </c>
      <c r="Q43" s="68">
        <f>IFERROR(N43*'As-Filed Schedule 1'!$E$103,0)</f>
        <v>0</v>
      </c>
      <c r="R43" s="306">
        <f>IFERROR(P43*'Adjusted Schedule 1'!$E$104,0)</f>
        <v>0</v>
      </c>
      <c r="S43" s="68">
        <f t="shared" si="3"/>
        <v>0</v>
      </c>
      <c r="T43" s="306">
        <f t="shared" si="4"/>
        <v>0</v>
      </c>
      <c r="V43" s="119">
        <f>'As-Filed Schedule 2B'!N43</f>
        <v>0</v>
      </c>
      <c r="W43" s="309">
        <f>SUMIFS(Adjustments!$G:$G,Adjustments!$H:$H,"2B",Adjustments!$I:$I,'Schedule 2B Adjustments'!$V$12,Adjustments!$J:$J,'Schedule 2B Adjustments'!$A43)</f>
        <v>0</v>
      </c>
      <c r="X43" s="322">
        <f t="shared" si="5"/>
        <v>0</v>
      </c>
      <c r="Y43" s="119">
        <f>'As-Filed Schedule 2B'!O43</f>
        <v>0</v>
      </c>
      <c r="Z43" s="309">
        <f>SUMIFS(Adjustments!$G:$G,Adjustments!$H:$H,"2B",Adjustments!$I:$I,'Schedule 2B Adjustments'!$Y$12,Adjustments!$J:$J,'Schedule 2B Adjustments'!$A43)</f>
        <v>0</v>
      </c>
      <c r="AA43" s="322">
        <f t="shared" si="6"/>
        <v>0</v>
      </c>
    </row>
    <row r="44" spans="1:27" x14ac:dyDescent="0.35">
      <c r="A44" s="24">
        <v>30</v>
      </c>
      <c r="B44" s="514" t="str">
        <f>IF('As-Filed Schedule 2B'!B44:D44=0,"",'As-Filed Schedule 2B'!B44:D44)</f>
        <v/>
      </c>
      <c r="C44" s="514"/>
      <c r="D44" s="514"/>
      <c r="F44" s="117">
        <f>'As-Filed Schedule 2B'!F44</f>
        <v>0</v>
      </c>
      <c r="G44" s="309">
        <f>SUMIFS(Adjustments!$G:$G,Adjustments!$H:$H,"2B",Adjustments!$I:$I,'Schedule 2B Adjustments'!$F$12,Adjustments!$J:$J,'Schedule 2B Adjustments'!$A44)</f>
        <v>0</v>
      </c>
      <c r="H44" s="305">
        <f t="shared" si="0"/>
        <v>0</v>
      </c>
      <c r="I44" s="68">
        <f>IFERROR(F44*'As-Filed Schedule 1'!$E$103,0)</f>
        <v>0</v>
      </c>
      <c r="J44" s="306">
        <f>IFERROR(H44*'Adjusted Schedule 1'!$E$104,0)</f>
        <v>0</v>
      </c>
      <c r="K44" s="180">
        <f t="shared" si="1"/>
        <v>0</v>
      </c>
      <c r="L44" s="306">
        <f t="shared" si="7"/>
        <v>0</v>
      </c>
      <c r="N44" s="179">
        <f>'As-Filed Schedule 2B'!J44</f>
        <v>0</v>
      </c>
      <c r="O44" s="309">
        <f>SUMIFS(Adjustments!$G:$G,Adjustments!$H:$H,"2B",Adjustments!$I:$I,'Schedule 2B Adjustments'!$N$12,Adjustments!$J:$J,'Schedule 2B Adjustments'!$A44)</f>
        <v>0</v>
      </c>
      <c r="P44" s="305">
        <f t="shared" si="2"/>
        <v>0</v>
      </c>
      <c r="Q44" s="68">
        <f>IFERROR(N44*'As-Filed Schedule 1'!$E$103,0)</f>
        <v>0</v>
      </c>
      <c r="R44" s="306">
        <f>IFERROR(P44*'Adjusted Schedule 1'!$E$104,0)</f>
        <v>0</v>
      </c>
      <c r="S44" s="68">
        <f t="shared" si="3"/>
        <v>0</v>
      </c>
      <c r="T44" s="306">
        <f t="shared" si="4"/>
        <v>0</v>
      </c>
      <c r="V44" s="119">
        <f>'As-Filed Schedule 2B'!N44</f>
        <v>0</v>
      </c>
      <c r="W44" s="309">
        <f>SUMIFS(Adjustments!$G:$G,Adjustments!$H:$H,"2B",Adjustments!$I:$I,'Schedule 2B Adjustments'!$V$12,Adjustments!$J:$J,'Schedule 2B Adjustments'!$A44)</f>
        <v>0</v>
      </c>
      <c r="X44" s="322">
        <f t="shared" si="5"/>
        <v>0</v>
      </c>
      <c r="Y44" s="119">
        <f>'As-Filed Schedule 2B'!O44</f>
        <v>0</v>
      </c>
      <c r="Z44" s="309">
        <f>SUMIFS(Adjustments!$G:$G,Adjustments!$H:$H,"2B",Adjustments!$I:$I,'Schedule 2B Adjustments'!$Y$12,Adjustments!$J:$J,'Schedule 2B Adjustments'!$A44)</f>
        <v>0</v>
      </c>
      <c r="AA44" s="322">
        <f t="shared" si="6"/>
        <v>0</v>
      </c>
    </row>
    <row r="45" spans="1:27" x14ac:dyDescent="0.35">
      <c r="A45" s="24">
        <v>31</v>
      </c>
      <c r="B45" s="514" t="str">
        <f>IF('As-Filed Schedule 2B'!B45:D45=0,"",'As-Filed Schedule 2B'!B45:D45)</f>
        <v/>
      </c>
      <c r="C45" s="514"/>
      <c r="D45" s="514"/>
      <c r="F45" s="117">
        <f>'As-Filed Schedule 2B'!F45</f>
        <v>0</v>
      </c>
      <c r="G45" s="309">
        <f>SUMIFS(Adjustments!$G:$G,Adjustments!$H:$H,"2B",Adjustments!$I:$I,'Schedule 2B Adjustments'!$F$12,Adjustments!$J:$J,'Schedule 2B Adjustments'!$A45)</f>
        <v>0</v>
      </c>
      <c r="H45" s="305">
        <f t="shared" si="0"/>
        <v>0</v>
      </c>
      <c r="I45" s="68">
        <f>IFERROR(F45*'As-Filed Schedule 1'!$E$103,0)</f>
        <v>0</v>
      </c>
      <c r="J45" s="306">
        <f>IFERROR(H45*'Adjusted Schedule 1'!$E$104,0)</f>
        <v>0</v>
      </c>
      <c r="K45" s="180">
        <f t="shared" si="1"/>
        <v>0</v>
      </c>
      <c r="L45" s="306">
        <f t="shared" si="7"/>
        <v>0</v>
      </c>
      <c r="N45" s="179">
        <f>'As-Filed Schedule 2B'!J45</f>
        <v>0</v>
      </c>
      <c r="O45" s="309">
        <f>SUMIFS(Adjustments!$G:$G,Adjustments!$H:$H,"2B",Adjustments!$I:$I,'Schedule 2B Adjustments'!$N$12,Adjustments!$J:$J,'Schedule 2B Adjustments'!$A45)</f>
        <v>0</v>
      </c>
      <c r="P45" s="305">
        <f t="shared" si="2"/>
        <v>0</v>
      </c>
      <c r="Q45" s="68">
        <f>IFERROR(N45*'As-Filed Schedule 1'!$E$103,0)</f>
        <v>0</v>
      </c>
      <c r="R45" s="306">
        <f>IFERROR(P45*'Adjusted Schedule 1'!$E$104,0)</f>
        <v>0</v>
      </c>
      <c r="S45" s="68">
        <f t="shared" si="3"/>
        <v>0</v>
      </c>
      <c r="T45" s="306">
        <f t="shared" si="4"/>
        <v>0</v>
      </c>
      <c r="V45" s="119">
        <f>'As-Filed Schedule 2B'!N45</f>
        <v>0</v>
      </c>
      <c r="W45" s="309">
        <f>SUMIFS(Adjustments!$G:$G,Adjustments!$H:$H,"2B",Adjustments!$I:$I,'Schedule 2B Adjustments'!$V$12,Adjustments!$J:$J,'Schedule 2B Adjustments'!$A45)</f>
        <v>0</v>
      </c>
      <c r="X45" s="322">
        <f t="shared" si="5"/>
        <v>0</v>
      </c>
      <c r="Y45" s="119">
        <f>'As-Filed Schedule 2B'!O45</f>
        <v>0</v>
      </c>
      <c r="Z45" s="309">
        <f>SUMIFS(Adjustments!$G:$G,Adjustments!$H:$H,"2B",Adjustments!$I:$I,'Schedule 2B Adjustments'!$Y$12,Adjustments!$J:$J,'Schedule 2B Adjustments'!$A45)</f>
        <v>0</v>
      </c>
      <c r="AA45" s="322">
        <f t="shared" si="6"/>
        <v>0</v>
      </c>
    </row>
    <row r="46" spans="1:27" x14ac:dyDescent="0.35">
      <c r="A46" s="24">
        <v>32</v>
      </c>
      <c r="B46" s="514" t="str">
        <f>IF('As-Filed Schedule 2B'!B46:D46=0,"",'As-Filed Schedule 2B'!B46:D46)</f>
        <v/>
      </c>
      <c r="C46" s="514"/>
      <c r="D46" s="514"/>
      <c r="F46" s="117">
        <f>'As-Filed Schedule 2B'!F46</f>
        <v>0</v>
      </c>
      <c r="G46" s="309">
        <f>SUMIFS(Adjustments!$G:$G,Adjustments!$H:$H,"2B",Adjustments!$I:$I,'Schedule 2B Adjustments'!$F$12,Adjustments!$J:$J,'Schedule 2B Adjustments'!$A46)</f>
        <v>0</v>
      </c>
      <c r="H46" s="305">
        <f t="shared" si="0"/>
        <v>0</v>
      </c>
      <c r="I46" s="68">
        <f>IFERROR(F46*'As-Filed Schedule 1'!$E$103,0)</f>
        <v>0</v>
      </c>
      <c r="J46" s="306">
        <f>IFERROR(H46*'Adjusted Schedule 1'!$E$104,0)</f>
        <v>0</v>
      </c>
      <c r="K46" s="180">
        <f t="shared" si="1"/>
        <v>0</v>
      </c>
      <c r="L46" s="306">
        <f t="shared" si="7"/>
        <v>0</v>
      </c>
      <c r="N46" s="179">
        <f>'As-Filed Schedule 2B'!J46</f>
        <v>0</v>
      </c>
      <c r="O46" s="309">
        <f>SUMIFS(Adjustments!$G:$G,Adjustments!$H:$H,"2B",Adjustments!$I:$I,'Schedule 2B Adjustments'!$N$12,Adjustments!$J:$J,'Schedule 2B Adjustments'!$A46)</f>
        <v>0</v>
      </c>
      <c r="P46" s="305">
        <f t="shared" si="2"/>
        <v>0</v>
      </c>
      <c r="Q46" s="68">
        <f>IFERROR(N46*'As-Filed Schedule 1'!$E$103,0)</f>
        <v>0</v>
      </c>
      <c r="R46" s="306">
        <f>IFERROR(P46*'Adjusted Schedule 1'!$E$104,0)</f>
        <v>0</v>
      </c>
      <c r="S46" s="68">
        <f t="shared" si="3"/>
        <v>0</v>
      </c>
      <c r="T46" s="306">
        <f t="shared" si="4"/>
        <v>0</v>
      </c>
      <c r="V46" s="119">
        <f>'As-Filed Schedule 2B'!N46</f>
        <v>0</v>
      </c>
      <c r="W46" s="309">
        <f>SUMIFS(Adjustments!$G:$G,Adjustments!$H:$H,"2B",Adjustments!$I:$I,'Schedule 2B Adjustments'!$V$12,Adjustments!$J:$J,'Schedule 2B Adjustments'!$A46)</f>
        <v>0</v>
      </c>
      <c r="X46" s="322">
        <f t="shared" si="5"/>
        <v>0</v>
      </c>
      <c r="Y46" s="119">
        <f>'As-Filed Schedule 2B'!O46</f>
        <v>0</v>
      </c>
      <c r="Z46" s="309">
        <f>SUMIFS(Adjustments!$G:$G,Adjustments!$H:$H,"2B",Adjustments!$I:$I,'Schedule 2B Adjustments'!$Y$12,Adjustments!$J:$J,'Schedule 2B Adjustments'!$A46)</f>
        <v>0</v>
      </c>
      <c r="AA46" s="322">
        <f t="shared" si="6"/>
        <v>0</v>
      </c>
    </row>
    <row r="47" spans="1:27" x14ac:dyDescent="0.35">
      <c r="A47" s="24">
        <v>33</v>
      </c>
      <c r="B47" s="514" t="str">
        <f>IF('As-Filed Schedule 2B'!B47:D47=0,"",'As-Filed Schedule 2B'!B47:D47)</f>
        <v/>
      </c>
      <c r="C47" s="514"/>
      <c r="D47" s="514"/>
      <c r="F47" s="117">
        <f>'As-Filed Schedule 2B'!F47</f>
        <v>0</v>
      </c>
      <c r="G47" s="309">
        <f>SUMIFS(Adjustments!$G:$G,Adjustments!$H:$H,"2B",Adjustments!$I:$I,'Schedule 2B Adjustments'!$F$12,Adjustments!$J:$J,'Schedule 2B Adjustments'!$A47)</f>
        <v>0</v>
      </c>
      <c r="H47" s="305">
        <f t="shared" si="0"/>
        <v>0</v>
      </c>
      <c r="I47" s="68">
        <f>IFERROR(F47*'As-Filed Schedule 1'!$E$103,0)</f>
        <v>0</v>
      </c>
      <c r="J47" s="306">
        <f>IFERROR(H47*'Adjusted Schedule 1'!$E$104,0)</f>
        <v>0</v>
      </c>
      <c r="K47" s="180">
        <f t="shared" si="1"/>
        <v>0</v>
      </c>
      <c r="L47" s="306">
        <f t="shared" si="7"/>
        <v>0</v>
      </c>
      <c r="N47" s="179">
        <f>'As-Filed Schedule 2B'!J47</f>
        <v>0</v>
      </c>
      <c r="O47" s="309">
        <f>SUMIFS(Adjustments!$G:$G,Adjustments!$H:$H,"2B",Adjustments!$I:$I,'Schedule 2B Adjustments'!$N$12,Adjustments!$J:$J,'Schedule 2B Adjustments'!$A47)</f>
        <v>0</v>
      </c>
      <c r="P47" s="305">
        <f t="shared" si="2"/>
        <v>0</v>
      </c>
      <c r="Q47" s="68">
        <f>IFERROR(N47*'As-Filed Schedule 1'!$E$103,0)</f>
        <v>0</v>
      </c>
      <c r="R47" s="306">
        <f>IFERROR(P47*'Adjusted Schedule 1'!$E$104,0)</f>
        <v>0</v>
      </c>
      <c r="S47" s="68">
        <f t="shared" si="3"/>
        <v>0</v>
      </c>
      <c r="T47" s="306">
        <f t="shared" si="4"/>
        <v>0</v>
      </c>
      <c r="V47" s="119">
        <f>'As-Filed Schedule 2B'!N47</f>
        <v>0</v>
      </c>
      <c r="W47" s="309">
        <f>SUMIFS(Adjustments!$G:$G,Adjustments!$H:$H,"2B",Adjustments!$I:$I,'Schedule 2B Adjustments'!$V$12,Adjustments!$J:$J,'Schedule 2B Adjustments'!$A47)</f>
        <v>0</v>
      </c>
      <c r="X47" s="322">
        <f t="shared" si="5"/>
        <v>0</v>
      </c>
      <c r="Y47" s="119">
        <f>'As-Filed Schedule 2B'!O47</f>
        <v>0</v>
      </c>
      <c r="Z47" s="309">
        <f>SUMIFS(Adjustments!$G:$G,Adjustments!$H:$H,"2B",Adjustments!$I:$I,'Schedule 2B Adjustments'!$Y$12,Adjustments!$J:$J,'Schedule 2B Adjustments'!$A47)</f>
        <v>0</v>
      </c>
      <c r="AA47" s="322">
        <f t="shared" si="6"/>
        <v>0</v>
      </c>
    </row>
    <row r="48" spans="1:27" x14ac:dyDescent="0.35">
      <c r="A48" s="24">
        <v>34</v>
      </c>
      <c r="B48" s="514" t="str">
        <f>IF('As-Filed Schedule 2B'!B48:D48=0,"",'As-Filed Schedule 2B'!B48:D48)</f>
        <v/>
      </c>
      <c r="C48" s="514"/>
      <c r="D48" s="514"/>
      <c r="F48" s="117">
        <f>'As-Filed Schedule 2B'!F48</f>
        <v>0</v>
      </c>
      <c r="G48" s="309">
        <f>SUMIFS(Adjustments!$G:$G,Adjustments!$H:$H,"2B",Adjustments!$I:$I,'Schedule 2B Adjustments'!$F$12,Adjustments!$J:$J,'Schedule 2B Adjustments'!$A48)</f>
        <v>0</v>
      </c>
      <c r="H48" s="305">
        <f t="shared" si="0"/>
        <v>0</v>
      </c>
      <c r="I48" s="68">
        <f>IFERROR(F48*'As-Filed Schedule 1'!$E$103,0)</f>
        <v>0</v>
      </c>
      <c r="J48" s="306">
        <f>IFERROR(H48*'Adjusted Schedule 1'!$E$104,0)</f>
        <v>0</v>
      </c>
      <c r="K48" s="180">
        <f t="shared" si="1"/>
        <v>0</v>
      </c>
      <c r="L48" s="306">
        <f t="shared" si="7"/>
        <v>0</v>
      </c>
      <c r="N48" s="179">
        <f>'As-Filed Schedule 2B'!J48</f>
        <v>0</v>
      </c>
      <c r="O48" s="309">
        <f>SUMIFS(Adjustments!$G:$G,Adjustments!$H:$H,"2B",Adjustments!$I:$I,'Schedule 2B Adjustments'!$N$12,Adjustments!$J:$J,'Schedule 2B Adjustments'!$A48)</f>
        <v>0</v>
      </c>
      <c r="P48" s="305">
        <f t="shared" si="2"/>
        <v>0</v>
      </c>
      <c r="Q48" s="68">
        <f>IFERROR(N48*'As-Filed Schedule 1'!$E$103,0)</f>
        <v>0</v>
      </c>
      <c r="R48" s="306">
        <f>IFERROR(P48*'Adjusted Schedule 1'!$E$104,0)</f>
        <v>0</v>
      </c>
      <c r="S48" s="68">
        <f t="shared" si="3"/>
        <v>0</v>
      </c>
      <c r="T48" s="306">
        <f t="shared" si="4"/>
        <v>0</v>
      </c>
      <c r="V48" s="119">
        <f>'As-Filed Schedule 2B'!N48</f>
        <v>0</v>
      </c>
      <c r="W48" s="309">
        <f>SUMIFS(Adjustments!$G:$G,Adjustments!$H:$H,"2B",Adjustments!$I:$I,'Schedule 2B Adjustments'!$V$12,Adjustments!$J:$J,'Schedule 2B Adjustments'!$A48)</f>
        <v>0</v>
      </c>
      <c r="X48" s="322">
        <f t="shared" si="5"/>
        <v>0</v>
      </c>
      <c r="Y48" s="119">
        <f>'As-Filed Schedule 2B'!O48</f>
        <v>0</v>
      </c>
      <c r="Z48" s="309">
        <f>SUMIFS(Adjustments!$G:$G,Adjustments!$H:$H,"2B",Adjustments!$I:$I,'Schedule 2B Adjustments'!$Y$12,Adjustments!$J:$J,'Schedule 2B Adjustments'!$A48)</f>
        <v>0</v>
      </c>
      <c r="AA48" s="322">
        <f t="shared" si="6"/>
        <v>0</v>
      </c>
    </row>
    <row r="49" spans="1:27" x14ac:dyDescent="0.35">
      <c r="A49" s="24">
        <v>35</v>
      </c>
      <c r="B49" s="514" t="str">
        <f>IF('As-Filed Schedule 2B'!B49:D49=0,"",'As-Filed Schedule 2B'!B49:D49)</f>
        <v/>
      </c>
      <c r="C49" s="514"/>
      <c r="D49" s="514"/>
      <c r="F49" s="117">
        <f>'As-Filed Schedule 2B'!F49</f>
        <v>0</v>
      </c>
      <c r="G49" s="309">
        <f>SUMIFS(Adjustments!$G:$G,Adjustments!$H:$H,"2B",Adjustments!$I:$I,'Schedule 2B Adjustments'!$F$12,Adjustments!$J:$J,'Schedule 2B Adjustments'!$A49)</f>
        <v>0</v>
      </c>
      <c r="H49" s="305">
        <f t="shared" si="0"/>
        <v>0</v>
      </c>
      <c r="I49" s="68">
        <f>IFERROR(F49*'As-Filed Schedule 1'!$E$103,0)</f>
        <v>0</v>
      </c>
      <c r="J49" s="306">
        <f>IFERROR(H49*'Adjusted Schedule 1'!$E$104,0)</f>
        <v>0</v>
      </c>
      <c r="K49" s="180">
        <f t="shared" si="1"/>
        <v>0</v>
      </c>
      <c r="L49" s="306">
        <f t="shared" si="7"/>
        <v>0</v>
      </c>
      <c r="N49" s="179">
        <f>'As-Filed Schedule 2B'!J49</f>
        <v>0</v>
      </c>
      <c r="O49" s="309">
        <f>SUMIFS(Adjustments!$G:$G,Adjustments!$H:$H,"2B",Adjustments!$I:$I,'Schedule 2B Adjustments'!$N$12,Adjustments!$J:$J,'Schedule 2B Adjustments'!$A49)</f>
        <v>0</v>
      </c>
      <c r="P49" s="305">
        <f t="shared" si="2"/>
        <v>0</v>
      </c>
      <c r="Q49" s="68">
        <f>IFERROR(N49*'As-Filed Schedule 1'!$E$103,0)</f>
        <v>0</v>
      </c>
      <c r="R49" s="306">
        <f>IFERROR(P49*'Adjusted Schedule 1'!$E$104,0)</f>
        <v>0</v>
      </c>
      <c r="S49" s="68">
        <f t="shared" si="3"/>
        <v>0</v>
      </c>
      <c r="T49" s="306">
        <f t="shared" si="4"/>
        <v>0</v>
      </c>
      <c r="V49" s="119">
        <f>'As-Filed Schedule 2B'!N49</f>
        <v>0</v>
      </c>
      <c r="W49" s="309">
        <f>SUMIFS(Adjustments!$G:$G,Adjustments!$H:$H,"2B",Adjustments!$I:$I,'Schedule 2B Adjustments'!$V$12,Adjustments!$J:$J,'Schedule 2B Adjustments'!$A49)</f>
        <v>0</v>
      </c>
      <c r="X49" s="322">
        <f t="shared" si="5"/>
        <v>0</v>
      </c>
      <c r="Y49" s="119">
        <f>'As-Filed Schedule 2B'!O49</f>
        <v>0</v>
      </c>
      <c r="Z49" s="309">
        <f>SUMIFS(Adjustments!$G:$G,Adjustments!$H:$H,"2B",Adjustments!$I:$I,'Schedule 2B Adjustments'!$Y$12,Adjustments!$J:$J,'Schedule 2B Adjustments'!$A49)</f>
        <v>0</v>
      </c>
      <c r="AA49" s="322">
        <f t="shared" si="6"/>
        <v>0</v>
      </c>
    </row>
    <row r="50" spans="1:27" x14ac:dyDescent="0.35">
      <c r="A50" s="24">
        <v>36</v>
      </c>
      <c r="B50" s="514" t="str">
        <f>IF('As-Filed Schedule 2B'!B50:D50=0,"",'As-Filed Schedule 2B'!B50:D50)</f>
        <v/>
      </c>
      <c r="C50" s="514"/>
      <c r="D50" s="514"/>
      <c r="F50" s="117">
        <f>'As-Filed Schedule 2B'!F50</f>
        <v>0</v>
      </c>
      <c r="G50" s="309">
        <f>SUMIFS(Adjustments!$G:$G,Adjustments!$H:$H,"2B",Adjustments!$I:$I,'Schedule 2B Adjustments'!$F$12,Adjustments!$J:$J,'Schedule 2B Adjustments'!$A50)</f>
        <v>0</v>
      </c>
      <c r="H50" s="305">
        <f t="shared" si="0"/>
        <v>0</v>
      </c>
      <c r="I50" s="68">
        <f>IFERROR(F50*'As-Filed Schedule 1'!$E$103,0)</f>
        <v>0</v>
      </c>
      <c r="J50" s="306">
        <f>IFERROR(H50*'Adjusted Schedule 1'!$E$104,0)</f>
        <v>0</v>
      </c>
      <c r="K50" s="180">
        <f t="shared" si="1"/>
        <v>0</v>
      </c>
      <c r="L50" s="306">
        <f t="shared" si="7"/>
        <v>0</v>
      </c>
      <c r="N50" s="179">
        <f>'As-Filed Schedule 2B'!J50</f>
        <v>0</v>
      </c>
      <c r="O50" s="309">
        <f>SUMIFS(Adjustments!$G:$G,Adjustments!$H:$H,"2B",Adjustments!$I:$I,'Schedule 2B Adjustments'!$N$12,Adjustments!$J:$J,'Schedule 2B Adjustments'!$A50)</f>
        <v>0</v>
      </c>
      <c r="P50" s="305">
        <f t="shared" si="2"/>
        <v>0</v>
      </c>
      <c r="Q50" s="68">
        <f>IFERROR(N50*'As-Filed Schedule 1'!$E$103,0)</f>
        <v>0</v>
      </c>
      <c r="R50" s="306">
        <f>IFERROR(P50*'Adjusted Schedule 1'!$E$104,0)</f>
        <v>0</v>
      </c>
      <c r="S50" s="68">
        <f t="shared" si="3"/>
        <v>0</v>
      </c>
      <c r="T50" s="306">
        <f t="shared" si="4"/>
        <v>0</v>
      </c>
      <c r="V50" s="119">
        <f>'As-Filed Schedule 2B'!N50</f>
        <v>0</v>
      </c>
      <c r="W50" s="309">
        <f>SUMIFS(Adjustments!$G:$G,Adjustments!$H:$H,"2B",Adjustments!$I:$I,'Schedule 2B Adjustments'!$V$12,Adjustments!$J:$J,'Schedule 2B Adjustments'!$A50)</f>
        <v>0</v>
      </c>
      <c r="X50" s="322">
        <f t="shared" si="5"/>
        <v>0</v>
      </c>
      <c r="Y50" s="119">
        <f>'As-Filed Schedule 2B'!O50</f>
        <v>0</v>
      </c>
      <c r="Z50" s="309">
        <f>SUMIFS(Adjustments!$G:$G,Adjustments!$H:$H,"2B",Adjustments!$I:$I,'Schedule 2B Adjustments'!$Y$12,Adjustments!$J:$J,'Schedule 2B Adjustments'!$A50)</f>
        <v>0</v>
      </c>
      <c r="AA50" s="322">
        <f t="shared" si="6"/>
        <v>0</v>
      </c>
    </row>
    <row r="51" spans="1:27" x14ac:dyDescent="0.35">
      <c r="A51" s="24">
        <v>37</v>
      </c>
      <c r="B51" s="514" t="str">
        <f>IF('As-Filed Schedule 2B'!B51:D51=0,"",'As-Filed Schedule 2B'!B51:D51)</f>
        <v/>
      </c>
      <c r="C51" s="514"/>
      <c r="D51" s="514"/>
      <c r="F51" s="117">
        <f>'As-Filed Schedule 2B'!F51</f>
        <v>0</v>
      </c>
      <c r="G51" s="309">
        <f>SUMIFS(Adjustments!$G:$G,Adjustments!$H:$H,"2B",Adjustments!$I:$I,'Schedule 2B Adjustments'!$F$12,Adjustments!$J:$J,'Schedule 2B Adjustments'!$A51)</f>
        <v>0</v>
      </c>
      <c r="H51" s="305">
        <f t="shared" si="0"/>
        <v>0</v>
      </c>
      <c r="I51" s="68">
        <f>IFERROR(F51*'As-Filed Schedule 1'!$E$103,0)</f>
        <v>0</v>
      </c>
      <c r="J51" s="306">
        <f>IFERROR(H51*'Adjusted Schedule 1'!$E$104,0)</f>
        <v>0</v>
      </c>
      <c r="K51" s="180">
        <f t="shared" si="1"/>
        <v>0</v>
      </c>
      <c r="L51" s="306">
        <f t="shared" si="7"/>
        <v>0</v>
      </c>
      <c r="N51" s="179">
        <f>'As-Filed Schedule 2B'!J51</f>
        <v>0</v>
      </c>
      <c r="O51" s="309">
        <f>SUMIFS(Adjustments!$G:$G,Adjustments!$H:$H,"2B",Adjustments!$I:$I,'Schedule 2B Adjustments'!$N$12,Adjustments!$J:$J,'Schedule 2B Adjustments'!$A51)</f>
        <v>0</v>
      </c>
      <c r="P51" s="305">
        <f t="shared" si="2"/>
        <v>0</v>
      </c>
      <c r="Q51" s="68">
        <f>IFERROR(N51*'As-Filed Schedule 1'!$E$103,0)</f>
        <v>0</v>
      </c>
      <c r="R51" s="306">
        <f>IFERROR(P51*'Adjusted Schedule 1'!$E$104,0)</f>
        <v>0</v>
      </c>
      <c r="S51" s="68">
        <f t="shared" si="3"/>
        <v>0</v>
      </c>
      <c r="T51" s="306">
        <f t="shared" si="4"/>
        <v>0</v>
      </c>
      <c r="V51" s="119">
        <f>'As-Filed Schedule 2B'!N51</f>
        <v>0</v>
      </c>
      <c r="W51" s="309">
        <f>SUMIFS(Adjustments!$G:$G,Adjustments!$H:$H,"2B",Adjustments!$I:$I,'Schedule 2B Adjustments'!$V$12,Adjustments!$J:$J,'Schedule 2B Adjustments'!$A51)</f>
        <v>0</v>
      </c>
      <c r="X51" s="322">
        <f t="shared" si="5"/>
        <v>0</v>
      </c>
      <c r="Y51" s="119">
        <f>'As-Filed Schedule 2B'!O51</f>
        <v>0</v>
      </c>
      <c r="Z51" s="309">
        <f>SUMIFS(Adjustments!$G:$G,Adjustments!$H:$H,"2B",Adjustments!$I:$I,'Schedule 2B Adjustments'!$Y$12,Adjustments!$J:$J,'Schedule 2B Adjustments'!$A51)</f>
        <v>0</v>
      </c>
      <c r="AA51" s="322">
        <f t="shared" si="6"/>
        <v>0</v>
      </c>
    </row>
    <row r="52" spans="1:27" x14ac:dyDescent="0.35">
      <c r="A52" s="24">
        <v>38</v>
      </c>
      <c r="B52" s="514" t="str">
        <f>IF('As-Filed Schedule 2B'!B52:D52=0,"",'As-Filed Schedule 2B'!B52:D52)</f>
        <v/>
      </c>
      <c r="C52" s="514"/>
      <c r="D52" s="514"/>
      <c r="F52" s="117">
        <f>'As-Filed Schedule 2B'!F52</f>
        <v>0</v>
      </c>
      <c r="G52" s="309">
        <f>SUMIFS(Adjustments!$G:$G,Adjustments!$H:$H,"2B",Adjustments!$I:$I,'Schedule 2B Adjustments'!$F$12,Adjustments!$J:$J,'Schedule 2B Adjustments'!$A52)</f>
        <v>0</v>
      </c>
      <c r="H52" s="305">
        <f t="shared" si="0"/>
        <v>0</v>
      </c>
      <c r="I52" s="68">
        <f>IFERROR(F52*'As-Filed Schedule 1'!$E$103,0)</f>
        <v>0</v>
      </c>
      <c r="J52" s="306">
        <f>IFERROR(H52*'Adjusted Schedule 1'!$E$104,0)</f>
        <v>0</v>
      </c>
      <c r="K52" s="180">
        <f t="shared" si="1"/>
        <v>0</v>
      </c>
      <c r="L52" s="306">
        <f t="shared" si="7"/>
        <v>0</v>
      </c>
      <c r="N52" s="179">
        <f>'As-Filed Schedule 2B'!J52</f>
        <v>0</v>
      </c>
      <c r="O52" s="309">
        <f>SUMIFS(Adjustments!$G:$G,Adjustments!$H:$H,"2B",Adjustments!$I:$I,'Schedule 2B Adjustments'!$N$12,Adjustments!$J:$J,'Schedule 2B Adjustments'!$A52)</f>
        <v>0</v>
      </c>
      <c r="P52" s="305">
        <f t="shared" si="2"/>
        <v>0</v>
      </c>
      <c r="Q52" s="68">
        <f>IFERROR(N52*'As-Filed Schedule 1'!$E$103,0)</f>
        <v>0</v>
      </c>
      <c r="R52" s="306">
        <f>IFERROR(P52*'Adjusted Schedule 1'!$E$104,0)</f>
        <v>0</v>
      </c>
      <c r="S52" s="68">
        <f t="shared" si="3"/>
        <v>0</v>
      </c>
      <c r="T52" s="306">
        <f t="shared" si="4"/>
        <v>0</v>
      </c>
      <c r="V52" s="119">
        <f>'As-Filed Schedule 2B'!N52</f>
        <v>0</v>
      </c>
      <c r="W52" s="309">
        <f>SUMIFS(Adjustments!$G:$G,Adjustments!$H:$H,"2B",Adjustments!$I:$I,'Schedule 2B Adjustments'!$V$12,Adjustments!$J:$J,'Schedule 2B Adjustments'!$A52)</f>
        <v>0</v>
      </c>
      <c r="X52" s="322">
        <f t="shared" si="5"/>
        <v>0</v>
      </c>
      <c r="Y52" s="119">
        <f>'As-Filed Schedule 2B'!O52</f>
        <v>0</v>
      </c>
      <c r="Z52" s="309">
        <f>SUMIFS(Adjustments!$G:$G,Adjustments!$H:$H,"2B",Adjustments!$I:$I,'Schedule 2B Adjustments'!$Y$12,Adjustments!$J:$J,'Schedule 2B Adjustments'!$A52)</f>
        <v>0</v>
      </c>
      <c r="AA52" s="322">
        <f t="shared" si="6"/>
        <v>0</v>
      </c>
    </row>
    <row r="53" spans="1:27" x14ac:dyDescent="0.35">
      <c r="A53" s="24">
        <v>39</v>
      </c>
      <c r="B53" s="514" t="str">
        <f>IF('As-Filed Schedule 2B'!B53:D53=0,"",'As-Filed Schedule 2B'!B53:D53)</f>
        <v/>
      </c>
      <c r="C53" s="514"/>
      <c r="D53" s="514"/>
      <c r="F53" s="117">
        <f>'As-Filed Schedule 2B'!F53</f>
        <v>0</v>
      </c>
      <c r="G53" s="309">
        <f>SUMIFS(Adjustments!$G:$G,Adjustments!$H:$H,"2B",Adjustments!$I:$I,'Schedule 2B Adjustments'!$F$12,Adjustments!$J:$J,'Schedule 2B Adjustments'!$A53)</f>
        <v>0</v>
      </c>
      <c r="H53" s="305">
        <f t="shared" si="0"/>
        <v>0</v>
      </c>
      <c r="I53" s="68">
        <f>IFERROR(F53*'As-Filed Schedule 1'!$E$103,0)</f>
        <v>0</v>
      </c>
      <c r="J53" s="306">
        <f>IFERROR(H53*'Adjusted Schedule 1'!$E$104,0)</f>
        <v>0</v>
      </c>
      <c r="K53" s="180">
        <f t="shared" si="1"/>
        <v>0</v>
      </c>
      <c r="L53" s="306">
        <f t="shared" si="7"/>
        <v>0</v>
      </c>
      <c r="N53" s="179">
        <f>'As-Filed Schedule 2B'!J53</f>
        <v>0</v>
      </c>
      <c r="O53" s="309">
        <f>SUMIFS(Adjustments!$G:$G,Adjustments!$H:$H,"2B",Adjustments!$I:$I,'Schedule 2B Adjustments'!$N$12,Adjustments!$J:$J,'Schedule 2B Adjustments'!$A53)</f>
        <v>0</v>
      </c>
      <c r="P53" s="305">
        <f t="shared" si="2"/>
        <v>0</v>
      </c>
      <c r="Q53" s="68">
        <f>IFERROR(N53*'As-Filed Schedule 1'!$E$103,0)</f>
        <v>0</v>
      </c>
      <c r="R53" s="306">
        <f>IFERROR(P53*'Adjusted Schedule 1'!$E$104,0)</f>
        <v>0</v>
      </c>
      <c r="S53" s="68">
        <f t="shared" si="3"/>
        <v>0</v>
      </c>
      <c r="T53" s="306">
        <f t="shared" si="4"/>
        <v>0</v>
      </c>
      <c r="V53" s="119">
        <f>'As-Filed Schedule 2B'!N53</f>
        <v>0</v>
      </c>
      <c r="W53" s="309">
        <f>SUMIFS(Adjustments!$G:$G,Adjustments!$H:$H,"2B",Adjustments!$I:$I,'Schedule 2B Adjustments'!$V$12,Adjustments!$J:$J,'Schedule 2B Adjustments'!$A53)</f>
        <v>0</v>
      </c>
      <c r="X53" s="322">
        <f t="shared" si="5"/>
        <v>0</v>
      </c>
      <c r="Y53" s="119">
        <f>'As-Filed Schedule 2B'!O53</f>
        <v>0</v>
      </c>
      <c r="Z53" s="309">
        <f>SUMIFS(Adjustments!$G:$G,Adjustments!$H:$H,"2B",Adjustments!$I:$I,'Schedule 2B Adjustments'!$Y$12,Adjustments!$J:$J,'Schedule 2B Adjustments'!$A53)</f>
        <v>0</v>
      </c>
      <c r="AA53" s="322">
        <f t="shared" si="6"/>
        <v>0</v>
      </c>
    </row>
    <row r="54" spans="1:27" x14ac:dyDescent="0.35">
      <c r="A54" s="24">
        <v>40</v>
      </c>
      <c r="B54" s="514" t="str">
        <f>IF('As-Filed Schedule 2B'!B54:D54=0,"",'As-Filed Schedule 2B'!B54:D54)</f>
        <v/>
      </c>
      <c r="C54" s="514"/>
      <c r="D54" s="514"/>
      <c r="F54" s="117">
        <f>'As-Filed Schedule 2B'!F54</f>
        <v>0</v>
      </c>
      <c r="G54" s="309">
        <f>SUMIFS(Adjustments!$G:$G,Adjustments!$H:$H,"2B",Adjustments!$I:$I,'Schedule 2B Adjustments'!$F$12,Adjustments!$J:$J,'Schedule 2B Adjustments'!$A54)</f>
        <v>0</v>
      </c>
      <c r="H54" s="305">
        <f t="shared" si="0"/>
        <v>0</v>
      </c>
      <c r="I54" s="68">
        <f>IFERROR(F54*'As-Filed Schedule 1'!$E$103,0)</f>
        <v>0</v>
      </c>
      <c r="J54" s="306">
        <f>IFERROR(H54*'Adjusted Schedule 1'!$E$104,0)</f>
        <v>0</v>
      </c>
      <c r="K54" s="180">
        <f t="shared" si="1"/>
        <v>0</v>
      </c>
      <c r="L54" s="306">
        <f t="shared" si="7"/>
        <v>0</v>
      </c>
      <c r="N54" s="179">
        <f>'As-Filed Schedule 2B'!J54</f>
        <v>0</v>
      </c>
      <c r="O54" s="309">
        <f>SUMIFS(Adjustments!$G:$G,Adjustments!$H:$H,"2B",Adjustments!$I:$I,'Schedule 2B Adjustments'!$N$12,Adjustments!$J:$J,'Schedule 2B Adjustments'!$A54)</f>
        <v>0</v>
      </c>
      <c r="P54" s="305">
        <f t="shared" si="2"/>
        <v>0</v>
      </c>
      <c r="Q54" s="68">
        <f>IFERROR(N54*'As-Filed Schedule 1'!$E$103,0)</f>
        <v>0</v>
      </c>
      <c r="R54" s="306">
        <f>IFERROR(P54*'Adjusted Schedule 1'!$E$104,0)</f>
        <v>0</v>
      </c>
      <c r="S54" s="68">
        <f t="shared" si="3"/>
        <v>0</v>
      </c>
      <c r="T54" s="306">
        <f t="shared" si="4"/>
        <v>0</v>
      </c>
      <c r="V54" s="119">
        <f>'As-Filed Schedule 2B'!N54</f>
        <v>0</v>
      </c>
      <c r="W54" s="309">
        <f>SUMIFS(Adjustments!$G:$G,Adjustments!$H:$H,"2B",Adjustments!$I:$I,'Schedule 2B Adjustments'!$V$12,Adjustments!$J:$J,'Schedule 2B Adjustments'!$A54)</f>
        <v>0</v>
      </c>
      <c r="X54" s="322">
        <f t="shared" si="5"/>
        <v>0</v>
      </c>
      <c r="Y54" s="119">
        <f>'As-Filed Schedule 2B'!O54</f>
        <v>0</v>
      </c>
      <c r="Z54" s="309">
        <f>SUMIFS(Adjustments!$G:$G,Adjustments!$H:$H,"2B",Adjustments!$I:$I,'Schedule 2B Adjustments'!$Y$12,Adjustments!$J:$J,'Schedule 2B Adjustments'!$A54)</f>
        <v>0</v>
      </c>
      <c r="AA54" s="322">
        <f t="shared" si="6"/>
        <v>0</v>
      </c>
    </row>
    <row r="55" spans="1:27" x14ac:dyDescent="0.35">
      <c r="A55" s="24">
        <v>41</v>
      </c>
      <c r="B55" s="514" t="str">
        <f>IF('As-Filed Schedule 2B'!B55:D55=0,"",'As-Filed Schedule 2B'!B55:D55)</f>
        <v/>
      </c>
      <c r="C55" s="514"/>
      <c r="D55" s="514"/>
      <c r="F55" s="117">
        <f>'As-Filed Schedule 2B'!F55</f>
        <v>0</v>
      </c>
      <c r="G55" s="309">
        <f>SUMIFS(Adjustments!$G:$G,Adjustments!$H:$H,"2B",Adjustments!$I:$I,'Schedule 2B Adjustments'!$F$12,Adjustments!$J:$J,'Schedule 2B Adjustments'!$A55)</f>
        <v>0</v>
      </c>
      <c r="H55" s="305">
        <f t="shared" si="0"/>
        <v>0</v>
      </c>
      <c r="I55" s="68">
        <f>IFERROR(F55*'As-Filed Schedule 1'!$E$103,0)</f>
        <v>0</v>
      </c>
      <c r="J55" s="306">
        <f>IFERROR(H55*'Adjusted Schedule 1'!$E$104,0)</f>
        <v>0</v>
      </c>
      <c r="K55" s="180">
        <f t="shared" si="1"/>
        <v>0</v>
      </c>
      <c r="L55" s="306">
        <f t="shared" si="7"/>
        <v>0</v>
      </c>
      <c r="N55" s="179">
        <f>'As-Filed Schedule 2B'!J55</f>
        <v>0</v>
      </c>
      <c r="O55" s="309">
        <f>SUMIFS(Adjustments!$G:$G,Adjustments!$H:$H,"2B",Adjustments!$I:$I,'Schedule 2B Adjustments'!$N$12,Adjustments!$J:$J,'Schedule 2B Adjustments'!$A55)</f>
        <v>0</v>
      </c>
      <c r="P55" s="305">
        <f t="shared" si="2"/>
        <v>0</v>
      </c>
      <c r="Q55" s="68">
        <f>IFERROR(N55*'As-Filed Schedule 1'!$E$103,0)</f>
        <v>0</v>
      </c>
      <c r="R55" s="306">
        <f>IFERROR(P55*'Adjusted Schedule 1'!$E$104,0)</f>
        <v>0</v>
      </c>
      <c r="S55" s="68">
        <f t="shared" si="3"/>
        <v>0</v>
      </c>
      <c r="T55" s="306">
        <f t="shared" si="4"/>
        <v>0</v>
      </c>
      <c r="V55" s="119">
        <f>'As-Filed Schedule 2B'!N55</f>
        <v>0</v>
      </c>
      <c r="W55" s="309">
        <f>SUMIFS(Adjustments!$G:$G,Adjustments!$H:$H,"2B",Adjustments!$I:$I,'Schedule 2B Adjustments'!$V$12,Adjustments!$J:$J,'Schedule 2B Adjustments'!$A55)</f>
        <v>0</v>
      </c>
      <c r="X55" s="322">
        <f t="shared" si="5"/>
        <v>0</v>
      </c>
      <c r="Y55" s="119">
        <f>'As-Filed Schedule 2B'!O55</f>
        <v>0</v>
      </c>
      <c r="Z55" s="309">
        <f>SUMIFS(Adjustments!$G:$G,Adjustments!$H:$H,"2B",Adjustments!$I:$I,'Schedule 2B Adjustments'!$Y$12,Adjustments!$J:$J,'Schedule 2B Adjustments'!$A55)</f>
        <v>0</v>
      </c>
      <c r="AA55" s="322">
        <f t="shared" si="6"/>
        <v>0</v>
      </c>
    </row>
    <row r="56" spans="1:27" x14ac:dyDescent="0.35">
      <c r="A56" s="24">
        <v>42</v>
      </c>
      <c r="B56" s="514" t="str">
        <f>IF('As-Filed Schedule 2B'!B56:D56=0,"",'As-Filed Schedule 2B'!B56:D56)</f>
        <v/>
      </c>
      <c r="C56" s="514"/>
      <c r="D56" s="514"/>
      <c r="F56" s="117">
        <f>'As-Filed Schedule 2B'!F56</f>
        <v>0</v>
      </c>
      <c r="G56" s="309">
        <f>SUMIFS(Adjustments!$G:$G,Adjustments!$H:$H,"2B",Adjustments!$I:$I,'Schedule 2B Adjustments'!$F$12,Adjustments!$J:$J,'Schedule 2B Adjustments'!$A56)</f>
        <v>0</v>
      </c>
      <c r="H56" s="305">
        <f t="shared" si="0"/>
        <v>0</v>
      </c>
      <c r="I56" s="68">
        <f>IFERROR(F56*'As-Filed Schedule 1'!$E$103,0)</f>
        <v>0</v>
      </c>
      <c r="J56" s="306">
        <f>IFERROR(H56*'Adjusted Schedule 1'!$E$104,0)</f>
        <v>0</v>
      </c>
      <c r="K56" s="180">
        <f t="shared" si="1"/>
        <v>0</v>
      </c>
      <c r="L56" s="306">
        <f t="shared" si="7"/>
        <v>0</v>
      </c>
      <c r="N56" s="179">
        <f>'As-Filed Schedule 2B'!J56</f>
        <v>0</v>
      </c>
      <c r="O56" s="309">
        <f>SUMIFS(Adjustments!$G:$G,Adjustments!$H:$H,"2B",Adjustments!$I:$I,'Schedule 2B Adjustments'!$N$12,Adjustments!$J:$J,'Schedule 2B Adjustments'!$A56)</f>
        <v>0</v>
      </c>
      <c r="P56" s="305">
        <f t="shared" si="2"/>
        <v>0</v>
      </c>
      <c r="Q56" s="68">
        <f>IFERROR(N56*'As-Filed Schedule 1'!$E$103,0)</f>
        <v>0</v>
      </c>
      <c r="R56" s="306">
        <f>IFERROR(P56*'Adjusted Schedule 1'!$E$104,0)</f>
        <v>0</v>
      </c>
      <c r="S56" s="68">
        <f t="shared" si="3"/>
        <v>0</v>
      </c>
      <c r="T56" s="306">
        <f t="shared" si="4"/>
        <v>0</v>
      </c>
      <c r="V56" s="119">
        <f>'As-Filed Schedule 2B'!N56</f>
        <v>0</v>
      </c>
      <c r="W56" s="309">
        <f>SUMIFS(Adjustments!$G:$G,Adjustments!$H:$H,"2B",Adjustments!$I:$I,'Schedule 2B Adjustments'!$V$12,Adjustments!$J:$J,'Schedule 2B Adjustments'!$A56)</f>
        <v>0</v>
      </c>
      <c r="X56" s="322">
        <f t="shared" si="5"/>
        <v>0</v>
      </c>
      <c r="Y56" s="119">
        <f>'As-Filed Schedule 2B'!O56</f>
        <v>0</v>
      </c>
      <c r="Z56" s="309">
        <f>SUMIFS(Adjustments!$G:$G,Adjustments!$H:$H,"2B",Adjustments!$I:$I,'Schedule 2B Adjustments'!$Y$12,Adjustments!$J:$J,'Schedule 2B Adjustments'!$A56)</f>
        <v>0</v>
      </c>
      <c r="AA56" s="322">
        <f t="shared" si="6"/>
        <v>0</v>
      </c>
    </row>
    <row r="57" spans="1:27" x14ac:dyDescent="0.35">
      <c r="A57" s="24">
        <v>43</v>
      </c>
      <c r="B57" s="514" t="str">
        <f>IF('As-Filed Schedule 2B'!B57:D57=0,"",'As-Filed Schedule 2B'!B57:D57)</f>
        <v/>
      </c>
      <c r="C57" s="514"/>
      <c r="D57" s="514"/>
      <c r="F57" s="117">
        <f>'As-Filed Schedule 2B'!F57</f>
        <v>0</v>
      </c>
      <c r="G57" s="309">
        <f>SUMIFS(Adjustments!$G:$G,Adjustments!$H:$H,"2B",Adjustments!$I:$I,'Schedule 2B Adjustments'!$F$12,Adjustments!$J:$J,'Schedule 2B Adjustments'!$A57)</f>
        <v>0</v>
      </c>
      <c r="H57" s="305">
        <f t="shared" si="0"/>
        <v>0</v>
      </c>
      <c r="I57" s="68">
        <f>IFERROR(F57*'As-Filed Schedule 1'!$E$103,0)</f>
        <v>0</v>
      </c>
      <c r="J57" s="306">
        <f>IFERROR(H57*'Adjusted Schedule 1'!$E$104,0)</f>
        <v>0</v>
      </c>
      <c r="K57" s="180">
        <f t="shared" si="1"/>
        <v>0</v>
      </c>
      <c r="L57" s="306">
        <f t="shared" si="7"/>
        <v>0</v>
      </c>
      <c r="N57" s="179">
        <f>'As-Filed Schedule 2B'!J57</f>
        <v>0</v>
      </c>
      <c r="O57" s="309">
        <f>SUMIFS(Adjustments!$G:$G,Adjustments!$H:$H,"2B",Adjustments!$I:$I,'Schedule 2B Adjustments'!$N$12,Adjustments!$J:$J,'Schedule 2B Adjustments'!$A57)</f>
        <v>0</v>
      </c>
      <c r="P57" s="305">
        <f t="shared" si="2"/>
        <v>0</v>
      </c>
      <c r="Q57" s="68">
        <f>IFERROR(N57*'As-Filed Schedule 1'!$E$103,0)</f>
        <v>0</v>
      </c>
      <c r="R57" s="306">
        <f>IFERROR(P57*'Adjusted Schedule 1'!$E$104,0)</f>
        <v>0</v>
      </c>
      <c r="S57" s="68">
        <f t="shared" si="3"/>
        <v>0</v>
      </c>
      <c r="T57" s="306">
        <f t="shared" si="4"/>
        <v>0</v>
      </c>
      <c r="V57" s="119">
        <f>'As-Filed Schedule 2B'!N57</f>
        <v>0</v>
      </c>
      <c r="W57" s="309">
        <f>SUMIFS(Adjustments!$G:$G,Adjustments!$H:$H,"2B",Adjustments!$I:$I,'Schedule 2B Adjustments'!$V$12,Adjustments!$J:$J,'Schedule 2B Adjustments'!$A57)</f>
        <v>0</v>
      </c>
      <c r="X57" s="322">
        <f t="shared" si="5"/>
        <v>0</v>
      </c>
      <c r="Y57" s="119">
        <f>'As-Filed Schedule 2B'!O57</f>
        <v>0</v>
      </c>
      <c r="Z57" s="309">
        <f>SUMIFS(Adjustments!$G:$G,Adjustments!$H:$H,"2B",Adjustments!$I:$I,'Schedule 2B Adjustments'!$Y$12,Adjustments!$J:$J,'Schedule 2B Adjustments'!$A57)</f>
        <v>0</v>
      </c>
      <c r="AA57" s="322">
        <f t="shared" si="6"/>
        <v>0</v>
      </c>
    </row>
    <row r="58" spans="1:27" x14ac:dyDescent="0.35">
      <c r="A58" s="24">
        <v>44</v>
      </c>
      <c r="B58" s="514" t="str">
        <f>IF('As-Filed Schedule 2B'!B58:D58=0,"",'As-Filed Schedule 2B'!B58:D58)</f>
        <v/>
      </c>
      <c r="C58" s="514"/>
      <c r="D58" s="514"/>
      <c r="F58" s="117">
        <f>'As-Filed Schedule 2B'!F58</f>
        <v>0</v>
      </c>
      <c r="G58" s="309">
        <f>SUMIFS(Adjustments!$G:$G,Adjustments!$H:$H,"2B",Adjustments!$I:$I,'Schedule 2B Adjustments'!$F$12,Adjustments!$J:$J,'Schedule 2B Adjustments'!$A58)</f>
        <v>0</v>
      </c>
      <c r="H58" s="305">
        <f t="shared" si="0"/>
        <v>0</v>
      </c>
      <c r="I58" s="68">
        <f>IFERROR(F58*'As-Filed Schedule 1'!$E$103,0)</f>
        <v>0</v>
      </c>
      <c r="J58" s="306">
        <f>IFERROR(H58*'Adjusted Schedule 1'!$E$104,0)</f>
        <v>0</v>
      </c>
      <c r="K58" s="180">
        <f t="shared" si="1"/>
        <v>0</v>
      </c>
      <c r="L58" s="306">
        <f t="shared" si="7"/>
        <v>0</v>
      </c>
      <c r="N58" s="179">
        <f>'As-Filed Schedule 2B'!J58</f>
        <v>0</v>
      </c>
      <c r="O58" s="309">
        <f>SUMIFS(Adjustments!$G:$G,Adjustments!$H:$H,"2B",Adjustments!$I:$I,'Schedule 2B Adjustments'!$N$12,Adjustments!$J:$J,'Schedule 2B Adjustments'!$A58)</f>
        <v>0</v>
      </c>
      <c r="P58" s="305">
        <f t="shared" si="2"/>
        <v>0</v>
      </c>
      <c r="Q58" s="68">
        <f>IFERROR(N58*'As-Filed Schedule 1'!$E$103,0)</f>
        <v>0</v>
      </c>
      <c r="R58" s="306">
        <f>IFERROR(P58*'Adjusted Schedule 1'!$E$104,0)</f>
        <v>0</v>
      </c>
      <c r="S58" s="68">
        <f t="shared" si="3"/>
        <v>0</v>
      </c>
      <c r="T58" s="306">
        <f t="shared" si="4"/>
        <v>0</v>
      </c>
      <c r="V58" s="119">
        <f>'As-Filed Schedule 2B'!N58</f>
        <v>0</v>
      </c>
      <c r="W58" s="309">
        <f>SUMIFS(Adjustments!$G:$G,Adjustments!$H:$H,"2B",Adjustments!$I:$I,'Schedule 2B Adjustments'!$V$12,Adjustments!$J:$J,'Schedule 2B Adjustments'!$A58)</f>
        <v>0</v>
      </c>
      <c r="X58" s="322">
        <f t="shared" si="5"/>
        <v>0</v>
      </c>
      <c r="Y58" s="119">
        <f>'As-Filed Schedule 2B'!O58</f>
        <v>0</v>
      </c>
      <c r="Z58" s="309">
        <f>SUMIFS(Adjustments!$G:$G,Adjustments!$H:$H,"2B",Adjustments!$I:$I,'Schedule 2B Adjustments'!$Y$12,Adjustments!$J:$J,'Schedule 2B Adjustments'!$A58)</f>
        <v>0</v>
      </c>
      <c r="AA58" s="322">
        <f t="shared" si="6"/>
        <v>0</v>
      </c>
    </row>
    <row r="59" spans="1:27" x14ac:dyDescent="0.35">
      <c r="A59" s="24">
        <v>45</v>
      </c>
      <c r="B59" s="514" t="str">
        <f>IF('As-Filed Schedule 2B'!B59:D59=0,"",'As-Filed Schedule 2B'!B59:D59)</f>
        <v/>
      </c>
      <c r="C59" s="514"/>
      <c r="D59" s="514"/>
      <c r="F59" s="117">
        <f>'As-Filed Schedule 2B'!F59</f>
        <v>0</v>
      </c>
      <c r="G59" s="309">
        <f>SUMIFS(Adjustments!$G:$G,Adjustments!$H:$H,"2B",Adjustments!$I:$I,'Schedule 2B Adjustments'!$F$12,Adjustments!$J:$J,'Schedule 2B Adjustments'!$A59)</f>
        <v>0</v>
      </c>
      <c r="H59" s="305">
        <f t="shared" si="0"/>
        <v>0</v>
      </c>
      <c r="I59" s="68">
        <f>IFERROR(F59*'As-Filed Schedule 1'!$E$103,0)</f>
        <v>0</v>
      </c>
      <c r="J59" s="306">
        <f>IFERROR(H59*'Adjusted Schedule 1'!$E$104,0)</f>
        <v>0</v>
      </c>
      <c r="K59" s="180">
        <f t="shared" si="1"/>
        <v>0</v>
      </c>
      <c r="L59" s="306">
        <f t="shared" si="7"/>
        <v>0</v>
      </c>
      <c r="N59" s="179">
        <f>'As-Filed Schedule 2B'!J59</f>
        <v>0</v>
      </c>
      <c r="O59" s="309">
        <f>SUMIFS(Adjustments!$G:$G,Adjustments!$H:$H,"2B",Adjustments!$I:$I,'Schedule 2B Adjustments'!$N$12,Adjustments!$J:$J,'Schedule 2B Adjustments'!$A59)</f>
        <v>0</v>
      </c>
      <c r="P59" s="305">
        <f t="shared" si="2"/>
        <v>0</v>
      </c>
      <c r="Q59" s="68">
        <f>IFERROR(N59*'As-Filed Schedule 1'!$E$103,0)</f>
        <v>0</v>
      </c>
      <c r="R59" s="306">
        <f>IFERROR(P59*'Adjusted Schedule 1'!$E$104,0)</f>
        <v>0</v>
      </c>
      <c r="S59" s="68">
        <f t="shared" si="3"/>
        <v>0</v>
      </c>
      <c r="T59" s="306">
        <f t="shared" si="4"/>
        <v>0</v>
      </c>
      <c r="V59" s="119">
        <f>'As-Filed Schedule 2B'!N59</f>
        <v>0</v>
      </c>
      <c r="W59" s="309">
        <f>SUMIFS(Adjustments!$G:$G,Adjustments!$H:$H,"2B",Adjustments!$I:$I,'Schedule 2B Adjustments'!$V$12,Adjustments!$J:$J,'Schedule 2B Adjustments'!$A59)</f>
        <v>0</v>
      </c>
      <c r="X59" s="322">
        <f t="shared" si="5"/>
        <v>0</v>
      </c>
      <c r="Y59" s="119">
        <f>'As-Filed Schedule 2B'!O59</f>
        <v>0</v>
      </c>
      <c r="Z59" s="309">
        <f>SUMIFS(Adjustments!$G:$G,Adjustments!$H:$H,"2B",Adjustments!$I:$I,'Schedule 2B Adjustments'!$Y$12,Adjustments!$J:$J,'Schedule 2B Adjustments'!$A59)</f>
        <v>0</v>
      </c>
      <c r="AA59" s="322">
        <f t="shared" si="6"/>
        <v>0</v>
      </c>
    </row>
    <row r="60" spans="1:27" x14ac:dyDescent="0.35">
      <c r="A60" s="24">
        <v>46</v>
      </c>
      <c r="B60" s="514" t="str">
        <f>IF('As-Filed Schedule 2B'!B60:D60=0,"",'As-Filed Schedule 2B'!B60:D60)</f>
        <v/>
      </c>
      <c r="C60" s="514"/>
      <c r="D60" s="514"/>
      <c r="F60" s="117">
        <f>'As-Filed Schedule 2B'!F60</f>
        <v>0</v>
      </c>
      <c r="G60" s="309">
        <f>SUMIFS(Adjustments!$G:$G,Adjustments!$H:$H,"2B",Adjustments!$I:$I,'Schedule 2B Adjustments'!$F$12,Adjustments!$J:$J,'Schedule 2B Adjustments'!$A60)</f>
        <v>0</v>
      </c>
      <c r="H60" s="305">
        <f t="shared" si="0"/>
        <v>0</v>
      </c>
      <c r="I60" s="68">
        <f>IFERROR(F60*'As-Filed Schedule 1'!$E$103,0)</f>
        <v>0</v>
      </c>
      <c r="J60" s="306">
        <f>IFERROR(H60*'Adjusted Schedule 1'!$E$104,0)</f>
        <v>0</v>
      </c>
      <c r="K60" s="180">
        <f t="shared" si="1"/>
        <v>0</v>
      </c>
      <c r="L60" s="306">
        <f t="shared" si="7"/>
        <v>0</v>
      </c>
      <c r="N60" s="179">
        <f>'As-Filed Schedule 2B'!J60</f>
        <v>0</v>
      </c>
      <c r="O60" s="309">
        <f>SUMIFS(Adjustments!$G:$G,Adjustments!$H:$H,"2B",Adjustments!$I:$I,'Schedule 2B Adjustments'!$N$12,Adjustments!$J:$J,'Schedule 2B Adjustments'!$A60)</f>
        <v>0</v>
      </c>
      <c r="P60" s="305">
        <f t="shared" si="2"/>
        <v>0</v>
      </c>
      <c r="Q60" s="68">
        <f>IFERROR(N60*'As-Filed Schedule 1'!$E$103,0)</f>
        <v>0</v>
      </c>
      <c r="R60" s="306">
        <f>IFERROR(P60*'Adjusted Schedule 1'!$E$104,0)</f>
        <v>0</v>
      </c>
      <c r="S60" s="68">
        <f t="shared" si="3"/>
        <v>0</v>
      </c>
      <c r="T60" s="306">
        <f t="shared" si="4"/>
        <v>0</v>
      </c>
      <c r="V60" s="119">
        <f>'As-Filed Schedule 2B'!N60</f>
        <v>0</v>
      </c>
      <c r="W60" s="309">
        <f>SUMIFS(Adjustments!$G:$G,Adjustments!$H:$H,"2B",Adjustments!$I:$I,'Schedule 2B Adjustments'!$V$12,Adjustments!$J:$J,'Schedule 2B Adjustments'!$A60)</f>
        <v>0</v>
      </c>
      <c r="X60" s="322">
        <f t="shared" si="5"/>
        <v>0</v>
      </c>
      <c r="Y60" s="119">
        <f>'As-Filed Schedule 2B'!O60</f>
        <v>0</v>
      </c>
      <c r="Z60" s="309">
        <f>SUMIFS(Adjustments!$G:$G,Adjustments!$H:$H,"2B",Adjustments!$I:$I,'Schedule 2B Adjustments'!$Y$12,Adjustments!$J:$J,'Schedule 2B Adjustments'!$A60)</f>
        <v>0</v>
      </c>
      <c r="AA60" s="322">
        <f t="shared" si="6"/>
        <v>0</v>
      </c>
    </row>
    <row r="61" spans="1:27" x14ac:dyDescent="0.35">
      <c r="A61" s="24">
        <v>47</v>
      </c>
      <c r="B61" s="514" t="str">
        <f>IF('As-Filed Schedule 2B'!B61:D61=0,"",'As-Filed Schedule 2B'!B61:D61)</f>
        <v/>
      </c>
      <c r="C61" s="514"/>
      <c r="D61" s="514"/>
      <c r="F61" s="117">
        <f>'As-Filed Schedule 2B'!F61</f>
        <v>0</v>
      </c>
      <c r="G61" s="309">
        <f>SUMIFS(Adjustments!$G:$G,Adjustments!$H:$H,"2B",Adjustments!$I:$I,'Schedule 2B Adjustments'!$F$12,Adjustments!$J:$J,'Schedule 2B Adjustments'!$A61)</f>
        <v>0</v>
      </c>
      <c r="H61" s="305">
        <f t="shared" si="0"/>
        <v>0</v>
      </c>
      <c r="I61" s="68">
        <f>IFERROR(F61*'As-Filed Schedule 1'!$E$103,0)</f>
        <v>0</v>
      </c>
      <c r="J61" s="306">
        <f>IFERROR(H61*'Adjusted Schedule 1'!$E$104,0)</f>
        <v>0</v>
      </c>
      <c r="K61" s="180">
        <f t="shared" si="1"/>
        <v>0</v>
      </c>
      <c r="L61" s="306">
        <f t="shared" si="7"/>
        <v>0</v>
      </c>
      <c r="N61" s="179">
        <f>'As-Filed Schedule 2B'!J61</f>
        <v>0</v>
      </c>
      <c r="O61" s="309">
        <f>SUMIFS(Adjustments!$G:$G,Adjustments!$H:$H,"2B",Adjustments!$I:$I,'Schedule 2B Adjustments'!$N$12,Adjustments!$J:$J,'Schedule 2B Adjustments'!$A61)</f>
        <v>0</v>
      </c>
      <c r="P61" s="305">
        <f t="shared" si="2"/>
        <v>0</v>
      </c>
      <c r="Q61" s="68">
        <f>IFERROR(N61*'As-Filed Schedule 1'!$E$103,0)</f>
        <v>0</v>
      </c>
      <c r="R61" s="306">
        <f>IFERROR(P61*'Adjusted Schedule 1'!$E$104,0)</f>
        <v>0</v>
      </c>
      <c r="S61" s="68">
        <f t="shared" si="3"/>
        <v>0</v>
      </c>
      <c r="T61" s="306">
        <f t="shared" si="4"/>
        <v>0</v>
      </c>
      <c r="V61" s="119">
        <f>'As-Filed Schedule 2B'!N61</f>
        <v>0</v>
      </c>
      <c r="W61" s="309">
        <f>SUMIFS(Adjustments!$G:$G,Adjustments!$H:$H,"2B",Adjustments!$I:$I,'Schedule 2B Adjustments'!$V$12,Adjustments!$J:$J,'Schedule 2B Adjustments'!$A61)</f>
        <v>0</v>
      </c>
      <c r="X61" s="322">
        <f t="shared" si="5"/>
        <v>0</v>
      </c>
      <c r="Y61" s="119">
        <f>'As-Filed Schedule 2B'!O61</f>
        <v>0</v>
      </c>
      <c r="Z61" s="309">
        <f>SUMIFS(Adjustments!$G:$G,Adjustments!$H:$H,"2B",Adjustments!$I:$I,'Schedule 2B Adjustments'!$Y$12,Adjustments!$J:$J,'Schedule 2B Adjustments'!$A61)</f>
        <v>0</v>
      </c>
      <c r="AA61" s="322">
        <f t="shared" si="6"/>
        <v>0</v>
      </c>
    </row>
    <row r="62" spans="1:27" x14ac:dyDescent="0.35">
      <c r="A62" s="24">
        <v>48</v>
      </c>
      <c r="B62" s="514" t="str">
        <f>IF('As-Filed Schedule 2B'!B62:D62=0,"",'As-Filed Schedule 2B'!B62:D62)</f>
        <v/>
      </c>
      <c r="C62" s="514"/>
      <c r="D62" s="514"/>
      <c r="F62" s="117">
        <f>'As-Filed Schedule 2B'!F62</f>
        <v>0</v>
      </c>
      <c r="G62" s="309">
        <f>SUMIFS(Adjustments!$G:$G,Adjustments!$H:$H,"2B",Adjustments!$I:$I,'Schedule 2B Adjustments'!$F$12,Adjustments!$J:$J,'Schedule 2B Adjustments'!$A62)</f>
        <v>0</v>
      </c>
      <c r="H62" s="305">
        <f t="shared" si="0"/>
        <v>0</v>
      </c>
      <c r="I62" s="68">
        <f>IFERROR(F62*'As-Filed Schedule 1'!$E$103,0)</f>
        <v>0</v>
      </c>
      <c r="J62" s="306">
        <f>IFERROR(H62*'Adjusted Schedule 1'!$E$104,0)</f>
        <v>0</v>
      </c>
      <c r="K62" s="180">
        <f t="shared" si="1"/>
        <v>0</v>
      </c>
      <c r="L62" s="306">
        <f t="shared" si="7"/>
        <v>0</v>
      </c>
      <c r="N62" s="179">
        <f>'As-Filed Schedule 2B'!J62</f>
        <v>0</v>
      </c>
      <c r="O62" s="309">
        <f>SUMIFS(Adjustments!$G:$G,Adjustments!$H:$H,"2B",Adjustments!$I:$I,'Schedule 2B Adjustments'!$N$12,Adjustments!$J:$J,'Schedule 2B Adjustments'!$A62)</f>
        <v>0</v>
      </c>
      <c r="P62" s="305">
        <f t="shared" si="2"/>
        <v>0</v>
      </c>
      <c r="Q62" s="68">
        <f>IFERROR(N62*'As-Filed Schedule 1'!$E$103,0)</f>
        <v>0</v>
      </c>
      <c r="R62" s="306">
        <f>IFERROR(P62*'Adjusted Schedule 1'!$E$104,0)</f>
        <v>0</v>
      </c>
      <c r="S62" s="68">
        <f t="shared" si="3"/>
        <v>0</v>
      </c>
      <c r="T62" s="306">
        <f t="shared" si="4"/>
        <v>0</v>
      </c>
      <c r="V62" s="119">
        <f>'As-Filed Schedule 2B'!N62</f>
        <v>0</v>
      </c>
      <c r="W62" s="309">
        <f>SUMIFS(Adjustments!$G:$G,Adjustments!$H:$H,"2B",Adjustments!$I:$I,'Schedule 2B Adjustments'!$V$12,Adjustments!$J:$J,'Schedule 2B Adjustments'!$A62)</f>
        <v>0</v>
      </c>
      <c r="X62" s="322">
        <f t="shared" si="5"/>
        <v>0</v>
      </c>
      <c r="Y62" s="119">
        <f>'As-Filed Schedule 2B'!O62</f>
        <v>0</v>
      </c>
      <c r="Z62" s="309">
        <f>SUMIFS(Adjustments!$G:$G,Adjustments!$H:$H,"2B",Adjustments!$I:$I,'Schedule 2B Adjustments'!$Y$12,Adjustments!$J:$J,'Schedule 2B Adjustments'!$A62)</f>
        <v>0</v>
      </c>
      <c r="AA62" s="322">
        <f t="shared" si="6"/>
        <v>0</v>
      </c>
    </row>
    <row r="63" spans="1:27" x14ac:dyDescent="0.35">
      <c r="A63" s="24">
        <v>49</v>
      </c>
      <c r="B63" s="514" t="str">
        <f>IF('As-Filed Schedule 2B'!B63:D63=0,"",'As-Filed Schedule 2B'!B63:D63)</f>
        <v/>
      </c>
      <c r="C63" s="514"/>
      <c r="D63" s="514"/>
      <c r="F63" s="117">
        <f>'As-Filed Schedule 2B'!F63</f>
        <v>0</v>
      </c>
      <c r="G63" s="309">
        <f>SUMIFS(Adjustments!$G:$G,Adjustments!$H:$H,"2B",Adjustments!$I:$I,'Schedule 2B Adjustments'!$F$12,Adjustments!$J:$J,'Schedule 2B Adjustments'!$A63)</f>
        <v>0</v>
      </c>
      <c r="H63" s="305">
        <f t="shared" si="0"/>
        <v>0</v>
      </c>
      <c r="I63" s="68">
        <f>IFERROR(F63*'As-Filed Schedule 1'!$E$103,0)</f>
        <v>0</v>
      </c>
      <c r="J63" s="306">
        <f>IFERROR(H63*'Adjusted Schedule 1'!$E$104,0)</f>
        <v>0</v>
      </c>
      <c r="K63" s="180">
        <f t="shared" si="1"/>
        <v>0</v>
      </c>
      <c r="L63" s="306">
        <f t="shared" si="7"/>
        <v>0</v>
      </c>
      <c r="N63" s="179">
        <f>'As-Filed Schedule 2B'!J63</f>
        <v>0</v>
      </c>
      <c r="O63" s="309">
        <f>SUMIFS(Adjustments!$G:$G,Adjustments!$H:$H,"2B",Adjustments!$I:$I,'Schedule 2B Adjustments'!$N$12,Adjustments!$J:$J,'Schedule 2B Adjustments'!$A63)</f>
        <v>0</v>
      </c>
      <c r="P63" s="305">
        <f t="shared" si="2"/>
        <v>0</v>
      </c>
      <c r="Q63" s="68">
        <f>IFERROR(N63*'As-Filed Schedule 1'!$E$103,0)</f>
        <v>0</v>
      </c>
      <c r="R63" s="306">
        <f>IFERROR(P63*'Adjusted Schedule 1'!$E$104,0)</f>
        <v>0</v>
      </c>
      <c r="S63" s="68">
        <f t="shared" si="3"/>
        <v>0</v>
      </c>
      <c r="T63" s="306">
        <f t="shared" si="4"/>
        <v>0</v>
      </c>
      <c r="V63" s="119">
        <f>'As-Filed Schedule 2B'!N63</f>
        <v>0</v>
      </c>
      <c r="W63" s="309">
        <f>SUMIFS(Adjustments!$G:$G,Adjustments!$H:$H,"2B",Adjustments!$I:$I,'Schedule 2B Adjustments'!$V$12,Adjustments!$J:$J,'Schedule 2B Adjustments'!$A63)</f>
        <v>0</v>
      </c>
      <c r="X63" s="322">
        <f t="shared" si="5"/>
        <v>0</v>
      </c>
      <c r="Y63" s="119">
        <f>'As-Filed Schedule 2B'!O63</f>
        <v>0</v>
      </c>
      <c r="Z63" s="309">
        <f>SUMIFS(Adjustments!$G:$G,Adjustments!$H:$H,"2B",Adjustments!$I:$I,'Schedule 2B Adjustments'!$Y$12,Adjustments!$J:$J,'Schedule 2B Adjustments'!$A63)</f>
        <v>0</v>
      </c>
      <c r="AA63" s="322">
        <f t="shared" si="6"/>
        <v>0</v>
      </c>
    </row>
    <row r="64" spans="1:27" x14ac:dyDescent="0.35">
      <c r="A64" s="24">
        <v>50</v>
      </c>
      <c r="B64" s="514" t="str">
        <f>IF('As-Filed Schedule 2B'!B64:D64=0,"",'As-Filed Schedule 2B'!B64:D64)</f>
        <v/>
      </c>
      <c r="C64" s="514"/>
      <c r="D64" s="514"/>
      <c r="F64" s="117">
        <f>'As-Filed Schedule 2B'!F64</f>
        <v>0</v>
      </c>
      <c r="G64" s="309">
        <f>SUMIFS(Adjustments!$G:$G,Adjustments!$H:$H,"2B",Adjustments!$I:$I,'Schedule 2B Adjustments'!$F$12,Adjustments!$J:$J,'Schedule 2B Adjustments'!$A64)</f>
        <v>0</v>
      </c>
      <c r="H64" s="305">
        <f t="shared" si="0"/>
        <v>0</v>
      </c>
      <c r="I64" s="68">
        <f>IFERROR(F64*'As-Filed Schedule 1'!$E$103,0)</f>
        <v>0</v>
      </c>
      <c r="J64" s="306">
        <f>IFERROR(H64*'Adjusted Schedule 1'!$E$104,0)</f>
        <v>0</v>
      </c>
      <c r="K64" s="180">
        <f t="shared" si="1"/>
        <v>0</v>
      </c>
      <c r="L64" s="306">
        <f t="shared" si="7"/>
        <v>0</v>
      </c>
      <c r="N64" s="179">
        <f>'As-Filed Schedule 2B'!J64</f>
        <v>0</v>
      </c>
      <c r="O64" s="309">
        <f>SUMIFS(Adjustments!$G:$G,Adjustments!$H:$H,"2B",Adjustments!$I:$I,'Schedule 2B Adjustments'!$N$12,Adjustments!$J:$J,'Schedule 2B Adjustments'!$A64)</f>
        <v>0</v>
      </c>
      <c r="P64" s="305">
        <f t="shared" si="2"/>
        <v>0</v>
      </c>
      <c r="Q64" s="68">
        <f>IFERROR(N64*'As-Filed Schedule 1'!$E$103,0)</f>
        <v>0</v>
      </c>
      <c r="R64" s="306">
        <f>IFERROR(P64*'Adjusted Schedule 1'!$E$104,0)</f>
        <v>0</v>
      </c>
      <c r="S64" s="68">
        <f t="shared" si="3"/>
        <v>0</v>
      </c>
      <c r="T64" s="306">
        <f t="shared" si="4"/>
        <v>0</v>
      </c>
      <c r="V64" s="119">
        <f>'As-Filed Schedule 2B'!N64</f>
        <v>0</v>
      </c>
      <c r="W64" s="309">
        <f>SUMIFS(Adjustments!$G:$G,Adjustments!$H:$H,"2B",Adjustments!$I:$I,'Schedule 2B Adjustments'!$V$12,Adjustments!$J:$J,'Schedule 2B Adjustments'!$A64)</f>
        <v>0</v>
      </c>
      <c r="X64" s="322">
        <f t="shared" si="5"/>
        <v>0</v>
      </c>
      <c r="Y64" s="119">
        <f>'As-Filed Schedule 2B'!O64</f>
        <v>0</v>
      </c>
      <c r="Z64" s="309">
        <f>SUMIFS(Adjustments!$G:$G,Adjustments!$H:$H,"2B",Adjustments!$I:$I,'Schedule 2B Adjustments'!$Y$12,Adjustments!$J:$J,'Schedule 2B Adjustments'!$A64)</f>
        <v>0</v>
      </c>
      <c r="AA64" s="322">
        <f t="shared" si="6"/>
        <v>0</v>
      </c>
    </row>
    <row r="65" spans="1:27" x14ac:dyDescent="0.35">
      <c r="A65" s="24">
        <v>51</v>
      </c>
      <c r="B65" s="514" t="str">
        <f>IF('As-Filed Schedule 2B'!B65:D65=0,"",'As-Filed Schedule 2B'!B65:D65)</f>
        <v/>
      </c>
      <c r="C65" s="514"/>
      <c r="D65" s="514"/>
      <c r="F65" s="117">
        <f>'As-Filed Schedule 2B'!F65</f>
        <v>0</v>
      </c>
      <c r="G65" s="309">
        <f>SUMIFS(Adjustments!$G:$G,Adjustments!$H:$H,"2B",Adjustments!$I:$I,'Schedule 2B Adjustments'!$F$12,Adjustments!$J:$J,'Schedule 2B Adjustments'!$A65)</f>
        <v>0</v>
      </c>
      <c r="H65" s="305">
        <f t="shared" si="0"/>
        <v>0</v>
      </c>
      <c r="I65" s="68">
        <f>IFERROR(F65*'As-Filed Schedule 1'!$E$103,0)</f>
        <v>0</v>
      </c>
      <c r="J65" s="306">
        <f>IFERROR(H65*'Adjusted Schedule 1'!$E$104,0)</f>
        <v>0</v>
      </c>
      <c r="K65" s="180">
        <f t="shared" si="1"/>
        <v>0</v>
      </c>
      <c r="L65" s="306">
        <f t="shared" si="7"/>
        <v>0</v>
      </c>
      <c r="N65" s="179">
        <f>'As-Filed Schedule 2B'!J65</f>
        <v>0</v>
      </c>
      <c r="O65" s="309">
        <f>SUMIFS(Adjustments!$G:$G,Adjustments!$H:$H,"2B",Adjustments!$I:$I,'Schedule 2B Adjustments'!$N$12,Adjustments!$J:$J,'Schedule 2B Adjustments'!$A65)</f>
        <v>0</v>
      </c>
      <c r="P65" s="305">
        <f t="shared" si="2"/>
        <v>0</v>
      </c>
      <c r="Q65" s="68">
        <f>IFERROR(N65*'As-Filed Schedule 1'!$E$103,0)</f>
        <v>0</v>
      </c>
      <c r="R65" s="306">
        <f>IFERROR(P65*'Adjusted Schedule 1'!$E$104,0)</f>
        <v>0</v>
      </c>
      <c r="S65" s="68">
        <f t="shared" si="3"/>
        <v>0</v>
      </c>
      <c r="T65" s="306">
        <f t="shared" si="4"/>
        <v>0</v>
      </c>
      <c r="V65" s="119">
        <f>'As-Filed Schedule 2B'!N65</f>
        <v>0</v>
      </c>
      <c r="W65" s="309">
        <f>SUMIFS(Adjustments!$G:$G,Adjustments!$H:$H,"2B",Adjustments!$I:$I,'Schedule 2B Adjustments'!$V$12,Adjustments!$J:$J,'Schedule 2B Adjustments'!$A65)</f>
        <v>0</v>
      </c>
      <c r="X65" s="322">
        <f t="shared" si="5"/>
        <v>0</v>
      </c>
      <c r="Y65" s="119">
        <f>'As-Filed Schedule 2B'!O65</f>
        <v>0</v>
      </c>
      <c r="Z65" s="309">
        <f>SUMIFS(Adjustments!$G:$G,Adjustments!$H:$H,"2B",Adjustments!$I:$I,'Schedule 2B Adjustments'!$Y$12,Adjustments!$J:$J,'Schedule 2B Adjustments'!$A65)</f>
        <v>0</v>
      </c>
      <c r="AA65" s="322">
        <f t="shared" si="6"/>
        <v>0</v>
      </c>
    </row>
    <row r="66" spans="1:27" x14ac:dyDescent="0.35">
      <c r="A66" s="24">
        <v>52</v>
      </c>
      <c r="B66" s="514" t="str">
        <f>IF('As-Filed Schedule 2B'!B66:D66=0,"",'As-Filed Schedule 2B'!B66:D66)</f>
        <v/>
      </c>
      <c r="C66" s="514"/>
      <c r="D66" s="514"/>
      <c r="F66" s="117">
        <f>'As-Filed Schedule 2B'!F66</f>
        <v>0</v>
      </c>
      <c r="G66" s="309">
        <f>SUMIFS(Adjustments!$G:$G,Adjustments!$H:$H,"2B",Adjustments!$I:$I,'Schedule 2B Adjustments'!$F$12,Adjustments!$J:$J,'Schedule 2B Adjustments'!$A66)</f>
        <v>0</v>
      </c>
      <c r="H66" s="305">
        <f t="shared" si="0"/>
        <v>0</v>
      </c>
      <c r="I66" s="68">
        <f>IFERROR(F66*'As-Filed Schedule 1'!$E$103,0)</f>
        <v>0</v>
      </c>
      <c r="J66" s="306">
        <f>IFERROR(H66*'Adjusted Schedule 1'!$E$104,0)</f>
        <v>0</v>
      </c>
      <c r="K66" s="180">
        <f t="shared" si="1"/>
        <v>0</v>
      </c>
      <c r="L66" s="306">
        <f t="shared" si="7"/>
        <v>0</v>
      </c>
      <c r="N66" s="179">
        <f>'As-Filed Schedule 2B'!J66</f>
        <v>0</v>
      </c>
      <c r="O66" s="309">
        <f>SUMIFS(Adjustments!$G:$G,Adjustments!$H:$H,"2B",Adjustments!$I:$I,'Schedule 2B Adjustments'!$N$12,Adjustments!$J:$J,'Schedule 2B Adjustments'!$A66)</f>
        <v>0</v>
      </c>
      <c r="P66" s="305">
        <f t="shared" si="2"/>
        <v>0</v>
      </c>
      <c r="Q66" s="68">
        <f>IFERROR(N66*'As-Filed Schedule 1'!$E$103,0)</f>
        <v>0</v>
      </c>
      <c r="R66" s="306">
        <f>IFERROR(P66*'Adjusted Schedule 1'!$E$104,0)</f>
        <v>0</v>
      </c>
      <c r="S66" s="68">
        <f t="shared" si="3"/>
        <v>0</v>
      </c>
      <c r="T66" s="306">
        <f t="shared" si="4"/>
        <v>0</v>
      </c>
      <c r="V66" s="119">
        <f>'As-Filed Schedule 2B'!N66</f>
        <v>0</v>
      </c>
      <c r="W66" s="309">
        <f>SUMIFS(Adjustments!$G:$G,Adjustments!$H:$H,"2B",Adjustments!$I:$I,'Schedule 2B Adjustments'!$V$12,Adjustments!$J:$J,'Schedule 2B Adjustments'!$A66)</f>
        <v>0</v>
      </c>
      <c r="X66" s="322">
        <f t="shared" si="5"/>
        <v>0</v>
      </c>
      <c r="Y66" s="119">
        <f>'As-Filed Schedule 2B'!O66</f>
        <v>0</v>
      </c>
      <c r="Z66" s="309">
        <f>SUMIFS(Adjustments!$G:$G,Adjustments!$H:$H,"2B",Adjustments!$I:$I,'Schedule 2B Adjustments'!$Y$12,Adjustments!$J:$J,'Schedule 2B Adjustments'!$A66)</f>
        <v>0</v>
      </c>
      <c r="AA66" s="322">
        <f t="shared" si="6"/>
        <v>0</v>
      </c>
    </row>
    <row r="67" spans="1:27" x14ac:dyDescent="0.35">
      <c r="A67" s="24">
        <v>53</v>
      </c>
      <c r="B67" s="514" t="str">
        <f>IF('As-Filed Schedule 2B'!B67:D67=0,"",'As-Filed Schedule 2B'!B67:D67)</f>
        <v/>
      </c>
      <c r="C67" s="514"/>
      <c r="D67" s="514"/>
      <c r="F67" s="117">
        <f>'As-Filed Schedule 2B'!F67</f>
        <v>0</v>
      </c>
      <c r="G67" s="309">
        <f>SUMIFS(Adjustments!$G:$G,Adjustments!$H:$H,"2B",Adjustments!$I:$I,'Schedule 2B Adjustments'!$F$12,Adjustments!$J:$J,'Schedule 2B Adjustments'!$A67)</f>
        <v>0</v>
      </c>
      <c r="H67" s="305">
        <f t="shared" si="0"/>
        <v>0</v>
      </c>
      <c r="I67" s="68">
        <f>IFERROR(F67*'As-Filed Schedule 1'!$E$103,0)</f>
        <v>0</v>
      </c>
      <c r="J67" s="306">
        <f>IFERROR(H67*'Adjusted Schedule 1'!$E$104,0)</f>
        <v>0</v>
      </c>
      <c r="K67" s="180">
        <f t="shared" si="1"/>
        <v>0</v>
      </c>
      <c r="L67" s="306">
        <f t="shared" si="7"/>
        <v>0</v>
      </c>
      <c r="N67" s="179">
        <f>'As-Filed Schedule 2B'!J67</f>
        <v>0</v>
      </c>
      <c r="O67" s="309">
        <f>SUMIFS(Adjustments!$G:$G,Adjustments!$H:$H,"2B",Adjustments!$I:$I,'Schedule 2B Adjustments'!$N$12,Adjustments!$J:$J,'Schedule 2B Adjustments'!$A67)</f>
        <v>0</v>
      </c>
      <c r="P67" s="305">
        <f t="shared" si="2"/>
        <v>0</v>
      </c>
      <c r="Q67" s="68">
        <f>IFERROR(N67*'As-Filed Schedule 1'!$E$103,0)</f>
        <v>0</v>
      </c>
      <c r="R67" s="306">
        <f>IFERROR(P67*'Adjusted Schedule 1'!$E$104,0)</f>
        <v>0</v>
      </c>
      <c r="S67" s="68">
        <f t="shared" si="3"/>
        <v>0</v>
      </c>
      <c r="T67" s="306">
        <f t="shared" si="4"/>
        <v>0</v>
      </c>
      <c r="V67" s="119">
        <f>'As-Filed Schedule 2B'!N67</f>
        <v>0</v>
      </c>
      <c r="W67" s="309">
        <f>SUMIFS(Adjustments!$G:$G,Adjustments!$H:$H,"2B",Adjustments!$I:$I,'Schedule 2B Adjustments'!$V$12,Adjustments!$J:$J,'Schedule 2B Adjustments'!$A67)</f>
        <v>0</v>
      </c>
      <c r="X67" s="322">
        <f t="shared" si="5"/>
        <v>0</v>
      </c>
      <c r="Y67" s="119">
        <f>'As-Filed Schedule 2B'!O67</f>
        <v>0</v>
      </c>
      <c r="Z67" s="309">
        <f>SUMIFS(Adjustments!$G:$G,Adjustments!$H:$H,"2B",Adjustments!$I:$I,'Schedule 2B Adjustments'!$Y$12,Adjustments!$J:$J,'Schedule 2B Adjustments'!$A67)</f>
        <v>0</v>
      </c>
      <c r="AA67" s="322">
        <f t="shared" si="6"/>
        <v>0</v>
      </c>
    </row>
    <row r="68" spans="1:27" x14ac:dyDescent="0.35">
      <c r="A68" s="24">
        <v>54</v>
      </c>
      <c r="B68" s="514" t="str">
        <f>IF('As-Filed Schedule 2B'!B68:D68=0,"",'As-Filed Schedule 2B'!B68:D68)</f>
        <v/>
      </c>
      <c r="C68" s="514"/>
      <c r="D68" s="514"/>
      <c r="F68" s="117">
        <f>'As-Filed Schedule 2B'!F68</f>
        <v>0</v>
      </c>
      <c r="G68" s="309">
        <f>SUMIFS(Adjustments!$G:$G,Adjustments!$H:$H,"2B",Adjustments!$I:$I,'Schedule 2B Adjustments'!$F$12,Adjustments!$J:$J,'Schedule 2B Adjustments'!$A68)</f>
        <v>0</v>
      </c>
      <c r="H68" s="305">
        <f t="shared" si="0"/>
        <v>0</v>
      </c>
      <c r="I68" s="68">
        <f>IFERROR(F68*'As-Filed Schedule 1'!$E$103,0)</f>
        <v>0</v>
      </c>
      <c r="J68" s="306">
        <f>IFERROR(H68*'Adjusted Schedule 1'!$E$104,0)</f>
        <v>0</v>
      </c>
      <c r="K68" s="180">
        <f t="shared" si="1"/>
        <v>0</v>
      </c>
      <c r="L68" s="306">
        <f t="shared" si="7"/>
        <v>0</v>
      </c>
      <c r="N68" s="179">
        <f>'As-Filed Schedule 2B'!J68</f>
        <v>0</v>
      </c>
      <c r="O68" s="309">
        <f>SUMIFS(Adjustments!$G:$G,Adjustments!$H:$H,"2B",Adjustments!$I:$I,'Schedule 2B Adjustments'!$N$12,Adjustments!$J:$J,'Schedule 2B Adjustments'!$A68)</f>
        <v>0</v>
      </c>
      <c r="P68" s="305">
        <f t="shared" si="2"/>
        <v>0</v>
      </c>
      <c r="Q68" s="68">
        <f>IFERROR(N68*'As-Filed Schedule 1'!$E$103,0)</f>
        <v>0</v>
      </c>
      <c r="R68" s="306">
        <f>IFERROR(P68*'Adjusted Schedule 1'!$E$104,0)</f>
        <v>0</v>
      </c>
      <c r="S68" s="68">
        <f t="shared" si="3"/>
        <v>0</v>
      </c>
      <c r="T68" s="306">
        <f t="shared" si="4"/>
        <v>0</v>
      </c>
      <c r="V68" s="119">
        <f>'As-Filed Schedule 2B'!N68</f>
        <v>0</v>
      </c>
      <c r="W68" s="309">
        <f>SUMIFS(Adjustments!$G:$G,Adjustments!$H:$H,"2B",Adjustments!$I:$I,'Schedule 2B Adjustments'!$V$12,Adjustments!$J:$J,'Schedule 2B Adjustments'!$A68)</f>
        <v>0</v>
      </c>
      <c r="X68" s="322">
        <f t="shared" si="5"/>
        <v>0</v>
      </c>
      <c r="Y68" s="119">
        <f>'As-Filed Schedule 2B'!O68</f>
        <v>0</v>
      </c>
      <c r="Z68" s="309">
        <f>SUMIFS(Adjustments!$G:$G,Adjustments!$H:$H,"2B",Adjustments!$I:$I,'Schedule 2B Adjustments'!$Y$12,Adjustments!$J:$J,'Schedule 2B Adjustments'!$A68)</f>
        <v>0</v>
      </c>
      <c r="AA68" s="322">
        <f t="shared" si="6"/>
        <v>0</v>
      </c>
    </row>
    <row r="69" spans="1:27" x14ac:dyDescent="0.35">
      <c r="A69" s="24">
        <v>55</v>
      </c>
      <c r="B69" s="514" t="str">
        <f>IF('As-Filed Schedule 2B'!B69:D69=0,"",'As-Filed Schedule 2B'!B69:D69)</f>
        <v/>
      </c>
      <c r="C69" s="514"/>
      <c r="D69" s="514"/>
      <c r="F69" s="117">
        <f>'As-Filed Schedule 2B'!F69</f>
        <v>0</v>
      </c>
      <c r="G69" s="309">
        <f>SUMIFS(Adjustments!$G:$G,Adjustments!$H:$H,"2B",Adjustments!$I:$I,'Schedule 2B Adjustments'!$F$12,Adjustments!$J:$J,'Schedule 2B Adjustments'!$A69)</f>
        <v>0</v>
      </c>
      <c r="H69" s="305">
        <f t="shared" si="0"/>
        <v>0</v>
      </c>
      <c r="I69" s="68">
        <f>IFERROR(F69*'As-Filed Schedule 1'!$E$103,0)</f>
        <v>0</v>
      </c>
      <c r="J69" s="306">
        <f>IFERROR(H69*'Adjusted Schedule 1'!$E$104,0)</f>
        <v>0</v>
      </c>
      <c r="K69" s="180">
        <f t="shared" si="1"/>
        <v>0</v>
      </c>
      <c r="L69" s="306">
        <f t="shared" si="7"/>
        <v>0</v>
      </c>
      <c r="N69" s="179">
        <f>'As-Filed Schedule 2B'!J69</f>
        <v>0</v>
      </c>
      <c r="O69" s="309">
        <f>SUMIFS(Adjustments!$G:$G,Adjustments!$H:$H,"2B",Adjustments!$I:$I,'Schedule 2B Adjustments'!$N$12,Adjustments!$J:$J,'Schedule 2B Adjustments'!$A69)</f>
        <v>0</v>
      </c>
      <c r="P69" s="305">
        <f t="shared" si="2"/>
        <v>0</v>
      </c>
      <c r="Q69" s="68">
        <f>IFERROR(N69*'As-Filed Schedule 1'!$E$103,0)</f>
        <v>0</v>
      </c>
      <c r="R69" s="306">
        <f>IFERROR(P69*'Adjusted Schedule 1'!$E$104,0)</f>
        <v>0</v>
      </c>
      <c r="S69" s="68">
        <f t="shared" si="3"/>
        <v>0</v>
      </c>
      <c r="T69" s="306">
        <f t="shared" si="4"/>
        <v>0</v>
      </c>
      <c r="V69" s="119">
        <f>'As-Filed Schedule 2B'!N69</f>
        <v>0</v>
      </c>
      <c r="W69" s="309">
        <f>SUMIFS(Adjustments!$G:$G,Adjustments!$H:$H,"2B",Adjustments!$I:$I,'Schedule 2B Adjustments'!$V$12,Adjustments!$J:$J,'Schedule 2B Adjustments'!$A69)</f>
        <v>0</v>
      </c>
      <c r="X69" s="322">
        <f t="shared" si="5"/>
        <v>0</v>
      </c>
      <c r="Y69" s="119">
        <f>'As-Filed Schedule 2B'!O69</f>
        <v>0</v>
      </c>
      <c r="Z69" s="309">
        <f>SUMIFS(Adjustments!$G:$G,Adjustments!$H:$H,"2B",Adjustments!$I:$I,'Schedule 2B Adjustments'!$Y$12,Adjustments!$J:$J,'Schedule 2B Adjustments'!$A69)</f>
        <v>0</v>
      </c>
      <c r="AA69" s="322">
        <f t="shared" si="6"/>
        <v>0</v>
      </c>
    </row>
    <row r="70" spans="1:27" x14ac:dyDescent="0.35">
      <c r="A70" s="24">
        <v>56</v>
      </c>
      <c r="B70" s="514" t="str">
        <f>IF('As-Filed Schedule 2B'!B70:D70=0,"",'As-Filed Schedule 2B'!B70:D70)</f>
        <v/>
      </c>
      <c r="C70" s="514"/>
      <c r="D70" s="514"/>
      <c r="F70" s="117">
        <f>'As-Filed Schedule 2B'!F70</f>
        <v>0</v>
      </c>
      <c r="G70" s="309">
        <f>SUMIFS(Adjustments!$G:$G,Adjustments!$H:$H,"2B",Adjustments!$I:$I,'Schedule 2B Adjustments'!$F$12,Adjustments!$J:$J,'Schedule 2B Adjustments'!$A70)</f>
        <v>0</v>
      </c>
      <c r="H70" s="305">
        <f t="shared" si="0"/>
        <v>0</v>
      </c>
      <c r="I70" s="68">
        <f>IFERROR(F70*'As-Filed Schedule 1'!$E$103,0)</f>
        <v>0</v>
      </c>
      <c r="J70" s="306">
        <f>IFERROR(H70*'Adjusted Schedule 1'!$E$104,0)</f>
        <v>0</v>
      </c>
      <c r="K70" s="180">
        <f t="shared" si="1"/>
        <v>0</v>
      </c>
      <c r="L70" s="306">
        <f t="shared" si="7"/>
        <v>0</v>
      </c>
      <c r="N70" s="179">
        <f>'As-Filed Schedule 2B'!J70</f>
        <v>0</v>
      </c>
      <c r="O70" s="309">
        <f>SUMIFS(Adjustments!$G:$G,Adjustments!$H:$H,"2B",Adjustments!$I:$I,'Schedule 2B Adjustments'!$N$12,Adjustments!$J:$J,'Schedule 2B Adjustments'!$A70)</f>
        <v>0</v>
      </c>
      <c r="P70" s="305">
        <f t="shared" si="2"/>
        <v>0</v>
      </c>
      <c r="Q70" s="68">
        <f>IFERROR(N70*'As-Filed Schedule 1'!$E$103,0)</f>
        <v>0</v>
      </c>
      <c r="R70" s="306">
        <f>IFERROR(P70*'Adjusted Schedule 1'!$E$104,0)</f>
        <v>0</v>
      </c>
      <c r="S70" s="68">
        <f t="shared" si="3"/>
        <v>0</v>
      </c>
      <c r="T70" s="306">
        <f t="shared" si="4"/>
        <v>0</v>
      </c>
      <c r="V70" s="119">
        <f>'As-Filed Schedule 2B'!N70</f>
        <v>0</v>
      </c>
      <c r="W70" s="309">
        <f>SUMIFS(Adjustments!$G:$G,Adjustments!$H:$H,"2B",Adjustments!$I:$I,'Schedule 2B Adjustments'!$V$12,Adjustments!$J:$J,'Schedule 2B Adjustments'!$A70)</f>
        <v>0</v>
      </c>
      <c r="X70" s="322">
        <f t="shared" si="5"/>
        <v>0</v>
      </c>
      <c r="Y70" s="119">
        <f>'As-Filed Schedule 2B'!O70</f>
        <v>0</v>
      </c>
      <c r="Z70" s="309">
        <f>SUMIFS(Adjustments!$G:$G,Adjustments!$H:$H,"2B",Adjustments!$I:$I,'Schedule 2B Adjustments'!$Y$12,Adjustments!$J:$J,'Schedule 2B Adjustments'!$A70)</f>
        <v>0</v>
      </c>
      <c r="AA70" s="322">
        <f t="shared" si="6"/>
        <v>0</v>
      </c>
    </row>
    <row r="71" spans="1:27" x14ac:dyDescent="0.35">
      <c r="A71" s="24">
        <v>57</v>
      </c>
      <c r="B71" s="514" t="str">
        <f>IF('As-Filed Schedule 2B'!B71:D71=0,"",'As-Filed Schedule 2B'!B71:D71)</f>
        <v/>
      </c>
      <c r="C71" s="514"/>
      <c r="D71" s="514"/>
      <c r="F71" s="117">
        <f>'As-Filed Schedule 2B'!F71</f>
        <v>0</v>
      </c>
      <c r="G71" s="309">
        <f>SUMIFS(Adjustments!$G:$G,Adjustments!$H:$H,"2B",Adjustments!$I:$I,'Schedule 2B Adjustments'!$F$12,Adjustments!$J:$J,'Schedule 2B Adjustments'!$A71)</f>
        <v>0</v>
      </c>
      <c r="H71" s="305">
        <f t="shared" si="0"/>
        <v>0</v>
      </c>
      <c r="I71" s="68">
        <f>IFERROR(F71*'As-Filed Schedule 1'!$E$103,0)</f>
        <v>0</v>
      </c>
      <c r="J71" s="306">
        <f>IFERROR(H71*'Adjusted Schedule 1'!$E$104,0)</f>
        <v>0</v>
      </c>
      <c r="K71" s="180">
        <f t="shared" si="1"/>
        <v>0</v>
      </c>
      <c r="L71" s="306">
        <f t="shared" si="7"/>
        <v>0</v>
      </c>
      <c r="N71" s="179">
        <f>'As-Filed Schedule 2B'!J71</f>
        <v>0</v>
      </c>
      <c r="O71" s="309">
        <f>SUMIFS(Adjustments!$G:$G,Adjustments!$H:$H,"2B",Adjustments!$I:$I,'Schedule 2B Adjustments'!$N$12,Adjustments!$J:$J,'Schedule 2B Adjustments'!$A71)</f>
        <v>0</v>
      </c>
      <c r="P71" s="305">
        <f t="shared" si="2"/>
        <v>0</v>
      </c>
      <c r="Q71" s="68">
        <f>IFERROR(N71*'As-Filed Schedule 1'!$E$103,0)</f>
        <v>0</v>
      </c>
      <c r="R71" s="306">
        <f>IFERROR(P71*'Adjusted Schedule 1'!$E$104,0)</f>
        <v>0</v>
      </c>
      <c r="S71" s="68">
        <f t="shared" si="3"/>
        <v>0</v>
      </c>
      <c r="T71" s="306">
        <f t="shared" si="4"/>
        <v>0</v>
      </c>
      <c r="V71" s="119">
        <f>'As-Filed Schedule 2B'!N71</f>
        <v>0</v>
      </c>
      <c r="W71" s="309">
        <f>SUMIFS(Adjustments!$G:$G,Adjustments!$H:$H,"2B",Adjustments!$I:$I,'Schedule 2B Adjustments'!$V$12,Adjustments!$J:$J,'Schedule 2B Adjustments'!$A71)</f>
        <v>0</v>
      </c>
      <c r="X71" s="322">
        <f t="shared" si="5"/>
        <v>0</v>
      </c>
      <c r="Y71" s="119">
        <f>'As-Filed Schedule 2B'!O71</f>
        <v>0</v>
      </c>
      <c r="Z71" s="309">
        <f>SUMIFS(Adjustments!$G:$G,Adjustments!$H:$H,"2B",Adjustments!$I:$I,'Schedule 2B Adjustments'!$Y$12,Adjustments!$J:$J,'Schedule 2B Adjustments'!$A71)</f>
        <v>0</v>
      </c>
      <c r="AA71" s="322">
        <f t="shared" si="6"/>
        <v>0</v>
      </c>
    </row>
    <row r="72" spans="1:27" x14ac:dyDescent="0.35">
      <c r="A72" s="24">
        <v>58</v>
      </c>
      <c r="B72" s="514" t="str">
        <f>IF('As-Filed Schedule 2B'!B72:D72=0,"",'As-Filed Schedule 2B'!B72:D72)</f>
        <v/>
      </c>
      <c r="C72" s="514"/>
      <c r="D72" s="514"/>
      <c r="F72" s="117">
        <f>'As-Filed Schedule 2B'!F72</f>
        <v>0</v>
      </c>
      <c r="G72" s="309">
        <f>SUMIFS(Adjustments!$G:$G,Adjustments!$H:$H,"2B",Adjustments!$I:$I,'Schedule 2B Adjustments'!$F$12,Adjustments!$J:$J,'Schedule 2B Adjustments'!$A72)</f>
        <v>0</v>
      </c>
      <c r="H72" s="305">
        <f t="shared" si="0"/>
        <v>0</v>
      </c>
      <c r="I72" s="68">
        <f>IFERROR(F72*'As-Filed Schedule 1'!$E$103,0)</f>
        <v>0</v>
      </c>
      <c r="J72" s="306">
        <f>IFERROR(H72*'Adjusted Schedule 1'!$E$104,0)</f>
        <v>0</v>
      </c>
      <c r="K72" s="180">
        <f t="shared" si="1"/>
        <v>0</v>
      </c>
      <c r="L72" s="306">
        <f t="shared" si="7"/>
        <v>0</v>
      </c>
      <c r="N72" s="179">
        <f>'As-Filed Schedule 2B'!J72</f>
        <v>0</v>
      </c>
      <c r="O72" s="309">
        <f>SUMIFS(Adjustments!$G:$G,Adjustments!$H:$H,"2B",Adjustments!$I:$I,'Schedule 2B Adjustments'!$N$12,Adjustments!$J:$J,'Schedule 2B Adjustments'!$A72)</f>
        <v>0</v>
      </c>
      <c r="P72" s="305">
        <f t="shared" si="2"/>
        <v>0</v>
      </c>
      <c r="Q72" s="68">
        <f>IFERROR(N72*'As-Filed Schedule 1'!$E$103,0)</f>
        <v>0</v>
      </c>
      <c r="R72" s="306">
        <f>IFERROR(P72*'Adjusted Schedule 1'!$E$104,0)</f>
        <v>0</v>
      </c>
      <c r="S72" s="68">
        <f t="shared" si="3"/>
        <v>0</v>
      </c>
      <c r="T72" s="306">
        <f t="shared" si="4"/>
        <v>0</v>
      </c>
      <c r="V72" s="119">
        <f>'As-Filed Schedule 2B'!N72</f>
        <v>0</v>
      </c>
      <c r="W72" s="309">
        <f>SUMIFS(Adjustments!$G:$G,Adjustments!$H:$H,"2B",Adjustments!$I:$I,'Schedule 2B Adjustments'!$V$12,Adjustments!$J:$J,'Schedule 2B Adjustments'!$A72)</f>
        <v>0</v>
      </c>
      <c r="X72" s="322">
        <f t="shared" si="5"/>
        <v>0</v>
      </c>
      <c r="Y72" s="119">
        <f>'As-Filed Schedule 2B'!O72</f>
        <v>0</v>
      </c>
      <c r="Z72" s="309">
        <f>SUMIFS(Adjustments!$G:$G,Adjustments!$H:$H,"2B",Adjustments!$I:$I,'Schedule 2B Adjustments'!$Y$12,Adjustments!$J:$J,'Schedule 2B Adjustments'!$A72)</f>
        <v>0</v>
      </c>
      <c r="AA72" s="322">
        <f t="shared" si="6"/>
        <v>0</v>
      </c>
    </row>
    <row r="73" spans="1:27" x14ac:dyDescent="0.35">
      <c r="A73" s="24">
        <v>59</v>
      </c>
      <c r="F73" s="18">
        <f>SUM(F15:F72)</f>
        <v>0</v>
      </c>
      <c r="G73" s="316">
        <f t="shared" ref="G73:H73" si="8">SUM(G15:G72)</f>
        <v>0</v>
      </c>
      <c r="H73" s="307">
        <f t="shared" si="8"/>
        <v>0</v>
      </c>
      <c r="I73" s="18">
        <f t="shared" ref="I73:K73" si="9">SUM(I15:I72)</f>
        <v>0</v>
      </c>
      <c r="J73" s="307">
        <f t="shared" ref="J73" si="10">SUM(J15:J72)</f>
        <v>0</v>
      </c>
      <c r="K73" s="18">
        <f t="shared" si="9"/>
        <v>0</v>
      </c>
      <c r="L73" s="307">
        <f t="shared" ref="L73" si="11">SUM(L15:L72)</f>
        <v>0</v>
      </c>
      <c r="N73" s="18">
        <f>SUM(N15:N72)</f>
        <v>435518</v>
      </c>
      <c r="O73" s="316">
        <f t="shared" ref="O73:P73" si="12">SUM(O15:O72)</f>
        <v>525083</v>
      </c>
      <c r="P73" s="307">
        <f t="shared" si="12"/>
        <v>960601</v>
      </c>
      <c r="Q73" s="18">
        <f t="shared" ref="Q73:S73" si="13">SUM(Q15:Q72)</f>
        <v>147147.76032950543</v>
      </c>
      <c r="R73" s="306">
        <f>IFERROR(P73*'Adjusted Schedule 1'!$E$104,0)</f>
        <v>314472.68948165898</v>
      </c>
      <c r="S73" s="18">
        <f t="shared" si="13"/>
        <v>582665.76032950543</v>
      </c>
      <c r="T73" s="307">
        <f>SUM(T15:T72)</f>
        <v>1275073.6894816591</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460</v>
      </c>
      <c r="F75" s="75">
        <f>K73+S73</f>
        <v>582665.76032950543</v>
      </c>
      <c r="G75"/>
      <c r="H75" s="330">
        <f>L73+T73</f>
        <v>1275073.6894816591</v>
      </c>
      <c r="I75" s="74"/>
      <c r="J75" s="321"/>
      <c r="K75" s="74"/>
      <c r="L75" s="321"/>
      <c r="M75" s="74"/>
      <c r="N75" s="74"/>
      <c r="O75" s="328"/>
      <c r="P75" s="321"/>
      <c r="Q75" s="74"/>
      <c r="R75" s="321"/>
      <c r="T75" s="323"/>
      <c r="W75" s="326"/>
      <c r="X75" s="323"/>
      <c r="Z75" s="326"/>
      <c r="AA75" s="323"/>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B68:D68"/>
    <mergeCell ref="B69:D69"/>
    <mergeCell ref="B70:D70"/>
    <mergeCell ref="B71:D71"/>
    <mergeCell ref="B72:D72"/>
    <mergeCell ref="B67:D67"/>
    <mergeCell ref="B56:D56"/>
    <mergeCell ref="B57:D57"/>
    <mergeCell ref="B58:D58"/>
    <mergeCell ref="B59:D59"/>
    <mergeCell ref="B60:D60"/>
    <mergeCell ref="B61:D61"/>
    <mergeCell ref="B62:D62"/>
    <mergeCell ref="B63:D63"/>
    <mergeCell ref="B64:D64"/>
    <mergeCell ref="B65:D65"/>
    <mergeCell ref="B66:D66"/>
    <mergeCell ref="B55:D55"/>
    <mergeCell ref="B44:D44"/>
    <mergeCell ref="B45:D45"/>
    <mergeCell ref="B46:D46"/>
    <mergeCell ref="B47:D47"/>
    <mergeCell ref="B48:D48"/>
    <mergeCell ref="B49:D49"/>
    <mergeCell ref="B50:D50"/>
    <mergeCell ref="B51:D51"/>
    <mergeCell ref="B52:D52"/>
    <mergeCell ref="B53:D53"/>
    <mergeCell ref="B54:D54"/>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A3:K3"/>
    <mergeCell ref="B12:D12"/>
    <mergeCell ref="B13:D14"/>
    <mergeCell ref="F13:L13"/>
    <mergeCell ref="B15:D15"/>
    <mergeCell ref="B16:D16"/>
    <mergeCell ref="B17:D17"/>
    <mergeCell ref="B18:D18"/>
    <mergeCell ref="Z13:Z14"/>
    <mergeCell ref="AA13:AA14"/>
    <mergeCell ref="W13:W14"/>
    <mergeCell ref="X13:X14"/>
    <mergeCell ref="N13:T13"/>
    <mergeCell ref="Y13:Y14"/>
    <mergeCell ref="V13:V14"/>
  </mergeCells>
  <pageMargins left="0.7" right="0.7" top="0.75" bottom="0.75" header="0.3" footer="0.3"/>
  <pageSetup orientation="portrait" horizontalDpi="1200" verticalDpi="1200"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dimension ref="A1:AA75"/>
  <sheetViews>
    <sheetView topLeftCell="A46" workbookViewId="0">
      <selection activeCell="H75" sqref="H75"/>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5" style="260" customWidth="1"/>
    <col min="24" max="24" width="11.54296875" style="48" customWidth="1"/>
    <col min="25" max="25" width="12" customWidth="1"/>
    <col min="26" max="26" width="15" style="260" customWidth="1"/>
    <col min="27" max="27" width="12" style="48" customWidth="1"/>
  </cols>
  <sheetData>
    <row r="1" spans="1:27" ht="26" x14ac:dyDescent="0.6">
      <c r="A1" s="3" t="s">
        <v>774</v>
      </c>
    </row>
    <row r="2" spans="1:27" ht="21" x14ac:dyDescent="0.5">
      <c r="A2" s="2" t="s">
        <v>772</v>
      </c>
    </row>
    <row r="3" spans="1:27" ht="25" customHeight="1" x14ac:dyDescent="0.5">
      <c r="A3" s="495" t="s">
        <v>754</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627</v>
      </c>
      <c r="C8" s="1"/>
      <c r="D8" s="118" t="str">
        <f>'As-Filed Schedule 2C'!D8</f>
        <v>Yes</v>
      </c>
      <c r="E8" s="41" t="s">
        <v>259</v>
      </c>
    </row>
    <row r="10" spans="1:27" x14ac:dyDescent="0.35">
      <c r="A10" s="1" t="s">
        <v>254</v>
      </c>
      <c r="B10" s="1" t="s">
        <v>256</v>
      </c>
      <c r="C10" s="1"/>
    </row>
    <row r="11" spans="1:27" x14ac:dyDescent="0.35">
      <c r="B11" s="329" t="s">
        <v>598</v>
      </c>
    </row>
    <row r="12" spans="1:27" x14ac:dyDescent="0.35">
      <c r="B12" s="506">
        <v>1</v>
      </c>
      <c r="C12" s="506"/>
      <c r="D12" s="506"/>
      <c r="F12" s="23">
        <v>2</v>
      </c>
      <c r="G12" s="255" t="s">
        <v>556</v>
      </c>
      <c r="H12" s="256" t="s">
        <v>626</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617</v>
      </c>
      <c r="Y12" s="23">
        <v>9</v>
      </c>
      <c r="Z12" s="255" t="s">
        <v>618</v>
      </c>
      <c r="AA12" s="256" t="s">
        <v>619</v>
      </c>
    </row>
    <row r="13" spans="1:27" x14ac:dyDescent="0.35">
      <c r="B13" s="515" t="s">
        <v>612</v>
      </c>
      <c r="C13" s="516"/>
      <c r="D13" s="517"/>
      <c r="F13" s="509" t="s">
        <v>261</v>
      </c>
      <c r="G13" s="521"/>
      <c r="H13" s="521"/>
      <c r="I13" s="521"/>
      <c r="J13" s="521"/>
      <c r="K13" s="521"/>
      <c r="L13" s="510"/>
      <c r="N13" s="509" t="s">
        <v>262</v>
      </c>
      <c r="O13" s="521"/>
      <c r="P13" s="521"/>
      <c r="Q13" s="521"/>
      <c r="R13" s="521"/>
      <c r="S13" s="521"/>
      <c r="T13" s="510"/>
      <c r="V13" s="522" t="s">
        <v>250</v>
      </c>
      <c r="W13" s="567" t="s">
        <v>620</v>
      </c>
      <c r="X13" s="569" t="s">
        <v>621</v>
      </c>
      <c r="Y13" s="508" t="s">
        <v>312</v>
      </c>
      <c r="Z13" s="571" t="s">
        <v>622</v>
      </c>
      <c r="AA13" s="572" t="s">
        <v>623</v>
      </c>
    </row>
    <row r="14" spans="1:27" ht="55.5" customHeight="1" x14ac:dyDescent="0.35">
      <c r="B14" s="518"/>
      <c r="C14" s="519"/>
      <c r="D14" s="520"/>
      <c r="E14" s="48"/>
      <c r="F14" s="10" t="s">
        <v>214</v>
      </c>
      <c r="G14" s="257" t="s">
        <v>609</v>
      </c>
      <c r="H14" s="258" t="s">
        <v>610</v>
      </c>
      <c r="I14" s="150" t="s">
        <v>491</v>
      </c>
      <c r="J14" s="258" t="s">
        <v>613</v>
      </c>
      <c r="K14" s="150" t="s">
        <v>215</v>
      </c>
      <c r="L14" s="258" t="s">
        <v>615</v>
      </c>
      <c r="M14" s="100"/>
      <c r="N14" s="150" t="s">
        <v>214</v>
      </c>
      <c r="O14" s="257" t="s">
        <v>609</v>
      </c>
      <c r="P14" s="258" t="s">
        <v>610</v>
      </c>
      <c r="Q14" s="150" t="s">
        <v>491</v>
      </c>
      <c r="R14" s="258" t="s">
        <v>613</v>
      </c>
      <c r="S14" s="10" t="s">
        <v>215</v>
      </c>
      <c r="T14" s="258" t="s">
        <v>615</v>
      </c>
      <c r="U14" s="48"/>
      <c r="V14" s="523"/>
      <c r="W14" s="568"/>
      <c r="X14" s="570"/>
      <c r="Y14" s="508"/>
      <c r="Z14" s="571"/>
      <c r="AA14" s="572"/>
    </row>
    <row r="15" spans="1:27" x14ac:dyDescent="0.35">
      <c r="A15" s="24">
        <v>1</v>
      </c>
      <c r="B15" s="514" t="str">
        <f>IF('As-Filed Schedule 2C'!B15:D15=0,"",'As-Filed Schedule 2C'!B15:D15)</f>
        <v xml:space="preserve"> Briarwood - SUD Outpatient</v>
      </c>
      <c r="C15" s="514"/>
      <c r="D15" s="514"/>
      <c r="F15" s="117">
        <f>'As-Filed Schedule 2C'!F15</f>
        <v>48842</v>
      </c>
      <c r="G15" s="309">
        <f>SUMIFS(Adjustments!$G:$G,Adjustments!$H:$H,"2C",Adjustments!$I:$I,'Schedule 2C Adjustments'!$F$12,Adjustments!$J:$J,'Schedule 2C Adjustments'!$A15)</f>
        <v>-48842</v>
      </c>
      <c r="H15" s="305">
        <f>SUM(F15:G15)</f>
        <v>0</v>
      </c>
      <c r="I15" s="68">
        <f>IFERROR(F15*'As-Filed Schedule 1'!$E$103,0)</f>
        <v>16502.167327214269</v>
      </c>
      <c r="J15" s="306">
        <f>IFERROR(H15*'Adjusted Schedule 1'!$E$104,0)</f>
        <v>0</v>
      </c>
      <c r="K15" s="68">
        <f>SUM(F15,I15)</f>
        <v>65344.167327214265</v>
      </c>
      <c r="L15" s="306">
        <f>SUM(H15,J15)</f>
        <v>0</v>
      </c>
      <c r="N15" s="117" t="str">
        <f>'As-Filed Schedule 2C'!J15</f>
        <v xml:space="preserve"> $                                -  </v>
      </c>
      <c r="O15" s="309">
        <f>SUMIFS(Adjustments!$G:$G,Adjustments!$H:$H,"2C",Adjustments!$I:$I,'Schedule 2C Adjustments'!$N$12,Adjustments!$J:$J,'Schedule 2C Adjustments'!$A15)</f>
        <v>0</v>
      </c>
      <c r="P15" s="305">
        <f>SUM(N15:O15)</f>
        <v>0</v>
      </c>
      <c r="Q15" s="68">
        <f>IFERROR(N15*'As-Filed Schedule 1'!$E$103,0)</f>
        <v>0</v>
      </c>
      <c r="R15" s="306">
        <f>IFERROR(P15*'Adjusted Schedule 1'!$E$104,0)</f>
        <v>0</v>
      </c>
      <c r="S15" s="68">
        <f>SUM(N15,Q15)</f>
        <v>0</v>
      </c>
      <c r="T15" s="306">
        <f>SUM(P15,R15)</f>
        <v>0</v>
      </c>
      <c r="V15" s="119" t="str">
        <f>'As-Filed Schedule 2C'!N15</f>
        <v xml:space="preserve">                   -  </v>
      </c>
      <c r="W15" s="309">
        <f>SUMIFS(Adjustments!$G:$G,Adjustments!$H:$H,"2C",Adjustments!$I:$I,'Schedule 2C Adjustments'!$V$12,Adjustments!$J:$J,'Schedule 2C Adjustments'!$A15)</f>
        <v>0</v>
      </c>
      <c r="X15" s="305">
        <f>SUM(V15:W15)</f>
        <v>0</v>
      </c>
      <c r="Y15" s="119" t="str">
        <f>'As-Filed Schedule 2C'!O15</f>
        <v xml:space="preserve">                     -  </v>
      </c>
      <c r="Z15" s="309">
        <f>SUMIFS(Adjustments!$G:$G,Adjustments!$H:$H,"2C",Adjustments!$I:$I,'Schedule 2C Adjustments'!$Y$12,Adjustments!$J:$J,'Schedule 2C Adjustments'!$A15)</f>
        <v>0</v>
      </c>
      <c r="AA15" s="305">
        <f>SUM(Y15:Z15)</f>
        <v>0</v>
      </c>
    </row>
    <row r="16" spans="1:27" x14ac:dyDescent="0.35">
      <c r="A16" s="24">
        <v>2</v>
      </c>
      <c r="B16" s="514" t="str">
        <f>IF('As-Filed Schedule 2C'!B16:D16=0,"",'As-Filed Schedule 2C'!B16:D16)</f>
        <v>JBBS</v>
      </c>
      <c r="C16" s="514"/>
      <c r="D16" s="514"/>
      <c r="F16" s="117">
        <f>'As-Filed Schedule 2C'!F16</f>
        <v>348416</v>
      </c>
      <c r="G16" s="309">
        <f>SUMIFS(Adjustments!$G:$G,Adjustments!$H:$H,"2C",Adjustments!$I:$I,'Schedule 2C Adjustments'!$F$12,Adjustments!$J:$J,'Schedule 2C Adjustments'!$A16)</f>
        <v>-343096</v>
      </c>
      <c r="H16" s="305">
        <f t="shared" ref="H16:H72" si="0">SUM(F16:G16)</f>
        <v>5320</v>
      </c>
      <c r="I16" s="68">
        <f>IFERROR(F16*'As-Filed Schedule 1'!$E$103,0)</f>
        <v>117718.74885300943</v>
      </c>
      <c r="J16" s="306">
        <f>IFERROR(H16*'Adjusted Schedule 1'!$E$104,0)</f>
        <v>1741.6124988860367</v>
      </c>
      <c r="K16" s="68">
        <f t="shared" ref="K16:K72" si="1">SUM(F16,I16)</f>
        <v>466134.74885300943</v>
      </c>
      <c r="L16" s="306">
        <f t="shared" ref="L16:L72" si="2">SUM(H16,J16)</f>
        <v>7061.6124988860365</v>
      </c>
      <c r="N16" s="117" t="str">
        <f>'As-Filed Schedule 2C'!J16</f>
        <v xml:space="preserve"> $                                -  </v>
      </c>
      <c r="O16" s="309">
        <f>SUMIFS(Adjustments!$G:$G,Adjustments!$H:$H,"2C",Adjustments!$I:$I,'Schedule 2C Adjustments'!$N$12,Adjustments!$J:$J,'Schedule 2C Adjustments'!$A16)</f>
        <v>343096</v>
      </c>
      <c r="P16" s="305">
        <f t="shared" ref="P16:P72" si="3">SUM(N16:O16)</f>
        <v>343096</v>
      </c>
      <c r="Q16" s="68">
        <f>IFERROR(N16*'As-Filed Schedule 1'!$E$103,0)</f>
        <v>0</v>
      </c>
      <c r="R16" s="306">
        <f>IFERROR(P16*'Adjusted Schedule 1'!$E$104,0)</f>
        <v>112319.60186424881</v>
      </c>
      <c r="S16" s="68">
        <f t="shared" ref="S16:S72" si="4">SUM(N16,Q16)</f>
        <v>0</v>
      </c>
      <c r="T16" s="306">
        <f t="shared" ref="T16:T72" si="5">SUM(P16,R16)</f>
        <v>455415.60186424881</v>
      </c>
      <c r="V16" s="119">
        <f>'As-Filed Schedule 2C'!N16</f>
        <v>3.67</v>
      </c>
      <c r="W16" s="309">
        <f>SUMIFS(Adjustments!$G:$G,Adjustments!$H:$H,"2C",Adjustments!$I:$I,'Schedule 2C Adjustments'!$V$12,Adjustments!$J:$J,'Schedule 2C Adjustments'!$A16)</f>
        <v>0</v>
      </c>
      <c r="X16" s="305">
        <f t="shared" ref="X16:X72" si="6">SUM(V16:W16)</f>
        <v>3.67</v>
      </c>
      <c r="Y16" s="119">
        <f>'As-Filed Schedule 2C'!O16</f>
        <v>1204</v>
      </c>
      <c r="Z16" s="309">
        <f>SUMIFS(Adjustments!$G:$G,Adjustments!$H:$H,"2C",Adjustments!$I:$I,'Schedule 2C Adjustments'!$Y$12,Adjustments!$J:$J,'Schedule 2C Adjustments'!$A16)</f>
        <v>0</v>
      </c>
      <c r="AA16" s="305">
        <f t="shared" ref="AA16:AA72" si="7">SUM(Y16:Z16)</f>
        <v>1204</v>
      </c>
    </row>
    <row r="17" spans="1:27" x14ac:dyDescent="0.35">
      <c r="A17" s="24">
        <v>3</v>
      </c>
      <c r="B17" s="514" t="str">
        <f>IF('As-Filed Schedule 2C'!B17:D17=0,"",'As-Filed Schedule 2C'!B17:D17)</f>
        <v>Parker - Crown Point</v>
      </c>
      <c r="C17" s="514"/>
      <c r="D17" s="514"/>
      <c r="F17" s="117">
        <f>'As-Filed Schedule 2C'!F17</f>
        <v>58374</v>
      </c>
      <c r="G17" s="309">
        <f>SUMIFS(Adjustments!$G:$G,Adjustments!$H:$H,"2C",Adjustments!$I:$I,'Schedule 2C Adjustments'!$F$12,Adjustments!$J:$J,'Schedule 2C Adjustments'!$A17)</f>
        <v>-22044</v>
      </c>
      <c r="H17" s="305">
        <f t="shared" si="0"/>
        <v>36330</v>
      </c>
      <c r="I17" s="68">
        <f>IFERROR(F17*'As-Filed Schedule 1'!$E$103,0)</f>
        <v>19722.728708054659</v>
      </c>
      <c r="J17" s="306">
        <f>IFERROR(H17*'Adjusted Schedule 1'!$E$104,0)</f>
        <v>11893.380091077013</v>
      </c>
      <c r="K17" s="68">
        <f t="shared" si="1"/>
        <v>78096.728708054667</v>
      </c>
      <c r="L17" s="306">
        <f t="shared" si="2"/>
        <v>48223.380091077015</v>
      </c>
      <c r="N17" s="117" t="str">
        <f>'As-Filed Schedule 2C'!J17</f>
        <v xml:space="preserve"> $                                -  </v>
      </c>
      <c r="O17" s="309">
        <f>SUMIFS(Adjustments!$G:$G,Adjustments!$H:$H,"2C",Adjustments!$I:$I,'Schedule 2C Adjustments'!$N$12,Adjustments!$J:$J,'Schedule 2C Adjustments'!$A17)</f>
        <v>0</v>
      </c>
      <c r="P17" s="305">
        <f t="shared" si="3"/>
        <v>0</v>
      </c>
      <c r="Q17" s="68">
        <f>IFERROR(N17*'As-Filed Schedule 1'!$E$103,0)</f>
        <v>0</v>
      </c>
      <c r="R17" s="306">
        <f>IFERROR(P17*'Adjusted Schedule 1'!$E$104,0)</f>
        <v>0</v>
      </c>
      <c r="S17" s="68">
        <f t="shared" si="4"/>
        <v>0</v>
      </c>
      <c r="T17" s="306">
        <f t="shared" si="5"/>
        <v>0</v>
      </c>
      <c r="V17" s="119" t="str">
        <f>'As-Filed Schedule 2C'!N17</f>
        <v xml:space="preserve">                   -  </v>
      </c>
      <c r="W17" s="309">
        <f>SUMIFS(Adjustments!$G:$G,Adjustments!$H:$H,"2C",Adjustments!$I:$I,'Schedule 2C Adjustments'!$V$12,Adjustments!$J:$J,'Schedule 2C Adjustments'!$A17)</f>
        <v>0</v>
      </c>
      <c r="X17" s="305">
        <f t="shared" si="6"/>
        <v>0</v>
      </c>
      <c r="Y17" s="119" t="str">
        <f>'As-Filed Schedule 2C'!O17</f>
        <v xml:space="preserve">                     -  </v>
      </c>
      <c r="Z17" s="309">
        <f>SUMIFS(Adjustments!$G:$G,Adjustments!$H:$H,"2C",Adjustments!$I:$I,'Schedule 2C Adjustments'!$Y$12,Adjustments!$J:$J,'Schedule 2C Adjustments'!$A17)</f>
        <v>0</v>
      </c>
      <c r="AA17" s="305">
        <f t="shared" si="7"/>
        <v>0</v>
      </c>
    </row>
    <row r="18" spans="1:27" x14ac:dyDescent="0.35">
      <c r="A18" s="24">
        <v>4</v>
      </c>
      <c r="B18" s="514" t="str">
        <f>IF('As-Filed Schedule 2C'!B18:D18=0,"",'As-Filed Schedule 2C'!B18:D18)</f>
        <v>PSR</v>
      </c>
      <c r="C18" s="514"/>
      <c r="D18" s="514"/>
      <c r="F18" s="117">
        <f>'As-Filed Schedule 2C'!F18</f>
        <v>2164788</v>
      </c>
      <c r="G18" s="309">
        <f>SUMIFS(Adjustments!$G:$G,Adjustments!$H:$H,"2C",Adjustments!$I:$I,'Schedule 2C Adjustments'!$F$12,Adjustments!$J:$J,'Schedule 2C Adjustments'!$A18)</f>
        <v>-46</v>
      </c>
      <c r="H18" s="305">
        <f t="shared" si="0"/>
        <v>2164742</v>
      </c>
      <c r="I18" s="68">
        <f>IFERROR(F18*'As-Filed Schedule 1'!$E$103,0)</f>
        <v>731413.4106700283</v>
      </c>
      <c r="J18" s="306">
        <f>IFERROR(H18*'Adjusted Schedule 1'!$E$104,0)</f>
        <v>708673.25640292419</v>
      </c>
      <c r="K18" s="68">
        <f t="shared" si="1"/>
        <v>2896201.4106700281</v>
      </c>
      <c r="L18" s="306">
        <f>SUM(H18,J18)</f>
        <v>2873415.2564029242</v>
      </c>
      <c r="N18" s="117" t="str">
        <f>'As-Filed Schedule 2C'!J18</f>
        <v xml:space="preserve"> $                                -  </v>
      </c>
      <c r="O18" s="309">
        <f>SUMIFS(Adjustments!$G:$G,Adjustments!$H:$H,"2C",Adjustments!$I:$I,'Schedule 2C Adjustments'!$N$12,Adjustments!$J:$J,'Schedule 2C Adjustments'!$A18)</f>
        <v>46</v>
      </c>
      <c r="P18" s="305">
        <f t="shared" si="3"/>
        <v>46</v>
      </c>
      <c r="Q18" s="68">
        <f>IFERROR(N18*'As-Filed Schedule 1'!$E$103,0)</f>
        <v>0</v>
      </c>
      <c r="R18" s="306">
        <f>IFERROR(P18*'Adjusted Schedule 1'!$E$104,0)</f>
        <v>15.059055441495806</v>
      </c>
      <c r="S18" s="68">
        <f>SUM(N18,Q18)</f>
        <v>0</v>
      </c>
      <c r="T18" s="306">
        <f t="shared" si="5"/>
        <v>61.059055441495808</v>
      </c>
      <c r="V18" s="119">
        <f>'As-Filed Schedule 2C'!N18</f>
        <v>15.56</v>
      </c>
      <c r="W18" s="309">
        <f>SUMIFS(Adjustments!$G:$G,Adjustments!$H:$H,"2C",Adjustments!$I:$I,'Schedule 2C Adjustments'!$V$12,Adjustments!$J:$J,'Schedule 2C Adjustments'!$A18)</f>
        <v>0</v>
      </c>
      <c r="X18" s="305">
        <f t="shared" si="6"/>
        <v>15.56</v>
      </c>
      <c r="Y18" s="119">
        <f>'As-Filed Schedule 2C'!O18</f>
        <v>1034</v>
      </c>
      <c r="Z18" s="309">
        <f>SUMIFS(Adjustments!$G:$G,Adjustments!$H:$H,"2C",Adjustments!$I:$I,'Schedule 2C Adjustments'!$Y$12,Adjustments!$J:$J,'Schedule 2C Adjustments'!$A18)</f>
        <v>0</v>
      </c>
      <c r="AA18" s="305">
        <f t="shared" si="7"/>
        <v>1034</v>
      </c>
    </row>
    <row r="19" spans="1:27" x14ac:dyDescent="0.35">
      <c r="A19" s="24">
        <v>5</v>
      </c>
      <c r="B19" s="514" t="str">
        <f>IF('As-Filed Schedule 2C'!B19:D19=0,"",'As-Filed Schedule 2C'!B19:D19)</f>
        <v>Southwood</v>
      </c>
      <c r="C19" s="514"/>
      <c r="D19" s="514"/>
      <c r="F19" s="117">
        <f>'As-Filed Schedule 2C'!F19</f>
        <v>-6636</v>
      </c>
      <c r="G19" s="309">
        <f>SUMIFS(Adjustments!$G:$G,Adjustments!$H:$H,"2C",Adjustments!$I:$I,'Schedule 2C Adjustments'!$F$12,Adjustments!$J:$J,'Schedule 2C Adjustments'!$A19)</f>
        <v>-33300</v>
      </c>
      <c r="H19" s="305">
        <f t="shared" si="0"/>
        <v>-39936</v>
      </c>
      <c r="I19" s="68">
        <f>IFERROR(F19*'As-Filed Schedule 1'!$E$103,0)</f>
        <v>-2242.094557622413</v>
      </c>
      <c r="J19" s="306">
        <f>IFERROR(H19*'Adjusted Schedule 1'!$E$104,0)</f>
        <v>-13073.879089382097</v>
      </c>
      <c r="K19" s="68">
        <f t="shared" si="1"/>
        <v>-8878.094557622413</v>
      </c>
      <c r="L19" s="306">
        <f t="shared" si="2"/>
        <v>-53009.879089382099</v>
      </c>
      <c r="N19" s="117" t="str">
        <f>'As-Filed Schedule 2C'!J19</f>
        <v xml:space="preserve"> $                                -  </v>
      </c>
      <c r="O19" s="309">
        <f>SUMIFS(Adjustments!$G:$G,Adjustments!$H:$H,"2C",Adjustments!$I:$I,'Schedule 2C Adjustments'!$N$12,Adjustments!$J:$J,'Schedule 2C Adjustments'!$A19)</f>
        <v>0</v>
      </c>
      <c r="P19" s="305">
        <f t="shared" si="3"/>
        <v>0</v>
      </c>
      <c r="Q19" s="68">
        <f>IFERROR(N19*'As-Filed Schedule 1'!$E$103,0)</f>
        <v>0</v>
      </c>
      <c r="R19" s="306">
        <f>IFERROR(P19*'Adjusted Schedule 1'!$E$104,0)</f>
        <v>0</v>
      </c>
      <c r="S19" s="68">
        <f t="shared" si="4"/>
        <v>0</v>
      </c>
      <c r="T19" s="306">
        <f>SUM(P19,R19)</f>
        <v>0</v>
      </c>
      <c r="V19" s="119" t="str">
        <f>'As-Filed Schedule 2C'!N19</f>
        <v xml:space="preserve">                   -  </v>
      </c>
      <c r="W19" s="309">
        <f>SUMIFS(Adjustments!$G:$G,Adjustments!$H:$H,"2C",Adjustments!$I:$I,'Schedule 2C Adjustments'!$V$12,Adjustments!$J:$J,'Schedule 2C Adjustments'!$A19)</f>
        <v>0</v>
      </c>
      <c r="X19" s="305">
        <f t="shared" si="6"/>
        <v>0</v>
      </c>
      <c r="Y19" s="119" t="str">
        <f>'As-Filed Schedule 2C'!O19</f>
        <v xml:space="preserve">                     -  </v>
      </c>
      <c r="Z19" s="309">
        <f>SUMIFS(Adjustments!$G:$G,Adjustments!$H:$H,"2C",Adjustments!$I:$I,'Schedule 2C Adjustments'!$Y$12,Adjustments!$J:$J,'Schedule 2C Adjustments'!$A19)</f>
        <v>0</v>
      </c>
      <c r="AA19" s="305">
        <f t="shared" si="7"/>
        <v>0</v>
      </c>
    </row>
    <row r="20" spans="1:27" x14ac:dyDescent="0.35">
      <c r="A20" s="24">
        <v>6</v>
      </c>
      <c r="B20" s="514" t="str">
        <f>IF('As-Filed Schedule 2C'!B20:D20=0,"",'As-Filed Schedule 2C'!B20:D20)</f>
        <v>FACT</v>
      </c>
      <c r="C20" s="514"/>
      <c r="D20" s="514"/>
      <c r="F20" s="117">
        <f>'As-Filed Schedule 2C'!F20</f>
        <v>577958</v>
      </c>
      <c r="G20" s="309">
        <f>SUMIFS(Adjustments!$G:$G,Adjustments!$H:$H,"2C",Adjustments!$I:$I,'Schedule 2C Adjustments'!$F$12,Adjustments!$J:$J,'Schedule 2C Adjustments'!$A20)</f>
        <v>0</v>
      </c>
      <c r="H20" s="305">
        <f t="shared" si="0"/>
        <v>577958</v>
      </c>
      <c r="I20" s="68">
        <f>IFERROR(F20*'As-Filed Schedule 1'!$E$103,0)</f>
        <v>195273.73211789248</v>
      </c>
      <c r="J20" s="306">
        <f>IFERROR(H20*'Adjusted Schedule 1'!$E$104,0)</f>
        <v>189206.55575773984</v>
      </c>
      <c r="K20" s="68">
        <f>SUM(F20,I20)</f>
        <v>773231.73211789248</v>
      </c>
      <c r="L20" s="306">
        <f t="shared" si="2"/>
        <v>767164.55575773981</v>
      </c>
      <c r="N20" s="117" t="str">
        <f>'As-Filed Schedule 2C'!J20</f>
        <v xml:space="preserve"> $                                -  </v>
      </c>
      <c r="O20" s="309">
        <f>SUMIFS(Adjustments!$G:$G,Adjustments!$H:$H,"2C",Adjustments!$I:$I,'Schedule 2C Adjustments'!$N$12,Adjustments!$J:$J,'Schedule 2C Adjustments'!$A20)</f>
        <v>0</v>
      </c>
      <c r="P20" s="305">
        <f t="shared" si="3"/>
        <v>0</v>
      </c>
      <c r="Q20" s="68">
        <f>IFERROR(N20*'As-Filed Schedule 1'!$E$103,0)</f>
        <v>0</v>
      </c>
      <c r="R20" s="306">
        <f>IFERROR(P20*'Adjusted Schedule 1'!$E$104,0)</f>
        <v>0</v>
      </c>
      <c r="S20" s="68">
        <f t="shared" si="4"/>
        <v>0</v>
      </c>
      <c r="T20" s="306">
        <f t="shared" si="5"/>
        <v>0</v>
      </c>
      <c r="V20" s="119">
        <f>'As-Filed Schedule 2C'!N20</f>
        <v>6.8</v>
      </c>
      <c r="W20" s="309">
        <f>SUMIFS(Adjustments!$G:$G,Adjustments!$H:$H,"2C",Adjustments!$I:$I,'Schedule 2C Adjustments'!$V$12,Adjustments!$J:$J,'Schedule 2C Adjustments'!$A20)</f>
        <v>0</v>
      </c>
      <c r="X20" s="305">
        <f t="shared" si="6"/>
        <v>6.8</v>
      </c>
      <c r="Y20" s="119">
        <f>'As-Filed Schedule 2C'!O20</f>
        <v>45</v>
      </c>
      <c r="Z20" s="309">
        <f>SUMIFS(Adjustments!$G:$G,Adjustments!$H:$H,"2C",Adjustments!$I:$I,'Schedule 2C Adjustments'!$Y$12,Adjustments!$J:$J,'Schedule 2C Adjustments'!$A20)</f>
        <v>0</v>
      </c>
      <c r="AA20" s="305">
        <f t="shared" si="7"/>
        <v>45</v>
      </c>
    </row>
    <row r="21" spans="1:27" x14ac:dyDescent="0.35">
      <c r="A21" s="24">
        <v>7</v>
      </c>
      <c r="B21" s="514" t="str">
        <f>IF('As-Filed Schedule 2C'!B21:D21=0,"",'As-Filed Schedule 2C'!B21:D21)</f>
        <v>Ascent Step Down/FEP</v>
      </c>
      <c r="C21" s="514"/>
      <c r="D21" s="514"/>
      <c r="F21" s="117">
        <f>'As-Filed Schedule 2C'!F21</f>
        <v>825222</v>
      </c>
      <c r="G21" s="309">
        <f>SUMIFS(Adjustments!$G:$G,Adjustments!$H:$H,"2C",Adjustments!$I:$I,'Schedule 2C Adjustments'!$F$12,Adjustments!$J:$J,'Schedule 2C Adjustments'!$A21)</f>
        <v>-61</v>
      </c>
      <c r="H21" s="305">
        <f t="shared" si="0"/>
        <v>825161</v>
      </c>
      <c r="I21" s="68">
        <f>IFERROR(F21*'As-Filed Schedule 1'!$E$103,0)</f>
        <v>278816.41878093471</v>
      </c>
      <c r="J21" s="306">
        <f>IFERROR(H21*'Adjusted Schedule 1'!$E$104,0)</f>
        <v>270133.59232956782</v>
      </c>
      <c r="K21" s="68">
        <f t="shared" si="1"/>
        <v>1104038.4187809348</v>
      </c>
      <c r="L21" s="306">
        <f t="shared" si="2"/>
        <v>1095294.5923295678</v>
      </c>
      <c r="N21" s="117" t="str">
        <f>'As-Filed Schedule 2C'!J21</f>
        <v xml:space="preserve"> $                                -  </v>
      </c>
      <c r="O21" s="309">
        <f>SUMIFS(Adjustments!$G:$G,Adjustments!$H:$H,"2C",Adjustments!$I:$I,'Schedule 2C Adjustments'!$N$12,Adjustments!$J:$J,'Schedule 2C Adjustments'!$A21)</f>
        <v>61</v>
      </c>
      <c r="P21" s="305">
        <f t="shared" si="3"/>
        <v>61</v>
      </c>
      <c r="Q21" s="68">
        <f>IFERROR(N21*'As-Filed Schedule 1'!$E$103,0)</f>
        <v>0</v>
      </c>
      <c r="R21" s="306">
        <f>IFERROR(P21*'Adjusted Schedule 1'!$E$104,0)</f>
        <v>19.969616998505309</v>
      </c>
      <c r="S21" s="68">
        <f t="shared" si="4"/>
        <v>0</v>
      </c>
      <c r="T21" s="306">
        <f t="shared" si="5"/>
        <v>80.969616998505302</v>
      </c>
      <c r="V21" s="119">
        <f>'As-Filed Schedule 2C'!N21</f>
        <v>6.94</v>
      </c>
      <c r="W21" s="309">
        <f>SUMIFS(Adjustments!$G:$G,Adjustments!$H:$H,"2C",Adjustments!$I:$I,'Schedule 2C Adjustments'!$V$12,Adjustments!$J:$J,'Schedule 2C Adjustments'!$A21)</f>
        <v>0</v>
      </c>
      <c r="X21" s="305">
        <f t="shared" si="6"/>
        <v>6.94</v>
      </c>
      <c r="Y21" s="119">
        <f>'As-Filed Schedule 2C'!O21</f>
        <v>47</v>
      </c>
      <c r="Z21" s="309">
        <f>SUMIFS(Adjustments!$G:$G,Adjustments!$H:$H,"2C",Adjustments!$I:$I,'Schedule 2C Adjustments'!$Y$12,Adjustments!$J:$J,'Schedule 2C Adjustments'!$A21)</f>
        <v>0</v>
      </c>
      <c r="AA21" s="305">
        <f t="shared" si="7"/>
        <v>47</v>
      </c>
    </row>
    <row r="22" spans="1:27" x14ac:dyDescent="0.35">
      <c r="A22" s="24">
        <v>8</v>
      </c>
      <c r="B22" s="514" t="str">
        <f>IF('As-Filed Schedule 2C'!B22:D22=0,"",'As-Filed Schedule 2C'!B22:D22)</f>
        <v>Ascent (FEP)</v>
      </c>
      <c r="C22" s="514"/>
      <c r="D22" s="514"/>
      <c r="F22" s="117">
        <f>'As-Filed Schedule 2C'!F22</f>
        <v>-8805</v>
      </c>
      <c r="G22" s="309">
        <f>SUMIFS(Adjustments!$G:$G,Adjustments!$H:$H,"2C",Adjustments!$I:$I,'Schedule 2C Adjustments'!$F$12,Adjustments!$J:$J,'Schedule 2C Adjustments'!$A22)</f>
        <v>0</v>
      </c>
      <c r="H22" s="305">
        <f t="shared" si="0"/>
        <v>-8805</v>
      </c>
      <c r="I22" s="68">
        <f>IFERROR(F22*'As-Filed Schedule 1'!$E$103,0)</f>
        <v>-2974.9310699013481</v>
      </c>
      <c r="J22" s="306">
        <f>IFERROR(H22*'Adjusted Schedule 1'!$E$104,0)</f>
        <v>-2882.4996339645777</v>
      </c>
      <c r="K22" s="68">
        <f t="shared" si="1"/>
        <v>-11779.931069901348</v>
      </c>
      <c r="L22" s="306">
        <f t="shared" si="2"/>
        <v>-11687.499633964577</v>
      </c>
      <c r="N22" s="117" t="str">
        <f>'As-Filed Schedule 2C'!J22</f>
        <v xml:space="preserve"> $                                -  </v>
      </c>
      <c r="O22" s="309">
        <f>SUMIFS(Adjustments!$G:$G,Adjustments!$H:$H,"2C",Adjustments!$I:$I,'Schedule 2C Adjustments'!$N$12,Adjustments!$J:$J,'Schedule 2C Adjustments'!$A22)</f>
        <v>0</v>
      </c>
      <c r="P22" s="305">
        <f t="shared" si="3"/>
        <v>0</v>
      </c>
      <c r="Q22" s="68">
        <f>IFERROR(N22*'As-Filed Schedule 1'!$E$103,0)</f>
        <v>0</v>
      </c>
      <c r="R22" s="306">
        <f>IFERROR(P22*'Adjusted Schedule 1'!$E$104,0)</f>
        <v>0</v>
      </c>
      <c r="S22" s="68">
        <f t="shared" si="4"/>
        <v>0</v>
      </c>
      <c r="T22" s="306">
        <f t="shared" si="5"/>
        <v>0</v>
      </c>
      <c r="V22" s="119" t="str">
        <f>'As-Filed Schedule 2C'!N22</f>
        <v xml:space="preserve">                   -  </v>
      </c>
      <c r="W22" s="309">
        <f>SUMIFS(Adjustments!$G:$G,Adjustments!$H:$H,"2C",Adjustments!$I:$I,'Schedule 2C Adjustments'!$V$12,Adjustments!$J:$J,'Schedule 2C Adjustments'!$A22)</f>
        <v>0</v>
      </c>
      <c r="X22" s="305">
        <f t="shared" si="6"/>
        <v>0</v>
      </c>
      <c r="Y22" s="119" t="str">
        <f>'As-Filed Schedule 2C'!O22</f>
        <v xml:space="preserve">                     -  </v>
      </c>
      <c r="Z22" s="309">
        <f>SUMIFS(Adjustments!$G:$G,Adjustments!$H:$H,"2C",Adjustments!$I:$I,'Schedule 2C Adjustments'!$Y$12,Adjustments!$J:$J,'Schedule 2C Adjustments'!$A22)</f>
        <v>0</v>
      </c>
      <c r="AA22" s="305">
        <f t="shared" si="7"/>
        <v>0</v>
      </c>
    </row>
    <row r="23" spans="1:27" x14ac:dyDescent="0.35">
      <c r="A23" s="24">
        <v>9</v>
      </c>
      <c r="B23" s="514" t="str">
        <f>IF('As-Filed Schedule 2C'!B23:D23=0,"",'As-Filed Schedule 2C'!B23:D23)</f>
        <v>Assertive Community Trtmt</v>
      </c>
      <c r="C23" s="514"/>
      <c r="D23" s="514"/>
      <c r="F23" s="117">
        <f>'As-Filed Schedule 2C'!F23</f>
        <v>765551</v>
      </c>
      <c r="G23" s="309">
        <f>SUMIFS(Adjustments!$G:$G,Adjustments!$H:$H,"2C",Adjustments!$I:$I,'Schedule 2C Adjustments'!$F$12,Adjustments!$J:$J,'Schedule 2C Adjustments'!$A23)</f>
        <v>-218</v>
      </c>
      <c r="H23" s="305">
        <f t="shared" si="0"/>
        <v>765333</v>
      </c>
      <c r="I23" s="68">
        <f>IFERROR(F23*'As-Filed Schedule 1'!$E$103,0)</f>
        <v>258655.4747863767</v>
      </c>
      <c r="J23" s="306">
        <f>IFERROR(H23*'Adjusted Schedule 1'!$E$104,0)</f>
        <v>250547.65387405021</v>
      </c>
      <c r="K23" s="68">
        <f t="shared" si="1"/>
        <v>1024206.4747863767</v>
      </c>
      <c r="L23" s="306">
        <f t="shared" si="2"/>
        <v>1015880.6538740502</v>
      </c>
      <c r="N23" s="117" t="str">
        <f>'As-Filed Schedule 2C'!J23</f>
        <v xml:space="preserve"> $                                -  </v>
      </c>
      <c r="O23" s="309">
        <f>SUMIFS(Adjustments!$G:$G,Adjustments!$H:$H,"2C",Adjustments!$I:$I,'Schedule 2C Adjustments'!$N$12,Adjustments!$J:$J,'Schedule 2C Adjustments'!$A23)</f>
        <v>218</v>
      </c>
      <c r="P23" s="305">
        <f t="shared" si="3"/>
        <v>218</v>
      </c>
      <c r="Q23" s="68">
        <f>IFERROR(N23*'As-Filed Schedule 1'!$E$103,0)</f>
        <v>0</v>
      </c>
      <c r="R23" s="306">
        <f>IFERROR(P23*'Adjusted Schedule 1'!$E$104,0)</f>
        <v>71.366827961871422</v>
      </c>
      <c r="S23" s="68">
        <f t="shared" si="4"/>
        <v>0</v>
      </c>
      <c r="T23" s="306">
        <f t="shared" si="5"/>
        <v>289.36682796187142</v>
      </c>
      <c r="V23" s="119">
        <f>'As-Filed Schedule 2C'!N23</f>
        <v>6.05</v>
      </c>
      <c r="W23" s="309">
        <f>SUMIFS(Adjustments!$G:$G,Adjustments!$H:$H,"2C",Adjustments!$I:$I,'Schedule 2C Adjustments'!$V$12,Adjustments!$J:$J,'Schedule 2C Adjustments'!$A23)</f>
        <v>0</v>
      </c>
      <c r="X23" s="305">
        <f t="shared" si="6"/>
        <v>6.05</v>
      </c>
      <c r="Y23" s="119">
        <f>'As-Filed Schedule 2C'!O23</f>
        <v>70</v>
      </c>
      <c r="Z23" s="309">
        <f>SUMIFS(Adjustments!$G:$G,Adjustments!$H:$H,"2C",Adjustments!$I:$I,'Schedule 2C Adjustments'!$Y$12,Adjustments!$J:$J,'Schedule 2C Adjustments'!$A23)</f>
        <v>0</v>
      </c>
      <c r="AA23" s="305">
        <f t="shared" si="7"/>
        <v>70</v>
      </c>
    </row>
    <row r="24" spans="1:27" x14ac:dyDescent="0.35">
      <c r="A24" s="24">
        <v>10</v>
      </c>
      <c r="B24" s="514" t="str">
        <f>IF('As-Filed Schedule 2C'!B24:D24=0,"",'As-Filed Schedule 2C'!B24:D24)</f>
        <v>Berry</v>
      </c>
      <c r="C24" s="514"/>
      <c r="D24" s="514"/>
      <c r="F24" s="117">
        <f>'As-Filed Schedule 2C'!F24</f>
        <v>72868</v>
      </c>
      <c r="G24" s="309">
        <f>SUMIFS(Adjustments!$G:$G,Adjustments!$H:$H,"2C",Adjustments!$I:$I,'Schedule 2C Adjustments'!$F$12,Adjustments!$J:$J,'Schedule 2C Adjustments'!$A24)</f>
        <v>-13965</v>
      </c>
      <c r="H24" s="305">
        <f t="shared" si="0"/>
        <v>58903</v>
      </c>
      <c r="I24" s="68">
        <f>IFERROR(F24*'As-Filed Schedule 1'!$E$103,0)</f>
        <v>24619.792981439117</v>
      </c>
      <c r="J24" s="306">
        <f>IFERROR(H24*'Adjusted Schedule 1'!$E$104,0)</f>
        <v>19283.12049283538</v>
      </c>
      <c r="K24" s="68">
        <f t="shared" si="1"/>
        <v>97487.792981439125</v>
      </c>
      <c r="L24" s="306">
        <f t="shared" si="2"/>
        <v>78186.120492835384</v>
      </c>
      <c r="N24" s="117" t="str">
        <f>'As-Filed Schedule 2C'!J24</f>
        <v xml:space="preserve"> $                                -  </v>
      </c>
      <c r="O24" s="309">
        <f>SUMIFS(Adjustments!$G:$G,Adjustments!$H:$H,"2C",Adjustments!$I:$I,'Schedule 2C Adjustments'!$N$12,Adjustments!$J:$J,'Schedule 2C Adjustments'!$A24)</f>
        <v>0</v>
      </c>
      <c r="P24" s="305">
        <f t="shared" si="3"/>
        <v>0</v>
      </c>
      <c r="Q24" s="68">
        <f>IFERROR(N24*'As-Filed Schedule 1'!$E$103,0)</f>
        <v>0</v>
      </c>
      <c r="R24" s="306">
        <f>IFERROR(P24*'Adjusted Schedule 1'!$E$104,0)</f>
        <v>0</v>
      </c>
      <c r="S24" s="68">
        <f t="shared" si="4"/>
        <v>0</v>
      </c>
      <c r="T24" s="306">
        <f t="shared" si="5"/>
        <v>0</v>
      </c>
      <c r="V24" s="119" t="str">
        <f>'As-Filed Schedule 2C'!N24</f>
        <v xml:space="preserve">                   -  </v>
      </c>
      <c r="W24" s="309">
        <f>SUMIFS(Adjustments!$G:$G,Adjustments!$H:$H,"2C",Adjustments!$I:$I,'Schedule 2C Adjustments'!$V$12,Adjustments!$J:$J,'Schedule 2C Adjustments'!$A24)</f>
        <v>0</v>
      </c>
      <c r="X24" s="305">
        <f t="shared" si="6"/>
        <v>0</v>
      </c>
      <c r="Y24" s="119" t="str">
        <f>'As-Filed Schedule 2C'!O24</f>
        <v xml:space="preserve">                     -  </v>
      </c>
      <c r="Z24" s="309">
        <f>SUMIFS(Adjustments!$G:$G,Adjustments!$H:$H,"2C",Adjustments!$I:$I,'Schedule 2C Adjustments'!$Y$12,Adjustments!$J:$J,'Schedule 2C Adjustments'!$A24)</f>
        <v>0</v>
      </c>
      <c r="AA24" s="305">
        <f t="shared" si="7"/>
        <v>0</v>
      </c>
    </row>
    <row r="25" spans="1:27" x14ac:dyDescent="0.35">
      <c r="A25" s="24">
        <v>11</v>
      </c>
      <c r="B25" s="514" t="str">
        <f>IF('As-Filed Schedule 2C'!B25:D25=0,"",'As-Filed Schedule 2C'!B25:D25)</f>
        <v>Briarwood</v>
      </c>
      <c r="C25" s="514"/>
      <c r="D25" s="514"/>
      <c r="F25" s="117">
        <f>'As-Filed Schedule 2C'!F25</f>
        <v>48842</v>
      </c>
      <c r="G25" s="309">
        <f>SUMIFS(Adjustments!$G:$G,Adjustments!$H:$H,"2C",Adjustments!$I:$I,'Schedule 2C Adjustments'!$F$12,Adjustments!$J:$J,'Schedule 2C Adjustments'!$A25)</f>
        <v>-9936</v>
      </c>
      <c r="H25" s="305">
        <f t="shared" si="0"/>
        <v>38906</v>
      </c>
      <c r="I25" s="68">
        <f>IFERROR(F25*'As-Filed Schedule 1'!$E$103,0)</f>
        <v>16502.167327214269</v>
      </c>
      <c r="J25" s="306">
        <f>IFERROR(H25*'Adjusted Schedule 1'!$E$104,0)</f>
        <v>12736.687195800778</v>
      </c>
      <c r="K25" s="68">
        <f t="shared" si="1"/>
        <v>65344.167327214265</v>
      </c>
      <c r="L25" s="306">
        <f t="shared" si="2"/>
        <v>51642.687195800776</v>
      </c>
      <c r="N25" s="117" t="str">
        <f>'As-Filed Schedule 2C'!J25</f>
        <v xml:space="preserve"> $                                -  </v>
      </c>
      <c r="O25" s="309">
        <f>SUMIFS(Adjustments!$G:$G,Adjustments!$H:$H,"2C",Adjustments!$I:$I,'Schedule 2C Adjustments'!$N$12,Adjustments!$J:$J,'Schedule 2C Adjustments'!$A25)</f>
        <v>0</v>
      </c>
      <c r="P25" s="305">
        <f t="shared" si="3"/>
        <v>0</v>
      </c>
      <c r="Q25" s="68">
        <f>IFERROR(N25*'As-Filed Schedule 1'!$E$103,0)</f>
        <v>0</v>
      </c>
      <c r="R25" s="306">
        <f>IFERROR(P25*'Adjusted Schedule 1'!$E$104,0)</f>
        <v>0</v>
      </c>
      <c r="S25" s="68">
        <f t="shared" si="4"/>
        <v>0</v>
      </c>
      <c r="T25" s="306">
        <f t="shared" si="5"/>
        <v>0</v>
      </c>
      <c r="V25" s="119" t="str">
        <f>'As-Filed Schedule 2C'!N25</f>
        <v xml:space="preserve">                   -  </v>
      </c>
      <c r="W25" s="309">
        <f>SUMIFS(Adjustments!$G:$G,Adjustments!$H:$H,"2C",Adjustments!$I:$I,'Schedule 2C Adjustments'!$V$12,Adjustments!$J:$J,'Schedule 2C Adjustments'!$A25)</f>
        <v>0</v>
      </c>
      <c r="X25" s="305">
        <f t="shared" si="6"/>
        <v>0</v>
      </c>
      <c r="Y25" s="119" t="str">
        <f>'As-Filed Schedule 2C'!O25</f>
        <v xml:space="preserve">                     -  </v>
      </c>
      <c r="Z25" s="309">
        <f>SUMIFS(Adjustments!$G:$G,Adjustments!$H:$H,"2C",Adjustments!$I:$I,'Schedule 2C Adjustments'!$Y$12,Adjustments!$J:$J,'Schedule 2C Adjustments'!$A25)</f>
        <v>0</v>
      </c>
      <c r="AA25" s="305">
        <f t="shared" si="7"/>
        <v>0</v>
      </c>
    </row>
    <row r="26" spans="1:27" x14ac:dyDescent="0.35">
      <c r="A26" s="24">
        <v>12</v>
      </c>
      <c r="B26" s="514" t="str">
        <f>IF('As-Filed Schedule 2C'!B26:D26=0,"",'As-Filed Schedule 2C'!B26:D26)</f>
        <v>Case Management</v>
      </c>
      <c r="C26" s="514"/>
      <c r="D26" s="514"/>
      <c r="F26" s="117">
        <f>'As-Filed Schedule 2C'!F26</f>
        <v>606069</v>
      </c>
      <c r="G26" s="309">
        <f>SUMIFS(Adjustments!$G:$G,Adjustments!$H:$H,"2C",Adjustments!$I:$I,'Schedule 2C Adjustments'!$F$12,Adjustments!$J:$J,'Schedule 2C Adjustments'!$A26)</f>
        <v>231</v>
      </c>
      <c r="H26" s="305">
        <f t="shared" si="0"/>
        <v>606300</v>
      </c>
      <c r="I26" s="68">
        <f>IFERROR(F26*'As-Filed Schedule 1'!$E$103,0)</f>
        <v>204771.55009699491</v>
      </c>
      <c r="J26" s="306">
        <f>IFERROR(H26*'Adjusted Schedule 1'!$E$104,0)</f>
        <v>198484.89813432406</v>
      </c>
      <c r="K26" s="68">
        <f t="shared" si="1"/>
        <v>810840.55009699496</v>
      </c>
      <c r="L26" s="306">
        <f t="shared" si="2"/>
        <v>804784.898134324</v>
      </c>
      <c r="N26" s="117" t="str">
        <f>'As-Filed Schedule 2C'!J26</f>
        <v xml:space="preserve"> $                                -  </v>
      </c>
      <c r="O26" s="309">
        <f>SUMIFS(Adjustments!$G:$G,Adjustments!$H:$H,"2C",Adjustments!$I:$I,'Schedule 2C Adjustments'!$N$12,Adjustments!$J:$J,'Schedule 2C Adjustments'!$A26)</f>
        <v>-231</v>
      </c>
      <c r="P26" s="305">
        <f t="shared" si="3"/>
        <v>-231</v>
      </c>
      <c r="Q26" s="68">
        <f>IFERROR(N26*'As-Filed Schedule 1'!$E$103,0)</f>
        <v>0</v>
      </c>
      <c r="R26" s="306">
        <f>IFERROR(P26*'Adjusted Schedule 1'!$E$104,0)</f>
        <v>-75.622647977946329</v>
      </c>
      <c r="S26" s="68">
        <f t="shared" si="4"/>
        <v>0</v>
      </c>
      <c r="T26" s="306">
        <f t="shared" si="5"/>
        <v>-306.62264797794631</v>
      </c>
      <c r="V26" s="119">
        <f>'As-Filed Schedule 2C'!N26</f>
        <v>6.2</v>
      </c>
      <c r="W26" s="309">
        <f>SUMIFS(Adjustments!$G:$G,Adjustments!$H:$H,"2C",Adjustments!$I:$I,'Schedule 2C Adjustments'!$V$12,Adjustments!$J:$J,'Schedule 2C Adjustments'!$A26)</f>
        <v>0</v>
      </c>
      <c r="X26" s="305">
        <f t="shared" si="6"/>
        <v>6.2</v>
      </c>
      <c r="Y26" s="119">
        <f>'As-Filed Schedule 2C'!O26</f>
        <v>763</v>
      </c>
      <c r="Z26" s="309">
        <f>SUMIFS(Adjustments!$G:$G,Adjustments!$H:$H,"2C",Adjustments!$I:$I,'Schedule 2C Adjustments'!$Y$12,Adjustments!$J:$J,'Schedule 2C Adjustments'!$A26)</f>
        <v>0</v>
      </c>
      <c r="AA26" s="305">
        <f t="shared" si="7"/>
        <v>763</v>
      </c>
    </row>
    <row r="27" spans="1:27" x14ac:dyDescent="0.35">
      <c r="A27" s="24">
        <v>13</v>
      </c>
      <c r="B27" s="514" t="str">
        <f>IF('As-Filed Schedule 2C'!B27:D27=0,"",'As-Filed Schedule 2C'!B27:D27)</f>
        <v>Castle Rock - Briscoe</v>
      </c>
      <c r="C27" s="514"/>
      <c r="D27" s="514"/>
      <c r="F27" s="117">
        <f>'As-Filed Schedule 2C'!F27</f>
        <v>116668</v>
      </c>
      <c r="G27" s="309">
        <f>SUMIFS(Adjustments!$G:$G,Adjustments!$H:$H,"2C",Adjustments!$I:$I,'Schedule 2C Adjustments'!$F$12,Adjustments!$J:$J,'Schedule 2C Adjustments'!$A27)</f>
        <v>-99240</v>
      </c>
      <c r="H27" s="305">
        <f t="shared" si="0"/>
        <v>17428</v>
      </c>
      <c r="I27" s="68">
        <f>IFERROR(F27*'As-Filed Schedule 1'!$E$103,0)</f>
        <v>39418.427945854681</v>
      </c>
      <c r="J27" s="306">
        <f>IFERROR(H27*'Adjusted Schedule 1'!$E$104,0)</f>
        <v>5705.4177877041066</v>
      </c>
      <c r="K27" s="68">
        <f t="shared" si="1"/>
        <v>156086.42794585467</v>
      </c>
      <c r="L27" s="306">
        <f t="shared" si="2"/>
        <v>23133.417787704107</v>
      </c>
      <c r="N27" s="117" t="str">
        <f>'As-Filed Schedule 2C'!J27</f>
        <v xml:space="preserve"> $                                -  </v>
      </c>
      <c r="O27" s="309">
        <f>SUMIFS(Adjustments!$G:$G,Adjustments!$H:$H,"2C",Adjustments!$I:$I,'Schedule 2C Adjustments'!$N$12,Adjustments!$J:$J,'Schedule 2C Adjustments'!$A27)</f>
        <v>0</v>
      </c>
      <c r="P27" s="305">
        <f t="shared" si="3"/>
        <v>0</v>
      </c>
      <c r="Q27" s="68">
        <f>IFERROR(N27*'As-Filed Schedule 1'!$E$103,0)</f>
        <v>0</v>
      </c>
      <c r="R27" s="306">
        <f>IFERROR(P27*'Adjusted Schedule 1'!$E$104,0)</f>
        <v>0</v>
      </c>
      <c r="S27" s="68">
        <f t="shared" si="4"/>
        <v>0</v>
      </c>
      <c r="T27" s="306">
        <f t="shared" si="5"/>
        <v>0</v>
      </c>
      <c r="V27" s="119" t="str">
        <f>'As-Filed Schedule 2C'!N27</f>
        <v xml:space="preserve">                   -  </v>
      </c>
      <c r="W27" s="309">
        <f>SUMIFS(Adjustments!$G:$G,Adjustments!$H:$H,"2C",Adjustments!$I:$I,'Schedule 2C Adjustments'!$V$12,Adjustments!$J:$J,'Schedule 2C Adjustments'!$A27)</f>
        <v>0</v>
      </c>
      <c r="X27" s="305">
        <f t="shared" si="6"/>
        <v>0</v>
      </c>
      <c r="Y27" s="119" t="str">
        <f>'As-Filed Schedule 2C'!O27</f>
        <v xml:space="preserve">                     -  </v>
      </c>
      <c r="Z27" s="309">
        <f>SUMIFS(Adjustments!$G:$G,Adjustments!$H:$H,"2C",Adjustments!$I:$I,'Schedule 2C Adjustments'!$Y$12,Adjustments!$J:$J,'Schedule 2C Adjustments'!$A27)</f>
        <v>0</v>
      </c>
      <c r="AA27" s="305">
        <f t="shared" si="7"/>
        <v>0</v>
      </c>
    </row>
    <row r="28" spans="1:27" x14ac:dyDescent="0.35">
      <c r="A28" s="24">
        <v>14</v>
      </c>
      <c r="B28" s="514" t="str">
        <f>IF('As-Filed Schedule 2C'!B28:D28=0,"",'As-Filed Schedule 2C'!B28:D28)</f>
        <v>Castle Rock - Perry</v>
      </c>
      <c r="C28" s="514"/>
      <c r="D28" s="514"/>
      <c r="F28" s="117">
        <f>'As-Filed Schedule 2C'!F28</f>
        <v>3694</v>
      </c>
      <c r="G28" s="309">
        <f>SUMIFS(Adjustments!$G:$G,Adjustments!$H:$H,"2C",Adjustments!$I:$I,'Schedule 2C Adjustments'!$F$12,Adjustments!$J:$J,'Schedule 2C Adjustments'!$A28)</f>
        <v>0</v>
      </c>
      <c r="H28" s="305">
        <f t="shared" si="0"/>
        <v>3694</v>
      </c>
      <c r="I28" s="68">
        <f>IFERROR(F28*'As-Filed Schedule 1'!$E$103,0)</f>
        <v>1248.0857890080158</v>
      </c>
      <c r="J28" s="306">
        <f>IFERROR(H28*'Adjusted Schedule 1'!$E$104,0)</f>
        <v>1209.3076261062067</v>
      </c>
      <c r="K28" s="68">
        <f t="shared" si="1"/>
        <v>4942.085789008016</v>
      </c>
      <c r="L28" s="306">
        <f t="shared" si="2"/>
        <v>4903.307626106207</v>
      </c>
      <c r="N28" s="117" t="str">
        <f>'As-Filed Schedule 2C'!J28</f>
        <v xml:space="preserve"> $                                -  </v>
      </c>
      <c r="O28" s="309">
        <f>SUMIFS(Adjustments!$G:$G,Adjustments!$H:$H,"2C",Adjustments!$I:$I,'Schedule 2C Adjustments'!$N$12,Adjustments!$J:$J,'Schedule 2C Adjustments'!$A28)</f>
        <v>0</v>
      </c>
      <c r="P28" s="305">
        <f t="shared" si="3"/>
        <v>0</v>
      </c>
      <c r="Q28" s="68">
        <f>IFERROR(N28*'As-Filed Schedule 1'!$E$103,0)</f>
        <v>0</v>
      </c>
      <c r="R28" s="306">
        <f>IFERROR(P28*'Adjusted Schedule 1'!$E$104,0)</f>
        <v>0</v>
      </c>
      <c r="S28" s="68">
        <f t="shared" si="4"/>
        <v>0</v>
      </c>
      <c r="T28" s="306">
        <f t="shared" si="5"/>
        <v>0</v>
      </c>
      <c r="V28" s="119" t="str">
        <f>'As-Filed Schedule 2C'!N28</f>
        <v xml:space="preserve">                   -  </v>
      </c>
      <c r="W28" s="309">
        <f>SUMIFS(Adjustments!$G:$G,Adjustments!$H:$H,"2C",Adjustments!$I:$I,'Schedule 2C Adjustments'!$V$12,Adjustments!$J:$J,'Schedule 2C Adjustments'!$A28)</f>
        <v>0</v>
      </c>
      <c r="X28" s="305">
        <f t="shared" si="6"/>
        <v>0</v>
      </c>
      <c r="Y28" s="119" t="str">
        <f>'As-Filed Schedule 2C'!O28</f>
        <v xml:space="preserve">                     -  </v>
      </c>
      <c r="Z28" s="309">
        <f>SUMIFS(Adjustments!$G:$G,Adjustments!$H:$H,"2C",Adjustments!$I:$I,'Schedule 2C Adjustments'!$Y$12,Adjustments!$J:$J,'Schedule 2C Adjustments'!$A28)</f>
        <v>0</v>
      </c>
      <c r="AA28" s="305">
        <f t="shared" si="7"/>
        <v>0</v>
      </c>
    </row>
    <row r="29" spans="1:27" x14ac:dyDescent="0.35">
      <c r="A29" s="24">
        <v>15</v>
      </c>
      <c r="B29" s="514" t="str">
        <f>IF('As-Filed Schedule 2C'!B29:D29=0,"",'As-Filed Schedule 2C'!B29:D29)</f>
        <v>Castle Rock Counseling</v>
      </c>
      <c r="C29" s="514"/>
      <c r="D29" s="514"/>
      <c r="F29" s="117">
        <f>'As-Filed Schedule 2C'!F29</f>
        <v>1105199</v>
      </c>
      <c r="G29" s="309">
        <f>SUMIFS(Adjustments!$G:$G,Adjustments!$H:$H,"2C",Adjustments!$I:$I,'Schedule 2C Adjustments'!$F$12,Adjustments!$J:$J,'Schedule 2C Adjustments'!$A29)</f>
        <v>0</v>
      </c>
      <c r="H29" s="305">
        <f t="shared" si="0"/>
        <v>1105199</v>
      </c>
      <c r="I29" s="68">
        <f>IFERROR(F29*'As-Filed Schedule 1'!$E$103,0)</f>
        <v>373411.79369947757</v>
      </c>
      <c r="J29" s="306">
        <f>IFERROR(H29*'Adjusted Schedule 1'!$E$104,0)</f>
        <v>361809.84814968961</v>
      </c>
      <c r="K29" s="68">
        <f t="shared" si="1"/>
        <v>1478610.7936994776</v>
      </c>
      <c r="L29" s="306">
        <f t="shared" si="2"/>
        <v>1467008.8481496896</v>
      </c>
      <c r="N29" s="117" t="str">
        <f>'As-Filed Schedule 2C'!J29</f>
        <v xml:space="preserve"> $                                -  </v>
      </c>
      <c r="O29" s="309">
        <f>SUMIFS(Adjustments!$G:$G,Adjustments!$H:$H,"2C",Adjustments!$I:$I,'Schedule 2C Adjustments'!$N$12,Adjustments!$J:$J,'Schedule 2C Adjustments'!$A29)</f>
        <v>0</v>
      </c>
      <c r="P29" s="305">
        <f t="shared" si="3"/>
        <v>0</v>
      </c>
      <c r="Q29" s="68">
        <f>IFERROR(N29*'As-Filed Schedule 1'!$E$103,0)</f>
        <v>0</v>
      </c>
      <c r="R29" s="306">
        <f>IFERROR(P29*'Adjusted Schedule 1'!$E$104,0)</f>
        <v>0</v>
      </c>
      <c r="S29" s="68">
        <f t="shared" si="4"/>
        <v>0</v>
      </c>
      <c r="T29" s="306">
        <f t="shared" si="5"/>
        <v>0</v>
      </c>
      <c r="V29" s="119">
        <f>'As-Filed Schedule 2C'!N29</f>
        <v>8.8000000000000007</v>
      </c>
      <c r="W29" s="309">
        <f>SUMIFS(Adjustments!$G:$G,Adjustments!$H:$H,"2C",Adjustments!$I:$I,'Schedule 2C Adjustments'!$V$12,Adjustments!$J:$J,'Schedule 2C Adjustments'!$A29)</f>
        <v>0</v>
      </c>
      <c r="X29" s="305">
        <f t="shared" si="6"/>
        <v>8.8000000000000007</v>
      </c>
      <c r="Y29" s="119">
        <f>'As-Filed Schedule 2C'!O29</f>
        <v>735</v>
      </c>
      <c r="Z29" s="309">
        <f>SUMIFS(Adjustments!$G:$G,Adjustments!$H:$H,"2C",Adjustments!$I:$I,'Schedule 2C Adjustments'!$Y$12,Adjustments!$J:$J,'Schedule 2C Adjustments'!$A29)</f>
        <v>0</v>
      </c>
      <c r="AA29" s="305">
        <f t="shared" si="7"/>
        <v>735</v>
      </c>
    </row>
    <row r="30" spans="1:27" x14ac:dyDescent="0.35">
      <c r="A30" s="24">
        <v>16</v>
      </c>
      <c r="B30" s="514" t="str">
        <f>IF('As-Filed Schedule 2C'!B30:D30=0,"",'As-Filed Schedule 2C'!B30:D30)</f>
        <v>Center Point</v>
      </c>
      <c r="C30" s="514"/>
      <c r="D30" s="514"/>
      <c r="F30" s="117">
        <f>'As-Filed Schedule 2C'!F30</f>
        <v>863863</v>
      </c>
      <c r="G30" s="309">
        <f>SUMIFS(Adjustments!$G:$G,Adjustments!$H:$H,"2C",Adjustments!$I:$I,'Schedule 2C Adjustments'!$F$12,Adjustments!$J:$J,'Schedule 2C Adjustments'!$A30)</f>
        <v>0</v>
      </c>
      <c r="H30" s="305">
        <f t="shared" si="0"/>
        <v>863863</v>
      </c>
      <c r="I30" s="68">
        <f>IFERROR(F30*'As-Filed Schedule 1'!$E$103,0)</f>
        <v>291871.99078230414</v>
      </c>
      <c r="J30" s="306">
        <f>IFERROR(H30*'Adjusted Schedule 1'!$E$104,0)</f>
        <v>282803.49588819331</v>
      </c>
      <c r="K30" s="68">
        <f t="shared" si="1"/>
        <v>1155734.9907823042</v>
      </c>
      <c r="L30" s="306">
        <f t="shared" si="2"/>
        <v>1146666.4958881934</v>
      </c>
      <c r="N30" s="117" t="str">
        <f>'As-Filed Schedule 2C'!J30</f>
        <v xml:space="preserve"> $                                -  </v>
      </c>
      <c r="O30" s="309">
        <f>SUMIFS(Adjustments!$G:$G,Adjustments!$H:$H,"2C",Adjustments!$I:$I,'Schedule 2C Adjustments'!$N$12,Adjustments!$J:$J,'Schedule 2C Adjustments'!$A30)</f>
        <v>0</v>
      </c>
      <c r="P30" s="305">
        <f t="shared" si="3"/>
        <v>0</v>
      </c>
      <c r="Q30" s="68">
        <f>IFERROR(N30*'As-Filed Schedule 1'!$E$103,0)</f>
        <v>0</v>
      </c>
      <c r="R30" s="306">
        <f>IFERROR(P30*'Adjusted Schedule 1'!$E$104,0)</f>
        <v>0</v>
      </c>
      <c r="S30" s="68">
        <f t="shared" si="4"/>
        <v>0</v>
      </c>
      <c r="T30" s="306">
        <f t="shared" si="5"/>
        <v>0</v>
      </c>
      <c r="V30" s="119">
        <f>'As-Filed Schedule 2C'!N30</f>
        <v>8.7799999999999994</v>
      </c>
      <c r="W30" s="309">
        <f>SUMIFS(Adjustments!$G:$G,Adjustments!$H:$H,"2C",Adjustments!$I:$I,'Schedule 2C Adjustments'!$V$12,Adjustments!$J:$J,'Schedule 2C Adjustments'!$A30)</f>
        <v>0</v>
      </c>
      <c r="X30" s="305">
        <f t="shared" si="6"/>
        <v>8.7799999999999994</v>
      </c>
      <c r="Y30" s="119">
        <f>'As-Filed Schedule 2C'!O30</f>
        <v>646</v>
      </c>
      <c r="Z30" s="309">
        <f>SUMIFS(Adjustments!$G:$G,Adjustments!$H:$H,"2C",Adjustments!$I:$I,'Schedule 2C Adjustments'!$Y$12,Adjustments!$J:$J,'Schedule 2C Adjustments'!$A30)</f>
        <v>0</v>
      </c>
      <c r="AA30" s="305">
        <f t="shared" si="7"/>
        <v>646</v>
      </c>
    </row>
    <row r="31" spans="1:27" x14ac:dyDescent="0.35">
      <c r="A31" s="24">
        <v>17</v>
      </c>
      <c r="B31" s="514" t="str">
        <f>IF('As-Filed Schedule 2C'!B31:D31=0,"",'As-Filed Schedule 2C'!B31:D31)</f>
        <v>Certifications</v>
      </c>
      <c r="C31" s="514"/>
      <c r="D31" s="514"/>
      <c r="F31" s="117">
        <f>'As-Filed Schedule 2C'!F31</f>
        <v>345448</v>
      </c>
      <c r="G31" s="309">
        <f>SUMIFS(Adjustments!$G:$G,Adjustments!$H:$H,"2C",Adjustments!$I:$I,'Schedule 2C Adjustments'!$F$12,Adjustments!$J:$J,'Schedule 2C Adjustments'!$A31)</f>
        <v>0</v>
      </c>
      <c r="H31" s="305">
        <f t="shared" si="0"/>
        <v>345448</v>
      </c>
      <c r="I31" s="68">
        <f>IFERROR(F31*'As-Filed Schedule 1'!$E$103,0)</f>
        <v>116715.95550656228</v>
      </c>
      <c r="J31" s="306">
        <f>IFERROR(H31*'Adjusted Schedule 1'!$E$104,0)</f>
        <v>113089.57791638789</v>
      </c>
      <c r="K31" s="68">
        <f t="shared" si="1"/>
        <v>462163.95550656226</v>
      </c>
      <c r="L31" s="306">
        <f t="shared" si="2"/>
        <v>458537.57791638788</v>
      </c>
      <c r="N31" s="117" t="str">
        <f>'As-Filed Schedule 2C'!J31</f>
        <v xml:space="preserve"> $                                -  </v>
      </c>
      <c r="O31" s="309">
        <f>SUMIFS(Adjustments!$G:$G,Adjustments!$H:$H,"2C",Adjustments!$I:$I,'Schedule 2C Adjustments'!$N$12,Adjustments!$J:$J,'Schedule 2C Adjustments'!$A31)</f>
        <v>0</v>
      </c>
      <c r="P31" s="305">
        <f t="shared" si="3"/>
        <v>0</v>
      </c>
      <c r="Q31" s="68">
        <f>IFERROR(N31*'As-Filed Schedule 1'!$E$103,0)</f>
        <v>0</v>
      </c>
      <c r="R31" s="306">
        <f>IFERROR(P31*'Adjusted Schedule 1'!$E$104,0)</f>
        <v>0</v>
      </c>
      <c r="S31" s="68">
        <f t="shared" si="4"/>
        <v>0</v>
      </c>
      <c r="T31" s="306">
        <f t="shared" si="5"/>
        <v>0</v>
      </c>
      <c r="V31" s="119">
        <f>'As-Filed Schedule 2C'!N31</f>
        <v>2.48</v>
      </c>
      <c r="W31" s="309">
        <f>SUMIFS(Adjustments!$G:$G,Adjustments!$H:$H,"2C",Adjustments!$I:$I,'Schedule 2C Adjustments'!$V$12,Adjustments!$J:$J,'Schedule 2C Adjustments'!$A31)</f>
        <v>0</v>
      </c>
      <c r="X31" s="305">
        <f t="shared" si="6"/>
        <v>2.48</v>
      </c>
      <c r="Y31" s="119">
        <f>'As-Filed Schedule 2C'!O31</f>
        <v>176</v>
      </c>
      <c r="Z31" s="309">
        <f>SUMIFS(Adjustments!$G:$G,Adjustments!$H:$H,"2C",Adjustments!$I:$I,'Schedule 2C Adjustments'!$Y$12,Adjustments!$J:$J,'Schedule 2C Adjustments'!$A31)</f>
        <v>0</v>
      </c>
      <c r="AA31" s="305">
        <f t="shared" si="7"/>
        <v>176</v>
      </c>
    </row>
    <row r="32" spans="1:27" x14ac:dyDescent="0.35">
      <c r="A32" s="24">
        <v>18</v>
      </c>
      <c r="B32" s="514" t="str">
        <f>IF('As-Filed Schedule 2C'!B32:D32=0,"",'As-Filed Schedule 2C'!B32:D32)</f>
        <v>Child &amp; Family Case Mgmt Team</v>
      </c>
      <c r="C32" s="514"/>
      <c r="D32" s="514"/>
      <c r="F32" s="117">
        <f>'As-Filed Schedule 2C'!F32</f>
        <v>383577</v>
      </c>
      <c r="G32" s="309">
        <f>SUMIFS(Adjustments!$G:$G,Adjustments!$H:$H,"2C",Adjustments!$I:$I,'Schedule 2C Adjustments'!$F$12,Adjustments!$J:$J,'Schedule 2C Adjustments'!$A32)</f>
        <v>0</v>
      </c>
      <c r="H32" s="305">
        <f t="shared" si="0"/>
        <v>383577</v>
      </c>
      <c r="I32" s="68">
        <f>IFERROR(F32*'As-Filed Schedule 1'!$E$103,0)</f>
        <v>129598.53889830202</v>
      </c>
      <c r="J32" s="306">
        <f>IFERROR(H32*'Adjusted Schedule 1'!$E$104,0)</f>
        <v>125571.89802353558</v>
      </c>
      <c r="K32" s="68">
        <f t="shared" si="1"/>
        <v>513175.53889830201</v>
      </c>
      <c r="L32" s="306">
        <f t="shared" si="2"/>
        <v>509148.89802353561</v>
      </c>
      <c r="N32" s="117" t="str">
        <f>'As-Filed Schedule 2C'!J32</f>
        <v xml:space="preserve"> $                                -  </v>
      </c>
      <c r="O32" s="309">
        <f>SUMIFS(Adjustments!$G:$G,Adjustments!$H:$H,"2C",Adjustments!$I:$I,'Schedule 2C Adjustments'!$N$12,Adjustments!$J:$J,'Schedule 2C Adjustments'!$A32)</f>
        <v>0</v>
      </c>
      <c r="P32" s="305">
        <f t="shared" si="3"/>
        <v>0</v>
      </c>
      <c r="Q32" s="68">
        <f>IFERROR(N32*'As-Filed Schedule 1'!$E$103,0)</f>
        <v>0</v>
      </c>
      <c r="R32" s="306">
        <f>IFERROR(P32*'Adjusted Schedule 1'!$E$104,0)</f>
        <v>0</v>
      </c>
      <c r="S32" s="68">
        <f t="shared" si="4"/>
        <v>0</v>
      </c>
      <c r="T32" s="306">
        <f t="shared" si="5"/>
        <v>0</v>
      </c>
      <c r="V32" s="119">
        <f>'As-Filed Schedule 2C'!N32</f>
        <v>4.3899999999999997</v>
      </c>
      <c r="W32" s="309">
        <f>SUMIFS(Adjustments!$G:$G,Adjustments!$H:$H,"2C",Adjustments!$I:$I,'Schedule 2C Adjustments'!$V$12,Adjustments!$J:$J,'Schedule 2C Adjustments'!$A32)</f>
        <v>0</v>
      </c>
      <c r="X32" s="305">
        <f t="shared" si="6"/>
        <v>4.3899999999999997</v>
      </c>
      <c r="Y32" s="119">
        <f>'As-Filed Schedule 2C'!O32</f>
        <v>299</v>
      </c>
      <c r="Z32" s="309">
        <f>SUMIFS(Adjustments!$G:$G,Adjustments!$H:$H,"2C",Adjustments!$I:$I,'Schedule 2C Adjustments'!$Y$12,Adjustments!$J:$J,'Schedule 2C Adjustments'!$A32)</f>
        <v>0</v>
      </c>
      <c r="AA32" s="305">
        <f t="shared" si="7"/>
        <v>299</v>
      </c>
    </row>
    <row r="33" spans="1:27" x14ac:dyDescent="0.35">
      <c r="A33" s="24">
        <v>19</v>
      </c>
      <c r="B33" s="514" t="str">
        <f>IF('As-Filed Schedule 2C'!B33:D33=0,"",'As-Filed Schedule 2C'!B33:D33)</f>
        <v>Clinical Assessment Team</v>
      </c>
      <c r="C33" s="514"/>
      <c r="D33" s="514"/>
      <c r="F33" s="117">
        <f>'As-Filed Schedule 2C'!F33</f>
        <v>1486257</v>
      </c>
      <c r="G33" s="309">
        <f>SUMIFS(Adjustments!$G:$G,Adjustments!$H:$H,"2C",Adjustments!$I:$I,'Schedule 2C Adjustments'!$F$12,Adjustments!$J:$J,'Schedule 2C Adjustments'!$A33)</f>
        <v>0</v>
      </c>
      <c r="H33" s="305">
        <f t="shared" si="0"/>
        <v>1486257</v>
      </c>
      <c r="I33" s="68">
        <f>IFERROR(F33*'As-Filed Schedule 1'!$E$103,0)</f>
        <v>502159.24215313658</v>
      </c>
      <c r="J33" s="306">
        <f>IFERROR(H33*'Adjusted Schedule 1'!$E$104,0)</f>
        <v>486557.09920241806</v>
      </c>
      <c r="K33" s="68">
        <f t="shared" si="1"/>
        <v>1988416.2421531365</v>
      </c>
      <c r="L33" s="306">
        <f t="shared" si="2"/>
        <v>1972814.099202418</v>
      </c>
      <c r="N33" s="117" t="str">
        <f>'As-Filed Schedule 2C'!J33</f>
        <v xml:space="preserve"> $                                -  </v>
      </c>
      <c r="O33" s="309">
        <f>SUMIFS(Adjustments!$G:$G,Adjustments!$H:$H,"2C",Adjustments!$I:$I,'Schedule 2C Adjustments'!$N$12,Adjustments!$J:$J,'Schedule 2C Adjustments'!$A33)</f>
        <v>0</v>
      </c>
      <c r="P33" s="305">
        <f t="shared" si="3"/>
        <v>0</v>
      </c>
      <c r="Q33" s="68">
        <f>IFERROR(N33*'As-Filed Schedule 1'!$E$103,0)</f>
        <v>0</v>
      </c>
      <c r="R33" s="306">
        <f>IFERROR(P33*'Adjusted Schedule 1'!$E$104,0)</f>
        <v>0</v>
      </c>
      <c r="S33" s="68">
        <f t="shared" si="4"/>
        <v>0</v>
      </c>
      <c r="T33" s="306">
        <f t="shared" si="5"/>
        <v>0</v>
      </c>
      <c r="V33" s="119">
        <f>'As-Filed Schedule 2C'!N33</f>
        <v>13.94</v>
      </c>
      <c r="W33" s="309">
        <f>SUMIFS(Adjustments!$G:$G,Adjustments!$H:$H,"2C",Adjustments!$I:$I,'Schedule 2C Adjustments'!$V$12,Adjustments!$J:$J,'Schedule 2C Adjustments'!$A33)</f>
        <v>0</v>
      </c>
      <c r="X33" s="305">
        <f t="shared" si="6"/>
        <v>13.94</v>
      </c>
      <c r="Y33" s="119">
        <f>'As-Filed Schedule 2C'!O33</f>
        <v>3092</v>
      </c>
      <c r="Z33" s="309">
        <f>SUMIFS(Adjustments!$G:$G,Adjustments!$H:$H,"2C",Adjustments!$I:$I,'Schedule 2C Adjustments'!$Y$12,Adjustments!$J:$J,'Schedule 2C Adjustments'!$A33)</f>
        <v>0</v>
      </c>
      <c r="AA33" s="305">
        <f t="shared" si="7"/>
        <v>3092</v>
      </c>
    </row>
    <row r="34" spans="1:27" x14ac:dyDescent="0.35">
      <c r="A34" s="24">
        <v>20</v>
      </c>
      <c r="B34" s="514" t="str">
        <f>IF('As-Filed Schedule 2C'!B34:D34=0,"",'As-Filed Schedule 2C'!B34:D34)</f>
        <v>Highlands Ranch</v>
      </c>
      <c r="C34" s="514"/>
      <c r="D34" s="514"/>
      <c r="F34" s="117">
        <f>'As-Filed Schedule 2C'!F34</f>
        <v>5239</v>
      </c>
      <c r="G34" s="309">
        <f>SUMIFS(Adjustments!$G:$G,Adjustments!$H:$H,"2C",Adjustments!$I:$I,'Schedule 2C Adjustments'!$F$12,Adjustments!$J:$J,'Schedule 2C Adjustments'!$A34)</f>
        <v>-27696</v>
      </c>
      <c r="H34" s="305">
        <f t="shared" si="0"/>
        <v>-22457</v>
      </c>
      <c r="I34" s="68">
        <f>IFERROR(F34*'As-Filed Schedule 1'!$E$103,0)</f>
        <v>1770.0924333007567</v>
      </c>
      <c r="J34" s="306">
        <f>IFERROR(H34*'Adjusted Schedule 1'!$E$104,0)</f>
        <v>-7351.765392384159</v>
      </c>
      <c r="K34" s="68">
        <f t="shared" si="1"/>
        <v>7009.092433300757</v>
      </c>
      <c r="L34" s="306">
        <f t="shared" si="2"/>
        <v>-29808.765392384157</v>
      </c>
      <c r="N34" s="117" t="str">
        <f>'As-Filed Schedule 2C'!J34</f>
        <v xml:space="preserve"> $                                -  </v>
      </c>
      <c r="O34" s="309">
        <f>SUMIFS(Adjustments!$G:$G,Adjustments!$H:$H,"2C",Adjustments!$I:$I,'Schedule 2C Adjustments'!$N$12,Adjustments!$J:$J,'Schedule 2C Adjustments'!$A34)</f>
        <v>0</v>
      </c>
      <c r="P34" s="305">
        <f t="shared" si="3"/>
        <v>0</v>
      </c>
      <c r="Q34" s="68">
        <f>IFERROR(N34*'As-Filed Schedule 1'!$E$103,0)</f>
        <v>0</v>
      </c>
      <c r="R34" s="306">
        <f>IFERROR(P34*'Adjusted Schedule 1'!$E$104,0)</f>
        <v>0</v>
      </c>
      <c r="S34" s="68">
        <f t="shared" si="4"/>
        <v>0</v>
      </c>
      <c r="T34" s="306">
        <f t="shared" si="5"/>
        <v>0</v>
      </c>
      <c r="V34" s="119" t="str">
        <f>'As-Filed Schedule 2C'!N34</f>
        <v xml:space="preserve">                   -  </v>
      </c>
      <c r="W34" s="309">
        <f>SUMIFS(Adjustments!$G:$G,Adjustments!$H:$H,"2C",Adjustments!$I:$I,'Schedule 2C Adjustments'!$V$12,Adjustments!$J:$J,'Schedule 2C Adjustments'!$A34)</f>
        <v>0</v>
      </c>
      <c r="X34" s="305">
        <f t="shared" si="6"/>
        <v>0</v>
      </c>
      <c r="Y34" s="119" t="str">
        <f>'As-Filed Schedule 2C'!O34</f>
        <v xml:space="preserve">                     -  </v>
      </c>
      <c r="Z34" s="309">
        <f>SUMIFS(Adjustments!$G:$G,Adjustments!$H:$H,"2C",Adjustments!$I:$I,'Schedule 2C Adjustments'!$Y$12,Adjustments!$J:$J,'Schedule 2C Adjustments'!$A34)</f>
        <v>0</v>
      </c>
      <c r="AA34" s="305">
        <f t="shared" si="7"/>
        <v>0</v>
      </c>
    </row>
    <row r="35" spans="1:27" x14ac:dyDescent="0.35">
      <c r="A35" s="24">
        <v>21</v>
      </c>
      <c r="B35" s="514" t="str">
        <f>IF('As-Filed Schedule 2C'!B35:D35=0,"",'As-Filed Schedule 2C'!B35:D35)</f>
        <v>Highlands Ranch Counsel.</v>
      </c>
      <c r="C35" s="514"/>
      <c r="D35" s="514"/>
      <c r="F35" s="117">
        <f>'As-Filed Schedule 2C'!F35</f>
        <v>961249</v>
      </c>
      <c r="G35" s="309">
        <f>SUMIFS(Adjustments!$G:$G,Adjustments!$H:$H,"2C",Adjustments!$I:$I,'Schedule 2C Adjustments'!$F$12,Adjustments!$J:$J,'Schedule 2C Adjustments'!$A35)</f>
        <v>0</v>
      </c>
      <c r="H35" s="305">
        <f t="shared" si="0"/>
        <v>961249</v>
      </c>
      <c r="I35" s="68">
        <f>IFERROR(F35*'As-Filed Schedule 1'!$E$103,0)</f>
        <v>324775.64066003414</v>
      </c>
      <c r="J35" s="306">
        <f>IFERROR(H35*'Adjusted Schedule 1'!$E$104,0)</f>
        <v>314684.82574092178</v>
      </c>
      <c r="K35" s="68">
        <f t="shared" si="1"/>
        <v>1286024.640660034</v>
      </c>
      <c r="L35" s="306">
        <f t="shared" si="2"/>
        <v>1275933.8257409218</v>
      </c>
      <c r="N35" s="117" t="str">
        <f>'As-Filed Schedule 2C'!J35</f>
        <v xml:space="preserve"> $                                -  </v>
      </c>
      <c r="O35" s="309">
        <f>SUMIFS(Adjustments!$G:$G,Adjustments!$H:$H,"2C",Adjustments!$I:$I,'Schedule 2C Adjustments'!$N$12,Adjustments!$J:$J,'Schedule 2C Adjustments'!$A35)</f>
        <v>0</v>
      </c>
      <c r="P35" s="305">
        <f t="shared" si="3"/>
        <v>0</v>
      </c>
      <c r="Q35" s="68">
        <f>IFERROR(N35*'As-Filed Schedule 1'!$E$103,0)</f>
        <v>0</v>
      </c>
      <c r="R35" s="306">
        <f>IFERROR(P35*'Adjusted Schedule 1'!$E$104,0)</f>
        <v>0</v>
      </c>
      <c r="S35" s="68">
        <f t="shared" si="4"/>
        <v>0</v>
      </c>
      <c r="T35" s="306">
        <f t="shared" si="5"/>
        <v>0</v>
      </c>
      <c r="V35" s="119">
        <f>'As-Filed Schedule 2C'!N35</f>
        <v>9.0399999999999991</v>
      </c>
      <c r="W35" s="309">
        <f>SUMIFS(Adjustments!$G:$G,Adjustments!$H:$H,"2C",Adjustments!$I:$I,'Schedule 2C Adjustments'!$V$12,Adjustments!$J:$J,'Schedule 2C Adjustments'!$A35)</f>
        <v>0</v>
      </c>
      <c r="X35" s="305">
        <f t="shared" si="6"/>
        <v>9.0399999999999991</v>
      </c>
      <c r="Y35" s="119">
        <f>'As-Filed Schedule 2C'!O35</f>
        <v>580</v>
      </c>
      <c r="Z35" s="309">
        <f>SUMIFS(Adjustments!$G:$G,Adjustments!$H:$H,"2C",Adjustments!$I:$I,'Schedule 2C Adjustments'!$Y$12,Adjustments!$J:$J,'Schedule 2C Adjustments'!$A35)</f>
        <v>0</v>
      </c>
      <c r="AA35" s="305">
        <f t="shared" si="7"/>
        <v>580</v>
      </c>
    </row>
    <row r="36" spans="1:27" x14ac:dyDescent="0.35">
      <c r="A36" s="24">
        <v>22</v>
      </c>
      <c r="B36" s="514" t="str">
        <f>IF('As-Filed Schedule 2C'!B36:D36=0,"",'As-Filed Schedule 2C'!B36:D36)</f>
        <v>Inverness</v>
      </c>
      <c r="C36" s="514"/>
      <c r="D36" s="514"/>
      <c r="F36" s="117">
        <f>'As-Filed Schedule 2C'!F36</f>
        <v>-25613</v>
      </c>
      <c r="G36" s="309">
        <f>SUMIFS(Adjustments!$G:$G,Adjustments!$H:$H,"2C",Adjustments!$I:$I,'Schedule 2C Adjustments'!$F$12,Adjustments!$J:$J,'Schedule 2C Adjustments'!$A36)</f>
        <v>-29160</v>
      </c>
      <c r="H36" s="305">
        <f t="shared" si="0"/>
        <v>-54773</v>
      </c>
      <c r="I36" s="68">
        <f>IFERROR(F36*'As-Filed Schedule 1'!$E$103,0)</f>
        <v>-8653.8227704012752</v>
      </c>
      <c r="J36" s="306">
        <f>IFERROR(H36*'Adjusted Schedule 1'!$E$104,0)</f>
        <v>-17931.07921080543</v>
      </c>
      <c r="K36" s="68">
        <f t="shared" si="1"/>
        <v>-34266.822770401275</v>
      </c>
      <c r="L36" s="306">
        <f t="shared" si="2"/>
        <v>-72704.07921080543</v>
      </c>
      <c r="N36" s="117" t="str">
        <f>'As-Filed Schedule 2C'!J36</f>
        <v xml:space="preserve"> $                                -  </v>
      </c>
      <c r="O36" s="309">
        <f>SUMIFS(Adjustments!$G:$G,Adjustments!$H:$H,"2C",Adjustments!$I:$I,'Schedule 2C Adjustments'!$N$12,Adjustments!$J:$J,'Schedule 2C Adjustments'!$A36)</f>
        <v>0</v>
      </c>
      <c r="P36" s="305">
        <f t="shared" si="3"/>
        <v>0</v>
      </c>
      <c r="Q36" s="68">
        <f>IFERROR(N36*'As-Filed Schedule 1'!$E$103,0)</f>
        <v>0</v>
      </c>
      <c r="R36" s="306">
        <f>IFERROR(P36*'Adjusted Schedule 1'!$E$104,0)</f>
        <v>0</v>
      </c>
      <c r="S36" s="68">
        <f t="shared" si="4"/>
        <v>0</v>
      </c>
      <c r="T36" s="306">
        <f t="shared" si="5"/>
        <v>0</v>
      </c>
      <c r="V36" s="119" t="str">
        <f>'As-Filed Schedule 2C'!N36</f>
        <v xml:space="preserve">                   -  </v>
      </c>
      <c r="W36" s="309">
        <f>SUMIFS(Adjustments!$G:$G,Adjustments!$H:$H,"2C",Adjustments!$I:$I,'Schedule 2C Adjustments'!$V$12,Adjustments!$J:$J,'Schedule 2C Adjustments'!$A36)</f>
        <v>0</v>
      </c>
      <c r="X36" s="305">
        <f t="shared" si="6"/>
        <v>0</v>
      </c>
      <c r="Y36" s="119" t="str">
        <f>'As-Filed Schedule 2C'!O36</f>
        <v xml:space="preserve">                     -  </v>
      </c>
      <c r="Z36" s="309">
        <f>SUMIFS(Adjustments!$G:$G,Adjustments!$H:$H,"2C",Adjustments!$I:$I,'Schedule 2C Adjustments'!$Y$12,Adjustments!$J:$J,'Schedule 2C Adjustments'!$A36)</f>
        <v>0</v>
      </c>
      <c r="AA36" s="305">
        <f t="shared" si="7"/>
        <v>0</v>
      </c>
    </row>
    <row r="37" spans="1:27" x14ac:dyDescent="0.35">
      <c r="A37" s="24">
        <v>23</v>
      </c>
      <c r="B37" s="514" t="str">
        <f>IF('As-Filed Schedule 2C'!B37:D37=0,"",'As-Filed Schedule 2C'!B37:D37)</f>
        <v>Inverness Counseling</v>
      </c>
      <c r="C37" s="514"/>
      <c r="D37" s="514"/>
      <c r="F37" s="117">
        <f>'As-Filed Schedule 2C'!F37</f>
        <v>1110149</v>
      </c>
      <c r="G37" s="309">
        <f>SUMIFS(Adjustments!$G:$G,Adjustments!$H:$H,"2C",Adjustments!$I:$I,'Schedule 2C Adjustments'!$F$12,Adjustments!$J:$J,'Schedule 2C Adjustments'!$A37)</f>
        <v>0</v>
      </c>
      <c r="H37" s="305">
        <f t="shared" si="0"/>
        <v>1110149</v>
      </c>
      <c r="I37" s="68">
        <f>IFERROR(F37*'As-Filed Schedule 1'!$E$103,0)</f>
        <v>375084.24217148341</v>
      </c>
      <c r="J37" s="306">
        <f>IFERROR(H37*'Adjusted Schedule 1'!$E$104,0)</f>
        <v>363430.33346350276</v>
      </c>
      <c r="K37" s="68">
        <f t="shared" si="1"/>
        <v>1485233.2421714833</v>
      </c>
      <c r="L37" s="306">
        <f t="shared" si="2"/>
        <v>1473579.3334635028</v>
      </c>
      <c r="N37" s="117" t="str">
        <f>'As-Filed Schedule 2C'!J37</f>
        <v xml:space="preserve"> $                                -  </v>
      </c>
      <c r="O37" s="309">
        <f>SUMIFS(Adjustments!$G:$G,Adjustments!$H:$H,"2C",Adjustments!$I:$I,'Schedule 2C Adjustments'!$N$12,Adjustments!$J:$J,'Schedule 2C Adjustments'!$A37)</f>
        <v>0</v>
      </c>
      <c r="P37" s="305">
        <f t="shared" si="3"/>
        <v>0</v>
      </c>
      <c r="Q37" s="68">
        <f>IFERROR(N37*'As-Filed Schedule 1'!$E$103,0)</f>
        <v>0</v>
      </c>
      <c r="R37" s="306">
        <f>IFERROR(P37*'Adjusted Schedule 1'!$E$104,0)</f>
        <v>0</v>
      </c>
      <c r="S37" s="68">
        <f t="shared" si="4"/>
        <v>0</v>
      </c>
      <c r="T37" s="306">
        <f t="shared" si="5"/>
        <v>0</v>
      </c>
      <c r="V37" s="119">
        <f>'As-Filed Schedule 2C'!N37</f>
        <v>11.19</v>
      </c>
      <c r="W37" s="309">
        <f>SUMIFS(Adjustments!$G:$G,Adjustments!$H:$H,"2C",Adjustments!$I:$I,'Schedule 2C Adjustments'!$V$12,Adjustments!$J:$J,'Schedule 2C Adjustments'!$A37)</f>
        <v>0</v>
      </c>
      <c r="X37" s="305">
        <f t="shared" si="6"/>
        <v>11.19</v>
      </c>
      <c r="Y37" s="119">
        <f>'As-Filed Schedule 2C'!O37</f>
        <v>687</v>
      </c>
      <c r="Z37" s="309">
        <f>SUMIFS(Adjustments!$G:$G,Adjustments!$H:$H,"2C",Adjustments!$I:$I,'Schedule 2C Adjustments'!$Y$12,Adjustments!$J:$J,'Schedule 2C Adjustments'!$A37)</f>
        <v>0</v>
      </c>
      <c r="AA37" s="305">
        <f t="shared" si="7"/>
        <v>687</v>
      </c>
    </row>
    <row r="38" spans="1:27" x14ac:dyDescent="0.35">
      <c r="A38" s="24">
        <v>24</v>
      </c>
      <c r="B38" s="514" t="str">
        <f>IF('As-Filed Schedule 2C'!B38:D38=0,"",'As-Filed Schedule 2C'!B38:D38)</f>
        <v>IPS Vocational Services</v>
      </c>
      <c r="C38" s="514"/>
      <c r="D38" s="514"/>
      <c r="F38" s="117">
        <f>'As-Filed Schedule 2C'!F38</f>
        <v>381130</v>
      </c>
      <c r="G38" s="309">
        <f>SUMIFS(Adjustments!$G:$G,Adjustments!$H:$H,"2C",Adjustments!$I:$I,'Schedule 2C Adjustments'!$F$12,Adjustments!$J:$J,'Schedule 2C Adjustments'!$A38)</f>
        <v>0</v>
      </c>
      <c r="H38" s="305">
        <f t="shared" si="0"/>
        <v>381130</v>
      </c>
      <c r="I38" s="68">
        <f>IFERROR(F38*'As-Filed Schedule 1'!$E$103,0)</f>
        <v>128771.77497688822</v>
      </c>
      <c r="J38" s="306">
        <f>IFERROR(H38*'Adjusted Schedule 1'!$E$104,0)</f>
        <v>124770.8217482021</v>
      </c>
      <c r="K38" s="68">
        <f t="shared" si="1"/>
        <v>509901.77497688821</v>
      </c>
      <c r="L38" s="306">
        <f t="shared" si="2"/>
        <v>505900.82174820208</v>
      </c>
      <c r="N38" s="117" t="str">
        <f>'As-Filed Schedule 2C'!J38</f>
        <v xml:space="preserve"> $                                -  </v>
      </c>
      <c r="O38" s="309">
        <f>SUMIFS(Adjustments!$G:$G,Adjustments!$H:$H,"2C",Adjustments!$I:$I,'Schedule 2C Adjustments'!$N$12,Adjustments!$J:$J,'Schedule 2C Adjustments'!$A38)</f>
        <v>0</v>
      </c>
      <c r="P38" s="305">
        <f t="shared" si="3"/>
        <v>0</v>
      </c>
      <c r="Q38" s="68">
        <f>IFERROR(N38*'As-Filed Schedule 1'!$E$103,0)</f>
        <v>0</v>
      </c>
      <c r="R38" s="306">
        <f>IFERROR(P38*'Adjusted Schedule 1'!$E$104,0)</f>
        <v>0</v>
      </c>
      <c r="S38" s="68">
        <f t="shared" si="4"/>
        <v>0</v>
      </c>
      <c r="T38" s="306">
        <f t="shared" si="5"/>
        <v>0</v>
      </c>
      <c r="V38" s="119">
        <f>'As-Filed Schedule 2C'!N38</f>
        <v>4.47</v>
      </c>
      <c r="W38" s="309">
        <f>SUMIFS(Adjustments!$G:$G,Adjustments!$H:$H,"2C",Adjustments!$I:$I,'Schedule 2C Adjustments'!$V$12,Adjustments!$J:$J,'Schedule 2C Adjustments'!$A38)</f>
        <v>0</v>
      </c>
      <c r="X38" s="305">
        <f t="shared" si="6"/>
        <v>4.47</v>
      </c>
      <c r="Y38" s="119">
        <f>'As-Filed Schedule 2C'!O38</f>
        <v>132</v>
      </c>
      <c r="Z38" s="309">
        <f>SUMIFS(Adjustments!$G:$G,Adjustments!$H:$H,"2C",Adjustments!$I:$I,'Schedule 2C Adjustments'!$Y$12,Adjustments!$J:$J,'Schedule 2C Adjustments'!$A38)</f>
        <v>0</v>
      </c>
      <c r="AA38" s="305">
        <f t="shared" si="7"/>
        <v>132</v>
      </c>
    </row>
    <row r="39" spans="1:27" x14ac:dyDescent="0.35">
      <c r="A39" s="24">
        <v>25</v>
      </c>
      <c r="B39" s="514" t="str">
        <f>IF('As-Filed Schedule 2C'!B39:D39=0,"",'As-Filed Schedule 2C'!B39:D39)</f>
        <v>MAT</v>
      </c>
      <c r="C39" s="514"/>
      <c r="D39" s="514"/>
      <c r="F39" s="117">
        <f>'As-Filed Schedule 2C'!F39</f>
        <v>344548</v>
      </c>
      <c r="G39" s="309">
        <f>SUMIFS(Adjustments!$G:$G,Adjustments!$H:$H,"2C",Adjustments!$I:$I,'Schedule 2C Adjustments'!$F$12,Adjustments!$J:$J,'Schedule 2C Adjustments'!$A39)</f>
        <v>-131215</v>
      </c>
      <c r="H39" s="305">
        <f t="shared" si="0"/>
        <v>213333</v>
      </c>
      <c r="I39" s="68">
        <f>IFERROR(F39*'As-Filed Schedule 1'!$E$103,0)</f>
        <v>116411.87396619757</v>
      </c>
      <c r="J39" s="306">
        <f>IFERROR(H39*'Adjusted Schedule 1'!$E$104,0)</f>
        <v>69838.988576100543</v>
      </c>
      <c r="K39" s="68">
        <f t="shared" si="1"/>
        <v>460959.8739661976</v>
      </c>
      <c r="L39" s="306">
        <f t="shared" si="2"/>
        <v>283171.98857610056</v>
      </c>
      <c r="N39" s="117" t="str">
        <f>'As-Filed Schedule 2C'!J39</f>
        <v xml:space="preserve"> $                                -  </v>
      </c>
      <c r="O39" s="309">
        <f>SUMIFS(Adjustments!$G:$G,Adjustments!$H:$H,"2C",Adjustments!$I:$I,'Schedule 2C Adjustments'!$N$12,Adjustments!$J:$J,'Schedule 2C Adjustments'!$A39)</f>
        <v>131215</v>
      </c>
      <c r="P39" s="305">
        <f t="shared" si="3"/>
        <v>131215</v>
      </c>
      <c r="Q39" s="68">
        <f>IFERROR(N39*'As-Filed Schedule 1'!$E$103,0)</f>
        <v>0</v>
      </c>
      <c r="R39" s="306">
        <f>IFERROR(P39*'Adjusted Schedule 1'!$E$104,0)</f>
        <v>42955.955646866787</v>
      </c>
      <c r="S39" s="68">
        <f t="shared" si="4"/>
        <v>0</v>
      </c>
      <c r="T39" s="306">
        <f t="shared" si="5"/>
        <v>174170.95564686679</v>
      </c>
      <c r="V39" s="119">
        <f>'As-Filed Schedule 2C'!N39</f>
        <v>2</v>
      </c>
      <c r="W39" s="309">
        <f>SUMIFS(Adjustments!$G:$G,Adjustments!$H:$H,"2C",Adjustments!$I:$I,'Schedule 2C Adjustments'!$V$12,Adjustments!$J:$J,'Schedule 2C Adjustments'!$A39)</f>
        <v>0</v>
      </c>
      <c r="X39" s="305">
        <f t="shared" si="6"/>
        <v>2</v>
      </c>
      <c r="Y39" s="119">
        <f>'As-Filed Schedule 2C'!O39</f>
        <v>177</v>
      </c>
      <c r="Z39" s="309">
        <f>SUMIFS(Adjustments!$G:$G,Adjustments!$H:$H,"2C",Adjustments!$I:$I,'Schedule 2C Adjustments'!$Y$12,Adjustments!$J:$J,'Schedule 2C Adjustments'!$A39)</f>
        <v>0</v>
      </c>
      <c r="AA39" s="305">
        <f t="shared" si="7"/>
        <v>177</v>
      </c>
    </row>
    <row r="40" spans="1:27" x14ac:dyDescent="0.35">
      <c r="A40" s="24">
        <v>26</v>
      </c>
      <c r="B40" s="514" t="str">
        <f>IF('As-Filed Schedule 2C'!B40:D40=0,"",'As-Filed Schedule 2C'!B40:D40)</f>
        <v>Mobile Response Unit (MRU)</v>
      </c>
      <c r="C40" s="514"/>
      <c r="D40" s="514"/>
      <c r="F40" s="117">
        <f>'As-Filed Schedule 2C'!F40</f>
        <v>360768</v>
      </c>
      <c r="G40" s="309">
        <f>SUMIFS(Adjustments!$G:$G,Adjustments!$H:$H,"2C",Adjustments!$I:$I,'Schedule 2C Adjustments'!$F$12,Adjustments!$J:$J,'Schedule 2C Adjustments'!$A40)</f>
        <v>-56</v>
      </c>
      <c r="H40" s="305">
        <f t="shared" si="0"/>
        <v>360712</v>
      </c>
      <c r="I40" s="68">
        <f>IFERROR(F40*'As-Filed Schedule 1'!$E$103,0)</f>
        <v>121892.0990603259</v>
      </c>
      <c r="J40" s="306">
        <f>IFERROR(H40*'Adjusted Schedule 1'!$E$104,0)</f>
        <v>118086.56535680075</v>
      </c>
      <c r="K40" s="68">
        <f t="shared" si="1"/>
        <v>482660.09906032588</v>
      </c>
      <c r="L40" s="306">
        <f t="shared" si="2"/>
        <v>478798.56535680074</v>
      </c>
      <c r="N40" s="117" t="str">
        <f>'As-Filed Schedule 2C'!J40</f>
        <v xml:space="preserve"> $                                -  </v>
      </c>
      <c r="O40" s="309">
        <f>SUMIFS(Adjustments!$G:$G,Adjustments!$H:$H,"2C",Adjustments!$I:$I,'Schedule 2C Adjustments'!$N$12,Adjustments!$J:$J,'Schedule 2C Adjustments'!$A40)</f>
        <v>56</v>
      </c>
      <c r="P40" s="305">
        <f t="shared" si="3"/>
        <v>56</v>
      </c>
      <c r="Q40" s="68">
        <f>IFERROR(N40*'As-Filed Schedule 1'!$E$103,0)</f>
        <v>0</v>
      </c>
      <c r="R40" s="306">
        <f>IFERROR(P40*'Adjusted Schedule 1'!$E$104,0)</f>
        <v>18.332763146168809</v>
      </c>
      <c r="S40" s="68">
        <f t="shared" si="4"/>
        <v>0</v>
      </c>
      <c r="T40" s="306">
        <f t="shared" si="5"/>
        <v>74.332763146168816</v>
      </c>
      <c r="V40" s="119">
        <f>'As-Filed Schedule 2C'!N40</f>
        <v>2.66</v>
      </c>
      <c r="W40" s="309">
        <f>SUMIFS(Adjustments!$G:$G,Adjustments!$H:$H,"2C",Adjustments!$I:$I,'Schedule 2C Adjustments'!$V$12,Adjustments!$J:$J,'Schedule 2C Adjustments'!$A40)</f>
        <v>0</v>
      </c>
      <c r="X40" s="305">
        <f t="shared" si="6"/>
        <v>2.66</v>
      </c>
      <c r="Y40" s="119">
        <f>'As-Filed Schedule 2C'!O40</f>
        <v>158</v>
      </c>
      <c r="Z40" s="309">
        <f>SUMIFS(Adjustments!$G:$G,Adjustments!$H:$H,"2C",Adjustments!$I:$I,'Schedule 2C Adjustments'!$Y$12,Adjustments!$J:$J,'Schedule 2C Adjustments'!$A40)</f>
        <v>0</v>
      </c>
      <c r="AA40" s="305">
        <f t="shared" si="7"/>
        <v>158</v>
      </c>
    </row>
    <row r="41" spans="1:27" x14ac:dyDescent="0.35">
      <c r="A41" s="24">
        <v>27</v>
      </c>
      <c r="B41" s="514" t="str">
        <f>IF('As-Filed Schedule 2C'!B41:D41=0,"",'As-Filed Schedule 2C'!B41:D41)</f>
        <v>Parker - Dransfeldt</v>
      </c>
      <c r="C41" s="514"/>
      <c r="D41" s="514"/>
      <c r="F41" s="117">
        <f>'As-Filed Schedule 2C'!F41</f>
        <v>154159</v>
      </c>
      <c r="G41" s="309">
        <f>SUMIFS(Adjustments!$G:$G,Adjustments!$H:$H,"2C",Adjustments!$I:$I,'Schedule 2C Adjustments'!$F$12,Adjustments!$J:$J,'Schedule 2C Adjustments'!$A41)</f>
        <v>-36564</v>
      </c>
      <c r="H41" s="305">
        <f t="shared" si="0"/>
        <v>117595</v>
      </c>
      <c r="I41" s="68">
        <f>IFERROR(F41*'As-Filed Schedule 1'!$E$103,0)</f>
        <v>52085.451312313671</v>
      </c>
      <c r="J41" s="306">
        <f>IFERROR(H41*'Adjusted Schedule 1'!$E$104,0)</f>
        <v>38497.165753102156</v>
      </c>
      <c r="K41" s="68">
        <f t="shared" si="1"/>
        <v>206244.45131231367</v>
      </c>
      <c r="L41" s="306">
        <f t="shared" si="2"/>
        <v>156092.16575310216</v>
      </c>
      <c r="N41" s="117" t="str">
        <f>'As-Filed Schedule 2C'!J41</f>
        <v xml:space="preserve"> $                                -  </v>
      </c>
      <c r="O41" s="309">
        <f>SUMIFS(Adjustments!$G:$G,Adjustments!$H:$H,"2C",Adjustments!$I:$I,'Schedule 2C Adjustments'!$N$12,Adjustments!$J:$J,'Schedule 2C Adjustments'!$A41)</f>
        <v>0</v>
      </c>
      <c r="P41" s="305">
        <f t="shared" si="3"/>
        <v>0</v>
      </c>
      <c r="Q41" s="68">
        <f>IFERROR(N41*'As-Filed Schedule 1'!$E$103,0)</f>
        <v>0</v>
      </c>
      <c r="R41" s="306">
        <f>IFERROR(P41*'Adjusted Schedule 1'!$E$104,0)</f>
        <v>0</v>
      </c>
      <c r="S41" s="68">
        <f t="shared" si="4"/>
        <v>0</v>
      </c>
      <c r="T41" s="306">
        <f t="shared" si="5"/>
        <v>0</v>
      </c>
      <c r="V41" s="119" t="str">
        <f>'As-Filed Schedule 2C'!N41</f>
        <v xml:space="preserve">                   -  </v>
      </c>
      <c r="W41" s="309">
        <f>SUMIFS(Adjustments!$G:$G,Adjustments!$H:$H,"2C",Adjustments!$I:$I,'Schedule 2C Adjustments'!$V$12,Adjustments!$J:$J,'Schedule 2C Adjustments'!$A41)</f>
        <v>0</v>
      </c>
      <c r="X41" s="305">
        <f t="shared" si="6"/>
        <v>0</v>
      </c>
      <c r="Y41" s="119" t="str">
        <f>'As-Filed Schedule 2C'!O41</f>
        <v xml:space="preserve">                     -  </v>
      </c>
      <c r="Z41" s="309">
        <f>SUMIFS(Adjustments!$G:$G,Adjustments!$H:$H,"2C",Adjustments!$I:$I,'Schedule 2C Adjustments'!$Y$12,Adjustments!$J:$J,'Schedule 2C Adjustments'!$A41)</f>
        <v>0</v>
      </c>
      <c r="AA41" s="305">
        <f t="shared" si="7"/>
        <v>0</v>
      </c>
    </row>
    <row r="42" spans="1:27" x14ac:dyDescent="0.35">
      <c r="A42" s="24">
        <v>28</v>
      </c>
      <c r="B42" s="514" t="str">
        <f>IF('As-Filed Schedule 2C'!B42:D42=0,"",'As-Filed Schedule 2C'!B42:D42)</f>
        <v>Parker Counseling</v>
      </c>
      <c r="C42" s="514"/>
      <c r="D42" s="514"/>
      <c r="F42" s="117">
        <f>'As-Filed Schedule 2C'!F42</f>
        <v>1275112</v>
      </c>
      <c r="G42" s="309">
        <f>SUMIFS(Adjustments!$G:$G,Adjustments!$H:$H,"2C",Adjustments!$I:$I,'Schedule 2C Adjustments'!$F$12,Adjustments!$J:$J,'Schedule 2C Adjustments'!$A42)</f>
        <v>0</v>
      </c>
      <c r="H42" s="305">
        <f t="shared" si="0"/>
        <v>1275112</v>
      </c>
      <c r="I42" s="68">
        <f>IFERROR(F42*'As-Filed Schedule 1'!$E$103,0)</f>
        <v>430820.02344168629</v>
      </c>
      <c r="J42" s="306">
        <f>IFERROR(H42*'Adjusted Schedule 1'!$E$104,0)</f>
        <v>417434.3978721</v>
      </c>
      <c r="K42" s="68">
        <f t="shared" si="1"/>
        <v>1705932.0234416863</v>
      </c>
      <c r="L42" s="306">
        <f t="shared" si="2"/>
        <v>1692546.3978721001</v>
      </c>
      <c r="N42" s="117" t="str">
        <f>'As-Filed Schedule 2C'!J42</f>
        <v xml:space="preserve"> $                                -  </v>
      </c>
      <c r="O42" s="309">
        <f>SUMIFS(Adjustments!$G:$G,Adjustments!$H:$H,"2C",Adjustments!$I:$I,'Schedule 2C Adjustments'!$N$12,Adjustments!$J:$J,'Schedule 2C Adjustments'!$A42)</f>
        <v>0</v>
      </c>
      <c r="P42" s="305">
        <f t="shared" si="3"/>
        <v>0</v>
      </c>
      <c r="Q42" s="68">
        <f>IFERROR(N42*'As-Filed Schedule 1'!$E$103,0)</f>
        <v>0</v>
      </c>
      <c r="R42" s="306">
        <f>IFERROR(P42*'Adjusted Schedule 1'!$E$104,0)</f>
        <v>0</v>
      </c>
      <c r="S42" s="68">
        <f t="shared" si="4"/>
        <v>0</v>
      </c>
      <c r="T42" s="306">
        <f t="shared" si="5"/>
        <v>0</v>
      </c>
      <c r="V42" s="119">
        <f>'As-Filed Schedule 2C'!N42</f>
        <v>10.56</v>
      </c>
      <c r="W42" s="309">
        <f>SUMIFS(Adjustments!$G:$G,Adjustments!$H:$H,"2C",Adjustments!$I:$I,'Schedule 2C Adjustments'!$V$12,Adjustments!$J:$J,'Schedule 2C Adjustments'!$A42)</f>
        <v>0</v>
      </c>
      <c r="X42" s="305">
        <f t="shared" si="6"/>
        <v>10.56</v>
      </c>
      <c r="Y42" s="119">
        <f>'As-Filed Schedule 2C'!O42</f>
        <v>877</v>
      </c>
      <c r="Z42" s="309">
        <f>SUMIFS(Adjustments!$G:$G,Adjustments!$H:$H,"2C",Adjustments!$I:$I,'Schedule 2C Adjustments'!$Y$12,Adjustments!$J:$J,'Schedule 2C Adjustments'!$A42)</f>
        <v>0</v>
      </c>
      <c r="AA42" s="305">
        <f t="shared" si="7"/>
        <v>877</v>
      </c>
    </row>
    <row r="43" spans="1:27" x14ac:dyDescent="0.35">
      <c r="A43" s="24">
        <v>29</v>
      </c>
      <c r="B43" s="514" t="str">
        <f>IF('As-Filed Schedule 2C'!B43:D43=0,"",'As-Filed Schedule 2C'!B43:D43)</f>
        <v>Psychiatric Services</v>
      </c>
      <c r="C43" s="514"/>
      <c r="D43" s="514"/>
      <c r="F43" s="117">
        <f>'As-Filed Schedule 2C'!F43</f>
        <v>3043034</v>
      </c>
      <c r="G43" s="309">
        <f>SUMIFS(Adjustments!$G:$G,Adjustments!$H:$H,"2C",Adjustments!$I:$I,'Schedule 2C Adjustments'!$F$12,Adjustments!$J:$J,'Schedule 2C Adjustments'!$A43)</f>
        <v>-1304</v>
      </c>
      <c r="H43" s="305">
        <f t="shared" si="0"/>
        <v>3041730</v>
      </c>
      <c r="I43" s="68">
        <f>IFERROR(F43*'As-Filed Schedule 1'!$E$103,0)</f>
        <v>1028144.9623357386</v>
      </c>
      <c r="J43" s="306">
        <f>IFERROR(H43*'Adjusted Schedule 1'!$E$104,0)</f>
        <v>995773.4936535008</v>
      </c>
      <c r="K43" s="68">
        <f t="shared" si="1"/>
        <v>4071178.9623357384</v>
      </c>
      <c r="L43" s="306">
        <f t="shared" si="2"/>
        <v>4037503.4936535009</v>
      </c>
      <c r="N43" s="117" t="str">
        <f>'As-Filed Schedule 2C'!J43</f>
        <v xml:space="preserve"> $                                -  </v>
      </c>
      <c r="O43" s="309">
        <f>SUMIFS(Adjustments!$G:$G,Adjustments!$H:$H,"2C",Adjustments!$I:$I,'Schedule 2C Adjustments'!$N$12,Adjustments!$J:$J,'Schedule 2C Adjustments'!$A43)</f>
        <v>1304</v>
      </c>
      <c r="P43" s="305">
        <f t="shared" si="3"/>
        <v>1304</v>
      </c>
      <c r="Q43" s="68">
        <f>IFERROR(N43*'As-Filed Schedule 1'!$E$103,0)</f>
        <v>0</v>
      </c>
      <c r="R43" s="306">
        <f>IFERROR(P43*'Adjusted Schedule 1'!$E$104,0)</f>
        <v>426.89148468935934</v>
      </c>
      <c r="S43" s="68">
        <f t="shared" si="4"/>
        <v>0</v>
      </c>
      <c r="T43" s="306">
        <f t="shared" si="5"/>
        <v>1730.8914846893595</v>
      </c>
      <c r="V43" s="119">
        <f>'As-Filed Schedule 2C'!N43</f>
        <v>16.920000000000002</v>
      </c>
      <c r="W43" s="309">
        <f>SUMIFS(Adjustments!$G:$G,Adjustments!$H:$H,"2C",Adjustments!$I:$I,'Schedule 2C Adjustments'!$V$12,Adjustments!$J:$J,'Schedule 2C Adjustments'!$A43)</f>
        <v>0</v>
      </c>
      <c r="X43" s="305">
        <f t="shared" si="6"/>
        <v>16.920000000000002</v>
      </c>
      <c r="Y43" s="119">
        <f>'As-Filed Schedule 2C'!O43</f>
        <v>2718</v>
      </c>
      <c r="Z43" s="309">
        <f>SUMIFS(Adjustments!$G:$G,Adjustments!$H:$H,"2C",Adjustments!$I:$I,'Schedule 2C Adjustments'!$Y$12,Adjustments!$J:$J,'Schedule 2C Adjustments'!$A43)</f>
        <v>0</v>
      </c>
      <c r="AA43" s="305">
        <f t="shared" si="7"/>
        <v>2718</v>
      </c>
    </row>
    <row r="44" spans="1:27" x14ac:dyDescent="0.35">
      <c r="A44" s="24">
        <v>30</v>
      </c>
      <c r="B44" s="514" t="str">
        <f>IF('As-Filed Schedule 2C'!B44:D44=0,"",'As-Filed Schedule 2C'!B44:D44)</f>
        <v>Resiliency Program</v>
      </c>
      <c r="C44" s="514"/>
      <c r="D44" s="514"/>
      <c r="F44" s="117">
        <f>'As-Filed Schedule 2C'!F44</f>
        <v>1222318</v>
      </c>
      <c r="G44" s="309">
        <f>SUMIFS(Adjustments!$G:$G,Adjustments!$H:$H,"2C",Adjustments!$I:$I,'Schedule 2C Adjustments'!$F$12,Adjustments!$J:$J,'Schedule 2C Adjustments'!$A44)</f>
        <v>0</v>
      </c>
      <c r="H44" s="305">
        <f t="shared" si="0"/>
        <v>1222318</v>
      </c>
      <c r="I44" s="68">
        <f>IFERROR(F44*'As-Filed Schedule 1'!$E$103,0)</f>
        <v>412982.60028389277</v>
      </c>
      <c r="J44" s="306">
        <f>IFERROR(H44*'Adjusted Schedule 1'!$E$104,0)</f>
        <v>400151.18541604932</v>
      </c>
      <c r="K44" s="68">
        <f t="shared" si="1"/>
        <v>1635300.6002838928</v>
      </c>
      <c r="L44" s="306">
        <f t="shared" si="2"/>
        <v>1622469.1854160493</v>
      </c>
      <c r="N44" s="117" t="str">
        <f>'As-Filed Schedule 2C'!J44</f>
        <v xml:space="preserve"> $                                -  </v>
      </c>
      <c r="O44" s="309">
        <f>SUMIFS(Adjustments!$G:$G,Adjustments!$H:$H,"2C",Adjustments!$I:$I,'Schedule 2C Adjustments'!$N$12,Adjustments!$J:$J,'Schedule 2C Adjustments'!$A44)</f>
        <v>0</v>
      </c>
      <c r="P44" s="305">
        <f t="shared" si="3"/>
        <v>0</v>
      </c>
      <c r="Q44" s="68">
        <f>IFERROR(N44*'As-Filed Schedule 1'!$E$103,0)</f>
        <v>0</v>
      </c>
      <c r="R44" s="306">
        <f>IFERROR(P44*'Adjusted Schedule 1'!$E$104,0)</f>
        <v>0</v>
      </c>
      <c r="S44" s="68">
        <f t="shared" si="4"/>
        <v>0</v>
      </c>
      <c r="T44" s="306">
        <f t="shared" si="5"/>
        <v>0</v>
      </c>
      <c r="V44" s="119">
        <f>'As-Filed Schedule 2C'!N44</f>
        <v>12.18</v>
      </c>
      <c r="W44" s="309">
        <f>SUMIFS(Adjustments!$G:$G,Adjustments!$H:$H,"2C",Adjustments!$I:$I,'Schedule 2C Adjustments'!$V$12,Adjustments!$J:$J,'Schedule 2C Adjustments'!$A44)</f>
        <v>0</v>
      </c>
      <c r="X44" s="305">
        <f t="shared" si="6"/>
        <v>12.18</v>
      </c>
      <c r="Y44" s="119">
        <f>'As-Filed Schedule 2C'!O44</f>
        <v>489</v>
      </c>
      <c r="Z44" s="309">
        <f>SUMIFS(Adjustments!$G:$G,Adjustments!$H:$H,"2C",Adjustments!$I:$I,'Schedule 2C Adjustments'!$Y$12,Adjustments!$J:$J,'Schedule 2C Adjustments'!$A44)</f>
        <v>0</v>
      </c>
      <c r="AA44" s="305">
        <f t="shared" si="7"/>
        <v>489</v>
      </c>
    </row>
    <row r="45" spans="1:27" x14ac:dyDescent="0.35">
      <c r="A45" s="24">
        <v>31</v>
      </c>
      <c r="B45" s="514" t="str">
        <f>IF('As-Filed Schedule 2C'!B45:D45=0,"",'As-Filed Schedule 2C'!B45:D45)</f>
        <v>School Based Mental Health</v>
      </c>
      <c r="C45" s="514"/>
      <c r="D45" s="514"/>
      <c r="F45" s="117">
        <f>'As-Filed Schedule 2C'!F45</f>
        <v>2076981</v>
      </c>
      <c r="G45" s="309">
        <f>SUMIFS(Adjustments!$G:$G,Adjustments!$H:$H,"2C",Adjustments!$I:$I,'Schedule 2C Adjustments'!$F$12,Adjustments!$J:$J,'Schedule 2C Adjustments'!$A45)</f>
        <v>-150</v>
      </c>
      <c r="H45" s="305">
        <f t="shared" si="0"/>
        <v>2076831</v>
      </c>
      <c r="I45" s="68">
        <f>IFERROR(F45*'As-Filed Schedule 1'!$E$103,0)</f>
        <v>701746.20198691334</v>
      </c>
      <c r="J45" s="306">
        <f>IFERROR(H45*'Adjusted Schedule 1'!$E$104,0)</f>
        <v>679893.76460037334</v>
      </c>
      <c r="K45" s="68">
        <f t="shared" si="1"/>
        <v>2778727.2019869136</v>
      </c>
      <c r="L45" s="306">
        <f t="shared" si="2"/>
        <v>2756724.7646003733</v>
      </c>
      <c r="N45" s="117" t="str">
        <f>'As-Filed Schedule 2C'!J45</f>
        <v xml:space="preserve"> $                                -  </v>
      </c>
      <c r="O45" s="309">
        <f>SUMIFS(Adjustments!$G:$G,Adjustments!$H:$H,"2C",Adjustments!$I:$I,'Schedule 2C Adjustments'!$N$12,Adjustments!$J:$J,'Schedule 2C Adjustments'!$A45)</f>
        <v>0</v>
      </c>
      <c r="P45" s="305">
        <f t="shared" si="3"/>
        <v>0</v>
      </c>
      <c r="Q45" s="68">
        <f>IFERROR(N45*'As-Filed Schedule 1'!$E$103,0)</f>
        <v>0</v>
      </c>
      <c r="R45" s="306">
        <f>IFERROR(P45*'Adjusted Schedule 1'!$E$104,0)</f>
        <v>0</v>
      </c>
      <c r="S45" s="68">
        <f t="shared" si="4"/>
        <v>0</v>
      </c>
      <c r="T45" s="306">
        <f t="shared" si="5"/>
        <v>0</v>
      </c>
      <c r="V45" s="119">
        <f>'As-Filed Schedule 2C'!N45</f>
        <v>23.89</v>
      </c>
      <c r="W45" s="309">
        <f>SUMIFS(Adjustments!$G:$G,Adjustments!$H:$H,"2C",Adjustments!$I:$I,'Schedule 2C Adjustments'!$V$12,Adjustments!$J:$J,'Schedule 2C Adjustments'!$A45)</f>
        <v>0</v>
      </c>
      <c r="X45" s="305">
        <f t="shared" si="6"/>
        <v>23.89</v>
      </c>
      <c r="Y45" s="119">
        <f>'As-Filed Schedule 2C'!O45</f>
        <v>913</v>
      </c>
      <c r="Z45" s="309">
        <f>SUMIFS(Adjustments!$G:$G,Adjustments!$H:$H,"2C",Adjustments!$I:$I,'Schedule 2C Adjustments'!$Y$12,Adjustments!$J:$J,'Schedule 2C Adjustments'!$A45)</f>
        <v>0</v>
      </c>
      <c r="AA45" s="305">
        <f t="shared" si="7"/>
        <v>913</v>
      </c>
    </row>
    <row r="46" spans="1:27" x14ac:dyDescent="0.35">
      <c r="A46" s="24">
        <v>32</v>
      </c>
      <c r="B46" s="514" t="str">
        <f>IF('As-Filed Schedule 2C'!B46:D46=0,"",'As-Filed Schedule 2C'!B46:D46)</f>
        <v>SU IOP</v>
      </c>
      <c r="C46" s="514"/>
      <c r="D46" s="514"/>
      <c r="F46" s="117">
        <f>'As-Filed Schedule 2C'!F46</f>
        <v>369171</v>
      </c>
      <c r="G46" s="309">
        <f>SUMIFS(Adjustments!$G:$G,Adjustments!$H:$H,"2C",Adjustments!$I:$I,'Schedule 2C Adjustments'!$F$12,Adjustments!$J:$J,'Schedule 2C Adjustments'!$A46)</f>
        <v>0</v>
      </c>
      <c r="H46" s="305">
        <f t="shared" si="0"/>
        <v>369171</v>
      </c>
      <c r="I46" s="68">
        <f>IFERROR(F46*'As-Filed Schedule 1'!$E$103,0)</f>
        <v>124731.20704219768</v>
      </c>
      <c r="J46" s="306">
        <f>IFERROR(H46*'Adjusted Schedule 1'!$E$104,0)</f>
        <v>120855.79470418366</v>
      </c>
      <c r="K46" s="68">
        <f t="shared" si="1"/>
        <v>493902.2070421977</v>
      </c>
      <c r="L46" s="306">
        <f t="shared" si="2"/>
        <v>490026.79470418365</v>
      </c>
      <c r="N46" s="117" t="str">
        <f>'As-Filed Schedule 2C'!J46</f>
        <v xml:space="preserve"> $                                -  </v>
      </c>
      <c r="O46" s="309">
        <f>SUMIFS(Adjustments!$G:$G,Adjustments!$H:$H,"2C",Adjustments!$I:$I,'Schedule 2C Adjustments'!$N$12,Adjustments!$J:$J,'Schedule 2C Adjustments'!$A46)</f>
        <v>0</v>
      </c>
      <c r="P46" s="305">
        <f t="shared" si="3"/>
        <v>0</v>
      </c>
      <c r="Q46" s="68">
        <f>IFERROR(N46*'As-Filed Schedule 1'!$E$103,0)</f>
        <v>0</v>
      </c>
      <c r="R46" s="306">
        <f>IFERROR(P46*'Adjusted Schedule 1'!$E$104,0)</f>
        <v>0</v>
      </c>
      <c r="S46" s="68">
        <f t="shared" si="4"/>
        <v>0</v>
      </c>
      <c r="T46" s="306">
        <f t="shared" si="5"/>
        <v>0</v>
      </c>
      <c r="V46" s="119">
        <f>'As-Filed Schedule 2C'!N46</f>
        <v>2</v>
      </c>
      <c r="W46" s="309">
        <f>SUMIFS(Adjustments!$G:$G,Adjustments!$H:$H,"2C",Adjustments!$I:$I,'Schedule 2C Adjustments'!$V$12,Adjustments!$J:$J,'Schedule 2C Adjustments'!$A46)</f>
        <v>0</v>
      </c>
      <c r="X46" s="305">
        <f t="shared" si="6"/>
        <v>2</v>
      </c>
      <c r="Y46" s="119">
        <f>'As-Filed Schedule 2C'!O46</f>
        <v>212</v>
      </c>
      <c r="Z46" s="309">
        <f>SUMIFS(Adjustments!$G:$G,Adjustments!$H:$H,"2C",Adjustments!$I:$I,'Schedule 2C Adjustments'!$Y$12,Adjustments!$J:$J,'Schedule 2C Adjustments'!$A46)</f>
        <v>0</v>
      </c>
      <c r="AA46" s="305">
        <f t="shared" si="7"/>
        <v>212</v>
      </c>
    </row>
    <row r="47" spans="1:27" x14ac:dyDescent="0.35">
      <c r="A47" s="24">
        <v>33</v>
      </c>
      <c r="B47" s="514" t="str">
        <f>IF('As-Filed Schedule 2C'!B47:D47=0,"",'As-Filed Schedule 2C'!B47:D47)</f>
        <v>Sycamore</v>
      </c>
      <c r="C47" s="514"/>
      <c r="D47" s="514"/>
      <c r="F47" s="117">
        <f>'As-Filed Schedule 2C'!F47</f>
        <v>-95922</v>
      </c>
      <c r="G47" s="309">
        <f>SUMIFS(Adjustments!$G:$G,Adjustments!$H:$H,"2C",Adjustments!$I:$I,'Schedule 2C Adjustments'!$F$12,Adjustments!$J:$J,'Schedule 2C Adjustments'!$A47)</f>
        <v>-108996</v>
      </c>
      <c r="H47" s="305">
        <f t="shared" si="0"/>
        <v>-204918</v>
      </c>
      <c r="I47" s="68">
        <f>IFERROR(F47*'As-Filed Schedule 1'!$E$103,0)</f>
        <v>-32409.010572070085</v>
      </c>
      <c r="J47" s="306">
        <f>IFERROR(H47*'Adjusted Schedule 1'!$E$104,0)</f>
        <v>-67084.163542618204</v>
      </c>
      <c r="K47" s="68">
        <f t="shared" si="1"/>
        <v>-128331.01057207008</v>
      </c>
      <c r="L47" s="306">
        <f t="shared" si="2"/>
        <v>-272002.16354261822</v>
      </c>
      <c r="N47" s="117" t="str">
        <f>'As-Filed Schedule 2C'!J47</f>
        <v xml:space="preserve"> $                                -  </v>
      </c>
      <c r="O47" s="309">
        <f>SUMIFS(Adjustments!$G:$G,Adjustments!$H:$H,"2C",Adjustments!$I:$I,'Schedule 2C Adjustments'!$N$12,Adjustments!$J:$J,'Schedule 2C Adjustments'!$A47)</f>
        <v>0</v>
      </c>
      <c r="P47" s="305">
        <f t="shared" si="3"/>
        <v>0</v>
      </c>
      <c r="Q47" s="68">
        <f>IFERROR(N47*'As-Filed Schedule 1'!$E$103,0)</f>
        <v>0</v>
      </c>
      <c r="R47" s="306">
        <f>IFERROR(P47*'Adjusted Schedule 1'!$E$104,0)</f>
        <v>0</v>
      </c>
      <c r="S47" s="68">
        <f t="shared" si="4"/>
        <v>0</v>
      </c>
      <c r="T47" s="306">
        <f t="shared" si="5"/>
        <v>0</v>
      </c>
      <c r="V47" s="119" t="str">
        <f>'As-Filed Schedule 2C'!N47</f>
        <v xml:space="preserve">                   -  </v>
      </c>
      <c r="W47" s="309">
        <f>SUMIFS(Adjustments!$G:$G,Adjustments!$H:$H,"2C",Adjustments!$I:$I,'Schedule 2C Adjustments'!$V$12,Adjustments!$J:$J,'Schedule 2C Adjustments'!$A47)</f>
        <v>0</v>
      </c>
      <c r="X47" s="305">
        <f t="shared" si="6"/>
        <v>0</v>
      </c>
      <c r="Y47" s="119" t="str">
        <f>'As-Filed Schedule 2C'!O47</f>
        <v xml:space="preserve">                     -  </v>
      </c>
      <c r="Z47" s="309">
        <f>SUMIFS(Adjustments!$G:$G,Adjustments!$H:$H,"2C",Adjustments!$I:$I,'Schedule 2C Adjustments'!$Y$12,Adjustments!$J:$J,'Schedule 2C Adjustments'!$A47)</f>
        <v>0</v>
      </c>
      <c r="AA47" s="305">
        <f t="shared" si="7"/>
        <v>0</v>
      </c>
    </row>
    <row r="48" spans="1:27" x14ac:dyDescent="0.35">
      <c r="A48" s="24">
        <v>34</v>
      </c>
      <c r="B48" s="514" t="str">
        <f>IF('As-Filed Schedule 2C'!B48:D48=0,"",'As-Filed Schedule 2C'!B48:D48)</f>
        <v>Sycamore Counseling</v>
      </c>
      <c r="C48" s="514"/>
      <c r="D48" s="514"/>
      <c r="F48" s="117">
        <f>'As-Filed Schedule 2C'!F48</f>
        <v>903070</v>
      </c>
      <c r="G48" s="309">
        <f>SUMIFS(Adjustments!$G:$G,Adjustments!$H:$H,"2C",Adjustments!$I:$I,'Schedule 2C Adjustments'!$F$12,Adjustments!$J:$J,'Schedule 2C Adjustments'!$A48)</f>
        <v>0</v>
      </c>
      <c r="H48" s="305">
        <f t="shared" si="0"/>
        <v>903070</v>
      </c>
      <c r="I48" s="68">
        <f>IFERROR(F48*'As-Filed Schedule 1'!$E$103,0)</f>
        <v>305118.7962857252</v>
      </c>
      <c r="J48" s="306">
        <f>IFERROR(H48*'Adjusted Schedule 1'!$E$104,0)</f>
        <v>295638.72168590472</v>
      </c>
      <c r="K48" s="68">
        <f t="shared" si="1"/>
        <v>1208188.7962857252</v>
      </c>
      <c r="L48" s="306">
        <f t="shared" si="2"/>
        <v>1198708.7216859048</v>
      </c>
      <c r="N48" s="117" t="str">
        <f>'As-Filed Schedule 2C'!J48</f>
        <v xml:space="preserve"> $                                -  </v>
      </c>
      <c r="O48" s="309">
        <f>SUMIFS(Adjustments!$G:$G,Adjustments!$H:$H,"2C",Adjustments!$I:$I,'Schedule 2C Adjustments'!$N$12,Adjustments!$J:$J,'Schedule 2C Adjustments'!$A48)</f>
        <v>0</v>
      </c>
      <c r="P48" s="305">
        <f t="shared" si="3"/>
        <v>0</v>
      </c>
      <c r="Q48" s="68">
        <f>IFERROR(N48*'As-Filed Schedule 1'!$E$103,0)</f>
        <v>0</v>
      </c>
      <c r="R48" s="306">
        <f>IFERROR(P48*'Adjusted Schedule 1'!$E$104,0)</f>
        <v>0</v>
      </c>
      <c r="S48" s="68">
        <f t="shared" si="4"/>
        <v>0</v>
      </c>
      <c r="T48" s="306">
        <f t="shared" si="5"/>
        <v>0</v>
      </c>
      <c r="V48" s="119">
        <f>'As-Filed Schedule 2C'!N48</f>
        <v>7.05</v>
      </c>
      <c r="W48" s="309">
        <f>SUMIFS(Adjustments!$G:$G,Adjustments!$H:$H,"2C",Adjustments!$I:$I,'Schedule 2C Adjustments'!$V$12,Adjustments!$J:$J,'Schedule 2C Adjustments'!$A48)</f>
        <v>0</v>
      </c>
      <c r="X48" s="305">
        <f t="shared" si="6"/>
        <v>7.05</v>
      </c>
      <c r="Y48" s="119">
        <f>'As-Filed Schedule 2C'!O48</f>
        <v>465</v>
      </c>
      <c r="Z48" s="309">
        <f>SUMIFS(Adjustments!$G:$G,Adjustments!$H:$H,"2C",Adjustments!$I:$I,'Schedule 2C Adjustments'!$Y$12,Adjustments!$J:$J,'Schedule 2C Adjustments'!$A48)</f>
        <v>0</v>
      </c>
      <c r="AA48" s="305">
        <f t="shared" si="7"/>
        <v>465</v>
      </c>
    </row>
    <row r="49" spans="1:27" x14ac:dyDescent="0.35">
      <c r="A49" s="24">
        <v>35</v>
      </c>
      <c r="B49" s="514" t="str">
        <f>IF('As-Filed Schedule 2C'!B49:D49=0,"",'As-Filed Schedule 2C'!B49:D49)</f>
        <v>Wellness Center</v>
      </c>
      <c r="C49" s="514"/>
      <c r="D49" s="514"/>
      <c r="F49" s="117">
        <f>'As-Filed Schedule 2C'!F49</f>
        <v>1739</v>
      </c>
      <c r="G49" s="309">
        <f>SUMIFS(Adjustments!$G:$G,Adjustments!$H:$H,"2C",Adjustments!$I:$I,'Schedule 2C Adjustments'!$F$12,Adjustments!$J:$J,'Schedule 2C Adjustments'!$A49)</f>
        <v>-22392</v>
      </c>
      <c r="H49" s="305">
        <f t="shared" si="0"/>
        <v>-20653</v>
      </c>
      <c r="I49" s="68">
        <f>IFERROR(F49*'As-Filed Schedule 1'!$E$103,0)</f>
        <v>587.55310966024354</v>
      </c>
      <c r="J49" s="306">
        <f>IFERROR(H49*'Adjusted Schedule 1'!$E$104,0)</f>
        <v>-6761.1885224611497</v>
      </c>
      <c r="K49" s="68">
        <f t="shared" si="1"/>
        <v>2326.5531096602435</v>
      </c>
      <c r="L49" s="306">
        <f t="shared" si="2"/>
        <v>-27414.188522461151</v>
      </c>
      <c r="N49" s="117" t="str">
        <f>'As-Filed Schedule 2C'!J49</f>
        <v xml:space="preserve"> $                                -  </v>
      </c>
      <c r="O49" s="309">
        <f>SUMIFS(Adjustments!$G:$G,Adjustments!$H:$H,"2C",Adjustments!$I:$I,'Schedule 2C Adjustments'!$N$12,Adjustments!$J:$J,'Schedule 2C Adjustments'!$A49)</f>
        <v>0</v>
      </c>
      <c r="P49" s="305">
        <f t="shared" si="3"/>
        <v>0</v>
      </c>
      <c r="Q49" s="68">
        <f>IFERROR(N49*'As-Filed Schedule 1'!$E$103,0)</f>
        <v>0</v>
      </c>
      <c r="R49" s="306">
        <f>IFERROR(P49*'Adjusted Schedule 1'!$E$104,0)</f>
        <v>0</v>
      </c>
      <c r="S49" s="68">
        <f t="shared" si="4"/>
        <v>0</v>
      </c>
      <c r="T49" s="306">
        <f t="shared" si="5"/>
        <v>0</v>
      </c>
      <c r="V49" s="119">
        <f>'As-Filed Schedule 2C'!N49</f>
        <v>1.9</v>
      </c>
      <c r="W49" s="309">
        <f>SUMIFS(Adjustments!$G:$G,Adjustments!$H:$H,"2C",Adjustments!$I:$I,'Schedule 2C Adjustments'!$V$12,Adjustments!$J:$J,'Schedule 2C Adjustments'!$A49)</f>
        <v>0</v>
      </c>
      <c r="X49" s="305">
        <f t="shared" si="6"/>
        <v>1.9</v>
      </c>
      <c r="Y49" s="119">
        <f>'As-Filed Schedule 2C'!O49</f>
        <v>29</v>
      </c>
      <c r="Z49" s="309">
        <f>SUMIFS(Adjustments!$G:$G,Adjustments!$H:$H,"2C",Adjustments!$I:$I,'Schedule 2C Adjustments'!$Y$12,Adjustments!$J:$J,'Schedule 2C Adjustments'!$A49)</f>
        <v>0</v>
      </c>
      <c r="AA49" s="305">
        <f t="shared" si="7"/>
        <v>29</v>
      </c>
    </row>
    <row r="50" spans="1:27" x14ac:dyDescent="0.35">
      <c r="A50" s="24">
        <v>36</v>
      </c>
      <c r="B50" s="514" t="str">
        <f>IF('As-Filed Schedule 2C'!B50:D50=0,"",'As-Filed Schedule 2C'!B50:D50)</f>
        <v>Early Childhood Consultati</v>
      </c>
      <c r="C50" s="514"/>
      <c r="D50" s="514"/>
      <c r="F50" s="117" t="str">
        <f>'As-Filed Schedule 2C'!F50</f>
        <v xml:space="preserve"> $                                -  </v>
      </c>
      <c r="G50" s="309">
        <f>SUMIFS(Adjustments!$G:$G,Adjustments!$H:$H,"2C",Adjustments!$I:$I,'Schedule 2C Adjustments'!$F$12,Adjustments!$J:$J,'Schedule 2C Adjustments'!$A50)</f>
        <v>0</v>
      </c>
      <c r="H50" s="305">
        <f t="shared" si="0"/>
        <v>0</v>
      </c>
      <c r="I50" s="68">
        <f>IFERROR(F50*'As-Filed Schedule 1'!$E$103,0)</f>
        <v>0</v>
      </c>
      <c r="J50" s="306">
        <f>IFERROR(H50*'Adjusted Schedule 1'!$E$104,0)</f>
        <v>0</v>
      </c>
      <c r="K50" s="68">
        <f t="shared" si="1"/>
        <v>0</v>
      </c>
      <c r="L50" s="306">
        <f t="shared" si="2"/>
        <v>0</v>
      </c>
      <c r="N50" s="117">
        <f>'As-Filed Schedule 2C'!J50</f>
        <v>312084</v>
      </c>
      <c r="O50" s="309">
        <f>SUMIFS(Adjustments!$G:$G,Adjustments!$H:$H,"2C",Adjustments!$I:$I,'Schedule 2C Adjustments'!$N$12,Adjustments!$J:$J,'Schedule 2C Adjustments'!$A50)</f>
        <v>-312084</v>
      </c>
      <c r="P50" s="305">
        <f t="shared" si="3"/>
        <v>0</v>
      </c>
      <c r="Q50" s="68">
        <f>IFERROR(N50*'As-Filed Schedule 1'!$E$103,0)</f>
        <v>105443.31493686454</v>
      </c>
      <c r="R50" s="306">
        <f>IFERROR(P50*'Adjusted Schedule 1'!$E$104,0)</f>
        <v>0</v>
      </c>
      <c r="S50" s="68">
        <f t="shared" si="4"/>
        <v>417527.31493686454</v>
      </c>
      <c r="T50" s="306">
        <f t="shared" si="5"/>
        <v>0</v>
      </c>
      <c r="V50" s="119">
        <f>'As-Filed Schedule 2C'!N50</f>
        <v>3</v>
      </c>
      <c r="W50" s="309">
        <f>SUMIFS(Adjustments!$G:$G,Adjustments!$H:$H,"2C",Adjustments!$I:$I,'Schedule 2C Adjustments'!$V$12,Adjustments!$J:$J,'Schedule 2C Adjustments'!$A50)</f>
        <v>-3</v>
      </c>
      <c r="X50" s="305">
        <f t="shared" si="6"/>
        <v>0</v>
      </c>
      <c r="Y50" s="119" t="str">
        <f>'As-Filed Schedule 2C'!O50</f>
        <v xml:space="preserve">                     -  </v>
      </c>
      <c r="Z50" s="309">
        <f>SUMIFS(Adjustments!$G:$G,Adjustments!$H:$H,"2C",Adjustments!$I:$I,'Schedule 2C Adjustments'!$Y$12,Adjustments!$J:$J,'Schedule 2C Adjustments'!$A50)</f>
        <v>0</v>
      </c>
      <c r="AA50" s="305">
        <f t="shared" si="7"/>
        <v>0</v>
      </c>
    </row>
    <row r="51" spans="1:27" x14ac:dyDescent="0.35">
      <c r="A51" s="24">
        <v>37</v>
      </c>
      <c r="B51" s="514" t="str">
        <f>IF('As-Filed Schedule 2C'!B51:D51=0,"",'As-Filed Schedule 2C'!B51:D51)</f>
        <v>Bridges</v>
      </c>
      <c r="C51" s="514"/>
      <c r="D51" s="514"/>
      <c r="F51" s="117" t="str">
        <f>'As-Filed Schedule 2C'!F51</f>
        <v xml:space="preserve"> $                                -  </v>
      </c>
      <c r="G51" s="309">
        <f>SUMIFS(Adjustments!$G:$G,Adjustments!$H:$H,"2C",Adjustments!$I:$I,'Schedule 2C Adjustments'!$F$12,Adjustments!$J:$J,'Schedule 2C Adjustments'!$A51)</f>
        <v>0</v>
      </c>
      <c r="H51" s="305">
        <f t="shared" si="0"/>
        <v>0</v>
      </c>
      <c r="I51" s="68">
        <f>IFERROR(F51*'As-Filed Schedule 1'!$E$103,0)</f>
        <v>0</v>
      </c>
      <c r="J51" s="306">
        <f>IFERROR(H51*'Adjusted Schedule 1'!$E$104,0)</f>
        <v>0</v>
      </c>
      <c r="K51" s="68">
        <f t="shared" si="1"/>
        <v>0</v>
      </c>
      <c r="L51" s="306">
        <f t="shared" si="2"/>
        <v>0</v>
      </c>
      <c r="N51" s="117">
        <f>'As-Filed Schedule 2C'!J51</f>
        <v>235531</v>
      </c>
      <c r="O51" s="309">
        <f>SUMIFS(Adjustments!$G:$G,Adjustments!$H:$H,"2C",Adjustments!$I:$I,'Schedule 2C Adjustments'!$N$12,Adjustments!$J:$J,'Schedule 2C Adjustments'!$A51)</f>
        <v>0</v>
      </c>
      <c r="P51" s="305">
        <f t="shared" si="3"/>
        <v>235531</v>
      </c>
      <c r="Q51" s="68">
        <f>IFERROR(N51*'As-Filed Schedule 1'!$E$103,0)</f>
        <v>79578.476981821063</v>
      </c>
      <c r="R51" s="306">
        <f>IFERROR(P51*'Adjusted Schedule 1'!$E$104,0)</f>
        <v>77105.96493893367</v>
      </c>
      <c r="S51" s="68">
        <f t="shared" si="4"/>
        <v>315109.47698182106</v>
      </c>
      <c r="T51" s="306">
        <f t="shared" si="5"/>
        <v>312636.96493893367</v>
      </c>
      <c r="V51" s="119">
        <f>'As-Filed Schedule 2C'!N51</f>
        <v>2.88</v>
      </c>
      <c r="W51" s="309">
        <f>SUMIFS(Adjustments!$G:$G,Adjustments!$H:$H,"2C",Adjustments!$I:$I,'Schedule 2C Adjustments'!$V$12,Adjustments!$J:$J,'Schedule 2C Adjustments'!$A51)</f>
        <v>0</v>
      </c>
      <c r="X51" s="305">
        <f t="shared" si="6"/>
        <v>2.88</v>
      </c>
      <c r="Y51" s="119">
        <f>'As-Filed Schedule 2C'!O51</f>
        <v>4</v>
      </c>
      <c r="Z51" s="309">
        <f>SUMIFS(Adjustments!$G:$G,Adjustments!$H:$H,"2C",Adjustments!$I:$I,'Schedule 2C Adjustments'!$Y$12,Adjustments!$J:$J,'Schedule 2C Adjustments'!$A51)</f>
        <v>0</v>
      </c>
      <c r="AA51" s="305">
        <f t="shared" si="7"/>
        <v>4</v>
      </c>
    </row>
    <row r="52" spans="1:27" x14ac:dyDescent="0.35">
      <c r="A52" s="24">
        <v>38</v>
      </c>
      <c r="B52" s="514" t="str">
        <f>IF('As-Filed Schedule 2C'!B52:D52=0,"",'As-Filed Schedule 2C'!B52:D52)</f>
        <v>Early Childhood</v>
      </c>
      <c r="C52" s="514"/>
      <c r="D52" s="514"/>
      <c r="F52" s="117" t="str">
        <f>'As-Filed Schedule 2C'!F52</f>
        <v xml:space="preserve"> $                                -  </v>
      </c>
      <c r="G52" s="309">
        <f>SUMIFS(Adjustments!$G:$G,Adjustments!$H:$H,"2C",Adjustments!$I:$I,'Schedule 2C Adjustments'!$F$12,Adjustments!$J:$J,'Schedule 2C Adjustments'!$A52)</f>
        <v>902063</v>
      </c>
      <c r="H52" s="305">
        <f t="shared" si="0"/>
        <v>902063</v>
      </c>
      <c r="I52" s="68">
        <f>IFERROR(F52*'As-Filed Schedule 1'!$E$103,0)</f>
        <v>0</v>
      </c>
      <c r="J52" s="306">
        <f>IFERROR(H52*'Adjusted Schedule 1'!$E$104,0)</f>
        <v>295309.05932004412</v>
      </c>
      <c r="K52" s="68">
        <f t="shared" si="1"/>
        <v>0</v>
      </c>
      <c r="L52" s="306">
        <f t="shared" si="2"/>
        <v>1197372.0593200442</v>
      </c>
      <c r="N52" s="117">
        <f>'As-Filed Schedule 2C'!J52</f>
        <v>902063</v>
      </c>
      <c r="O52" s="309">
        <f>SUMIFS(Adjustments!$G:$G,Adjustments!$H:$H,"2C",Adjustments!$I:$I,'Schedule 2C Adjustments'!$N$12,Adjustments!$J:$J,'Schedule 2C Adjustments'!$A52)</f>
        <v>-902063</v>
      </c>
      <c r="P52" s="305">
        <f t="shared" si="3"/>
        <v>0</v>
      </c>
      <c r="Q52" s="68">
        <f>IFERROR(N52*'As-Filed Schedule 1'!$E$103,0)</f>
        <v>304778.56282889494</v>
      </c>
      <c r="R52" s="306">
        <f>IFERROR(P52*'Adjusted Schedule 1'!$E$104,0)</f>
        <v>0</v>
      </c>
      <c r="S52" s="68">
        <f t="shared" si="4"/>
        <v>1206841.5628288949</v>
      </c>
      <c r="T52" s="306">
        <f t="shared" si="5"/>
        <v>0</v>
      </c>
      <c r="V52" s="119">
        <f>'As-Filed Schedule 2C'!N52</f>
        <v>7</v>
      </c>
      <c r="W52" s="309">
        <f>SUMIFS(Adjustments!$G:$G,Adjustments!$H:$H,"2C",Adjustments!$I:$I,'Schedule 2C Adjustments'!$V$12,Adjustments!$J:$J,'Schedule 2C Adjustments'!$A52)</f>
        <v>0</v>
      </c>
      <c r="X52" s="305">
        <f t="shared" si="6"/>
        <v>7</v>
      </c>
      <c r="Y52" s="119">
        <f>'As-Filed Schedule 2C'!O52</f>
        <v>310</v>
      </c>
      <c r="Z52" s="309">
        <f>SUMIFS(Adjustments!$G:$G,Adjustments!$H:$H,"2C",Adjustments!$I:$I,'Schedule 2C Adjustments'!$Y$12,Adjustments!$J:$J,'Schedule 2C Adjustments'!$A52)</f>
        <v>0</v>
      </c>
      <c r="AA52" s="305">
        <f t="shared" si="7"/>
        <v>310</v>
      </c>
    </row>
    <row r="53" spans="1:27" x14ac:dyDescent="0.35">
      <c r="A53" s="24">
        <v>39</v>
      </c>
      <c r="B53" s="514" t="str">
        <f>IF('As-Filed Schedule 2C'!B53:D53=0,"",'As-Filed Schedule 2C'!B53:D53)</f>
        <v>Nursing Services</v>
      </c>
      <c r="C53" s="514"/>
      <c r="D53" s="514"/>
      <c r="F53" s="117">
        <f>'As-Filed Schedule 2C'!F53</f>
        <v>899098</v>
      </c>
      <c r="G53" s="309">
        <f>SUMIFS(Adjustments!$G:$G,Adjustments!$H:$H,"2C",Adjustments!$I:$I,'Schedule 2C Adjustments'!$F$12,Adjustments!$J:$J,'Schedule 2C Adjustments'!$A53)</f>
        <v>0</v>
      </c>
      <c r="H53" s="305">
        <f t="shared" si="0"/>
        <v>899098</v>
      </c>
      <c r="I53" s="68">
        <f>IFERROR(F53*'As-Filed Schedule 1'!$E$103,0)</f>
        <v>303776.78308758233</v>
      </c>
      <c r="J53" s="306">
        <f>IFERROR(H53*'Adjusted Schedule 1'!$E$104,0)</f>
        <v>294338.40498560859</v>
      </c>
      <c r="K53" s="68">
        <f t="shared" si="1"/>
        <v>1202874.7830875823</v>
      </c>
      <c r="L53" s="306">
        <f t="shared" si="2"/>
        <v>1193436.4049856085</v>
      </c>
      <c r="N53" s="117" t="str">
        <f>'As-Filed Schedule 2C'!J53</f>
        <v xml:space="preserve"> $                                -  </v>
      </c>
      <c r="O53" s="309">
        <f>SUMIFS(Adjustments!$G:$G,Adjustments!$H:$H,"2C",Adjustments!$I:$I,'Schedule 2C Adjustments'!$N$12,Adjustments!$J:$J,'Schedule 2C Adjustments'!$A53)</f>
        <v>0</v>
      </c>
      <c r="P53" s="305">
        <f t="shared" si="3"/>
        <v>0</v>
      </c>
      <c r="Q53" s="68">
        <f>IFERROR(N53*'As-Filed Schedule 1'!$E$103,0)</f>
        <v>0</v>
      </c>
      <c r="R53" s="306">
        <f>IFERROR(P53*'Adjusted Schedule 1'!$E$104,0)</f>
        <v>0</v>
      </c>
      <c r="S53" s="68">
        <f t="shared" si="4"/>
        <v>0</v>
      </c>
      <c r="T53" s="306">
        <f t="shared" si="5"/>
        <v>0</v>
      </c>
      <c r="V53" s="119">
        <f>'As-Filed Schedule 2C'!N53</f>
        <v>23.84</v>
      </c>
      <c r="W53" s="309">
        <f>SUMIFS(Adjustments!$G:$G,Adjustments!$H:$H,"2C",Adjustments!$I:$I,'Schedule 2C Adjustments'!$V$12,Adjustments!$J:$J,'Schedule 2C Adjustments'!$A53)</f>
        <v>0</v>
      </c>
      <c r="X53" s="305">
        <f t="shared" si="6"/>
        <v>23.84</v>
      </c>
      <c r="Y53" s="119">
        <f>'As-Filed Schedule 2C'!O53</f>
        <v>2</v>
      </c>
      <c r="Z53" s="309">
        <f>SUMIFS(Adjustments!$G:$G,Adjustments!$H:$H,"2C",Adjustments!$I:$I,'Schedule 2C Adjustments'!$Y$12,Adjustments!$J:$J,'Schedule 2C Adjustments'!$A53)</f>
        <v>0</v>
      </c>
      <c r="AA53" s="305">
        <f t="shared" si="7"/>
        <v>2</v>
      </c>
    </row>
    <row r="54" spans="1:27" x14ac:dyDescent="0.35">
      <c r="A54" s="24">
        <v>40</v>
      </c>
      <c r="B54" s="514" t="str">
        <f>IF('As-Filed Schedule 2C'!B54:D54=0,"",'As-Filed Schedule 2C'!B54:D54)</f>
        <v>Pharmacy Sycamore</v>
      </c>
      <c r="C54" s="514"/>
      <c r="D54" s="514"/>
      <c r="F54" s="117" t="str">
        <f>'As-Filed Schedule 2C'!F54</f>
        <v xml:space="preserve"> $                                -  </v>
      </c>
      <c r="G54" s="309">
        <f>SUMIFS(Adjustments!$G:$G,Adjustments!$H:$H,"2C",Adjustments!$I:$I,'Schedule 2C Adjustments'!$F$12,Adjustments!$J:$J,'Schedule 2C Adjustments'!$A54)</f>
        <v>0</v>
      </c>
      <c r="H54" s="305">
        <f t="shared" si="0"/>
        <v>0</v>
      </c>
      <c r="I54" s="68">
        <f>IFERROR(F54*'As-Filed Schedule 1'!$E$103,0)</f>
        <v>0</v>
      </c>
      <c r="J54" s="306">
        <f>IFERROR(H54*'Adjusted Schedule 1'!$E$104,0)</f>
        <v>0</v>
      </c>
      <c r="K54" s="68">
        <f t="shared" si="1"/>
        <v>0</v>
      </c>
      <c r="L54" s="306">
        <f t="shared" si="2"/>
        <v>0</v>
      </c>
      <c r="N54" s="117">
        <f>'As-Filed Schedule 2C'!J54</f>
        <v>13253753</v>
      </c>
      <c r="O54" s="309">
        <f>SUMIFS(Adjustments!$G:$G,Adjustments!$H:$H,"2C",Adjustments!$I:$I,'Schedule 2C Adjustments'!$N$12,Adjustments!$J:$J,'Schedule 2C Adjustments'!$A54)</f>
        <v>-605</v>
      </c>
      <c r="P54" s="305">
        <f t="shared" si="3"/>
        <v>13253148</v>
      </c>
      <c r="Q54" s="68">
        <f>IFERROR(N54*'As-Filed Schedule 1'!$E$103,0)</f>
        <v>4478024.0309481202</v>
      </c>
      <c r="R54" s="306">
        <f>IFERROR(P54*'Adjusted Schedule 1'!$E$104,0)</f>
        <v>4338693.2718771575</v>
      </c>
      <c r="S54" s="68">
        <f t="shared" si="4"/>
        <v>17731777.030948121</v>
      </c>
      <c r="T54" s="306">
        <f t="shared" si="5"/>
        <v>17591841.271877158</v>
      </c>
      <c r="V54" s="119">
        <f>'As-Filed Schedule 2C'!N54</f>
        <v>8.93</v>
      </c>
      <c r="W54" s="309">
        <f>SUMIFS(Adjustments!$G:$G,Adjustments!$H:$H,"2C",Adjustments!$I:$I,'Schedule 2C Adjustments'!$V$12,Adjustments!$J:$J,'Schedule 2C Adjustments'!$A54)</f>
        <v>0</v>
      </c>
      <c r="X54" s="305">
        <f t="shared" si="6"/>
        <v>8.93</v>
      </c>
      <c r="Y54" s="119" t="str">
        <f>'As-Filed Schedule 2C'!O54</f>
        <v xml:space="preserve">                     -  </v>
      </c>
      <c r="Z54" s="309">
        <f>SUMIFS(Adjustments!$G:$G,Adjustments!$H:$H,"2C",Adjustments!$I:$I,'Schedule 2C Adjustments'!$Y$12,Adjustments!$J:$J,'Schedule 2C Adjustments'!$A54)</f>
        <v>0</v>
      </c>
      <c r="AA54" s="305">
        <f t="shared" si="7"/>
        <v>0</v>
      </c>
    </row>
    <row r="55" spans="1:27" x14ac:dyDescent="0.35">
      <c r="A55" s="24">
        <v>41</v>
      </c>
      <c r="B55" s="514" t="str">
        <f>IF('As-Filed Schedule 2C'!B55:D55=0,"",'As-Filed Schedule 2C'!B55:D55)</f>
        <v>Community Support and Engagement</v>
      </c>
      <c r="C55" s="514"/>
      <c r="D55" s="514"/>
      <c r="F55" s="117" t="str">
        <f>'As-Filed Schedule 2C'!F55</f>
        <v xml:space="preserve"> $                                -  </v>
      </c>
      <c r="G55" s="309">
        <f>SUMIFS(Adjustments!$G:$G,Adjustments!$H:$H,"2C",Adjustments!$I:$I,'Schedule 2C Adjustments'!$F$12,Adjustments!$J:$J,'Schedule 2C Adjustments'!$A55)</f>
        <v>0</v>
      </c>
      <c r="H55" s="305">
        <f t="shared" si="0"/>
        <v>0</v>
      </c>
      <c r="I55" s="68">
        <f>IFERROR(F55*'As-Filed Schedule 1'!$E$103,0)</f>
        <v>0</v>
      </c>
      <c r="J55" s="306">
        <f>IFERROR(H55*'Adjusted Schedule 1'!$E$104,0)</f>
        <v>0</v>
      </c>
      <c r="K55" s="68">
        <f t="shared" si="1"/>
        <v>0</v>
      </c>
      <c r="L55" s="306">
        <f t="shared" si="2"/>
        <v>0</v>
      </c>
      <c r="N55" s="117">
        <f>'As-Filed Schedule 2C'!J55</f>
        <v>492907</v>
      </c>
      <c r="O55" s="309">
        <f>SUMIFS(Adjustments!$G:$G,Adjustments!$H:$H,"2C",Adjustments!$I:$I,'Schedule 2C Adjustments'!$N$12,Adjustments!$J:$J,'Schedule 2C Adjustments'!$A55)</f>
        <v>-30</v>
      </c>
      <c r="P55" s="305">
        <f t="shared" si="3"/>
        <v>492877</v>
      </c>
      <c r="Q55" s="68">
        <f>IFERROR(N55*'As-Filed Schedule 1'!$E$103,0)</f>
        <v>166537.68868504983</v>
      </c>
      <c r="R55" s="306">
        <f>IFERROR(P55*'Adjusted Schedule 1'!$E$104,0)</f>
        <v>161353.52323561147</v>
      </c>
      <c r="S55" s="68">
        <f t="shared" si="4"/>
        <v>659444.68868504977</v>
      </c>
      <c r="T55" s="306">
        <f t="shared" si="5"/>
        <v>654230.5232356115</v>
      </c>
      <c r="V55" s="119">
        <f>'As-Filed Schedule 2C'!N55</f>
        <v>3.86</v>
      </c>
      <c r="W55" s="309">
        <f>SUMIFS(Adjustments!$G:$G,Adjustments!$H:$H,"2C",Adjustments!$I:$I,'Schedule 2C Adjustments'!$V$12,Adjustments!$J:$J,'Schedule 2C Adjustments'!$A55)</f>
        <v>0</v>
      </c>
      <c r="X55" s="305">
        <f t="shared" si="6"/>
        <v>3.86</v>
      </c>
      <c r="Y55" s="119" t="str">
        <f>'As-Filed Schedule 2C'!O55</f>
        <v xml:space="preserve">                     -  </v>
      </c>
      <c r="Z55" s="309">
        <f>SUMIFS(Adjustments!$G:$G,Adjustments!$H:$H,"2C",Adjustments!$I:$I,'Schedule 2C Adjustments'!$Y$12,Adjustments!$J:$J,'Schedule 2C Adjustments'!$A55)</f>
        <v>0</v>
      </c>
      <c r="AA55" s="305">
        <f t="shared" si="7"/>
        <v>0</v>
      </c>
    </row>
    <row r="56" spans="1:27" x14ac:dyDescent="0.35">
      <c r="A56" s="24">
        <v>42</v>
      </c>
      <c r="B56" s="514" t="str">
        <f>IF('As-Filed Schedule 2C'!B56:D56=0,"",'As-Filed Schedule 2C'!B56:D56)</f>
        <v>PATH Outreach Team</v>
      </c>
      <c r="C56" s="514"/>
      <c r="D56" s="514"/>
      <c r="F56" s="117">
        <f>'As-Filed Schedule 2C'!F56</f>
        <v>266046</v>
      </c>
      <c r="G56" s="309">
        <f>SUMIFS(Adjustments!$G:$G,Adjustments!$H:$H,"2C",Adjustments!$I:$I,'Schedule 2C Adjustments'!$F$12,Adjustments!$J:$J,'Schedule 2C Adjustments'!$A56)</f>
        <v>0</v>
      </c>
      <c r="H56" s="305">
        <f t="shared" si="0"/>
        <v>266046</v>
      </c>
      <c r="I56" s="68">
        <f>IFERROR(F56*'As-Filed Schedule 1'!$E$103,0)</f>
        <v>89888.530542075416</v>
      </c>
      <c r="J56" s="306">
        <f>IFERROR(H56*'Adjusted Schedule 1'!$E$104,0)</f>
        <v>87095.683999743327</v>
      </c>
      <c r="K56" s="68">
        <f t="shared" si="1"/>
        <v>355934.5305420754</v>
      </c>
      <c r="L56" s="306">
        <f t="shared" si="2"/>
        <v>353141.68399974331</v>
      </c>
      <c r="N56" s="117" t="str">
        <f>'As-Filed Schedule 2C'!J56</f>
        <v xml:space="preserve"> $                                -  </v>
      </c>
      <c r="O56" s="309">
        <f>SUMIFS(Adjustments!$G:$G,Adjustments!$H:$H,"2C",Adjustments!$I:$I,'Schedule 2C Adjustments'!$N$12,Adjustments!$J:$J,'Schedule 2C Adjustments'!$A56)</f>
        <v>0</v>
      </c>
      <c r="P56" s="305">
        <f t="shared" si="3"/>
        <v>0</v>
      </c>
      <c r="Q56" s="68">
        <f>IFERROR(N56*'As-Filed Schedule 1'!$E$103,0)</f>
        <v>0</v>
      </c>
      <c r="R56" s="306">
        <f>IFERROR(P56*'Adjusted Schedule 1'!$E$104,0)</f>
        <v>0</v>
      </c>
      <c r="S56" s="68">
        <f t="shared" si="4"/>
        <v>0</v>
      </c>
      <c r="T56" s="306">
        <f t="shared" si="5"/>
        <v>0</v>
      </c>
      <c r="V56" s="119">
        <f>'As-Filed Schedule 2C'!N56</f>
        <v>2.97</v>
      </c>
      <c r="W56" s="309">
        <f>SUMIFS(Adjustments!$G:$G,Adjustments!$H:$H,"2C",Adjustments!$I:$I,'Schedule 2C Adjustments'!$V$12,Adjustments!$J:$J,'Schedule 2C Adjustments'!$A56)</f>
        <v>0</v>
      </c>
      <c r="X56" s="305">
        <f t="shared" si="6"/>
        <v>2.97</v>
      </c>
      <c r="Y56" s="119">
        <f>'As-Filed Schedule 2C'!O56</f>
        <v>107</v>
      </c>
      <c r="Z56" s="309">
        <f>SUMIFS(Adjustments!$G:$G,Adjustments!$H:$H,"2C",Adjustments!$I:$I,'Schedule 2C Adjustments'!$Y$12,Adjustments!$J:$J,'Schedule 2C Adjustments'!$A56)</f>
        <v>0</v>
      </c>
      <c r="AA56" s="305">
        <f t="shared" si="7"/>
        <v>107</v>
      </c>
    </row>
    <row r="57" spans="1:27" x14ac:dyDescent="0.35">
      <c r="A57" s="24">
        <v>43</v>
      </c>
      <c r="B57" s="514" t="str">
        <f>IF('As-Filed Schedule 2C'!B57:D57=0,"",'As-Filed Schedule 2C'!B57:D57)</f>
        <v>D - IOP</v>
      </c>
      <c r="C57" s="514"/>
      <c r="D57" s="514"/>
      <c r="F57" s="117">
        <f>'As-Filed Schedule 2C'!F57</f>
        <v>485203</v>
      </c>
      <c r="G57" s="309">
        <f>SUMIFS(Adjustments!$G:$G,Adjustments!$H:$H,"2C",Adjustments!$I:$I,'Schedule 2C Adjustments'!$F$12,Adjustments!$J:$J,'Schedule 2C Adjustments'!$A57)</f>
        <v>0</v>
      </c>
      <c r="H57" s="305">
        <f t="shared" si="0"/>
        <v>485203</v>
      </c>
      <c r="I57" s="68">
        <f>IFERROR(F57*'As-Filed Schedule 1'!$E$103,0)</f>
        <v>163934.75069952797</v>
      </c>
      <c r="J57" s="306">
        <f>IFERROR(H57*'Adjusted Schedule 1'!$E$104,0)</f>
        <v>158841.27994304543</v>
      </c>
      <c r="K57" s="68">
        <f t="shared" si="1"/>
        <v>649137.75069952803</v>
      </c>
      <c r="L57" s="306">
        <f t="shared" si="2"/>
        <v>644044.27994304546</v>
      </c>
      <c r="N57" s="117" t="str">
        <f>'As-Filed Schedule 2C'!J57</f>
        <v xml:space="preserve"> $                                -  </v>
      </c>
      <c r="O57" s="309">
        <f>SUMIFS(Adjustments!$G:$G,Adjustments!$H:$H,"2C",Adjustments!$I:$I,'Schedule 2C Adjustments'!$N$12,Adjustments!$J:$J,'Schedule 2C Adjustments'!$A57)</f>
        <v>0</v>
      </c>
      <c r="P57" s="305">
        <f t="shared" si="3"/>
        <v>0</v>
      </c>
      <c r="Q57" s="68">
        <f>IFERROR(N57*'As-Filed Schedule 1'!$E$103,0)</f>
        <v>0</v>
      </c>
      <c r="R57" s="306">
        <f>IFERROR(P57*'Adjusted Schedule 1'!$E$104,0)</f>
        <v>0</v>
      </c>
      <c r="S57" s="68">
        <f t="shared" si="4"/>
        <v>0</v>
      </c>
      <c r="T57" s="306">
        <f t="shared" si="5"/>
        <v>0</v>
      </c>
      <c r="V57" s="119">
        <f>'As-Filed Schedule 2C'!N57</f>
        <v>4.4400000000000004</v>
      </c>
      <c r="W57" s="309">
        <f>SUMIFS(Adjustments!$G:$G,Adjustments!$H:$H,"2C",Adjustments!$I:$I,'Schedule 2C Adjustments'!$V$12,Adjustments!$J:$J,'Schedule 2C Adjustments'!$A57)</f>
        <v>0</v>
      </c>
      <c r="X57" s="305">
        <f t="shared" si="6"/>
        <v>4.4400000000000004</v>
      </c>
      <c r="Y57" s="119">
        <f>'As-Filed Schedule 2C'!O57</f>
        <v>182</v>
      </c>
      <c r="Z57" s="309">
        <f>SUMIFS(Adjustments!$G:$G,Adjustments!$H:$H,"2C",Adjustments!$I:$I,'Schedule 2C Adjustments'!$Y$12,Adjustments!$J:$J,'Schedule 2C Adjustments'!$A57)</f>
        <v>0</v>
      </c>
      <c r="AA57" s="305">
        <f t="shared" si="7"/>
        <v>182</v>
      </c>
    </row>
    <row r="58" spans="1:27" x14ac:dyDescent="0.35">
      <c r="A58" s="24">
        <v>44</v>
      </c>
      <c r="B58" s="514" t="str">
        <f>IF('As-Filed Schedule 2C'!B58:D58=0,"",'As-Filed Schedule 2C'!B58:D58)</f>
        <v>Recovery Cooperative</v>
      </c>
      <c r="C58" s="514"/>
      <c r="D58" s="514"/>
      <c r="F58" s="117">
        <f>'As-Filed Schedule 2C'!F58</f>
        <v>3504669</v>
      </c>
      <c r="G58" s="309">
        <f>SUMIFS(Adjustments!$G:$G,Adjustments!$H:$H,"2C",Adjustments!$I:$I,'Schedule 2C Adjustments'!$F$12,Adjustments!$J:$J,'Schedule 2C Adjustments'!$A58)</f>
        <v>-400</v>
      </c>
      <c r="H58" s="305">
        <f t="shared" si="0"/>
        <v>3504269</v>
      </c>
      <c r="I58" s="68">
        <f>IFERROR(F58*'As-Filed Schedule 1'!$E$103,0)</f>
        <v>1184116.8310982496</v>
      </c>
      <c r="J58" s="306">
        <f>IFERROR(H58*'Adjusted Schedule 1'!$E$104,0)</f>
        <v>1147195.2424546753</v>
      </c>
      <c r="K58" s="68">
        <f t="shared" si="1"/>
        <v>4688785.8310982492</v>
      </c>
      <c r="L58" s="306">
        <f t="shared" si="2"/>
        <v>4651464.242454675</v>
      </c>
      <c r="N58" s="117" t="str">
        <f>'As-Filed Schedule 2C'!J58</f>
        <v xml:space="preserve"> $                                -  </v>
      </c>
      <c r="O58" s="309">
        <f>SUMIFS(Adjustments!$G:$G,Adjustments!$H:$H,"2C",Adjustments!$I:$I,'Schedule 2C Adjustments'!$N$12,Adjustments!$J:$J,'Schedule 2C Adjustments'!$A58)</f>
        <v>0</v>
      </c>
      <c r="P58" s="305">
        <f t="shared" si="3"/>
        <v>0</v>
      </c>
      <c r="Q58" s="68">
        <f>IFERROR(N58*'As-Filed Schedule 1'!$E$103,0)</f>
        <v>0</v>
      </c>
      <c r="R58" s="306">
        <f>IFERROR(P58*'Adjusted Schedule 1'!$E$104,0)</f>
        <v>0</v>
      </c>
      <c r="S58" s="68">
        <f t="shared" si="4"/>
        <v>0</v>
      </c>
      <c r="T58" s="306">
        <f t="shared" si="5"/>
        <v>0</v>
      </c>
      <c r="V58" s="119">
        <f>'As-Filed Schedule 2C'!N58</f>
        <v>27.62</v>
      </c>
      <c r="W58" s="309">
        <f>SUMIFS(Adjustments!$G:$G,Adjustments!$H:$H,"2C",Adjustments!$I:$I,'Schedule 2C Adjustments'!$V$12,Adjustments!$J:$J,'Schedule 2C Adjustments'!$A58)</f>
        <v>0</v>
      </c>
      <c r="X58" s="305">
        <f t="shared" si="6"/>
        <v>27.62</v>
      </c>
      <c r="Y58" s="119" t="str">
        <f>'As-Filed Schedule 2C'!O58</f>
        <v xml:space="preserve">                     -  </v>
      </c>
      <c r="Z58" s="309">
        <f>SUMIFS(Adjustments!$G:$G,Adjustments!$H:$H,"2C",Adjustments!$I:$I,'Schedule 2C Adjustments'!$Y$12,Adjustments!$J:$J,'Schedule 2C Adjustments'!$A58)</f>
        <v>0</v>
      </c>
      <c r="AA58" s="305">
        <f t="shared" si="7"/>
        <v>0</v>
      </c>
    </row>
    <row r="59" spans="1:27" x14ac:dyDescent="0.35">
      <c r="A59" s="24">
        <v>45</v>
      </c>
      <c r="B59" s="514" t="str">
        <f>IF('As-Filed Schedule 2C'!B59:D59=0,"",'As-Filed Schedule 2C'!B59:D59)</f>
        <v/>
      </c>
      <c r="C59" s="514"/>
      <c r="D59" s="514"/>
      <c r="F59" s="117">
        <f>'As-Filed Schedule 2C'!F59</f>
        <v>0</v>
      </c>
      <c r="G59" s="309">
        <f>SUMIFS(Adjustments!$G:$G,Adjustments!$H:$H,"2C",Adjustments!$I:$I,'Schedule 2C Adjustments'!$F$12,Adjustments!$J:$J,'Schedule 2C Adjustments'!$A59)</f>
        <v>721323</v>
      </c>
      <c r="H59" s="305">
        <f t="shared" si="0"/>
        <v>721323</v>
      </c>
      <c r="I59" s="68">
        <f>IFERROR(F59*'As-Filed Schedule 1'!$E$103,0)</f>
        <v>0</v>
      </c>
      <c r="J59" s="306">
        <f>IFERROR(H59*'Adjusted Schedule 1'!$E$104,0)</f>
        <v>236140.06626578432</v>
      </c>
      <c r="K59" s="68">
        <f t="shared" si="1"/>
        <v>0</v>
      </c>
      <c r="L59" s="306">
        <f t="shared" si="2"/>
        <v>957463.06626578432</v>
      </c>
      <c r="N59" s="117">
        <f>'As-Filed Schedule 2C'!J59</f>
        <v>0</v>
      </c>
      <c r="O59" s="309">
        <f>SUMIFS(Adjustments!$G:$G,Adjustments!$H:$H,"2C",Adjustments!$I:$I,'Schedule 2C Adjustments'!$N$12,Adjustments!$J:$J,'Schedule 2C Adjustments'!$A59)</f>
        <v>0</v>
      </c>
      <c r="P59" s="305">
        <f t="shared" si="3"/>
        <v>0</v>
      </c>
      <c r="Q59" s="68">
        <f>IFERROR(N59*'As-Filed Schedule 1'!$E$103,0)</f>
        <v>0</v>
      </c>
      <c r="R59" s="306">
        <f>IFERROR(P59*'Adjusted Schedule 1'!$E$104,0)</f>
        <v>0</v>
      </c>
      <c r="S59" s="68">
        <f t="shared" si="4"/>
        <v>0</v>
      </c>
      <c r="T59" s="306">
        <f t="shared" si="5"/>
        <v>0</v>
      </c>
      <c r="V59" s="119">
        <f>'As-Filed Schedule 2C'!N59</f>
        <v>0</v>
      </c>
      <c r="W59" s="309">
        <f>SUMIFS(Adjustments!$G:$G,Adjustments!$H:$H,"2C",Adjustments!$I:$I,'Schedule 2C Adjustments'!$V$12,Adjustments!$J:$J,'Schedule 2C Adjustments'!$A59)</f>
        <v>0</v>
      </c>
      <c r="X59" s="305">
        <f t="shared" si="6"/>
        <v>0</v>
      </c>
      <c r="Y59" s="119">
        <f>'As-Filed Schedule 2C'!O59</f>
        <v>0</v>
      </c>
      <c r="Z59" s="309">
        <f>SUMIFS(Adjustments!$G:$G,Adjustments!$H:$H,"2C",Adjustments!$I:$I,'Schedule 2C Adjustments'!$Y$12,Adjustments!$J:$J,'Schedule 2C Adjustments'!$A59)</f>
        <v>0</v>
      </c>
      <c r="AA59" s="305">
        <f t="shared" si="7"/>
        <v>0</v>
      </c>
    </row>
    <row r="60" spans="1:27" x14ac:dyDescent="0.35">
      <c r="A60" s="24">
        <v>46</v>
      </c>
      <c r="B60" s="514" t="str">
        <f>IF('As-Filed Schedule 2C'!B60:D60=0,"",'As-Filed Schedule 2C'!B60:D60)</f>
        <v/>
      </c>
      <c r="C60" s="514"/>
      <c r="D60" s="514"/>
      <c r="F60" s="117">
        <f>'As-Filed Schedule 2C'!F60</f>
        <v>0</v>
      </c>
      <c r="G60" s="309">
        <f>SUMIFS(Adjustments!$G:$G,Adjustments!$H:$H,"2C",Adjustments!$I:$I,'Schedule 2C Adjustments'!$F$12,Adjustments!$J:$J,'Schedule 2C Adjustments'!$A60)</f>
        <v>0</v>
      </c>
      <c r="H60" s="305">
        <f t="shared" si="0"/>
        <v>0</v>
      </c>
      <c r="I60" s="68">
        <f>IFERROR(F60*'As-Filed Schedule 1'!$E$103,0)</f>
        <v>0</v>
      </c>
      <c r="J60" s="306">
        <f>IFERROR(H60*'Adjusted Schedule 1'!$E$104,0)</f>
        <v>0</v>
      </c>
      <c r="K60" s="68">
        <f t="shared" si="1"/>
        <v>0</v>
      </c>
      <c r="L60" s="306">
        <f t="shared" si="2"/>
        <v>0</v>
      </c>
      <c r="N60" s="117">
        <f>'As-Filed Schedule 2C'!J60</f>
        <v>0</v>
      </c>
      <c r="O60" s="309">
        <f>SUMIFS(Adjustments!$G:$G,Adjustments!$H:$H,"2C",Adjustments!$I:$I,'Schedule 2C Adjustments'!$N$12,Adjustments!$J:$J,'Schedule 2C Adjustments'!$A60)</f>
        <v>509878</v>
      </c>
      <c r="P60" s="305">
        <f t="shared" si="3"/>
        <v>509878</v>
      </c>
      <c r="Q60" s="68">
        <f>IFERROR(N60*'As-Filed Schedule 1'!$E$103,0)</f>
        <v>0</v>
      </c>
      <c r="R60" s="306">
        <f>IFERROR(P60*'Adjusted Schedule 1'!$E$104,0)</f>
        <v>166919.15370432605</v>
      </c>
      <c r="S60" s="68">
        <f t="shared" si="4"/>
        <v>0</v>
      </c>
      <c r="T60" s="306">
        <f t="shared" si="5"/>
        <v>676797.15370432602</v>
      </c>
      <c r="V60" s="119">
        <f>'As-Filed Schedule 2C'!N60</f>
        <v>0</v>
      </c>
      <c r="W60" s="309">
        <f>SUMIFS(Adjustments!$G:$G,Adjustments!$H:$H,"2C",Adjustments!$I:$I,'Schedule 2C Adjustments'!$V$12,Adjustments!$J:$J,'Schedule 2C Adjustments'!$A60)</f>
        <v>0</v>
      </c>
      <c r="X60" s="305">
        <f t="shared" si="6"/>
        <v>0</v>
      </c>
      <c r="Y60" s="119">
        <f>'As-Filed Schedule 2C'!O60</f>
        <v>0</v>
      </c>
      <c r="Z60" s="309">
        <f>SUMIFS(Adjustments!$G:$G,Adjustments!$H:$H,"2C",Adjustments!$I:$I,'Schedule 2C Adjustments'!$Y$12,Adjustments!$J:$J,'Schedule 2C Adjustments'!$A60)</f>
        <v>0</v>
      </c>
      <c r="AA60" s="305">
        <f t="shared" si="7"/>
        <v>0</v>
      </c>
    </row>
    <row r="61" spans="1:27" x14ac:dyDescent="0.35">
      <c r="A61" s="24">
        <v>47</v>
      </c>
      <c r="B61" s="514" t="str">
        <f>IF('As-Filed Schedule 2C'!B61:D61=0,"",'As-Filed Schedule 2C'!B61:D61)</f>
        <v/>
      </c>
      <c r="C61" s="514"/>
      <c r="D61" s="514"/>
      <c r="F61" s="117">
        <f>'As-Filed Schedule 2C'!F61</f>
        <v>0</v>
      </c>
      <c r="G61" s="309">
        <f>SUMIFS(Adjustments!$G:$G,Adjustments!$H:$H,"2C",Adjustments!$I:$I,'Schedule 2C Adjustments'!$F$12,Adjustments!$J:$J,'Schedule 2C Adjustments'!$A61)</f>
        <v>232834</v>
      </c>
      <c r="H61" s="305">
        <f t="shared" si="0"/>
        <v>232834</v>
      </c>
      <c r="I61" s="68">
        <f>IFERROR(F61*'As-Filed Schedule 1'!$E$103,0)</f>
        <v>0</v>
      </c>
      <c r="J61" s="306">
        <f>IFERROR(H61*'Adjusted Schedule 1'!$E$104,0)</f>
        <v>76223.045970983352</v>
      </c>
      <c r="K61" s="68">
        <f t="shared" si="1"/>
        <v>0</v>
      </c>
      <c r="L61" s="306">
        <f t="shared" si="2"/>
        <v>309057.04597098334</v>
      </c>
      <c r="N61" s="117">
        <f>'As-Filed Schedule 2C'!J61</f>
        <v>0</v>
      </c>
      <c r="O61" s="309">
        <f>SUMIFS(Adjustments!$G:$G,Adjustments!$H:$H,"2C",Adjustments!$I:$I,'Schedule 2C Adjustments'!$N$12,Adjustments!$J:$J,'Schedule 2C Adjustments'!$A61)</f>
        <v>0</v>
      </c>
      <c r="P61" s="305">
        <f t="shared" si="3"/>
        <v>0</v>
      </c>
      <c r="Q61" s="68">
        <f>IFERROR(N61*'As-Filed Schedule 1'!$E$103,0)</f>
        <v>0</v>
      </c>
      <c r="R61" s="306">
        <f>IFERROR(P61*'Adjusted Schedule 1'!$E$104,0)</f>
        <v>0</v>
      </c>
      <c r="S61" s="68">
        <f t="shared" si="4"/>
        <v>0</v>
      </c>
      <c r="T61" s="306">
        <f t="shared" si="5"/>
        <v>0</v>
      </c>
      <c r="V61" s="119">
        <f>'As-Filed Schedule 2C'!N61</f>
        <v>0</v>
      </c>
      <c r="W61" s="309">
        <f>SUMIFS(Adjustments!$G:$G,Adjustments!$H:$H,"2C",Adjustments!$I:$I,'Schedule 2C Adjustments'!$V$12,Adjustments!$J:$J,'Schedule 2C Adjustments'!$A61)</f>
        <v>0</v>
      </c>
      <c r="X61" s="305">
        <f t="shared" si="6"/>
        <v>0</v>
      </c>
      <c r="Y61" s="119">
        <f>'As-Filed Schedule 2C'!O61</f>
        <v>0</v>
      </c>
      <c r="Z61" s="309">
        <f>SUMIFS(Adjustments!$G:$G,Adjustments!$H:$H,"2C",Adjustments!$I:$I,'Schedule 2C Adjustments'!$Y$12,Adjustments!$J:$J,'Schedule 2C Adjustments'!$A61)</f>
        <v>0</v>
      </c>
      <c r="AA61" s="305">
        <f t="shared" si="7"/>
        <v>0</v>
      </c>
    </row>
    <row r="62" spans="1:27" x14ac:dyDescent="0.35">
      <c r="A62" s="24">
        <v>48</v>
      </c>
      <c r="B62" s="514" t="str">
        <f>IF('As-Filed Schedule 2C'!B62:D62=0,"",'As-Filed Schedule 2C'!B62:D62)</f>
        <v/>
      </c>
      <c r="C62" s="514"/>
      <c r="D62" s="514"/>
      <c r="F62" s="117">
        <f>'As-Filed Schedule 2C'!F62</f>
        <v>0</v>
      </c>
      <c r="G62" s="309">
        <f>SUMIFS(Adjustments!$G:$G,Adjustments!$H:$H,"2C",Adjustments!$I:$I,'Schedule 2C Adjustments'!$F$12,Adjustments!$J:$J,'Schedule 2C Adjustments'!$A62)</f>
        <v>694</v>
      </c>
      <c r="H62" s="305">
        <f t="shared" si="0"/>
        <v>694</v>
      </c>
      <c r="I62" s="68">
        <f>IFERROR(F62*'As-Filed Schedule 1'!$E$103,0)</f>
        <v>0</v>
      </c>
      <c r="J62" s="306">
        <f>IFERROR(H62*'Adjusted Schedule 1'!$E$104,0)</f>
        <v>227.19531470430627</v>
      </c>
      <c r="K62" s="68">
        <f t="shared" si="1"/>
        <v>0</v>
      </c>
      <c r="L62" s="306">
        <f t="shared" si="2"/>
        <v>921.19531470430627</v>
      </c>
      <c r="N62" s="117">
        <f>'As-Filed Schedule 2C'!J62</f>
        <v>0</v>
      </c>
      <c r="O62" s="309">
        <f>SUMIFS(Adjustments!$G:$G,Adjustments!$H:$H,"2C",Adjustments!$I:$I,'Schedule 2C Adjustments'!$N$12,Adjustments!$J:$J,'Schedule 2C Adjustments'!$A62)</f>
        <v>0</v>
      </c>
      <c r="P62" s="305">
        <f t="shared" si="3"/>
        <v>0</v>
      </c>
      <c r="Q62" s="68">
        <f>IFERROR(N62*'As-Filed Schedule 1'!$E$103,0)</f>
        <v>0</v>
      </c>
      <c r="R62" s="306">
        <f>IFERROR(P62*'Adjusted Schedule 1'!$E$104,0)</f>
        <v>0</v>
      </c>
      <c r="S62" s="68">
        <f t="shared" si="4"/>
        <v>0</v>
      </c>
      <c r="T62" s="306">
        <f t="shared" si="5"/>
        <v>0</v>
      </c>
      <c r="V62" s="119">
        <f>'As-Filed Schedule 2C'!N62</f>
        <v>0</v>
      </c>
      <c r="W62" s="309">
        <f>SUMIFS(Adjustments!$G:$G,Adjustments!$H:$H,"2C",Adjustments!$I:$I,'Schedule 2C Adjustments'!$V$12,Adjustments!$J:$J,'Schedule 2C Adjustments'!$A62)</f>
        <v>0</v>
      </c>
      <c r="X62" s="305">
        <f t="shared" si="6"/>
        <v>0</v>
      </c>
      <c r="Y62" s="119">
        <f>'As-Filed Schedule 2C'!O62</f>
        <v>0</v>
      </c>
      <c r="Z62" s="309">
        <f>SUMIFS(Adjustments!$G:$G,Adjustments!$H:$H,"2C",Adjustments!$I:$I,'Schedule 2C Adjustments'!$Y$12,Adjustments!$J:$J,'Schedule 2C Adjustments'!$A62)</f>
        <v>0</v>
      </c>
      <c r="AA62" s="305">
        <f t="shared" si="7"/>
        <v>0</v>
      </c>
    </row>
    <row r="63" spans="1:27" x14ac:dyDescent="0.35">
      <c r="A63" s="24">
        <v>49</v>
      </c>
      <c r="B63" s="514" t="str">
        <f>IF('As-Filed Schedule 2C'!B63:D63=0,"",'As-Filed Schedule 2C'!B63:D63)</f>
        <v/>
      </c>
      <c r="C63" s="514"/>
      <c r="D63" s="514"/>
      <c r="F63" s="117">
        <f>'As-Filed Schedule 2C'!F63</f>
        <v>0</v>
      </c>
      <c r="G63" s="309">
        <f>SUMIFS(Adjustments!$G:$G,Adjustments!$H:$H,"2C",Adjustments!$I:$I,'Schedule 2C Adjustments'!$F$12,Adjustments!$J:$J,'Schedule 2C Adjustments'!$A63)</f>
        <v>126</v>
      </c>
      <c r="H63" s="305">
        <f t="shared" si="0"/>
        <v>126</v>
      </c>
      <c r="I63" s="68">
        <f>IFERROR(F63*'As-Filed Schedule 1'!$E$103,0)</f>
        <v>0</v>
      </c>
      <c r="J63" s="306">
        <f>IFERROR(H63*'Adjusted Schedule 1'!$E$104,0)</f>
        <v>41.248717078879814</v>
      </c>
      <c r="K63" s="68">
        <f t="shared" si="1"/>
        <v>0</v>
      </c>
      <c r="L63" s="306">
        <f t="shared" si="2"/>
        <v>167.24871707887982</v>
      </c>
      <c r="N63" s="117">
        <f>'As-Filed Schedule 2C'!J63</f>
        <v>0</v>
      </c>
      <c r="O63" s="309">
        <f>SUMIFS(Adjustments!$G:$G,Adjustments!$H:$H,"2C",Adjustments!$I:$I,'Schedule 2C Adjustments'!$N$12,Adjustments!$J:$J,'Schedule 2C Adjustments'!$A63)</f>
        <v>0</v>
      </c>
      <c r="P63" s="305">
        <f t="shared" si="3"/>
        <v>0</v>
      </c>
      <c r="Q63" s="68">
        <f>IFERROR(N63*'As-Filed Schedule 1'!$E$103,0)</f>
        <v>0</v>
      </c>
      <c r="R63" s="306">
        <f>IFERROR(P63*'Adjusted Schedule 1'!$E$104,0)</f>
        <v>0</v>
      </c>
      <c r="S63" s="68">
        <f t="shared" si="4"/>
        <v>0</v>
      </c>
      <c r="T63" s="306">
        <f t="shared" si="5"/>
        <v>0</v>
      </c>
      <c r="V63" s="119">
        <f>'As-Filed Schedule 2C'!N63</f>
        <v>0</v>
      </c>
      <c r="W63" s="309">
        <f>SUMIFS(Adjustments!$G:$G,Adjustments!$H:$H,"2C",Adjustments!$I:$I,'Schedule 2C Adjustments'!$V$12,Adjustments!$J:$J,'Schedule 2C Adjustments'!$A63)</f>
        <v>0</v>
      </c>
      <c r="X63" s="305">
        <f t="shared" si="6"/>
        <v>0</v>
      </c>
      <c r="Y63" s="119">
        <f>'As-Filed Schedule 2C'!O63</f>
        <v>0</v>
      </c>
      <c r="Z63" s="309">
        <f>SUMIFS(Adjustments!$G:$G,Adjustments!$H:$H,"2C",Adjustments!$I:$I,'Schedule 2C Adjustments'!$Y$12,Adjustments!$J:$J,'Schedule 2C Adjustments'!$A63)</f>
        <v>0</v>
      </c>
      <c r="AA63" s="305">
        <f t="shared" si="7"/>
        <v>0</v>
      </c>
    </row>
    <row r="64" spans="1:27" x14ac:dyDescent="0.35">
      <c r="A64" s="24">
        <v>50</v>
      </c>
      <c r="B64" s="514" t="str">
        <f>IF('As-Filed Schedule 2C'!B64:D64=0,"",'As-Filed Schedule 2C'!B64:D64)</f>
        <v/>
      </c>
      <c r="C64" s="514"/>
      <c r="D64" s="514"/>
      <c r="F64" s="117">
        <f>'As-Filed Schedule 2C'!F64</f>
        <v>0</v>
      </c>
      <c r="G64" s="309">
        <f>SUMIFS(Adjustments!$G:$G,Adjustments!$H:$H,"2C",Adjustments!$I:$I,'Schedule 2C Adjustments'!$F$12,Adjustments!$J:$J,'Schedule 2C Adjustments'!$A64)</f>
        <v>0</v>
      </c>
      <c r="H64" s="305">
        <f t="shared" si="0"/>
        <v>0</v>
      </c>
      <c r="I64" s="68">
        <f>IFERROR(F64*'As-Filed Schedule 1'!$E$103,0)</f>
        <v>0</v>
      </c>
      <c r="J64" s="306">
        <f>IFERROR(H64*'Adjusted Schedule 1'!$E$104,0)</f>
        <v>0</v>
      </c>
      <c r="K64" s="68">
        <f t="shared" si="1"/>
        <v>0</v>
      </c>
      <c r="L64" s="306">
        <f t="shared" si="2"/>
        <v>0</v>
      </c>
      <c r="N64" s="117">
        <f>'As-Filed Schedule 2C'!J64</f>
        <v>0</v>
      </c>
      <c r="O64" s="309">
        <f>SUMIFS(Adjustments!$G:$G,Adjustments!$H:$H,"2C",Adjustments!$I:$I,'Schedule 2C Adjustments'!$N$12,Adjustments!$J:$J,'Schedule 2C Adjustments'!$A64)</f>
        <v>0</v>
      </c>
      <c r="P64" s="305">
        <f t="shared" si="3"/>
        <v>0</v>
      </c>
      <c r="Q64" s="68">
        <f>IFERROR(N64*'As-Filed Schedule 1'!$E$103,0)</f>
        <v>0</v>
      </c>
      <c r="R64" s="306">
        <f>IFERROR(P64*'Adjusted Schedule 1'!$E$104,0)</f>
        <v>0</v>
      </c>
      <c r="S64" s="68">
        <f t="shared" si="4"/>
        <v>0</v>
      </c>
      <c r="T64" s="306">
        <f t="shared" si="5"/>
        <v>0</v>
      </c>
      <c r="V64" s="119">
        <f>'As-Filed Schedule 2C'!N64</f>
        <v>0</v>
      </c>
      <c r="W64" s="309">
        <f>SUMIFS(Adjustments!$G:$G,Adjustments!$H:$H,"2C",Adjustments!$I:$I,'Schedule 2C Adjustments'!$V$12,Adjustments!$J:$J,'Schedule 2C Adjustments'!$A64)</f>
        <v>0</v>
      </c>
      <c r="X64" s="305">
        <f t="shared" si="6"/>
        <v>0</v>
      </c>
      <c r="Y64" s="119">
        <f>'As-Filed Schedule 2C'!O64</f>
        <v>0</v>
      </c>
      <c r="Z64" s="309">
        <f>SUMIFS(Adjustments!$G:$G,Adjustments!$H:$H,"2C",Adjustments!$I:$I,'Schedule 2C Adjustments'!$Y$12,Adjustments!$J:$J,'Schedule 2C Adjustments'!$A64)</f>
        <v>0</v>
      </c>
      <c r="AA64" s="305">
        <f t="shared" si="7"/>
        <v>0</v>
      </c>
    </row>
    <row r="65" spans="1:27" x14ac:dyDescent="0.35">
      <c r="A65" s="24">
        <v>51</v>
      </c>
      <c r="B65" s="514" t="str">
        <f>IF('As-Filed Schedule 2C'!B65:D65=0,"",'As-Filed Schedule 2C'!B65:D65)</f>
        <v/>
      </c>
      <c r="C65" s="514"/>
      <c r="D65" s="514"/>
      <c r="F65" s="117">
        <f>'As-Filed Schedule 2C'!F65</f>
        <v>0</v>
      </c>
      <c r="G65" s="309">
        <f>SUMIFS(Adjustments!$G:$G,Adjustments!$H:$H,"2C",Adjustments!$I:$I,'Schedule 2C Adjustments'!$F$12,Adjustments!$J:$J,'Schedule 2C Adjustments'!$A65)</f>
        <v>0</v>
      </c>
      <c r="H65" s="305">
        <f t="shared" si="0"/>
        <v>0</v>
      </c>
      <c r="I65" s="68">
        <f>IFERROR(F65*'As-Filed Schedule 1'!$E$103,0)</f>
        <v>0</v>
      </c>
      <c r="J65" s="306">
        <f>IFERROR(H65*'Adjusted Schedule 1'!$E$104,0)</f>
        <v>0</v>
      </c>
      <c r="K65" s="68">
        <f t="shared" si="1"/>
        <v>0</v>
      </c>
      <c r="L65" s="306">
        <f t="shared" si="2"/>
        <v>0</v>
      </c>
      <c r="N65" s="117">
        <f>'As-Filed Schedule 2C'!J65</f>
        <v>0</v>
      </c>
      <c r="O65" s="309">
        <f>SUMIFS(Adjustments!$G:$G,Adjustments!$H:$H,"2C",Adjustments!$I:$I,'Schedule 2C Adjustments'!$N$12,Adjustments!$J:$J,'Schedule 2C Adjustments'!$A65)</f>
        <v>5637</v>
      </c>
      <c r="P65" s="305">
        <f t="shared" si="3"/>
        <v>5637</v>
      </c>
      <c r="Q65" s="68">
        <f>IFERROR(N65*'As-Filed Schedule 1'!$E$103,0)</f>
        <v>0</v>
      </c>
      <c r="R65" s="306">
        <f>IFERROR(P65*'Adjusted Schedule 1'!$E$104,0)</f>
        <v>1845.3890331241707</v>
      </c>
      <c r="S65" s="68">
        <f t="shared" si="4"/>
        <v>0</v>
      </c>
      <c r="T65" s="306">
        <f t="shared" si="5"/>
        <v>7482.389033124171</v>
      </c>
      <c r="V65" s="119">
        <f>'As-Filed Schedule 2C'!N65</f>
        <v>0</v>
      </c>
      <c r="W65" s="309">
        <f>SUMIFS(Adjustments!$G:$G,Adjustments!$H:$H,"2C",Adjustments!$I:$I,'Schedule 2C Adjustments'!$V$12,Adjustments!$J:$J,'Schedule 2C Adjustments'!$A65)</f>
        <v>0</v>
      </c>
      <c r="X65" s="305">
        <f t="shared" si="6"/>
        <v>0</v>
      </c>
      <c r="Y65" s="119">
        <f>'As-Filed Schedule 2C'!O65</f>
        <v>0</v>
      </c>
      <c r="Z65" s="309">
        <f>SUMIFS(Adjustments!$G:$G,Adjustments!$H:$H,"2C",Adjustments!$I:$I,'Schedule 2C Adjustments'!$Y$12,Adjustments!$J:$J,'Schedule 2C Adjustments'!$A65)</f>
        <v>0</v>
      </c>
      <c r="AA65" s="305">
        <f t="shared" si="7"/>
        <v>0</v>
      </c>
    </row>
    <row r="66" spans="1:27" x14ac:dyDescent="0.35">
      <c r="A66" s="24">
        <v>52</v>
      </c>
      <c r="B66" s="514" t="str">
        <f>IF('As-Filed Schedule 2C'!B66:D66=0,"",'As-Filed Schedule 2C'!B66:D66)</f>
        <v/>
      </c>
      <c r="C66" s="514"/>
      <c r="D66" s="514"/>
      <c r="F66" s="117">
        <f>'As-Filed Schedule 2C'!F66</f>
        <v>0</v>
      </c>
      <c r="G66" s="309">
        <f>SUMIFS(Adjustments!$G:$G,Adjustments!$H:$H,"2C",Adjustments!$I:$I,'Schedule 2C Adjustments'!$F$12,Adjustments!$J:$J,'Schedule 2C Adjustments'!$A66)</f>
        <v>0</v>
      </c>
      <c r="H66" s="305">
        <f t="shared" si="0"/>
        <v>0</v>
      </c>
      <c r="I66" s="68">
        <f>IFERROR(F66*'As-Filed Schedule 1'!$E$103,0)</f>
        <v>0</v>
      </c>
      <c r="J66" s="306">
        <f>IFERROR(H66*'Adjusted Schedule 1'!$E$104,0)</f>
        <v>0</v>
      </c>
      <c r="K66" s="68">
        <f t="shared" si="1"/>
        <v>0</v>
      </c>
      <c r="L66" s="306">
        <f t="shared" si="2"/>
        <v>0</v>
      </c>
      <c r="N66" s="117">
        <f>'As-Filed Schedule 2C'!J66</f>
        <v>0</v>
      </c>
      <c r="O66" s="309">
        <f>SUMIFS(Adjustments!$G:$G,Adjustments!$H:$H,"2C",Adjustments!$I:$I,'Schedule 2C Adjustments'!$N$12,Adjustments!$J:$J,'Schedule 2C Adjustments'!$A66)</f>
        <v>-226651</v>
      </c>
      <c r="P66" s="305">
        <f t="shared" si="3"/>
        <v>-226651</v>
      </c>
      <c r="Q66" s="68">
        <f>IFERROR(N66*'As-Filed Schedule 1'!$E$103,0)</f>
        <v>0</v>
      </c>
      <c r="R66" s="306">
        <f>IFERROR(P66*'Adjusted Schedule 1'!$E$104,0)</f>
        <v>-74198.912497184036</v>
      </c>
      <c r="S66" s="68">
        <f t="shared" si="4"/>
        <v>0</v>
      </c>
      <c r="T66" s="306">
        <f t="shared" si="5"/>
        <v>-300849.91249718401</v>
      </c>
      <c r="V66" s="119">
        <f>'As-Filed Schedule 2C'!N66</f>
        <v>0</v>
      </c>
      <c r="W66" s="309">
        <f>SUMIFS(Adjustments!$G:$G,Adjustments!$H:$H,"2C",Adjustments!$I:$I,'Schedule 2C Adjustments'!$V$12,Adjustments!$J:$J,'Schedule 2C Adjustments'!$A66)</f>
        <v>0</v>
      </c>
      <c r="X66" s="305">
        <f t="shared" si="6"/>
        <v>0</v>
      </c>
      <c r="Y66" s="119">
        <f>'As-Filed Schedule 2C'!O66</f>
        <v>0</v>
      </c>
      <c r="Z66" s="309">
        <f>SUMIFS(Adjustments!$G:$G,Adjustments!$H:$H,"2C",Adjustments!$I:$I,'Schedule 2C Adjustments'!$Y$12,Adjustments!$J:$J,'Schedule 2C Adjustments'!$A66)</f>
        <v>0</v>
      </c>
      <c r="AA66" s="305">
        <f t="shared" si="7"/>
        <v>0</v>
      </c>
    </row>
    <row r="67" spans="1:27" x14ac:dyDescent="0.35">
      <c r="A67" s="24">
        <v>53</v>
      </c>
      <c r="B67" s="514" t="str">
        <f>IF('As-Filed Schedule 2C'!B67:D67=0,"",'As-Filed Schedule 2C'!B67:D67)</f>
        <v/>
      </c>
      <c r="C67" s="514"/>
      <c r="D67" s="514"/>
      <c r="F67" s="117">
        <f>'As-Filed Schedule 2C'!F67</f>
        <v>0</v>
      </c>
      <c r="G67" s="309">
        <f>SUMIFS(Adjustments!$G:$G,Adjustments!$H:$H,"2C",Adjustments!$I:$I,'Schedule 2C Adjustments'!$F$12,Adjustments!$J:$J,'Schedule 2C Adjustments'!$A67)</f>
        <v>0</v>
      </c>
      <c r="H67" s="305">
        <f t="shared" si="0"/>
        <v>0</v>
      </c>
      <c r="I67" s="68">
        <f>IFERROR(F67*'As-Filed Schedule 1'!$E$103,0)</f>
        <v>0</v>
      </c>
      <c r="J67" s="306">
        <f>IFERROR(H67*'Adjusted Schedule 1'!$E$104,0)</f>
        <v>0</v>
      </c>
      <c r="K67" s="68">
        <f t="shared" si="1"/>
        <v>0</v>
      </c>
      <c r="L67" s="306">
        <f t="shared" si="2"/>
        <v>0</v>
      </c>
      <c r="N67" s="117">
        <f>'As-Filed Schedule 2C'!J67</f>
        <v>0</v>
      </c>
      <c r="O67" s="309">
        <f>SUMIFS(Adjustments!$G:$G,Adjustments!$H:$H,"2C",Adjustments!$I:$I,'Schedule 2C Adjustments'!$N$12,Adjustments!$J:$J,'Schedule 2C Adjustments'!$A67)</f>
        <v>0</v>
      </c>
      <c r="P67" s="305">
        <f t="shared" si="3"/>
        <v>0</v>
      </c>
      <c r="Q67" s="68">
        <f>IFERROR(N67*'As-Filed Schedule 1'!$E$103,0)</f>
        <v>0</v>
      </c>
      <c r="R67" s="306">
        <f>IFERROR(P67*'Adjusted Schedule 1'!$E$104,0)</f>
        <v>0</v>
      </c>
      <c r="S67" s="68">
        <f t="shared" si="4"/>
        <v>0</v>
      </c>
      <c r="T67" s="306">
        <f t="shared" si="5"/>
        <v>0</v>
      </c>
      <c r="V67" s="119">
        <f>'As-Filed Schedule 2C'!N67</f>
        <v>0</v>
      </c>
      <c r="W67" s="309">
        <f>SUMIFS(Adjustments!$G:$G,Adjustments!$H:$H,"2C",Adjustments!$I:$I,'Schedule 2C Adjustments'!$V$12,Adjustments!$J:$J,'Schedule 2C Adjustments'!$A67)</f>
        <v>0</v>
      </c>
      <c r="X67" s="305">
        <f t="shared" si="6"/>
        <v>0</v>
      </c>
      <c r="Y67" s="119">
        <f>'As-Filed Schedule 2C'!O67</f>
        <v>0</v>
      </c>
      <c r="Z67" s="309">
        <f>SUMIFS(Adjustments!$G:$G,Adjustments!$H:$H,"2C",Adjustments!$I:$I,'Schedule 2C Adjustments'!$Y$12,Adjustments!$J:$J,'Schedule 2C Adjustments'!$A67)</f>
        <v>0</v>
      </c>
      <c r="AA67" s="305">
        <f t="shared" si="7"/>
        <v>0</v>
      </c>
    </row>
    <row r="68" spans="1:27" x14ac:dyDescent="0.35">
      <c r="A68" s="24">
        <v>54</v>
      </c>
      <c r="B68" s="514" t="str">
        <f>IF('As-Filed Schedule 2C'!B68:D68=0,"",'As-Filed Schedule 2C'!B68:D68)</f>
        <v/>
      </c>
      <c r="C68" s="514"/>
      <c r="D68" s="514"/>
      <c r="F68" s="117">
        <f>'As-Filed Schedule 2C'!F68</f>
        <v>0</v>
      </c>
      <c r="G68" s="309">
        <f>SUMIFS(Adjustments!$G:$G,Adjustments!$H:$H,"2C",Adjustments!$I:$I,'Schedule 2C Adjustments'!$F$12,Adjustments!$J:$J,'Schedule 2C Adjustments'!$A68)</f>
        <v>0</v>
      </c>
      <c r="H68" s="305">
        <f t="shared" si="0"/>
        <v>0</v>
      </c>
      <c r="I68" s="68">
        <f>IFERROR(F68*'As-Filed Schedule 1'!$E$103,0)</f>
        <v>0</v>
      </c>
      <c r="J68" s="306">
        <f>IFERROR(H68*'Adjusted Schedule 1'!$E$104,0)</f>
        <v>0</v>
      </c>
      <c r="K68" s="68">
        <f t="shared" si="1"/>
        <v>0</v>
      </c>
      <c r="L68" s="306">
        <f t="shared" si="2"/>
        <v>0</v>
      </c>
      <c r="N68" s="117">
        <f>'As-Filed Schedule 2C'!J68</f>
        <v>0</v>
      </c>
      <c r="O68" s="309">
        <f>SUMIFS(Adjustments!$G:$G,Adjustments!$H:$H,"2C",Adjustments!$I:$I,'Schedule 2C Adjustments'!$N$12,Adjustments!$J:$J,'Schedule 2C Adjustments'!$A68)</f>
        <v>0</v>
      </c>
      <c r="P68" s="305">
        <f t="shared" si="3"/>
        <v>0</v>
      </c>
      <c r="Q68" s="68">
        <f>IFERROR(N68*'As-Filed Schedule 1'!$E$103,0)</f>
        <v>0</v>
      </c>
      <c r="R68" s="306">
        <f>IFERROR(P68*'Adjusted Schedule 1'!$E$104,0)</f>
        <v>0</v>
      </c>
      <c r="S68" s="68">
        <f t="shared" si="4"/>
        <v>0</v>
      </c>
      <c r="T68" s="306">
        <f t="shared" si="5"/>
        <v>0</v>
      </c>
      <c r="V68" s="119">
        <f>'As-Filed Schedule 2C'!N68</f>
        <v>0</v>
      </c>
      <c r="W68" s="309">
        <f>SUMIFS(Adjustments!$G:$G,Adjustments!$H:$H,"2C",Adjustments!$I:$I,'Schedule 2C Adjustments'!$V$12,Adjustments!$J:$J,'Schedule 2C Adjustments'!$A68)</f>
        <v>0</v>
      </c>
      <c r="X68" s="305">
        <f t="shared" si="6"/>
        <v>0</v>
      </c>
      <c r="Y68" s="119">
        <f>'As-Filed Schedule 2C'!O68</f>
        <v>0</v>
      </c>
      <c r="Z68" s="309">
        <f>SUMIFS(Adjustments!$G:$G,Adjustments!$H:$H,"2C",Adjustments!$I:$I,'Schedule 2C Adjustments'!$Y$12,Adjustments!$J:$J,'Schedule 2C Adjustments'!$A68)</f>
        <v>0</v>
      </c>
      <c r="AA68" s="305">
        <f t="shared" si="7"/>
        <v>0</v>
      </c>
    </row>
    <row r="69" spans="1:27" x14ac:dyDescent="0.35">
      <c r="A69" s="24">
        <v>55</v>
      </c>
      <c r="B69" s="514" t="str">
        <f>IF('As-Filed Schedule 2C'!B69:D69=0,"",'As-Filed Schedule 2C'!B69:D69)</f>
        <v/>
      </c>
      <c r="C69" s="514"/>
      <c r="D69" s="514"/>
      <c r="F69" s="117">
        <f>'As-Filed Schedule 2C'!F69</f>
        <v>0</v>
      </c>
      <c r="G69" s="309">
        <f>SUMIFS(Adjustments!$G:$G,Adjustments!$H:$H,"2C",Adjustments!$I:$I,'Schedule 2C Adjustments'!$F$12,Adjustments!$J:$J,'Schedule 2C Adjustments'!$A69)</f>
        <v>0</v>
      </c>
      <c r="H69" s="305">
        <f t="shared" si="0"/>
        <v>0</v>
      </c>
      <c r="I69" s="68">
        <f>IFERROR(F69*'As-Filed Schedule 1'!$E$103,0)</f>
        <v>0</v>
      </c>
      <c r="J69" s="306">
        <f>IFERROR(H69*'Adjusted Schedule 1'!$E$104,0)</f>
        <v>0</v>
      </c>
      <c r="K69" s="68">
        <f t="shared" si="1"/>
        <v>0</v>
      </c>
      <c r="L69" s="306">
        <f t="shared" si="2"/>
        <v>0</v>
      </c>
      <c r="N69" s="117">
        <f>'As-Filed Schedule 2C'!J69</f>
        <v>0</v>
      </c>
      <c r="O69" s="309">
        <f>SUMIFS(Adjustments!$G:$G,Adjustments!$H:$H,"2C",Adjustments!$I:$I,'Schedule 2C Adjustments'!$N$12,Adjustments!$J:$J,'Schedule 2C Adjustments'!$A69)</f>
        <v>0</v>
      </c>
      <c r="P69" s="305">
        <f t="shared" si="3"/>
        <v>0</v>
      </c>
      <c r="Q69" s="68">
        <f>IFERROR(N69*'As-Filed Schedule 1'!$E$103,0)</f>
        <v>0</v>
      </c>
      <c r="R69" s="306">
        <f>IFERROR(P69*'Adjusted Schedule 1'!$E$104,0)</f>
        <v>0</v>
      </c>
      <c r="S69" s="68">
        <f t="shared" si="4"/>
        <v>0</v>
      </c>
      <c r="T69" s="306">
        <f t="shared" si="5"/>
        <v>0</v>
      </c>
      <c r="V69" s="119">
        <f>'As-Filed Schedule 2C'!N69</f>
        <v>0</v>
      </c>
      <c r="W69" s="309">
        <f>SUMIFS(Adjustments!$G:$G,Adjustments!$H:$H,"2C",Adjustments!$I:$I,'Schedule 2C Adjustments'!$V$12,Adjustments!$J:$J,'Schedule 2C Adjustments'!$A69)</f>
        <v>0</v>
      </c>
      <c r="X69" s="305">
        <f t="shared" si="6"/>
        <v>0</v>
      </c>
      <c r="Y69" s="119">
        <f>'As-Filed Schedule 2C'!O69</f>
        <v>0</v>
      </c>
      <c r="Z69" s="309">
        <f>SUMIFS(Adjustments!$G:$G,Adjustments!$H:$H,"2C",Adjustments!$I:$I,'Schedule 2C Adjustments'!$Y$12,Adjustments!$J:$J,'Schedule 2C Adjustments'!$A69)</f>
        <v>0</v>
      </c>
      <c r="AA69" s="305">
        <f t="shared" si="7"/>
        <v>0</v>
      </c>
    </row>
    <row r="70" spans="1:27" x14ac:dyDescent="0.35">
      <c r="A70" s="24">
        <v>56</v>
      </c>
      <c r="B70" s="514" t="str">
        <f>IF('As-Filed Schedule 2C'!B70:D70=0,"",'As-Filed Schedule 2C'!B70:D70)</f>
        <v/>
      </c>
      <c r="C70" s="514"/>
      <c r="D70" s="514"/>
      <c r="F70" s="117">
        <f>'As-Filed Schedule 2C'!F70</f>
        <v>0</v>
      </c>
      <c r="G70" s="309">
        <f>SUMIFS(Adjustments!$G:$G,Adjustments!$H:$H,"2C",Adjustments!$I:$I,'Schedule 2C Adjustments'!$F$12,Adjustments!$J:$J,'Schedule 2C Adjustments'!$A70)</f>
        <v>0</v>
      </c>
      <c r="H70" s="305">
        <f t="shared" si="0"/>
        <v>0</v>
      </c>
      <c r="I70" s="68">
        <f>IFERROR(F70*'As-Filed Schedule 1'!$E$103,0)</f>
        <v>0</v>
      </c>
      <c r="J70" s="306">
        <f>IFERROR(H70*'Adjusted Schedule 1'!$E$104,0)</f>
        <v>0</v>
      </c>
      <c r="K70" s="68">
        <f t="shared" si="1"/>
        <v>0</v>
      </c>
      <c r="L70" s="306">
        <f t="shared" si="2"/>
        <v>0</v>
      </c>
      <c r="N70" s="117">
        <f>'As-Filed Schedule 2C'!J70</f>
        <v>0</v>
      </c>
      <c r="O70" s="309">
        <f>SUMIFS(Adjustments!$G:$G,Adjustments!$H:$H,"2C",Adjustments!$I:$I,'Schedule 2C Adjustments'!$N$12,Adjustments!$J:$J,'Schedule 2C Adjustments'!$A70)</f>
        <v>0</v>
      </c>
      <c r="P70" s="305">
        <f t="shared" si="3"/>
        <v>0</v>
      </c>
      <c r="Q70" s="68">
        <f>IFERROR(N70*'As-Filed Schedule 1'!$E$103,0)</f>
        <v>0</v>
      </c>
      <c r="R70" s="306">
        <f>IFERROR(P70*'Adjusted Schedule 1'!$E$104,0)</f>
        <v>0</v>
      </c>
      <c r="S70" s="68">
        <f t="shared" si="4"/>
        <v>0</v>
      </c>
      <c r="T70" s="306">
        <f t="shared" si="5"/>
        <v>0</v>
      </c>
      <c r="V70" s="119">
        <f>'As-Filed Schedule 2C'!N70</f>
        <v>0</v>
      </c>
      <c r="W70" s="309">
        <f>SUMIFS(Adjustments!$G:$G,Adjustments!$H:$H,"2C",Adjustments!$I:$I,'Schedule 2C Adjustments'!$V$12,Adjustments!$J:$J,'Schedule 2C Adjustments'!$A70)</f>
        <v>0</v>
      </c>
      <c r="X70" s="305">
        <f t="shared" si="6"/>
        <v>0</v>
      </c>
      <c r="Y70" s="119">
        <f>'As-Filed Schedule 2C'!O70</f>
        <v>0</v>
      </c>
      <c r="Z70" s="309">
        <f>SUMIFS(Adjustments!$G:$G,Adjustments!$H:$H,"2C",Adjustments!$I:$I,'Schedule 2C Adjustments'!$Y$12,Adjustments!$J:$J,'Schedule 2C Adjustments'!$A70)</f>
        <v>0</v>
      </c>
      <c r="AA70" s="305">
        <f t="shared" si="7"/>
        <v>0</v>
      </c>
    </row>
    <row r="71" spans="1:27" x14ac:dyDescent="0.35">
      <c r="A71" s="24">
        <v>57</v>
      </c>
      <c r="B71" s="514" t="str">
        <f>IF('As-Filed Schedule 2C'!B71:D71=0,"",'As-Filed Schedule 2C'!B71:D71)</f>
        <v/>
      </c>
      <c r="C71" s="514"/>
      <c r="D71" s="514"/>
      <c r="F71" s="117">
        <f>'As-Filed Schedule 2C'!F71</f>
        <v>0</v>
      </c>
      <c r="G71" s="309">
        <f>SUMIFS(Adjustments!$G:$G,Adjustments!$H:$H,"2C",Adjustments!$I:$I,'Schedule 2C Adjustments'!$F$12,Adjustments!$J:$J,'Schedule 2C Adjustments'!$A71)</f>
        <v>0</v>
      </c>
      <c r="H71" s="305">
        <f t="shared" si="0"/>
        <v>0</v>
      </c>
      <c r="I71" s="68">
        <f>IFERROR(F71*'As-Filed Schedule 1'!$E$103,0)</f>
        <v>0</v>
      </c>
      <c r="J71" s="306">
        <f>IFERROR(H71*'Adjusted Schedule 1'!$E$104,0)</f>
        <v>0</v>
      </c>
      <c r="K71" s="68">
        <f t="shared" si="1"/>
        <v>0</v>
      </c>
      <c r="L71" s="306">
        <f t="shared" si="2"/>
        <v>0</v>
      </c>
      <c r="N71" s="117">
        <f>'As-Filed Schedule 2C'!J71</f>
        <v>0</v>
      </c>
      <c r="O71" s="309">
        <f>SUMIFS(Adjustments!$G:$G,Adjustments!$H:$H,"2C",Adjustments!$I:$I,'Schedule 2C Adjustments'!$N$12,Adjustments!$J:$J,'Schedule 2C Adjustments'!$A71)</f>
        <v>0</v>
      </c>
      <c r="P71" s="305">
        <f t="shared" si="3"/>
        <v>0</v>
      </c>
      <c r="Q71" s="68">
        <f>IFERROR(N71*'As-Filed Schedule 1'!$E$103,0)</f>
        <v>0</v>
      </c>
      <c r="R71" s="306">
        <f>IFERROR(P71*'Adjusted Schedule 1'!$E$104,0)</f>
        <v>0</v>
      </c>
      <c r="S71" s="68">
        <f t="shared" si="4"/>
        <v>0</v>
      </c>
      <c r="T71" s="306">
        <f t="shared" si="5"/>
        <v>0</v>
      </c>
      <c r="V71" s="119">
        <f>'As-Filed Schedule 2C'!N71</f>
        <v>0</v>
      </c>
      <c r="W71" s="309">
        <f>SUMIFS(Adjustments!$G:$G,Adjustments!$H:$H,"2C",Adjustments!$I:$I,'Schedule 2C Adjustments'!$V$12,Adjustments!$J:$J,'Schedule 2C Adjustments'!$A71)</f>
        <v>0</v>
      </c>
      <c r="X71" s="305">
        <f t="shared" si="6"/>
        <v>0</v>
      </c>
      <c r="Y71" s="119">
        <f>'As-Filed Schedule 2C'!O71</f>
        <v>0</v>
      </c>
      <c r="Z71" s="309">
        <f>SUMIFS(Adjustments!$G:$G,Adjustments!$H:$H,"2C",Adjustments!$I:$I,'Schedule 2C Adjustments'!$Y$12,Adjustments!$J:$J,'Schedule 2C Adjustments'!$A71)</f>
        <v>0</v>
      </c>
      <c r="AA71" s="305">
        <f t="shared" si="7"/>
        <v>0</v>
      </c>
    </row>
    <row r="72" spans="1:27" x14ac:dyDescent="0.35">
      <c r="A72" s="24">
        <v>58</v>
      </c>
      <c r="B72" s="514" t="str">
        <f>IF('As-Filed Schedule 2C'!B72:D72=0,"",'As-Filed Schedule 2C'!B72:D72)</f>
        <v/>
      </c>
      <c r="C72" s="514"/>
      <c r="D72" s="514"/>
      <c r="F72" s="117">
        <f>'As-Filed Schedule 2C'!F72</f>
        <v>0</v>
      </c>
      <c r="G72" s="309">
        <f>SUMIFS(Adjustments!$G:$G,Adjustments!$H:$H,"2C",Adjustments!$I:$I,'Schedule 2C Adjustments'!$F$12,Adjustments!$J:$J,'Schedule 2C Adjustments'!$A72)</f>
        <v>0</v>
      </c>
      <c r="H72" s="305">
        <f t="shared" si="0"/>
        <v>0</v>
      </c>
      <c r="I72" s="68">
        <f>IFERROR(F72*'As-Filed Schedule 1'!$E$103,0)</f>
        <v>0</v>
      </c>
      <c r="J72" s="306">
        <f>IFERROR(H72*'Adjusted Schedule 1'!$E$104,0)</f>
        <v>0</v>
      </c>
      <c r="K72" s="68">
        <f t="shared" si="1"/>
        <v>0</v>
      </c>
      <c r="L72" s="306">
        <f t="shared" si="2"/>
        <v>0</v>
      </c>
      <c r="N72" s="117">
        <f>'As-Filed Schedule 2C'!J72</f>
        <v>0</v>
      </c>
      <c r="O72" s="309">
        <f>SUMIFS(Adjustments!$G:$G,Adjustments!$H:$H,"2C",Adjustments!$I:$I,'Schedule 2C Adjustments'!$N$12,Adjustments!$J:$J,'Schedule 2C Adjustments'!$A72)</f>
        <v>0</v>
      </c>
      <c r="P72" s="305">
        <f t="shared" si="3"/>
        <v>0</v>
      </c>
      <c r="Q72" s="68">
        <f>IFERROR(N72*'As-Filed Schedule 1'!$E$103,0)</f>
        <v>0</v>
      </c>
      <c r="R72" s="306">
        <f>IFERROR(P72*'Adjusted Schedule 1'!$E$104,0)</f>
        <v>0</v>
      </c>
      <c r="S72" s="68">
        <f t="shared" si="4"/>
        <v>0</v>
      </c>
      <c r="T72" s="306">
        <f t="shared" si="5"/>
        <v>0</v>
      </c>
      <c r="V72" s="119">
        <f>'As-Filed Schedule 2C'!N72</f>
        <v>0</v>
      </c>
      <c r="W72" s="309">
        <f>SUMIFS(Adjustments!$G:$G,Adjustments!$H:$H,"2C",Adjustments!$I:$I,'Schedule 2C Adjustments'!$V$12,Adjustments!$J:$J,'Schedule 2C Adjustments'!$A72)</f>
        <v>0</v>
      </c>
      <c r="X72" s="305">
        <f t="shared" si="6"/>
        <v>0</v>
      </c>
      <c r="Y72" s="119">
        <f>'As-Filed Schedule 2C'!O72</f>
        <v>0</v>
      </c>
      <c r="Z72" s="309">
        <f>SUMIFS(Adjustments!$G:$G,Adjustments!$H:$H,"2C",Adjustments!$I:$I,'Schedule 2C Adjustments'!$Y$12,Adjustments!$J:$J,'Schedule 2C Adjustments'!$A72)</f>
        <v>0</v>
      </c>
      <c r="AA72" s="305">
        <f t="shared" si="7"/>
        <v>0</v>
      </c>
    </row>
    <row r="73" spans="1:27" x14ac:dyDescent="0.35">
      <c r="A73" s="24">
        <v>59</v>
      </c>
      <c r="F73" s="18">
        <f>SUM(F15:F72)</f>
        <v>27048343</v>
      </c>
      <c r="G73" s="18">
        <f t="shared" ref="G73:L73" si="8">SUM(G15:G72)</f>
        <v>928590</v>
      </c>
      <c r="H73" s="18">
        <f t="shared" si="8"/>
        <v>27976933</v>
      </c>
      <c r="I73" s="18">
        <f t="shared" si="8"/>
        <v>9138779.7819476016</v>
      </c>
      <c r="J73" s="307">
        <f t="shared" si="8"/>
        <v>9158830.1115220338</v>
      </c>
      <c r="K73" s="18">
        <f t="shared" si="8"/>
        <v>36187122.781947605</v>
      </c>
      <c r="L73" s="307">
        <f t="shared" si="8"/>
        <v>37135763.111522041</v>
      </c>
      <c r="N73" s="18">
        <f>SUM(N15:N72)</f>
        <v>15196338</v>
      </c>
      <c r="O73" s="18">
        <f t="shared" ref="O73:T73" si="9">SUM(O15:O72)</f>
        <v>-450153</v>
      </c>
      <c r="P73" s="307">
        <f t="shared" si="9"/>
        <v>14746185</v>
      </c>
      <c r="Q73" s="18">
        <f t="shared" si="9"/>
        <v>5134362.0743807508</v>
      </c>
      <c r="R73" s="307">
        <f t="shared" si="9"/>
        <v>4827469.944903343</v>
      </c>
      <c r="S73" s="18">
        <f t="shared" si="9"/>
        <v>20330700.074380752</v>
      </c>
      <c r="T73" s="18">
        <f t="shared" si="9"/>
        <v>19573654.944903344</v>
      </c>
      <c r="W73"/>
      <c r="X73"/>
      <c r="Y73" s="83" t="s">
        <v>313</v>
      </c>
      <c r="Z73"/>
      <c r="AA73"/>
    </row>
    <row r="74" spans="1:27" ht="15" thickBot="1" x14ac:dyDescent="0.4">
      <c r="G74"/>
      <c r="H74"/>
      <c r="J74" s="37" t="s">
        <v>257</v>
      </c>
      <c r="L74" s="320" t="s">
        <v>257</v>
      </c>
      <c r="O74"/>
      <c r="P74"/>
      <c r="R74" s="37" t="s">
        <v>258</v>
      </c>
      <c r="T74" s="320" t="s">
        <v>258</v>
      </c>
      <c r="W74"/>
      <c r="X74"/>
    </row>
    <row r="75" spans="1:27" s="72" customFormat="1" ht="16" thickBot="1" x14ac:dyDescent="0.4">
      <c r="A75" s="24">
        <v>60</v>
      </c>
      <c r="B75" s="73" t="s">
        <v>461</v>
      </c>
      <c r="F75" s="75">
        <f>K73+S73</f>
        <v>56517822.856328353</v>
      </c>
      <c r="G75"/>
      <c r="H75" s="330">
        <f>L73+T73</f>
        <v>56709418.056425385</v>
      </c>
      <c r="I75" s="74"/>
      <c r="J75"/>
      <c r="K75" s="74"/>
      <c r="L75" s="321"/>
      <c r="M75" s="74"/>
      <c r="N75" s="74"/>
      <c r="O75" s="328"/>
      <c r="P75" s="321"/>
      <c r="Q75" s="74"/>
      <c r="R75" s="321"/>
      <c r="T75" s="323"/>
      <c r="W75" s="326"/>
      <c r="X75" s="323"/>
      <c r="Z75" s="326"/>
      <c r="AA75" s="323"/>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Z13:Z14"/>
    <mergeCell ref="AA13:AA14"/>
    <mergeCell ref="F13:L13"/>
    <mergeCell ref="N13:T13"/>
    <mergeCell ref="W13:W14"/>
    <mergeCell ref="X13:X14"/>
    <mergeCell ref="Y13:Y14"/>
    <mergeCell ref="V13:V14"/>
    <mergeCell ref="B68:D68"/>
    <mergeCell ref="B69:D69"/>
    <mergeCell ref="B70:D70"/>
    <mergeCell ref="B71:D71"/>
    <mergeCell ref="B72:D72"/>
    <mergeCell ref="B67:D67"/>
    <mergeCell ref="B56:D56"/>
    <mergeCell ref="B57:D57"/>
    <mergeCell ref="B58:D58"/>
    <mergeCell ref="B59:D59"/>
    <mergeCell ref="B60:D60"/>
    <mergeCell ref="B61:D61"/>
    <mergeCell ref="B62:D62"/>
    <mergeCell ref="B63:D63"/>
    <mergeCell ref="B64:D64"/>
    <mergeCell ref="B65:D65"/>
    <mergeCell ref="B66:D66"/>
    <mergeCell ref="B55:D55"/>
    <mergeCell ref="B44:D44"/>
    <mergeCell ref="B45:D45"/>
    <mergeCell ref="B46:D46"/>
    <mergeCell ref="B47:D47"/>
    <mergeCell ref="B48:D48"/>
    <mergeCell ref="B49:D49"/>
    <mergeCell ref="B50:D50"/>
    <mergeCell ref="B51:D51"/>
    <mergeCell ref="B52:D52"/>
    <mergeCell ref="B53:D53"/>
    <mergeCell ref="B54:D54"/>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A3:K3"/>
    <mergeCell ref="B12:D12"/>
    <mergeCell ref="B13:D14"/>
    <mergeCell ref="B15:D15"/>
    <mergeCell ref="B16:D16"/>
    <mergeCell ref="B17:D17"/>
    <mergeCell ref="B18:D18"/>
  </mergeCells>
  <pageMargins left="0.7" right="0.7" top="0.75" bottom="0.75" header="0.3" footer="0.3"/>
  <pageSetup orientation="portrait" horizontalDpi="1200" verticalDpi="1200"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A1:AA75"/>
  <sheetViews>
    <sheetView workbookViewId="0"/>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753</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628</v>
      </c>
      <c r="C8" s="1"/>
      <c r="F8" s="118">
        <f>'As-Filed Schedule 2D'!F8</f>
        <v>0</v>
      </c>
      <c r="G8" s="41" t="s">
        <v>259</v>
      </c>
    </row>
    <row r="10" spans="1:27" x14ac:dyDescent="0.35">
      <c r="A10" s="1" t="s">
        <v>254</v>
      </c>
      <c r="B10" s="1" t="s">
        <v>256</v>
      </c>
      <c r="C10" s="1"/>
    </row>
    <row r="11" spans="1:27" x14ac:dyDescent="0.35">
      <c r="B11" s="329" t="s">
        <v>598</v>
      </c>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100"/>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2D'!B15:D15=0,"",'As-Filed Schedule 2D'!B15:D15)</f>
        <v/>
      </c>
      <c r="C15" s="514"/>
      <c r="D15" s="514"/>
      <c r="F15" s="117">
        <f>'As-Filed Schedule 2D'!F15</f>
        <v>0</v>
      </c>
      <c r="G15" s="459">
        <f>SUMIFS(Adjustments!$G:$G,Adjustments!$H:$H,"2D",Adjustments!$I:$I,'Schedule 2D Adjustments'!$F$12,Adjustments!$J:$J,'Schedule 2D Adjustments'!$A15)</f>
        <v>0</v>
      </c>
      <c r="H15" s="305">
        <f>SUM(F15:G15)</f>
        <v>0</v>
      </c>
      <c r="I15" s="68">
        <f>IFERROR(F15*'As-Filed Schedule 1'!$E$103,0)</f>
        <v>0</v>
      </c>
      <c r="J15" s="306">
        <f>IFERROR(H15*'Adjusted Schedule 1'!$E$104,0)</f>
        <v>0</v>
      </c>
      <c r="K15" s="68">
        <f>SUM(F15,I15)</f>
        <v>0</v>
      </c>
      <c r="L15" s="306">
        <f>SUM(H15,J15)</f>
        <v>0</v>
      </c>
      <c r="N15" s="117">
        <f>'As-Filed Schedule 2D'!J15</f>
        <v>0</v>
      </c>
      <c r="O15" s="309">
        <f>SUMIFS(Adjustments!$G:$G,Adjustments!$H:$H,"2D",Adjustments!$I:$I,'Schedule 2D Adjustments'!$N$12,Adjustments!$J:$J,'Schedule 2D Adjustments'!$A15)</f>
        <v>0</v>
      </c>
      <c r="P15" s="305">
        <f>SUM(N15:O15)</f>
        <v>0</v>
      </c>
      <c r="Q15" s="68">
        <f>IFERROR(N15*'As-Filed Schedule 1'!$E$103,0)</f>
        <v>0</v>
      </c>
      <c r="R15" s="68">
        <f>IFERROR(P15*'Adjusted Schedule 1'!$E$104,0)</f>
        <v>0</v>
      </c>
      <c r="S15" s="68">
        <f>SUM(N15,Q15)</f>
        <v>0</v>
      </c>
      <c r="T15" s="306">
        <f>SUM(P15,R15)</f>
        <v>0</v>
      </c>
      <c r="V15" s="119">
        <f>'As-Filed Schedule 2D'!N15</f>
        <v>0</v>
      </c>
      <c r="W15" s="309">
        <f>SUMIFS(Adjustments!$G:$G,Adjustments!$H:$H,"2D",Adjustments!$I:$I,'Schedule 2D Adjustments'!$V$12,Adjustments!$J:$J,'Schedule 2D Adjustments'!$A15)</f>
        <v>0</v>
      </c>
      <c r="X15" s="305">
        <f>SUM(V15:W15)</f>
        <v>0</v>
      </c>
      <c r="Y15" s="119">
        <f>'As-Filed Schedule 2D'!O15</f>
        <v>0</v>
      </c>
      <c r="Z15" s="309">
        <f>SUMIFS(Adjustments!$G:$G,Adjustments!$H:$H,"2D",Adjustments!$I:$I,'Schedule 2D Adjustments'!$Y$12,Adjustments!$J:$J,'Schedule 2D Adjustments'!$A15)</f>
        <v>0</v>
      </c>
      <c r="AA15" s="305">
        <f>SUM(Y15:Z15)</f>
        <v>0</v>
      </c>
    </row>
    <row r="16" spans="1:27" x14ac:dyDescent="0.35">
      <c r="A16" s="24">
        <v>2</v>
      </c>
      <c r="B16" s="514" t="str">
        <f>IF('As-Filed Schedule 2D'!B16:D16=0,"",'As-Filed Schedule 2D'!B16:D16)</f>
        <v/>
      </c>
      <c r="C16" s="514"/>
      <c r="D16" s="514"/>
      <c r="F16" s="117">
        <f>'As-Filed Schedule 2D'!F16</f>
        <v>0</v>
      </c>
      <c r="G16" s="459">
        <f>SUMIFS(Adjustments!$G:$G,Adjustments!$H:$H,"2D",Adjustments!$I:$I,'Schedule 2D Adjustments'!$F$12,Adjustments!$J:$J,'Schedule 2D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2D'!J16</f>
        <v>0</v>
      </c>
      <c r="O16" s="309">
        <f>SUMIFS(Adjustments!$G:$G,Adjustments!$H:$H,"2D",Adjustments!$I:$I,'Schedule 2D Adjustments'!$N$12,Adjustments!$J:$J,'Schedule 2D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2D'!N16</f>
        <v>0</v>
      </c>
      <c r="W16" s="309">
        <f>SUMIFS(Adjustments!$G:$G,Adjustments!$H:$H,"2D",Adjustments!$I:$I,'Schedule 2D Adjustments'!$V$12,Adjustments!$J:$J,'Schedule 2D Adjustments'!$A16)</f>
        <v>0</v>
      </c>
      <c r="X16" s="305">
        <f t="shared" ref="X16:X72" si="6">SUM(V16:W16)</f>
        <v>0</v>
      </c>
      <c r="Y16" s="119">
        <f>'As-Filed Schedule 2D'!O16</f>
        <v>0</v>
      </c>
      <c r="Z16" s="309">
        <f>SUMIFS(Adjustments!$G:$G,Adjustments!$H:$H,"2D",Adjustments!$I:$I,'Schedule 2D Adjustments'!$Y$12,Adjustments!$J:$J,'Schedule 2D Adjustments'!$A16)</f>
        <v>0</v>
      </c>
      <c r="AA16" s="305">
        <f t="shared" ref="AA16:AA72" si="7">SUM(Y16:Z16)</f>
        <v>0</v>
      </c>
    </row>
    <row r="17" spans="1:27" x14ac:dyDescent="0.35">
      <c r="A17" s="24">
        <v>3</v>
      </c>
      <c r="B17" s="514" t="str">
        <f>IF('As-Filed Schedule 2D'!B17:D17=0,"",'As-Filed Schedule 2D'!B17:D17)</f>
        <v/>
      </c>
      <c r="C17" s="514"/>
      <c r="D17" s="514"/>
      <c r="F17" s="117">
        <f>'As-Filed Schedule 2D'!F17</f>
        <v>0</v>
      </c>
      <c r="G17" s="309">
        <f>SUMIFS(Adjustments!$G:$G,Adjustments!$H:$H,"2D",Adjustments!$I:$I,'Schedule 2D Adjustments'!$F$12,Adjustments!$J:$J,'Schedule 2D Adjustments'!$A17)</f>
        <v>0</v>
      </c>
      <c r="H17" s="305">
        <f t="shared" si="0"/>
        <v>0</v>
      </c>
      <c r="I17" s="68">
        <f>IFERROR(F17*'As-Filed Schedule 1'!$E$103,0)</f>
        <v>0</v>
      </c>
      <c r="J17" s="306">
        <f>IFERROR(H17*'Adjusted Schedule 1'!$E$104,0)</f>
        <v>0</v>
      </c>
      <c r="K17" s="68">
        <f t="shared" si="1"/>
        <v>0</v>
      </c>
      <c r="L17" s="306">
        <f t="shared" si="2"/>
        <v>0</v>
      </c>
      <c r="N17" s="117">
        <f>'As-Filed Schedule 2D'!J17</f>
        <v>0</v>
      </c>
      <c r="O17" s="309">
        <f>SUMIFS(Adjustments!$G:$G,Adjustments!$H:$H,"2D",Adjustments!$I:$I,'Schedule 2D Adjustments'!$N$12,Adjustments!$J:$J,'Schedule 2D Adjustments'!$A17)</f>
        <v>0</v>
      </c>
      <c r="P17" s="305">
        <f t="shared" si="3"/>
        <v>0</v>
      </c>
      <c r="Q17" s="68">
        <f>IFERROR(N17*'As-Filed Schedule 1'!$E$103,0)</f>
        <v>0</v>
      </c>
      <c r="R17" s="68">
        <f>IFERROR(P17*'Adjusted Schedule 1'!$E$104,0)</f>
        <v>0</v>
      </c>
      <c r="S17" s="68">
        <f t="shared" si="4"/>
        <v>0</v>
      </c>
      <c r="T17" s="306">
        <f t="shared" si="5"/>
        <v>0</v>
      </c>
      <c r="V17" s="119">
        <f>'As-Filed Schedule 2D'!N17</f>
        <v>0</v>
      </c>
      <c r="W17" s="309">
        <f>SUMIFS(Adjustments!$G:$G,Adjustments!$H:$H,"2D",Adjustments!$I:$I,'Schedule 2D Adjustments'!$V$12,Adjustments!$J:$J,'Schedule 2D Adjustments'!$A17)</f>
        <v>0</v>
      </c>
      <c r="X17" s="305">
        <f t="shared" si="6"/>
        <v>0</v>
      </c>
      <c r="Y17" s="119">
        <f>'As-Filed Schedule 2D'!O17</f>
        <v>0</v>
      </c>
      <c r="Z17" s="309">
        <f>SUMIFS(Adjustments!$G:$G,Adjustments!$H:$H,"2D",Adjustments!$I:$I,'Schedule 2D Adjustments'!$Y$12,Adjustments!$J:$J,'Schedule 2D Adjustments'!$A17)</f>
        <v>0</v>
      </c>
      <c r="AA17" s="305">
        <f t="shared" si="7"/>
        <v>0</v>
      </c>
    </row>
    <row r="18" spans="1:27" x14ac:dyDescent="0.35">
      <c r="A18" s="24">
        <v>4</v>
      </c>
      <c r="B18" s="514" t="str">
        <f>IF('As-Filed Schedule 2D'!B18:D18=0,"",'As-Filed Schedule 2D'!B18:D18)</f>
        <v/>
      </c>
      <c r="C18" s="514"/>
      <c r="D18" s="514"/>
      <c r="F18" s="117">
        <f>'As-Filed Schedule 2D'!F18</f>
        <v>0</v>
      </c>
      <c r="G18" s="309">
        <f>SUMIFS(Adjustments!$G:$G,Adjustments!$H:$H,"2D",Adjustments!$I:$I,'Schedule 2D Adjustments'!$F$12,Adjustments!$J:$J,'Schedule 2D Adjustments'!$A18)</f>
        <v>0</v>
      </c>
      <c r="H18" s="305">
        <f t="shared" si="0"/>
        <v>0</v>
      </c>
      <c r="I18" s="68">
        <f>IFERROR(F18*'As-Filed Schedule 1'!$E$103,0)</f>
        <v>0</v>
      </c>
      <c r="J18" s="306">
        <f>IFERROR(H18*'Adjusted Schedule 1'!$E$104,0)</f>
        <v>0</v>
      </c>
      <c r="K18" s="68">
        <f t="shared" si="1"/>
        <v>0</v>
      </c>
      <c r="L18" s="306">
        <f t="shared" si="2"/>
        <v>0</v>
      </c>
      <c r="N18" s="117">
        <f>'As-Filed Schedule 2D'!J18</f>
        <v>0</v>
      </c>
      <c r="O18" s="309">
        <f>SUMIFS(Adjustments!$G:$G,Adjustments!$H:$H,"2D",Adjustments!$I:$I,'Schedule 2D Adjustments'!$N$12,Adjustments!$J:$J,'Schedule 2D Adjustments'!$A18)</f>
        <v>0</v>
      </c>
      <c r="P18" s="305">
        <f t="shared" si="3"/>
        <v>0</v>
      </c>
      <c r="Q18" s="68">
        <f>IFERROR(N18*'As-Filed Schedule 1'!$E$103,0)</f>
        <v>0</v>
      </c>
      <c r="R18" s="68">
        <f>IFERROR(P18*'Adjusted Schedule 1'!$E$104,0)</f>
        <v>0</v>
      </c>
      <c r="S18" s="68">
        <f t="shared" si="4"/>
        <v>0</v>
      </c>
      <c r="T18" s="306">
        <f t="shared" si="5"/>
        <v>0</v>
      </c>
      <c r="V18" s="119">
        <f>'As-Filed Schedule 2D'!N18</f>
        <v>0</v>
      </c>
      <c r="W18" s="309">
        <f>SUMIFS(Adjustments!$G:$G,Adjustments!$H:$H,"2D",Adjustments!$I:$I,'Schedule 2D Adjustments'!$V$12,Adjustments!$J:$J,'Schedule 2D Adjustments'!$A18)</f>
        <v>0</v>
      </c>
      <c r="X18" s="305">
        <f t="shared" si="6"/>
        <v>0</v>
      </c>
      <c r="Y18" s="119">
        <f>'As-Filed Schedule 2D'!O18</f>
        <v>0</v>
      </c>
      <c r="Z18" s="309">
        <f>SUMIFS(Adjustments!$G:$G,Adjustments!$H:$H,"2D",Adjustments!$I:$I,'Schedule 2D Adjustments'!$Y$12,Adjustments!$J:$J,'Schedule 2D Adjustments'!$A18)</f>
        <v>0</v>
      </c>
      <c r="AA18" s="305">
        <f t="shared" si="7"/>
        <v>0</v>
      </c>
    </row>
    <row r="19" spans="1:27" x14ac:dyDescent="0.35">
      <c r="A19" s="24">
        <v>5</v>
      </c>
      <c r="B19" s="514" t="str">
        <f>IF('As-Filed Schedule 2D'!B19:D19=0,"",'As-Filed Schedule 2D'!B19:D19)</f>
        <v/>
      </c>
      <c r="C19" s="514"/>
      <c r="D19" s="514"/>
      <c r="F19" s="117">
        <f>'As-Filed Schedule 2D'!F19</f>
        <v>0</v>
      </c>
      <c r="G19" s="309">
        <f>SUMIFS(Adjustments!$G:$G,Adjustments!$H:$H,"2D",Adjustments!$I:$I,'Schedule 2D Adjustments'!$F$12,Adjustments!$J:$J,'Schedule 2D Adjustments'!$A19)</f>
        <v>0</v>
      </c>
      <c r="H19" s="305">
        <f t="shared" si="0"/>
        <v>0</v>
      </c>
      <c r="I19" s="68">
        <f>IFERROR(F19*'As-Filed Schedule 1'!$E$103,0)</f>
        <v>0</v>
      </c>
      <c r="J19" s="306">
        <f>IFERROR(H19*'Adjusted Schedule 1'!$E$104,0)</f>
        <v>0</v>
      </c>
      <c r="K19" s="68">
        <f t="shared" si="1"/>
        <v>0</v>
      </c>
      <c r="L19" s="306">
        <f>SUM(H19,J19)</f>
        <v>0</v>
      </c>
      <c r="N19" s="117">
        <f>'As-Filed Schedule 2D'!J19</f>
        <v>0</v>
      </c>
      <c r="O19" s="309">
        <f>SUMIFS(Adjustments!$G:$G,Adjustments!$H:$H,"2D",Adjustments!$I:$I,'Schedule 2D Adjustments'!$N$12,Adjustments!$J:$J,'Schedule 2D Adjustments'!$A19)</f>
        <v>0</v>
      </c>
      <c r="P19" s="305">
        <f t="shared" si="3"/>
        <v>0</v>
      </c>
      <c r="Q19" s="68">
        <f>IFERROR(N19*'As-Filed Schedule 1'!$E$103,0)</f>
        <v>0</v>
      </c>
      <c r="R19" s="68">
        <f>IFERROR(P19*'Adjusted Schedule 1'!$E$104,0)</f>
        <v>0</v>
      </c>
      <c r="S19" s="68">
        <f t="shared" si="4"/>
        <v>0</v>
      </c>
      <c r="T19" s="306">
        <f t="shared" si="5"/>
        <v>0</v>
      </c>
      <c r="V19" s="119">
        <f>'As-Filed Schedule 2D'!N19</f>
        <v>0</v>
      </c>
      <c r="W19" s="309">
        <f>SUMIFS(Adjustments!$G:$G,Adjustments!$H:$H,"2D",Adjustments!$I:$I,'Schedule 2D Adjustments'!$V$12,Adjustments!$J:$J,'Schedule 2D Adjustments'!$A19)</f>
        <v>0</v>
      </c>
      <c r="X19" s="305">
        <f t="shared" si="6"/>
        <v>0</v>
      </c>
      <c r="Y19" s="119">
        <f>'As-Filed Schedule 2D'!O19</f>
        <v>0</v>
      </c>
      <c r="Z19" s="309">
        <f>SUMIFS(Adjustments!$G:$G,Adjustments!$H:$H,"2D",Adjustments!$I:$I,'Schedule 2D Adjustments'!$Y$12,Adjustments!$J:$J,'Schedule 2D Adjustments'!$A19)</f>
        <v>0</v>
      </c>
      <c r="AA19" s="305">
        <f t="shared" si="7"/>
        <v>0</v>
      </c>
    </row>
    <row r="20" spans="1:27" x14ac:dyDescent="0.35">
      <c r="A20" s="24">
        <v>6</v>
      </c>
      <c r="B20" s="514" t="str">
        <f>IF('As-Filed Schedule 2D'!B20:D20=0,"",'As-Filed Schedule 2D'!B20:D20)</f>
        <v/>
      </c>
      <c r="C20" s="514"/>
      <c r="D20" s="514"/>
      <c r="F20" s="117">
        <f>'As-Filed Schedule 2D'!F20</f>
        <v>0</v>
      </c>
      <c r="G20" s="309">
        <f>SUMIFS(Adjustments!$G:$G,Adjustments!$H:$H,"2D",Adjustments!$I:$I,'Schedule 2D Adjustments'!$F$12,Adjustments!$J:$J,'Schedule 2D Adjustments'!$A20)</f>
        <v>0</v>
      </c>
      <c r="H20" s="305">
        <f t="shared" si="0"/>
        <v>0</v>
      </c>
      <c r="I20" s="68">
        <f>IFERROR(F20*'As-Filed Schedule 1'!$E$103,0)</f>
        <v>0</v>
      </c>
      <c r="J20" s="306">
        <f>IFERROR(H20*'Adjusted Schedule 1'!$E$104,0)</f>
        <v>0</v>
      </c>
      <c r="K20" s="68">
        <f>SUM(F20,I20)</f>
        <v>0</v>
      </c>
      <c r="L20" s="306">
        <f t="shared" si="2"/>
        <v>0</v>
      </c>
      <c r="N20" s="117">
        <f>'As-Filed Schedule 2D'!J20</f>
        <v>0</v>
      </c>
      <c r="O20" s="309">
        <f>SUMIFS(Adjustments!$G:$G,Adjustments!$H:$H,"2D",Adjustments!$I:$I,'Schedule 2D Adjustments'!$N$12,Adjustments!$J:$J,'Schedule 2D Adjustments'!$A20)</f>
        <v>0</v>
      </c>
      <c r="P20" s="305">
        <f t="shared" si="3"/>
        <v>0</v>
      </c>
      <c r="Q20" s="68">
        <f>IFERROR(N20*'As-Filed Schedule 1'!$E$103,0)</f>
        <v>0</v>
      </c>
      <c r="R20" s="68">
        <f>IFERROR(P20*'Adjusted Schedule 1'!$E$104,0)</f>
        <v>0</v>
      </c>
      <c r="S20" s="68">
        <f t="shared" si="4"/>
        <v>0</v>
      </c>
      <c r="T20" s="306">
        <f t="shared" si="5"/>
        <v>0</v>
      </c>
      <c r="V20" s="119">
        <f>'As-Filed Schedule 2D'!N20</f>
        <v>0</v>
      </c>
      <c r="W20" s="309">
        <f>SUMIFS(Adjustments!$G:$G,Adjustments!$H:$H,"2D",Adjustments!$I:$I,'Schedule 2D Adjustments'!$V$12,Adjustments!$J:$J,'Schedule 2D Adjustments'!$A20)</f>
        <v>0</v>
      </c>
      <c r="X20" s="305">
        <f t="shared" si="6"/>
        <v>0</v>
      </c>
      <c r="Y20" s="119">
        <f>'As-Filed Schedule 2D'!O20</f>
        <v>0</v>
      </c>
      <c r="Z20" s="309">
        <f>SUMIFS(Adjustments!$G:$G,Adjustments!$H:$H,"2D",Adjustments!$I:$I,'Schedule 2D Adjustments'!$Y$12,Adjustments!$J:$J,'Schedule 2D Adjustments'!$A20)</f>
        <v>0</v>
      </c>
      <c r="AA20" s="305">
        <f t="shared" si="7"/>
        <v>0</v>
      </c>
    </row>
    <row r="21" spans="1:27" x14ac:dyDescent="0.35">
      <c r="A21" s="24">
        <v>7</v>
      </c>
      <c r="B21" s="514" t="str">
        <f>IF('As-Filed Schedule 2D'!B21:D21=0,"",'As-Filed Schedule 2D'!B21:D21)</f>
        <v/>
      </c>
      <c r="C21" s="514"/>
      <c r="D21" s="514"/>
      <c r="F21" s="117">
        <f>'As-Filed Schedule 2D'!F21</f>
        <v>0</v>
      </c>
      <c r="G21" s="309">
        <f>SUMIFS(Adjustments!$G:$G,Adjustments!$H:$H,"2D",Adjustments!$I:$I,'Schedule 2D Adjustments'!$F$12,Adjustments!$J:$J,'Schedule 2D Adjustments'!$A21)</f>
        <v>0</v>
      </c>
      <c r="H21" s="305">
        <f t="shared" si="0"/>
        <v>0</v>
      </c>
      <c r="I21" s="68">
        <f>IFERROR(F21*'As-Filed Schedule 1'!$E$103,0)</f>
        <v>0</v>
      </c>
      <c r="J21" s="306">
        <f>IFERROR(H21*'Adjusted Schedule 1'!$E$104,0)</f>
        <v>0</v>
      </c>
      <c r="K21" s="68">
        <f t="shared" si="1"/>
        <v>0</v>
      </c>
      <c r="L21" s="306">
        <f t="shared" si="2"/>
        <v>0</v>
      </c>
      <c r="N21" s="117">
        <f>'As-Filed Schedule 2D'!J21</f>
        <v>0</v>
      </c>
      <c r="O21" s="309">
        <f>SUMIFS(Adjustments!$G:$G,Adjustments!$H:$H,"2D",Adjustments!$I:$I,'Schedule 2D Adjustments'!$N$12,Adjustments!$J:$J,'Schedule 2D Adjustments'!$A21)</f>
        <v>0</v>
      </c>
      <c r="P21" s="305">
        <f t="shared" si="3"/>
        <v>0</v>
      </c>
      <c r="Q21" s="68">
        <f>IFERROR(N21*'As-Filed Schedule 1'!$E$103,0)</f>
        <v>0</v>
      </c>
      <c r="R21" s="68">
        <f>IFERROR(P21*'Adjusted Schedule 1'!$E$104,0)</f>
        <v>0</v>
      </c>
      <c r="S21" s="68">
        <f>SUM(N21,Q21)</f>
        <v>0</v>
      </c>
      <c r="T21" s="306">
        <f>SUM(P21,R21)</f>
        <v>0</v>
      </c>
      <c r="V21" s="119">
        <f>'As-Filed Schedule 2D'!N21</f>
        <v>0</v>
      </c>
      <c r="W21" s="309">
        <f>SUMIFS(Adjustments!$G:$G,Adjustments!$H:$H,"2D",Adjustments!$I:$I,'Schedule 2D Adjustments'!$V$12,Adjustments!$J:$J,'Schedule 2D Adjustments'!$A21)</f>
        <v>0</v>
      </c>
      <c r="X21" s="305">
        <f t="shared" si="6"/>
        <v>0</v>
      </c>
      <c r="Y21" s="119">
        <f>'As-Filed Schedule 2D'!O21</f>
        <v>0</v>
      </c>
      <c r="Z21" s="309">
        <f>SUMIFS(Adjustments!$G:$G,Adjustments!$H:$H,"2D",Adjustments!$I:$I,'Schedule 2D Adjustments'!$Y$12,Adjustments!$J:$J,'Schedule 2D Adjustments'!$A21)</f>
        <v>0</v>
      </c>
      <c r="AA21" s="305">
        <f t="shared" si="7"/>
        <v>0</v>
      </c>
    </row>
    <row r="22" spans="1:27" x14ac:dyDescent="0.35">
      <c r="A22" s="24">
        <v>8</v>
      </c>
      <c r="B22" s="514" t="str">
        <f>IF('As-Filed Schedule 2D'!B22:D22=0,"",'As-Filed Schedule 2D'!B22:D22)</f>
        <v/>
      </c>
      <c r="C22" s="514"/>
      <c r="D22" s="514"/>
      <c r="F22" s="117">
        <f>'As-Filed Schedule 2D'!F22</f>
        <v>0</v>
      </c>
      <c r="G22" s="309">
        <f>SUMIFS(Adjustments!$G:$G,Adjustments!$H:$H,"2D",Adjustments!$I:$I,'Schedule 2D Adjustments'!$F$12,Adjustments!$J:$J,'Schedule 2D Adjustments'!$A22)</f>
        <v>0</v>
      </c>
      <c r="H22" s="305">
        <f t="shared" si="0"/>
        <v>0</v>
      </c>
      <c r="I22" s="68">
        <f>IFERROR(F22*'As-Filed Schedule 1'!$E$103,0)</f>
        <v>0</v>
      </c>
      <c r="J22" s="306">
        <f>IFERROR(H22*'Adjusted Schedule 1'!$E$104,0)</f>
        <v>0</v>
      </c>
      <c r="K22" s="68">
        <f t="shared" si="1"/>
        <v>0</v>
      </c>
      <c r="L22" s="306">
        <f t="shared" si="2"/>
        <v>0</v>
      </c>
      <c r="N22" s="117">
        <f>'As-Filed Schedule 2D'!J22</f>
        <v>0</v>
      </c>
      <c r="O22" s="309">
        <f>SUMIFS(Adjustments!$G:$G,Adjustments!$H:$H,"2D",Adjustments!$I:$I,'Schedule 2D Adjustments'!$N$12,Adjustments!$J:$J,'Schedule 2D Adjustments'!$A22)</f>
        <v>0</v>
      </c>
      <c r="P22" s="305">
        <f t="shared" si="3"/>
        <v>0</v>
      </c>
      <c r="Q22" s="68">
        <f>IFERROR(N22*'As-Filed Schedule 1'!$E$103,0)</f>
        <v>0</v>
      </c>
      <c r="R22" s="68">
        <f>IFERROR(P22*'Adjusted Schedule 1'!$E$104,0)</f>
        <v>0</v>
      </c>
      <c r="S22" s="68">
        <f t="shared" si="4"/>
        <v>0</v>
      </c>
      <c r="T22" s="306">
        <f t="shared" si="5"/>
        <v>0</v>
      </c>
      <c r="V22" s="119">
        <f>'As-Filed Schedule 2D'!N22</f>
        <v>0</v>
      </c>
      <c r="W22" s="309">
        <f>SUMIFS(Adjustments!$G:$G,Adjustments!$H:$H,"2D",Adjustments!$I:$I,'Schedule 2D Adjustments'!$V$12,Adjustments!$J:$J,'Schedule 2D Adjustments'!$A22)</f>
        <v>0</v>
      </c>
      <c r="X22" s="305">
        <f t="shared" si="6"/>
        <v>0</v>
      </c>
      <c r="Y22" s="119">
        <f>'As-Filed Schedule 2D'!O22</f>
        <v>0</v>
      </c>
      <c r="Z22" s="309">
        <f>SUMIFS(Adjustments!$G:$G,Adjustments!$H:$H,"2D",Adjustments!$I:$I,'Schedule 2D Adjustments'!$Y$12,Adjustments!$J:$J,'Schedule 2D Adjustments'!$A22)</f>
        <v>0</v>
      </c>
      <c r="AA22" s="305">
        <f t="shared" si="7"/>
        <v>0</v>
      </c>
    </row>
    <row r="23" spans="1:27" x14ac:dyDescent="0.35">
      <c r="A23" s="24">
        <v>9</v>
      </c>
      <c r="B23" s="514" t="str">
        <f>IF('As-Filed Schedule 2D'!B23:D23=0,"",'As-Filed Schedule 2D'!B23:D23)</f>
        <v/>
      </c>
      <c r="C23" s="514"/>
      <c r="D23" s="514"/>
      <c r="F23" s="117">
        <f>'As-Filed Schedule 2D'!F23</f>
        <v>0</v>
      </c>
      <c r="G23" s="309">
        <f>SUMIFS(Adjustments!$G:$G,Adjustments!$H:$H,"2D",Adjustments!$I:$I,'Schedule 2D Adjustments'!$F$12,Adjustments!$J:$J,'Schedule 2D Adjustments'!$A23)</f>
        <v>0</v>
      </c>
      <c r="H23" s="305">
        <f t="shared" si="0"/>
        <v>0</v>
      </c>
      <c r="I23" s="68">
        <f>IFERROR(F23*'As-Filed Schedule 1'!$E$103,0)</f>
        <v>0</v>
      </c>
      <c r="J23" s="306">
        <f>IFERROR(H23*'Adjusted Schedule 1'!$E$104,0)</f>
        <v>0</v>
      </c>
      <c r="K23" s="68">
        <f t="shared" si="1"/>
        <v>0</v>
      </c>
      <c r="L23" s="306">
        <f t="shared" si="2"/>
        <v>0</v>
      </c>
      <c r="N23" s="117">
        <f>'As-Filed Schedule 2D'!J23</f>
        <v>0</v>
      </c>
      <c r="O23" s="309">
        <f>SUMIFS(Adjustments!$G:$G,Adjustments!$H:$H,"2D",Adjustments!$I:$I,'Schedule 2D Adjustments'!$N$12,Adjustments!$J:$J,'Schedule 2D Adjustments'!$A23)</f>
        <v>0</v>
      </c>
      <c r="P23" s="305">
        <f t="shared" si="3"/>
        <v>0</v>
      </c>
      <c r="Q23" s="68">
        <f>IFERROR(N23*'As-Filed Schedule 1'!$E$103,0)</f>
        <v>0</v>
      </c>
      <c r="R23" s="68">
        <f>IFERROR(P23*'Adjusted Schedule 1'!$E$104,0)</f>
        <v>0</v>
      </c>
      <c r="S23" s="68">
        <f t="shared" si="4"/>
        <v>0</v>
      </c>
      <c r="T23" s="306">
        <f t="shared" si="5"/>
        <v>0</v>
      </c>
      <c r="V23" s="119">
        <f>'As-Filed Schedule 2D'!N23</f>
        <v>0</v>
      </c>
      <c r="W23" s="309">
        <f>SUMIFS(Adjustments!$G:$G,Adjustments!$H:$H,"2D",Adjustments!$I:$I,'Schedule 2D Adjustments'!$V$12,Adjustments!$J:$J,'Schedule 2D Adjustments'!$A23)</f>
        <v>0</v>
      </c>
      <c r="X23" s="305">
        <f t="shared" si="6"/>
        <v>0</v>
      </c>
      <c r="Y23" s="119">
        <f>'As-Filed Schedule 2D'!O23</f>
        <v>0</v>
      </c>
      <c r="Z23" s="309">
        <f>SUMIFS(Adjustments!$G:$G,Adjustments!$H:$H,"2D",Adjustments!$I:$I,'Schedule 2D Adjustments'!$Y$12,Adjustments!$J:$J,'Schedule 2D Adjustments'!$A23)</f>
        <v>0</v>
      </c>
      <c r="AA23" s="305">
        <f t="shared" si="7"/>
        <v>0</v>
      </c>
    </row>
    <row r="24" spans="1:27" x14ac:dyDescent="0.35">
      <c r="A24" s="24">
        <v>10</v>
      </c>
      <c r="B24" s="514" t="str">
        <f>IF('As-Filed Schedule 2D'!B24:D24=0,"",'As-Filed Schedule 2D'!B24:D24)</f>
        <v/>
      </c>
      <c r="C24" s="514"/>
      <c r="D24" s="514"/>
      <c r="F24" s="117">
        <f>'As-Filed Schedule 2D'!F24</f>
        <v>0</v>
      </c>
      <c r="G24" s="309">
        <f>SUMIFS(Adjustments!$G:$G,Adjustments!$H:$H,"2D",Adjustments!$I:$I,'Schedule 2D Adjustments'!$F$12,Adjustments!$J:$J,'Schedule 2D Adjustments'!$A24)</f>
        <v>0</v>
      </c>
      <c r="H24" s="305">
        <f t="shared" si="0"/>
        <v>0</v>
      </c>
      <c r="I24" s="68">
        <f>IFERROR(F24*'As-Filed Schedule 1'!$E$103,0)</f>
        <v>0</v>
      </c>
      <c r="J24" s="306">
        <f>IFERROR(H24*'Adjusted Schedule 1'!$E$104,0)</f>
        <v>0</v>
      </c>
      <c r="K24" s="68">
        <f t="shared" si="1"/>
        <v>0</v>
      </c>
      <c r="L24" s="306">
        <f t="shared" si="2"/>
        <v>0</v>
      </c>
      <c r="N24" s="117">
        <f>'As-Filed Schedule 2D'!J24</f>
        <v>0</v>
      </c>
      <c r="O24" s="309">
        <f>SUMIFS(Adjustments!$G:$G,Adjustments!$H:$H,"2D",Adjustments!$I:$I,'Schedule 2D Adjustments'!$N$12,Adjustments!$J:$J,'Schedule 2D Adjustments'!$A24)</f>
        <v>0</v>
      </c>
      <c r="P24" s="305">
        <f t="shared" si="3"/>
        <v>0</v>
      </c>
      <c r="Q24" s="68">
        <f>IFERROR(N24*'As-Filed Schedule 1'!$E$103,0)</f>
        <v>0</v>
      </c>
      <c r="R24" s="68">
        <f>IFERROR(P24*'Adjusted Schedule 1'!$E$104,0)</f>
        <v>0</v>
      </c>
      <c r="S24" s="68">
        <f t="shared" si="4"/>
        <v>0</v>
      </c>
      <c r="T24" s="306">
        <f t="shared" si="5"/>
        <v>0</v>
      </c>
      <c r="V24" s="119">
        <f>'As-Filed Schedule 2D'!N24</f>
        <v>0</v>
      </c>
      <c r="W24" s="309">
        <f>SUMIFS(Adjustments!$G:$G,Adjustments!$H:$H,"2D",Adjustments!$I:$I,'Schedule 2D Adjustments'!$V$12,Adjustments!$J:$J,'Schedule 2D Adjustments'!$A24)</f>
        <v>0</v>
      </c>
      <c r="X24" s="305">
        <f t="shared" si="6"/>
        <v>0</v>
      </c>
      <c r="Y24" s="119">
        <f>'As-Filed Schedule 2D'!O24</f>
        <v>0</v>
      </c>
      <c r="Z24" s="309">
        <f>SUMIFS(Adjustments!$G:$G,Adjustments!$H:$H,"2D",Adjustments!$I:$I,'Schedule 2D Adjustments'!$Y$12,Adjustments!$J:$J,'Schedule 2D Adjustments'!$A24)</f>
        <v>0</v>
      </c>
      <c r="AA24" s="305">
        <f t="shared" si="7"/>
        <v>0</v>
      </c>
    </row>
    <row r="25" spans="1:27" x14ac:dyDescent="0.35">
      <c r="A25" s="24">
        <v>11</v>
      </c>
      <c r="B25" s="514" t="str">
        <f>IF('As-Filed Schedule 2D'!B25:D25=0,"",'As-Filed Schedule 2D'!B25:D25)</f>
        <v/>
      </c>
      <c r="C25" s="514"/>
      <c r="D25" s="514"/>
      <c r="F25" s="117">
        <f>'As-Filed Schedule 2D'!F25</f>
        <v>0</v>
      </c>
      <c r="G25" s="309">
        <f>SUMIFS(Adjustments!$G:$G,Adjustments!$H:$H,"2D",Adjustments!$I:$I,'Schedule 2D Adjustments'!$F$12,Adjustments!$J:$J,'Schedule 2D Adjustments'!$A25)</f>
        <v>0</v>
      </c>
      <c r="H25" s="305">
        <f t="shared" si="0"/>
        <v>0</v>
      </c>
      <c r="I25" s="68">
        <f>IFERROR(F25*'As-Filed Schedule 1'!$E$103,0)</f>
        <v>0</v>
      </c>
      <c r="J25" s="306">
        <f>IFERROR(H25*'Adjusted Schedule 1'!$E$104,0)</f>
        <v>0</v>
      </c>
      <c r="K25" s="68">
        <f t="shared" si="1"/>
        <v>0</v>
      </c>
      <c r="L25" s="306">
        <f t="shared" si="2"/>
        <v>0</v>
      </c>
      <c r="N25" s="117">
        <f>'As-Filed Schedule 2D'!J25</f>
        <v>0</v>
      </c>
      <c r="O25" s="309">
        <f>SUMIFS(Adjustments!$G:$G,Adjustments!$H:$H,"2D",Adjustments!$I:$I,'Schedule 2D Adjustments'!$N$12,Adjustments!$J:$J,'Schedule 2D Adjustments'!$A25)</f>
        <v>0</v>
      </c>
      <c r="P25" s="305">
        <f t="shared" si="3"/>
        <v>0</v>
      </c>
      <c r="Q25" s="68">
        <f>IFERROR(N25*'As-Filed Schedule 1'!$E$103,0)</f>
        <v>0</v>
      </c>
      <c r="R25" s="68">
        <f>IFERROR(P25*'Adjusted Schedule 1'!$E$104,0)</f>
        <v>0</v>
      </c>
      <c r="S25" s="68">
        <f t="shared" si="4"/>
        <v>0</v>
      </c>
      <c r="T25" s="306">
        <f t="shared" si="5"/>
        <v>0</v>
      </c>
      <c r="V25" s="119">
        <f>'As-Filed Schedule 2D'!N25</f>
        <v>0</v>
      </c>
      <c r="W25" s="309">
        <f>SUMIFS(Adjustments!$G:$G,Adjustments!$H:$H,"2D",Adjustments!$I:$I,'Schedule 2D Adjustments'!$V$12,Adjustments!$J:$J,'Schedule 2D Adjustments'!$A25)</f>
        <v>0</v>
      </c>
      <c r="X25" s="305">
        <f t="shared" si="6"/>
        <v>0</v>
      </c>
      <c r="Y25" s="119">
        <f>'As-Filed Schedule 2D'!O25</f>
        <v>0</v>
      </c>
      <c r="Z25" s="309">
        <f>SUMIFS(Adjustments!$G:$G,Adjustments!$H:$H,"2D",Adjustments!$I:$I,'Schedule 2D Adjustments'!$Y$12,Adjustments!$J:$J,'Schedule 2D Adjustments'!$A25)</f>
        <v>0</v>
      </c>
      <c r="AA25" s="305">
        <f t="shared" si="7"/>
        <v>0</v>
      </c>
    </row>
    <row r="26" spans="1:27" x14ac:dyDescent="0.35">
      <c r="A26" s="24">
        <v>12</v>
      </c>
      <c r="B26" s="514" t="str">
        <f>IF('As-Filed Schedule 2D'!B26:D26=0,"",'As-Filed Schedule 2D'!B26:D26)</f>
        <v/>
      </c>
      <c r="C26" s="514"/>
      <c r="D26" s="514"/>
      <c r="F26" s="117">
        <f>'As-Filed Schedule 2D'!F26</f>
        <v>0</v>
      </c>
      <c r="G26" s="309">
        <f>SUMIFS(Adjustments!$G:$G,Adjustments!$H:$H,"2D",Adjustments!$I:$I,'Schedule 2D Adjustments'!$F$12,Adjustments!$J:$J,'Schedule 2D Adjustments'!$A26)</f>
        <v>0</v>
      </c>
      <c r="H26" s="305">
        <f t="shared" si="0"/>
        <v>0</v>
      </c>
      <c r="I26" s="68">
        <f>IFERROR(F26*'As-Filed Schedule 1'!$E$103,0)</f>
        <v>0</v>
      </c>
      <c r="J26" s="306">
        <f>IFERROR(H26*'Adjusted Schedule 1'!$E$104,0)</f>
        <v>0</v>
      </c>
      <c r="K26" s="68">
        <f t="shared" si="1"/>
        <v>0</v>
      </c>
      <c r="L26" s="306">
        <f t="shared" si="2"/>
        <v>0</v>
      </c>
      <c r="N26" s="117">
        <f>'As-Filed Schedule 2D'!J26</f>
        <v>0</v>
      </c>
      <c r="O26" s="309">
        <f>SUMIFS(Adjustments!$G:$G,Adjustments!$H:$H,"2D",Adjustments!$I:$I,'Schedule 2D Adjustments'!$N$12,Adjustments!$J:$J,'Schedule 2D Adjustments'!$A26)</f>
        <v>0</v>
      </c>
      <c r="P26" s="305">
        <f t="shared" si="3"/>
        <v>0</v>
      </c>
      <c r="Q26" s="68">
        <f>IFERROR(N26*'As-Filed Schedule 1'!$E$103,0)</f>
        <v>0</v>
      </c>
      <c r="R26" s="68">
        <f>IFERROR(P26*'Adjusted Schedule 1'!$E$104,0)</f>
        <v>0</v>
      </c>
      <c r="S26" s="68">
        <f t="shared" si="4"/>
        <v>0</v>
      </c>
      <c r="T26" s="306">
        <f t="shared" si="5"/>
        <v>0</v>
      </c>
      <c r="V26" s="119">
        <f>'As-Filed Schedule 2D'!N26</f>
        <v>0</v>
      </c>
      <c r="W26" s="309">
        <f>SUMIFS(Adjustments!$G:$G,Adjustments!$H:$H,"2D",Adjustments!$I:$I,'Schedule 2D Adjustments'!$V$12,Adjustments!$J:$J,'Schedule 2D Adjustments'!$A26)</f>
        <v>0</v>
      </c>
      <c r="X26" s="305">
        <f t="shared" si="6"/>
        <v>0</v>
      </c>
      <c r="Y26" s="119">
        <f>'As-Filed Schedule 2D'!O26</f>
        <v>0</v>
      </c>
      <c r="Z26" s="309">
        <f>SUMIFS(Adjustments!$G:$G,Adjustments!$H:$H,"2D",Adjustments!$I:$I,'Schedule 2D Adjustments'!$Y$12,Adjustments!$J:$J,'Schedule 2D Adjustments'!$A26)</f>
        <v>0</v>
      </c>
      <c r="AA26" s="305">
        <f t="shared" si="7"/>
        <v>0</v>
      </c>
    </row>
    <row r="27" spans="1:27" x14ac:dyDescent="0.35">
      <c r="A27" s="24">
        <v>13</v>
      </c>
      <c r="B27" s="514" t="str">
        <f>IF('As-Filed Schedule 2D'!B27:D27=0,"",'As-Filed Schedule 2D'!B27:D27)</f>
        <v/>
      </c>
      <c r="C27" s="514"/>
      <c r="D27" s="514"/>
      <c r="F27" s="117">
        <f>'As-Filed Schedule 2D'!F27</f>
        <v>0</v>
      </c>
      <c r="G27" s="309">
        <f>SUMIFS(Adjustments!$G:$G,Adjustments!$H:$H,"2D",Adjustments!$I:$I,'Schedule 2D Adjustments'!$F$12,Adjustments!$J:$J,'Schedule 2D Adjustments'!$A27)</f>
        <v>0</v>
      </c>
      <c r="H27" s="305">
        <f t="shared" si="0"/>
        <v>0</v>
      </c>
      <c r="I27" s="68">
        <f>IFERROR(F27*'As-Filed Schedule 1'!$E$103,0)</f>
        <v>0</v>
      </c>
      <c r="J27" s="306">
        <f>IFERROR(H27*'Adjusted Schedule 1'!$E$104,0)</f>
        <v>0</v>
      </c>
      <c r="K27" s="68">
        <f t="shared" si="1"/>
        <v>0</v>
      </c>
      <c r="L27" s="306">
        <f t="shared" si="2"/>
        <v>0</v>
      </c>
      <c r="N27" s="117">
        <f>'As-Filed Schedule 2D'!J27</f>
        <v>0</v>
      </c>
      <c r="O27" s="309">
        <f>SUMIFS(Adjustments!$G:$G,Adjustments!$H:$H,"2D",Adjustments!$I:$I,'Schedule 2D Adjustments'!$N$12,Adjustments!$J:$J,'Schedule 2D Adjustments'!$A27)</f>
        <v>0</v>
      </c>
      <c r="P27" s="305">
        <f t="shared" si="3"/>
        <v>0</v>
      </c>
      <c r="Q27" s="68">
        <f>IFERROR(N27*'As-Filed Schedule 1'!$E$103,0)</f>
        <v>0</v>
      </c>
      <c r="R27" s="68">
        <f>IFERROR(P27*'Adjusted Schedule 1'!$E$104,0)</f>
        <v>0</v>
      </c>
      <c r="S27" s="68">
        <f t="shared" si="4"/>
        <v>0</v>
      </c>
      <c r="T27" s="306">
        <f t="shared" si="5"/>
        <v>0</v>
      </c>
      <c r="V27" s="119">
        <f>'As-Filed Schedule 2D'!N27</f>
        <v>0</v>
      </c>
      <c r="W27" s="309">
        <f>SUMIFS(Adjustments!$G:$G,Adjustments!$H:$H,"2D",Adjustments!$I:$I,'Schedule 2D Adjustments'!$V$12,Adjustments!$J:$J,'Schedule 2D Adjustments'!$A27)</f>
        <v>0</v>
      </c>
      <c r="X27" s="305">
        <f t="shared" si="6"/>
        <v>0</v>
      </c>
      <c r="Y27" s="119">
        <f>'As-Filed Schedule 2D'!O27</f>
        <v>0</v>
      </c>
      <c r="Z27" s="309">
        <f>SUMIFS(Adjustments!$G:$G,Adjustments!$H:$H,"2D",Adjustments!$I:$I,'Schedule 2D Adjustments'!$Y$12,Adjustments!$J:$J,'Schedule 2D Adjustments'!$A27)</f>
        <v>0</v>
      </c>
      <c r="AA27" s="305">
        <f t="shared" si="7"/>
        <v>0</v>
      </c>
    </row>
    <row r="28" spans="1:27" x14ac:dyDescent="0.35">
      <c r="A28" s="24">
        <v>14</v>
      </c>
      <c r="B28" s="514" t="str">
        <f>IF('As-Filed Schedule 2D'!B28:D28=0,"",'As-Filed Schedule 2D'!B28:D28)</f>
        <v/>
      </c>
      <c r="C28" s="514"/>
      <c r="D28" s="514"/>
      <c r="F28" s="117">
        <f>'As-Filed Schedule 2D'!F28</f>
        <v>0</v>
      </c>
      <c r="G28" s="309">
        <f>SUMIFS(Adjustments!$G:$G,Adjustments!$H:$H,"2D",Adjustments!$I:$I,'Schedule 2D Adjustments'!$F$12,Adjustments!$J:$J,'Schedule 2D Adjustments'!$A28)</f>
        <v>0</v>
      </c>
      <c r="H28" s="305">
        <f t="shared" si="0"/>
        <v>0</v>
      </c>
      <c r="I28" s="68">
        <f>IFERROR(F28*'As-Filed Schedule 1'!$E$103,0)</f>
        <v>0</v>
      </c>
      <c r="J28" s="306">
        <f>IFERROR(H28*'Adjusted Schedule 1'!$E$104,0)</f>
        <v>0</v>
      </c>
      <c r="K28" s="68">
        <f t="shared" si="1"/>
        <v>0</v>
      </c>
      <c r="L28" s="306">
        <f t="shared" si="2"/>
        <v>0</v>
      </c>
      <c r="N28" s="117">
        <f>'As-Filed Schedule 2D'!J28</f>
        <v>0</v>
      </c>
      <c r="O28" s="309">
        <f>SUMIFS(Adjustments!$G:$G,Adjustments!$H:$H,"2D",Adjustments!$I:$I,'Schedule 2D Adjustments'!$N$12,Adjustments!$J:$J,'Schedule 2D Adjustments'!$A28)</f>
        <v>0</v>
      </c>
      <c r="P28" s="305">
        <f t="shared" si="3"/>
        <v>0</v>
      </c>
      <c r="Q28" s="68">
        <f>IFERROR(N28*'As-Filed Schedule 1'!$E$103,0)</f>
        <v>0</v>
      </c>
      <c r="R28" s="68">
        <f>IFERROR(P28*'Adjusted Schedule 1'!$E$104,0)</f>
        <v>0</v>
      </c>
      <c r="S28" s="68">
        <f t="shared" si="4"/>
        <v>0</v>
      </c>
      <c r="T28" s="306">
        <f t="shared" si="5"/>
        <v>0</v>
      </c>
      <c r="V28" s="119">
        <f>'As-Filed Schedule 2D'!N28</f>
        <v>0</v>
      </c>
      <c r="W28" s="309">
        <f>SUMIFS(Adjustments!$G:$G,Adjustments!$H:$H,"2D",Adjustments!$I:$I,'Schedule 2D Adjustments'!$V$12,Adjustments!$J:$J,'Schedule 2D Adjustments'!$A28)</f>
        <v>0</v>
      </c>
      <c r="X28" s="305">
        <f t="shared" si="6"/>
        <v>0</v>
      </c>
      <c r="Y28" s="119">
        <f>'As-Filed Schedule 2D'!O28</f>
        <v>0</v>
      </c>
      <c r="Z28" s="309">
        <f>SUMIFS(Adjustments!$G:$G,Adjustments!$H:$H,"2D",Adjustments!$I:$I,'Schedule 2D Adjustments'!$Y$12,Adjustments!$J:$J,'Schedule 2D Adjustments'!$A28)</f>
        <v>0</v>
      </c>
      <c r="AA28" s="305">
        <f t="shared" si="7"/>
        <v>0</v>
      </c>
    </row>
    <row r="29" spans="1:27" x14ac:dyDescent="0.35">
      <c r="A29" s="24">
        <v>15</v>
      </c>
      <c r="B29" s="514" t="str">
        <f>IF('As-Filed Schedule 2D'!B29:D29=0,"",'As-Filed Schedule 2D'!B29:D29)</f>
        <v/>
      </c>
      <c r="C29" s="514"/>
      <c r="D29" s="514"/>
      <c r="F29" s="117">
        <f>'As-Filed Schedule 2D'!F29</f>
        <v>0</v>
      </c>
      <c r="G29" s="309">
        <f>SUMIFS(Adjustments!$G:$G,Adjustments!$H:$H,"2D",Adjustments!$I:$I,'Schedule 2D Adjustments'!$F$12,Adjustments!$J:$J,'Schedule 2D Adjustments'!$A29)</f>
        <v>0</v>
      </c>
      <c r="H29" s="305">
        <f t="shared" si="0"/>
        <v>0</v>
      </c>
      <c r="I29" s="68">
        <f>IFERROR(F29*'As-Filed Schedule 1'!$E$103,0)</f>
        <v>0</v>
      </c>
      <c r="J29" s="306">
        <f>IFERROR(H29*'Adjusted Schedule 1'!$E$104,0)</f>
        <v>0</v>
      </c>
      <c r="K29" s="68">
        <f t="shared" si="1"/>
        <v>0</v>
      </c>
      <c r="L29" s="306">
        <f t="shared" si="2"/>
        <v>0</v>
      </c>
      <c r="N29" s="117">
        <f>'As-Filed Schedule 2D'!J29</f>
        <v>0</v>
      </c>
      <c r="O29" s="309">
        <f>SUMIFS(Adjustments!$G:$G,Adjustments!$H:$H,"2D",Adjustments!$I:$I,'Schedule 2D Adjustments'!$N$12,Adjustments!$J:$J,'Schedule 2D Adjustments'!$A29)</f>
        <v>0</v>
      </c>
      <c r="P29" s="305">
        <f t="shared" si="3"/>
        <v>0</v>
      </c>
      <c r="Q29" s="68">
        <f>IFERROR(N29*'As-Filed Schedule 1'!$E$103,0)</f>
        <v>0</v>
      </c>
      <c r="R29" s="68">
        <f>IFERROR(P29*'Adjusted Schedule 1'!$E$104,0)</f>
        <v>0</v>
      </c>
      <c r="S29" s="68">
        <f t="shared" si="4"/>
        <v>0</v>
      </c>
      <c r="T29" s="306">
        <f t="shared" si="5"/>
        <v>0</v>
      </c>
      <c r="V29" s="119">
        <f>'As-Filed Schedule 2D'!N29</f>
        <v>0</v>
      </c>
      <c r="W29" s="309">
        <f>SUMIFS(Adjustments!$G:$G,Adjustments!$H:$H,"2D",Adjustments!$I:$I,'Schedule 2D Adjustments'!$V$12,Adjustments!$J:$J,'Schedule 2D Adjustments'!$A29)</f>
        <v>0</v>
      </c>
      <c r="X29" s="305">
        <f t="shared" si="6"/>
        <v>0</v>
      </c>
      <c r="Y29" s="119">
        <f>'As-Filed Schedule 2D'!O29</f>
        <v>0</v>
      </c>
      <c r="Z29" s="309">
        <f>SUMIFS(Adjustments!$G:$G,Adjustments!$H:$H,"2D",Adjustments!$I:$I,'Schedule 2D Adjustments'!$Y$12,Adjustments!$J:$J,'Schedule 2D Adjustments'!$A29)</f>
        <v>0</v>
      </c>
      <c r="AA29" s="305">
        <f t="shared" si="7"/>
        <v>0</v>
      </c>
    </row>
    <row r="30" spans="1:27" x14ac:dyDescent="0.35">
      <c r="A30" s="24">
        <v>16</v>
      </c>
      <c r="B30" s="514" t="str">
        <f>IF('As-Filed Schedule 2D'!B30:D30=0,"",'As-Filed Schedule 2D'!B30:D30)</f>
        <v/>
      </c>
      <c r="C30" s="514"/>
      <c r="D30" s="514"/>
      <c r="F30" s="117">
        <f>'As-Filed Schedule 2D'!F30</f>
        <v>0</v>
      </c>
      <c r="G30" s="309">
        <f>SUMIFS(Adjustments!$G:$G,Adjustments!$H:$H,"2D",Adjustments!$I:$I,'Schedule 2D Adjustments'!$F$12,Adjustments!$J:$J,'Schedule 2D Adjustments'!$A30)</f>
        <v>0</v>
      </c>
      <c r="H30" s="305">
        <f t="shared" si="0"/>
        <v>0</v>
      </c>
      <c r="I30" s="68">
        <f>IFERROR(F30*'As-Filed Schedule 1'!$E$103,0)</f>
        <v>0</v>
      </c>
      <c r="J30" s="306">
        <f>IFERROR(H30*'Adjusted Schedule 1'!$E$104,0)</f>
        <v>0</v>
      </c>
      <c r="K30" s="68">
        <f t="shared" si="1"/>
        <v>0</v>
      </c>
      <c r="L30" s="306">
        <f t="shared" si="2"/>
        <v>0</v>
      </c>
      <c r="N30" s="117">
        <f>'As-Filed Schedule 2D'!J30</f>
        <v>0</v>
      </c>
      <c r="O30" s="309">
        <f>SUMIFS(Adjustments!$G:$G,Adjustments!$H:$H,"2D",Adjustments!$I:$I,'Schedule 2D Adjustments'!$N$12,Adjustments!$J:$J,'Schedule 2D Adjustments'!$A30)</f>
        <v>0</v>
      </c>
      <c r="P30" s="305">
        <f t="shared" si="3"/>
        <v>0</v>
      </c>
      <c r="Q30" s="68">
        <f>IFERROR(N30*'As-Filed Schedule 1'!$E$103,0)</f>
        <v>0</v>
      </c>
      <c r="R30" s="68">
        <f>IFERROR(P30*'Adjusted Schedule 1'!$E$104,0)</f>
        <v>0</v>
      </c>
      <c r="S30" s="68">
        <f t="shared" si="4"/>
        <v>0</v>
      </c>
      <c r="T30" s="306">
        <f t="shared" si="5"/>
        <v>0</v>
      </c>
      <c r="V30" s="119">
        <f>'As-Filed Schedule 2D'!N30</f>
        <v>0</v>
      </c>
      <c r="W30" s="309">
        <f>SUMIFS(Adjustments!$G:$G,Adjustments!$H:$H,"2D",Adjustments!$I:$I,'Schedule 2D Adjustments'!$V$12,Adjustments!$J:$J,'Schedule 2D Adjustments'!$A30)</f>
        <v>0</v>
      </c>
      <c r="X30" s="305">
        <f t="shared" si="6"/>
        <v>0</v>
      </c>
      <c r="Y30" s="119">
        <f>'As-Filed Schedule 2D'!O30</f>
        <v>0</v>
      </c>
      <c r="Z30" s="309">
        <f>SUMIFS(Adjustments!$G:$G,Adjustments!$H:$H,"2D",Adjustments!$I:$I,'Schedule 2D Adjustments'!$Y$12,Adjustments!$J:$J,'Schedule 2D Adjustments'!$A30)</f>
        <v>0</v>
      </c>
      <c r="AA30" s="305">
        <f t="shared" si="7"/>
        <v>0</v>
      </c>
    </row>
    <row r="31" spans="1:27" x14ac:dyDescent="0.35">
      <c r="A31" s="24">
        <v>17</v>
      </c>
      <c r="B31" s="514" t="str">
        <f>IF('As-Filed Schedule 2D'!B31:D31=0,"",'As-Filed Schedule 2D'!B31:D31)</f>
        <v/>
      </c>
      <c r="C31" s="514"/>
      <c r="D31" s="514"/>
      <c r="F31" s="117">
        <f>'As-Filed Schedule 2D'!F31</f>
        <v>0</v>
      </c>
      <c r="G31" s="309">
        <f>SUMIFS(Adjustments!$G:$G,Adjustments!$H:$H,"2D",Adjustments!$I:$I,'Schedule 2D Adjustments'!$F$12,Adjustments!$J:$J,'Schedule 2D Adjustments'!$A31)</f>
        <v>0</v>
      </c>
      <c r="H31" s="305">
        <f t="shared" si="0"/>
        <v>0</v>
      </c>
      <c r="I31" s="68">
        <f>IFERROR(F31*'As-Filed Schedule 1'!$E$103,0)</f>
        <v>0</v>
      </c>
      <c r="J31" s="306">
        <f>IFERROR(H31*'Adjusted Schedule 1'!$E$104,0)</f>
        <v>0</v>
      </c>
      <c r="K31" s="68">
        <f t="shared" si="1"/>
        <v>0</v>
      </c>
      <c r="L31" s="306">
        <f t="shared" si="2"/>
        <v>0</v>
      </c>
      <c r="N31" s="117">
        <f>'As-Filed Schedule 2D'!J31</f>
        <v>0</v>
      </c>
      <c r="O31" s="309">
        <f>SUMIFS(Adjustments!$G:$G,Adjustments!$H:$H,"2D",Adjustments!$I:$I,'Schedule 2D Adjustments'!$N$12,Adjustments!$J:$J,'Schedule 2D Adjustments'!$A31)</f>
        <v>0</v>
      </c>
      <c r="P31" s="305">
        <f t="shared" si="3"/>
        <v>0</v>
      </c>
      <c r="Q31" s="68">
        <f>IFERROR(N31*'As-Filed Schedule 1'!$E$103,0)</f>
        <v>0</v>
      </c>
      <c r="R31" s="68">
        <f>IFERROR(P31*'Adjusted Schedule 1'!$E$104,0)</f>
        <v>0</v>
      </c>
      <c r="S31" s="68">
        <f t="shared" si="4"/>
        <v>0</v>
      </c>
      <c r="T31" s="306">
        <f t="shared" si="5"/>
        <v>0</v>
      </c>
      <c r="V31" s="119">
        <f>'As-Filed Schedule 2D'!N31</f>
        <v>0</v>
      </c>
      <c r="W31" s="309">
        <f>SUMIFS(Adjustments!$G:$G,Adjustments!$H:$H,"2D",Adjustments!$I:$I,'Schedule 2D Adjustments'!$V$12,Adjustments!$J:$J,'Schedule 2D Adjustments'!$A31)</f>
        <v>0</v>
      </c>
      <c r="X31" s="305">
        <f t="shared" si="6"/>
        <v>0</v>
      </c>
      <c r="Y31" s="119">
        <f>'As-Filed Schedule 2D'!O31</f>
        <v>0</v>
      </c>
      <c r="Z31" s="309">
        <f>SUMIFS(Adjustments!$G:$G,Adjustments!$H:$H,"2D",Adjustments!$I:$I,'Schedule 2D Adjustments'!$Y$12,Adjustments!$J:$J,'Schedule 2D Adjustments'!$A31)</f>
        <v>0</v>
      </c>
      <c r="AA31" s="305">
        <f t="shared" si="7"/>
        <v>0</v>
      </c>
    </row>
    <row r="32" spans="1:27" x14ac:dyDescent="0.35">
      <c r="A32" s="24">
        <v>18</v>
      </c>
      <c r="B32" s="514" t="str">
        <f>IF('As-Filed Schedule 2D'!B32:D32=0,"",'As-Filed Schedule 2D'!B32:D32)</f>
        <v/>
      </c>
      <c r="C32" s="514"/>
      <c r="D32" s="514"/>
      <c r="F32" s="117">
        <f>'As-Filed Schedule 2D'!F32</f>
        <v>0</v>
      </c>
      <c r="G32" s="309">
        <f>SUMIFS(Adjustments!$G:$G,Adjustments!$H:$H,"2D",Adjustments!$I:$I,'Schedule 2D Adjustments'!$F$12,Adjustments!$J:$J,'Schedule 2D Adjustments'!$A32)</f>
        <v>0</v>
      </c>
      <c r="H32" s="305">
        <f t="shared" si="0"/>
        <v>0</v>
      </c>
      <c r="I32" s="68">
        <f>IFERROR(F32*'As-Filed Schedule 1'!$E$103,0)</f>
        <v>0</v>
      </c>
      <c r="J32" s="306">
        <f>IFERROR(H32*'Adjusted Schedule 1'!$E$104,0)</f>
        <v>0</v>
      </c>
      <c r="K32" s="68">
        <f t="shared" si="1"/>
        <v>0</v>
      </c>
      <c r="L32" s="306">
        <f t="shared" si="2"/>
        <v>0</v>
      </c>
      <c r="N32" s="117">
        <f>'As-Filed Schedule 2D'!J32</f>
        <v>0</v>
      </c>
      <c r="O32" s="309">
        <f>SUMIFS(Adjustments!$G:$G,Adjustments!$H:$H,"2D",Adjustments!$I:$I,'Schedule 2D Adjustments'!$N$12,Adjustments!$J:$J,'Schedule 2D Adjustments'!$A32)</f>
        <v>0</v>
      </c>
      <c r="P32" s="305">
        <f t="shared" si="3"/>
        <v>0</v>
      </c>
      <c r="Q32" s="68">
        <f>IFERROR(N32*'As-Filed Schedule 1'!$E$103,0)</f>
        <v>0</v>
      </c>
      <c r="R32" s="68">
        <f>IFERROR(P32*'Adjusted Schedule 1'!$E$104,0)</f>
        <v>0</v>
      </c>
      <c r="S32" s="68">
        <f t="shared" si="4"/>
        <v>0</v>
      </c>
      <c r="T32" s="306">
        <f t="shared" si="5"/>
        <v>0</v>
      </c>
      <c r="V32" s="119">
        <f>'As-Filed Schedule 2D'!N32</f>
        <v>0</v>
      </c>
      <c r="W32" s="309">
        <f>SUMIFS(Adjustments!$G:$G,Adjustments!$H:$H,"2D",Adjustments!$I:$I,'Schedule 2D Adjustments'!$V$12,Adjustments!$J:$J,'Schedule 2D Adjustments'!$A32)</f>
        <v>0</v>
      </c>
      <c r="X32" s="305">
        <f t="shared" si="6"/>
        <v>0</v>
      </c>
      <c r="Y32" s="119">
        <f>'As-Filed Schedule 2D'!O32</f>
        <v>0</v>
      </c>
      <c r="Z32" s="309">
        <f>SUMIFS(Adjustments!$G:$G,Adjustments!$H:$H,"2D",Adjustments!$I:$I,'Schedule 2D Adjustments'!$Y$12,Adjustments!$J:$J,'Schedule 2D Adjustments'!$A32)</f>
        <v>0</v>
      </c>
      <c r="AA32" s="305">
        <f t="shared" si="7"/>
        <v>0</v>
      </c>
    </row>
    <row r="33" spans="1:27" x14ac:dyDescent="0.35">
      <c r="A33" s="24">
        <v>19</v>
      </c>
      <c r="B33" s="514" t="str">
        <f>IF('As-Filed Schedule 2D'!B33:D33=0,"",'As-Filed Schedule 2D'!B33:D33)</f>
        <v/>
      </c>
      <c r="C33" s="514"/>
      <c r="D33" s="514"/>
      <c r="F33" s="117">
        <f>'As-Filed Schedule 2D'!F33</f>
        <v>0</v>
      </c>
      <c r="G33" s="309">
        <f>SUMIFS(Adjustments!$G:$G,Adjustments!$H:$H,"2D",Adjustments!$I:$I,'Schedule 2D Adjustments'!$F$12,Adjustments!$J:$J,'Schedule 2D Adjustments'!$A33)</f>
        <v>0</v>
      </c>
      <c r="H33" s="305">
        <f t="shared" si="0"/>
        <v>0</v>
      </c>
      <c r="I33" s="68">
        <f>IFERROR(F33*'As-Filed Schedule 1'!$E$103,0)</f>
        <v>0</v>
      </c>
      <c r="J33" s="306">
        <f>IFERROR(H33*'Adjusted Schedule 1'!$E$104,0)</f>
        <v>0</v>
      </c>
      <c r="K33" s="68">
        <f t="shared" si="1"/>
        <v>0</v>
      </c>
      <c r="L33" s="306">
        <f t="shared" si="2"/>
        <v>0</v>
      </c>
      <c r="N33" s="117">
        <f>'As-Filed Schedule 2D'!J33</f>
        <v>0</v>
      </c>
      <c r="O33" s="309">
        <f>SUMIFS(Adjustments!$G:$G,Adjustments!$H:$H,"2D",Adjustments!$I:$I,'Schedule 2D Adjustments'!$N$12,Adjustments!$J:$J,'Schedule 2D Adjustments'!$A33)</f>
        <v>0</v>
      </c>
      <c r="P33" s="305">
        <f t="shared" si="3"/>
        <v>0</v>
      </c>
      <c r="Q33" s="68">
        <f>IFERROR(N33*'As-Filed Schedule 1'!$E$103,0)</f>
        <v>0</v>
      </c>
      <c r="R33" s="68">
        <f>IFERROR(P33*'Adjusted Schedule 1'!$E$104,0)</f>
        <v>0</v>
      </c>
      <c r="S33" s="68">
        <f t="shared" si="4"/>
        <v>0</v>
      </c>
      <c r="T33" s="306">
        <f t="shared" si="5"/>
        <v>0</v>
      </c>
      <c r="V33" s="119">
        <f>'As-Filed Schedule 2D'!N33</f>
        <v>0</v>
      </c>
      <c r="W33" s="309">
        <f>SUMIFS(Adjustments!$G:$G,Adjustments!$H:$H,"2D",Adjustments!$I:$I,'Schedule 2D Adjustments'!$V$12,Adjustments!$J:$J,'Schedule 2D Adjustments'!$A33)</f>
        <v>0</v>
      </c>
      <c r="X33" s="305">
        <f t="shared" si="6"/>
        <v>0</v>
      </c>
      <c r="Y33" s="119">
        <f>'As-Filed Schedule 2D'!O33</f>
        <v>0</v>
      </c>
      <c r="Z33" s="309">
        <f>SUMIFS(Adjustments!$G:$G,Adjustments!$H:$H,"2D",Adjustments!$I:$I,'Schedule 2D Adjustments'!$Y$12,Adjustments!$J:$J,'Schedule 2D Adjustments'!$A33)</f>
        <v>0</v>
      </c>
      <c r="AA33" s="305">
        <f t="shared" si="7"/>
        <v>0</v>
      </c>
    </row>
    <row r="34" spans="1:27" x14ac:dyDescent="0.35">
      <c r="A34" s="24">
        <v>20</v>
      </c>
      <c r="B34" s="514" t="str">
        <f>IF('As-Filed Schedule 2D'!B34:D34=0,"",'As-Filed Schedule 2D'!B34:D34)</f>
        <v/>
      </c>
      <c r="C34" s="514"/>
      <c r="D34" s="514"/>
      <c r="F34" s="117">
        <f>'As-Filed Schedule 2D'!F34</f>
        <v>0</v>
      </c>
      <c r="G34" s="309">
        <f>SUMIFS(Adjustments!$G:$G,Adjustments!$H:$H,"2D",Adjustments!$I:$I,'Schedule 2D Adjustments'!$F$12,Adjustments!$J:$J,'Schedule 2D Adjustments'!$A34)</f>
        <v>0</v>
      </c>
      <c r="H34" s="305">
        <f t="shared" si="0"/>
        <v>0</v>
      </c>
      <c r="I34" s="68">
        <f>IFERROR(F34*'As-Filed Schedule 1'!$E$103,0)</f>
        <v>0</v>
      </c>
      <c r="J34" s="306">
        <f>IFERROR(H34*'Adjusted Schedule 1'!$E$104,0)</f>
        <v>0</v>
      </c>
      <c r="K34" s="68">
        <f t="shared" si="1"/>
        <v>0</v>
      </c>
      <c r="L34" s="306">
        <f t="shared" si="2"/>
        <v>0</v>
      </c>
      <c r="N34" s="117">
        <f>'As-Filed Schedule 2D'!J34</f>
        <v>0</v>
      </c>
      <c r="O34" s="309">
        <f>SUMIFS(Adjustments!$G:$G,Adjustments!$H:$H,"2D",Adjustments!$I:$I,'Schedule 2D Adjustments'!$N$12,Adjustments!$J:$J,'Schedule 2D Adjustments'!$A34)</f>
        <v>0</v>
      </c>
      <c r="P34" s="305">
        <f t="shared" si="3"/>
        <v>0</v>
      </c>
      <c r="Q34" s="68">
        <f>IFERROR(N34*'As-Filed Schedule 1'!$E$103,0)</f>
        <v>0</v>
      </c>
      <c r="R34" s="68">
        <f>IFERROR(P34*'Adjusted Schedule 1'!$E$104,0)</f>
        <v>0</v>
      </c>
      <c r="S34" s="68">
        <f t="shared" si="4"/>
        <v>0</v>
      </c>
      <c r="T34" s="306">
        <f t="shared" si="5"/>
        <v>0</v>
      </c>
      <c r="V34" s="119">
        <f>'As-Filed Schedule 2D'!N34</f>
        <v>0</v>
      </c>
      <c r="W34" s="309">
        <f>SUMIFS(Adjustments!$G:$G,Adjustments!$H:$H,"2D",Adjustments!$I:$I,'Schedule 2D Adjustments'!$V$12,Adjustments!$J:$J,'Schedule 2D Adjustments'!$A34)</f>
        <v>0</v>
      </c>
      <c r="X34" s="305">
        <f t="shared" si="6"/>
        <v>0</v>
      </c>
      <c r="Y34" s="119">
        <f>'As-Filed Schedule 2D'!O34</f>
        <v>0</v>
      </c>
      <c r="Z34" s="309">
        <f>SUMIFS(Adjustments!$G:$G,Adjustments!$H:$H,"2D",Adjustments!$I:$I,'Schedule 2D Adjustments'!$Y$12,Adjustments!$J:$J,'Schedule 2D Adjustments'!$A34)</f>
        <v>0</v>
      </c>
      <c r="AA34" s="305">
        <f t="shared" si="7"/>
        <v>0</v>
      </c>
    </row>
    <row r="35" spans="1:27" x14ac:dyDescent="0.35">
      <c r="A35" s="24">
        <v>21</v>
      </c>
      <c r="B35" s="514" t="str">
        <f>IF('As-Filed Schedule 2D'!B35:D35=0,"",'As-Filed Schedule 2D'!B35:D35)</f>
        <v/>
      </c>
      <c r="C35" s="514"/>
      <c r="D35" s="514"/>
      <c r="F35" s="117">
        <f>'As-Filed Schedule 2D'!F35</f>
        <v>0</v>
      </c>
      <c r="G35" s="309">
        <f>SUMIFS(Adjustments!$G:$G,Adjustments!$H:$H,"2D",Adjustments!$I:$I,'Schedule 2D Adjustments'!$F$12,Adjustments!$J:$J,'Schedule 2D Adjustments'!$A35)</f>
        <v>0</v>
      </c>
      <c r="H35" s="305">
        <f t="shared" si="0"/>
        <v>0</v>
      </c>
      <c r="I35" s="68">
        <f>IFERROR(F35*'As-Filed Schedule 1'!$E$103,0)</f>
        <v>0</v>
      </c>
      <c r="J35" s="306">
        <f>IFERROR(H35*'Adjusted Schedule 1'!$E$104,0)</f>
        <v>0</v>
      </c>
      <c r="K35" s="68">
        <f t="shared" si="1"/>
        <v>0</v>
      </c>
      <c r="L35" s="306">
        <f t="shared" si="2"/>
        <v>0</v>
      </c>
      <c r="N35" s="117">
        <f>'As-Filed Schedule 2D'!J35</f>
        <v>0</v>
      </c>
      <c r="O35" s="309">
        <f>SUMIFS(Adjustments!$G:$G,Adjustments!$H:$H,"2D",Adjustments!$I:$I,'Schedule 2D Adjustments'!$N$12,Adjustments!$J:$J,'Schedule 2D Adjustments'!$A35)</f>
        <v>0</v>
      </c>
      <c r="P35" s="305">
        <f t="shared" si="3"/>
        <v>0</v>
      </c>
      <c r="Q35" s="68">
        <f>IFERROR(N35*'As-Filed Schedule 1'!$E$103,0)</f>
        <v>0</v>
      </c>
      <c r="R35" s="68">
        <f>IFERROR(P35*'Adjusted Schedule 1'!$E$104,0)</f>
        <v>0</v>
      </c>
      <c r="S35" s="68">
        <f t="shared" si="4"/>
        <v>0</v>
      </c>
      <c r="T35" s="306">
        <f t="shared" si="5"/>
        <v>0</v>
      </c>
      <c r="V35" s="119">
        <f>'As-Filed Schedule 2D'!N35</f>
        <v>0</v>
      </c>
      <c r="W35" s="309">
        <f>SUMIFS(Adjustments!$G:$G,Adjustments!$H:$H,"2D",Adjustments!$I:$I,'Schedule 2D Adjustments'!$V$12,Adjustments!$J:$J,'Schedule 2D Adjustments'!$A35)</f>
        <v>0</v>
      </c>
      <c r="X35" s="305">
        <f t="shared" si="6"/>
        <v>0</v>
      </c>
      <c r="Y35" s="119">
        <f>'As-Filed Schedule 2D'!O35</f>
        <v>0</v>
      </c>
      <c r="Z35" s="309">
        <f>SUMIFS(Adjustments!$G:$G,Adjustments!$H:$H,"2D",Adjustments!$I:$I,'Schedule 2D Adjustments'!$Y$12,Adjustments!$J:$J,'Schedule 2D Adjustments'!$A35)</f>
        <v>0</v>
      </c>
      <c r="AA35" s="305">
        <f t="shared" si="7"/>
        <v>0</v>
      </c>
    </row>
    <row r="36" spans="1:27" x14ac:dyDescent="0.35">
      <c r="A36" s="24">
        <v>22</v>
      </c>
      <c r="B36" s="514" t="str">
        <f>IF('As-Filed Schedule 2D'!B36:D36=0,"",'As-Filed Schedule 2D'!B36:D36)</f>
        <v/>
      </c>
      <c r="C36" s="514"/>
      <c r="D36" s="514"/>
      <c r="F36" s="117">
        <f>'As-Filed Schedule 2D'!F36</f>
        <v>0</v>
      </c>
      <c r="G36" s="309">
        <f>SUMIFS(Adjustments!$G:$G,Adjustments!$H:$H,"2D",Adjustments!$I:$I,'Schedule 2D Adjustments'!$F$12,Adjustments!$J:$J,'Schedule 2D Adjustments'!$A36)</f>
        <v>0</v>
      </c>
      <c r="H36" s="305">
        <f t="shared" si="0"/>
        <v>0</v>
      </c>
      <c r="I36" s="68">
        <f>IFERROR(F36*'As-Filed Schedule 1'!$E$103,0)</f>
        <v>0</v>
      </c>
      <c r="J36" s="306">
        <f>IFERROR(H36*'Adjusted Schedule 1'!$E$104,0)</f>
        <v>0</v>
      </c>
      <c r="K36" s="68">
        <f t="shared" si="1"/>
        <v>0</v>
      </c>
      <c r="L36" s="306">
        <f t="shared" si="2"/>
        <v>0</v>
      </c>
      <c r="N36" s="117">
        <f>'As-Filed Schedule 2D'!J36</f>
        <v>0</v>
      </c>
      <c r="O36" s="309">
        <f>SUMIFS(Adjustments!$G:$G,Adjustments!$H:$H,"2D",Adjustments!$I:$I,'Schedule 2D Adjustments'!$N$12,Adjustments!$J:$J,'Schedule 2D Adjustments'!$A36)</f>
        <v>0</v>
      </c>
      <c r="P36" s="305">
        <f t="shared" si="3"/>
        <v>0</v>
      </c>
      <c r="Q36" s="68">
        <f>IFERROR(N36*'As-Filed Schedule 1'!$E$103,0)</f>
        <v>0</v>
      </c>
      <c r="R36" s="68">
        <f>IFERROR(P36*'Adjusted Schedule 1'!$E$104,0)</f>
        <v>0</v>
      </c>
      <c r="S36" s="68">
        <f t="shared" si="4"/>
        <v>0</v>
      </c>
      <c r="T36" s="306">
        <f t="shared" si="5"/>
        <v>0</v>
      </c>
      <c r="V36" s="119">
        <f>'As-Filed Schedule 2D'!N36</f>
        <v>0</v>
      </c>
      <c r="W36" s="309">
        <f>SUMIFS(Adjustments!$G:$G,Adjustments!$H:$H,"2D",Adjustments!$I:$I,'Schedule 2D Adjustments'!$V$12,Adjustments!$J:$J,'Schedule 2D Adjustments'!$A36)</f>
        <v>0</v>
      </c>
      <c r="X36" s="305">
        <f t="shared" si="6"/>
        <v>0</v>
      </c>
      <c r="Y36" s="119">
        <f>'As-Filed Schedule 2D'!O36</f>
        <v>0</v>
      </c>
      <c r="Z36" s="309">
        <f>SUMIFS(Adjustments!$G:$G,Adjustments!$H:$H,"2D",Adjustments!$I:$I,'Schedule 2D Adjustments'!$Y$12,Adjustments!$J:$J,'Schedule 2D Adjustments'!$A36)</f>
        <v>0</v>
      </c>
      <c r="AA36" s="305">
        <f t="shared" si="7"/>
        <v>0</v>
      </c>
    </row>
    <row r="37" spans="1:27" x14ac:dyDescent="0.35">
      <c r="A37" s="24">
        <v>23</v>
      </c>
      <c r="B37" s="514" t="str">
        <f>IF('As-Filed Schedule 2D'!B37:D37=0,"",'As-Filed Schedule 2D'!B37:D37)</f>
        <v/>
      </c>
      <c r="C37" s="514"/>
      <c r="D37" s="514"/>
      <c r="F37" s="117">
        <f>'As-Filed Schedule 2D'!F37</f>
        <v>0</v>
      </c>
      <c r="G37" s="309">
        <f>SUMIFS(Adjustments!$G:$G,Adjustments!$H:$H,"2D",Adjustments!$I:$I,'Schedule 2D Adjustments'!$F$12,Adjustments!$J:$J,'Schedule 2D Adjustments'!$A37)</f>
        <v>0</v>
      </c>
      <c r="H37" s="305">
        <f t="shared" si="0"/>
        <v>0</v>
      </c>
      <c r="I37" s="68">
        <f>IFERROR(F37*'As-Filed Schedule 1'!$E$103,0)</f>
        <v>0</v>
      </c>
      <c r="J37" s="306">
        <f>IFERROR(H37*'Adjusted Schedule 1'!$E$104,0)</f>
        <v>0</v>
      </c>
      <c r="K37" s="68">
        <f t="shared" si="1"/>
        <v>0</v>
      </c>
      <c r="L37" s="306">
        <f t="shared" si="2"/>
        <v>0</v>
      </c>
      <c r="N37" s="117">
        <f>'As-Filed Schedule 2D'!J37</f>
        <v>0</v>
      </c>
      <c r="O37" s="309">
        <f>SUMIFS(Adjustments!$G:$G,Adjustments!$H:$H,"2D",Adjustments!$I:$I,'Schedule 2D Adjustments'!$N$12,Adjustments!$J:$J,'Schedule 2D Adjustments'!$A37)</f>
        <v>0</v>
      </c>
      <c r="P37" s="305">
        <f t="shared" si="3"/>
        <v>0</v>
      </c>
      <c r="Q37" s="68">
        <f>IFERROR(N37*'As-Filed Schedule 1'!$E$103,0)</f>
        <v>0</v>
      </c>
      <c r="R37" s="68">
        <f>IFERROR(P37*'Adjusted Schedule 1'!$E$104,0)</f>
        <v>0</v>
      </c>
      <c r="S37" s="68">
        <f t="shared" si="4"/>
        <v>0</v>
      </c>
      <c r="T37" s="306">
        <f t="shared" si="5"/>
        <v>0</v>
      </c>
      <c r="V37" s="119">
        <f>'As-Filed Schedule 2D'!N37</f>
        <v>0</v>
      </c>
      <c r="W37" s="309">
        <f>SUMIFS(Adjustments!$G:$G,Adjustments!$H:$H,"2D",Adjustments!$I:$I,'Schedule 2D Adjustments'!$V$12,Adjustments!$J:$J,'Schedule 2D Adjustments'!$A37)</f>
        <v>0</v>
      </c>
      <c r="X37" s="305">
        <f t="shared" si="6"/>
        <v>0</v>
      </c>
      <c r="Y37" s="119">
        <f>'As-Filed Schedule 2D'!O37</f>
        <v>0</v>
      </c>
      <c r="Z37" s="309">
        <f>SUMIFS(Adjustments!$G:$G,Adjustments!$H:$H,"2D",Adjustments!$I:$I,'Schedule 2D Adjustments'!$Y$12,Adjustments!$J:$J,'Schedule 2D Adjustments'!$A37)</f>
        <v>0</v>
      </c>
      <c r="AA37" s="305">
        <f t="shared" si="7"/>
        <v>0</v>
      </c>
    </row>
    <row r="38" spans="1:27" x14ac:dyDescent="0.35">
      <c r="A38" s="24">
        <v>24</v>
      </c>
      <c r="B38" s="514" t="str">
        <f>IF('As-Filed Schedule 2D'!B38:D38=0,"",'As-Filed Schedule 2D'!B38:D38)</f>
        <v/>
      </c>
      <c r="C38" s="514"/>
      <c r="D38" s="514"/>
      <c r="F38" s="117">
        <f>'As-Filed Schedule 2D'!F38</f>
        <v>0</v>
      </c>
      <c r="G38" s="309">
        <f>SUMIFS(Adjustments!$G:$G,Adjustments!$H:$H,"2D",Adjustments!$I:$I,'Schedule 2D Adjustments'!$F$12,Adjustments!$J:$J,'Schedule 2D Adjustments'!$A38)</f>
        <v>0</v>
      </c>
      <c r="H38" s="305">
        <f t="shared" si="0"/>
        <v>0</v>
      </c>
      <c r="I38" s="68">
        <f>IFERROR(F38*'As-Filed Schedule 1'!$E$103,0)</f>
        <v>0</v>
      </c>
      <c r="J38" s="306">
        <f>IFERROR(H38*'Adjusted Schedule 1'!$E$104,0)</f>
        <v>0</v>
      </c>
      <c r="K38" s="68">
        <f t="shared" si="1"/>
        <v>0</v>
      </c>
      <c r="L38" s="306">
        <f t="shared" si="2"/>
        <v>0</v>
      </c>
      <c r="N38" s="117">
        <f>'As-Filed Schedule 2D'!J38</f>
        <v>0</v>
      </c>
      <c r="O38" s="309">
        <f>SUMIFS(Adjustments!$G:$G,Adjustments!$H:$H,"2D",Adjustments!$I:$I,'Schedule 2D Adjustments'!$N$12,Adjustments!$J:$J,'Schedule 2D Adjustments'!$A38)</f>
        <v>0</v>
      </c>
      <c r="P38" s="305">
        <f t="shared" si="3"/>
        <v>0</v>
      </c>
      <c r="Q38" s="68">
        <f>IFERROR(N38*'As-Filed Schedule 1'!$E$103,0)</f>
        <v>0</v>
      </c>
      <c r="R38" s="68">
        <f>IFERROR(P38*'Adjusted Schedule 1'!$E$104,0)</f>
        <v>0</v>
      </c>
      <c r="S38" s="68">
        <f t="shared" si="4"/>
        <v>0</v>
      </c>
      <c r="T38" s="306">
        <f t="shared" si="5"/>
        <v>0</v>
      </c>
      <c r="V38" s="119">
        <f>'As-Filed Schedule 2D'!N38</f>
        <v>0</v>
      </c>
      <c r="W38" s="309">
        <f>SUMIFS(Adjustments!$G:$G,Adjustments!$H:$H,"2D",Adjustments!$I:$I,'Schedule 2D Adjustments'!$V$12,Adjustments!$J:$J,'Schedule 2D Adjustments'!$A38)</f>
        <v>0</v>
      </c>
      <c r="X38" s="305">
        <f t="shared" si="6"/>
        <v>0</v>
      </c>
      <c r="Y38" s="119">
        <f>'As-Filed Schedule 2D'!O38</f>
        <v>0</v>
      </c>
      <c r="Z38" s="309">
        <f>SUMIFS(Adjustments!$G:$G,Adjustments!$H:$H,"2D",Adjustments!$I:$I,'Schedule 2D Adjustments'!$Y$12,Adjustments!$J:$J,'Schedule 2D Adjustments'!$A38)</f>
        <v>0</v>
      </c>
      <c r="AA38" s="305">
        <f t="shared" si="7"/>
        <v>0</v>
      </c>
    </row>
    <row r="39" spans="1:27" x14ac:dyDescent="0.35">
      <c r="A39" s="24">
        <v>25</v>
      </c>
      <c r="B39" s="514" t="str">
        <f>IF('As-Filed Schedule 2D'!B39:D39=0,"",'As-Filed Schedule 2D'!B39:D39)</f>
        <v/>
      </c>
      <c r="C39" s="514"/>
      <c r="D39" s="514"/>
      <c r="F39" s="117">
        <f>'As-Filed Schedule 2D'!F39</f>
        <v>0</v>
      </c>
      <c r="G39" s="309">
        <f>SUMIFS(Adjustments!$G:$G,Adjustments!$H:$H,"2D",Adjustments!$I:$I,'Schedule 2D Adjustments'!$F$12,Adjustments!$J:$J,'Schedule 2D Adjustments'!$A39)</f>
        <v>0</v>
      </c>
      <c r="H39" s="305">
        <f t="shared" si="0"/>
        <v>0</v>
      </c>
      <c r="I39" s="68">
        <f>IFERROR(F39*'As-Filed Schedule 1'!$E$103,0)</f>
        <v>0</v>
      </c>
      <c r="J39" s="306">
        <f>IFERROR(H39*'Adjusted Schedule 1'!$E$104,0)</f>
        <v>0</v>
      </c>
      <c r="K39" s="68">
        <f t="shared" si="1"/>
        <v>0</v>
      </c>
      <c r="L39" s="306">
        <f t="shared" si="2"/>
        <v>0</v>
      </c>
      <c r="N39" s="117">
        <f>'As-Filed Schedule 2D'!J39</f>
        <v>0</v>
      </c>
      <c r="O39" s="309">
        <f>SUMIFS(Adjustments!$G:$G,Adjustments!$H:$H,"2D",Adjustments!$I:$I,'Schedule 2D Adjustments'!$N$12,Adjustments!$J:$J,'Schedule 2D Adjustments'!$A39)</f>
        <v>0</v>
      </c>
      <c r="P39" s="305">
        <f t="shared" si="3"/>
        <v>0</v>
      </c>
      <c r="Q39" s="68">
        <f>IFERROR(N39*'As-Filed Schedule 1'!$E$103,0)</f>
        <v>0</v>
      </c>
      <c r="R39" s="68">
        <f>IFERROR(P39*'Adjusted Schedule 1'!$E$104,0)</f>
        <v>0</v>
      </c>
      <c r="S39" s="68">
        <f t="shared" si="4"/>
        <v>0</v>
      </c>
      <c r="T39" s="306">
        <f t="shared" si="5"/>
        <v>0</v>
      </c>
      <c r="V39" s="119">
        <f>'As-Filed Schedule 2D'!N39</f>
        <v>0</v>
      </c>
      <c r="W39" s="309">
        <f>SUMIFS(Adjustments!$G:$G,Adjustments!$H:$H,"2D",Adjustments!$I:$I,'Schedule 2D Adjustments'!$V$12,Adjustments!$J:$J,'Schedule 2D Adjustments'!$A39)</f>
        <v>0</v>
      </c>
      <c r="X39" s="305">
        <f t="shared" si="6"/>
        <v>0</v>
      </c>
      <c r="Y39" s="119">
        <f>'As-Filed Schedule 2D'!O39</f>
        <v>0</v>
      </c>
      <c r="Z39" s="309">
        <f>SUMIFS(Adjustments!$G:$G,Adjustments!$H:$H,"2D",Adjustments!$I:$I,'Schedule 2D Adjustments'!$Y$12,Adjustments!$J:$J,'Schedule 2D Adjustments'!$A39)</f>
        <v>0</v>
      </c>
      <c r="AA39" s="305">
        <f t="shared" si="7"/>
        <v>0</v>
      </c>
    </row>
    <row r="40" spans="1:27" x14ac:dyDescent="0.35">
      <c r="A40" s="24">
        <v>26</v>
      </c>
      <c r="B40" s="514" t="str">
        <f>IF('As-Filed Schedule 2D'!B40:D40=0,"",'As-Filed Schedule 2D'!B40:D40)</f>
        <v/>
      </c>
      <c r="C40" s="514"/>
      <c r="D40" s="514"/>
      <c r="F40" s="117">
        <f>'As-Filed Schedule 2D'!F40</f>
        <v>0</v>
      </c>
      <c r="G40" s="309">
        <f>SUMIFS(Adjustments!$G:$G,Adjustments!$H:$H,"2D",Adjustments!$I:$I,'Schedule 2D Adjustments'!$F$12,Adjustments!$J:$J,'Schedule 2D Adjustments'!$A40)</f>
        <v>0</v>
      </c>
      <c r="H40" s="305">
        <f t="shared" si="0"/>
        <v>0</v>
      </c>
      <c r="I40" s="68">
        <f>IFERROR(F40*'As-Filed Schedule 1'!$E$103,0)</f>
        <v>0</v>
      </c>
      <c r="J40" s="306">
        <f>IFERROR(H40*'Adjusted Schedule 1'!$E$104,0)</f>
        <v>0</v>
      </c>
      <c r="K40" s="68">
        <f t="shared" si="1"/>
        <v>0</v>
      </c>
      <c r="L40" s="306">
        <f t="shared" si="2"/>
        <v>0</v>
      </c>
      <c r="N40" s="117">
        <f>'As-Filed Schedule 2D'!J40</f>
        <v>0</v>
      </c>
      <c r="O40" s="309">
        <f>SUMIFS(Adjustments!$G:$G,Adjustments!$H:$H,"2D",Adjustments!$I:$I,'Schedule 2D Adjustments'!$N$12,Adjustments!$J:$J,'Schedule 2D Adjustments'!$A40)</f>
        <v>0</v>
      </c>
      <c r="P40" s="305">
        <f t="shared" si="3"/>
        <v>0</v>
      </c>
      <c r="Q40" s="68">
        <f>IFERROR(N40*'As-Filed Schedule 1'!$E$103,0)</f>
        <v>0</v>
      </c>
      <c r="R40" s="68">
        <f>IFERROR(P40*'Adjusted Schedule 1'!$E$104,0)</f>
        <v>0</v>
      </c>
      <c r="S40" s="68">
        <f t="shared" si="4"/>
        <v>0</v>
      </c>
      <c r="T40" s="306">
        <f t="shared" si="5"/>
        <v>0</v>
      </c>
      <c r="V40" s="119">
        <f>'As-Filed Schedule 2D'!N40</f>
        <v>0</v>
      </c>
      <c r="W40" s="309">
        <f>SUMIFS(Adjustments!$G:$G,Adjustments!$H:$H,"2D",Adjustments!$I:$I,'Schedule 2D Adjustments'!$V$12,Adjustments!$J:$J,'Schedule 2D Adjustments'!$A40)</f>
        <v>0</v>
      </c>
      <c r="X40" s="305">
        <f t="shared" si="6"/>
        <v>0</v>
      </c>
      <c r="Y40" s="119">
        <f>'As-Filed Schedule 2D'!O40</f>
        <v>0</v>
      </c>
      <c r="Z40" s="309">
        <f>SUMIFS(Adjustments!$G:$G,Adjustments!$H:$H,"2D",Adjustments!$I:$I,'Schedule 2D Adjustments'!$Y$12,Adjustments!$J:$J,'Schedule 2D Adjustments'!$A40)</f>
        <v>0</v>
      </c>
      <c r="AA40" s="305">
        <f t="shared" si="7"/>
        <v>0</v>
      </c>
    </row>
    <row r="41" spans="1:27" x14ac:dyDescent="0.35">
      <c r="A41" s="24">
        <v>27</v>
      </c>
      <c r="B41" s="514" t="str">
        <f>IF('As-Filed Schedule 2D'!B41:D41=0,"",'As-Filed Schedule 2D'!B41:D41)</f>
        <v/>
      </c>
      <c r="C41" s="514"/>
      <c r="D41" s="514"/>
      <c r="F41" s="117">
        <f>'As-Filed Schedule 2D'!F41</f>
        <v>0</v>
      </c>
      <c r="G41" s="309">
        <f>SUMIFS(Adjustments!$G:$G,Adjustments!$H:$H,"2D",Adjustments!$I:$I,'Schedule 2D Adjustments'!$F$12,Adjustments!$J:$J,'Schedule 2D Adjustments'!$A41)</f>
        <v>0</v>
      </c>
      <c r="H41" s="305">
        <f t="shared" si="0"/>
        <v>0</v>
      </c>
      <c r="I41" s="68">
        <f>IFERROR(F41*'As-Filed Schedule 1'!$E$103,0)</f>
        <v>0</v>
      </c>
      <c r="J41" s="306">
        <f>IFERROR(H41*'Adjusted Schedule 1'!$E$104,0)</f>
        <v>0</v>
      </c>
      <c r="K41" s="68">
        <f t="shared" si="1"/>
        <v>0</v>
      </c>
      <c r="L41" s="306">
        <f t="shared" si="2"/>
        <v>0</v>
      </c>
      <c r="N41" s="117">
        <f>'As-Filed Schedule 2D'!J41</f>
        <v>0</v>
      </c>
      <c r="O41" s="309">
        <f>SUMIFS(Adjustments!$G:$G,Adjustments!$H:$H,"2D",Adjustments!$I:$I,'Schedule 2D Adjustments'!$N$12,Adjustments!$J:$J,'Schedule 2D Adjustments'!$A41)</f>
        <v>0</v>
      </c>
      <c r="P41" s="305">
        <f t="shared" si="3"/>
        <v>0</v>
      </c>
      <c r="Q41" s="68">
        <f>IFERROR(N41*'As-Filed Schedule 1'!$E$103,0)</f>
        <v>0</v>
      </c>
      <c r="R41" s="68">
        <f>IFERROR(P41*'Adjusted Schedule 1'!$E$104,0)</f>
        <v>0</v>
      </c>
      <c r="S41" s="68">
        <f t="shared" si="4"/>
        <v>0</v>
      </c>
      <c r="T41" s="306">
        <f t="shared" si="5"/>
        <v>0</v>
      </c>
      <c r="V41" s="119">
        <f>'As-Filed Schedule 2D'!N41</f>
        <v>0</v>
      </c>
      <c r="W41" s="309">
        <f>SUMIFS(Adjustments!$G:$G,Adjustments!$H:$H,"2D",Adjustments!$I:$I,'Schedule 2D Adjustments'!$V$12,Adjustments!$J:$J,'Schedule 2D Adjustments'!$A41)</f>
        <v>0</v>
      </c>
      <c r="X41" s="305">
        <f t="shared" si="6"/>
        <v>0</v>
      </c>
      <c r="Y41" s="119">
        <f>'As-Filed Schedule 2D'!O41</f>
        <v>0</v>
      </c>
      <c r="Z41" s="309">
        <f>SUMIFS(Adjustments!$G:$G,Adjustments!$H:$H,"2D",Adjustments!$I:$I,'Schedule 2D Adjustments'!$Y$12,Adjustments!$J:$J,'Schedule 2D Adjustments'!$A41)</f>
        <v>0</v>
      </c>
      <c r="AA41" s="305">
        <f t="shared" si="7"/>
        <v>0</v>
      </c>
    </row>
    <row r="42" spans="1:27" x14ac:dyDescent="0.35">
      <c r="A42" s="24">
        <v>28</v>
      </c>
      <c r="B42" s="514" t="str">
        <f>IF('As-Filed Schedule 2D'!B42:D42=0,"",'As-Filed Schedule 2D'!B42:D42)</f>
        <v/>
      </c>
      <c r="C42" s="514"/>
      <c r="D42" s="514"/>
      <c r="F42" s="117">
        <f>'As-Filed Schedule 2D'!F42</f>
        <v>0</v>
      </c>
      <c r="G42" s="309">
        <f>SUMIFS(Adjustments!$G:$G,Adjustments!$H:$H,"2D",Adjustments!$I:$I,'Schedule 2D Adjustments'!$F$12,Adjustments!$J:$J,'Schedule 2D Adjustments'!$A42)</f>
        <v>0</v>
      </c>
      <c r="H42" s="305">
        <f t="shared" si="0"/>
        <v>0</v>
      </c>
      <c r="I42" s="68">
        <f>IFERROR(F42*'As-Filed Schedule 1'!$E$103,0)</f>
        <v>0</v>
      </c>
      <c r="J42" s="306">
        <f>IFERROR(H42*'Adjusted Schedule 1'!$E$104,0)</f>
        <v>0</v>
      </c>
      <c r="K42" s="68">
        <f t="shared" si="1"/>
        <v>0</v>
      </c>
      <c r="L42" s="306">
        <f t="shared" si="2"/>
        <v>0</v>
      </c>
      <c r="N42" s="117">
        <f>'As-Filed Schedule 2D'!J42</f>
        <v>0</v>
      </c>
      <c r="O42" s="309">
        <f>SUMIFS(Adjustments!$G:$G,Adjustments!$H:$H,"2D",Adjustments!$I:$I,'Schedule 2D Adjustments'!$N$12,Adjustments!$J:$J,'Schedule 2D Adjustments'!$A42)</f>
        <v>0</v>
      </c>
      <c r="P42" s="305">
        <f t="shared" si="3"/>
        <v>0</v>
      </c>
      <c r="Q42" s="68">
        <f>IFERROR(N42*'As-Filed Schedule 1'!$E$103,0)</f>
        <v>0</v>
      </c>
      <c r="R42" s="68">
        <f>IFERROR(P42*'Adjusted Schedule 1'!$E$104,0)</f>
        <v>0</v>
      </c>
      <c r="S42" s="68">
        <f t="shared" si="4"/>
        <v>0</v>
      </c>
      <c r="T42" s="306">
        <f t="shared" si="5"/>
        <v>0</v>
      </c>
      <c r="V42" s="119">
        <f>'As-Filed Schedule 2D'!N42</f>
        <v>0</v>
      </c>
      <c r="W42" s="309">
        <f>SUMIFS(Adjustments!$G:$G,Adjustments!$H:$H,"2D",Adjustments!$I:$I,'Schedule 2D Adjustments'!$V$12,Adjustments!$J:$J,'Schedule 2D Adjustments'!$A42)</f>
        <v>0</v>
      </c>
      <c r="X42" s="305">
        <f t="shared" si="6"/>
        <v>0</v>
      </c>
      <c r="Y42" s="119">
        <f>'As-Filed Schedule 2D'!O42</f>
        <v>0</v>
      </c>
      <c r="Z42" s="309">
        <f>SUMIFS(Adjustments!$G:$G,Adjustments!$H:$H,"2D",Adjustments!$I:$I,'Schedule 2D Adjustments'!$Y$12,Adjustments!$J:$J,'Schedule 2D Adjustments'!$A42)</f>
        <v>0</v>
      </c>
      <c r="AA42" s="305">
        <f t="shared" si="7"/>
        <v>0</v>
      </c>
    </row>
    <row r="43" spans="1:27" x14ac:dyDescent="0.35">
      <c r="A43" s="24">
        <v>29</v>
      </c>
      <c r="B43" s="514" t="str">
        <f>IF('As-Filed Schedule 2D'!B43:D43=0,"",'As-Filed Schedule 2D'!B43:D43)</f>
        <v/>
      </c>
      <c r="C43" s="514"/>
      <c r="D43" s="514"/>
      <c r="F43" s="117">
        <f>'As-Filed Schedule 2D'!F43</f>
        <v>0</v>
      </c>
      <c r="G43" s="309">
        <f>SUMIFS(Adjustments!$G:$G,Adjustments!$H:$H,"2D",Adjustments!$I:$I,'Schedule 2D Adjustments'!$F$12,Adjustments!$J:$J,'Schedule 2D Adjustments'!$A43)</f>
        <v>0</v>
      </c>
      <c r="H43" s="305">
        <f t="shared" si="0"/>
        <v>0</v>
      </c>
      <c r="I43" s="68">
        <f>IFERROR(F43*'As-Filed Schedule 1'!$E$103,0)</f>
        <v>0</v>
      </c>
      <c r="J43" s="306">
        <f>IFERROR(H43*'Adjusted Schedule 1'!$E$104,0)</f>
        <v>0</v>
      </c>
      <c r="K43" s="68">
        <f t="shared" si="1"/>
        <v>0</v>
      </c>
      <c r="L43" s="306">
        <f t="shared" si="2"/>
        <v>0</v>
      </c>
      <c r="N43" s="117">
        <f>'As-Filed Schedule 2D'!J43</f>
        <v>0</v>
      </c>
      <c r="O43" s="309">
        <f>SUMIFS(Adjustments!$G:$G,Adjustments!$H:$H,"2D",Adjustments!$I:$I,'Schedule 2D Adjustments'!$N$12,Adjustments!$J:$J,'Schedule 2D Adjustments'!$A43)</f>
        <v>0</v>
      </c>
      <c r="P43" s="305">
        <f t="shared" si="3"/>
        <v>0</v>
      </c>
      <c r="Q43" s="68">
        <f>IFERROR(N43*'As-Filed Schedule 1'!$E$103,0)</f>
        <v>0</v>
      </c>
      <c r="R43" s="68">
        <f>IFERROR(P43*'Adjusted Schedule 1'!$E$104,0)</f>
        <v>0</v>
      </c>
      <c r="S43" s="68">
        <f t="shared" si="4"/>
        <v>0</v>
      </c>
      <c r="T43" s="306">
        <f t="shared" si="5"/>
        <v>0</v>
      </c>
      <c r="V43" s="119">
        <f>'As-Filed Schedule 2D'!N43</f>
        <v>0</v>
      </c>
      <c r="W43" s="309">
        <f>SUMIFS(Adjustments!$G:$G,Adjustments!$H:$H,"2D",Adjustments!$I:$I,'Schedule 2D Adjustments'!$V$12,Adjustments!$J:$J,'Schedule 2D Adjustments'!$A43)</f>
        <v>0</v>
      </c>
      <c r="X43" s="305">
        <f t="shared" si="6"/>
        <v>0</v>
      </c>
      <c r="Y43" s="119">
        <f>'As-Filed Schedule 2D'!O43</f>
        <v>0</v>
      </c>
      <c r="Z43" s="309">
        <f>SUMIFS(Adjustments!$G:$G,Adjustments!$H:$H,"2D",Adjustments!$I:$I,'Schedule 2D Adjustments'!$Y$12,Adjustments!$J:$J,'Schedule 2D Adjustments'!$A43)</f>
        <v>0</v>
      </c>
      <c r="AA43" s="305">
        <f t="shared" si="7"/>
        <v>0</v>
      </c>
    </row>
    <row r="44" spans="1:27" x14ac:dyDescent="0.35">
      <c r="A44" s="24">
        <v>30</v>
      </c>
      <c r="B44" s="514" t="str">
        <f>IF('As-Filed Schedule 2D'!B44:D44=0,"",'As-Filed Schedule 2D'!B44:D44)</f>
        <v/>
      </c>
      <c r="C44" s="514"/>
      <c r="D44" s="514"/>
      <c r="F44" s="117">
        <f>'As-Filed Schedule 2D'!F44</f>
        <v>0</v>
      </c>
      <c r="G44" s="309">
        <f>SUMIFS(Adjustments!$G:$G,Adjustments!$H:$H,"2D",Adjustments!$I:$I,'Schedule 2D Adjustments'!$F$12,Adjustments!$J:$J,'Schedule 2D Adjustments'!$A44)</f>
        <v>0</v>
      </c>
      <c r="H44" s="305">
        <f t="shared" si="0"/>
        <v>0</v>
      </c>
      <c r="I44" s="68">
        <f>IFERROR(F44*'As-Filed Schedule 1'!$E$103,0)</f>
        <v>0</v>
      </c>
      <c r="J44" s="306">
        <f>IFERROR(H44*'Adjusted Schedule 1'!$E$104,0)</f>
        <v>0</v>
      </c>
      <c r="K44" s="68">
        <f t="shared" si="1"/>
        <v>0</v>
      </c>
      <c r="L44" s="306">
        <f t="shared" si="2"/>
        <v>0</v>
      </c>
      <c r="N44" s="117">
        <f>'As-Filed Schedule 2D'!J44</f>
        <v>0</v>
      </c>
      <c r="O44" s="309">
        <f>SUMIFS(Adjustments!$G:$G,Adjustments!$H:$H,"2D",Adjustments!$I:$I,'Schedule 2D Adjustments'!$N$12,Adjustments!$J:$J,'Schedule 2D Adjustments'!$A44)</f>
        <v>0</v>
      </c>
      <c r="P44" s="305">
        <f t="shared" si="3"/>
        <v>0</v>
      </c>
      <c r="Q44" s="68">
        <f>IFERROR(N44*'As-Filed Schedule 1'!$E$103,0)</f>
        <v>0</v>
      </c>
      <c r="R44" s="68">
        <f>IFERROR(P44*'Adjusted Schedule 1'!$E$104,0)</f>
        <v>0</v>
      </c>
      <c r="S44" s="68">
        <f t="shared" si="4"/>
        <v>0</v>
      </c>
      <c r="T44" s="306">
        <f t="shared" si="5"/>
        <v>0</v>
      </c>
      <c r="V44" s="119">
        <f>'As-Filed Schedule 2D'!N44</f>
        <v>0</v>
      </c>
      <c r="W44" s="309">
        <f>SUMIFS(Adjustments!$G:$G,Adjustments!$H:$H,"2D",Adjustments!$I:$I,'Schedule 2D Adjustments'!$V$12,Adjustments!$J:$J,'Schedule 2D Adjustments'!$A44)</f>
        <v>0</v>
      </c>
      <c r="X44" s="305">
        <f t="shared" si="6"/>
        <v>0</v>
      </c>
      <c r="Y44" s="119">
        <f>'As-Filed Schedule 2D'!O44</f>
        <v>0</v>
      </c>
      <c r="Z44" s="309">
        <f>SUMIFS(Adjustments!$G:$G,Adjustments!$H:$H,"2D",Adjustments!$I:$I,'Schedule 2D Adjustments'!$Y$12,Adjustments!$J:$J,'Schedule 2D Adjustments'!$A44)</f>
        <v>0</v>
      </c>
      <c r="AA44" s="305">
        <f t="shared" si="7"/>
        <v>0</v>
      </c>
    </row>
    <row r="45" spans="1:27" x14ac:dyDescent="0.35">
      <c r="A45" s="24">
        <v>31</v>
      </c>
      <c r="B45" s="514" t="str">
        <f>IF('As-Filed Schedule 2D'!B45:D45=0,"",'As-Filed Schedule 2D'!B45:D45)</f>
        <v/>
      </c>
      <c r="C45" s="514"/>
      <c r="D45" s="514"/>
      <c r="F45" s="117">
        <f>'As-Filed Schedule 2D'!F45</f>
        <v>0</v>
      </c>
      <c r="G45" s="309">
        <f>SUMIFS(Adjustments!$G:$G,Adjustments!$H:$H,"2D",Adjustments!$I:$I,'Schedule 2D Adjustments'!$F$12,Adjustments!$J:$J,'Schedule 2D Adjustments'!$A45)</f>
        <v>0</v>
      </c>
      <c r="H45" s="305">
        <f t="shared" si="0"/>
        <v>0</v>
      </c>
      <c r="I45" s="68">
        <f>IFERROR(F45*'As-Filed Schedule 1'!$E$103,0)</f>
        <v>0</v>
      </c>
      <c r="J45" s="306">
        <f>IFERROR(H45*'Adjusted Schedule 1'!$E$104,0)</f>
        <v>0</v>
      </c>
      <c r="K45" s="68">
        <f t="shared" si="1"/>
        <v>0</v>
      </c>
      <c r="L45" s="306">
        <f t="shared" si="2"/>
        <v>0</v>
      </c>
      <c r="N45" s="117">
        <f>'As-Filed Schedule 2D'!J45</f>
        <v>0</v>
      </c>
      <c r="O45" s="309">
        <f>SUMIFS(Adjustments!$G:$G,Adjustments!$H:$H,"2D",Adjustments!$I:$I,'Schedule 2D Adjustments'!$N$12,Adjustments!$J:$J,'Schedule 2D Adjustments'!$A45)</f>
        <v>0</v>
      </c>
      <c r="P45" s="305">
        <f t="shared" si="3"/>
        <v>0</v>
      </c>
      <c r="Q45" s="68">
        <f>IFERROR(N45*'As-Filed Schedule 1'!$E$103,0)</f>
        <v>0</v>
      </c>
      <c r="R45" s="68">
        <f>IFERROR(P45*'Adjusted Schedule 1'!$E$104,0)</f>
        <v>0</v>
      </c>
      <c r="S45" s="68">
        <f t="shared" si="4"/>
        <v>0</v>
      </c>
      <c r="T45" s="306">
        <f t="shared" si="5"/>
        <v>0</v>
      </c>
      <c r="V45" s="119">
        <f>'As-Filed Schedule 2D'!N45</f>
        <v>0</v>
      </c>
      <c r="W45" s="309">
        <f>SUMIFS(Adjustments!$G:$G,Adjustments!$H:$H,"2D",Adjustments!$I:$I,'Schedule 2D Adjustments'!$V$12,Adjustments!$J:$J,'Schedule 2D Adjustments'!$A45)</f>
        <v>0</v>
      </c>
      <c r="X45" s="305">
        <f t="shared" si="6"/>
        <v>0</v>
      </c>
      <c r="Y45" s="119">
        <f>'As-Filed Schedule 2D'!O45</f>
        <v>0</v>
      </c>
      <c r="Z45" s="309">
        <f>SUMIFS(Adjustments!$G:$G,Adjustments!$H:$H,"2D",Adjustments!$I:$I,'Schedule 2D Adjustments'!$Y$12,Adjustments!$J:$J,'Schedule 2D Adjustments'!$A45)</f>
        <v>0</v>
      </c>
      <c r="AA45" s="305">
        <f t="shared" si="7"/>
        <v>0</v>
      </c>
    </row>
    <row r="46" spans="1:27" x14ac:dyDescent="0.35">
      <c r="A46" s="24">
        <v>32</v>
      </c>
      <c r="B46" s="514" t="str">
        <f>IF('As-Filed Schedule 2D'!B46:D46=0,"",'As-Filed Schedule 2D'!B46:D46)</f>
        <v/>
      </c>
      <c r="C46" s="514"/>
      <c r="D46" s="514"/>
      <c r="F46" s="117">
        <f>'As-Filed Schedule 2D'!F46</f>
        <v>0</v>
      </c>
      <c r="G46" s="309">
        <f>SUMIFS(Adjustments!$G:$G,Adjustments!$H:$H,"2D",Adjustments!$I:$I,'Schedule 2D Adjustments'!$F$12,Adjustments!$J:$J,'Schedule 2D Adjustments'!$A46)</f>
        <v>0</v>
      </c>
      <c r="H46" s="305">
        <f t="shared" si="0"/>
        <v>0</v>
      </c>
      <c r="I46" s="68">
        <f>IFERROR(F46*'As-Filed Schedule 1'!$E$103,0)</f>
        <v>0</v>
      </c>
      <c r="J46" s="306">
        <f>IFERROR(H46*'Adjusted Schedule 1'!$E$104,0)</f>
        <v>0</v>
      </c>
      <c r="K46" s="68">
        <f t="shared" si="1"/>
        <v>0</v>
      </c>
      <c r="L46" s="306">
        <f t="shared" si="2"/>
        <v>0</v>
      </c>
      <c r="N46" s="117">
        <f>'As-Filed Schedule 2D'!J46</f>
        <v>0</v>
      </c>
      <c r="O46" s="309">
        <f>SUMIFS(Adjustments!$G:$G,Adjustments!$H:$H,"2D",Adjustments!$I:$I,'Schedule 2D Adjustments'!$N$12,Adjustments!$J:$J,'Schedule 2D Adjustments'!$A46)</f>
        <v>0</v>
      </c>
      <c r="P46" s="305">
        <f t="shared" si="3"/>
        <v>0</v>
      </c>
      <c r="Q46" s="68">
        <f>IFERROR(N46*'As-Filed Schedule 1'!$E$103,0)</f>
        <v>0</v>
      </c>
      <c r="R46" s="68">
        <f>IFERROR(P46*'Adjusted Schedule 1'!$E$104,0)</f>
        <v>0</v>
      </c>
      <c r="S46" s="68">
        <f t="shared" si="4"/>
        <v>0</v>
      </c>
      <c r="T46" s="306">
        <f t="shared" si="5"/>
        <v>0</v>
      </c>
      <c r="V46" s="119">
        <f>'As-Filed Schedule 2D'!N46</f>
        <v>0</v>
      </c>
      <c r="W46" s="309">
        <f>SUMIFS(Adjustments!$G:$G,Adjustments!$H:$H,"2D",Adjustments!$I:$I,'Schedule 2D Adjustments'!$V$12,Adjustments!$J:$J,'Schedule 2D Adjustments'!$A46)</f>
        <v>0</v>
      </c>
      <c r="X46" s="305">
        <f t="shared" si="6"/>
        <v>0</v>
      </c>
      <c r="Y46" s="119">
        <f>'As-Filed Schedule 2D'!O46</f>
        <v>0</v>
      </c>
      <c r="Z46" s="309">
        <f>SUMIFS(Adjustments!$G:$G,Adjustments!$H:$H,"2D",Adjustments!$I:$I,'Schedule 2D Adjustments'!$Y$12,Adjustments!$J:$J,'Schedule 2D Adjustments'!$A46)</f>
        <v>0</v>
      </c>
      <c r="AA46" s="305">
        <f t="shared" si="7"/>
        <v>0</v>
      </c>
    </row>
    <row r="47" spans="1:27" x14ac:dyDescent="0.35">
      <c r="A47" s="24">
        <v>33</v>
      </c>
      <c r="B47" s="514" t="str">
        <f>IF('As-Filed Schedule 2D'!B47:D47=0,"",'As-Filed Schedule 2D'!B47:D47)</f>
        <v/>
      </c>
      <c r="C47" s="514"/>
      <c r="D47" s="514"/>
      <c r="F47" s="117">
        <f>'As-Filed Schedule 2D'!F47</f>
        <v>0</v>
      </c>
      <c r="G47" s="309">
        <f>SUMIFS(Adjustments!$G:$G,Adjustments!$H:$H,"2D",Adjustments!$I:$I,'Schedule 2D Adjustments'!$F$12,Adjustments!$J:$J,'Schedule 2D Adjustments'!$A47)</f>
        <v>0</v>
      </c>
      <c r="H47" s="305">
        <f t="shared" si="0"/>
        <v>0</v>
      </c>
      <c r="I47" s="68">
        <f>IFERROR(F47*'As-Filed Schedule 1'!$E$103,0)</f>
        <v>0</v>
      </c>
      <c r="J47" s="306">
        <f>IFERROR(H47*'Adjusted Schedule 1'!$E$104,0)</f>
        <v>0</v>
      </c>
      <c r="K47" s="68">
        <f t="shared" si="1"/>
        <v>0</v>
      </c>
      <c r="L47" s="306">
        <f t="shared" si="2"/>
        <v>0</v>
      </c>
      <c r="N47" s="117">
        <f>'As-Filed Schedule 2D'!J47</f>
        <v>0</v>
      </c>
      <c r="O47" s="309">
        <f>SUMIFS(Adjustments!$G:$G,Adjustments!$H:$H,"2D",Adjustments!$I:$I,'Schedule 2D Adjustments'!$N$12,Adjustments!$J:$J,'Schedule 2D Adjustments'!$A47)</f>
        <v>0</v>
      </c>
      <c r="P47" s="305">
        <f t="shared" si="3"/>
        <v>0</v>
      </c>
      <c r="Q47" s="68">
        <f>IFERROR(N47*'As-Filed Schedule 1'!$E$103,0)</f>
        <v>0</v>
      </c>
      <c r="R47" s="68">
        <f>IFERROR(P47*'Adjusted Schedule 1'!$E$104,0)</f>
        <v>0</v>
      </c>
      <c r="S47" s="68">
        <f t="shared" si="4"/>
        <v>0</v>
      </c>
      <c r="T47" s="306">
        <f t="shared" si="5"/>
        <v>0</v>
      </c>
      <c r="V47" s="119">
        <f>'As-Filed Schedule 2D'!N47</f>
        <v>0</v>
      </c>
      <c r="W47" s="309">
        <f>SUMIFS(Adjustments!$G:$G,Adjustments!$H:$H,"2D",Adjustments!$I:$I,'Schedule 2D Adjustments'!$V$12,Adjustments!$J:$J,'Schedule 2D Adjustments'!$A47)</f>
        <v>0</v>
      </c>
      <c r="X47" s="305">
        <f t="shared" si="6"/>
        <v>0</v>
      </c>
      <c r="Y47" s="119">
        <f>'As-Filed Schedule 2D'!O47</f>
        <v>0</v>
      </c>
      <c r="Z47" s="309">
        <f>SUMIFS(Adjustments!$G:$G,Adjustments!$H:$H,"2D",Adjustments!$I:$I,'Schedule 2D Adjustments'!$Y$12,Adjustments!$J:$J,'Schedule 2D Adjustments'!$A47)</f>
        <v>0</v>
      </c>
      <c r="AA47" s="305">
        <f t="shared" si="7"/>
        <v>0</v>
      </c>
    </row>
    <row r="48" spans="1:27" x14ac:dyDescent="0.35">
      <c r="A48" s="24">
        <v>34</v>
      </c>
      <c r="B48" s="514" t="str">
        <f>IF('As-Filed Schedule 2D'!B48:D48=0,"",'As-Filed Schedule 2D'!B48:D48)</f>
        <v/>
      </c>
      <c r="C48" s="514"/>
      <c r="D48" s="514"/>
      <c r="F48" s="117">
        <f>'As-Filed Schedule 2D'!F48</f>
        <v>0</v>
      </c>
      <c r="G48" s="309">
        <f>SUMIFS(Adjustments!$G:$G,Adjustments!$H:$H,"2D",Adjustments!$I:$I,'Schedule 2D Adjustments'!$F$12,Adjustments!$J:$J,'Schedule 2D Adjustments'!$A48)</f>
        <v>0</v>
      </c>
      <c r="H48" s="305">
        <f t="shared" si="0"/>
        <v>0</v>
      </c>
      <c r="I48" s="68">
        <f>IFERROR(F48*'As-Filed Schedule 1'!$E$103,0)</f>
        <v>0</v>
      </c>
      <c r="J48" s="306">
        <f>IFERROR(H48*'Adjusted Schedule 1'!$E$104,0)</f>
        <v>0</v>
      </c>
      <c r="K48" s="68">
        <f t="shared" si="1"/>
        <v>0</v>
      </c>
      <c r="L48" s="306">
        <f t="shared" si="2"/>
        <v>0</v>
      </c>
      <c r="N48" s="117">
        <f>'As-Filed Schedule 2D'!J48</f>
        <v>0</v>
      </c>
      <c r="O48" s="309">
        <f>SUMIFS(Adjustments!$G:$G,Adjustments!$H:$H,"2D",Adjustments!$I:$I,'Schedule 2D Adjustments'!$N$12,Adjustments!$J:$J,'Schedule 2D Adjustments'!$A48)</f>
        <v>0</v>
      </c>
      <c r="P48" s="305">
        <f t="shared" si="3"/>
        <v>0</v>
      </c>
      <c r="Q48" s="68">
        <f>IFERROR(N48*'As-Filed Schedule 1'!$E$103,0)</f>
        <v>0</v>
      </c>
      <c r="R48" s="68">
        <f>IFERROR(P48*'Adjusted Schedule 1'!$E$104,0)</f>
        <v>0</v>
      </c>
      <c r="S48" s="68">
        <f t="shared" si="4"/>
        <v>0</v>
      </c>
      <c r="T48" s="306">
        <f t="shared" si="5"/>
        <v>0</v>
      </c>
      <c r="V48" s="119">
        <f>'As-Filed Schedule 2D'!N48</f>
        <v>0</v>
      </c>
      <c r="W48" s="309">
        <f>SUMIFS(Adjustments!$G:$G,Adjustments!$H:$H,"2D",Adjustments!$I:$I,'Schedule 2D Adjustments'!$V$12,Adjustments!$J:$J,'Schedule 2D Adjustments'!$A48)</f>
        <v>0</v>
      </c>
      <c r="X48" s="305">
        <f t="shared" si="6"/>
        <v>0</v>
      </c>
      <c r="Y48" s="119">
        <f>'As-Filed Schedule 2D'!O48</f>
        <v>0</v>
      </c>
      <c r="Z48" s="309">
        <f>SUMIFS(Adjustments!$G:$G,Adjustments!$H:$H,"2D",Adjustments!$I:$I,'Schedule 2D Adjustments'!$Y$12,Adjustments!$J:$J,'Schedule 2D Adjustments'!$A48)</f>
        <v>0</v>
      </c>
      <c r="AA48" s="305">
        <f t="shared" si="7"/>
        <v>0</v>
      </c>
    </row>
    <row r="49" spans="1:27" x14ac:dyDescent="0.35">
      <c r="A49" s="24">
        <v>35</v>
      </c>
      <c r="B49" s="514" t="str">
        <f>IF('As-Filed Schedule 2D'!B49:D49=0,"",'As-Filed Schedule 2D'!B49:D49)</f>
        <v/>
      </c>
      <c r="C49" s="514"/>
      <c r="D49" s="514"/>
      <c r="F49" s="117">
        <f>'As-Filed Schedule 2D'!F49</f>
        <v>0</v>
      </c>
      <c r="G49" s="309">
        <f>SUMIFS(Adjustments!$G:$G,Adjustments!$H:$H,"2D",Adjustments!$I:$I,'Schedule 2D Adjustments'!$F$12,Adjustments!$J:$J,'Schedule 2D Adjustments'!$A49)</f>
        <v>0</v>
      </c>
      <c r="H49" s="305">
        <f t="shared" si="0"/>
        <v>0</v>
      </c>
      <c r="I49" s="68">
        <f>IFERROR(F49*'As-Filed Schedule 1'!$E$103,0)</f>
        <v>0</v>
      </c>
      <c r="J49" s="306">
        <f>IFERROR(H49*'Adjusted Schedule 1'!$E$104,0)</f>
        <v>0</v>
      </c>
      <c r="K49" s="68">
        <f t="shared" si="1"/>
        <v>0</v>
      </c>
      <c r="L49" s="306">
        <f t="shared" si="2"/>
        <v>0</v>
      </c>
      <c r="N49" s="117">
        <f>'As-Filed Schedule 2D'!J49</f>
        <v>0</v>
      </c>
      <c r="O49" s="309">
        <f>SUMIFS(Adjustments!$G:$G,Adjustments!$H:$H,"2D",Adjustments!$I:$I,'Schedule 2D Adjustments'!$N$12,Adjustments!$J:$J,'Schedule 2D Adjustments'!$A49)</f>
        <v>0</v>
      </c>
      <c r="P49" s="305">
        <f t="shared" si="3"/>
        <v>0</v>
      </c>
      <c r="Q49" s="68">
        <f>IFERROR(N49*'As-Filed Schedule 1'!$E$103,0)</f>
        <v>0</v>
      </c>
      <c r="R49" s="68">
        <f>IFERROR(P49*'Adjusted Schedule 1'!$E$104,0)</f>
        <v>0</v>
      </c>
      <c r="S49" s="68">
        <f t="shared" si="4"/>
        <v>0</v>
      </c>
      <c r="T49" s="306">
        <f t="shared" si="5"/>
        <v>0</v>
      </c>
      <c r="V49" s="119">
        <f>'As-Filed Schedule 2D'!N49</f>
        <v>0</v>
      </c>
      <c r="W49" s="309">
        <f>SUMIFS(Adjustments!$G:$G,Adjustments!$H:$H,"2D",Adjustments!$I:$I,'Schedule 2D Adjustments'!$V$12,Adjustments!$J:$J,'Schedule 2D Adjustments'!$A49)</f>
        <v>0</v>
      </c>
      <c r="X49" s="305">
        <f t="shared" si="6"/>
        <v>0</v>
      </c>
      <c r="Y49" s="119">
        <f>'As-Filed Schedule 2D'!O49</f>
        <v>0</v>
      </c>
      <c r="Z49" s="309">
        <f>SUMIFS(Adjustments!$G:$G,Adjustments!$H:$H,"2D",Adjustments!$I:$I,'Schedule 2D Adjustments'!$Y$12,Adjustments!$J:$J,'Schedule 2D Adjustments'!$A49)</f>
        <v>0</v>
      </c>
      <c r="AA49" s="305">
        <f t="shared" si="7"/>
        <v>0</v>
      </c>
    </row>
    <row r="50" spans="1:27" x14ac:dyDescent="0.35">
      <c r="A50" s="24">
        <v>36</v>
      </c>
      <c r="B50" s="514" t="str">
        <f>IF('As-Filed Schedule 2D'!B50:D50=0,"",'As-Filed Schedule 2D'!B50:D50)</f>
        <v/>
      </c>
      <c r="C50" s="514"/>
      <c r="D50" s="514"/>
      <c r="F50" s="117">
        <f>'As-Filed Schedule 2D'!F50</f>
        <v>0</v>
      </c>
      <c r="G50" s="309">
        <f>SUMIFS(Adjustments!$G:$G,Adjustments!$H:$H,"2D",Adjustments!$I:$I,'Schedule 2D Adjustments'!$F$12,Adjustments!$J:$J,'Schedule 2D Adjustments'!$A50)</f>
        <v>0</v>
      </c>
      <c r="H50" s="305">
        <f t="shared" si="0"/>
        <v>0</v>
      </c>
      <c r="I50" s="68">
        <f>IFERROR(F50*'As-Filed Schedule 1'!$E$103,0)</f>
        <v>0</v>
      </c>
      <c r="J50" s="306">
        <f>IFERROR(H50*'Adjusted Schedule 1'!$E$104,0)</f>
        <v>0</v>
      </c>
      <c r="K50" s="68">
        <f t="shared" si="1"/>
        <v>0</v>
      </c>
      <c r="L50" s="306">
        <f t="shared" si="2"/>
        <v>0</v>
      </c>
      <c r="N50" s="117">
        <f>'As-Filed Schedule 2D'!J50</f>
        <v>0</v>
      </c>
      <c r="O50" s="309">
        <f>SUMIFS(Adjustments!$G:$G,Adjustments!$H:$H,"2D",Adjustments!$I:$I,'Schedule 2D Adjustments'!$N$12,Adjustments!$J:$J,'Schedule 2D Adjustments'!$A50)</f>
        <v>0</v>
      </c>
      <c r="P50" s="305">
        <f t="shared" si="3"/>
        <v>0</v>
      </c>
      <c r="Q50" s="68">
        <f>IFERROR(N50*'As-Filed Schedule 1'!$E$103,0)</f>
        <v>0</v>
      </c>
      <c r="R50" s="68">
        <f>IFERROR(P50*'Adjusted Schedule 1'!$E$104,0)</f>
        <v>0</v>
      </c>
      <c r="S50" s="68">
        <f t="shared" si="4"/>
        <v>0</v>
      </c>
      <c r="T50" s="306">
        <f t="shared" si="5"/>
        <v>0</v>
      </c>
      <c r="V50" s="119">
        <f>'As-Filed Schedule 2D'!N50</f>
        <v>0</v>
      </c>
      <c r="W50" s="309">
        <f>SUMIFS(Adjustments!$G:$G,Adjustments!$H:$H,"2D",Adjustments!$I:$I,'Schedule 2D Adjustments'!$V$12,Adjustments!$J:$J,'Schedule 2D Adjustments'!$A50)</f>
        <v>0</v>
      </c>
      <c r="X50" s="305">
        <f t="shared" si="6"/>
        <v>0</v>
      </c>
      <c r="Y50" s="119">
        <f>'As-Filed Schedule 2D'!O50</f>
        <v>0</v>
      </c>
      <c r="Z50" s="309">
        <f>SUMIFS(Adjustments!$G:$G,Adjustments!$H:$H,"2D",Adjustments!$I:$I,'Schedule 2D Adjustments'!$Y$12,Adjustments!$J:$J,'Schedule 2D Adjustments'!$A50)</f>
        <v>0</v>
      </c>
      <c r="AA50" s="305">
        <f t="shared" si="7"/>
        <v>0</v>
      </c>
    </row>
    <row r="51" spans="1:27" x14ac:dyDescent="0.35">
      <c r="A51" s="24">
        <v>37</v>
      </c>
      <c r="B51" s="514" t="str">
        <f>IF('As-Filed Schedule 2D'!B51:D51=0,"",'As-Filed Schedule 2D'!B51:D51)</f>
        <v/>
      </c>
      <c r="C51" s="514"/>
      <c r="D51" s="514"/>
      <c r="F51" s="117">
        <f>'As-Filed Schedule 2D'!F51</f>
        <v>0</v>
      </c>
      <c r="G51" s="309">
        <f>SUMIFS(Adjustments!$G:$G,Adjustments!$H:$H,"2D",Adjustments!$I:$I,'Schedule 2D Adjustments'!$F$12,Adjustments!$J:$J,'Schedule 2D Adjustments'!$A51)</f>
        <v>0</v>
      </c>
      <c r="H51" s="305">
        <f t="shared" si="0"/>
        <v>0</v>
      </c>
      <c r="I51" s="68">
        <f>IFERROR(F51*'As-Filed Schedule 1'!$E$103,0)</f>
        <v>0</v>
      </c>
      <c r="J51" s="306">
        <f>IFERROR(H51*'Adjusted Schedule 1'!$E$104,0)</f>
        <v>0</v>
      </c>
      <c r="K51" s="68">
        <f t="shared" si="1"/>
        <v>0</v>
      </c>
      <c r="L51" s="306">
        <f t="shared" si="2"/>
        <v>0</v>
      </c>
      <c r="N51" s="117">
        <f>'As-Filed Schedule 2D'!J51</f>
        <v>0</v>
      </c>
      <c r="O51" s="309">
        <f>SUMIFS(Adjustments!$G:$G,Adjustments!$H:$H,"2D",Adjustments!$I:$I,'Schedule 2D Adjustments'!$N$12,Adjustments!$J:$J,'Schedule 2D Adjustments'!$A51)</f>
        <v>0</v>
      </c>
      <c r="P51" s="305">
        <f t="shared" si="3"/>
        <v>0</v>
      </c>
      <c r="Q51" s="68">
        <f>IFERROR(N51*'As-Filed Schedule 1'!$E$103,0)</f>
        <v>0</v>
      </c>
      <c r="R51" s="68">
        <f>IFERROR(P51*'Adjusted Schedule 1'!$E$104,0)</f>
        <v>0</v>
      </c>
      <c r="S51" s="68">
        <f t="shared" si="4"/>
        <v>0</v>
      </c>
      <c r="T51" s="306">
        <f t="shared" si="5"/>
        <v>0</v>
      </c>
      <c r="V51" s="119">
        <f>'As-Filed Schedule 2D'!N51</f>
        <v>0</v>
      </c>
      <c r="W51" s="309">
        <f>SUMIFS(Adjustments!$G:$G,Adjustments!$H:$H,"2D",Adjustments!$I:$I,'Schedule 2D Adjustments'!$V$12,Adjustments!$J:$J,'Schedule 2D Adjustments'!$A51)</f>
        <v>0</v>
      </c>
      <c r="X51" s="305">
        <f t="shared" si="6"/>
        <v>0</v>
      </c>
      <c r="Y51" s="119">
        <f>'As-Filed Schedule 2D'!O51</f>
        <v>0</v>
      </c>
      <c r="Z51" s="309">
        <f>SUMIFS(Adjustments!$G:$G,Adjustments!$H:$H,"2D",Adjustments!$I:$I,'Schedule 2D Adjustments'!$Y$12,Adjustments!$J:$J,'Schedule 2D Adjustments'!$A51)</f>
        <v>0</v>
      </c>
      <c r="AA51" s="305">
        <f t="shared" si="7"/>
        <v>0</v>
      </c>
    </row>
    <row r="52" spans="1:27" x14ac:dyDescent="0.35">
      <c r="A52" s="24">
        <v>38</v>
      </c>
      <c r="B52" s="514" t="str">
        <f>IF('As-Filed Schedule 2D'!B52:D52=0,"",'As-Filed Schedule 2D'!B52:D52)</f>
        <v/>
      </c>
      <c r="C52" s="514"/>
      <c r="D52" s="514"/>
      <c r="F52" s="117">
        <f>'As-Filed Schedule 2D'!F52</f>
        <v>0</v>
      </c>
      <c r="G52" s="309">
        <f>SUMIFS(Adjustments!$G:$G,Adjustments!$H:$H,"2D",Adjustments!$I:$I,'Schedule 2D Adjustments'!$F$12,Adjustments!$J:$J,'Schedule 2D Adjustments'!$A52)</f>
        <v>0</v>
      </c>
      <c r="H52" s="305">
        <f t="shared" si="0"/>
        <v>0</v>
      </c>
      <c r="I52" s="68">
        <f>IFERROR(F52*'As-Filed Schedule 1'!$E$103,0)</f>
        <v>0</v>
      </c>
      <c r="J52" s="306">
        <f>IFERROR(H52*'Adjusted Schedule 1'!$E$104,0)</f>
        <v>0</v>
      </c>
      <c r="K52" s="68">
        <f t="shared" si="1"/>
        <v>0</v>
      </c>
      <c r="L52" s="306">
        <f t="shared" si="2"/>
        <v>0</v>
      </c>
      <c r="N52" s="117">
        <f>'As-Filed Schedule 2D'!J52</f>
        <v>0</v>
      </c>
      <c r="O52" s="309">
        <f>SUMIFS(Adjustments!$G:$G,Adjustments!$H:$H,"2D",Adjustments!$I:$I,'Schedule 2D Adjustments'!$N$12,Adjustments!$J:$J,'Schedule 2D Adjustments'!$A52)</f>
        <v>0</v>
      </c>
      <c r="P52" s="305">
        <f t="shared" si="3"/>
        <v>0</v>
      </c>
      <c r="Q52" s="68">
        <f>IFERROR(N52*'As-Filed Schedule 1'!$E$103,0)</f>
        <v>0</v>
      </c>
      <c r="R52" s="68">
        <f>IFERROR(P52*'Adjusted Schedule 1'!$E$104,0)</f>
        <v>0</v>
      </c>
      <c r="S52" s="68">
        <f t="shared" si="4"/>
        <v>0</v>
      </c>
      <c r="T52" s="306">
        <f t="shared" si="5"/>
        <v>0</v>
      </c>
      <c r="V52" s="119">
        <f>'As-Filed Schedule 2D'!N52</f>
        <v>0</v>
      </c>
      <c r="W52" s="309">
        <f>SUMIFS(Adjustments!$G:$G,Adjustments!$H:$H,"2D",Adjustments!$I:$I,'Schedule 2D Adjustments'!$V$12,Adjustments!$J:$J,'Schedule 2D Adjustments'!$A52)</f>
        <v>0</v>
      </c>
      <c r="X52" s="305">
        <f t="shared" si="6"/>
        <v>0</v>
      </c>
      <c r="Y52" s="119">
        <f>'As-Filed Schedule 2D'!O52</f>
        <v>0</v>
      </c>
      <c r="Z52" s="309">
        <f>SUMIFS(Adjustments!$G:$G,Adjustments!$H:$H,"2D",Adjustments!$I:$I,'Schedule 2D Adjustments'!$Y$12,Adjustments!$J:$J,'Schedule 2D Adjustments'!$A52)</f>
        <v>0</v>
      </c>
      <c r="AA52" s="305">
        <f t="shared" si="7"/>
        <v>0</v>
      </c>
    </row>
    <row r="53" spans="1:27" x14ac:dyDescent="0.35">
      <c r="A53" s="24">
        <v>39</v>
      </c>
      <c r="B53" s="514" t="str">
        <f>IF('As-Filed Schedule 2D'!B53:D53=0,"",'As-Filed Schedule 2D'!B53:D53)</f>
        <v/>
      </c>
      <c r="C53" s="514"/>
      <c r="D53" s="514"/>
      <c r="F53" s="117">
        <f>'As-Filed Schedule 2D'!F53</f>
        <v>0</v>
      </c>
      <c r="G53" s="309">
        <f>SUMIFS(Adjustments!$G:$G,Adjustments!$H:$H,"2D",Adjustments!$I:$I,'Schedule 2D Adjustments'!$F$12,Adjustments!$J:$J,'Schedule 2D Adjustments'!$A53)</f>
        <v>0</v>
      </c>
      <c r="H53" s="305">
        <f t="shared" si="0"/>
        <v>0</v>
      </c>
      <c r="I53" s="68">
        <f>IFERROR(F53*'As-Filed Schedule 1'!$E$103,0)</f>
        <v>0</v>
      </c>
      <c r="J53" s="306">
        <f>IFERROR(H53*'Adjusted Schedule 1'!$E$104,0)</f>
        <v>0</v>
      </c>
      <c r="K53" s="68">
        <f t="shared" si="1"/>
        <v>0</v>
      </c>
      <c r="L53" s="306">
        <f t="shared" si="2"/>
        <v>0</v>
      </c>
      <c r="N53" s="117">
        <f>'As-Filed Schedule 2D'!J53</f>
        <v>0</v>
      </c>
      <c r="O53" s="309">
        <f>SUMIFS(Adjustments!$G:$G,Adjustments!$H:$H,"2D",Adjustments!$I:$I,'Schedule 2D Adjustments'!$N$12,Adjustments!$J:$J,'Schedule 2D Adjustments'!$A53)</f>
        <v>0</v>
      </c>
      <c r="P53" s="305">
        <f t="shared" si="3"/>
        <v>0</v>
      </c>
      <c r="Q53" s="68">
        <f>IFERROR(N53*'As-Filed Schedule 1'!$E$103,0)</f>
        <v>0</v>
      </c>
      <c r="R53" s="68">
        <f>IFERROR(P53*'Adjusted Schedule 1'!$E$104,0)</f>
        <v>0</v>
      </c>
      <c r="S53" s="68">
        <f t="shared" si="4"/>
        <v>0</v>
      </c>
      <c r="T53" s="306">
        <f t="shared" si="5"/>
        <v>0</v>
      </c>
      <c r="V53" s="119">
        <f>'As-Filed Schedule 2D'!N53</f>
        <v>0</v>
      </c>
      <c r="W53" s="309">
        <f>SUMIFS(Adjustments!$G:$G,Adjustments!$H:$H,"2D",Adjustments!$I:$I,'Schedule 2D Adjustments'!$V$12,Adjustments!$J:$J,'Schedule 2D Adjustments'!$A53)</f>
        <v>0</v>
      </c>
      <c r="X53" s="305">
        <f t="shared" si="6"/>
        <v>0</v>
      </c>
      <c r="Y53" s="119">
        <f>'As-Filed Schedule 2D'!O53</f>
        <v>0</v>
      </c>
      <c r="Z53" s="309">
        <f>SUMIFS(Adjustments!$G:$G,Adjustments!$H:$H,"2D",Adjustments!$I:$I,'Schedule 2D Adjustments'!$Y$12,Adjustments!$J:$J,'Schedule 2D Adjustments'!$A53)</f>
        <v>0</v>
      </c>
      <c r="AA53" s="305">
        <f t="shared" si="7"/>
        <v>0</v>
      </c>
    </row>
    <row r="54" spans="1:27" x14ac:dyDescent="0.35">
      <c r="A54" s="24">
        <v>40</v>
      </c>
      <c r="B54" s="514" t="str">
        <f>IF('As-Filed Schedule 2D'!B54:D54=0,"",'As-Filed Schedule 2D'!B54:D54)</f>
        <v/>
      </c>
      <c r="C54" s="514"/>
      <c r="D54" s="514"/>
      <c r="F54" s="117">
        <f>'As-Filed Schedule 2D'!F54</f>
        <v>0</v>
      </c>
      <c r="G54" s="309">
        <f>SUMIFS(Adjustments!$G:$G,Adjustments!$H:$H,"2D",Adjustments!$I:$I,'Schedule 2D Adjustments'!$F$12,Adjustments!$J:$J,'Schedule 2D Adjustments'!$A54)</f>
        <v>0</v>
      </c>
      <c r="H54" s="305">
        <f t="shared" si="0"/>
        <v>0</v>
      </c>
      <c r="I54" s="68">
        <f>IFERROR(F54*'As-Filed Schedule 1'!$E$103,0)</f>
        <v>0</v>
      </c>
      <c r="J54" s="306">
        <f>IFERROR(H54*'Adjusted Schedule 1'!$E$104,0)</f>
        <v>0</v>
      </c>
      <c r="K54" s="68">
        <f t="shared" si="1"/>
        <v>0</v>
      </c>
      <c r="L54" s="306">
        <f t="shared" si="2"/>
        <v>0</v>
      </c>
      <c r="N54" s="117">
        <f>'As-Filed Schedule 2D'!J54</f>
        <v>0</v>
      </c>
      <c r="O54" s="309">
        <f>SUMIFS(Adjustments!$G:$G,Adjustments!$H:$H,"2D",Adjustments!$I:$I,'Schedule 2D Adjustments'!$N$12,Adjustments!$J:$J,'Schedule 2D Adjustments'!$A54)</f>
        <v>0</v>
      </c>
      <c r="P54" s="305">
        <f t="shared" si="3"/>
        <v>0</v>
      </c>
      <c r="Q54" s="68">
        <f>IFERROR(N54*'As-Filed Schedule 1'!$E$103,0)</f>
        <v>0</v>
      </c>
      <c r="R54" s="68">
        <f>IFERROR(P54*'Adjusted Schedule 1'!$E$104,0)</f>
        <v>0</v>
      </c>
      <c r="S54" s="68">
        <f t="shared" si="4"/>
        <v>0</v>
      </c>
      <c r="T54" s="306">
        <f t="shared" si="5"/>
        <v>0</v>
      </c>
      <c r="V54" s="119">
        <f>'As-Filed Schedule 2D'!N54</f>
        <v>0</v>
      </c>
      <c r="W54" s="309">
        <f>SUMIFS(Adjustments!$G:$G,Adjustments!$H:$H,"2D",Adjustments!$I:$I,'Schedule 2D Adjustments'!$V$12,Adjustments!$J:$J,'Schedule 2D Adjustments'!$A54)</f>
        <v>0</v>
      </c>
      <c r="X54" s="305">
        <f t="shared" si="6"/>
        <v>0</v>
      </c>
      <c r="Y54" s="119">
        <f>'As-Filed Schedule 2D'!O54</f>
        <v>0</v>
      </c>
      <c r="Z54" s="309">
        <f>SUMIFS(Adjustments!$G:$G,Adjustments!$H:$H,"2D",Adjustments!$I:$I,'Schedule 2D Adjustments'!$Y$12,Adjustments!$J:$J,'Schedule 2D Adjustments'!$A54)</f>
        <v>0</v>
      </c>
      <c r="AA54" s="305">
        <f t="shared" si="7"/>
        <v>0</v>
      </c>
    </row>
    <row r="55" spans="1:27" x14ac:dyDescent="0.35">
      <c r="A55" s="24">
        <v>41</v>
      </c>
      <c r="B55" s="514" t="str">
        <f>IF('As-Filed Schedule 2D'!B55:D55=0,"",'As-Filed Schedule 2D'!B55:D55)</f>
        <v/>
      </c>
      <c r="C55" s="514"/>
      <c r="D55" s="514"/>
      <c r="F55" s="117">
        <f>'As-Filed Schedule 2D'!F55</f>
        <v>0</v>
      </c>
      <c r="G55" s="309">
        <f>SUMIFS(Adjustments!$G:$G,Adjustments!$H:$H,"2D",Adjustments!$I:$I,'Schedule 2D Adjustments'!$F$12,Adjustments!$J:$J,'Schedule 2D Adjustments'!$A55)</f>
        <v>0</v>
      </c>
      <c r="H55" s="305">
        <f t="shared" si="0"/>
        <v>0</v>
      </c>
      <c r="I55" s="68">
        <f>IFERROR(F55*'As-Filed Schedule 1'!$E$103,0)</f>
        <v>0</v>
      </c>
      <c r="J55" s="306">
        <f>IFERROR(H55*'Adjusted Schedule 1'!$E$104,0)</f>
        <v>0</v>
      </c>
      <c r="K55" s="68">
        <f t="shared" si="1"/>
        <v>0</v>
      </c>
      <c r="L55" s="306">
        <f t="shared" si="2"/>
        <v>0</v>
      </c>
      <c r="N55" s="117">
        <f>'As-Filed Schedule 2D'!J55</f>
        <v>0</v>
      </c>
      <c r="O55" s="309">
        <f>SUMIFS(Adjustments!$G:$G,Adjustments!$H:$H,"2D",Adjustments!$I:$I,'Schedule 2D Adjustments'!$N$12,Adjustments!$J:$J,'Schedule 2D Adjustments'!$A55)</f>
        <v>0</v>
      </c>
      <c r="P55" s="305">
        <f t="shared" si="3"/>
        <v>0</v>
      </c>
      <c r="Q55" s="68">
        <f>IFERROR(N55*'As-Filed Schedule 1'!$E$103,0)</f>
        <v>0</v>
      </c>
      <c r="R55" s="68">
        <f>IFERROR(P55*'Adjusted Schedule 1'!$E$104,0)</f>
        <v>0</v>
      </c>
      <c r="S55" s="68">
        <f t="shared" si="4"/>
        <v>0</v>
      </c>
      <c r="T55" s="306">
        <f t="shared" si="5"/>
        <v>0</v>
      </c>
      <c r="V55" s="119">
        <f>'As-Filed Schedule 2D'!N55</f>
        <v>0</v>
      </c>
      <c r="W55" s="309">
        <f>SUMIFS(Adjustments!$G:$G,Adjustments!$H:$H,"2D",Adjustments!$I:$I,'Schedule 2D Adjustments'!$V$12,Adjustments!$J:$J,'Schedule 2D Adjustments'!$A55)</f>
        <v>0</v>
      </c>
      <c r="X55" s="305">
        <f t="shared" si="6"/>
        <v>0</v>
      </c>
      <c r="Y55" s="119">
        <f>'As-Filed Schedule 2D'!O55</f>
        <v>0</v>
      </c>
      <c r="Z55" s="309">
        <f>SUMIFS(Adjustments!$G:$G,Adjustments!$H:$H,"2D",Adjustments!$I:$I,'Schedule 2D Adjustments'!$Y$12,Adjustments!$J:$J,'Schedule 2D Adjustments'!$A55)</f>
        <v>0</v>
      </c>
      <c r="AA55" s="305">
        <f t="shared" si="7"/>
        <v>0</v>
      </c>
    </row>
    <row r="56" spans="1:27" x14ac:dyDescent="0.35">
      <c r="A56" s="24">
        <v>42</v>
      </c>
      <c r="B56" s="514" t="str">
        <f>IF('As-Filed Schedule 2D'!B56:D56=0,"",'As-Filed Schedule 2D'!B56:D56)</f>
        <v/>
      </c>
      <c r="C56" s="514"/>
      <c r="D56" s="514"/>
      <c r="F56" s="117">
        <f>'As-Filed Schedule 2D'!F56</f>
        <v>0</v>
      </c>
      <c r="G56" s="309">
        <f>SUMIFS(Adjustments!$G:$G,Adjustments!$H:$H,"2D",Adjustments!$I:$I,'Schedule 2D Adjustments'!$F$12,Adjustments!$J:$J,'Schedule 2D Adjustments'!$A56)</f>
        <v>0</v>
      </c>
      <c r="H56" s="305">
        <f t="shared" si="0"/>
        <v>0</v>
      </c>
      <c r="I56" s="68">
        <f>IFERROR(F56*'As-Filed Schedule 1'!$E$103,0)</f>
        <v>0</v>
      </c>
      <c r="J56" s="306">
        <f>IFERROR(H56*'Adjusted Schedule 1'!$E$104,0)</f>
        <v>0</v>
      </c>
      <c r="K56" s="68">
        <f t="shared" si="1"/>
        <v>0</v>
      </c>
      <c r="L56" s="306">
        <f t="shared" si="2"/>
        <v>0</v>
      </c>
      <c r="N56" s="117">
        <f>'As-Filed Schedule 2D'!J56</f>
        <v>0</v>
      </c>
      <c r="O56" s="309">
        <f>SUMIFS(Adjustments!$G:$G,Adjustments!$H:$H,"2D",Adjustments!$I:$I,'Schedule 2D Adjustments'!$N$12,Adjustments!$J:$J,'Schedule 2D Adjustments'!$A56)</f>
        <v>0</v>
      </c>
      <c r="P56" s="305">
        <f t="shared" si="3"/>
        <v>0</v>
      </c>
      <c r="Q56" s="68">
        <f>IFERROR(N56*'As-Filed Schedule 1'!$E$103,0)</f>
        <v>0</v>
      </c>
      <c r="R56" s="68">
        <f>IFERROR(P56*'Adjusted Schedule 1'!$E$104,0)</f>
        <v>0</v>
      </c>
      <c r="S56" s="68">
        <f t="shared" si="4"/>
        <v>0</v>
      </c>
      <c r="T56" s="306">
        <f t="shared" si="5"/>
        <v>0</v>
      </c>
      <c r="V56" s="119">
        <f>'As-Filed Schedule 2D'!N56</f>
        <v>0</v>
      </c>
      <c r="W56" s="309">
        <f>SUMIFS(Adjustments!$G:$G,Adjustments!$H:$H,"2D",Adjustments!$I:$I,'Schedule 2D Adjustments'!$V$12,Adjustments!$J:$J,'Schedule 2D Adjustments'!$A56)</f>
        <v>0</v>
      </c>
      <c r="X56" s="305">
        <f t="shared" si="6"/>
        <v>0</v>
      </c>
      <c r="Y56" s="119">
        <f>'As-Filed Schedule 2D'!O56</f>
        <v>0</v>
      </c>
      <c r="Z56" s="309">
        <f>SUMIFS(Adjustments!$G:$G,Adjustments!$H:$H,"2D",Adjustments!$I:$I,'Schedule 2D Adjustments'!$Y$12,Adjustments!$J:$J,'Schedule 2D Adjustments'!$A56)</f>
        <v>0</v>
      </c>
      <c r="AA56" s="305">
        <f t="shared" si="7"/>
        <v>0</v>
      </c>
    </row>
    <row r="57" spans="1:27" x14ac:dyDescent="0.35">
      <c r="A57" s="24">
        <v>43</v>
      </c>
      <c r="B57" s="514" t="str">
        <f>IF('As-Filed Schedule 2D'!B57:D57=0,"",'As-Filed Schedule 2D'!B57:D57)</f>
        <v/>
      </c>
      <c r="C57" s="514"/>
      <c r="D57" s="514"/>
      <c r="F57" s="117">
        <f>'As-Filed Schedule 2D'!F57</f>
        <v>0</v>
      </c>
      <c r="G57" s="309">
        <f>SUMIFS(Adjustments!$G:$G,Adjustments!$H:$H,"2D",Adjustments!$I:$I,'Schedule 2D Adjustments'!$F$12,Adjustments!$J:$J,'Schedule 2D Adjustments'!$A57)</f>
        <v>0</v>
      </c>
      <c r="H57" s="305">
        <f t="shared" si="0"/>
        <v>0</v>
      </c>
      <c r="I57" s="68">
        <f>IFERROR(F57*'As-Filed Schedule 1'!$E$103,0)</f>
        <v>0</v>
      </c>
      <c r="J57" s="306">
        <f>IFERROR(H57*'Adjusted Schedule 1'!$E$104,0)</f>
        <v>0</v>
      </c>
      <c r="K57" s="68">
        <f t="shared" si="1"/>
        <v>0</v>
      </c>
      <c r="L57" s="306">
        <f t="shared" si="2"/>
        <v>0</v>
      </c>
      <c r="N57" s="117">
        <f>'As-Filed Schedule 2D'!J57</f>
        <v>0</v>
      </c>
      <c r="O57" s="309">
        <f>SUMIFS(Adjustments!$G:$G,Adjustments!$H:$H,"2D",Adjustments!$I:$I,'Schedule 2D Adjustments'!$N$12,Adjustments!$J:$J,'Schedule 2D Adjustments'!$A57)</f>
        <v>0</v>
      </c>
      <c r="P57" s="305">
        <f t="shared" si="3"/>
        <v>0</v>
      </c>
      <c r="Q57" s="68">
        <f>IFERROR(N57*'As-Filed Schedule 1'!$E$103,0)</f>
        <v>0</v>
      </c>
      <c r="R57" s="68">
        <f>IFERROR(P57*'Adjusted Schedule 1'!$E$104,0)</f>
        <v>0</v>
      </c>
      <c r="S57" s="68">
        <f t="shared" si="4"/>
        <v>0</v>
      </c>
      <c r="T57" s="306">
        <f t="shared" si="5"/>
        <v>0</v>
      </c>
      <c r="V57" s="119">
        <f>'As-Filed Schedule 2D'!N57</f>
        <v>0</v>
      </c>
      <c r="W57" s="309">
        <f>SUMIFS(Adjustments!$G:$G,Adjustments!$H:$H,"2D",Adjustments!$I:$I,'Schedule 2D Adjustments'!$V$12,Adjustments!$J:$J,'Schedule 2D Adjustments'!$A57)</f>
        <v>0</v>
      </c>
      <c r="X57" s="305">
        <f t="shared" si="6"/>
        <v>0</v>
      </c>
      <c r="Y57" s="119">
        <f>'As-Filed Schedule 2D'!O57</f>
        <v>0</v>
      </c>
      <c r="Z57" s="309">
        <f>SUMIFS(Adjustments!$G:$G,Adjustments!$H:$H,"2D",Adjustments!$I:$I,'Schedule 2D Adjustments'!$Y$12,Adjustments!$J:$J,'Schedule 2D Adjustments'!$A57)</f>
        <v>0</v>
      </c>
      <c r="AA57" s="305">
        <f t="shared" si="7"/>
        <v>0</v>
      </c>
    </row>
    <row r="58" spans="1:27" x14ac:dyDescent="0.35">
      <c r="A58" s="24">
        <v>44</v>
      </c>
      <c r="B58" s="514" t="str">
        <f>IF('As-Filed Schedule 2D'!B58:D58=0,"",'As-Filed Schedule 2D'!B58:D58)</f>
        <v/>
      </c>
      <c r="C58" s="514"/>
      <c r="D58" s="514"/>
      <c r="F58" s="117">
        <f>'As-Filed Schedule 2D'!F58</f>
        <v>0</v>
      </c>
      <c r="G58" s="309">
        <f>SUMIFS(Adjustments!$G:$G,Adjustments!$H:$H,"2D",Adjustments!$I:$I,'Schedule 2D Adjustments'!$F$12,Adjustments!$J:$J,'Schedule 2D Adjustments'!$A58)</f>
        <v>0</v>
      </c>
      <c r="H58" s="305">
        <f t="shared" si="0"/>
        <v>0</v>
      </c>
      <c r="I58" s="68">
        <f>IFERROR(F58*'As-Filed Schedule 1'!$E$103,0)</f>
        <v>0</v>
      </c>
      <c r="J58" s="306">
        <f>IFERROR(H58*'Adjusted Schedule 1'!$E$104,0)</f>
        <v>0</v>
      </c>
      <c r="K58" s="68">
        <f t="shared" si="1"/>
        <v>0</v>
      </c>
      <c r="L58" s="306">
        <f t="shared" si="2"/>
        <v>0</v>
      </c>
      <c r="N58" s="117">
        <f>'As-Filed Schedule 2D'!J58</f>
        <v>0</v>
      </c>
      <c r="O58" s="309">
        <f>SUMIFS(Adjustments!$G:$G,Adjustments!$H:$H,"2D",Adjustments!$I:$I,'Schedule 2D Adjustments'!$N$12,Adjustments!$J:$J,'Schedule 2D Adjustments'!$A58)</f>
        <v>0</v>
      </c>
      <c r="P58" s="305">
        <f t="shared" si="3"/>
        <v>0</v>
      </c>
      <c r="Q58" s="68">
        <f>IFERROR(N58*'As-Filed Schedule 1'!$E$103,0)</f>
        <v>0</v>
      </c>
      <c r="R58" s="68">
        <f>IFERROR(P58*'Adjusted Schedule 1'!$E$104,0)</f>
        <v>0</v>
      </c>
      <c r="S58" s="68">
        <f t="shared" si="4"/>
        <v>0</v>
      </c>
      <c r="T58" s="306">
        <f t="shared" si="5"/>
        <v>0</v>
      </c>
      <c r="V58" s="119">
        <f>'As-Filed Schedule 2D'!N58</f>
        <v>0</v>
      </c>
      <c r="W58" s="309">
        <f>SUMIFS(Adjustments!$G:$G,Adjustments!$H:$H,"2D",Adjustments!$I:$I,'Schedule 2D Adjustments'!$V$12,Adjustments!$J:$J,'Schedule 2D Adjustments'!$A58)</f>
        <v>0</v>
      </c>
      <c r="X58" s="305">
        <f t="shared" si="6"/>
        <v>0</v>
      </c>
      <c r="Y58" s="119">
        <f>'As-Filed Schedule 2D'!O58</f>
        <v>0</v>
      </c>
      <c r="Z58" s="309">
        <f>SUMIFS(Adjustments!$G:$G,Adjustments!$H:$H,"2D",Adjustments!$I:$I,'Schedule 2D Adjustments'!$Y$12,Adjustments!$J:$J,'Schedule 2D Adjustments'!$A58)</f>
        <v>0</v>
      </c>
      <c r="AA58" s="305">
        <f t="shared" si="7"/>
        <v>0</v>
      </c>
    </row>
    <row r="59" spans="1:27" x14ac:dyDescent="0.35">
      <c r="A59" s="24">
        <v>45</v>
      </c>
      <c r="B59" s="514" t="str">
        <f>IF('As-Filed Schedule 2D'!B59:D59=0,"",'As-Filed Schedule 2D'!B59:D59)</f>
        <v/>
      </c>
      <c r="C59" s="514"/>
      <c r="D59" s="514"/>
      <c r="F59" s="117">
        <f>'As-Filed Schedule 2D'!F59</f>
        <v>0</v>
      </c>
      <c r="G59" s="309">
        <f>SUMIFS(Adjustments!$G:$G,Adjustments!$H:$H,"2D",Adjustments!$I:$I,'Schedule 2D Adjustments'!$F$12,Adjustments!$J:$J,'Schedule 2D Adjustments'!$A59)</f>
        <v>0</v>
      </c>
      <c r="H59" s="305">
        <f t="shared" si="0"/>
        <v>0</v>
      </c>
      <c r="I59" s="68">
        <f>IFERROR(F59*'As-Filed Schedule 1'!$E$103,0)</f>
        <v>0</v>
      </c>
      <c r="J59" s="306">
        <f>IFERROR(H59*'Adjusted Schedule 1'!$E$104,0)</f>
        <v>0</v>
      </c>
      <c r="K59" s="68">
        <f t="shared" si="1"/>
        <v>0</v>
      </c>
      <c r="L59" s="306">
        <f t="shared" si="2"/>
        <v>0</v>
      </c>
      <c r="N59" s="117">
        <f>'As-Filed Schedule 2D'!J59</f>
        <v>0</v>
      </c>
      <c r="O59" s="309">
        <f>SUMIFS(Adjustments!$G:$G,Adjustments!$H:$H,"2D",Adjustments!$I:$I,'Schedule 2D Adjustments'!$N$12,Adjustments!$J:$J,'Schedule 2D Adjustments'!$A59)</f>
        <v>0</v>
      </c>
      <c r="P59" s="305">
        <f t="shared" si="3"/>
        <v>0</v>
      </c>
      <c r="Q59" s="68">
        <f>IFERROR(N59*'As-Filed Schedule 1'!$E$103,0)</f>
        <v>0</v>
      </c>
      <c r="R59" s="68">
        <f>IFERROR(P59*'Adjusted Schedule 1'!$E$104,0)</f>
        <v>0</v>
      </c>
      <c r="S59" s="68">
        <f t="shared" si="4"/>
        <v>0</v>
      </c>
      <c r="T59" s="306">
        <f t="shared" si="5"/>
        <v>0</v>
      </c>
      <c r="V59" s="119">
        <f>'As-Filed Schedule 2D'!N59</f>
        <v>0</v>
      </c>
      <c r="W59" s="309">
        <f>SUMIFS(Adjustments!$G:$G,Adjustments!$H:$H,"2D",Adjustments!$I:$I,'Schedule 2D Adjustments'!$V$12,Adjustments!$J:$J,'Schedule 2D Adjustments'!$A59)</f>
        <v>0</v>
      </c>
      <c r="X59" s="305">
        <f t="shared" si="6"/>
        <v>0</v>
      </c>
      <c r="Y59" s="119">
        <f>'As-Filed Schedule 2D'!O59</f>
        <v>0</v>
      </c>
      <c r="Z59" s="309">
        <f>SUMIFS(Adjustments!$G:$G,Adjustments!$H:$H,"2D",Adjustments!$I:$I,'Schedule 2D Adjustments'!$Y$12,Adjustments!$J:$J,'Schedule 2D Adjustments'!$A59)</f>
        <v>0</v>
      </c>
      <c r="AA59" s="305">
        <f t="shared" si="7"/>
        <v>0</v>
      </c>
    </row>
    <row r="60" spans="1:27" x14ac:dyDescent="0.35">
      <c r="A60" s="24">
        <v>46</v>
      </c>
      <c r="B60" s="514" t="str">
        <f>IF('As-Filed Schedule 2D'!B60:D60=0,"",'As-Filed Schedule 2D'!B60:D60)</f>
        <v/>
      </c>
      <c r="C60" s="514"/>
      <c r="D60" s="514"/>
      <c r="F60" s="117">
        <f>'As-Filed Schedule 2D'!F60</f>
        <v>0</v>
      </c>
      <c r="G60" s="309">
        <f>SUMIFS(Adjustments!$G:$G,Adjustments!$H:$H,"2D",Adjustments!$I:$I,'Schedule 2D Adjustments'!$F$12,Adjustments!$J:$J,'Schedule 2D Adjustments'!$A60)</f>
        <v>0</v>
      </c>
      <c r="H60" s="305">
        <f t="shared" si="0"/>
        <v>0</v>
      </c>
      <c r="I60" s="68">
        <f>IFERROR(F60*'As-Filed Schedule 1'!$E$103,0)</f>
        <v>0</v>
      </c>
      <c r="J60" s="306">
        <f>IFERROR(H60*'Adjusted Schedule 1'!$E$104,0)</f>
        <v>0</v>
      </c>
      <c r="K60" s="68">
        <f t="shared" si="1"/>
        <v>0</v>
      </c>
      <c r="L60" s="306">
        <f t="shared" si="2"/>
        <v>0</v>
      </c>
      <c r="N60" s="117">
        <f>'As-Filed Schedule 2D'!J60</f>
        <v>0</v>
      </c>
      <c r="O60" s="309">
        <f>SUMIFS(Adjustments!$G:$G,Adjustments!$H:$H,"2D",Adjustments!$I:$I,'Schedule 2D Adjustments'!$N$12,Adjustments!$J:$J,'Schedule 2D Adjustments'!$A60)</f>
        <v>0</v>
      </c>
      <c r="P60" s="305">
        <f t="shared" si="3"/>
        <v>0</v>
      </c>
      <c r="Q60" s="68">
        <f>IFERROR(N60*'As-Filed Schedule 1'!$E$103,0)</f>
        <v>0</v>
      </c>
      <c r="R60" s="68">
        <f>IFERROR(P60*'Adjusted Schedule 1'!$E$104,0)</f>
        <v>0</v>
      </c>
      <c r="S60" s="68">
        <f t="shared" si="4"/>
        <v>0</v>
      </c>
      <c r="T60" s="306">
        <f t="shared" si="5"/>
        <v>0</v>
      </c>
      <c r="V60" s="119">
        <f>'As-Filed Schedule 2D'!N60</f>
        <v>0</v>
      </c>
      <c r="W60" s="309">
        <f>SUMIFS(Adjustments!$G:$G,Adjustments!$H:$H,"2D",Adjustments!$I:$I,'Schedule 2D Adjustments'!$V$12,Adjustments!$J:$J,'Schedule 2D Adjustments'!$A60)</f>
        <v>0</v>
      </c>
      <c r="X60" s="305">
        <f t="shared" si="6"/>
        <v>0</v>
      </c>
      <c r="Y60" s="119">
        <f>'As-Filed Schedule 2D'!O60</f>
        <v>0</v>
      </c>
      <c r="Z60" s="309">
        <f>SUMIFS(Adjustments!$G:$G,Adjustments!$H:$H,"2D",Adjustments!$I:$I,'Schedule 2D Adjustments'!$Y$12,Adjustments!$J:$J,'Schedule 2D Adjustments'!$A60)</f>
        <v>0</v>
      </c>
      <c r="AA60" s="305">
        <f t="shared" si="7"/>
        <v>0</v>
      </c>
    </row>
    <row r="61" spans="1:27" x14ac:dyDescent="0.35">
      <c r="A61" s="24">
        <v>47</v>
      </c>
      <c r="B61" s="514" t="str">
        <f>IF('As-Filed Schedule 2D'!B61:D61=0,"",'As-Filed Schedule 2D'!B61:D61)</f>
        <v/>
      </c>
      <c r="C61" s="514"/>
      <c r="D61" s="514"/>
      <c r="F61" s="117">
        <f>'As-Filed Schedule 2D'!F61</f>
        <v>0</v>
      </c>
      <c r="G61" s="309">
        <f>SUMIFS(Adjustments!$G:$G,Adjustments!$H:$H,"2D",Adjustments!$I:$I,'Schedule 2D Adjustments'!$F$12,Adjustments!$J:$J,'Schedule 2D Adjustments'!$A61)</f>
        <v>0</v>
      </c>
      <c r="H61" s="305">
        <f t="shared" si="0"/>
        <v>0</v>
      </c>
      <c r="I61" s="68">
        <f>IFERROR(F61*'As-Filed Schedule 1'!$E$103,0)</f>
        <v>0</v>
      </c>
      <c r="J61" s="306">
        <f>IFERROR(H61*'Adjusted Schedule 1'!$E$104,0)</f>
        <v>0</v>
      </c>
      <c r="K61" s="68">
        <f t="shared" si="1"/>
        <v>0</v>
      </c>
      <c r="L61" s="306">
        <f t="shared" si="2"/>
        <v>0</v>
      </c>
      <c r="N61" s="117">
        <f>'As-Filed Schedule 2D'!J61</f>
        <v>0</v>
      </c>
      <c r="O61" s="309">
        <f>SUMIFS(Adjustments!$G:$G,Adjustments!$H:$H,"2D",Adjustments!$I:$I,'Schedule 2D Adjustments'!$N$12,Adjustments!$J:$J,'Schedule 2D Adjustments'!$A61)</f>
        <v>0</v>
      </c>
      <c r="P61" s="305">
        <f t="shared" si="3"/>
        <v>0</v>
      </c>
      <c r="Q61" s="68">
        <f>IFERROR(N61*'As-Filed Schedule 1'!$E$103,0)</f>
        <v>0</v>
      </c>
      <c r="R61" s="68">
        <f>IFERROR(P61*'Adjusted Schedule 1'!$E$104,0)</f>
        <v>0</v>
      </c>
      <c r="S61" s="68">
        <f t="shared" si="4"/>
        <v>0</v>
      </c>
      <c r="T61" s="306">
        <f t="shared" si="5"/>
        <v>0</v>
      </c>
      <c r="V61" s="119">
        <f>'As-Filed Schedule 2D'!N61</f>
        <v>0</v>
      </c>
      <c r="W61" s="309">
        <f>SUMIFS(Adjustments!$G:$G,Adjustments!$H:$H,"2D",Adjustments!$I:$I,'Schedule 2D Adjustments'!$V$12,Adjustments!$J:$J,'Schedule 2D Adjustments'!$A61)</f>
        <v>0</v>
      </c>
      <c r="X61" s="305">
        <f t="shared" si="6"/>
        <v>0</v>
      </c>
      <c r="Y61" s="119">
        <f>'As-Filed Schedule 2D'!O61</f>
        <v>0</v>
      </c>
      <c r="Z61" s="309">
        <f>SUMIFS(Adjustments!$G:$G,Adjustments!$H:$H,"2D",Adjustments!$I:$I,'Schedule 2D Adjustments'!$Y$12,Adjustments!$J:$J,'Schedule 2D Adjustments'!$A61)</f>
        <v>0</v>
      </c>
      <c r="AA61" s="305">
        <f t="shared" si="7"/>
        <v>0</v>
      </c>
    </row>
    <row r="62" spans="1:27" x14ac:dyDescent="0.35">
      <c r="A62" s="24">
        <v>48</v>
      </c>
      <c r="B62" s="514" t="str">
        <f>IF('As-Filed Schedule 2D'!B62:D62=0,"",'As-Filed Schedule 2D'!B62:D62)</f>
        <v/>
      </c>
      <c r="C62" s="514"/>
      <c r="D62" s="514"/>
      <c r="F62" s="117">
        <f>'As-Filed Schedule 2D'!F62</f>
        <v>0</v>
      </c>
      <c r="G62" s="309">
        <f>SUMIFS(Adjustments!$G:$G,Adjustments!$H:$H,"2D",Adjustments!$I:$I,'Schedule 2D Adjustments'!$F$12,Adjustments!$J:$J,'Schedule 2D Adjustments'!$A62)</f>
        <v>0</v>
      </c>
      <c r="H62" s="305">
        <f t="shared" si="0"/>
        <v>0</v>
      </c>
      <c r="I62" s="68">
        <f>IFERROR(F62*'As-Filed Schedule 1'!$E$103,0)</f>
        <v>0</v>
      </c>
      <c r="J62" s="306">
        <f>IFERROR(H62*'Adjusted Schedule 1'!$E$104,0)</f>
        <v>0</v>
      </c>
      <c r="K62" s="68">
        <f t="shared" si="1"/>
        <v>0</v>
      </c>
      <c r="L62" s="306">
        <f t="shared" si="2"/>
        <v>0</v>
      </c>
      <c r="N62" s="117">
        <f>'As-Filed Schedule 2D'!J62</f>
        <v>0</v>
      </c>
      <c r="O62" s="309">
        <f>SUMIFS(Adjustments!$G:$G,Adjustments!$H:$H,"2D",Adjustments!$I:$I,'Schedule 2D Adjustments'!$N$12,Adjustments!$J:$J,'Schedule 2D Adjustments'!$A62)</f>
        <v>0</v>
      </c>
      <c r="P62" s="305">
        <f t="shared" si="3"/>
        <v>0</v>
      </c>
      <c r="Q62" s="68">
        <f>IFERROR(N62*'As-Filed Schedule 1'!$E$103,0)</f>
        <v>0</v>
      </c>
      <c r="R62" s="68">
        <f>IFERROR(P62*'Adjusted Schedule 1'!$E$104,0)</f>
        <v>0</v>
      </c>
      <c r="S62" s="68">
        <f t="shared" si="4"/>
        <v>0</v>
      </c>
      <c r="T62" s="306">
        <f t="shared" si="5"/>
        <v>0</v>
      </c>
      <c r="V62" s="119">
        <f>'As-Filed Schedule 2D'!N62</f>
        <v>0</v>
      </c>
      <c r="W62" s="309">
        <f>SUMIFS(Adjustments!$G:$G,Adjustments!$H:$H,"2D",Adjustments!$I:$I,'Schedule 2D Adjustments'!$V$12,Adjustments!$J:$J,'Schedule 2D Adjustments'!$A62)</f>
        <v>0</v>
      </c>
      <c r="X62" s="305">
        <f t="shared" si="6"/>
        <v>0</v>
      </c>
      <c r="Y62" s="119">
        <f>'As-Filed Schedule 2D'!O62</f>
        <v>0</v>
      </c>
      <c r="Z62" s="309">
        <f>SUMIFS(Adjustments!$G:$G,Adjustments!$H:$H,"2D",Adjustments!$I:$I,'Schedule 2D Adjustments'!$Y$12,Adjustments!$J:$J,'Schedule 2D Adjustments'!$A62)</f>
        <v>0</v>
      </c>
      <c r="AA62" s="305">
        <f t="shared" si="7"/>
        <v>0</v>
      </c>
    </row>
    <row r="63" spans="1:27" x14ac:dyDescent="0.35">
      <c r="A63" s="24">
        <v>49</v>
      </c>
      <c r="B63" s="514" t="str">
        <f>IF('As-Filed Schedule 2D'!B63:D63=0,"",'As-Filed Schedule 2D'!B63:D63)</f>
        <v/>
      </c>
      <c r="C63" s="514"/>
      <c r="D63" s="514"/>
      <c r="F63" s="117">
        <f>'As-Filed Schedule 2D'!F63</f>
        <v>0</v>
      </c>
      <c r="G63" s="309">
        <f>SUMIFS(Adjustments!$G:$G,Adjustments!$H:$H,"2D",Adjustments!$I:$I,'Schedule 2D Adjustments'!$F$12,Adjustments!$J:$J,'Schedule 2D Adjustments'!$A63)</f>
        <v>0</v>
      </c>
      <c r="H63" s="305">
        <f t="shared" si="0"/>
        <v>0</v>
      </c>
      <c r="I63" s="68">
        <f>IFERROR(F63*'As-Filed Schedule 1'!$E$103,0)</f>
        <v>0</v>
      </c>
      <c r="J63" s="306">
        <f>IFERROR(H63*'Adjusted Schedule 1'!$E$104,0)</f>
        <v>0</v>
      </c>
      <c r="K63" s="68">
        <f t="shared" si="1"/>
        <v>0</v>
      </c>
      <c r="L63" s="306">
        <f t="shared" si="2"/>
        <v>0</v>
      </c>
      <c r="N63" s="117">
        <f>'As-Filed Schedule 2D'!J63</f>
        <v>0</v>
      </c>
      <c r="O63" s="309">
        <f>SUMIFS(Adjustments!$G:$G,Adjustments!$H:$H,"2D",Adjustments!$I:$I,'Schedule 2D Adjustments'!$N$12,Adjustments!$J:$J,'Schedule 2D Adjustments'!$A63)</f>
        <v>0</v>
      </c>
      <c r="P63" s="305">
        <f t="shared" si="3"/>
        <v>0</v>
      </c>
      <c r="Q63" s="68">
        <f>IFERROR(N63*'As-Filed Schedule 1'!$E$103,0)</f>
        <v>0</v>
      </c>
      <c r="R63" s="68">
        <f>IFERROR(P63*'Adjusted Schedule 1'!$E$104,0)</f>
        <v>0</v>
      </c>
      <c r="S63" s="68">
        <f t="shared" si="4"/>
        <v>0</v>
      </c>
      <c r="T63" s="306">
        <f t="shared" si="5"/>
        <v>0</v>
      </c>
      <c r="V63" s="119">
        <f>'As-Filed Schedule 2D'!N63</f>
        <v>0</v>
      </c>
      <c r="W63" s="309">
        <f>SUMIFS(Adjustments!$G:$G,Adjustments!$H:$H,"2D",Adjustments!$I:$I,'Schedule 2D Adjustments'!$V$12,Adjustments!$J:$J,'Schedule 2D Adjustments'!$A63)</f>
        <v>0</v>
      </c>
      <c r="X63" s="305">
        <f t="shared" si="6"/>
        <v>0</v>
      </c>
      <c r="Y63" s="119">
        <f>'As-Filed Schedule 2D'!O63</f>
        <v>0</v>
      </c>
      <c r="Z63" s="309">
        <f>SUMIFS(Adjustments!$G:$G,Adjustments!$H:$H,"2D",Adjustments!$I:$I,'Schedule 2D Adjustments'!$Y$12,Adjustments!$J:$J,'Schedule 2D Adjustments'!$A63)</f>
        <v>0</v>
      </c>
      <c r="AA63" s="305">
        <f t="shared" si="7"/>
        <v>0</v>
      </c>
    </row>
    <row r="64" spans="1:27" x14ac:dyDescent="0.35">
      <c r="A64" s="24">
        <v>50</v>
      </c>
      <c r="B64" s="514" t="str">
        <f>IF('As-Filed Schedule 2D'!B64:D64=0,"",'As-Filed Schedule 2D'!B64:D64)</f>
        <v/>
      </c>
      <c r="C64" s="514"/>
      <c r="D64" s="514"/>
      <c r="F64" s="117">
        <f>'As-Filed Schedule 2D'!F64</f>
        <v>0</v>
      </c>
      <c r="G64" s="309">
        <f>SUMIFS(Adjustments!$G:$G,Adjustments!$H:$H,"2D",Adjustments!$I:$I,'Schedule 2D Adjustments'!$F$12,Adjustments!$J:$J,'Schedule 2D Adjustments'!$A64)</f>
        <v>0</v>
      </c>
      <c r="H64" s="305">
        <f t="shared" si="0"/>
        <v>0</v>
      </c>
      <c r="I64" s="68">
        <f>IFERROR(F64*'As-Filed Schedule 1'!$E$103,0)</f>
        <v>0</v>
      </c>
      <c r="J64" s="306">
        <f>IFERROR(H64*'Adjusted Schedule 1'!$E$104,0)</f>
        <v>0</v>
      </c>
      <c r="K64" s="68">
        <f t="shared" si="1"/>
        <v>0</v>
      </c>
      <c r="L64" s="306">
        <f t="shared" si="2"/>
        <v>0</v>
      </c>
      <c r="N64" s="117">
        <f>'As-Filed Schedule 2D'!J64</f>
        <v>0</v>
      </c>
      <c r="O64" s="309">
        <f>SUMIFS(Adjustments!$G:$G,Adjustments!$H:$H,"2D",Adjustments!$I:$I,'Schedule 2D Adjustments'!$N$12,Adjustments!$J:$J,'Schedule 2D Adjustments'!$A64)</f>
        <v>0</v>
      </c>
      <c r="P64" s="305">
        <f t="shared" si="3"/>
        <v>0</v>
      </c>
      <c r="Q64" s="68">
        <f>IFERROR(N64*'As-Filed Schedule 1'!$E$103,0)</f>
        <v>0</v>
      </c>
      <c r="R64" s="68">
        <f>IFERROR(P64*'Adjusted Schedule 1'!$E$104,0)</f>
        <v>0</v>
      </c>
      <c r="S64" s="68">
        <f t="shared" si="4"/>
        <v>0</v>
      </c>
      <c r="T64" s="306">
        <f t="shared" si="5"/>
        <v>0</v>
      </c>
      <c r="V64" s="119">
        <f>'As-Filed Schedule 2D'!N64</f>
        <v>0</v>
      </c>
      <c r="W64" s="309">
        <f>SUMIFS(Adjustments!$G:$G,Adjustments!$H:$H,"2D",Adjustments!$I:$I,'Schedule 2D Adjustments'!$V$12,Adjustments!$J:$J,'Schedule 2D Adjustments'!$A64)</f>
        <v>0</v>
      </c>
      <c r="X64" s="305">
        <f t="shared" si="6"/>
        <v>0</v>
      </c>
      <c r="Y64" s="119">
        <f>'As-Filed Schedule 2D'!O64</f>
        <v>0</v>
      </c>
      <c r="Z64" s="309">
        <f>SUMIFS(Adjustments!$G:$G,Adjustments!$H:$H,"2D",Adjustments!$I:$I,'Schedule 2D Adjustments'!$Y$12,Adjustments!$J:$J,'Schedule 2D Adjustments'!$A64)</f>
        <v>0</v>
      </c>
      <c r="AA64" s="305">
        <f t="shared" si="7"/>
        <v>0</v>
      </c>
    </row>
    <row r="65" spans="1:27" x14ac:dyDescent="0.35">
      <c r="A65" s="24">
        <v>51</v>
      </c>
      <c r="B65" s="514" t="str">
        <f>IF('As-Filed Schedule 2D'!B65:D65=0,"",'As-Filed Schedule 2D'!B65:D65)</f>
        <v/>
      </c>
      <c r="C65" s="514"/>
      <c r="D65" s="514"/>
      <c r="F65" s="117">
        <f>'As-Filed Schedule 2D'!F65</f>
        <v>0</v>
      </c>
      <c r="G65" s="309">
        <f>SUMIFS(Adjustments!$G:$G,Adjustments!$H:$H,"2D",Adjustments!$I:$I,'Schedule 2D Adjustments'!$F$12,Adjustments!$J:$J,'Schedule 2D Adjustments'!$A65)</f>
        <v>0</v>
      </c>
      <c r="H65" s="305">
        <f t="shared" si="0"/>
        <v>0</v>
      </c>
      <c r="I65" s="68">
        <f>IFERROR(F65*'As-Filed Schedule 1'!$E$103,0)</f>
        <v>0</v>
      </c>
      <c r="J65" s="306">
        <f>IFERROR(H65*'Adjusted Schedule 1'!$E$104,0)</f>
        <v>0</v>
      </c>
      <c r="K65" s="68">
        <f t="shared" si="1"/>
        <v>0</v>
      </c>
      <c r="L65" s="306">
        <f t="shared" si="2"/>
        <v>0</v>
      </c>
      <c r="N65" s="117">
        <f>'As-Filed Schedule 2D'!J65</f>
        <v>0</v>
      </c>
      <c r="O65" s="309">
        <f>SUMIFS(Adjustments!$G:$G,Adjustments!$H:$H,"2D",Adjustments!$I:$I,'Schedule 2D Adjustments'!$N$12,Adjustments!$J:$J,'Schedule 2D Adjustments'!$A65)</f>
        <v>0</v>
      </c>
      <c r="P65" s="305">
        <f t="shared" si="3"/>
        <v>0</v>
      </c>
      <c r="Q65" s="68">
        <f>IFERROR(N65*'As-Filed Schedule 1'!$E$103,0)</f>
        <v>0</v>
      </c>
      <c r="R65" s="68">
        <f>IFERROR(P65*'Adjusted Schedule 1'!$E$104,0)</f>
        <v>0</v>
      </c>
      <c r="S65" s="68">
        <f t="shared" si="4"/>
        <v>0</v>
      </c>
      <c r="T65" s="306">
        <f t="shared" si="5"/>
        <v>0</v>
      </c>
      <c r="V65" s="119">
        <f>'As-Filed Schedule 2D'!N65</f>
        <v>0</v>
      </c>
      <c r="W65" s="309">
        <f>SUMIFS(Adjustments!$G:$G,Adjustments!$H:$H,"2D",Adjustments!$I:$I,'Schedule 2D Adjustments'!$V$12,Adjustments!$J:$J,'Schedule 2D Adjustments'!$A65)</f>
        <v>0</v>
      </c>
      <c r="X65" s="305">
        <f t="shared" si="6"/>
        <v>0</v>
      </c>
      <c r="Y65" s="119">
        <f>'As-Filed Schedule 2D'!O65</f>
        <v>0</v>
      </c>
      <c r="Z65" s="309">
        <f>SUMIFS(Adjustments!$G:$G,Adjustments!$H:$H,"2D",Adjustments!$I:$I,'Schedule 2D Adjustments'!$Y$12,Adjustments!$J:$J,'Schedule 2D Adjustments'!$A65)</f>
        <v>0</v>
      </c>
      <c r="AA65" s="305">
        <f t="shared" si="7"/>
        <v>0</v>
      </c>
    </row>
    <row r="66" spans="1:27" x14ac:dyDescent="0.35">
      <c r="A66" s="24">
        <v>52</v>
      </c>
      <c r="B66" s="514" t="str">
        <f>IF('As-Filed Schedule 2D'!B66:D66=0,"",'As-Filed Schedule 2D'!B66:D66)</f>
        <v/>
      </c>
      <c r="C66" s="514"/>
      <c r="D66" s="514"/>
      <c r="F66" s="117">
        <f>'As-Filed Schedule 2D'!F66</f>
        <v>0</v>
      </c>
      <c r="G66" s="309">
        <f>SUMIFS(Adjustments!$G:$G,Adjustments!$H:$H,"2D",Adjustments!$I:$I,'Schedule 2D Adjustments'!$F$12,Adjustments!$J:$J,'Schedule 2D Adjustments'!$A66)</f>
        <v>0</v>
      </c>
      <c r="H66" s="305">
        <f t="shared" si="0"/>
        <v>0</v>
      </c>
      <c r="I66" s="68">
        <f>IFERROR(F66*'As-Filed Schedule 1'!$E$103,0)</f>
        <v>0</v>
      </c>
      <c r="J66" s="306">
        <f>IFERROR(H66*'Adjusted Schedule 1'!$E$104,0)</f>
        <v>0</v>
      </c>
      <c r="K66" s="68">
        <f t="shared" si="1"/>
        <v>0</v>
      </c>
      <c r="L66" s="306">
        <f t="shared" si="2"/>
        <v>0</v>
      </c>
      <c r="N66" s="117">
        <f>'As-Filed Schedule 2D'!J66</f>
        <v>0</v>
      </c>
      <c r="O66" s="309">
        <f>SUMIFS(Adjustments!$G:$G,Adjustments!$H:$H,"2D",Adjustments!$I:$I,'Schedule 2D Adjustments'!$N$12,Adjustments!$J:$J,'Schedule 2D Adjustments'!$A66)</f>
        <v>0</v>
      </c>
      <c r="P66" s="305">
        <f t="shared" si="3"/>
        <v>0</v>
      </c>
      <c r="Q66" s="68">
        <f>IFERROR(N66*'As-Filed Schedule 1'!$E$103,0)</f>
        <v>0</v>
      </c>
      <c r="R66" s="68">
        <f>IFERROR(P66*'Adjusted Schedule 1'!$E$104,0)</f>
        <v>0</v>
      </c>
      <c r="S66" s="68">
        <f t="shared" si="4"/>
        <v>0</v>
      </c>
      <c r="T66" s="306">
        <f t="shared" si="5"/>
        <v>0</v>
      </c>
      <c r="V66" s="119">
        <f>'As-Filed Schedule 2D'!N66</f>
        <v>0</v>
      </c>
      <c r="W66" s="309">
        <f>SUMIFS(Adjustments!$G:$G,Adjustments!$H:$H,"2D",Adjustments!$I:$I,'Schedule 2D Adjustments'!$V$12,Adjustments!$J:$J,'Schedule 2D Adjustments'!$A66)</f>
        <v>0</v>
      </c>
      <c r="X66" s="305">
        <f t="shared" si="6"/>
        <v>0</v>
      </c>
      <c r="Y66" s="119">
        <f>'As-Filed Schedule 2D'!O66</f>
        <v>0</v>
      </c>
      <c r="Z66" s="309">
        <f>SUMIFS(Adjustments!$G:$G,Adjustments!$H:$H,"2D",Adjustments!$I:$I,'Schedule 2D Adjustments'!$Y$12,Adjustments!$J:$J,'Schedule 2D Adjustments'!$A66)</f>
        <v>0</v>
      </c>
      <c r="AA66" s="305">
        <f t="shared" si="7"/>
        <v>0</v>
      </c>
    </row>
    <row r="67" spans="1:27" x14ac:dyDescent="0.35">
      <c r="A67" s="24">
        <v>53</v>
      </c>
      <c r="B67" s="514" t="str">
        <f>IF('As-Filed Schedule 2D'!B67:D67=0,"",'As-Filed Schedule 2D'!B67:D67)</f>
        <v/>
      </c>
      <c r="C67" s="514"/>
      <c r="D67" s="514"/>
      <c r="F67" s="117">
        <f>'As-Filed Schedule 2D'!F67</f>
        <v>0</v>
      </c>
      <c r="G67" s="309">
        <f>SUMIFS(Adjustments!$G:$G,Adjustments!$H:$H,"2D",Adjustments!$I:$I,'Schedule 2D Adjustments'!$F$12,Adjustments!$J:$J,'Schedule 2D Adjustments'!$A67)</f>
        <v>0</v>
      </c>
      <c r="H67" s="305">
        <f t="shared" si="0"/>
        <v>0</v>
      </c>
      <c r="I67" s="68">
        <f>IFERROR(F67*'As-Filed Schedule 1'!$E$103,0)</f>
        <v>0</v>
      </c>
      <c r="J67" s="306">
        <f>IFERROR(H67*'Adjusted Schedule 1'!$E$104,0)</f>
        <v>0</v>
      </c>
      <c r="K67" s="68">
        <f t="shared" si="1"/>
        <v>0</v>
      </c>
      <c r="L67" s="306">
        <f t="shared" si="2"/>
        <v>0</v>
      </c>
      <c r="N67" s="117">
        <f>'As-Filed Schedule 2D'!J67</f>
        <v>0</v>
      </c>
      <c r="O67" s="309">
        <f>SUMIFS(Adjustments!$G:$G,Adjustments!$H:$H,"2D",Adjustments!$I:$I,'Schedule 2D Adjustments'!$N$12,Adjustments!$J:$J,'Schedule 2D Adjustments'!$A67)</f>
        <v>0</v>
      </c>
      <c r="P67" s="305">
        <f t="shared" si="3"/>
        <v>0</v>
      </c>
      <c r="Q67" s="68">
        <f>IFERROR(N67*'As-Filed Schedule 1'!$E$103,0)</f>
        <v>0</v>
      </c>
      <c r="R67" s="68">
        <f>IFERROR(P67*'Adjusted Schedule 1'!$E$104,0)</f>
        <v>0</v>
      </c>
      <c r="S67" s="68">
        <f t="shared" si="4"/>
        <v>0</v>
      </c>
      <c r="T67" s="306">
        <f t="shared" si="5"/>
        <v>0</v>
      </c>
      <c r="V67" s="119">
        <f>'As-Filed Schedule 2D'!N67</f>
        <v>0</v>
      </c>
      <c r="W67" s="309">
        <f>SUMIFS(Adjustments!$G:$G,Adjustments!$H:$H,"2D",Adjustments!$I:$I,'Schedule 2D Adjustments'!$V$12,Adjustments!$J:$J,'Schedule 2D Adjustments'!$A67)</f>
        <v>0</v>
      </c>
      <c r="X67" s="305">
        <f t="shared" si="6"/>
        <v>0</v>
      </c>
      <c r="Y67" s="119">
        <f>'As-Filed Schedule 2D'!O67</f>
        <v>0</v>
      </c>
      <c r="Z67" s="309">
        <f>SUMIFS(Adjustments!$G:$G,Adjustments!$H:$H,"2D",Adjustments!$I:$I,'Schedule 2D Adjustments'!$Y$12,Adjustments!$J:$J,'Schedule 2D Adjustments'!$A67)</f>
        <v>0</v>
      </c>
      <c r="AA67" s="305">
        <f t="shared" si="7"/>
        <v>0</v>
      </c>
    </row>
    <row r="68" spans="1:27" x14ac:dyDescent="0.35">
      <c r="A68" s="24">
        <v>54</v>
      </c>
      <c r="B68" s="514" t="str">
        <f>IF('As-Filed Schedule 2D'!B68:D68=0,"",'As-Filed Schedule 2D'!B68:D68)</f>
        <v/>
      </c>
      <c r="C68" s="514"/>
      <c r="D68" s="514"/>
      <c r="F68" s="117">
        <f>'As-Filed Schedule 2D'!F68</f>
        <v>0</v>
      </c>
      <c r="G68" s="309">
        <f>SUMIFS(Adjustments!$G:$G,Adjustments!$H:$H,"2D",Adjustments!$I:$I,'Schedule 2D Adjustments'!$F$12,Adjustments!$J:$J,'Schedule 2D Adjustments'!$A68)</f>
        <v>0</v>
      </c>
      <c r="H68" s="305">
        <f t="shared" si="0"/>
        <v>0</v>
      </c>
      <c r="I68" s="68">
        <f>IFERROR(F68*'As-Filed Schedule 1'!$E$103,0)</f>
        <v>0</v>
      </c>
      <c r="J68" s="306">
        <f>IFERROR(H68*'Adjusted Schedule 1'!$E$104,0)</f>
        <v>0</v>
      </c>
      <c r="K68" s="68">
        <f t="shared" si="1"/>
        <v>0</v>
      </c>
      <c r="L68" s="306">
        <f t="shared" si="2"/>
        <v>0</v>
      </c>
      <c r="N68" s="117">
        <f>'As-Filed Schedule 2D'!J68</f>
        <v>0</v>
      </c>
      <c r="O68" s="309">
        <f>SUMIFS(Adjustments!$G:$G,Adjustments!$H:$H,"2D",Adjustments!$I:$I,'Schedule 2D Adjustments'!$N$12,Adjustments!$J:$J,'Schedule 2D Adjustments'!$A68)</f>
        <v>0</v>
      </c>
      <c r="P68" s="305">
        <f t="shared" si="3"/>
        <v>0</v>
      </c>
      <c r="Q68" s="68">
        <f>IFERROR(N68*'As-Filed Schedule 1'!$E$103,0)</f>
        <v>0</v>
      </c>
      <c r="R68" s="68">
        <f>IFERROR(P68*'Adjusted Schedule 1'!$E$104,0)</f>
        <v>0</v>
      </c>
      <c r="S68" s="68">
        <f t="shared" si="4"/>
        <v>0</v>
      </c>
      <c r="T68" s="306">
        <f t="shared" si="5"/>
        <v>0</v>
      </c>
      <c r="V68" s="119">
        <f>'As-Filed Schedule 2D'!N68</f>
        <v>0</v>
      </c>
      <c r="W68" s="309">
        <f>SUMIFS(Adjustments!$G:$G,Adjustments!$H:$H,"2D",Adjustments!$I:$I,'Schedule 2D Adjustments'!$V$12,Adjustments!$J:$J,'Schedule 2D Adjustments'!$A68)</f>
        <v>0</v>
      </c>
      <c r="X68" s="305">
        <f t="shared" si="6"/>
        <v>0</v>
      </c>
      <c r="Y68" s="119">
        <f>'As-Filed Schedule 2D'!O68</f>
        <v>0</v>
      </c>
      <c r="Z68" s="309">
        <f>SUMIFS(Adjustments!$G:$G,Adjustments!$H:$H,"2D",Adjustments!$I:$I,'Schedule 2D Adjustments'!$Y$12,Adjustments!$J:$J,'Schedule 2D Adjustments'!$A68)</f>
        <v>0</v>
      </c>
      <c r="AA68" s="305">
        <f t="shared" si="7"/>
        <v>0</v>
      </c>
    </row>
    <row r="69" spans="1:27" x14ac:dyDescent="0.35">
      <c r="A69" s="24">
        <v>55</v>
      </c>
      <c r="B69" s="514" t="str">
        <f>IF('As-Filed Schedule 2D'!B69:D69=0,"",'As-Filed Schedule 2D'!B69:D69)</f>
        <v/>
      </c>
      <c r="C69" s="514"/>
      <c r="D69" s="514"/>
      <c r="F69" s="117">
        <f>'As-Filed Schedule 2D'!F69</f>
        <v>0</v>
      </c>
      <c r="G69" s="309">
        <f>SUMIFS(Adjustments!$G:$G,Adjustments!$H:$H,"2D",Adjustments!$I:$I,'Schedule 2D Adjustments'!$F$12,Adjustments!$J:$J,'Schedule 2D Adjustments'!$A69)</f>
        <v>0</v>
      </c>
      <c r="H69" s="305">
        <f t="shared" si="0"/>
        <v>0</v>
      </c>
      <c r="I69" s="68">
        <f>IFERROR(F69*'As-Filed Schedule 1'!$E$103,0)</f>
        <v>0</v>
      </c>
      <c r="J69" s="306">
        <f>IFERROR(H69*'Adjusted Schedule 1'!$E$104,0)</f>
        <v>0</v>
      </c>
      <c r="K69" s="68">
        <f t="shared" si="1"/>
        <v>0</v>
      </c>
      <c r="L69" s="306">
        <f t="shared" si="2"/>
        <v>0</v>
      </c>
      <c r="N69" s="117">
        <f>'As-Filed Schedule 2D'!J69</f>
        <v>0</v>
      </c>
      <c r="O69" s="309">
        <f>SUMIFS(Adjustments!$G:$G,Adjustments!$H:$H,"2D",Adjustments!$I:$I,'Schedule 2D Adjustments'!$N$12,Adjustments!$J:$J,'Schedule 2D Adjustments'!$A69)</f>
        <v>0</v>
      </c>
      <c r="P69" s="305">
        <f t="shared" si="3"/>
        <v>0</v>
      </c>
      <c r="Q69" s="68">
        <f>IFERROR(N69*'As-Filed Schedule 1'!$E$103,0)</f>
        <v>0</v>
      </c>
      <c r="R69" s="68">
        <f>IFERROR(P69*'Adjusted Schedule 1'!$E$104,0)</f>
        <v>0</v>
      </c>
      <c r="S69" s="68">
        <f t="shared" si="4"/>
        <v>0</v>
      </c>
      <c r="T69" s="306">
        <f t="shared" si="5"/>
        <v>0</v>
      </c>
      <c r="V69" s="119">
        <f>'As-Filed Schedule 2D'!N69</f>
        <v>0</v>
      </c>
      <c r="W69" s="309">
        <f>SUMIFS(Adjustments!$G:$G,Adjustments!$H:$H,"2D",Adjustments!$I:$I,'Schedule 2D Adjustments'!$V$12,Adjustments!$J:$J,'Schedule 2D Adjustments'!$A69)</f>
        <v>0</v>
      </c>
      <c r="X69" s="305">
        <f t="shared" si="6"/>
        <v>0</v>
      </c>
      <c r="Y69" s="119">
        <f>'As-Filed Schedule 2D'!O69</f>
        <v>0</v>
      </c>
      <c r="Z69" s="309">
        <f>SUMIFS(Adjustments!$G:$G,Adjustments!$H:$H,"2D",Adjustments!$I:$I,'Schedule 2D Adjustments'!$Y$12,Adjustments!$J:$J,'Schedule 2D Adjustments'!$A69)</f>
        <v>0</v>
      </c>
      <c r="AA69" s="305">
        <f t="shared" si="7"/>
        <v>0</v>
      </c>
    </row>
    <row r="70" spans="1:27" x14ac:dyDescent="0.35">
      <c r="A70" s="24">
        <v>56</v>
      </c>
      <c r="B70" s="514" t="str">
        <f>IF('As-Filed Schedule 2D'!B70:D70=0,"",'As-Filed Schedule 2D'!B70:D70)</f>
        <v/>
      </c>
      <c r="C70" s="514"/>
      <c r="D70" s="514"/>
      <c r="F70" s="117">
        <f>'As-Filed Schedule 2D'!F70</f>
        <v>0</v>
      </c>
      <c r="G70" s="309">
        <f>SUMIFS(Adjustments!$G:$G,Adjustments!$H:$H,"2D",Adjustments!$I:$I,'Schedule 2D Adjustments'!$F$12,Adjustments!$J:$J,'Schedule 2D Adjustments'!$A70)</f>
        <v>0</v>
      </c>
      <c r="H70" s="305">
        <f t="shared" si="0"/>
        <v>0</v>
      </c>
      <c r="I70" s="68">
        <f>IFERROR(F70*'As-Filed Schedule 1'!$E$103,0)</f>
        <v>0</v>
      </c>
      <c r="J70" s="306">
        <f>IFERROR(H70*'Adjusted Schedule 1'!$E$104,0)</f>
        <v>0</v>
      </c>
      <c r="K70" s="68">
        <f t="shared" si="1"/>
        <v>0</v>
      </c>
      <c r="L70" s="306">
        <f t="shared" si="2"/>
        <v>0</v>
      </c>
      <c r="N70" s="117">
        <f>'As-Filed Schedule 2D'!J70</f>
        <v>0</v>
      </c>
      <c r="O70" s="309">
        <f>SUMIFS(Adjustments!$G:$G,Adjustments!$H:$H,"2D",Adjustments!$I:$I,'Schedule 2D Adjustments'!$N$12,Adjustments!$J:$J,'Schedule 2D Adjustments'!$A70)</f>
        <v>0</v>
      </c>
      <c r="P70" s="305">
        <f t="shared" si="3"/>
        <v>0</v>
      </c>
      <c r="Q70" s="68">
        <f>IFERROR(N70*'As-Filed Schedule 1'!$E$103,0)</f>
        <v>0</v>
      </c>
      <c r="R70" s="68">
        <f>IFERROR(P70*'Adjusted Schedule 1'!$E$104,0)</f>
        <v>0</v>
      </c>
      <c r="S70" s="68">
        <f t="shared" si="4"/>
        <v>0</v>
      </c>
      <c r="T70" s="306">
        <f t="shared" si="5"/>
        <v>0</v>
      </c>
      <c r="V70" s="119">
        <f>'As-Filed Schedule 2D'!N70</f>
        <v>0</v>
      </c>
      <c r="W70" s="309">
        <f>SUMIFS(Adjustments!$G:$G,Adjustments!$H:$H,"2D",Adjustments!$I:$I,'Schedule 2D Adjustments'!$V$12,Adjustments!$J:$J,'Schedule 2D Adjustments'!$A70)</f>
        <v>0</v>
      </c>
      <c r="X70" s="305">
        <f t="shared" si="6"/>
        <v>0</v>
      </c>
      <c r="Y70" s="119">
        <f>'As-Filed Schedule 2D'!O70</f>
        <v>0</v>
      </c>
      <c r="Z70" s="309">
        <f>SUMIFS(Adjustments!$G:$G,Adjustments!$H:$H,"2D",Adjustments!$I:$I,'Schedule 2D Adjustments'!$Y$12,Adjustments!$J:$J,'Schedule 2D Adjustments'!$A70)</f>
        <v>0</v>
      </c>
      <c r="AA70" s="305">
        <f t="shared" si="7"/>
        <v>0</v>
      </c>
    </row>
    <row r="71" spans="1:27" x14ac:dyDescent="0.35">
      <c r="A71" s="24">
        <v>57</v>
      </c>
      <c r="B71" s="514" t="str">
        <f>IF('As-Filed Schedule 2D'!B71:D71=0,"",'As-Filed Schedule 2D'!B71:D71)</f>
        <v/>
      </c>
      <c r="C71" s="514"/>
      <c r="D71" s="514"/>
      <c r="F71" s="117">
        <f>'As-Filed Schedule 2D'!F71</f>
        <v>0</v>
      </c>
      <c r="G71" s="309">
        <f>SUMIFS(Adjustments!$G:$G,Adjustments!$H:$H,"2D",Adjustments!$I:$I,'Schedule 2D Adjustments'!$F$12,Adjustments!$J:$J,'Schedule 2D Adjustments'!$A71)</f>
        <v>0</v>
      </c>
      <c r="H71" s="305">
        <f t="shared" si="0"/>
        <v>0</v>
      </c>
      <c r="I71" s="68">
        <f>IFERROR(F71*'As-Filed Schedule 1'!$E$103,0)</f>
        <v>0</v>
      </c>
      <c r="J71" s="306">
        <f>IFERROR(H71*'Adjusted Schedule 1'!$E$104,0)</f>
        <v>0</v>
      </c>
      <c r="K71" s="68">
        <f t="shared" si="1"/>
        <v>0</v>
      </c>
      <c r="L71" s="306">
        <f t="shared" si="2"/>
        <v>0</v>
      </c>
      <c r="N71" s="117">
        <f>'As-Filed Schedule 2D'!J71</f>
        <v>0</v>
      </c>
      <c r="O71" s="309">
        <f>SUMIFS(Adjustments!$G:$G,Adjustments!$H:$H,"2D",Adjustments!$I:$I,'Schedule 2D Adjustments'!$N$12,Adjustments!$J:$J,'Schedule 2D Adjustments'!$A71)</f>
        <v>0</v>
      </c>
      <c r="P71" s="305">
        <f t="shared" si="3"/>
        <v>0</v>
      </c>
      <c r="Q71" s="68">
        <f>IFERROR(N71*'As-Filed Schedule 1'!$E$103,0)</f>
        <v>0</v>
      </c>
      <c r="R71" s="68">
        <f>IFERROR(P71*'Adjusted Schedule 1'!$E$104,0)</f>
        <v>0</v>
      </c>
      <c r="S71" s="68">
        <f t="shared" si="4"/>
        <v>0</v>
      </c>
      <c r="T71" s="306">
        <f t="shared" si="5"/>
        <v>0</v>
      </c>
      <c r="V71" s="119">
        <f>'As-Filed Schedule 2D'!N71</f>
        <v>0</v>
      </c>
      <c r="W71" s="309">
        <f>SUMIFS(Adjustments!$G:$G,Adjustments!$H:$H,"2D",Adjustments!$I:$I,'Schedule 2D Adjustments'!$V$12,Adjustments!$J:$J,'Schedule 2D Adjustments'!$A71)</f>
        <v>0</v>
      </c>
      <c r="X71" s="305">
        <f t="shared" si="6"/>
        <v>0</v>
      </c>
      <c r="Y71" s="119">
        <f>'As-Filed Schedule 2D'!O71</f>
        <v>0</v>
      </c>
      <c r="Z71" s="309">
        <f>SUMIFS(Adjustments!$G:$G,Adjustments!$H:$H,"2D",Adjustments!$I:$I,'Schedule 2D Adjustments'!$Y$12,Adjustments!$J:$J,'Schedule 2D Adjustments'!$A71)</f>
        <v>0</v>
      </c>
      <c r="AA71" s="305">
        <f t="shared" si="7"/>
        <v>0</v>
      </c>
    </row>
    <row r="72" spans="1:27" x14ac:dyDescent="0.35">
      <c r="A72" s="24">
        <v>58</v>
      </c>
      <c r="B72" s="514" t="str">
        <f>IF('As-Filed Schedule 2D'!B72:D72=0,"",'As-Filed Schedule 2D'!B72:D72)</f>
        <v/>
      </c>
      <c r="C72" s="514"/>
      <c r="D72" s="514"/>
      <c r="F72" s="117">
        <f>'As-Filed Schedule 2D'!F72</f>
        <v>0</v>
      </c>
      <c r="G72" s="309">
        <f>SUMIFS(Adjustments!$G:$G,Adjustments!$H:$H,"2D",Adjustments!$I:$I,'Schedule 2D Adjustments'!$F$12,Adjustments!$J:$J,'Schedule 2D Adjustments'!$A72)</f>
        <v>0</v>
      </c>
      <c r="H72" s="305">
        <f t="shared" si="0"/>
        <v>0</v>
      </c>
      <c r="I72" s="68">
        <f>IFERROR(F72*'As-Filed Schedule 1'!$E$103,0)</f>
        <v>0</v>
      </c>
      <c r="J72" s="306">
        <f>IFERROR(H72*'Adjusted Schedule 1'!$E$104,0)</f>
        <v>0</v>
      </c>
      <c r="K72" s="68">
        <f t="shared" si="1"/>
        <v>0</v>
      </c>
      <c r="L72" s="306">
        <f t="shared" si="2"/>
        <v>0</v>
      </c>
      <c r="N72" s="117">
        <f>'As-Filed Schedule 2D'!J72</f>
        <v>0</v>
      </c>
      <c r="O72" s="309">
        <f>SUMIFS(Adjustments!$G:$G,Adjustments!$H:$H,"2D",Adjustments!$I:$I,'Schedule 2D Adjustments'!$N$12,Adjustments!$J:$J,'Schedule 2D Adjustments'!$A72)</f>
        <v>0</v>
      </c>
      <c r="P72" s="305">
        <f t="shared" si="3"/>
        <v>0</v>
      </c>
      <c r="Q72" s="68">
        <f>IFERROR(N72*'As-Filed Schedule 1'!$E$103,0)</f>
        <v>0</v>
      </c>
      <c r="R72" s="68">
        <f>IFERROR(P72*'Adjusted Schedule 1'!$E$104,0)</f>
        <v>0</v>
      </c>
      <c r="S72" s="68">
        <f t="shared" si="4"/>
        <v>0</v>
      </c>
      <c r="T72" s="306">
        <f t="shared" si="5"/>
        <v>0</v>
      </c>
      <c r="V72" s="119">
        <f>'As-Filed Schedule 2D'!N72</f>
        <v>0</v>
      </c>
      <c r="W72" s="309">
        <f>SUMIFS(Adjustments!$G:$G,Adjustments!$H:$H,"2D",Adjustments!$I:$I,'Schedule 2D Adjustments'!$V$12,Adjustments!$J:$J,'Schedule 2D Adjustments'!$A72)</f>
        <v>0</v>
      </c>
      <c r="X72" s="305">
        <f t="shared" si="6"/>
        <v>0</v>
      </c>
      <c r="Y72" s="119">
        <f>'As-Filed Schedule 2D'!O72</f>
        <v>0</v>
      </c>
      <c r="Z72" s="309">
        <f>SUMIFS(Adjustments!$G:$G,Adjustments!$H:$H,"2D",Adjustments!$I:$I,'Schedule 2D Adjustments'!$Y$12,Adjustments!$J:$J,'Schedule 2D Adjustments'!$A72)</f>
        <v>0</v>
      </c>
      <c r="AA72" s="305">
        <f t="shared" si="7"/>
        <v>0</v>
      </c>
    </row>
    <row r="73" spans="1:27" x14ac:dyDescent="0.35">
      <c r="A73" s="24">
        <v>59</v>
      </c>
      <c r="F73" s="18">
        <f>SUM(F15:F72)</f>
        <v>0</v>
      </c>
      <c r="G73" s="18">
        <f t="shared" ref="G73:H73" si="8">SUM(G15:G72)</f>
        <v>0</v>
      </c>
      <c r="H73" s="18">
        <f t="shared" si="8"/>
        <v>0</v>
      </c>
      <c r="I73" s="18">
        <f t="shared" ref="I73:K73" si="9">SUM(I15:I72)</f>
        <v>0</v>
      </c>
      <c r="J73" s="306">
        <f>IFERROR(H73*'Adjusted Schedule 1'!$E$104,0)</f>
        <v>0</v>
      </c>
      <c r="K73" s="18">
        <f t="shared" si="9"/>
        <v>0</v>
      </c>
      <c r="L73" s="307">
        <f t="shared" ref="L73" si="10">SUM(L15:L72)</f>
        <v>0</v>
      </c>
      <c r="N73" s="18">
        <f>SUM(N15:N72)</f>
        <v>0</v>
      </c>
      <c r="O73" s="18">
        <f t="shared" ref="O73:P73" si="11">SUM(O15:O72)</f>
        <v>0</v>
      </c>
      <c r="P73" s="18">
        <f t="shared" si="11"/>
        <v>0</v>
      </c>
      <c r="Q73" s="18">
        <f t="shared" ref="Q73:S73" si="12">SUM(Q15:Q72)</f>
        <v>0</v>
      </c>
      <c r="R73" s="18">
        <f t="shared" si="12"/>
        <v>0</v>
      </c>
      <c r="S73" s="18">
        <f t="shared" si="12"/>
        <v>0</v>
      </c>
      <c r="T73" s="307">
        <f t="shared" ref="T73" si="13">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462</v>
      </c>
      <c r="F75" s="75">
        <f>K73+S73</f>
        <v>0</v>
      </c>
      <c r="G75"/>
      <c r="H75" s="75">
        <f>L73+T73</f>
        <v>0</v>
      </c>
      <c r="I75" s="74"/>
      <c r="J75" s="321"/>
      <c r="K75" s="74"/>
      <c r="L75" s="321"/>
      <c r="M75" s="74"/>
      <c r="N75" s="74"/>
      <c r="O75" s="328"/>
      <c r="P75" s="321"/>
      <c r="Q75" s="74"/>
      <c r="R75" s="321"/>
      <c r="T75" s="323"/>
      <c r="W75" s="326"/>
      <c r="X75" s="323"/>
      <c r="Z75" s="326"/>
      <c r="AA75" s="323"/>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Z13:Z14"/>
    <mergeCell ref="AA13:AA14"/>
    <mergeCell ref="F13:L13"/>
    <mergeCell ref="N13:T13"/>
    <mergeCell ref="B68:D68"/>
    <mergeCell ref="B56:D56"/>
    <mergeCell ref="B57:D57"/>
    <mergeCell ref="B58:D58"/>
    <mergeCell ref="B59:D59"/>
    <mergeCell ref="B60:D60"/>
    <mergeCell ref="B61:D61"/>
    <mergeCell ref="B62:D62"/>
    <mergeCell ref="B63:D63"/>
    <mergeCell ref="B64:D64"/>
    <mergeCell ref="B65:D65"/>
    <mergeCell ref="B66:D66"/>
    <mergeCell ref="B69:D69"/>
    <mergeCell ref="B70:D70"/>
    <mergeCell ref="B71:D71"/>
    <mergeCell ref="B72:D72"/>
    <mergeCell ref="B67:D67"/>
    <mergeCell ref="B55:D55"/>
    <mergeCell ref="B44:D44"/>
    <mergeCell ref="B45:D45"/>
    <mergeCell ref="B46:D46"/>
    <mergeCell ref="B47:D47"/>
    <mergeCell ref="B48:D48"/>
    <mergeCell ref="B49:D49"/>
    <mergeCell ref="B50:D50"/>
    <mergeCell ref="B51:D51"/>
    <mergeCell ref="B52:D52"/>
    <mergeCell ref="B53:D53"/>
    <mergeCell ref="B54:D54"/>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A3:K3"/>
    <mergeCell ref="B12:D12"/>
    <mergeCell ref="B13:D14"/>
    <mergeCell ref="Y13:Y14"/>
    <mergeCell ref="B15:D15"/>
    <mergeCell ref="B16:D16"/>
    <mergeCell ref="B17:D17"/>
    <mergeCell ref="B18:D18"/>
    <mergeCell ref="V13:V14"/>
    <mergeCell ref="W13:W14"/>
    <mergeCell ref="X13:X14"/>
  </mergeCells>
  <pageMargins left="0.7" right="0.7" top="0.75" bottom="0.75" header="0.3" footer="0.3"/>
  <pageSetup orientation="portrait" horizontalDpi="1200" verticalDpi="1200"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dimension ref="A1:AA75"/>
  <sheetViews>
    <sheetView workbookViewId="0"/>
  </sheetViews>
  <sheetFormatPr defaultColWidth="9.1796875" defaultRowHeight="14.5" x14ac:dyDescent="0.35"/>
  <cols>
    <col min="1" max="1" width="9.54296875" customWidth="1"/>
    <col min="2" max="2" width="20.81640625" customWidth="1"/>
    <col min="3" max="3" width="22.81640625" customWidth="1"/>
    <col min="4" max="4" width="22.4531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839</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810</v>
      </c>
      <c r="C8" s="1"/>
      <c r="F8" s="118" t="str">
        <f>'As-Filed Schedule 2E'!F8</f>
        <v>Yes/No</v>
      </c>
      <c r="G8" s="41" t="s">
        <v>259</v>
      </c>
    </row>
    <row r="10" spans="1:27" x14ac:dyDescent="0.35">
      <c r="A10" s="1" t="s">
        <v>254</v>
      </c>
      <c r="B10" s="1" t="s">
        <v>256</v>
      </c>
      <c r="C10" s="1"/>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ht="15" customHeight="1"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48"/>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2E'!B15:D15=0,"",'As-Filed Schedule 2E'!B15:D15)</f>
        <v/>
      </c>
      <c r="C15" s="514"/>
      <c r="D15" s="514"/>
      <c r="F15" s="117">
        <f>'As-Filed Schedule 2E'!F15</f>
        <v>0</v>
      </c>
      <c r="G15" s="309">
        <f>SUMIFS(Adjustments!$G:$G,Adjustments!$H:$H,"2E",Adjustments!$I:$I,'Schedule 2E Adjustments'!$F$12,Adjustments!$J:$J,'Schedule 2E Adjustments'!$A15)</f>
        <v>0</v>
      </c>
      <c r="H15" s="305">
        <f>SUM(F15:G15)</f>
        <v>0</v>
      </c>
      <c r="I15" s="68">
        <f>IFERROR(F15*'As-Filed Schedule 1'!$E$103,0)</f>
        <v>0</v>
      </c>
      <c r="J15" s="306">
        <f>IFERROR(H15*'Adjusted Schedule 1'!$E$104,0)</f>
        <v>0</v>
      </c>
      <c r="K15" s="68">
        <f>SUM(F15,I15)</f>
        <v>0</v>
      </c>
      <c r="L15" s="306">
        <f>SUM(H15,J15)</f>
        <v>0</v>
      </c>
      <c r="N15" s="117">
        <f>'As-Filed Schedule 2E'!J15</f>
        <v>0</v>
      </c>
      <c r="O15" s="309">
        <f>SUMIFS(Adjustments!$G:$G,Adjustments!$H:$H,"2E",Adjustments!$I:$I,'Schedule 2E Adjustments'!$N$12,Adjustments!$J:$J,'Schedule 2E Adjustments'!$A15)</f>
        <v>0</v>
      </c>
      <c r="P15" s="305">
        <f>SUM(N15:O15)</f>
        <v>0</v>
      </c>
      <c r="Q15" s="68">
        <f>IFERROR(N15*'As-Filed Schedule 1'!$E$103,0)</f>
        <v>0</v>
      </c>
      <c r="R15" s="68">
        <f>IFERROR(P15*'Adjusted Schedule 1'!$E$104,0)</f>
        <v>0</v>
      </c>
      <c r="S15" s="68">
        <f>SUM(N15,Q15)</f>
        <v>0</v>
      </c>
      <c r="T15" s="306">
        <f>SUM(P15,R15)</f>
        <v>0</v>
      </c>
      <c r="V15" s="119">
        <f>'As-Filed Schedule 2E'!N15</f>
        <v>0</v>
      </c>
      <c r="W15" s="309">
        <f>SUMIFS(Adjustments!$G:$G,Adjustments!$H:$H,"2E",Adjustments!$I:$I,'Schedule 2E Adjustments'!$V$12,Adjustments!$J:$J,'Schedule 2E Adjustments'!$A15)</f>
        <v>0</v>
      </c>
      <c r="X15" s="305">
        <f>SUM(V15:W15)</f>
        <v>0</v>
      </c>
      <c r="Y15" s="119">
        <f>'As-Filed Schedule 2E'!O15</f>
        <v>0</v>
      </c>
      <c r="Z15" s="309">
        <f>SUMIFS(Adjustments!$G:$G,Adjustments!$H:$H,"2E",Adjustments!$I:$I,'Schedule 2E Adjustments'!$Y$12,Adjustments!$J:$J,'Schedule 2E Adjustments'!$A15)</f>
        <v>0</v>
      </c>
      <c r="AA15" s="305">
        <f>SUM(Y15:Z15)</f>
        <v>0</v>
      </c>
    </row>
    <row r="16" spans="1:27" x14ac:dyDescent="0.35">
      <c r="A16" s="24">
        <v>2</v>
      </c>
      <c r="B16" s="514" t="str">
        <f>IF('As-Filed Schedule 2E'!B16:D16=0,"",'As-Filed Schedule 2E'!B16:D16)</f>
        <v/>
      </c>
      <c r="C16" s="514"/>
      <c r="D16" s="514"/>
      <c r="F16" s="117">
        <f>'As-Filed Schedule 2E'!F16</f>
        <v>0</v>
      </c>
      <c r="G16" s="309">
        <f>SUMIFS(Adjustments!$G:$G,Adjustments!$H:$H,"2E",Adjustments!$I:$I,'Schedule 2E Adjustments'!$F$12,Adjustments!$J:$J,'Schedule 2E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2E'!J16</f>
        <v>0</v>
      </c>
      <c r="O16" s="309">
        <f>SUMIFS(Adjustments!$G:$G,Adjustments!$H:$H,"2E",Adjustments!$I:$I,'Schedule 2E Adjustments'!$N$12,Adjustments!$J:$J,'Schedule 2E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2E'!N16</f>
        <v>0</v>
      </c>
      <c r="W16" s="309">
        <f>SUMIFS(Adjustments!$G:$G,Adjustments!$H:$H,"2E",Adjustments!$I:$I,'Schedule 2E Adjustments'!$V$12,Adjustments!$J:$J,'Schedule 2E Adjustments'!$A16)</f>
        <v>0</v>
      </c>
      <c r="X16" s="305">
        <f t="shared" ref="X16:X72" si="6">SUM(V16:W16)</f>
        <v>0</v>
      </c>
      <c r="Y16" s="119">
        <f>'As-Filed Schedule 2E'!O16</f>
        <v>0</v>
      </c>
      <c r="Z16" s="309">
        <f>SUMIFS(Adjustments!$G:$G,Adjustments!$H:$H,"2E",Adjustments!$I:$I,'Schedule 2E Adjustments'!$Y$12,Adjustments!$J:$J,'Schedule 2E Adjustments'!$A16)</f>
        <v>0</v>
      </c>
      <c r="AA16" s="305">
        <f t="shared" ref="AA16:AA72" si="7">SUM(Y16:Z16)</f>
        <v>0</v>
      </c>
    </row>
    <row r="17" spans="1:27" x14ac:dyDescent="0.35">
      <c r="A17" s="24">
        <v>3</v>
      </c>
      <c r="B17" s="514" t="str">
        <f>IF('As-Filed Schedule 2E'!B17:D17=0,"",'As-Filed Schedule 2E'!B17:D17)</f>
        <v/>
      </c>
      <c r="C17" s="514"/>
      <c r="D17" s="514"/>
      <c r="F17" s="117">
        <f>'As-Filed Schedule 2E'!F17</f>
        <v>0</v>
      </c>
      <c r="G17" s="309">
        <f>SUMIFS(Adjustments!$G:$G,Adjustments!$H:$H,"2E",Adjustments!$I:$I,'Schedule 2E Adjustments'!$F$12,Adjustments!$J:$J,'Schedule 2E Adjustments'!$A17)</f>
        <v>0</v>
      </c>
      <c r="H17" s="305">
        <f t="shared" si="0"/>
        <v>0</v>
      </c>
      <c r="I17" s="68">
        <f>IFERROR(F17*'As-Filed Schedule 1'!$E$103,0)</f>
        <v>0</v>
      </c>
      <c r="J17" s="306">
        <f>IFERROR(H17*'Adjusted Schedule 1'!$E$104,0)</f>
        <v>0</v>
      </c>
      <c r="K17" s="68">
        <f t="shared" si="1"/>
        <v>0</v>
      </c>
      <c r="L17" s="306">
        <f t="shared" si="2"/>
        <v>0</v>
      </c>
      <c r="N17" s="117">
        <f>'As-Filed Schedule 2E'!J17</f>
        <v>0</v>
      </c>
      <c r="O17" s="309">
        <f>SUMIFS(Adjustments!$G:$G,Adjustments!$H:$H,"2E",Adjustments!$I:$I,'Schedule 2E Adjustments'!$N$12,Adjustments!$J:$J,'Schedule 2E Adjustments'!$A17)</f>
        <v>0</v>
      </c>
      <c r="P17" s="305">
        <f t="shared" si="3"/>
        <v>0</v>
      </c>
      <c r="Q17" s="68">
        <f>IFERROR(N17*'As-Filed Schedule 1'!$E$103,0)</f>
        <v>0</v>
      </c>
      <c r="R17" s="68">
        <f>IFERROR(P17*'Adjusted Schedule 1'!$E$104,0)</f>
        <v>0</v>
      </c>
      <c r="S17" s="68">
        <f t="shared" si="4"/>
        <v>0</v>
      </c>
      <c r="T17" s="306">
        <f t="shared" si="5"/>
        <v>0</v>
      </c>
      <c r="V17" s="119">
        <f>'As-Filed Schedule 2E'!N17</f>
        <v>0</v>
      </c>
      <c r="W17" s="309">
        <f>SUMIFS(Adjustments!$G:$G,Adjustments!$H:$H,"2E",Adjustments!$I:$I,'Schedule 2E Adjustments'!$V$12,Adjustments!$J:$J,'Schedule 2E Adjustments'!$A17)</f>
        <v>0</v>
      </c>
      <c r="X17" s="305">
        <f t="shared" si="6"/>
        <v>0</v>
      </c>
      <c r="Y17" s="119">
        <f>'As-Filed Schedule 2E'!O17</f>
        <v>0</v>
      </c>
      <c r="Z17" s="309">
        <f>SUMIFS(Adjustments!$G:$G,Adjustments!$H:$H,"2E",Adjustments!$I:$I,'Schedule 2E Adjustments'!$Y$12,Adjustments!$J:$J,'Schedule 2E Adjustments'!$A17)</f>
        <v>0</v>
      </c>
      <c r="AA17" s="305">
        <f t="shared" si="7"/>
        <v>0</v>
      </c>
    </row>
    <row r="18" spans="1:27" x14ac:dyDescent="0.35">
      <c r="A18" s="24">
        <v>4</v>
      </c>
      <c r="B18" s="514" t="str">
        <f>IF('As-Filed Schedule 2E'!B18:D18=0,"",'As-Filed Schedule 2E'!B18:D18)</f>
        <v/>
      </c>
      <c r="C18" s="514"/>
      <c r="D18" s="514"/>
      <c r="F18" s="117">
        <f>'As-Filed Schedule 2E'!F18</f>
        <v>0</v>
      </c>
      <c r="G18" s="309">
        <f>SUMIFS(Adjustments!$G:$G,Adjustments!$H:$H,"2E",Adjustments!$I:$I,'Schedule 2E Adjustments'!$F$12,Adjustments!$J:$J,'Schedule 2E Adjustments'!$A18)</f>
        <v>0</v>
      </c>
      <c r="H18" s="305">
        <f t="shared" si="0"/>
        <v>0</v>
      </c>
      <c r="I18" s="68">
        <f>IFERROR(F18*'As-Filed Schedule 1'!$E$103,0)</f>
        <v>0</v>
      </c>
      <c r="J18" s="306">
        <f>IFERROR(H18*'Adjusted Schedule 1'!$E$104,0)</f>
        <v>0</v>
      </c>
      <c r="K18" s="68">
        <f>SUM(F18,I18)</f>
        <v>0</v>
      </c>
      <c r="L18" s="306">
        <f>SUM(H18,J18)</f>
        <v>0</v>
      </c>
      <c r="N18" s="117">
        <f>'As-Filed Schedule 2E'!J18</f>
        <v>0</v>
      </c>
      <c r="O18" s="309">
        <f>SUMIFS(Adjustments!$G:$G,Adjustments!$H:$H,"2E",Adjustments!$I:$I,'Schedule 2E Adjustments'!$N$12,Adjustments!$J:$J,'Schedule 2E Adjustments'!$A18)</f>
        <v>0</v>
      </c>
      <c r="P18" s="305">
        <f t="shared" si="3"/>
        <v>0</v>
      </c>
      <c r="Q18" s="68">
        <f>IFERROR(N18*'As-Filed Schedule 1'!$E$103,0)</f>
        <v>0</v>
      </c>
      <c r="R18" s="68">
        <f>IFERROR(P18*'Adjusted Schedule 1'!$E$104,0)</f>
        <v>0</v>
      </c>
      <c r="S18" s="68">
        <f t="shared" si="4"/>
        <v>0</v>
      </c>
      <c r="T18" s="306">
        <f t="shared" si="5"/>
        <v>0</v>
      </c>
      <c r="V18" s="119">
        <f>'As-Filed Schedule 2E'!N18</f>
        <v>0</v>
      </c>
      <c r="W18" s="309">
        <f>SUMIFS(Adjustments!$G:$G,Adjustments!$H:$H,"2E",Adjustments!$I:$I,'Schedule 2E Adjustments'!$V$12,Adjustments!$J:$J,'Schedule 2E Adjustments'!$A18)</f>
        <v>0</v>
      </c>
      <c r="X18" s="305">
        <f t="shared" si="6"/>
        <v>0</v>
      </c>
      <c r="Y18" s="119">
        <f>'As-Filed Schedule 2E'!O18</f>
        <v>0</v>
      </c>
      <c r="Z18" s="309">
        <f>SUMIFS(Adjustments!$G:$G,Adjustments!$H:$H,"2E",Adjustments!$I:$I,'Schedule 2E Adjustments'!$Y$12,Adjustments!$J:$J,'Schedule 2E Adjustments'!$A18)</f>
        <v>0</v>
      </c>
      <c r="AA18" s="305">
        <f t="shared" si="7"/>
        <v>0</v>
      </c>
    </row>
    <row r="19" spans="1:27" x14ac:dyDescent="0.35">
      <c r="A19" s="24">
        <v>5</v>
      </c>
      <c r="B19" s="514" t="str">
        <f>IF('As-Filed Schedule 2E'!B19:D19=0,"",'As-Filed Schedule 2E'!B19:D19)</f>
        <v/>
      </c>
      <c r="C19" s="514"/>
      <c r="D19" s="514"/>
      <c r="F19" s="117">
        <f>'As-Filed Schedule 2E'!F19</f>
        <v>0</v>
      </c>
      <c r="G19" s="309">
        <f>SUMIFS(Adjustments!$G:$G,Adjustments!$H:$H,"2E",Adjustments!$I:$I,'Schedule 2E Adjustments'!$F$12,Adjustments!$J:$J,'Schedule 2E Adjustments'!$A19)</f>
        <v>0</v>
      </c>
      <c r="H19" s="305">
        <f t="shared" si="0"/>
        <v>0</v>
      </c>
      <c r="I19" s="68">
        <f>IFERROR(F19*'As-Filed Schedule 1'!$E$103,0)</f>
        <v>0</v>
      </c>
      <c r="J19" s="306">
        <f>IFERROR(H19*'Adjusted Schedule 1'!$E$104,0)</f>
        <v>0</v>
      </c>
      <c r="K19" s="68">
        <f t="shared" si="1"/>
        <v>0</v>
      </c>
      <c r="L19" s="306">
        <f>SUM(H19,J19)</f>
        <v>0</v>
      </c>
      <c r="N19" s="117">
        <f>'As-Filed Schedule 2E'!J19</f>
        <v>0</v>
      </c>
      <c r="O19" s="309">
        <f>SUMIFS(Adjustments!$G:$G,Adjustments!$H:$H,"2E",Adjustments!$I:$I,'Schedule 2E Adjustments'!$N$12,Adjustments!$J:$J,'Schedule 2E Adjustments'!$A19)</f>
        <v>0</v>
      </c>
      <c r="P19" s="305">
        <f t="shared" si="3"/>
        <v>0</v>
      </c>
      <c r="Q19" s="68">
        <f>IFERROR(N19*'As-Filed Schedule 1'!$E$103,0)</f>
        <v>0</v>
      </c>
      <c r="R19" s="68">
        <f>IFERROR(P19*'Adjusted Schedule 1'!$E$104,0)</f>
        <v>0</v>
      </c>
      <c r="S19" s="68">
        <f t="shared" si="4"/>
        <v>0</v>
      </c>
      <c r="T19" s="306">
        <f t="shared" si="5"/>
        <v>0</v>
      </c>
      <c r="V19" s="119">
        <f>'As-Filed Schedule 2E'!N19</f>
        <v>0</v>
      </c>
      <c r="W19" s="309">
        <f>SUMIFS(Adjustments!$G:$G,Adjustments!$H:$H,"2E",Adjustments!$I:$I,'Schedule 2E Adjustments'!$V$12,Adjustments!$J:$J,'Schedule 2E Adjustments'!$A19)</f>
        <v>0</v>
      </c>
      <c r="X19" s="305">
        <f t="shared" si="6"/>
        <v>0</v>
      </c>
      <c r="Y19" s="119">
        <f>'As-Filed Schedule 2E'!O19</f>
        <v>0</v>
      </c>
      <c r="Z19" s="309">
        <f>SUMIFS(Adjustments!$G:$G,Adjustments!$H:$H,"2E",Adjustments!$I:$I,'Schedule 2E Adjustments'!$Y$12,Adjustments!$J:$J,'Schedule 2E Adjustments'!$A19)</f>
        <v>0</v>
      </c>
      <c r="AA19" s="305">
        <f t="shared" si="7"/>
        <v>0</v>
      </c>
    </row>
    <row r="20" spans="1:27" x14ac:dyDescent="0.35">
      <c r="A20" s="24">
        <v>6</v>
      </c>
      <c r="B20" s="514" t="str">
        <f>IF('As-Filed Schedule 2E'!B20:D20=0,"",'As-Filed Schedule 2E'!B20:D20)</f>
        <v/>
      </c>
      <c r="C20" s="514"/>
      <c r="D20" s="514"/>
      <c r="F20" s="117">
        <f>'As-Filed Schedule 2E'!F20</f>
        <v>0</v>
      </c>
      <c r="G20" s="309">
        <f>SUMIFS(Adjustments!$G:$G,Adjustments!$H:$H,"2E",Adjustments!$I:$I,'Schedule 2E Adjustments'!$F$12,Adjustments!$J:$J,'Schedule 2E Adjustments'!$A20)</f>
        <v>0</v>
      </c>
      <c r="H20" s="305">
        <f t="shared" si="0"/>
        <v>0</v>
      </c>
      <c r="I20" s="68">
        <f>IFERROR(F20*'As-Filed Schedule 1'!$E$103,0)</f>
        <v>0</v>
      </c>
      <c r="J20" s="306">
        <f>IFERROR(H20*'Adjusted Schedule 1'!$E$104,0)</f>
        <v>0</v>
      </c>
      <c r="K20" s="68">
        <f>SUM(F20,I20)</f>
        <v>0</v>
      </c>
      <c r="L20" s="306">
        <f t="shared" si="2"/>
        <v>0</v>
      </c>
      <c r="N20" s="117">
        <f>'As-Filed Schedule 2E'!J20</f>
        <v>0</v>
      </c>
      <c r="O20" s="309">
        <f>SUMIFS(Adjustments!$G:$G,Adjustments!$H:$H,"2E",Adjustments!$I:$I,'Schedule 2E Adjustments'!$N$12,Adjustments!$J:$J,'Schedule 2E Adjustments'!$A20)</f>
        <v>0</v>
      </c>
      <c r="P20" s="305">
        <f t="shared" si="3"/>
        <v>0</v>
      </c>
      <c r="Q20" s="68">
        <f>IFERROR(N20*'As-Filed Schedule 1'!$E$103,0)</f>
        <v>0</v>
      </c>
      <c r="R20" s="68">
        <f>IFERROR(P20*'Adjusted Schedule 1'!$E$104,0)</f>
        <v>0</v>
      </c>
      <c r="S20" s="68">
        <f t="shared" si="4"/>
        <v>0</v>
      </c>
      <c r="T20" s="306">
        <f t="shared" si="5"/>
        <v>0</v>
      </c>
      <c r="V20" s="119">
        <f>'As-Filed Schedule 2E'!N20</f>
        <v>0</v>
      </c>
      <c r="W20" s="309">
        <f>SUMIFS(Adjustments!$G:$G,Adjustments!$H:$H,"2E",Adjustments!$I:$I,'Schedule 2E Adjustments'!$V$12,Adjustments!$J:$J,'Schedule 2E Adjustments'!$A20)</f>
        <v>0</v>
      </c>
      <c r="X20" s="305">
        <f t="shared" si="6"/>
        <v>0</v>
      </c>
      <c r="Y20" s="119">
        <f>'As-Filed Schedule 2E'!O20</f>
        <v>0</v>
      </c>
      <c r="Z20" s="309">
        <f>SUMIFS(Adjustments!$G:$G,Adjustments!$H:$H,"2E",Adjustments!$I:$I,'Schedule 2E Adjustments'!$Y$12,Adjustments!$J:$J,'Schedule 2E Adjustments'!$A20)</f>
        <v>0</v>
      </c>
      <c r="AA20" s="305">
        <f t="shared" si="7"/>
        <v>0</v>
      </c>
    </row>
    <row r="21" spans="1:27" x14ac:dyDescent="0.35">
      <c r="A21" s="24">
        <v>7</v>
      </c>
      <c r="B21" s="514" t="str">
        <f>IF('As-Filed Schedule 2E'!B21:D21=0,"",'As-Filed Schedule 2E'!B21:D21)</f>
        <v/>
      </c>
      <c r="C21" s="514"/>
      <c r="D21" s="514"/>
      <c r="F21" s="117">
        <f>'As-Filed Schedule 2E'!F21</f>
        <v>0</v>
      </c>
      <c r="G21" s="309">
        <f>SUMIFS(Adjustments!$G:$G,Adjustments!$H:$H,"2E",Adjustments!$I:$I,'Schedule 2E Adjustments'!$F$12,Adjustments!$J:$J,'Schedule 2E Adjustments'!$A21)</f>
        <v>0</v>
      </c>
      <c r="H21" s="305">
        <f t="shared" si="0"/>
        <v>0</v>
      </c>
      <c r="I21" s="68">
        <f>IFERROR(F21*'As-Filed Schedule 1'!$E$103,0)</f>
        <v>0</v>
      </c>
      <c r="J21" s="306">
        <f>IFERROR(H21*'Adjusted Schedule 1'!$E$104,0)</f>
        <v>0</v>
      </c>
      <c r="K21" s="68">
        <f t="shared" si="1"/>
        <v>0</v>
      </c>
      <c r="L21" s="306">
        <f t="shared" si="2"/>
        <v>0</v>
      </c>
      <c r="N21" s="117">
        <f>'As-Filed Schedule 2E'!J21</f>
        <v>0</v>
      </c>
      <c r="O21" s="309">
        <f>SUMIFS(Adjustments!$G:$G,Adjustments!$H:$H,"2E",Adjustments!$I:$I,'Schedule 2E Adjustments'!$N$12,Adjustments!$J:$J,'Schedule 2E Adjustments'!$A21)</f>
        <v>0</v>
      </c>
      <c r="P21" s="305">
        <f t="shared" si="3"/>
        <v>0</v>
      </c>
      <c r="Q21" s="68">
        <f>IFERROR(N21*'As-Filed Schedule 1'!$E$103,0)</f>
        <v>0</v>
      </c>
      <c r="R21" s="68">
        <f>IFERROR(P21*'Adjusted Schedule 1'!$E$104,0)</f>
        <v>0</v>
      </c>
      <c r="S21" s="68">
        <f>SUM(N21,Q21)</f>
        <v>0</v>
      </c>
      <c r="T21" s="306">
        <f>SUM(P21,R21)</f>
        <v>0</v>
      </c>
      <c r="V21" s="119">
        <f>'As-Filed Schedule 2E'!N21</f>
        <v>0</v>
      </c>
      <c r="W21" s="309">
        <f>SUMIFS(Adjustments!$G:$G,Adjustments!$H:$H,"2E",Adjustments!$I:$I,'Schedule 2E Adjustments'!$V$12,Adjustments!$J:$J,'Schedule 2E Adjustments'!$A21)</f>
        <v>0</v>
      </c>
      <c r="X21" s="305">
        <f t="shared" si="6"/>
        <v>0</v>
      </c>
      <c r="Y21" s="119">
        <f>'As-Filed Schedule 2E'!O21</f>
        <v>0</v>
      </c>
      <c r="Z21" s="309">
        <f>SUMIFS(Adjustments!$G:$G,Adjustments!$H:$H,"2E",Adjustments!$I:$I,'Schedule 2E Adjustments'!$Y$12,Adjustments!$J:$J,'Schedule 2E Adjustments'!$A21)</f>
        <v>0</v>
      </c>
      <c r="AA21" s="305">
        <f t="shared" si="7"/>
        <v>0</v>
      </c>
    </row>
    <row r="22" spans="1:27" x14ac:dyDescent="0.35">
      <c r="A22" s="24">
        <v>8</v>
      </c>
      <c r="B22" s="514" t="str">
        <f>IF('As-Filed Schedule 2E'!B22:D22=0,"",'As-Filed Schedule 2E'!B22:D22)</f>
        <v/>
      </c>
      <c r="C22" s="514"/>
      <c r="D22" s="514"/>
      <c r="F22" s="117">
        <f>'As-Filed Schedule 2E'!F22</f>
        <v>0</v>
      </c>
      <c r="G22" s="309">
        <f>SUMIFS(Adjustments!$G:$G,Adjustments!$H:$H,"2E",Adjustments!$I:$I,'Schedule 2E Adjustments'!$F$12,Adjustments!$J:$J,'Schedule 2E Adjustments'!$A22)</f>
        <v>0</v>
      </c>
      <c r="H22" s="305">
        <f t="shared" si="0"/>
        <v>0</v>
      </c>
      <c r="I22" s="68">
        <f>IFERROR(F22*'As-Filed Schedule 1'!$E$103,0)</f>
        <v>0</v>
      </c>
      <c r="J22" s="306">
        <f>IFERROR(H22*'Adjusted Schedule 1'!$E$104,0)</f>
        <v>0</v>
      </c>
      <c r="K22" s="68">
        <f t="shared" si="1"/>
        <v>0</v>
      </c>
      <c r="L22" s="306">
        <f t="shared" si="2"/>
        <v>0</v>
      </c>
      <c r="N22" s="117">
        <f>'As-Filed Schedule 2E'!J22</f>
        <v>0</v>
      </c>
      <c r="O22" s="309">
        <f>SUMIFS(Adjustments!$G:$G,Adjustments!$H:$H,"2E",Adjustments!$I:$I,'Schedule 2E Adjustments'!$N$12,Adjustments!$J:$J,'Schedule 2E Adjustments'!$A22)</f>
        <v>0</v>
      </c>
      <c r="P22" s="305">
        <f t="shared" si="3"/>
        <v>0</v>
      </c>
      <c r="Q22" s="68">
        <f>IFERROR(N22*'As-Filed Schedule 1'!$E$103,0)</f>
        <v>0</v>
      </c>
      <c r="R22" s="68">
        <f>IFERROR(P22*'Adjusted Schedule 1'!$E$104,0)</f>
        <v>0</v>
      </c>
      <c r="S22" s="68">
        <f t="shared" si="4"/>
        <v>0</v>
      </c>
      <c r="T22" s="306">
        <f t="shared" si="5"/>
        <v>0</v>
      </c>
      <c r="V22" s="119">
        <f>'As-Filed Schedule 2E'!N22</f>
        <v>0</v>
      </c>
      <c r="W22" s="309">
        <f>SUMIFS(Adjustments!$G:$G,Adjustments!$H:$H,"2E",Adjustments!$I:$I,'Schedule 2E Adjustments'!$V$12,Adjustments!$J:$J,'Schedule 2E Adjustments'!$A22)</f>
        <v>0</v>
      </c>
      <c r="X22" s="305">
        <f t="shared" si="6"/>
        <v>0</v>
      </c>
      <c r="Y22" s="119">
        <f>'As-Filed Schedule 2E'!O22</f>
        <v>0</v>
      </c>
      <c r="Z22" s="309">
        <f>SUMIFS(Adjustments!$G:$G,Adjustments!$H:$H,"2E",Adjustments!$I:$I,'Schedule 2E Adjustments'!$Y$12,Adjustments!$J:$J,'Schedule 2E Adjustments'!$A22)</f>
        <v>0</v>
      </c>
      <c r="AA22" s="305">
        <f t="shared" si="7"/>
        <v>0</v>
      </c>
    </row>
    <row r="23" spans="1:27" x14ac:dyDescent="0.35">
      <c r="A23" s="24">
        <v>9</v>
      </c>
      <c r="B23" s="514" t="str">
        <f>IF('As-Filed Schedule 2E'!B23:D23=0,"",'As-Filed Schedule 2E'!B23:D23)</f>
        <v/>
      </c>
      <c r="C23" s="514"/>
      <c r="D23" s="514"/>
      <c r="F23" s="117">
        <f>'As-Filed Schedule 2E'!F23</f>
        <v>0</v>
      </c>
      <c r="G23" s="309">
        <f>SUMIFS(Adjustments!$G:$G,Adjustments!$H:$H,"2E",Adjustments!$I:$I,'Schedule 2E Adjustments'!$F$12,Adjustments!$J:$J,'Schedule 2E Adjustments'!$A23)</f>
        <v>0</v>
      </c>
      <c r="H23" s="305">
        <f t="shared" si="0"/>
        <v>0</v>
      </c>
      <c r="I23" s="68">
        <f>IFERROR(F23*'As-Filed Schedule 1'!$E$103,0)</f>
        <v>0</v>
      </c>
      <c r="J23" s="306">
        <f>IFERROR(H23*'Adjusted Schedule 1'!$E$104,0)</f>
        <v>0</v>
      </c>
      <c r="K23" s="68">
        <f t="shared" si="1"/>
        <v>0</v>
      </c>
      <c r="L23" s="306">
        <f t="shared" si="2"/>
        <v>0</v>
      </c>
      <c r="N23" s="117">
        <f>'As-Filed Schedule 2E'!J23</f>
        <v>0</v>
      </c>
      <c r="O23" s="309">
        <f>SUMIFS(Adjustments!$G:$G,Adjustments!$H:$H,"2E",Adjustments!$I:$I,'Schedule 2E Adjustments'!$N$12,Adjustments!$J:$J,'Schedule 2E Adjustments'!$A23)</f>
        <v>0</v>
      </c>
      <c r="P23" s="305">
        <f t="shared" si="3"/>
        <v>0</v>
      </c>
      <c r="Q23" s="68">
        <f>IFERROR(N23*'As-Filed Schedule 1'!$E$103,0)</f>
        <v>0</v>
      </c>
      <c r="R23" s="68">
        <f>IFERROR(P23*'Adjusted Schedule 1'!$E$104,0)</f>
        <v>0</v>
      </c>
      <c r="S23" s="68">
        <f t="shared" si="4"/>
        <v>0</v>
      </c>
      <c r="T23" s="306">
        <f t="shared" si="5"/>
        <v>0</v>
      </c>
      <c r="V23" s="119">
        <f>'As-Filed Schedule 2E'!N23</f>
        <v>0</v>
      </c>
      <c r="W23" s="309">
        <f>SUMIFS(Adjustments!$G:$G,Adjustments!$H:$H,"2E",Adjustments!$I:$I,'Schedule 2E Adjustments'!$V$12,Adjustments!$J:$J,'Schedule 2E Adjustments'!$A23)</f>
        <v>0</v>
      </c>
      <c r="X23" s="305">
        <f t="shared" si="6"/>
        <v>0</v>
      </c>
      <c r="Y23" s="119">
        <f>'As-Filed Schedule 2E'!O23</f>
        <v>0</v>
      </c>
      <c r="Z23" s="309">
        <f>SUMIFS(Adjustments!$G:$G,Adjustments!$H:$H,"2E",Adjustments!$I:$I,'Schedule 2E Adjustments'!$Y$12,Adjustments!$J:$J,'Schedule 2E Adjustments'!$A23)</f>
        <v>0</v>
      </c>
      <c r="AA23" s="305">
        <f t="shared" si="7"/>
        <v>0</v>
      </c>
    </row>
    <row r="24" spans="1:27" x14ac:dyDescent="0.35">
      <c r="A24" s="24">
        <v>10</v>
      </c>
      <c r="B24" s="514" t="str">
        <f>IF('As-Filed Schedule 2E'!B24:D24=0,"",'As-Filed Schedule 2E'!B24:D24)</f>
        <v/>
      </c>
      <c r="C24" s="514"/>
      <c r="D24" s="514"/>
      <c r="F24" s="117">
        <f>'As-Filed Schedule 2E'!F24</f>
        <v>0</v>
      </c>
      <c r="G24" s="309">
        <f>SUMIFS(Adjustments!$G:$G,Adjustments!$H:$H,"2E",Adjustments!$I:$I,'Schedule 2E Adjustments'!$F$12,Adjustments!$J:$J,'Schedule 2E Adjustments'!$A24)</f>
        <v>0</v>
      </c>
      <c r="H24" s="305">
        <f t="shared" si="0"/>
        <v>0</v>
      </c>
      <c r="I24" s="68">
        <f>IFERROR(F24*'As-Filed Schedule 1'!$E$103,0)</f>
        <v>0</v>
      </c>
      <c r="J24" s="306">
        <f>IFERROR(H24*'Adjusted Schedule 1'!$E$104,0)</f>
        <v>0</v>
      </c>
      <c r="K24" s="68">
        <f t="shared" si="1"/>
        <v>0</v>
      </c>
      <c r="L24" s="306">
        <f t="shared" si="2"/>
        <v>0</v>
      </c>
      <c r="N24" s="117">
        <f>'As-Filed Schedule 2E'!J24</f>
        <v>0</v>
      </c>
      <c r="O24" s="309">
        <f>SUMIFS(Adjustments!$G:$G,Adjustments!$H:$H,"2E",Adjustments!$I:$I,'Schedule 2E Adjustments'!$N$12,Adjustments!$J:$J,'Schedule 2E Adjustments'!$A24)</f>
        <v>0</v>
      </c>
      <c r="P24" s="305">
        <f t="shared" si="3"/>
        <v>0</v>
      </c>
      <c r="Q24" s="68">
        <f>IFERROR(N24*'As-Filed Schedule 1'!$E$103,0)</f>
        <v>0</v>
      </c>
      <c r="R24" s="68">
        <f>IFERROR(P24*'Adjusted Schedule 1'!$E$104,0)</f>
        <v>0</v>
      </c>
      <c r="S24" s="68">
        <f t="shared" si="4"/>
        <v>0</v>
      </c>
      <c r="T24" s="306">
        <f t="shared" si="5"/>
        <v>0</v>
      </c>
      <c r="V24" s="119">
        <f>'As-Filed Schedule 2E'!N24</f>
        <v>0</v>
      </c>
      <c r="W24" s="309">
        <f>SUMIFS(Adjustments!$G:$G,Adjustments!$H:$H,"2E",Adjustments!$I:$I,'Schedule 2E Adjustments'!$V$12,Adjustments!$J:$J,'Schedule 2E Adjustments'!$A24)</f>
        <v>0</v>
      </c>
      <c r="X24" s="305">
        <f t="shared" si="6"/>
        <v>0</v>
      </c>
      <c r="Y24" s="119">
        <f>'As-Filed Schedule 2E'!O24</f>
        <v>0</v>
      </c>
      <c r="Z24" s="309">
        <f>SUMIFS(Adjustments!$G:$G,Adjustments!$H:$H,"2E",Adjustments!$I:$I,'Schedule 2E Adjustments'!$Y$12,Adjustments!$J:$J,'Schedule 2E Adjustments'!$A24)</f>
        <v>0</v>
      </c>
      <c r="AA24" s="305">
        <f t="shared" si="7"/>
        <v>0</v>
      </c>
    </row>
    <row r="25" spans="1:27" x14ac:dyDescent="0.35">
      <c r="A25" s="24">
        <v>11</v>
      </c>
      <c r="B25" s="514" t="str">
        <f>IF('As-Filed Schedule 2E'!B25:D25=0,"",'As-Filed Schedule 2E'!B25:D25)</f>
        <v/>
      </c>
      <c r="C25" s="514"/>
      <c r="D25" s="514"/>
      <c r="F25" s="117">
        <f>'As-Filed Schedule 2E'!F25</f>
        <v>0</v>
      </c>
      <c r="G25" s="309">
        <f>SUMIFS(Adjustments!$G:$G,Adjustments!$H:$H,"2E",Adjustments!$I:$I,'Schedule 2E Adjustments'!$F$12,Adjustments!$J:$J,'Schedule 2E Adjustments'!$A25)</f>
        <v>0</v>
      </c>
      <c r="H25" s="305">
        <f t="shared" si="0"/>
        <v>0</v>
      </c>
      <c r="I25" s="68">
        <f>IFERROR(F25*'As-Filed Schedule 1'!$E$103,0)</f>
        <v>0</v>
      </c>
      <c r="J25" s="306">
        <f>IFERROR(H25*'Adjusted Schedule 1'!$E$104,0)</f>
        <v>0</v>
      </c>
      <c r="K25" s="68">
        <f t="shared" si="1"/>
        <v>0</v>
      </c>
      <c r="L25" s="306">
        <f t="shared" si="2"/>
        <v>0</v>
      </c>
      <c r="N25" s="117">
        <f>'As-Filed Schedule 2E'!J25</f>
        <v>0</v>
      </c>
      <c r="O25" s="309">
        <f>SUMIFS(Adjustments!$G:$G,Adjustments!$H:$H,"2E",Adjustments!$I:$I,'Schedule 2E Adjustments'!$N$12,Adjustments!$J:$J,'Schedule 2E Adjustments'!$A25)</f>
        <v>0</v>
      </c>
      <c r="P25" s="305">
        <f t="shared" si="3"/>
        <v>0</v>
      </c>
      <c r="Q25" s="68">
        <f>IFERROR(N25*'As-Filed Schedule 1'!$E$103,0)</f>
        <v>0</v>
      </c>
      <c r="R25" s="68">
        <f>IFERROR(P25*'Adjusted Schedule 1'!$E$104,0)</f>
        <v>0</v>
      </c>
      <c r="S25" s="68">
        <f t="shared" si="4"/>
        <v>0</v>
      </c>
      <c r="T25" s="306">
        <f t="shared" si="5"/>
        <v>0</v>
      </c>
      <c r="V25" s="119">
        <f>'As-Filed Schedule 2E'!N25</f>
        <v>0</v>
      </c>
      <c r="W25" s="309">
        <f>SUMIFS(Adjustments!$G:$G,Adjustments!$H:$H,"2E",Adjustments!$I:$I,'Schedule 2E Adjustments'!$V$12,Adjustments!$J:$J,'Schedule 2E Adjustments'!$A25)</f>
        <v>0</v>
      </c>
      <c r="X25" s="305">
        <f t="shared" si="6"/>
        <v>0</v>
      </c>
      <c r="Y25" s="119">
        <f>'As-Filed Schedule 2E'!O25</f>
        <v>0</v>
      </c>
      <c r="Z25" s="309">
        <f>SUMIFS(Adjustments!$G:$G,Adjustments!$H:$H,"2E",Adjustments!$I:$I,'Schedule 2E Adjustments'!$Y$12,Adjustments!$J:$J,'Schedule 2E Adjustments'!$A25)</f>
        <v>0</v>
      </c>
      <c r="AA25" s="305">
        <f t="shared" si="7"/>
        <v>0</v>
      </c>
    </row>
    <row r="26" spans="1:27" x14ac:dyDescent="0.35">
      <c r="A26" s="24">
        <v>12</v>
      </c>
      <c r="B26" s="514" t="str">
        <f>IF('As-Filed Schedule 2E'!B26:D26=0,"",'As-Filed Schedule 2E'!B26:D26)</f>
        <v/>
      </c>
      <c r="C26" s="514"/>
      <c r="D26" s="514"/>
      <c r="F26" s="117">
        <f>'As-Filed Schedule 2E'!F26</f>
        <v>0</v>
      </c>
      <c r="G26" s="309">
        <f>SUMIFS(Adjustments!$G:$G,Adjustments!$H:$H,"2E",Adjustments!$I:$I,'Schedule 2E Adjustments'!$F$12,Adjustments!$J:$J,'Schedule 2E Adjustments'!$A26)</f>
        <v>0</v>
      </c>
      <c r="H26" s="305">
        <f t="shared" si="0"/>
        <v>0</v>
      </c>
      <c r="I26" s="68">
        <f>IFERROR(F26*'As-Filed Schedule 1'!$E$103,0)</f>
        <v>0</v>
      </c>
      <c r="J26" s="306">
        <f>IFERROR(H26*'Adjusted Schedule 1'!$E$104,0)</f>
        <v>0</v>
      </c>
      <c r="K26" s="68">
        <f t="shared" si="1"/>
        <v>0</v>
      </c>
      <c r="L26" s="306">
        <f t="shared" si="2"/>
        <v>0</v>
      </c>
      <c r="N26" s="117">
        <f>'As-Filed Schedule 2E'!J26</f>
        <v>0</v>
      </c>
      <c r="O26" s="309">
        <f>SUMIFS(Adjustments!$G:$G,Adjustments!$H:$H,"2E",Adjustments!$I:$I,'Schedule 2E Adjustments'!$N$12,Adjustments!$J:$J,'Schedule 2E Adjustments'!$A26)</f>
        <v>0</v>
      </c>
      <c r="P26" s="305">
        <f t="shared" si="3"/>
        <v>0</v>
      </c>
      <c r="Q26" s="68">
        <f>IFERROR(N26*'As-Filed Schedule 1'!$E$103,0)</f>
        <v>0</v>
      </c>
      <c r="R26" s="68">
        <f>IFERROR(P26*'Adjusted Schedule 1'!$E$104,0)</f>
        <v>0</v>
      </c>
      <c r="S26" s="68">
        <f t="shared" si="4"/>
        <v>0</v>
      </c>
      <c r="T26" s="306">
        <f t="shared" si="5"/>
        <v>0</v>
      </c>
      <c r="V26" s="119">
        <f>'As-Filed Schedule 2E'!N26</f>
        <v>0</v>
      </c>
      <c r="W26" s="309">
        <f>SUMIFS(Adjustments!$G:$G,Adjustments!$H:$H,"2E",Adjustments!$I:$I,'Schedule 2E Adjustments'!$V$12,Adjustments!$J:$J,'Schedule 2E Adjustments'!$A26)</f>
        <v>0</v>
      </c>
      <c r="X26" s="305">
        <f t="shared" si="6"/>
        <v>0</v>
      </c>
      <c r="Y26" s="119">
        <f>'As-Filed Schedule 2E'!O26</f>
        <v>0</v>
      </c>
      <c r="Z26" s="309">
        <f>SUMIFS(Adjustments!$G:$G,Adjustments!$H:$H,"2E",Adjustments!$I:$I,'Schedule 2E Adjustments'!$Y$12,Adjustments!$J:$J,'Schedule 2E Adjustments'!$A26)</f>
        <v>0</v>
      </c>
      <c r="AA26" s="305">
        <f t="shared" si="7"/>
        <v>0</v>
      </c>
    </row>
    <row r="27" spans="1:27" x14ac:dyDescent="0.35">
      <c r="A27" s="24">
        <v>13</v>
      </c>
      <c r="B27" s="514" t="str">
        <f>IF('As-Filed Schedule 2E'!B27:D27=0,"",'As-Filed Schedule 2E'!B27:D27)</f>
        <v/>
      </c>
      <c r="C27" s="514"/>
      <c r="D27" s="514"/>
      <c r="F27" s="117">
        <f>'As-Filed Schedule 2E'!F27</f>
        <v>0</v>
      </c>
      <c r="G27" s="309">
        <f>SUMIFS(Adjustments!$G:$G,Adjustments!$H:$H,"2E",Adjustments!$I:$I,'Schedule 2E Adjustments'!$F$12,Adjustments!$J:$J,'Schedule 2E Adjustments'!$A27)</f>
        <v>0</v>
      </c>
      <c r="H27" s="305">
        <f t="shared" si="0"/>
        <v>0</v>
      </c>
      <c r="I27" s="68">
        <f>IFERROR(F27*'As-Filed Schedule 1'!$E$103,0)</f>
        <v>0</v>
      </c>
      <c r="J27" s="306">
        <f>IFERROR(H27*'Adjusted Schedule 1'!$E$104,0)</f>
        <v>0</v>
      </c>
      <c r="K27" s="68">
        <f t="shared" si="1"/>
        <v>0</v>
      </c>
      <c r="L27" s="306">
        <f t="shared" si="2"/>
        <v>0</v>
      </c>
      <c r="N27" s="117">
        <f>'As-Filed Schedule 2E'!J27</f>
        <v>0</v>
      </c>
      <c r="O27" s="309">
        <f>SUMIFS(Adjustments!$G:$G,Adjustments!$H:$H,"2E",Adjustments!$I:$I,'Schedule 2E Adjustments'!$N$12,Adjustments!$J:$J,'Schedule 2E Adjustments'!$A27)</f>
        <v>0</v>
      </c>
      <c r="P27" s="305">
        <f t="shared" si="3"/>
        <v>0</v>
      </c>
      <c r="Q27" s="68">
        <f>IFERROR(N27*'As-Filed Schedule 1'!$E$103,0)</f>
        <v>0</v>
      </c>
      <c r="R27" s="68">
        <f>IFERROR(P27*'Adjusted Schedule 1'!$E$104,0)</f>
        <v>0</v>
      </c>
      <c r="S27" s="68">
        <f t="shared" si="4"/>
        <v>0</v>
      </c>
      <c r="T27" s="306">
        <f t="shared" si="5"/>
        <v>0</v>
      </c>
      <c r="V27" s="119">
        <f>'As-Filed Schedule 2E'!N27</f>
        <v>0</v>
      </c>
      <c r="W27" s="309">
        <f>SUMIFS(Adjustments!$G:$G,Adjustments!$H:$H,"2E",Adjustments!$I:$I,'Schedule 2E Adjustments'!$V$12,Adjustments!$J:$J,'Schedule 2E Adjustments'!$A27)</f>
        <v>0</v>
      </c>
      <c r="X27" s="305">
        <f t="shared" si="6"/>
        <v>0</v>
      </c>
      <c r="Y27" s="119">
        <f>'As-Filed Schedule 2E'!O27</f>
        <v>0</v>
      </c>
      <c r="Z27" s="309">
        <f>SUMIFS(Adjustments!$G:$G,Adjustments!$H:$H,"2E",Adjustments!$I:$I,'Schedule 2E Adjustments'!$Y$12,Adjustments!$J:$J,'Schedule 2E Adjustments'!$A27)</f>
        <v>0</v>
      </c>
      <c r="AA27" s="305">
        <f t="shared" si="7"/>
        <v>0</v>
      </c>
    </row>
    <row r="28" spans="1:27" x14ac:dyDescent="0.35">
      <c r="A28" s="24">
        <v>14</v>
      </c>
      <c r="B28" s="514" t="str">
        <f>IF('As-Filed Schedule 2E'!B28:D28=0,"",'As-Filed Schedule 2E'!B28:D28)</f>
        <v/>
      </c>
      <c r="C28" s="514"/>
      <c r="D28" s="514"/>
      <c r="F28" s="117">
        <f>'As-Filed Schedule 2E'!F28</f>
        <v>0</v>
      </c>
      <c r="G28" s="309">
        <f>SUMIFS(Adjustments!$G:$G,Adjustments!$H:$H,"2E",Adjustments!$I:$I,'Schedule 2E Adjustments'!$F$12,Adjustments!$J:$J,'Schedule 2E Adjustments'!$A28)</f>
        <v>0</v>
      </c>
      <c r="H28" s="305">
        <f t="shared" si="0"/>
        <v>0</v>
      </c>
      <c r="I28" s="68">
        <f>IFERROR(F28*'As-Filed Schedule 1'!$E$103,0)</f>
        <v>0</v>
      </c>
      <c r="J28" s="306">
        <f>IFERROR(H28*'Adjusted Schedule 1'!$E$104,0)</f>
        <v>0</v>
      </c>
      <c r="K28" s="68">
        <f t="shared" si="1"/>
        <v>0</v>
      </c>
      <c r="L28" s="306">
        <f t="shared" si="2"/>
        <v>0</v>
      </c>
      <c r="N28" s="117">
        <f>'As-Filed Schedule 2E'!J28</f>
        <v>0</v>
      </c>
      <c r="O28" s="309">
        <f>SUMIFS(Adjustments!$G:$G,Adjustments!$H:$H,"2E",Adjustments!$I:$I,'Schedule 2E Adjustments'!$N$12,Adjustments!$J:$J,'Schedule 2E Adjustments'!$A28)</f>
        <v>0</v>
      </c>
      <c r="P28" s="305">
        <f t="shared" si="3"/>
        <v>0</v>
      </c>
      <c r="Q28" s="68">
        <f>IFERROR(N28*'As-Filed Schedule 1'!$E$103,0)</f>
        <v>0</v>
      </c>
      <c r="R28" s="68">
        <f>IFERROR(P28*'Adjusted Schedule 1'!$E$104,0)</f>
        <v>0</v>
      </c>
      <c r="S28" s="68">
        <f t="shared" si="4"/>
        <v>0</v>
      </c>
      <c r="T28" s="306">
        <f t="shared" si="5"/>
        <v>0</v>
      </c>
      <c r="V28" s="119">
        <f>'As-Filed Schedule 2E'!N28</f>
        <v>0</v>
      </c>
      <c r="W28" s="309">
        <f>SUMIFS(Adjustments!$G:$G,Adjustments!$H:$H,"2E",Adjustments!$I:$I,'Schedule 2E Adjustments'!$V$12,Adjustments!$J:$J,'Schedule 2E Adjustments'!$A28)</f>
        <v>0</v>
      </c>
      <c r="X28" s="305">
        <f t="shared" si="6"/>
        <v>0</v>
      </c>
      <c r="Y28" s="119">
        <f>'As-Filed Schedule 2E'!O28</f>
        <v>0</v>
      </c>
      <c r="Z28" s="309">
        <f>SUMIFS(Adjustments!$G:$G,Adjustments!$H:$H,"2E",Adjustments!$I:$I,'Schedule 2E Adjustments'!$Y$12,Adjustments!$J:$J,'Schedule 2E Adjustments'!$A28)</f>
        <v>0</v>
      </c>
      <c r="AA28" s="305">
        <f t="shared" si="7"/>
        <v>0</v>
      </c>
    </row>
    <row r="29" spans="1:27" x14ac:dyDescent="0.35">
      <c r="A29" s="24">
        <v>15</v>
      </c>
      <c r="B29" s="514" t="str">
        <f>IF('As-Filed Schedule 2E'!B29:D29=0,"",'As-Filed Schedule 2E'!B29:D29)</f>
        <v/>
      </c>
      <c r="C29" s="514"/>
      <c r="D29" s="514"/>
      <c r="F29" s="117">
        <f>'As-Filed Schedule 2E'!F29</f>
        <v>0</v>
      </c>
      <c r="G29" s="309">
        <f>SUMIFS(Adjustments!$G:$G,Adjustments!$H:$H,"2E",Adjustments!$I:$I,'Schedule 2E Adjustments'!$F$12,Adjustments!$J:$J,'Schedule 2E Adjustments'!$A29)</f>
        <v>0</v>
      </c>
      <c r="H29" s="305">
        <f t="shared" si="0"/>
        <v>0</v>
      </c>
      <c r="I29" s="68">
        <f>IFERROR(F29*'As-Filed Schedule 1'!$E$103,0)</f>
        <v>0</v>
      </c>
      <c r="J29" s="306">
        <f>IFERROR(H29*'Adjusted Schedule 1'!$E$104,0)</f>
        <v>0</v>
      </c>
      <c r="K29" s="68">
        <f t="shared" si="1"/>
        <v>0</v>
      </c>
      <c r="L29" s="306">
        <f t="shared" si="2"/>
        <v>0</v>
      </c>
      <c r="N29" s="117">
        <f>'As-Filed Schedule 2E'!J29</f>
        <v>0</v>
      </c>
      <c r="O29" s="309">
        <f>SUMIFS(Adjustments!$G:$G,Adjustments!$H:$H,"2E",Adjustments!$I:$I,'Schedule 2E Adjustments'!$N$12,Adjustments!$J:$J,'Schedule 2E Adjustments'!$A29)</f>
        <v>0</v>
      </c>
      <c r="P29" s="305">
        <f t="shared" si="3"/>
        <v>0</v>
      </c>
      <c r="Q29" s="68">
        <f>IFERROR(N29*'As-Filed Schedule 1'!$E$103,0)</f>
        <v>0</v>
      </c>
      <c r="R29" s="68">
        <f>IFERROR(P29*'Adjusted Schedule 1'!$E$104,0)</f>
        <v>0</v>
      </c>
      <c r="S29" s="68">
        <f t="shared" si="4"/>
        <v>0</v>
      </c>
      <c r="T29" s="306">
        <f t="shared" si="5"/>
        <v>0</v>
      </c>
      <c r="V29" s="119">
        <f>'As-Filed Schedule 2E'!N29</f>
        <v>0</v>
      </c>
      <c r="W29" s="309">
        <f>SUMIFS(Adjustments!$G:$G,Adjustments!$H:$H,"2E",Adjustments!$I:$I,'Schedule 2E Adjustments'!$V$12,Adjustments!$J:$J,'Schedule 2E Adjustments'!$A29)</f>
        <v>0</v>
      </c>
      <c r="X29" s="305">
        <f t="shared" si="6"/>
        <v>0</v>
      </c>
      <c r="Y29" s="119">
        <f>'As-Filed Schedule 2E'!O29</f>
        <v>0</v>
      </c>
      <c r="Z29" s="309">
        <f>SUMIFS(Adjustments!$G:$G,Adjustments!$H:$H,"2E",Adjustments!$I:$I,'Schedule 2E Adjustments'!$Y$12,Adjustments!$J:$J,'Schedule 2E Adjustments'!$A29)</f>
        <v>0</v>
      </c>
      <c r="AA29" s="305">
        <f t="shared" si="7"/>
        <v>0</v>
      </c>
    </row>
    <row r="30" spans="1:27" x14ac:dyDescent="0.35">
      <c r="A30" s="24">
        <v>16</v>
      </c>
      <c r="B30" s="514" t="str">
        <f>IF('As-Filed Schedule 2E'!B30:D30=0,"",'As-Filed Schedule 2E'!B30:D30)</f>
        <v/>
      </c>
      <c r="C30" s="514"/>
      <c r="D30" s="514"/>
      <c r="F30" s="117">
        <f>'As-Filed Schedule 2E'!F30</f>
        <v>0</v>
      </c>
      <c r="G30" s="309">
        <f>SUMIFS(Adjustments!$G:$G,Adjustments!$H:$H,"2E",Adjustments!$I:$I,'Schedule 2E Adjustments'!$F$12,Adjustments!$J:$J,'Schedule 2E Adjustments'!$A30)</f>
        <v>0</v>
      </c>
      <c r="H30" s="305">
        <f t="shared" si="0"/>
        <v>0</v>
      </c>
      <c r="I30" s="68">
        <f>IFERROR(F30*'As-Filed Schedule 1'!$E$103,0)</f>
        <v>0</v>
      </c>
      <c r="J30" s="306">
        <f>IFERROR(H30*'Adjusted Schedule 1'!$E$104,0)</f>
        <v>0</v>
      </c>
      <c r="K30" s="68">
        <f t="shared" si="1"/>
        <v>0</v>
      </c>
      <c r="L30" s="306">
        <f t="shared" si="2"/>
        <v>0</v>
      </c>
      <c r="N30" s="117">
        <f>'As-Filed Schedule 2E'!J30</f>
        <v>0</v>
      </c>
      <c r="O30" s="309">
        <f>SUMIFS(Adjustments!$G:$G,Adjustments!$H:$H,"2E",Adjustments!$I:$I,'Schedule 2E Adjustments'!$N$12,Adjustments!$J:$J,'Schedule 2E Adjustments'!$A30)</f>
        <v>0</v>
      </c>
      <c r="P30" s="305">
        <f t="shared" si="3"/>
        <v>0</v>
      </c>
      <c r="Q30" s="68">
        <f>IFERROR(N30*'As-Filed Schedule 1'!$E$103,0)</f>
        <v>0</v>
      </c>
      <c r="R30" s="68">
        <f>IFERROR(P30*'Adjusted Schedule 1'!$E$104,0)</f>
        <v>0</v>
      </c>
      <c r="S30" s="68">
        <f t="shared" si="4"/>
        <v>0</v>
      </c>
      <c r="T30" s="306">
        <f t="shared" si="5"/>
        <v>0</v>
      </c>
      <c r="V30" s="119">
        <f>'As-Filed Schedule 2E'!N30</f>
        <v>0</v>
      </c>
      <c r="W30" s="309">
        <f>SUMIFS(Adjustments!$G:$G,Adjustments!$H:$H,"2E",Adjustments!$I:$I,'Schedule 2E Adjustments'!$V$12,Adjustments!$J:$J,'Schedule 2E Adjustments'!$A30)</f>
        <v>0</v>
      </c>
      <c r="X30" s="305">
        <f t="shared" si="6"/>
        <v>0</v>
      </c>
      <c r="Y30" s="119">
        <f>'As-Filed Schedule 2E'!O30</f>
        <v>0</v>
      </c>
      <c r="Z30" s="309">
        <f>SUMIFS(Adjustments!$G:$G,Adjustments!$H:$H,"2E",Adjustments!$I:$I,'Schedule 2E Adjustments'!$Y$12,Adjustments!$J:$J,'Schedule 2E Adjustments'!$A30)</f>
        <v>0</v>
      </c>
      <c r="AA30" s="305">
        <f t="shared" si="7"/>
        <v>0</v>
      </c>
    </row>
    <row r="31" spans="1:27" x14ac:dyDescent="0.35">
      <c r="A31" s="24">
        <v>17</v>
      </c>
      <c r="B31" s="514" t="str">
        <f>IF('As-Filed Schedule 2E'!B31:D31=0,"",'As-Filed Schedule 2E'!B31:D31)</f>
        <v/>
      </c>
      <c r="C31" s="514"/>
      <c r="D31" s="514"/>
      <c r="F31" s="117">
        <f>'As-Filed Schedule 2E'!F31</f>
        <v>0</v>
      </c>
      <c r="G31" s="309">
        <f>SUMIFS(Adjustments!$G:$G,Adjustments!$H:$H,"2E",Adjustments!$I:$I,'Schedule 2E Adjustments'!$F$12,Adjustments!$J:$J,'Schedule 2E Adjustments'!$A31)</f>
        <v>0</v>
      </c>
      <c r="H31" s="305">
        <f t="shared" si="0"/>
        <v>0</v>
      </c>
      <c r="I31" s="68">
        <f>IFERROR(F31*'As-Filed Schedule 1'!$E$103,0)</f>
        <v>0</v>
      </c>
      <c r="J31" s="306">
        <f>IFERROR(H31*'Adjusted Schedule 1'!$E$104,0)</f>
        <v>0</v>
      </c>
      <c r="K31" s="68">
        <f t="shared" si="1"/>
        <v>0</v>
      </c>
      <c r="L31" s="306">
        <f t="shared" si="2"/>
        <v>0</v>
      </c>
      <c r="N31" s="117">
        <f>'As-Filed Schedule 2E'!J31</f>
        <v>0</v>
      </c>
      <c r="O31" s="309">
        <f>SUMIFS(Adjustments!$G:$G,Adjustments!$H:$H,"2E",Adjustments!$I:$I,'Schedule 2E Adjustments'!$N$12,Adjustments!$J:$J,'Schedule 2E Adjustments'!$A31)</f>
        <v>0</v>
      </c>
      <c r="P31" s="305">
        <f t="shared" si="3"/>
        <v>0</v>
      </c>
      <c r="Q31" s="68">
        <f>IFERROR(N31*'As-Filed Schedule 1'!$E$103,0)</f>
        <v>0</v>
      </c>
      <c r="R31" s="68">
        <f>IFERROR(P31*'Adjusted Schedule 1'!$E$104,0)</f>
        <v>0</v>
      </c>
      <c r="S31" s="68">
        <f t="shared" si="4"/>
        <v>0</v>
      </c>
      <c r="T31" s="306">
        <f t="shared" si="5"/>
        <v>0</v>
      </c>
      <c r="V31" s="119">
        <f>'As-Filed Schedule 2E'!N31</f>
        <v>0</v>
      </c>
      <c r="W31" s="309">
        <f>SUMIFS(Adjustments!$G:$G,Adjustments!$H:$H,"2E",Adjustments!$I:$I,'Schedule 2E Adjustments'!$V$12,Adjustments!$J:$J,'Schedule 2E Adjustments'!$A31)</f>
        <v>0</v>
      </c>
      <c r="X31" s="305">
        <f t="shared" si="6"/>
        <v>0</v>
      </c>
      <c r="Y31" s="119">
        <f>'As-Filed Schedule 2E'!O31</f>
        <v>0</v>
      </c>
      <c r="Z31" s="309">
        <f>SUMIFS(Adjustments!$G:$G,Adjustments!$H:$H,"2E",Adjustments!$I:$I,'Schedule 2E Adjustments'!$Y$12,Adjustments!$J:$J,'Schedule 2E Adjustments'!$A31)</f>
        <v>0</v>
      </c>
      <c r="AA31" s="305">
        <f t="shared" si="7"/>
        <v>0</v>
      </c>
    </row>
    <row r="32" spans="1:27" x14ac:dyDescent="0.35">
      <c r="A32" s="24">
        <v>18</v>
      </c>
      <c r="B32" s="514" t="str">
        <f>IF('As-Filed Schedule 2E'!B32:D32=0,"",'As-Filed Schedule 2E'!B32:D32)</f>
        <v/>
      </c>
      <c r="C32" s="514"/>
      <c r="D32" s="514"/>
      <c r="F32" s="117">
        <f>'As-Filed Schedule 2E'!F32</f>
        <v>0</v>
      </c>
      <c r="G32" s="309">
        <f>SUMIFS(Adjustments!$G:$G,Adjustments!$H:$H,"2E",Adjustments!$I:$I,'Schedule 2E Adjustments'!$F$12,Adjustments!$J:$J,'Schedule 2E Adjustments'!$A32)</f>
        <v>0</v>
      </c>
      <c r="H32" s="305">
        <f t="shared" si="0"/>
        <v>0</v>
      </c>
      <c r="I32" s="68">
        <f>IFERROR(F32*'As-Filed Schedule 1'!$E$103,0)</f>
        <v>0</v>
      </c>
      <c r="J32" s="306">
        <f>IFERROR(H32*'Adjusted Schedule 1'!$E$104,0)</f>
        <v>0</v>
      </c>
      <c r="K32" s="68">
        <f t="shared" si="1"/>
        <v>0</v>
      </c>
      <c r="L32" s="306">
        <f t="shared" si="2"/>
        <v>0</v>
      </c>
      <c r="N32" s="117">
        <f>'As-Filed Schedule 2E'!J32</f>
        <v>0</v>
      </c>
      <c r="O32" s="309">
        <f>SUMIFS(Adjustments!$G:$G,Adjustments!$H:$H,"2E",Adjustments!$I:$I,'Schedule 2E Adjustments'!$N$12,Adjustments!$J:$J,'Schedule 2E Adjustments'!$A32)</f>
        <v>0</v>
      </c>
      <c r="P32" s="305">
        <f t="shared" si="3"/>
        <v>0</v>
      </c>
      <c r="Q32" s="68">
        <f>IFERROR(N32*'As-Filed Schedule 1'!$E$103,0)</f>
        <v>0</v>
      </c>
      <c r="R32" s="68">
        <f>IFERROR(P32*'Adjusted Schedule 1'!$E$104,0)</f>
        <v>0</v>
      </c>
      <c r="S32" s="68">
        <f t="shared" si="4"/>
        <v>0</v>
      </c>
      <c r="T32" s="306">
        <f t="shared" si="5"/>
        <v>0</v>
      </c>
      <c r="V32" s="119">
        <f>'As-Filed Schedule 2E'!N32</f>
        <v>0</v>
      </c>
      <c r="W32" s="309">
        <f>SUMIFS(Adjustments!$G:$G,Adjustments!$H:$H,"2E",Adjustments!$I:$I,'Schedule 2E Adjustments'!$V$12,Adjustments!$J:$J,'Schedule 2E Adjustments'!$A32)</f>
        <v>0</v>
      </c>
      <c r="X32" s="305">
        <f t="shared" si="6"/>
        <v>0</v>
      </c>
      <c r="Y32" s="119">
        <f>'As-Filed Schedule 2E'!O32</f>
        <v>0</v>
      </c>
      <c r="Z32" s="309">
        <f>SUMIFS(Adjustments!$G:$G,Adjustments!$H:$H,"2E",Adjustments!$I:$I,'Schedule 2E Adjustments'!$Y$12,Adjustments!$J:$J,'Schedule 2E Adjustments'!$A32)</f>
        <v>0</v>
      </c>
      <c r="AA32" s="305">
        <f t="shared" si="7"/>
        <v>0</v>
      </c>
    </row>
    <row r="33" spans="1:27" x14ac:dyDescent="0.35">
      <c r="A33" s="24">
        <v>19</v>
      </c>
      <c r="B33" s="514" t="str">
        <f>IF('As-Filed Schedule 2E'!B33:D33=0,"",'As-Filed Schedule 2E'!B33:D33)</f>
        <v/>
      </c>
      <c r="C33" s="514"/>
      <c r="D33" s="514"/>
      <c r="F33" s="117">
        <f>'As-Filed Schedule 2E'!F33</f>
        <v>0</v>
      </c>
      <c r="G33" s="309">
        <f>SUMIFS(Adjustments!$G:$G,Adjustments!$H:$H,"2E",Adjustments!$I:$I,'Schedule 2E Adjustments'!$F$12,Adjustments!$J:$J,'Schedule 2E Adjustments'!$A33)</f>
        <v>0</v>
      </c>
      <c r="H33" s="305">
        <f t="shared" si="0"/>
        <v>0</v>
      </c>
      <c r="I33" s="68">
        <f>IFERROR(F33*'As-Filed Schedule 1'!$E$103,0)</f>
        <v>0</v>
      </c>
      <c r="J33" s="306">
        <f>IFERROR(H33*'Adjusted Schedule 1'!$E$104,0)</f>
        <v>0</v>
      </c>
      <c r="K33" s="68">
        <f t="shared" si="1"/>
        <v>0</v>
      </c>
      <c r="L33" s="306">
        <f t="shared" si="2"/>
        <v>0</v>
      </c>
      <c r="N33" s="117">
        <f>'As-Filed Schedule 2E'!J33</f>
        <v>0</v>
      </c>
      <c r="O33" s="309">
        <f>SUMIFS(Adjustments!$G:$G,Adjustments!$H:$H,"2E",Adjustments!$I:$I,'Schedule 2E Adjustments'!$N$12,Adjustments!$J:$J,'Schedule 2E Adjustments'!$A33)</f>
        <v>0</v>
      </c>
      <c r="P33" s="305">
        <f t="shared" si="3"/>
        <v>0</v>
      </c>
      <c r="Q33" s="68">
        <f>IFERROR(N33*'As-Filed Schedule 1'!$E$103,0)</f>
        <v>0</v>
      </c>
      <c r="R33" s="68">
        <f>IFERROR(P33*'Adjusted Schedule 1'!$E$104,0)</f>
        <v>0</v>
      </c>
      <c r="S33" s="68">
        <f t="shared" si="4"/>
        <v>0</v>
      </c>
      <c r="T33" s="306">
        <f t="shared" si="5"/>
        <v>0</v>
      </c>
      <c r="V33" s="119">
        <f>'As-Filed Schedule 2E'!N33</f>
        <v>0</v>
      </c>
      <c r="W33" s="309">
        <f>SUMIFS(Adjustments!$G:$G,Adjustments!$H:$H,"2E",Adjustments!$I:$I,'Schedule 2E Adjustments'!$V$12,Adjustments!$J:$J,'Schedule 2E Adjustments'!$A33)</f>
        <v>0</v>
      </c>
      <c r="X33" s="305">
        <f t="shared" si="6"/>
        <v>0</v>
      </c>
      <c r="Y33" s="119">
        <f>'As-Filed Schedule 2E'!O33</f>
        <v>0</v>
      </c>
      <c r="Z33" s="309">
        <f>SUMIFS(Adjustments!$G:$G,Adjustments!$H:$H,"2E",Adjustments!$I:$I,'Schedule 2E Adjustments'!$Y$12,Adjustments!$J:$J,'Schedule 2E Adjustments'!$A33)</f>
        <v>0</v>
      </c>
      <c r="AA33" s="305">
        <f t="shared" si="7"/>
        <v>0</v>
      </c>
    </row>
    <row r="34" spans="1:27" x14ac:dyDescent="0.35">
      <c r="A34" s="24">
        <v>20</v>
      </c>
      <c r="B34" s="514" t="str">
        <f>IF('As-Filed Schedule 2E'!B34:D34=0,"",'As-Filed Schedule 2E'!B34:D34)</f>
        <v/>
      </c>
      <c r="C34" s="514"/>
      <c r="D34" s="514"/>
      <c r="F34" s="117">
        <f>'As-Filed Schedule 2E'!F34</f>
        <v>0</v>
      </c>
      <c r="G34" s="309">
        <f>SUMIFS(Adjustments!$G:$G,Adjustments!$H:$H,"2E",Adjustments!$I:$I,'Schedule 2E Adjustments'!$F$12,Adjustments!$J:$J,'Schedule 2E Adjustments'!$A34)</f>
        <v>0</v>
      </c>
      <c r="H34" s="305">
        <f t="shared" si="0"/>
        <v>0</v>
      </c>
      <c r="I34" s="68">
        <f>IFERROR(F34*'As-Filed Schedule 1'!$E$103,0)</f>
        <v>0</v>
      </c>
      <c r="J34" s="306">
        <f>IFERROR(H34*'Adjusted Schedule 1'!$E$104,0)</f>
        <v>0</v>
      </c>
      <c r="K34" s="68">
        <f t="shared" si="1"/>
        <v>0</v>
      </c>
      <c r="L34" s="306">
        <f t="shared" si="2"/>
        <v>0</v>
      </c>
      <c r="N34" s="117">
        <f>'As-Filed Schedule 2E'!J34</f>
        <v>0</v>
      </c>
      <c r="O34" s="309">
        <f>SUMIFS(Adjustments!$G:$G,Adjustments!$H:$H,"2E",Adjustments!$I:$I,'Schedule 2E Adjustments'!$N$12,Adjustments!$J:$J,'Schedule 2E Adjustments'!$A34)</f>
        <v>0</v>
      </c>
      <c r="P34" s="305">
        <f t="shared" si="3"/>
        <v>0</v>
      </c>
      <c r="Q34" s="68">
        <f>IFERROR(N34*'As-Filed Schedule 1'!$E$103,0)</f>
        <v>0</v>
      </c>
      <c r="R34" s="68">
        <f>IFERROR(P34*'Adjusted Schedule 1'!$E$104,0)</f>
        <v>0</v>
      </c>
      <c r="S34" s="68">
        <f t="shared" si="4"/>
        <v>0</v>
      </c>
      <c r="T34" s="306">
        <f t="shared" si="5"/>
        <v>0</v>
      </c>
      <c r="V34" s="119">
        <f>'As-Filed Schedule 2E'!N34</f>
        <v>0</v>
      </c>
      <c r="W34" s="309">
        <f>SUMIFS(Adjustments!$G:$G,Adjustments!$H:$H,"2E",Adjustments!$I:$I,'Schedule 2E Adjustments'!$V$12,Adjustments!$J:$J,'Schedule 2E Adjustments'!$A34)</f>
        <v>0</v>
      </c>
      <c r="X34" s="305">
        <f t="shared" si="6"/>
        <v>0</v>
      </c>
      <c r="Y34" s="119">
        <f>'As-Filed Schedule 2E'!O34</f>
        <v>0</v>
      </c>
      <c r="Z34" s="309">
        <f>SUMIFS(Adjustments!$G:$G,Adjustments!$H:$H,"2E",Adjustments!$I:$I,'Schedule 2E Adjustments'!$Y$12,Adjustments!$J:$J,'Schedule 2E Adjustments'!$A34)</f>
        <v>0</v>
      </c>
      <c r="AA34" s="305">
        <f t="shared" si="7"/>
        <v>0</v>
      </c>
    </row>
    <row r="35" spans="1:27" x14ac:dyDescent="0.35">
      <c r="A35" s="24">
        <v>21</v>
      </c>
      <c r="B35" s="514" t="str">
        <f>IF('As-Filed Schedule 2E'!B35:D35=0,"",'As-Filed Schedule 2E'!B35:D35)</f>
        <v/>
      </c>
      <c r="C35" s="514"/>
      <c r="D35" s="514"/>
      <c r="F35" s="117">
        <f>'As-Filed Schedule 2E'!F35</f>
        <v>0</v>
      </c>
      <c r="G35" s="309">
        <f>SUMIFS(Adjustments!$G:$G,Adjustments!$H:$H,"2E",Adjustments!$I:$I,'Schedule 2E Adjustments'!$F$12,Adjustments!$J:$J,'Schedule 2E Adjustments'!$A35)</f>
        <v>0</v>
      </c>
      <c r="H35" s="305">
        <f t="shared" si="0"/>
        <v>0</v>
      </c>
      <c r="I35" s="68">
        <f>IFERROR(F35*'As-Filed Schedule 1'!$E$103,0)</f>
        <v>0</v>
      </c>
      <c r="J35" s="306">
        <f>IFERROR(H35*'Adjusted Schedule 1'!$E$104,0)</f>
        <v>0</v>
      </c>
      <c r="K35" s="68">
        <f t="shared" si="1"/>
        <v>0</v>
      </c>
      <c r="L35" s="306">
        <f t="shared" si="2"/>
        <v>0</v>
      </c>
      <c r="N35" s="117">
        <f>'As-Filed Schedule 2E'!J35</f>
        <v>0</v>
      </c>
      <c r="O35" s="309">
        <f>SUMIFS(Adjustments!$G:$G,Adjustments!$H:$H,"2E",Adjustments!$I:$I,'Schedule 2E Adjustments'!$N$12,Adjustments!$J:$J,'Schedule 2E Adjustments'!$A35)</f>
        <v>0</v>
      </c>
      <c r="P35" s="305">
        <f t="shared" si="3"/>
        <v>0</v>
      </c>
      <c r="Q35" s="68">
        <f>IFERROR(N35*'As-Filed Schedule 1'!$E$103,0)</f>
        <v>0</v>
      </c>
      <c r="R35" s="68">
        <f>IFERROR(P35*'Adjusted Schedule 1'!$E$104,0)</f>
        <v>0</v>
      </c>
      <c r="S35" s="68">
        <f t="shared" si="4"/>
        <v>0</v>
      </c>
      <c r="T35" s="306">
        <f t="shared" si="5"/>
        <v>0</v>
      </c>
      <c r="V35" s="119">
        <f>'As-Filed Schedule 2E'!N35</f>
        <v>0</v>
      </c>
      <c r="W35" s="309">
        <f>SUMIFS(Adjustments!$G:$G,Adjustments!$H:$H,"2E",Adjustments!$I:$I,'Schedule 2E Adjustments'!$V$12,Adjustments!$J:$J,'Schedule 2E Adjustments'!$A35)</f>
        <v>0</v>
      </c>
      <c r="X35" s="305">
        <f t="shared" si="6"/>
        <v>0</v>
      </c>
      <c r="Y35" s="119">
        <f>'As-Filed Schedule 2E'!O35</f>
        <v>0</v>
      </c>
      <c r="Z35" s="309">
        <f>SUMIFS(Adjustments!$G:$G,Adjustments!$H:$H,"2E",Adjustments!$I:$I,'Schedule 2E Adjustments'!$Y$12,Adjustments!$J:$J,'Schedule 2E Adjustments'!$A35)</f>
        <v>0</v>
      </c>
      <c r="AA35" s="305">
        <f t="shared" si="7"/>
        <v>0</v>
      </c>
    </row>
    <row r="36" spans="1:27" x14ac:dyDescent="0.35">
      <c r="A36" s="24">
        <v>22</v>
      </c>
      <c r="B36" s="514" t="str">
        <f>IF('As-Filed Schedule 2E'!B36:D36=0,"",'As-Filed Schedule 2E'!B36:D36)</f>
        <v/>
      </c>
      <c r="C36" s="514"/>
      <c r="D36" s="514"/>
      <c r="F36" s="117">
        <f>'As-Filed Schedule 2E'!F36</f>
        <v>0</v>
      </c>
      <c r="G36" s="309">
        <f>SUMIFS(Adjustments!$G:$G,Adjustments!$H:$H,"2E",Adjustments!$I:$I,'Schedule 2E Adjustments'!$F$12,Adjustments!$J:$J,'Schedule 2E Adjustments'!$A36)</f>
        <v>0</v>
      </c>
      <c r="H36" s="305">
        <f t="shared" si="0"/>
        <v>0</v>
      </c>
      <c r="I36" s="68">
        <f>IFERROR(F36*'As-Filed Schedule 1'!$E$103,0)</f>
        <v>0</v>
      </c>
      <c r="J36" s="306">
        <f>IFERROR(H36*'Adjusted Schedule 1'!$E$104,0)</f>
        <v>0</v>
      </c>
      <c r="K36" s="68">
        <f t="shared" si="1"/>
        <v>0</v>
      </c>
      <c r="L36" s="306">
        <f t="shared" si="2"/>
        <v>0</v>
      </c>
      <c r="N36" s="117">
        <f>'As-Filed Schedule 2E'!J36</f>
        <v>0</v>
      </c>
      <c r="O36" s="309">
        <f>SUMIFS(Adjustments!$G:$G,Adjustments!$H:$H,"2E",Adjustments!$I:$I,'Schedule 2E Adjustments'!$N$12,Adjustments!$J:$J,'Schedule 2E Adjustments'!$A36)</f>
        <v>0</v>
      </c>
      <c r="P36" s="305">
        <f t="shared" si="3"/>
        <v>0</v>
      </c>
      <c r="Q36" s="68">
        <f>IFERROR(N36*'As-Filed Schedule 1'!$E$103,0)</f>
        <v>0</v>
      </c>
      <c r="R36" s="68">
        <f>IFERROR(P36*'Adjusted Schedule 1'!$E$104,0)</f>
        <v>0</v>
      </c>
      <c r="S36" s="68">
        <f t="shared" si="4"/>
        <v>0</v>
      </c>
      <c r="T36" s="306">
        <f t="shared" si="5"/>
        <v>0</v>
      </c>
      <c r="V36" s="119">
        <f>'As-Filed Schedule 2E'!N36</f>
        <v>0</v>
      </c>
      <c r="W36" s="309">
        <f>SUMIFS(Adjustments!$G:$G,Adjustments!$H:$H,"2E",Adjustments!$I:$I,'Schedule 2E Adjustments'!$V$12,Adjustments!$J:$J,'Schedule 2E Adjustments'!$A36)</f>
        <v>0</v>
      </c>
      <c r="X36" s="305">
        <f t="shared" si="6"/>
        <v>0</v>
      </c>
      <c r="Y36" s="119">
        <f>'As-Filed Schedule 2E'!O36</f>
        <v>0</v>
      </c>
      <c r="Z36" s="309">
        <f>SUMIFS(Adjustments!$G:$G,Adjustments!$H:$H,"2E",Adjustments!$I:$I,'Schedule 2E Adjustments'!$Y$12,Adjustments!$J:$J,'Schedule 2E Adjustments'!$A36)</f>
        <v>0</v>
      </c>
      <c r="AA36" s="305">
        <f t="shared" si="7"/>
        <v>0</v>
      </c>
    </row>
    <row r="37" spans="1:27" x14ac:dyDescent="0.35">
      <c r="A37" s="24">
        <v>23</v>
      </c>
      <c r="B37" s="514" t="str">
        <f>IF('As-Filed Schedule 2E'!B37:D37=0,"",'As-Filed Schedule 2E'!B37:D37)</f>
        <v/>
      </c>
      <c r="C37" s="514"/>
      <c r="D37" s="514"/>
      <c r="F37" s="117">
        <f>'As-Filed Schedule 2E'!F37</f>
        <v>0</v>
      </c>
      <c r="G37" s="309">
        <f>SUMIFS(Adjustments!$G:$G,Adjustments!$H:$H,"2E",Adjustments!$I:$I,'Schedule 2E Adjustments'!$F$12,Adjustments!$J:$J,'Schedule 2E Adjustments'!$A37)</f>
        <v>0</v>
      </c>
      <c r="H37" s="305">
        <f t="shared" si="0"/>
        <v>0</v>
      </c>
      <c r="I37" s="68">
        <f>IFERROR(F37*'As-Filed Schedule 1'!$E$103,0)</f>
        <v>0</v>
      </c>
      <c r="J37" s="306">
        <f>IFERROR(H37*'Adjusted Schedule 1'!$E$104,0)</f>
        <v>0</v>
      </c>
      <c r="K37" s="68">
        <f t="shared" si="1"/>
        <v>0</v>
      </c>
      <c r="L37" s="306">
        <f t="shared" si="2"/>
        <v>0</v>
      </c>
      <c r="N37" s="117">
        <f>'As-Filed Schedule 2E'!J37</f>
        <v>0</v>
      </c>
      <c r="O37" s="309">
        <f>SUMIFS(Adjustments!$G:$G,Adjustments!$H:$H,"2E",Adjustments!$I:$I,'Schedule 2E Adjustments'!$N$12,Adjustments!$J:$J,'Schedule 2E Adjustments'!$A37)</f>
        <v>0</v>
      </c>
      <c r="P37" s="305">
        <f t="shared" si="3"/>
        <v>0</v>
      </c>
      <c r="Q37" s="68">
        <f>IFERROR(N37*'As-Filed Schedule 1'!$E$103,0)</f>
        <v>0</v>
      </c>
      <c r="R37" s="68">
        <f>IFERROR(P37*'Adjusted Schedule 1'!$E$104,0)</f>
        <v>0</v>
      </c>
      <c r="S37" s="68">
        <f t="shared" si="4"/>
        <v>0</v>
      </c>
      <c r="T37" s="306">
        <f t="shared" si="5"/>
        <v>0</v>
      </c>
      <c r="V37" s="119">
        <f>'As-Filed Schedule 2E'!N37</f>
        <v>0</v>
      </c>
      <c r="W37" s="309">
        <f>SUMIFS(Adjustments!$G:$G,Adjustments!$H:$H,"2E",Adjustments!$I:$I,'Schedule 2E Adjustments'!$V$12,Adjustments!$J:$J,'Schedule 2E Adjustments'!$A37)</f>
        <v>0</v>
      </c>
      <c r="X37" s="305">
        <f t="shared" si="6"/>
        <v>0</v>
      </c>
      <c r="Y37" s="119">
        <f>'As-Filed Schedule 2E'!O37</f>
        <v>0</v>
      </c>
      <c r="Z37" s="309">
        <f>SUMIFS(Adjustments!$G:$G,Adjustments!$H:$H,"2E",Adjustments!$I:$I,'Schedule 2E Adjustments'!$Y$12,Adjustments!$J:$J,'Schedule 2E Adjustments'!$A37)</f>
        <v>0</v>
      </c>
      <c r="AA37" s="305">
        <f t="shared" si="7"/>
        <v>0</v>
      </c>
    </row>
    <row r="38" spans="1:27" x14ac:dyDescent="0.35">
      <c r="A38" s="24">
        <v>24</v>
      </c>
      <c r="B38" s="514" t="str">
        <f>IF('As-Filed Schedule 2E'!B38:D38=0,"",'As-Filed Schedule 2E'!B38:D38)</f>
        <v/>
      </c>
      <c r="C38" s="514"/>
      <c r="D38" s="514"/>
      <c r="F38" s="117">
        <f>'As-Filed Schedule 2E'!F38</f>
        <v>0</v>
      </c>
      <c r="G38" s="309">
        <f>SUMIFS(Adjustments!$G:$G,Adjustments!$H:$H,"2E",Adjustments!$I:$I,'Schedule 2E Adjustments'!$F$12,Adjustments!$J:$J,'Schedule 2E Adjustments'!$A38)</f>
        <v>0</v>
      </c>
      <c r="H38" s="305">
        <f t="shared" si="0"/>
        <v>0</v>
      </c>
      <c r="I38" s="68">
        <f>IFERROR(F38*'As-Filed Schedule 1'!$E$103,0)</f>
        <v>0</v>
      </c>
      <c r="J38" s="306">
        <f>IFERROR(H38*'Adjusted Schedule 1'!$E$104,0)</f>
        <v>0</v>
      </c>
      <c r="K38" s="68">
        <f t="shared" si="1"/>
        <v>0</v>
      </c>
      <c r="L38" s="306">
        <f t="shared" si="2"/>
        <v>0</v>
      </c>
      <c r="N38" s="117">
        <f>'As-Filed Schedule 2E'!J38</f>
        <v>0</v>
      </c>
      <c r="O38" s="309">
        <f>SUMIFS(Adjustments!$G:$G,Adjustments!$H:$H,"2E",Adjustments!$I:$I,'Schedule 2E Adjustments'!$N$12,Adjustments!$J:$J,'Schedule 2E Adjustments'!$A38)</f>
        <v>0</v>
      </c>
      <c r="P38" s="305">
        <f t="shared" si="3"/>
        <v>0</v>
      </c>
      <c r="Q38" s="68">
        <f>IFERROR(N38*'As-Filed Schedule 1'!$E$103,0)</f>
        <v>0</v>
      </c>
      <c r="R38" s="68">
        <f>IFERROR(P38*'Adjusted Schedule 1'!$E$104,0)</f>
        <v>0</v>
      </c>
      <c r="S38" s="68">
        <f t="shared" si="4"/>
        <v>0</v>
      </c>
      <c r="T38" s="306">
        <f t="shared" si="5"/>
        <v>0</v>
      </c>
      <c r="V38" s="119">
        <f>'As-Filed Schedule 2E'!N38</f>
        <v>0</v>
      </c>
      <c r="W38" s="309">
        <f>SUMIFS(Adjustments!$G:$G,Adjustments!$H:$H,"2E",Adjustments!$I:$I,'Schedule 2E Adjustments'!$V$12,Adjustments!$J:$J,'Schedule 2E Adjustments'!$A38)</f>
        <v>0</v>
      </c>
      <c r="X38" s="305">
        <f t="shared" si="6"/>
        <v>0</v>
      </c>
      <c r="Y38" s="119">
        <f>'As-Filed Schedule 2E'!O38</f>
        <v>0</v>
      </c>
      <c r="Z38" s="309">
        <f>SUMIFS(Adjustments!$G:$G,Adjustments!$H:$H,"2E",Adjustments!$I:$I,'Schedule 2E Adjustments'!$Y$12,Adjustments!$J:$J,'Schedule 2E Adjustments'!$A38)</f>
        <v>0</v>
      </c>
      <c r="AA38" s="305">
        <f t="shared" si="7"/>
        <v>0</v>
      </c>
    </row>
    <row r="39" spans="1:27" x14ac:dyDescent="0.35">
      <c r="A39" s="24">
        <v>25</v>
      </c>
      <c r="B39" s="514" t="str">
        <f>IF('As-Filed Schedule 2E'!B39:D39=0,"",'As-Filed Schedule 2E'!B39:D39)</f>
        <v/>
      </c>
      <c r="C39" s="514"/>
      <c r="D39" s="514"/>
      <c r="F39" s="117">
        <f>'As-Filed Schedule 2E'!F39</f>
        <v>0</v>
      </c>
      <c r="G39" s="309">
        <f>SUMIFS(Adjustments!$G:$G,Adjustments!$H:$H,"2E",Adjustments!$I:$I,'Schedule 2E Adjustments'!$F$12,Adjustments!$J:$J,'Schedule 2E Adjustments'!$A39)</f>
        <v>0</v>
      </c>
      <c r="H39" s="305">
        <f t="shared" si="0"/>
        <v>0</v>
      </c>
      <c r="I39" s="68">
        <f>IFERROR(F39*'As-Filed Schedule 1'!$E$103,0)</f>
        <v>0</v>
      </c>
      <c r="J39" s="306">
        <f>IFERROR(H39*'Adjusted Schedule 1'!$E$104,0)</f>
        <v>0</v>
      </c>
      <c r="K39" s="68">
        <f t="shared" si="1"/>
        <v>0</v>
      </c>
      <c r="L39" s="306">
        <f t="shared" si="2"/>
        <v>0</v>
      </c>
      <c r="N39" s="117">
        <f>'As-Filed Schedule 2E'!J39</f>
        <v>0</v>
      </c>
      <c r="O39" s="309">
        <f>SUMIFS(Adjustments!$G:$G,Adjustments!$H:$H,"2E",Adjustments!$I:$I,'Schedule 2E Adjustments'!$N$12,Adjustments!$J:$J,'Schedule 2E Adjustments'!$A39)</f>
        <v>0</v>
      </c>
      <c r="P39" s="305">
        <f t="shared" si="3"/>
        <v>0</v>
      </c>
      <c r="Q39" s="68">
        <f>IFERROR(N39*'As-Filed Schedule 1'!$E$103,0)</f>
        <v>0</v>
      </c>
      <c r="R39" s="68">
        <f>IFERROR(P39*'Adjusted Schedule 1'!$E$104,0)</f>
        <v>0</v>
      </c>
      <c r="S39" s="68">
        <f t="shared" si="4"/>
        <v>0</v>
      </c>
      <c r="T39" s="306">
        <f t="shared" si="5"/>
        <v>0</v>
      </c>
      <c r="V39" s="119">
        <f>'As-Filed Schedule 2E'!N39</f>
        <v>0</v>
      </c>
      <c r="W39" s="309">
        <f>SUMIFS(Adjustments!$G:$G,Adjustments!$H:$H,"2E",Adjustments!$I:$I,'Schedule 2E Adjustments'!$V$12,Adjustments!$J:$J,'Schedule 2E Adjustments'!$A39)</f>
        <v>0</v>
      </c>
      <c r="X39" s="305">
        <f t="shared" si="6"/>
        <v>0</v>
      </c>
      <c r="Y39" s="119">
        <f>'As-Filed Schedule 2E'!O39</f>
        <v>0</v>
      </c>
      <c r="Z39" s="309">
        <f>SUMIFS(Adjustments!$G:$G,Adjustments!$H:$H,"2E",Adjustments!$I:$I,'Schedule 2E Adjustments'!$Y$12,Adjustments!$J:$J,'Schedule 2E Adjustments'!$A39)</f>
        <v>0</v>
      </c>
      <c r="AA39" s="305">
        <f t="shared" si="7"/>
        <v>0</v>
      </c>
    </row>
    <row r="40" spans="1:27" x14ac:dyDescent="0.35">
      <c r="A40" s="24">
        <v>26</v>
      </c>
      <c r="B40" s="514" t="str">
        <f>IF('As-Filed Schedule 2E'!B40:D40=0,"",'As-Filed Schedule 2E'!B40:D40)</f>
        <v/>
      </c>
      <c r="C40" s="514"/>
      <c r="D40" s="514"/>
      <c r="F40" s="117">
        <f>'As-Filed Schedule 2E'!F40</f>
        <v>0</v>
      </c>
      <c r="G40" s="309">
        <f>SUMIFS(Adjustments!$G:$G,Adjustments!$H:$H,"2E",Adjustments!$I:$I,'Schedule 2E Adjustments'!$F$12,Adjustments!$J:$J,'Schedule 2E Adjustments'!$A40)</f>
        <v>0</v>
      </c>
      <c r="H40" s="305">
        <f t="shared" si="0"/>
        <v>0</v>
      </c>
      <c r="I40" s="68">
        <f>IFERROR(F40*'As-Filed Schedule 1'!$E$103,0)</f>
        <v>0</v>
      </c>
      <c r="J40" s="306">
        <f>IFERROR(H40*'Adjusted Schedule 1'!$E$104,0)</f>
        <v>0</v>
      </c>
      <c r="K40" s="68">
        <f t="shared" si="1"/>
        <v>0</v>
      </c>
      <c r="L40" s="306">
        <f t="shared" si="2"/>
        <v>0</v>
      </c>
      <c r="N40" s="117">
        <f>'As-Filed Schedule 2E'!J40</f>
        <v>0</v>
      </c>
      <c r="O40" s="309">
        <f>SUMIFS(Adjustments!$G:$G,Adjustments!$H:$H,"2E",Adjustments!$I:$I,'Schedule 2E Adjustments'!$N$12,Adjustments!$J:$J,'Schedule 2E Adjustments'!$A40)</f>
        <v>0</v>
      </c>
      <c r="P40" s="305">
        <f t="shared" si="3"/>
        <v>0</v>
      </c>
      <c r="Q40" s="68">
        <f>IFERROR(N40*'As-Filed Schedule 1'!$E$103,0)</f>
        <v>0</v>
      </c>
      <c r="R40" s="68">
        <f>IFERROR(P40*'Adjusted Schedule 1'!$E$104,0)</f>
        <v>0</v>
      </c>
      <c r="S40" s="68">
        <f t="shared" si="4"/>
        <v>0</v>
      </c>
      <c r="T40" s="306">
        <f t="shared" si="5"/>
        <v>0</v>
      </c>
      <c r="V40" s="119">
        <f>'As-Filed Schedule 2E'!N40</f>
        <v>0</v>
      </c>
      <c r="W40" s="309">
        <f>SUMIFS(Adjustments!$G:$G,Adjustments!$H:$H,"2E",Adjustments!$I:$I,'Schedule 2E Adjustments'!$V$12,Adjustments!$J:$J,'Schedule 2E Adjustments'!$A40)</f>
        <v>0</v>
      </c>
      <c r="X40" s="305">
        <f t="shared" si="6"/>
        <v>0</v>
      </c>
      <c r="Y40" s="119">
        <f>'As-Filed Schedule 2E'!O40</f>
        <v>0</v>
      </c>
      <c r="Z40" s="309">
        <f>SUMIFS(Adjustments!$G:$G,Adjustments!$H:$H,"2E",Adjustments!$I:$I,'Schedule 2E Adjustments'!$Y$12,Adjustments!$J:$J,'Schedule 2E Adjustments'!$A40)</f>
        <v>0</v>
      </c>
      <c r="AA40" s="305">
        <f t="shared" si="7"/>
        <v>0</v>
      </c>
    </row>
    <row r="41" spans="1:27" x14ac:dyDescent="0.35">
      <c r="A41" s="24">
        <v>27</v>
      </c>
      <c r="B41" s="514" t="str">
        <f>IF('As-Filed Schedule 2E'!B41:D41=0,"",'As-Filed Schedule 2E'!B41:D41)</f>
        <v/>
      </c>
      <c r="C41" s="514"/>
      <c r="D41" s="514"/>
      <c r="F41" s="117">
        <f>'As-Filed Schedule 2E'!F41</f>
        <v>0</v>
      </c>
      <c r="G41" s="309">
        <f>SUMIFS(Adjustments!$G:$G,Adjustments!$H:$H,"2E",Adjustments!$I:$I,'Schedule 2E Adjustments'!$F$12,Adjustments!$J:$J,'Schedule 2E Adjustments'!$A41)</f>
        <v>0</v>
      </c>
      <c r="H41" s="305">
        <f t="shared" si="0"/>
        <v>0</v>
      </c>
      <c r="I41" s="68">
        <f>IFERROR(F41*'As-Filed Schedule 1'!$E$103,0)</f>
        <v>0</v>
      </c>
      <c r="J41" s="306">
        <f>IFERROR(H41*'Adjusted Schedule 1'!$E$104,0)</f>
        <v>0</v>
      </c>
      <c r="K41" s="68">
        <f t="shared" si="1"/>
        <v>0</v>
      </c>
      <c r="L41" s="306">
        <f t="shared" si="2"/>
        <v>0</v>
      </c>
      <c r="N41" s="117">
        <f>'As-Filed Schedule 2E'!J41</f>
        <v>0</v>
      </c>
      <c r="O41" s="309">
        <f>SUMIFS(Adjustments!$G:$G,Adjustments!$H:$H,"2E",Adjustments!$I:$I,'Schedule 2E Adjustments'!$N$12,Adjustments!$J:$J,'Schedule 2E Adjustments'!$A41)</f>
        <v>0</v>
      </c>
      <c r="P41" s="305">
        <f t="shared" si="3"/>
        <v>0</v>
      </c>
      <c r="Q41" s="68">
        <f>IFERROR(N41*'As-Filed Schedule 1'!$E$103,0)</f>
        <v>0</v>
      </c>
      <c r="R41" s="68">
        <f>IFERROR(P41*'Adjusted Schedule 1'!$E$104,0)</f>
        <v>0</v>
      </c>
      <c r="S41" s="68">
        <f t="shared" si="4"/>
        <v>0</v>
      </c>
      <c r="T41" s="306">
        <f t="shared" si="5"/>
        <v>0</v>
      </c>
      <c r="V41" s="119">
        <f>'As-Filed Schedule 2E'!N41</f>
        <v>0</v>
      </c>
      <c r="W41" s="309">
        <f>SUMIFS(Adjustments!$G:$G,Adjustments!$H:$H,"2E",Adjustments!$I:$I,'Schedule 2E Adjustments'!$V$12,Adjustments!$J:$J,'Schedule 2E Adjustments'!$A41)</f>
        <v>0</v>
      </c>
      <c r="X41" s="305">
        <f t="shared" si="6"/>
        <v>0</v>
      </c>
      <c r="Y41" s="119">
        <f>'As-Filed Schedule 2E'!O41</f>
        <v>0</v>
      </c>
      <c r="Z41" s="309">
        <f>SUMIFS(Adjustments!$G:$G,Adjustments!$H:$H,"2E",Adjustments!$I:$I,'Schedule 2E Adjustments'!$Y$12,Adjustments!$J:$J,'Schedule 2E Adjustments'!$A41)</f>
        <v>0</v>
      </c>
      <c r="AA41" s="305">
        <f t="shared" si="7"/>
        <v>0</v>
      </c>
    </row>
    <row r="42" spans="1:27" x14ac:dyDescent="0.35">
      <c r="A42" s="24">
        <v>28</v>
      </c>
      <c r="B42" s="514" t="str">
        <f>IF('As-Filed Schedule 2E'!B42:D42=0,"",'As-Filed Schedule 2E'!B42:D42)</f>
        <v/>
      </c>
      <c r="C42" s="514"/>
      <c r="D42" s="514"/>
      <c r="F42" s="117">
        <f>'As-Filed Schedule 2E'!F42</f>
        <v>0</v>
      </c>
      <c r="G42" s="309">
        <f>SUMIFS(Adjustments!$G:$G,Adjustments!$H:$H,"2E",Adjustments!$I:$I,'Schedule 2E Adjustments'!$F$12,Adjustments!$J:$J,'Schedule 2E Adjustments'!$A42)</f>
        <v>0</v>
      </c>
      <c r="H42" s="305">
        <f t="shared" si="0"/>
        <v>0</v>
      </c>
      <c r="I42" s="68">
        <f>IFERROR(F42*'As-Filed Schedule 1'!$E$103,0)</f>
        <v>0</v>
      </c>
      <c r="J42" s="306">
        <f>IFERROR(H42*'Adjusted Schedule 1'!$E$104,0)</f>
        <v>0</v>
      </c>
      <c r="K42" s="68">
        <f t="shared" si="1"/>
        <v>0</v>
      </c>
      <c r="L42" s="306">
        <f t="shared" si="2"/>
        <v>0</v>
      </c>
      <c r="N42" s="117">
        <f>'As-Filed Schedule 2E'!J42</f>
        <v>0</v>
      </c>
      <c r="O42" s="309">
        <f>SUMIFS(Adjustments!$G:$G,Adjustments!$H:$H,"2E",Adjustments!$I:$I,'Schedule 2E Adjustments'!$N$12,Adjustments!$J:$J,'Schedule 2E Adjustments'!$A42)</f>
        <v>0</v>
      </c>
      <c r="P42" s="305">
        <f t="shared" si="3"/>
        <v>0</v>
      </c>
      <c r="Q42" s="68">
        <f>IFERROR(N42*'As-Filed Schedule 1'!$E$103,0)</f>
        <v>0</v>
      </c>
      <c r="R42" s="68">
        <f>IFERROR(P42*'Adjusted Schedule 1'!$E$104,0)</f>
        <v>0</v>
      </c>
      <c r="S42" s="68">
        <f t="shared" si="4"/>
        <v>0</v>
      </c>
      <c r="T42" s="306">
        <f t="shared" si="5"/>
        <v>0</v>
      </c>
      <c r="V42" s="119">
        <f>'As-Filed Schedule 2E'!N42</f>
        <v>0</v>
      </c>
      <c r="W42" s="309">
        <f>SUMIFS(Adjustments!$G:$G,Adjustments!$H:$H,"2E",Adjustments!$I:$I,'Schedule 2E Adjustments'!$V$12,Adjustments!$J:$J,'Schedule 2E Adjustments'!$A42)</f>
        <v>0</v>
      </c>
      <c r="X42" s="305">
        <f t="shared" si="6"/>
        <v>0</v>
      </c>
      <c r="Y42" s="119">
        <f>'As-Filed Schedule 2E'!O42</f>
        <v>0</v>
      </c>
      <c r="Z42" s="309">
        <f>SUMIFS(Adjustments!$G:$G,Adjustments!$H:$H,"2E",Adjustments!$I:$I,'Schedule 2E Adjustments'!$Y$12,Adjustments!$J:$J,'Schedule 2E Adjustments'!$A42)</f>
        <v>0</v>
      </c>
      <c r="AA42" s="305">
        <f t="shared" si="7"/>
        <v>0</v>
      </c>
    </row>
    <row r="43" spans="1:27" x14ac:dyDescent="0.35">
      <c r="A43" s="24">
        <v>29</v>
      </c>
      <c r="B43" s="514" t="str">
        <f>IF('As-Filed Schedule 2E'!B43:D43=0,"",'As-Filed Schedule 2E'!B43:D43)</f>
        <v/>
      </c>
      <c r="C43" s="514"/>
      <c r="D43" s="514"/>
      <c r="F43" s="117">
        <f>'As-Filed Schedule 2E'!F43</f>
        <v>0</v>
      </c>
      <c r="G43" s="309">
        <f>SUMIFS(Adjustments!$G:$G,Adjustments!$H:$H,"2E",Adjustments!$I:$I,'Schedule 2E Adjustments'!$F$12,Adjustments!$J:$J,'Schedule 2E Adjustments'!$A43)</f>
        <v>0</v>
      </c>
      <c r="H43" s="305">
        <f t="shared" si="0"/>
        <v>0</v>
      </c>
      <c r="I43" s="68">
        <f>IFERROR(F43*'As-Filed Schedule 1'!$E$103,0)</f>
        <v>0</v>
      </c>
      <c r="J43" s="306">
        <f>IFERROR(H43*'Adjusted Schedule 1'!$E$104,0)</f>
        <v>0</v>
      </c>
      <c r="K43" s="68">
        <f t="shared" si="1"/>
        <v>0</v>
      </c>
      <c r="L43" s="306">
        <f t="shared" si="2"/>
        <v>0</v>
      </c>
      <c r="N43" s="117">
        <f>'As-Filed Schedule 2E'!J43</f>
        <v>0</v>
      </c>
      <c r="O43" s="309">
        <f>SUMIFS(Adjustments!$G:$G,Adjustments!$H:$H,"2E",Adjustments!$I:$I,'Schedule 2E Adjustments'!$N$12,Adjustments!$J:$J,'Schedule 2E Adjustments'!$A43)</f>
        <v>0</v>
      </c>
      <c r="P43" s="305">
        <f t="shared" si="3"/>
        <v>0</v>
      </c>
      <c r="Q43" s="68">
        <f>IFERROR(N43*'As-Filed Schedule 1'!$E$103,0)</f>
        <v>0</v>
      </c>
      <c r="R43" s="68">
        <f>IFERROR(P43*'Adjusted Schedule 1'!$E$104,0)</f>
        <v>0</v>
      </c>
      <c r="S43" s="68">
        <f t="shared" si="4"/>
        <v>0</v>
      </c>
      <c r="T43" s="306">
        <f t="shared" si="5"/>
        <v>0</v>
      </c>
      <c r="V43" s="119">
        <f>'As-Filed Schedule 2E'!N43</f>
        <v>0</v>
      </c>
      <c r="W43" s="309">
        <f>SUMIFS(Adjustments!$G:$G,Adjustments!$H:$H,"2E",Adjustments!$I:$I,'Schedule 2E Adjustments'!$V$12,Adjustments!$J:$J,'Schedule 2E Adjustments'!$A43)</f>
        <v>0</v>
      </c>
      <c r="X43" s="305">
        <f t="shared" si="6"/>
        <v>0</v>
      </c>
      <c r="Y43" s="119">
        <f>'As-Filed Schedule 2E'!O43</f>
        <v>0</v>
      </c>
      <c r="Z43" s="309">
        <f>SUMIFS(Adjustments!$G:$G,Adjustments!$H:$H,"2E",Adjustments!$I:$I,'Schedule 2E Adjustments'!$Y$12,Adjustments!$J:$J,'Schedule 2E Adjustments'!$A43)</f>
        <v>0</v>
      </c>
      <c r="AA43" s="305">
        <f t="shared" si="7"/>
        <v>0</v>
      </c>
    </row>
    <row r="44" spans="1:27" x14ac:dyDescent="0.35">
      <c r="A44" s="24">
        <v>30</v>
      </c>
      <c r="B44" s="514" t="str">
        <f>IF('As-Filed Schedule 2E'!B44:D44=0,"",'As-Filed Schedule 2E'!B44:D44)</f>
        <v/>
      </c>
      <c r="C44" s="514"/>
      <c r="D44" s="514"/>
      <c r="F44" s="117">
        <f>'As-Filed Schedule 2E'!F44</f>
        <v>0</v>
      </c>
      <c r="G44" s="309">
        <f>SUMIFS(Adjustments!$G:$G,Adjustments!$H:$H,"2E",Adjustments!$I:$I,'Schedule 2E Adjustments'!$F$12,Adjustments!$J:$J,'Schedule 2E Adjustments'!$A44)</f>
        <v>0</v>
      </c>
      <c r="H44" s="305">
        <f t="shared" si="0"/>
        <v>0</v>
      </c>
      <c r="I44" s="68">
        <f>IFERROR(F44*'As-Filed Schedule 1'!$E$103,0)</f>
        <v>0</v>
      </c>
      <c r="J44" s="306">
        <f>IFERROR(H44*'Adjusted Schedule 1'!$E$104,0)</f>
        <v>0</v>
      </c>
      <c r="K44" s="68">
        <f t="shared" si="1"/>
        <v>0</v>
      </c>
      <c r="L44" s="306">
        <f t="shared" si="2"/>
        <v>0</v>
      </c>
      <c r="N44" s="117">
        <f>'As-Filed Schedule 2E'!J44</f>
        <v>0</v>
      </c>
      <c r="O44" s="309">
        <f>SUMIFS(Adjustments!$G:$G,Adjustments!$H:$H,"2E",Adjustments!$I:$I,'Schedule 2E Adjustments'!$N$12,Adjustments!$J:$J,'Schedule 2E Adjustments'!$A44)</f>
        <v>0</v>
      </c>
      <c r="P44" s="305">
        <f t="shared" si="3"/>
        <v>0</v>
      </c>
      <c r="Q44" s="68">
        <f>IFERROR(N44*'As-Filed Schedule 1'!$E$103,0)</f>
        <v>0</v>
      </c>
      <c r="R44" s="68">
        <f>IFERROR(P44*'Adjusted Schedule 1'!$E$104,0)</f>
        <v>0</v>
      </c>
      <c r="S44" s="68">
        <f t="shared" si="4"/>
        <v>0</v>
      </c>
      <c r="T44" s="306">
        <f t="shared" si="5"/>
        <v>0</v>
      </c>
      <c r="V44" s="119">
        <f>'As-Filed Schedule 2E'!N44</f>
        <v>0</v>
      </c>
      <c r="W44" s="309">
        <f>SUMIFS(Adjustments!$G:$G,Adjustments!$H:$H,"2E",Adjustments!$I:$I,'Schedule 2E Adjustments'!$V$12,Adjustments!$J:$J,'Schedule 2E Adjustments'!$A44)</f>
        <v>0</v>
      </c>
      <c r="X44" s="305">
        <f t="shared" si="6"/>
        <v>0</v>
      </c>
      <c r="Y44" s="119">
        <f>'As-Filed Schedule 2E'!O44</f>
        <v>0</v>
      </c>
      <c r="Z44" s="309">
        <f>SUMIFS(Adjustments!$G:$G,Adjustments!$H:$H,"2E",Adjustments!$I:$I,'Schedule 2E Adjustments'!$Y$12,Adjustments!$J:$J,'Schedule 2E Adjustments'!$A44)</f>
        <v>0</v>
      </c>
      <c r="AA44" s="305">
        <f t="shared" si="7"/>
        <v>0</v>
      </c>
    </row>
    <row r="45" spans="1:27" x14ac:dyDescent="0.35">
      <c r="A45" s="24">
        <v>31</v>
      </c>
      <c r="B45" s="514" t="str">
        <f>IF('As-Filed Schedule 2E'!B45:D45=0,"",'As-Filed Schedule 2E'!B45:D45)</f>
        <v/>
      </c>
      <c r="C45" s="514"/>
      <c r="D45" s="514"/>
      <c r="F45" s="117">
        <f>'As-Filed Schedule 2E'!F45</f>
        <v>0</v>
      </c>
      <c r="G45" s="309">
        <f>SUMIFS(Adjustments!$G:$G,Adjustments!$H:$H,"2E",Adjustments!$I:$I,'Schedule 2E Adjustments'!$F$12,Adjustments!$J:$J,'Schedule 2E Adjustments'!$A45)</f>
        <v>0</v>
      </c>
      <c r="H45" s="305">
        <f t="shared" si="0"/>
        <v>0</v>
      </c>
      <c r="I45" s="68">
        <f>IFERROR(F45*'As-Filed Schedule 1'!$E$103,0)</f>
        <v>0</v>
      </c>
      <c r="J45" s="306">
        <f>IFERROR(H45*'Adjusted Schedule 1'!$E$104,0)</f>
        <v>0</v>
      </c>
      <c r="K45" s="68">
        <f t="shared" si="1"/>
        <v>0</v>
      </c>
      <c r="L45" s="306">
        <f t="shared" si="2"/>
        <v>0</v>
      </c>
      <c r="N45" s="117">
        <f>'As-Filed Schedule 2E'!J45</f>
        <v>0</v>
      </c>
      <c r="O45" s="309">
        <f>SUMIFS(Adjustments!$G:$G,Adjustments!$H:$H,"2E",Adjustments!$I:$I,'Schedule 2E Adjustments'!$N$12,Adjustments!$J:$J,'Schedule 2E Adjustments'!$A45)</f>
        <v>0</v>
      </c>
      <c r="P45" s="305">
        <f t="shared" si="3"/>
        <v>0</v>
      </c>
      <c r="Q45" s="68">
        <f>IFERROR(N45*'As-Filed Schedule 1'!$E$103,0)</f>
        <v>0</v>
      </c>
      <c r="R45" s="68">
        <f>IFERROR(P45*'Adjusted Schedule 1'!$E$104,0)</f>
        <v>0</v>
      </c>
      <c r="S45" s="68">
        <f t="shared" si="4"/>
        <v>0</v>
      </c>
      <c r="T45" s="306">
        <f t="shared" si="5"/>
        <v>0</v>
      </c>
      <c r="V45" s="119">
        <f>'As-Filed Schedule 2E'!N45</f>
        <v>0</v>
      </c>
      <c r="W45" s="309">
        <f>SUMIFS(Adjustments!$G:$G,Adjustments!$H:$H,"2E",Adjustments!$I:$I,'Schedule 2E Adjustments'!$V$12,Adjustments!$J:$J,'Schedule 2E Adjustments'!$A45)</f>
        <v>0</v>
      </c>
      <c r="X45" s="305">
        <f t="shared" si="6"/>
        <v>0</v>
      </c>
      <c r="Y45" s="119">
        <f>'As-Filed Schedule 2E'!O45</f>
        <v>0</v>
      </c>
      <c r="Z45" s="309">
        <f>SUMIFS(Adjustments!$G:$G,Adjustments!$H:$H,"2E",Adjustments!$I:$I,'Schedule 2E Adjustments'!$Y$12,Adjustments!$J:$J,'Schedule 2E Adjustments'!$A45)</f>
        <v>0</v>
      </c>
      <c r="AA45" s="305">
        <f t="shared" si="7"/>
        <v>0</v>
      </c>
    </row>
    <row r="46" spans="1:27" x14ac:dyDescent="0.35">
      <c r="A46" s="24">
        <v>32</v>
      </c>
      <c r="B46" s="514" t="str">
        <f>IF('As-Filed Schedule 2E'!B46:D46=0,"",'As-Filed Schedule 2E'!B46:D46)</f>
        <v/>
      </c>
      <c r="C46" s="514"/>
      <c r="D46" s="514"/>
      <c r="F46" s="117">
        <f>'As-Filed Schedule 2E'!F46</f>
        <v>0</v>
      </c>
      <c r="G46" s="309">
        <f>SUMIFS(Adjustments!$G:$G,Adjustments!$H:$H,"2E",Adjustments!$I:$I,'Schedule 2E Adjustments'!$F$12,Adjustments!$J:$J,'Schedule 2E Adjustments'!$A46)</f>
        <v>0</v>
      </c>
      <c r="H46" s="305">
        <f t="shared" si="0"/>
        <v>0</v>
      </c>
      <c r="I46" s="68">
        <f>IFERROR(F46*'As-Filed Schedule 1'!$E$103,0)</f>
        <v>0</v>
      </c>
      <c r="J46" s="306">
        <f>IFERROR(H46*'Adjusted Schedule 1'!$E$104,0)</f>
        <v>0</v>
      </c>
      <c r="K46" s="68">
        <f t="shared" si="1"/>
        <v>0</v>
      </c>
      <c r="L46" s="306">
        <f t="shared" si="2"/>
        <v>0</v>
      </c>
      <c r="N46" s="117">
        <f>'As-Filed Schedule 2E'!J46</f>
        <v>0</v>
      </c>
      <c r="O46" s="309">
        <f>SUMIFS(Adjustments!$G:$G,Adjustments!$H:$H,"2E",Adjustments!$I:$I,'Schedule 2E Adjustments'!$N$12,Adjustments!$J:$J,'Schedule 2E Adjustments'!$A46)</f>
        <v>0</v>
      </c>
      <c r="P46" s="305">
        <f t="shared" si="3"/>
        <v>0</v>
      </c>
      <c r="Q46" s="68">
        <f>IFERROR(N46*'As-Filed Schedule 1'!$E$103,0)</f>
        <v>0</v>
      </c>
      <c r="R46" s="68">
        <f>IFERROR(P46*'Adjusted Schedule 1'!$E$104,0)</f>
        <v>0</v>
      </c>
      <c r="S46" s="68">
        <f t="shared" si="4"/>
        <v>0</v>
      </c>
      <c r="T46" s="306">
        <f t="shared" si="5"/>
        <v>0</v>
      </c>
      <c r="V46" s="119">
        <f>'As-Filed Schedule 2E'!N46</f>
        <v>0</v>
      </c>
      <c r="W46" s="309">
        <f>SUMIFS(Adjustments!$G:$G,Adjustments!$H:$H,"2E",Adjustments!$I:$I,'Schedule 2E Adjustments'!$V$12,Adjustments!$J:$J,'Schedule 2E Adjustments'!$A46)</f>
        <v>0</v>
      </c>
      <c r="X46" s="305">
        <f t="shared" si="6"/>
        <v>0</v>
      </c>
      <c r="Y46" s="119">
        <f>'As-Filed Schedule 2E'!O46</f>
        <v>0</v>
      </c>
      <c r="Z46" s="309">
        <f>SUMIFS(Adjustments!$G:$G,Adjustments!$H:$H,"2E",Adjustments!$I:$I,'Schedule 2E Adjustments'!$Y$12,Adjustments!$J:$J,'Schedule 2E Adjustments'!$A46)</f>
        <v>0</v>
      </c>
      <c r="AA46" s="305">
        <f t="shared" si="7"/>
        <v>0</v>
      </c>
    </row>
    <row r="47" spans="1:27" x14ac:dyDescent="0.35">
      <c r="A47" s="24">
        <v>33</v>
      </c>
      <c r="B47" s="514" t="str">
        <f>IF('As-Filed Schedule 2E'!B47:D47=0,"",'As-Filed Schedule 2E'!B47:D47)</f>
        <v/>
      </c>
      <c r="C47" s="514"/>
      <c r="D47" s="514"/>
      <c r="F47" s="117">
        <f>'As-Filed Schedule 2E'!F47</f>
        <v>0</v>
      </c>
      <c r="G47" s="309">
        <f>SUMIFS(Adjustments!$G:$G,Adjustments!$H:$H,"2E",Adjustments!$I:$I,'Schedule 2E Adjustments'!$F$12,Adjustments!$J:$J,'Schedule 2E Adjustments'!$A47)</f>
        <v>0</v>
      </c>
      <c r="H47" s="305">
        <f t="shared" si="0"/>
        <v>0</v>
      </c>
      <c r="I47" s="68">
        <f>IFERROR(F47*'As-Filed Schedule 1'!$E$103,0)</f>
        <v>0</v>
      </c>
      <c r="J47" s="306">
        <f>IFERROR(H47*'Adjusted Schedule 1'!$E$104,0)</f>
        <v>0</v>
      </c>
      <c r="K47" s="68">
        <f t="shared" si="1"/>
        <v>0</v>
      </c>
      <c r="L47" s="306">
        <f t="shared" si="2"/>
        <v>0</v>
      </c>
      <c r="N47" s="117">
        <f>'As-Filed Schedule 2E'!J47</f>
        <v>0</v>
      </c>
      <c r="O47" s="309">
        <f>SUMIFS(Adjustments!$G:$G,Adjustments!$H:$H,"2E",Adjustments!$I:$I,'Schedule 2E Adjustments'!$N$12,Adjustments!$J:$J,'Schedule 2E Adjustments'!$A47)</f>
        <v>0</v>
      </c>
      <c r="P47" s="305">
        <f t="shared" si="3"/>
        <v>0</v>
      </c>
      <c r="Q47" s="68">
        <f>IFERROR(N47*'As-Filed Schedule 1'!$E$103,0)</f>
        <v>0</v>
      </c>
      <c r="R47" s="68">
        <f>IFERROR(P47*'Adjusted Schedule 1'!$E$104,0)</f>
        <v>0</v>
      </c>
      <c r="S47" s="68">
        <f t="shared" si="4"/>
        <v>0</v>
      </c>
      <c r="T47" s="306">
        <f t="shared" si="5"/>
        <v>0</v>
      </c>
      <c r="V47" s="119">
        <f>'As-Filed Schedule 2E'!N47</f>
        <v>0</v>
      </c>
      <c r="W47" s="309">
        <f>SUMIFS(Adjustments!$G:$G,Adjustments!$H:$H,"2E",Adjustments!$I:$I,'Schedule 2E Adjustments'!$V$12,Adjustments!$J:$J,'Schedule 2E Adjustments'!$A47)</f>
        <v>0</v>
      </c>
      <c r="X47" s="305">
        <f t="shared" si="6"/>
        <v>0</v>
      </c>
      <c r="Y47" s="119">
        <f>'As-Filed Schedule 2E'!O47</f>
        <v>0</v>
      </c>
      <c r="Z47" s="309">
        <f>SUMIFS(Adjustments!$G:$G,Adjustments!$H:$H,"2E",Adjustments!$I:$I,'Schedule 2E Adjustments'!$Y$12,Adjustments!$J:$J,'Schedule 2E Adjustments'!$A47)</f>
        <v>0</v>
      </c>
      <c r="AA47" s="305">
        <f t="shared" si="7"/>
        <v>0</v>
      </c>
    </row>
    <row r="48" spans="1:27" x14ac:dyDescent="0.35">
      <c r="A48" s="24">
        <v>34</v>
      </c>
      <c r="B48" s="514" t="str">
        <f>IF('As-Filed Schedule 2E'!B48:D48=0,"",'As-Filed Schedule 2E'!B48:D48)</f>
        <v/>
      </c>
      <c r="C48" s="514"/>
      <c r="D48" s="514"/>
      <c r="F48" s="117">
        <f>'As-Filed Schedule 2E'!F48</f>
        <v>0</v>
      </c>
      <c r="G48" s="309">
        <f>SUMIFS(Adjustments!$G:$G,Adjustments!$H:$H,"2E",Adjustments!$I:$I,'Schedule 2E Adjustments'!$F$12,Adjustments!$J:$J,'Schedule 2E Adjustments'!$A48)</f>
        <v>0</v>
      </c>
      <c r="H48" s="305">
        <f t="shared" si="0"/>
        <v>0</v>
      </c>
      <c r="I48" s="68">
        <f>IFERROR(F48*'As-Filed Schedule 1'!$E$103,0)</f>
        <v>0</v>
      </c>
      <c r="J48" s="306">
        <f>IFERROR(H48*'Adjusted Schedule 1'!$E$104,0)</f>
        <v>0</v>
      </c>
      <c r="K48" s="68">
        <f t="shared" si="1"/>
        <v>0</v>
      </c>
      <c r="L48" s="306">
        <f t="shared" si="2"/>
        <v>0</v>
      </c>
      <c r="N48" s="117">
        <f>'As-Filed Schedule 2E'!J48</f>
        <v>0</v>
      </c>
      <c r="O48" s="309">
        <f>SUMIFS(Adjustments!$G:$G,Adjustments!$H:$H,"2E",Adjustments!$I:$I,'Schedule 2E Adjustments'!$N$12,Adjustments!$J:$J,'Schedule 2E Adjustments'!$A48)</f>
        <v>0</v>
      </c>
      <c r="P48" s="305">
        <f t="shared" si="3"/>
        <v>0</v>
      </c>
      <c r="Q48" s="68">
        <f>IFERROR(N48*'As-Filed Schedule 1'!$E$103,0)</f>
        <v>0</v>
      </c>
      <c r="R48" s="68">
        <f>IFERROR(P48*'Adjusted Schedule 1'!$E$104,0)</f>
        <v>0</v>
      </c>
      <c r="S48" s="68">
        <f t="shared" si="4"/>
        <v>0</v>
      </c>
      <c r="T48" s="306">
        <f t="shared" si="5"/>
        <v>0</v>
      </c>
      <c r="V48" s="119">
        <f>'As-Filed Schedule 2E'!N48</f>
        <v>0</v>
      </c>
      <c r="W48" s="309">
        <f>SUMIFS(Adjustments!$G:$G,Adjustments!$H:$H,"2E",Adjustments!$I:$I,'Schedule 2E Adjustments'!$V$12,Adjustments!$J:$J,'Schedule 2E Adjustments'!$A48)</f>
        <v>0</v>
      </c>
      <c r="X48" s="305">
        <f t="shared" si="6"/>
        <v>0</v>
      </c>
      <c r="Y48" s="119">
        <f>'As-Filed Schedule 2E'!O48</f>
        <v>0</v>
      </c>
      <c r="Z48" s="309">
        <f>SUMIFS(Adjustments!$G:$G,Adjustments!$H:$H,"2E",Adjustments!$I:$I,'Schedule 2E Adjustments'!$Y$12,Adjustments!$J:$J,'Schedule 2E Adjustments'!$A48)</f>
        <v>0</v>
      </c>
      <c r="AA48" s="305">
        <f t="shared" si="7"/>
        <v>0</v>
      </c>
    </row>
    <row r="49" spans="1:27" x14ac:dyDescent="0.35">
      <c r="A49" s="24">
        <v>35</v>
      </c>
      <c r="B49" s="514" t="str">
        <f>IF('As-Filed Schedule 2E'!B49:D49=0,"",'As-Filed Schedule 2E'!B49:D49)</f>
        <v/>
      </c>
      <c r="C49" s="514"/>
      <c r="D49" s="514"/>
      <c r="F49" s="117">
        <f>'As-Filed Schedule 2E'!F49</f>
        <v>0</v>
      </c>
      <c r="G49" s="309">
        <f>SUMIFS(Adjustments!$G:$G,Adjustments!$H:$H,"2E",Adjustments!$I:$I,'Schedule 2E Adjustments'!$F$12,Adjustments!$J:$J,'Schedule 2E Adjustments'!$A49)</f>
        <v>0</v>
      </c>
      <c r="H49" s="305">
        <f t="shared" si="0"/>
        <v>0</v>
      </c>
      <c r="I49" s="68">
        <f>IFERROR(F49*'As-Filed Schedule 1'!$E$103,0)</f>
        <v>0</v>
      </c>
      <c r="J49" s="306">
        <f>IFERROR(H49*'Adjusted Schedule 1'!$E$104,0)</f>
        <v>0</v>
      </c>
      <c r="K49" s="68">
        <f t="shared" si="1"/>
        <v>0</v>
      </c>
      <c r="L49" s="306">
        <f t="shared" si="2"/>
        <v>0</v>
      </c>
      <c r="N49" s="117">
        <f>'As-Filed Schedule 2E'!J49</f>
        <v>0</v>
      </c>
      <c r="O49" s="309">
        <f>SUMIFS(Adjustments!$G:$G,Adjustments!$H:$H,"2E",Adjustments!$I:$I,'Schedule 2E Adjustments'!$N$12,Adjustments!$J:$J,'Schedule 2E Adjustments'!$A49)</f>
        <v>0</v>
      </c>
      <c r="P49" s="305">
        <f t="shared" si="3"/>
        <v>0</v>
      </c>
      <c r="Q49" s="68">
        <f>IFERROR(N49*'As-Filed Schedule 1'!$E$103,0)</f>
        <v>0</v>
      </c>
      <c r="R49" s="68">
        <f>IFERROR(P49*'Adjusted Schedule 1'!$E$104,0)</f>
        <v>0</v>
      </c>
      <c r="S49" s="68">
        <f t="shared" si="4"/>
        <v>0</v>
      </c>
      <c r="T49" s="306">
        <f t="shared" si="5"/>
        <v>0</v>
      </c>
      <c r="V49" s="119">
        <f>'As-Filed Schedule 2E'!N49</f>
        <v>0</v>
      </c>
      <c r="W49" s="309">
        <f>SUMIFS(Adjustments!$G:$G,Adjustments!$H:$H,"2E",Adjustments!$I:$I,'Schedule 2E Adjustments'!$V$12,Adjustments!$J:$J,'Schedule 2E Adjustments'!$A49)</f>
        <v>0</v>
      </c>
      <c r="X49" s="305">
        <f t="shared" si="6"/>
        <v>0</v>
      </c>
      <c r="Y49" s="119">
        <f>'As-Filed Schedule 2E'!O49</f>
        <v>0</v>
      </c>
      <c r="Z49" s="309">
        <f>SUMIFS(Adjustments!$G:$G,Adjustments!$H:$H,"2E",Adjustments!$I:$I,'Schedule 2E Adjustments'!$Y$12,Adjustments!$J:$J,'Schedule 2E Adjustments'!$A49)</f>
        <v>0</v>
      </c>
      <c r="AA49" s="305">
        <f t="shared" si="7"/>
        <v>0</v>
      </c>
    </row>
    <row r="50" spans="1:27" x14ac:dyDescent="0.35">
      <c r="A50" s="24">
        <v>36</v>
      </c>
      <c r="B50" s="514" t="str">
        <f>IF('As-Filed Schedule 2E'!B50:D50=0,"",'As-Filed Schedule 2E'!B50:D50)</f>
        <v/>
      </c>
      <c r="C50" s="514"/>
      <c r="D50" s="514"/>
      <c r="F50" s="117">
        <f>'As-Filed Schedule 2E'!F50</f>
        <v>0</v>
      </c>
      <c r="G50" s="309">
        <f>SUMIFS(Adjustments!$G:$G,Adjustments!$H:$H,"2E",Adjustments!$I:$I,'Schedule 2E Adjustments'!$F$12,Adjustments!$J:$J,'Schedule 2E Adjustments'!$A50)</f>
        <v>0</v>
      </c>
      <c r="H50" s="305">
        <f t="shared" si="0"/>
        <v>0</v>
      </c>
      <c r="I50" s="68">
        <f>IFERROR(F50*'As-Filed Schedule 1'!$E$103,0)</f>
        <v>0</v>
      </c>
      <c r="J50" s="306">
        <f>IFERROR(H50*'Adjusted Schedule 1'!$E$104,0)</f>
        <v>0</v>
      </c>
      <c r="K50" s="68">
        <f t="shared" si="1"/>
        <v>0</v>
      </c>
      <c r="L50" s="306">
        <f t="shared" si="2"/>
        <v>0</v>
      </c>
      <c r="N50" s="117">
        <f>'As-Filed Schedule 2E'!J50</f>
        <v>0</v>
      </c>
      <c r="O50" s="309">
        <f>SUMIFS(Adjustments!$G:$G,Adjustments!$H:$H,"2E",Adjustments!$I:$I,'Schedule 2E Adjustments'!$N$12,Adjustments!$J:$J,'Schedule 2E Adjustments'!$A50)</f>
        <v>0</v>
      </c>
      <c r="P50" s="305">
        <f t="shared" si="3"/>
        <v>0</v>
      </c>
      <c r="Q50" s="68">
        <f>IFERROR(N50*'As-Filed Schedule 1'!$E$103,0)</f>
        <v>0</v>
      </c>
      <c r="R50" s="68">
        <f>IFERROR(P50*'Adjusted Schedule 1'!$E$104,0)</f>
        <v>0</v>
      </c>
      <c r="S50" s="68">
        <f t="shared" si="4"/>
        <v>0</v>
      </c>
      <c r="T50" s="306">
        <f t="shared" si="5"/>
        <v>0</v>
      </c>
      <c r="V50" s="119">
        <f>'As-Filed Schedule 2E'!N50</f>
        <v>0</v>
      </c>
      <c r="W50" s="309">
        <f>SUMIFS(Adjustments!$G:$G,Adjustments!$H:$H,"2E",Adjustments!$I:$I,'Schedule 2E Adjustments'!$V$12,Adjustments!$J:$J,'Schedule 2E Adjustments'!$A50)</f>
        <v>0</v>
      </c>
      <c r="X50" s="305">
        <f t="shared" si="6"/>
        <v>0</v>
      </c>
      <c r="Y50" s="119">
        <f>'As-Filed Schedule 2E'!O50</f>
        <v>0</v>
      </c>
      <c r="Z50" s="309">
        <f>SUMIFS(Adjustments!$G:$G,Adjustments!$H:$H,"2E",Adjustments!$I:$I,'Schedule 2E Adjustments'!$Y$12,Adjustments!$J:$J,'Schedule 2E Adjustments'!$A50)</f>
        <v>0</v>
      </c>
      <c r="AA50" s="305">
        <f t="shared" si="7"/>
        <v>0</v>
      </c>
    </row>
    <row r="51" spans="1:27" x14ac:dyDescent="0.35">
      <c r="A51" s="24">
        <v>37</v>
      </c>
      <c r="B51" s="514" t="str">
        <f>IF('As-Filed Schedule 2E'!B51:D51=0,"",'As-Filed Schedule 2E'!B51:D51)</f>
        <v/>
      </c>
      <c r="C51" s="514"/>
      <c r="D51" s="514"/>
      <c r="F51" s="117">
        <f>'As-Filed Schedule 2E'!F51</f>
        <v>0</v>
      </c>
      <c r="G51" s="309">
        <f>SUMIFS(Adjustments!$G:$G,Adjustments!$H:$H,"2E",Adjustments!$I:$I,'Schedule 2E Adjustments'!$F$12,Adjustments!$J:$J,'Schedule 2E Adjustments'!$A51)</f>
        <v>0</v>
      </c>
      <c r="H51" s="305">
        <f t="shared" si="0"/>
        <v>0</v>
      </c>
      <c r="I51" s="68">
        <f>IFERROR(F51*'As-Filed Schedule 1'!$E$103,0)</f>
        <v>0</v>
      </c>
      <c r="J51" s="306">
        <f>IFERROR(H51*'Adjusted Schedule 1'!$E$104,0)</f>
        <v>0</v>
      </c>
      <c r="K51" s="68">
        <f t="shared" si="1"/>
        <v>0</v>
      </c>
      <c r="L51" s="306">
        <f t="shared" si="2"/>
        <v>0</v>
      </c>
      <c r="N51" s="117">
        <f>'As-Filed Schedule 2E'!J51</f>
        <v>0</v>
      </c>
      <c r="O51" s="309">
        <f>SUMIFS(Adjustments!$G:$G,Adjustments!$H:$H,"2E",Adjustments!$I:$I,'Schedule 2E Adjustments'!$N$12,Adjustments!$J:$J,'Schedule 2E Adjustments'!$A51)</f>
        <v>0</v>
      </c>
      <c r="P51" s="305">
        <f t="shared" si="3"/>
        <v>0</v>
      </c>
      <c r="Q51" s="68">
        <f>IFERROR(N51*'As-Filed Schedule 1'!$E$103,0)</f>
        <v>0</v>
      </c>
      <c r="R51" s="68">
        <f>IFERROR(P51*'Adjusted Schedule 1'!$E$104,0)</f>
        <v>0</v>
      </c>
      <c r="S51" s="68">
        <f t="shared" si="4"/>
        <v>0</v>
      </c>
      <c r="T51" s="306">
        <f t="shared" si="5"/>
        <v>0</v>
      </c>
      <c r="V51" s="119">
        <f>'As-Filed Schedule 2E'!N51</f>
        <v>0</v>
      </c>
      <c r="W51" s="309">
        <f>SUMIFS(Adjustments!$G:$G,Adjustments!$H:$H,"2E",Adjustments!$I:$I,'Schedule 2E Adjustments'!$V$12,Adjustments!$J:$J,'Schedule 2E Adjustments'!$A51)</f>
        <v>0</v>
      </c>
      <c r="X51" s="305">
        <f t="shared" si="6"/>
        <v>0</v>
      </c>
      <c r="Y51" s="119">
        <f>'As-Filed Schedule 2E'!O51</f>
        <v>0</v>
      </c>
      <c r="Z51" s="309">
        <f>SUMIFS(Adjustments!$G:$G,Adjustments!$H:$H,"2E",Adjustments!$I:$I,'Schedule 2E Adjustments'!$Y$12,Adjustments!$J:$J,'Schedule 2E Adjustments'!$A51)</f>
        <v>0</v>
      </c>
      <c r="AA51" s="305">
        <f t="shared" si="7"/>
        <v>0</v>
      </c>
    </row>
    <row r="52" spans="1:27" x14ac:dyDescent="0.35">
      <c r="A52" s="24">
        <v>38</v>
      </c>
      <c r="B52" s="514" t="str">
        <f>IF('As-Filed Schedule 2E'!B52:D52=0,"",'As-Filed Schedule 2E'!B52:D52)</f>
        <v/>
      </c>
      <c r="C52" s="514"/>
      <c r="D52" s="514"/>
      <c r="F52" s="117">
        <f>'As-Filed Schedule 2E'!F52</f>
        <v>0</v>
      </c>
      <c r="G52" s="309">
        <f>SUMIFS(Adjustments!$G:$G,Adjustments!$H:$H,"2E",Adjustments!$I:$I,'Schedule 2E Adjustments'!$F$12,Adjustments!$J:$J,'Schedule 2E Adjustments'!$A52)</f>
        <v>0</v>
      </c>
      <c r="H52" s="305">
        <f t="shared" si="0"/>
        <v>0</v>
      </c>
      <c r="I52" s="68">
        <f>IFERROR(F52*'As-Filed Schedule 1'!$E$103,0)</f>
        <v>0</v>
      </c>
      <c r="J52" s="306">
        <f>IFERROR(H52*'Adjusted Schedule 1'!$E$104,0)</f>
        <v>0</v>
      </c>
      <c r="K52" s="68">
        <f t="shared" si="1"/>
        <v>0</v>
      </c>
      <c r="L52" s="306">
        <f t="shared" si="2"/>
        <v>0</v>
      </c>
      <c r="N52" s="117">
        <f>'As-Filed Schedule 2E'!J52</f>
        <v>0</v>
      </c>
      <c r="O52" s="309">
        <f>SUMIFS(Adjustments!$G:$G,Adjustments!$H:$H,"2E",Adjustments!$I:$I,'Schedule 2E Adjustments'!$N$12,Adjustments!$J:$J,'Schedule 2E Adjustments'!$A52)</f>
        <v>0</v>
      </c>
      <c r="P52" s="305">
        <f t="shared" si="3"/>
        <v>0</v>
      </c>
      <c r="Q52" s="68">
        <f>IFERROR(N52*'As-Filed Schedule 1'!$E$103,0)</f>
        <v>0</v>
      </c>
      <c r="R52" s="68">
        <f>IFERROR(P52*'Adjusted Schedule 1'!$E$104,0)</f>
        <v>0</v>
      </c>
      <c r="S52" s="68">
        <f t="shared" si="4"/>
        <v>0</v>
      </c>
      <c r="T52" s="306">
        <f t="shared" si="5"/>
        <v>0</v>
      </c>
      <c r="V52" s="119">
        <f>'As-Filed Schedule 2E'!N52</f>
        <v>0</v>
      </c>
      <c r="W52" s="309">
        <f>SUMIFS(Adjustments!$G:$G,Adjustments!$H:$H,"2E",Adjustments!$I:$I,'Schedule 2E Adjustments'!$V$12,Adjustments!$J:$J,'Schedule 2E Adjustments'!$A52)</f>
        <v>0</v>
      </c>
      <c r="X52" s="305">
        <f t="shared" si="6"/>
        <v>0</v>
      </c>
      <c r="Y52" s="119">
        <f>'As-Filed Schedule 2E'!O52</f>
        <v>0</v>
      </c>
      <c r="Z52" s="309">
        <f>SUMIFS(Adjustments!$G:$G,Adjustments!$H:$H,"2E",Adjustments!$I:$I,'Schedule 2E Adjustments'!$Y$12,Adjustments!$J:$J,'Schedule 2E Adjustments'!$A52)</f>
        <v>0</v>
      </c>
      <c r="AA52" s="305">
        <f t="shared" si="7"/>
        <v>0</v>
      </c>
    </row>
    <row r="53" spans="1:27" x14ac:dyDescent="0.35">
      <c r="A53" s="24">
        <v>39</v>
      </c>
      <c r="B53" s="514" t="str">
        <f>IF('As-Filed Schedule 2E'!B53:D53=0,"",'As-Filed Schedule 2E'!B53:D53)</f>
        <v/>
      </c>
      <c r="C53" s="514"/>
      <c r="D53" s="514"/>
      <c r="F53" s="117">
        <f>'As-Filed Schedule 2E'!F53</f>
        <v>0</v>
      </c>
      <c r="G53" s="309">
        <f>SUMIFS(Adjustments!$G:$G,Adjustments!$H:$H,"2E",Adjustments!$I:$I,'Schedule 2E Adjustments'!$F$12,Adjustments!$J:$J,'Schedule 2E Adjustments'!$A53)</f>
        <v>0</v>
      </c>
      <c r="H53" s="305">
        <f t="shared" si="0"/>
        <v>0</v>
      </c>
      <c r="I53" s="68">
        <f>IFERROR(F53*'As-Filed Schedule 1'!$E$103,0)</f>
        <v>0</v>
      </c>
      <c r="J53" s="306">
        <f>IFERROR(H53*'Adjusted Schedule 1'!$E$104,0)</f>
        <v>0</v>
      </c>
      <c r="K53" s="68">
        <f t="shared" si="1"/>
        <v>0</v>
      </c>
      <c r="L53" s="306">
        <f t="shared" si="2"/>
        <v>0</v>
      </c>
      <c r="N53" s="117">
        <f>'As-Filed Schedule 2E'!J53</f>
        <v>0</v>
      </c>
      <c r="O53" s="309">
        <f>SUMIFS(Adjustments!$G:$G,Adjustments!$H:$H,"2E",Adjustments!$I:$I,'Schedule 2E Adjustments'!$N$12,Adjustments!$J:$J,'Schedule 2E Adjustments'!$A53)</f>
        <v>0</v>
      </c>
      <c r="P53" s="305">
        <f t="shared" si="3"/>
        <v>0</v>
      </c>
      <c r="Q53" s="68">
        <f>IFERROR(N53*'As-Filed Schedule 1'!$E$103,0)</f>
        <v>0</v>
      </c>
      <c r="R53" s="68">
        <f>IFERROR(P53*'Adjusted Schedule 1'!$E$104,0)</f>
        <v>0</v>
      </c>
      <c r="S53" s="68">
        <f t="shared" si="4"/>
        <v>0</v>
      </c>
      <c r="T53" s="306">
        <f t="shared" si="5"/>
        <v>0</v>
      </c>
      <c r="V53" s="119">
        <f>'As-Filed Schedule 2E'!N53</f>
        <v>0</v>
      </c>
      <c r="W53" s="309">
        <f>SUMIFS(Adjustments!$G:$G,Adjustments!$H:$H,"2E",Adjustments!$I:$I,'Schedule 2E Adjustments'!$V$12,Adjustments!$J:$J,'Schedule 2E Adjustments'!$A53)</f>
        <v>0</v>
      </c>
      <c r="X53" s="305">
        <f t="shared" si="6"/>
        <v>0</v>
      </c>
      <c r="Y53" s="119">
        <f>'As-Filed Schedule 2E'!O53</f>
        <v>0</v>
      </c>
      <c r="Z53" s="309">
        <f>SUMIFS(Adjustments!$G:$G,Adjustments!$H:$H,"2E",Adjustments!$I:$I,'Schedule 2E Adjustments'!$Y$12,Adjustments!$J:$J,'Schedule 2E Adjustments'!$A53)</f>
        <v>0</v>
      </c>
      <c r="AA53" s="305">
        <f t="shared" si="7"/>
        <v>0</v>
      </c>
    </row>
    <row r="54" spans="1:27" x14ac:dyDescent="0.35">
      <c r="A54" s="24">
        <v>40</v>
      </c>
      <c r="B54" s="514" t="str">
        <f>IF('As-Filed Schedule 2E'!B54:D54=0,"",'As-Filed Schedule 2E'!B54:D54)</f>
        <v/>
      </c>
      <c r="C54" s="514"/>
      <c r="D54" s="514"/>
      <c r="F54" s="117">
        <f>'As-Filed Schedule 2E'!F54</f>
        <v>0</v>
      </c>
      <c r="G54" s="309">
        <f>SUMIFS(Adjustments!$G:$G,Adjustments!$H:$H,"2E",Adjustments!$I:$I,'Schedule 2E Adjustments'!$F$12,Adjustments!$J:$J,'Schedule 2E Adjustments'!$A54)</f>
        <v>0</v>
      </c>
      <c r="H54" s="305">
        <f t="shared" si="0"/>
        <v>0</v>
      </c>
      <c r="I54" s="68">
        <f>IFERROR(F54*'As-Filed Schedule 1'!$E$103,0)</f>
        <v>0</v>
      </c>
      <c r="J54" s="306">
        <f>IFERROR(H54*'Adjusted Schedule 1'!$E$104,0)</f>
        <v>0</v>
      </c>
      <c r="K54" s="68">
        <f t="shared" si="1"/>
        <v>0</v>
      </c>
      <c r="L54" s="306">
        <f t="shared" si="2"/>
        <v>0</v>
      </c>
      <c r="N54" s="117">
        <f>'As-Filed Schedule 2E'!J54</f>
        <v>0</v>
      </c>
      <c r="O54" s="309">
        <f>SUMIFS(Adjustments!$G:$G,Adjustments!$H:$H,"2E",Adjustments!$I:$I,'Schedule 2E Adjustments'!$N$12,Adjustments!$J:$J,'Schedule 2E Adjustments'!$A54)</f>
        <v>0</v>
      </c>
      <c r="P54" s="305">
        <f t="shared" si="3"/>
        <v>0</v>
      </c>
      <c r="Q54" s="68">
        <f>IFERROR(N54*'As-Filed Schedule 1'!$E$103,0)</f>
        <v>0</v>
      </c>
      <c r="R54" s="68">
        <f>IFERROR(P54*'Adjusted Schedule 1'!$E$104,0)</f>
        <v>0</v>
      </c>
      <c r="S54" s="68">
        <f t="shared" si="4"/>
        <v>0</v>
      </c>
      <c r="T54" s="306">
        <f t="shared" si="5"/>
        <v>0</v>
      </c>
      <c r="V54" s="119">
        <f>'As-Filed Schedule 2E'!N54</f>
        <v>0</v>
      </c>
      <c r="W54" s="309">
        <f>SUMIFS(Adjustments!$G:$G,Adjustments!$H:$H,"2E",Adjustments!$I:$I,'Schedule 2E Adjustments'!$V$12,Adjustments!$J:$J,'Schedule 2E Adjustments'!$A54)</f>
        <v>0</v>
      </c>
      <c r="X54" s="305">
        <f t="shared" si="6"/>
        <v>0</v>
      </c>
      <c r="Y54" s="119">
        <f>'As-Filed Schedule 2E'!O54</f>
        <v>0</v>
      </c>
      <c r="Z54" s="309">
        <f>SUMIFS(Adjustments!$G:$G,Adjustments!$H:$H,"2E",Adjustments!$I:$I,'Schedule 2E Adjustments'!$Y$12,Adjustments!$J:$J,'Schedule 2E Adjustments'!$A54)</f>
        <v>0</v>
      </c>
      <c r="AA54" s="305">
        <f t="shared" si="7"/>
        <v>0</v>
      </c>
    </row>
    <row r="55" spans="1:27" x14ac:dyDescent="0.35">
      <c r="A55" s="24">
        <v>41</v>
      </c>
      <c r="B55" s="514" t="str">
        <f>IF('As-Filed Schedule 2E'!B55:D55=0,"",'As-Filed Schedule 2E'!B55:D55)</f>
        <v/>
      </c>
      <c r="C55" s="514"/>
      <c r="D55" s="514"/>
      <c r="F55" s="117">
        <f>'As-Filed Schedule 2E'!F55</f>
        <v>0</v>
      </c>
      <c r="G55" s="309">
        <f>SUMIFS(Adjustments!$G:$G,Adjustments!$H:$H,"2E",Adjustments!$I:$I,'Schedule 2E Adjustments'!$F$12,Adjustments!$J:$J,'Schedule 2E Adjustments'!$A55)</f>
        <v>0</v>
      </c>
      <c r="H55" s="305">
        <f t="shared" si="0"/>
        <v>0</v>
      </c>
      <c r="I55" s="68">
        <f>IFERROR(F55*'As-Filed Schedule 1'!$E$103,0)</f>
        <v>0</v>
      </c>
      <c r="J55" s="306">
        <f>IFERROR(H55*'Adjusted Schedule 1'!$E$104,0)</f>
        <v>0</v>
      </c>
      <c r="K55" s="68">
        <f t="shared" si="1"/>
        <v>0</v>
      </c>
      <c r="L55" s="306">
        <f t="shared" si="2"/>
        <v>0</v>
      </c>
      <c r="N55" s="117">
        <f>'As-Filed Schedule 2E'!J55</f>
        <v>0</v>
      </c>
      <c r="O55" s="309">
        <f>SUMIFS(Adjustments!$G:$G,Adjustments!$H:$H,"2E",Adjustments!$I:$I,'Schedule 2E Adjustments'!$N$12,Adjustments!$J:$J,'Schedule 2E Adjustments'!$A55)</f>
        <v>0</v>
      </c>
      <c r="P55" s="305">
        <f t="shared" si="3"/>
        <v>0</v>
      </c>
      <c r="Q55" s="68">
        <f>IFERROR(N55*'As-Filed Schedule 1'!$E$103,0)</f>
        <v>0</v>
      </c>
      <c r="R55" s="68">
        <f>IFERROR(P55*'Adjusted Schedule 1'!$E$104,0)</f>
        <v>0</v>
      </c>
      <c r="S55" s="68">
        <f t="shared" si="4"/>
        <v>0</v>
      </c>
      <c r="T55" s="306">
        <f t="shared" si="5"/>
        <v>0</v>
      </c>
      <c r="V55" s="119">
        <f>'As-Filed Schedule 2E'!N55</f>
        <v>0</v>
      </c>
      <c r="W55" s="309">
        <f>SUMIFS(Adjustments!$G:$G,Adjustments!$H:$H,"2E",Adjustments!$I:$I,'Schedule 2E Adjustments'!$V$12,Adjustments!$J:$J,'Schedule 2E Adjustments'!$A55)</f>
        <v>0</v>
      </c>
      <c r="X55" s="305">
        <f t="shared" si="6"/>
        <v>0</v>
      </c>
      <c r="Y55" s="119">
        <f>'As-Filed Schedule 2E'!O55</f>
        <v>0</v>
      </c>
      <c r="Z55" s="309">
        <f>SUMIFS(Adjustments!$G:$G,Adjustments!$H:$H,"2E",Adjustments!$I:$I,'Schedule 2E Adjustments'!$Y$12,Adjustments!$J:$J,'Schedule 2E Adjustments'!$A55)</f>
        <v>0</v>
      </c>
      <c r="AA55" s="305">
        <f t="shared" si="7"/>
        <v>0</v>
      </c>
    </row>
    <row r="56" spans="1:27" x14ac:dyDescent="0.35">
      <c r="A56" s="24">
        <v>42</v>
      </c>
      <c r="B56" s="514" t="str">
        <f>IF('As-Filed Schedule 2E'!B56:D56=0,"",'As-Filed Schedule 2E'!B56:D56)</f>
        <v/>
      </c>
      <c r="C56" s="514"/>
      <c r="D56" s="514"/>
      <c r="F56" s="117">
        <f>'As-Filed Schedule 2E'!F56</f>
        <v>0</v>
      </c>
      <c r="G56" s="309">
        <f>SUMIFS(Adjustments!$G:$G,Adjustments!$H:$H,"2E",Adjustments!$I:$I,'Schedule 2E Adjustments'!$F$12,Adjustments!$J:$J,'Schedule 2E Adjustments'!$A56)</f>
        <v>0</v>
      </c>
      <c r="H56" s="305">
        <f t="shared" si="0"/>
        <v>0</v>
      </c>
      <c r="I56" s="68">
        <f>IFERROR(F56*'As-Filed Schedule 1'!$E$103,0)</f>
        <v>0</v>
      </c>
      <c r="J56" s="306">
        <f>IFERROR(H56*'Adjusted Schedule 1'!$E$104,0)</f>
        <v>0</v>
      </c>
      <c r="K56" s="68">
        <f t="shared" si="1"/>
        <v>0</v>
      </c>
      <c r="L56" s="306">
        <f t="shared" si="2"/>
        <v>0</v>
      </c>
      <c r="N56" s="117">
        <f>'As-Filed Schedule 2E'!J56</f>
        <v>0</v>
      </c>
      <c r="O56" s="309">
        <f>SUMIFS(Adjustments!$G:$G,Adjustments!$H:$H,"2E",Adjustments!$I:$I,'Schedule 2E Adjustments'!$N$12,Adjustments!$J:$J,'Schedule 2E Adjustments'!$A56)</f>
        <v>0</v>
      </c>
      <c r="P56" s="305">
        <f t="shared" si="3"/>
        <v>0</v>
      </c>
      <c r="Q56" s="68">
        <f>IFERROR(N56*'As-Filed Schedule 1'!$E$103,0)</f>
        <v>0</v>
      </c>
      <c r="R56" s="68">
        <f>IFERROR(P56*'Adjusted Schedule 1'!$E$104,0)</f>
        <v>0</v>
      </c>
      <c r="S56" s="68">
        <f t="shared" si="4"/>
        <v>0</v>
      </c>
      <c r="T56" s="306">
        <f t="shared" si="5"/>
        <v>0</v>
      </c>
      <c r="V56" s="119">
        <f>'As-Filed Schedule 2E'!N56</f>
        <v>0</v>
      </c>
      <c r="W56" s="309">
        <f>SUMIFS(Adjustments!$G:$G,Adjustments!$H:$H,"2E",Adjustments!$I:$I,'Schedule 2E Adjustments'!$V$12,Adjustments!$J:$J,'Schedule 2E Adjustments'!$A56)</f>
        <v>0</v>
      </c>
      <c r="X56" s="305">
        <f t="shared" si="6"/>
        <v>0</v>
      </c>
      <c r="Y56" s="119">
        <f>'As-Filed Schedule 2E'!O56</f>
        <v>0</v>
      </c>
      <c r="Z56" s="309">
        <f>SUMIFS(Adjustments!$G:$G,Adjustments!$H:$H,"2E",Adjustments!$I:$I,'Schedule 2E Adjustments'!$Y$12,Adjustments!$J:$J,'Schedule 2E Adjustments'!$A56)</f>
        <v>0</v>
      </c>
      <c r="AA56" s="305">
        <f t="shared" si="7"/>
        <v>0</v>
      </c>
    </row>
    <row r="57" spans="1:27" x14ac:dyDescent="0.35">
      <c r="A57" s="24">
        <v>43</v>
      </c>
      <c r="B57" s="514" t="str">
        <f>IF('As-Filed Schedule 2E'!B57:D57=0,"",'As-Filed Schedule 2E'!B57:D57)</f>
        <v/>
      </c>
      <c r="C57" s="514"/>
      <c r="D57" s="514"/>
      <c r="F57" s="117">
        <f>'As-Filed Schedule 2E'!F57</f>
        <v>0</v>
      </c>
      <c r="G57" s="309">
        <f>SUMIFS(Adjustments!$G:$G,Adjustments!$H:$H,"2E",Adjustments!$I:$I,'Schedule 2E Adjustments'!$F$12,Adjustments!$J:$J,'Schedule 2E Adjustments'!$A57)</f>
        <v>0</v>
      </c>
      <c r="H57" s="305">
        <f t="shared" si="0"/>
        <v>0</v>
      </c>
      <c r="I57" s="68">
        <f>IFERROR(F57*'As-Filed Schedule 1'!$E$103,0)</f>
        <v>0</v>
      </c>
      <c r="J57" s="306">
        <f>IFERROR(H57*'Adjusted Schedule 1'!$E$104,0)</f>
        <v>0</v>
      </c>
      <c r="K57" s="68">
        <f t="shared" si="1"/>
        <v>0</v>
      </c>
      <c r="L57" s="306">
        <f t="shared" si="2"/>
        <v>0</v>
      </c>
      <c r="N57" s="117">
        <f>'As-Filed Schedule 2E'!J57</f>
        <v>0</v>
      </c>
      <c r="O57" s="309">
        <f>SUMIFS(Adjustments!$G:$G,Adjustments!$H:$H,"2E",Adjustments!$I:$I,'Schedule 2E Adjustments'!$N$12,Adjustments!$J:$J,'Schedule 2E Adjustments'!$A57)</f>
        <v>0</v>
      </c>
      <c r="P57" s="305">
        <f t="shared" si="3"/>
        <v>0</v>
      </c>
      <c r="Q57" s="68">
        <f>IFERROR(N57*'As-Filed Schedule 1'!$E$103,0)</f>
        <v>0</v>
      </c>
      <c r="R57" s="68">
        <f>IFERROR(P57*'Adjusted Schedule 1'!$E$104,0)</f>
        <v>0</v>
      </c>
      <c r="S57" s="68">
        <f t="shared" si="4"/>
        <v>0</v>
      </c>
      <c r="T57" s="306">
        <f t="shared" si="5"/>
        <v>0</v>
      </c>
      <c r="V57" s="119">
        <f>'As-Filed Schedule 2E'!N57</f>
        <v>0</v>
      </c>
      <c r="W57" s="309">
        <f>SUMIFS(Adjustments!$G:$G,Adjustments!$H:$H,"2E",Adjustments!$I:$I,'Schedule 2E Adjustments'!$V$12,Adjustments!$J:$J,'Schedule 2E Adjustments'!$A57)</f>
        <v>0</v>
      </c>
      <c r="X57" s="305">
        <f t="shared" si="6"/>
        <v>0</v>
      </c>
      <c r="Y57" s="119">
        <f>'As-Filed Schedule 2E'!O57</f>
        <v>0</v>
      </c>
      <c r="Z57" s="309">
        <f>SUMIFS(Adjustments!$G:$G,Adjustments!$H:$H,"2E",Adjustments!$I:$I,'Schedule 2E Adjustments'!$Y$12,Adjustments!$J:$J,'Schedule 2E Adjustments'!$A57)</f>
        <v>0</v>
      </c>
      <c r="AA57" s="305">
        <f t="shared" si="7"/>
        <v>0</v>
      </c>
    </row>
    <row r="58" spans="1:27" x14ac:dyDescent="0.35">
      <c r="A58" s="24">
        <v>44</v>
      </c>
      <c r="B58" s="514" t="str">
        <f>IF('As-Filed Schedule 2E'!B58:D58=0,"",'As-Filed Schedule 2E'!B58:D58)</f>
        <v/>
      </c>
      <c r="C58" s="514"/>
      <c r="D58" s="514"/>
      <c r="F58" s="117">
        <f>'As-Filed Schedule 2E'!F58</f>
        <v>0</v>
      </c>
      <c r="G58" s="309">
        <f>SUMIFS(Adjustments!$G:$G,Adjustments!$H:$H,"2E",Adjustments!$I:$I,'Schedule 2E Adjustments'!$F$12,Adjustments!$J:$J,'Schedule 2E Adjustments'!$A58)</f>
        <v>0</v>
      </c>
      <c r="H58" s="305">
        <f t="shared" si="0"/>
        <v>0</v>
      </c>
      <c r="I58" s="68">
        <f>IFERROR(F58*'As-Filed Schedule 1'!$E$103,0)</f>
        <v>0</v>
      </c>
      <c r="J58" s="306">
        <f>IFERROR(H58*'Adjusted Schedule 1'!$E$104,0)</f>
        <v>0</v>
      </c>
      <c r="K58" s="68">
        <f t="shared" si="1"/>
        <v>0</v>
      </c>
      <c r="L58" s="306">
        <f t="shared" si="2"/>
        <v>0</v>
      </c>
      <c r="N58" s="117">
        <f>'As-Filed Schedule 2E'!J58</f>
        <v>0</v>
      </c>
      <c r="O58" s="309">
        <f>SUMIFS(Adjustments!$G:$G,Adjustments!$H:$H,"2E",Adjustments!$I:$I,'Schedule 2E Adjustments'!$N$12,Adjustments!$J:$J,'Schedule 2E Adjustments'!$A58)</f>
        <v>0</v>
      </c>
      <c r="P58" s="305">
        <f t="shared" si="3"/>
        <v>0</v>
      </c>
      <c r="Q58" s="68">
        <f>IFERROR(N58*'As-Filed Schedule 1'!$E$103,0)</f>
        <v>0</v>
      </c>
      <c r="R58" s="68">
        <f>IFERROR(P58*'Adjusted Schedule 1'!$E$104,0)</f>
        <v>0</v>
      </c>
      <c r="S58" s="68">
        <f t="shared" si="4"/>
        <v>0</v>
      </c>
      <c r="T58" s="306">
        <f t="shared" si="5"/>
        <v>0</v>
      </c>
      <c r="V58" s="119">
        <f>'As-Filed Schedule 2E'!N58</f>
        <v>0</v>
      </c>
      <c r="W58" s="309">
        <f>SUMIFS(Adjustments!$G:$G,Adjustments!$H:$H,"2E",Adjustments!$I:$I,'Schedule 2E Adjustments'!$V$12,Adjustments!$J:$J,'Schedule 2E Adjustments'!$A58)</f>
        <v>0</v>
      </c>
      <c r="X58" s="305">
        <f t="shared" si="6"/>
        <v>0</v>
      </c>
      <c r="Y58" s="119">
        <f>'As-Filed Schedule 2E'!O58</f>
        <v>0</v>
      </c>
      <c r="Z58" s="309">
        <f>SUMIFS(Adjustments!$G:$G,Adjustments!$H:$H,"2E",Adjustments!$I:$I,'Schedule 2E Adjustments'!$Y$12,Adjustments!$J:$J,'Schedule 2E Adjustments'!$A58)</f>
        <v>0</v>
      </c>
      <c r="AA58" s="305">
        <f t="shared" si="7"/>
        <v>0</v>
      </c>
    </row>
    <row r="59" spans="1:27" x14ac:dyDescent="0.35">
      <c r="A59" s="24">
        <v>45</v>
      </c>
      <c r="B59" s="514" t="str">
        <f>IF('As-Filed Schedule 2E'!B59:D59=0,"",'As-Filed Schedule 2E'!B59:D59)</f>
        <v/>
      </c>
      <c r="C59" s="514"/>
      <c r="D59" s="514"/>
      <c r="F59" s="117">
        <f>'As-Filed Schedule 2E'!F59</f>
        <v>0</v>
      </c>
      <c r="G59" s="309">
        <f>SUMIFS(Adjustments!$G:$G,Adjustments!$H:$H,"2E",Adjustments!$I:$I,'Schedule 2E Adjustments'!$F$12,Adjustments!$J:$J,'Schedule 2E Adjustments'!$A59)</f>
        <v>0</v>
      </c>
      <c r="H59" s="305">
        <f t="shared" si="0"/>
        <v>0</v>
      </c>
      <c r="I59" s="68">
        <f>IFERROR(F59*'As-Filed Schedule 1'!$E$103,0)</f>
        <v>0</v>
      </c>
      <c r="J59" s="306">
        <f>IFERROR(H59*'Adjusted Schedule 1'!$E$104,0)</f>
        <v>0</v>
      </c>
      <c r="K59" s="68">
        <f t="shared" si="1"/>
        <v>0</v>
      </c>
      <c r="L59" s="306">
        <f t="shared" si="2"/>
        <v>0</v>
      </c>
      <c r="N59" s="117">
        <f>'As-Filed Schedule 2E'!J59</f>
        <v>0</v>
      </c>
      <c r="O59" s="309">
        <f>SUMIFS(Adjustments!$G:$G,Adjustments!$H:$H,"2E",Adjustments!$I:$I,'Schedule 2E Adjustments'!$N$12,Adjustments!$J:$J,'Schedule 2E Adjustments'!$A59)</f>
        <v>0</v>
      </c>
      <c r="P59" s="305">
        <f t="shared" si="3"/>
        <v>0</v>
      </c>
      <c r="Q59" s="68">
        <f>IFERROR(N59*'As-Filed Schedule 1'!$E$103,0)</f>
        <v>0</v>
      </c>
      <c r="R59" s="68">
        <f>IFERROR(P59*'Adjusted Schedule 1'!$E$104,0)</f>
        <v>0</v>
      </c>
      <c r="S59" s="68">
        <f t="shared" si="4"/>
        <v>0</v>
      </c>
      <c r="T59" s="306">
        <f t="shared" si="5"/>
        <v>0</v>
      </c>
      <c r="V59" s="119">
        <f>'As-Filed Schedule 2E'!N59</f>
        <v>0</v>
      </c>
      <c r="W59" s="309">
        <f>SUMIFS(Adjustments!$G:$G,Adjustments!$H:$H,"2E",Adjustments!$I:$I,'Schedule 2E Adjustments'!$V$12,Adjustments!$J:$J,'Schedule 2E Adjustments'!$A59)</f>
        <v>0</v>
      </c>
      <c r="X59" s="305">
        <f t="shared" si="6"/>
        <v>0</v>
      </c>
      <c r="Y59" s="119">
        <f>'As-Filed Schedule 2E'!O59</f>
        <v>0</v>
      </c>
      <c r="Z59" s="309">
        <f>SUMIFS(Adjustments!$G:$G,Adjustments!$H:$H,"2E",Adjustments!$I:$I,'Schedule 2E Adjustments'!$Y$12,Adjustments!$J:$J,'Schedule 2E Adjustments'!$A59)</f>
        <v>0</v>
      </c>
      <c r="AA59" s="305">
        <f t="shared" si="7"/>
        <v>0</v>
      </c>
    </row>
    <row r="60" spans="1:27" x14ac:dyDescent="0.35">
      <c r="A60" s="24">
        <v>46</v>
      </c>
      <c r="B60" s="514" t="str">
        <f>IF('As-Filed Schedule 2E'!B60:D60=0,"",'As-Filed Schedule 2E'!B60:D60)</f>
        <v/>
      </c>
      <c r="C60" s="514"/>
      <c r="D60" s="514"/>
      <c r="F60" s="117">
        <f>'As-Filed Schedule 2E'!F60</f>
        <v>0</v>
      </c>
      <c r="G60" s="309">
        <f>SUMIFS(Adjustments!$G:$G,Adjustments!$H:$H,"2E",Adjustments!$I:$I,'Schedule 2E Adjustments'!$F$12,Adjustments!$J:$J,'Schedule 2E Adjustments'!$A60)</f>
        <v>0</v>
      </c>
      <c r="H60" s="305">
        <f t="shared" si="0"/>
        <v>0</v>
      </c>
      <c r="I60" s="68">
        <f>IFERROR(F60*'As-Filed Schedule 1'!$E$103,0)</f>
        <v>0</v>
      </c>
      <c r="J60" s="306">
        <f>IFERROR(H60*'Adjusted Schedule 1'!$E$104,0)</f>
        <v>0</v>
      </c>
      <c r="K60" s="68">
        <f t="shared" si="1"/>
        <v>0</v>
      </c>
      <c r="L60" s="306">
        <f t="shared" si="2"/>
        <v>0</v>
      </c>
      <c r="N60" s="117">
        <f>'As-Filed Schedule 2E'!J60</f>
        <v>0</v>
      </c>
      <c r="O60" s="309">
        <f>SUMIFS(Adjustments!$G:$G,Adjustments!$H:$H,"2E",Adjustments!$I:$I,'Schedule 2E Adjustments'!$N$12,Adjustments!$J:$J,'Schedule 2E Adjustments'!$A60)</f>
        <v>0</v>
      </c>
      <c r="P60" s="305">
        <f t="shared" si="3"/>
        <v>0</v>
      </c>
      <c r="Q60" s="68">
        <f>IFERROR(N60*'As-Filed Schedule 1'!$E$103,0)</f>
        <v>0</v>
      </c>
      <c r="R60" s="68">
        <f>IFERROR(P60*'Adjusted Schedule 1'!$E$104,0)</f>
        <v>0</v>
      </c>
      <c r="S60" s="68">
        <f t="shared" si="4"/>
        <v>0</v>
      </c>
      <c r="T60" s="306">
        <f t="shared" si="5"/>
        <v>0</v>
      </c>
      <c r="V60" s="119">
        <f>'As-Filed Schedule 2E'!N60</f>
        <v>0</v>
      </c>
      <c r="W60" s="309">
        <f>SUMIFS(Adjustments!$G:$G,Adjustments!$H:$H,"2E",Adjustments!$I:$I,'Schedule 2E Adjustments'!$V$12,Adjustments!$J:$J,'Schedule 2E Adjustments'!$A60)</f>
        <v>0</v>
      </c>
      <c r="X60" s="305">
        <f t="shared" si="6"/>
        <v>0</v>
      </c>
      <c r="Y60" s="119">
        <f>'As-Filed Schedule 2E'!O60</f>
        <v>0</v>
      </c>
      <c r="Z60" s="309">
        <f>SUMIFS(Adjustments!$G:$G,Adjustments!$H:$H,"2E",Adjustments!$I:$I,'Schedule 2E Adjustments'!$Y$12,Adjustments!$J:$J,'Schedule 2E Adjustments'!$A60)</f>
        <v>0</v>
      </c>
      <c r="AA60" s="305">
        <f t="shared" si="7"/>
        <v>0</v>
      </c>
    </row>
    <row r="61" spans="1:27" x14ac:dyDescent="0.35">
      <c r="A61" s="24">
        <v>47</v>
      </c>
      <c r="B61" s="514" t="str">
        <f>IF('As-Filed Schedule 2E'!B61:D61=0,"",'As-Filed Schedule 2E'!B61:D61)</f>
        <v/>
      </c>
      <c r="C61" s="514"/>
      <c r="D61" s="514"/>
      <c r="F61" s="117">
        <f>'As-Filed Schedule 2E'!F61</f>
        <v>0</v>
      </c>
      <c r="G61" s="309">
        <f>SUMIFS(Adjustments!$G:$G,Adjustments!$H:$H,"2E",Adjustments!$I:$I,'Schedule 2E Adjustments'!$F$12,Adjustments!$J:$J,'Schedule 2E Adjustments'!$A61)</f>
        <v>0</v>
      </c>
      <c r="H61" s="305">
        <f t="shared" si="0"/>
        <v>0</v>
      </c>
      <c r="I61" s="68">
        <f>IFERROR(F61*'As-Filed Schedule 1'!$E$103,0)</f>
        <v>0</v>
      </c>
      <c r="J61" s="306">
        <f>IFERROR(H61*'Adjusted Schedule 1'!$E$104,0)</f>
        <v>0</v>
      </c>
      <c r="K61" s="68">
        <f t="shared" si="1"/>
        <v>0</v>
      </c>
      <c r="L61" s="306">
        <f t="shared" si="2"/>
        <v>0</v>
      </c>
      <c r="N61" s="117">
        <f>'As-Filed Schedule 2E'!J61</f>
        <v>0</v>
      </c>
      <c r="O61" s="309">
        <f>SUMIFS(Adjustments!$G:$G,Adjustments!$H:$H,"2E",Adjustments!$I:$I,'Schedule 2E Adjustments'!$N$12,Adjustments!$J:$J,'Schedule 2E Adjustments'!$A61)</f>
        <v>0</v>
      </c>
      <c r="P61" s="305">
        <f t="shared" si="3"/>
        <v>0</v>
      </c>
      <c r="Q61" s="68">
        <f>IFERROR(N61*'As-Filed Schedule 1'!$E$103,0)</f>
        <v>0</v>
      </c>
      <c r="R61" s="68">
        <f>IFERROR(P61*'Adjusted Schedule 1'!$E$104,0)</f>
        <v>0</v>
      </c>
      <c r="S61" s="68">
        <f t="shared" si="4"/>
        <v>0</v>
      </c>
      <c r="T61" s="306">
        <f t="shared" si="5"/>
        <v>0</v>
      </c>
      <c r="V61" s="119">
        <f>'As-Filed Schedule 2E'!N61</f>
        <v>0</v>
      </c>
      <c r="W61" s="309">
        <f>SUMIFS(Adjustments!$G:$G,Adjustments!$H:$H,"2E",Adjustments!$I:$I,'Schedule 2E Adjustments'!$V$12,Adjustments!$J:$J,'Schedule 2E Adjustments'!$A61)</f>
        <v>0</v>
      </c>
      <c r="X61" s="305">
        <f t="shared" si="6"/>
        <v>0</v>
      </c>
      <c r="Y61" s="119">
        <f>'As-Filed Schedule 2E'!O61</f>
        <v>0</v>
      </c>
      <c r="Z61" s="309">
        <f>SUMIFS(Adjustments!$G:$G,Adjustments!$H:$H,"2E",Adjustments!$I:$I,'Schedule 2E Adjustments'!$Y$12,Adjustments!$J:$J,'Schedule 2E Adjustments'!$A61)</f>
        <v>0</v>
      </c>
      <c r="AA61" s="305">
        <f t="shared" si="7"/>
        <v>0</v>
      </c>
    </row>
    <row r="62" spans="1:27" x14ac:dyDescent="0.35">
      <c r="A62" s="24">
        <v>48</v>
      </c>
      <c r="B62" s="514" t="str">
        <f>IF('As-Filed Schedule 2E'!B62:D62=0,"",'As-Filed Schedule 2E'!B62:D62)</f>
        <v/>
      </c>
      <c r="C62" s="514"/>
      <c r="D62" s="514"/>
      <c r="F62" s="117">
        <f>'As-Filed Schedule 2E'!F62</f>
        <v>0</v>
      </c>
      <c r="G62" s="309">
        <f>SUMIFS(Adjustments!$G:$G,Adjustments!$H:$H,"2E",Adjustments!$I:$I,'Schedule 2E Adjustments'!$F$12,Adjustments!$J:$J,'Schedule 2E Adjustments'!$A62)</f>
        <v>0</v>
      </c>
      <c r="H62" s="305">
        <f t="shared" si="0"/>
        <v>0</v>
      </c>
      <c r="I62" s="68">
        <f>IFERROR(F62*'As-Filed Schedule 1'!$E$103,0)</f>
        <v>0</v>
      </c>
      <c r="J62" s="306">
        <f>IFERROR(H62*'Adjusted Schedule 1'!$E$104,0)</f>
        <v>0</v>
      </c>
      <c r="K62" s="68">
        <f t="shared" si="1"/>
        <v>0</v>
      </c>
      <c r="L62" s="306">
        <f t="shared" si="2"/>
        <v>0</v>
      </c>
      <c r="N62" s="117">
        <f>'As-Filed Schedule 2E'!J62</f>
        <v>0</v>
      </c>
      <c r="O62" s="309">
        <f>SUMIFS(Adjustments!$G:$G,Adjustments!$H:$H,"2E",Adjustments!$I:$I,'Schedule 2E Adjustments'!$N$12,Adjustments!$J:$J,'Schedule 2E Adjustments'!$A62)</f>
        <v>0</v>
      </c>
      <c r="P62" s="305">
        <f t="shared" si="3"/>
        <v>0</v>
      </c>
      <c r="Q62" s="68">
        <f>IFERROR(N62*'As-Filed Schedule 1'!$E$103,0)</f>
        <v>0</v>
      </c>
      <c r="R62" s="68">
        <f>IFERROR(P62*'Adjusted Schedule 1'!$E$104,0)</f>
        <v>0</v>
      </c>
      <c r="S62" s="68">
        <f t="shared" si="4"/>
        <v>0</v>
      </c>
      <c r="T62" s="306">
        <f t="shared" si="5"/>
        <v>0</v>
      </c>
      <c r="V62" s="119">
        <f>'As-Filed Schedule 2E'!N62</f>
        <v>0</v>
      </c>
      <c r="W62" s="309">
        <f>SUMIFS(Adjustments!$G:$G,Adjustments!$H:$H,"2E",Adjustments!$I:$I,'Schedule 2E Adjustments'!$V$12,Adjustments!$J:$J,'Schedule 2E Adjustments'!$A62)</f>
        <v>0</v>
      </c>
      <c r="X62" s="305">
        <f t="shared" si="6"/>
        <v>0</v>
      </c>
      <c r="Y62" s="119">
        <f>'As-Filed Schedule 2E'!O62</f>
        <v>0</v>
      </c>
      <c r="Z62" s="309">
        <f>SUMIFS(Adjustments!$G:$G,Adjustments!$H:$H,"2E",Adjustments!$I:$I,'Schedule 2E Adjustments'!$Y$12,Adjustments!$J:$J,'Schedule 2E Adjustments'!$A62)</f>
        <v>0</v>
      </c>
      <c r="AA62" s="305">
        <f t="shared" si="7"/>
        <v>0</v>
      </c>
    </row>
    <row r="63" spans="1:27" x14ac:dyDescent="0.35">
      <c r="A63" s="24">
        <v>49</v>
      </c>
      <c r="B63" s="514" t="str">
        <f>IF('As-Filed Schedule 2E'!B63:D63=0,"",'As-Filed Schedule 2E'!B63:D63)</f>
        <v/>
      </c>
      <c r="C63" s="514"/>
      <c r="D63" s="514"/>
      <c r="F63" s="117">
        <f>'As-Filed Schedule 2E'!F63</f>
        <v>0</v>
      </c>
      <c r="G63" s="309">
        <f>SUMIFS(Adjustments!$G:$G,Adjustments!$H:$H,"2E",Adjustments!$I:$I,'Schedule 2E Adjustments'!$F$12,Adjustments!$J:$J,'Schedule 2E Adjustments'!$A63)</f>
        <v>0</v>
      </c>
      <c r="H63" s="305">
        <f t="shared" si="0"/>
        <v>0</v>
      </c>
      <c r="I63" s="68">
        <f>IFERROR(F63*'As-Filed Schedule 1'!$E$103,0)</f>
        <v>0</v>
      </c>
      <c r="J63" s="306">
        <f>IFERROR(H63*'Adjusted Schedule 1'!$E$104,0)</f>
        <v>0</v>
      </c>
      <c r="K63" s="68">
        <f t="shared" si="1"/>
        <v>0</v>
      </c>
      <c r="L63" s="306">
        <f t="shared" si="2"/>
        <v>0</v>
      </c>
      <c r="N63" s="117">
        <f>'As-Filed Schedule 2E'!J63</f>
        <v>0</v>
      </c>
      <c r="O63" s="309">
        <f>SUMIFS(Adjustments!$G:$G,Adjustments!$H:$H,"2E",Adjustments!$I:$I,'Schedule 2E Adjustments'!$N$12,Adjustments!$J:$J,'Schedule 2E Adjustments'!$A63)</f>
        <v>0</v>
      </c>
      <c r="P63" s="305">
        <f t="shared" si="3"/>
        <v>0</v>
      </c>
      <c r="Q63" s="68">
        <f>IFERROR(N63*'As-Filed Schedule 1'!$E$103,0)</f>
        <v>0</v>
      </c>
      <c r="R63" s="68">
        <f>IFERROR(P63*'Adjusted Schedule 1'!$E$104,0)</f>
        <v>0</v>
      </c>
      <c r="S63" s="68">
        <f t="shared" si="4"/>
        <v>0</v>
      </c>
      <c r="T63" s="306">
        <f t="shared" si="5"/>
        <v>0</v>
      </c>
      <c r="V63" s="119">
        <f>'As-Filed Schedule 2E'!N63</f>
        <v>0</v>
      </c>
      <c r="W63" s="309">
        <f>SUMIFS(Adjustments!$G:$G,Adjustments!$H:$H,"2E",Adjustments!$I:$I,'Schedule 2E Adjustments'!$V$12,Adjustments!$J:$J,'Schedule 2E Adjustments'!$A63)</f>
        <v>0</v>
      </c>
      <c r="X63" s="305">
        <f t="shared" si="6"/>
        <v>0</v>
      </c>
      <c r="Y63" s="119">
        <f>'As-Filed Schedule 2E'!O63</f>
        <v>0</v>
      </c>
      <c r="Z63" s="309">
        <f>SUMIFS(Adjustments!$G:$G,Adjustments!$H:$H,"2E",Adjustments!$I:$I,'Schedule 2E Adjustments'!$Y$12,Adjustments!$J:$J,'Schedule 2E Adjustments'!$A63)</f>
        <v>0</v>
      </c>
      <c r="AA63" s="305">
        <f t="shared" si="7"/>
        <v>0</v>
      </c>
    </row>
    <row r="64" spans="1:27" x14ac:dyDescent="0.35">
      <c r="A64" s="24">
        <v>50</v>
      </c>
      <c r="B64" s="514" t="str">
        <f>IF('As-Filed Schedule 2E'!B64:D64=0,"",'As-Filed Schedule 2E'!B64:D64)</f>
        <v/>
      </c>
      <c r="C64" s="514"/>
      <c r="D64" s="514"/>
      <c r="F64" s="117">
        <f>'As-Filed Schedule 2E'!F64</f>
        <v>0</v>
      </c>
      <c r="G64" s="309">
        <f>SUMIFS(Adjustments!$G:$G,Adjustments!$H:$H,"2E",Adjustments!$I:$I,'Schedule 2E Adjustments'!$F$12,Adjustments!$J:$J,'Schedule 2E Adjustments'!$A64)</f>
        <v>0</v>
      </c>
      <c r="H64" s="305">
        <f t="shared" si="0"/>
        <v>0</v>
      </c>
      <c r="I64" s="68">
        <f>IFERROR(F64*'As-Filed Schedule 1'!$E$103,0)</f>
        <v>0</v>
      </c>
      <c r="J64" s="306">
        <f>IFERROR(H64*'Adjusted Schedule 1'!$E$104,0)</f>
        <v>0</v>
      </c>
      <c r="K64" s="68">
        <f t="shared" si="1"/>
        <v>0</v>
      </c>
      <c r="L64" s="306">
        <f t="shared" si="2"/>
        <v>0</v>
      </c>
      <c r="N64" s="117">
        <f>'As-Filed Schedule 2E'!J64</f>
        <v>0</v>
      </c>
      <c r="O64" s="309">
        <f>SUMIFS(Adjustments!$G:$G,Adjustments!$H:$H,"2E",Adjustments!$I:$I,'Schedule 2E Adjustments'!$N$12,Adjustments!$J:$J,'Schedule 2E Adjustments'!$A64)</f>
        <v>0</v>
      </c>
      <c r="P64" s="305">
        <f t="shared" si="3"/>
        <v>0</v>
      </c>
      <c r="Q64" s="68">
        <f>IFERROR(N64*'As-Filed Schedule 1'!$E$103,0)</f>
        <v>0</v>
      </c>
      <c r="R64" s="68">
        <f>IFERROR(P64*'Adjusted Schedule 1'!$E$104,0)</f>
        <v>0</v>
      </c>
      <c r="S64" s="68">
        <f t="shared" si="4"/>
        <v>0</v>
      </c>
      <c r="T64" s="306">
        <f t="shared" si="5"/>
        <v>0</v>
      </c>
      <c r="V64" s="119">
        <f>'As-Filed Schedule 2E'!N64</f>
        <v>0</v>
      </c>
      <c r="W64" s="309">
        <f>SUMIFS(Adjustments!$G:$G,Adjustments!$H:$H,"2E",Adjustments!$I:$I,'Schedule 2E Adjustments'!$V$12,Adjustments!$J:$J,'Schedule 2E Adjustments'!$A64)</f>
        <v>0</v>
      </c>
      <c r="X64" s="305">
        <f t="shared" si="6"/>
        <v>0</v>
      </c>
      <c r="Y64" s="119">
        <f>'As-Filed Schedule 2E'!O64</f>
        <v>0</v>
      </c>
      <c r="Z64" s="309">
        <f>SUMIFS(Adjustments!$G:$G,Adjustments!$H:$H,"2E",Adjustments!$I:$I,'Schedule 2E Adjustments'!$Y$12,Adjustments!$J:$J,'Schedule 2E Adjustments'!$A64)</f>
        <v>0</v>
      </c>
      <c r="AA64" s="305">
        <f t="shared" si="7"/>
        <v>0</v>
      </c>
    </row>
    <row r="65" spans="1:27" x14ac:dyDescent="0.35">
      <c r="A65" s="24">
        <v>51</v>
      </c>
      <c r="B65" s="514" t="str">
        <f>IF('As-Filed Schedule 2E'!B65:D65=0,"",'As-Filed Schedule 2E'!B65:D65)</f>
        <v/>
      </c>
      <c r="C65" s="514"/>
      <c r="D65" s="514"/>
      <c r="F65" s="117">
        <f>'As-Filed Schedule 2E'!F65</f>
        <v>0</v>
      </c>
      <c r="G65" s="309">
        <f>SUMIFS(Adjustments!$G:$G,Adjustments!$H:$H,"2E",Adjustments!$I:$I,'Schedule 2E Adjustments'!$F$12,Adjustments!$J:$J,'Schedule 2E Adjustments'!$A65)</f>
        <v>0</v>
      </c>
      <c r="H65" s="305">
        <f t="shared" si="0"/>
        <v>0</v>
      </c>
      <c r="I65" s="68">
        <f>IFERROR(F65*'As-Filed Schedule 1'!$E$103,0)</f>
        <v>0</v>
      </c>
      <c r="J65" s="306">
        <f>IFERROR(H65*'Adjusted Schedule 1'!$E$104,0)</f>
        <v>0</v>
      </c>
      <c r="K65" s="68">
        <f t="shared" si="1"/>
        <v>0</v>
      </c>
      <c r="L65" s="306">
        <f t="shared" si="2"/>
        <v>0</v>
      </c>
      <c r="N65" s="117">
        <f>'As-Filed Schedule 2E'!J65</f>
        <v>0</v>
      </c>
      <c r="O65" s="309">
        <f>SUMIFS(Adjustments!$G:$G,Adjustments!$H:$H,"2E",Adjustments!$I:$I,'Schedule 2E Adjustments'!$N$12,Adjustments!$J:$J,'Schedule 2E Adjustments'!$A65)</f>
        <v>0</v>
      </c>
      <c r="P65" s="305">
        <f t="shared" si="3"/>
        <v>0</v>
      </c>
      <c r="Q65" s="68">
        <f>IFERROR(N65*'As-Filed Schedule 1'!$E$103,0)</f>
        <v>0</v>
      </c>
      <c r="R65" s="68">
        <f>IFERROR(P65*'Adjusted Schedule 1'!$E$104,0)</f>
        <v>0</v>
      </c>
      <c r="S65" s="68">
        <f t="shared" si="4"/>
        <v>0</v>
      </c>
      <c r="T65" s="306">
        <f t="shared" si="5"/>
        <v>0</v>
      </c>
      <c r="V65" s="119">
        <f>'As-Filed Schedule 2E'!N65</f>
        <v>0</v>
      </c>
      <c r="W65" s="309">
        <f>SUMIFS(Adjustments!$G:$G,Adjustments!$H:$H,"2E",Adjustments!$I:$I,'Schedule 2E Adjustments'!$V$12,Adjustments!$J:$J,'Schedule 2E Adjustments'!$A65)</f>
        <v>0</v>
      </c>
      <c r="X65" s="305">
        <f t="shared" si="6"/>
        <v>0</v>
      </c>
      <c r="Y65" s="119">
        <f>'As-Filed Schedule 2E'!O65</f>
        <v>0</v>
      </c>
      <c r="Z65" s="309">
        <f>SUMIFS(Adjustments!$G:$G,Adjustments!$H:$H,"2E",Adjustments!$I:$I,'Schedule 2E Adjustments'!$Y$12,Adjustments!$J:$J,'Schedule 2E Adjustments'!$A65)</f>
        <v>0</v>
      </c>
      <c r="AA65" s="305">
        <f t="shared" si="7"/>
        <v>0</v>
      </c>
    </row>
    <row r="66" spans="1:27" x14ac:dyDescent="0.35">
      <c r="A66" s="24">
        <v>52</v>
      </c>
      <c r="B66" s="514" t="str">
        <f>IF('As-Filed Schedule 2E'!B66:D66=0,"",'As-Filed Schedule 2E'!B66:D66)</f>
        <v/>
      </c>
      <c r="C66" s="514"/>
      <c r="D66" s="514"/>
      <c r="F66" s="117">
        <f>'As-Filed Schedule 2E'!F66</f>
        <v>0</v>
      </c>
      <c r="G66" s="309">
        <f>SUMIFS(Adjustments!$G:$G,Adjustments!$H:$H,"2E",Adjustments!$I:$I,'Schedule 2E Adjustments'!$F$12,Adjustments!$J:$J,'Schedule 2E Adjustments'!$A66)</f>
        <v>0</v>
      </c>
      <c r="H66" s="305">
        <f t="shared" si="0"/>
        <v>0</v>
      </c>
      <c r="I66" s="68">
        <f>IFERROR(F66*'As-Filed Schedule 1'!$E$103,0)</f>
        <v>0</v>
      </c>
      <c r="J66" s="306">
        <f>IFERROR(H66*'Adjusted Schedule 1'!$E$104,0)</f>
        <v>0</v>
      </c>
      <c r="K66" s="68">
        <f t="shared" si="1"/>
        <v>0</v>
      </c>
      <c r="L66" s="306">
        <f t="shared" si="2"/>
        <v>0</v>
      </c>
      <c r="N66" s="117">
        <f>'As-Filed Schedule 2E'!J66</f>
        <v>0</v>
      </c>
      <c r="O66" s="309">
        <f>SUMIFS(Adjustments!$G:$G,Adjustments!$H:$H,"2E",Adjustments!$I:$I,'Schedule 2E Adjustments'!$N$12,Adjustments!$J:$J,'Schedule 2E Adjustments'!$A66)</f>
        <v>0</v>
      </c>
      <c r="P66" s="305">
        <f t="shared" si="3"/>
        <v>0</v>
      </c>
      <c r="Q66" s="68">
        <f>IFERROR(N66*'As-Filed Schedule 1'!$E$103,0)</f>
        <v>0</v>
      </c>
      <c r="R66" s="68">
        <f>IFERROR(P66*'Adjusted Schedule 1'!$E$104,0)</f>
        <v>0</v>
      </c>
      <c r="S66" s="68">
        <f t="shared" si="4"/>
        <v>0</v>
      </c>
      <c r="T66" s="306">
        <f t="shared" si="5"/>
        <v>0</v>
      </c>
      <c r="V66" s="119">
        <f>'As-Filed Schedule 2E'!N66</f>
        <v>0</v>
      </c>
      <c r="W66" s="309">
        <f>SUMIFS(Adjustments!$G:$G,Adjustments!$H:$H,"2E",Adjustments!$I:$I,'Schedule 2E Adjustments'!$V$12,Adjustments!$J:$J,'Schedule 2E Adjustments'!$A66)</f>
        <v>0</v>
      </c>
      <c r="X66" s="305">
        <f t="shared" si="6"/>
        <v>0</v>
      </c>
      <c r="Y66" s="119">
        <f>'As-Filed Schedule 2E'!O66</f>
        <v>0</v>
      </c>
      <c r="Z66" s="309">
        <f>SUMIFS(Adjustments!$G:$G,Adjustments!$H:$H,"2E",Adjustments!$I:$I,'Schedule 2E Adjustments'!$Y$12,Adjustments!$J:$J,'Schedule 2E Adjustments'!$A66)</f>
        <v>0</v>
      </c>
      <c r="AA66" s="305">
        <f t="shared" si="7"/>
        <v>0</v>
      </c>
    </row>
    <row r="67" spans="1:27" x14ac:dyDescent="0.35">
      <c r="A67" s="24">
        <v>53</v>
      </c>
      <c r="B67" s="514" t="str">
        <f>IF('As-Filed Schedule 2E'!B67:D67=0,"",'As-Filed Schedule 2E'!B67:D67)</f>
        <v/>
      </c>
      <c r="C67" s="514"/>
      <c r="D67" s="514"/>
      <c r="F67" s="117">
        <f>'As-Filed Schedule 2E'!F67</f>
        <v>0</v>
      </c>
      <c r="G67" s="309">
        <f>SUMIFS(Adjustments!$G:$G,Adjustments!$H:$H,"2E",Adjustments!$I:$I,'Schedule 2E Adjustments'!$F$12,Adjustments!$J:$J,'Schedule 2E Adjustments'!$A67)</f>
        <v>0</v>
      </c>
      <c r="H67" s="305">
        <f t="shared" si="0"/>
        <v>0</v>
      </c>
      <c r="I67" s="68">
        <f>IFERROR(F67*'As-Filed Schedule 1'!$E$103,0)</f>
        <v>0</v>
      </c>
      <c r="J67" s="306">
        <f>IFERROR(H67*'Adjusted Schedule 1'!$E$104,0)</f>
        <v>0</v>
      </c>
      <c r="K67" s="68">
        <f t="shared" si="1"/>
        <v>0</v>
      </c>
      <c r="L67" s="306">
        <f t="shared" si="2"/>
        <v>0</v>
      </c>
      <c r="N67" s="117">
        <f>'As-Filed Schedule 2E'!J67</f>
        <v>0</v>
      </c>
      <c r="O67" s="309">
        <f>SUMIFS(Adjustments!$G:$G,Adjustments!$H:$H,"2E",Adjustments!$I:$I,'Schedule 2E Adjustments'!$N$12,Adjustments!$J:$J,'Schedule 2E Adjustments'!$A67)</f>
        <v>0</v>
      </c>
      <c r="P67" s="305">
        <f t="shared" si="3"/>
        <v>0</v>
      </c>
      <c r="Q67" s="68">
        <f>IFERROR(N67*'As-Filed Schedule 1'!$E$103,0)</f>
        <v>0</v>
      </c>
      <c r="R67" s="68">
        <f>IFERROR(P67*'Adjusted Schedule 1'!$E$104,0)</f>
        <v>0</v>
      </c>
      <c r="S67" s="68">
        <f t="shared" si="4"/>
        <v>0</v>
      </c>
      <c r="T67" s="306">
        <f t="shared" si="5"/>
        <v>0</v>
      </c>
      <c r="V67" s="119">
        <f>'As-Filed Schedule 2E'!N67</f>
        <v>0</v>
      </c>
      <c r="W67" s="309">
        <f>SUMIFS(Adjustments!$G:$G,Adjustments!$H:$H,"2E",Adjustments!$I:$I,'Schedule 2E Adjustments'!$V$12,Adjustments!$J:$J,'Schedule 2E Adjustments'!$A67)</f>
        <v>0</v>
      </c>
      <c r="X67" s="305">
        <f t="shared" si="6"/>
        <v>0</v>
      </c>
      <c r="Y67" s="119">
        <f>'As-Filed Schedule 2E'!O67</f>
        <v>0</v>
      </c>
      <c r="Z67" s="309">
        <f>SUMIFS(Adjustments!$G:$G,Adjustments!$H:$H,"2E",Adjustments!$I:$I,'Schedule 2E Adjustments'!$Y$12,Adjustments!$J:$J,'Schedule 2E Adjustments'!$A67)</f>
        <v>0</v>
      </c>
      <c r="AA67" s="305">
        <f t="shared" si="7"/>
        <v>0</v>
      </c>
    </row>
    <row r="68" spans="1:27" x14ac:dyDescent="0.35">
      <c r="A68" s="24">
        <v>54</v>
      </c>
      <c r="B68" s="514" t="str">
        <f>IF('As-Filed Schedule 2E'!B68:D68=0,"",'As-Filed Schedule 2E'!B68:D68)</f>
        <v/>
      </c>
      <c r="C68" s="514"/>
      <c r="D68" s="514"/>
      <c r="F68" s="117">
        <f>'As-Filed Schedule 2E'!F68</f>
        <v>0</v>
      </c>
      <c r="G68" s="309">
        <f>SUMIFS(Adjustments!$G:$G,Adjustments!$H:$H,"2E",Adjustments!$I:$I,'Schedule 2E Adjustments'!$F$12,Adjustments!$J:$J,'Schedule 2E Adjustments'!$A68)</f>
        <v>0</v>
      </c>
      <c r="H68" s="305">
        <f t="shared" si="0"/>
        <v>0</v>
      </c>
      <c r="I68" s="68">
        <f>IFERROR(F68*'As-Filed Schedule 1'!$E$103,0)</f>
        <v>0</v>
      </c>
      <c r="J68" s="306">
        <f>IFERROR(H68*'Adjusted Schedule 1'!$E$104,0)</f>
        <v>0</v>
      </c>
      <c r="K68" s="68">
        <f t="shared" si="1"/>
        <v>0</v>
      </c>
      <c r="L68" s="306">
        <f t="shared" si="2"/>
        <v>0</v>
      </c>
      <c r="N68" s="117">
        <f>'As-Filed Schedule 2E'!J68</f>
        <v>0</v>
      </c>
      <c r="O68" s="309">
        <f>SUMIFS(Adjustments!$G:$G,Adjustments!$H:$H,"2E",Adjustments!$I:$I,'Schedule 2E Adjustments'!$N$12,Adjustments!$J:$J,'Schedule 2E Adjustments'!$A68)</f>
        <v>0</v>
      </c>
      <c r="P68" s="305">
        <f t="shared" si="3"/>
        <v>0</v>
      </c>
      <c r="Q68" s="68">
        <f>IFERROR(N68*'As-Filed Schedule 1'!$E$103,0)</f>
        <v>0</v>
      </c>
      <c r="R68" s="68">
        <f>IFERROR(P68*'Adjusted Schedule 1'!$E$104,0)</f>
        <v>0</v>
      </c>
      <c r="S68" s="68">
        <f t="shared" si="4"/>
        <v>0</v>
      </c>
      <c r="T68" s="306">
        <f t="shared" si="5"/>
        <v>0</v>
      </c>
      <c r="V68" s="119">
        <f>'As-Filed Schedule 2E'!N68</f>
        <v>0</v>
      </c>
      <c r="W68" s="309">
        <f>SUMIFS(Adjustments!$G:$G,Adjustments!$H:$H,"2E",Adjustments!$I:$I,'Schedule 2E Adjustments'!$V$12,Adjustments!$J:$J,'Schedule 2E Adjustments'!$A68)</f>
        <v>0</v>
      </c>
      <c r="X68" s="305">
        <f t="shared" si="6"/>
        <v>0</v>
      </c>
      <c r="Y68" s="119">
        <f>'As-Filed Schedule 2E'!O68</f>
        <v>0</v>
      </c>
      <c r="Z68" s="309">
        <f>SUMIFS(Adjustments!$G:$G,Adjustments!$H:$H,"2E",Adjustments!$I:$I,'Schedule 2E Adjustments'!$Y$12,Adjustments!$J:$J,'Schedule 2E Adjustments'!$A68)</f>
        <v>0</v>
      </c>
      <c r="AA68" s="305">
        <f t="shared" si="7"/>
        <v>0</v>
      </c>
    </row>
    <row r="69" spans="1:27" x14ac:dyDescent="0.35">
      <c r="A69" s="24">
        <v>55</v>
      </c>
      <c r="B69" s="514" t="str">
        <f>IF('As-Filed Schedule 2E'!B69:D69=0,"",'As-Filed Schedule 2E'!B69:D69)</f>
        <v/>
      </c>
      <c r="C69" s="514"/>
      <c r="D69" s="514"/>
      <c r="F69" s="117">
        <f>'As-Filed Schedule 2E'!F69</f>
        <v>0</v>
      </c>
      <c r="G69" s="309">
        <f>SUMIFS(Adjustments!$G:$G,Adjustments!$H:$H,"2E",Adjustments!$I:$I,'Schedule 2E Adjustments'!$F$12,Adjustments!$J:$J,'Schedule 2E Adjustments'!$A69)</f>
        <v>0</v>
      </c>
      <c r="H69" s="305">
        <f t="shared" si="0"/>
        <v>0</v>
      </c>
      <c r="I69" s="68">
        <f>IFERROR(F69*'As-Filed Schedule 1'!$E$103,0)</f>
        <v>0</v>
      </c>
      <c r="J69" s="306">
        <f>IFERROR(H69*'Adjusted Schedule 1'!$E$104,0)</f>
        <v>0</v>
      </c>
      <c r="K69" s="68">
        <f t="shared" si="1"/>
        <v>0</v>
      </c>
      <c r="L69" s="306">
        <f t="shared" si="2"/>
        <v>0</v>
      </c>
      <c r="N69" s="117">
        <f>'As-Filed Schedule 2E'!J69</f>
        <v>0</v>
      </c>
      <c r="O69" s="309">
        <f>SUMIFS(Adjustments!$G:$G,Adjustments!$H:$H,"2E",Adjustments!$I:$I,'Schedule 2E Adjustments'!$N$12,Adjustments!$J:$J,'Schedule 2E Adjustments'!$A69)</f>
        <v>0</v>
      </c>
      <c r="P69" s="305">
        <f t="shared" si="3"/>
        <v>0</v>
      </c>
      <c r="Q69" s="68">
        <f>IFERROR(N69*'As-Filed Schedule 1'!$E$103,0)</f>
        <v>0</v>
      </c>
      <c r="R69" s="68">
        <f>IFERROR(P69*'Adjusted Schedule 1'!$E$104,0)</f>
        <v>0</v>
      </c>
      <c r="S69" s="68">
        <f t="shared" si="4"/>
        <v>0</v>
      </c>
      <c r="T69" s="306">
        <f t="shared" si="5"/>
        <v>0</v>
      </c>
      <c r="V69" s="119">
        <f>'As-Filed Schedule 2E'!N69</f>
        <v>0</v>
      </c>
      <c r="W69" s="309">
        <f>SUMIFS(Adjustments!$G:$G,Adjustments!$H:$H,"2E",Adjustments!$I:$I,'Schedule 2E Adjustments'!$V$12,Adjustments!$J:$J,'Schedule 2E Adjustments'!$A69)</f>
        <v>0</v>
      </c>
      <c r="X69" s="305">
        <f t="shared" si="6"/>
        <v>0</v>
      </c>
      <c r="Y69" s="119">
        <f>'As-Filed Schedule 2E'!O69</f>
        <v>0</v>
      </c>
      <c r="Z69" s="309">
        <f>SUMIFS(Adjustments!$G:$G,Adjustments!$H:$H,"2E",Adjustments!$I:$I,'Schedule 2E Adjustments'!$Y$12,Adjustments!$J:$J,'Schedule 2E Adjustments'!$A69)</f>
        <v>0</v>
      </c>
      <c r="AA69" s="305">
        <f t="shared" si="7"/>
        <v>0</v>
      </c>
    </row>
    <row r="70" spans="1:27" x14ac:dyDescent="0.35">
      <c r="A70" s="24">
        <v>56</v>
      </c>
      <c r="B70" s="514" t="str">
        <f>IF('As-Filed Schedule 2E'!B70:D70=0,"",'As-Filed Schedule 2E'!B70:D70)</f>
        <v/>
      </c>
      <c r="C70" s="514"/>
      <c r="D70" s="514"/>
      <c r="F70" s="117">
        <f>'As-Filed Schedule 2E'!F70</f>
        <v>0</v>
      </c>
      <c r="G70" s="309">
        <f>SUMIFS(Adjustments!$G:$G,Adjustments!$H:$H,"2E",Adjustments!$I:$I,'Schedule 2E Adjustments'!$F$12,Adjustments!$J:$J,'Schedule 2E Adjustments'!$A70)</f>
        <v>0</v>
      </c>
      <c r="H70" s="305">
        <f t="shared" si="0"/>
        <v>0</v>
      </c>
      <c r="I70" s="68">
        <f>IFERROR(F70*'As-Filed Schedule 1'!$E$103,0)</f>
        <v>0</v>
      </c>
      <c r="J70" s="306">
        <f>IFERROR(H70*'Adjusted Schedule 1'!$E$104,0)</f>
        <v>0</v>
      </c>
      <c r="K70" s="68">
        <f t="shared" si="1"/>
        <v>0</v>
      </c>
      <c r="L70" s="306">
        <f t="shared" si="2"/>
        <v>0</v>
      </c>
      <c r="N70" s="117">
        <f>'As-Filed Schedule 2E'!J70</f>
        <v>0</v>
      </c>
      <c r="O70" s="309">
        <f>SUMIFS(Adjustments!$G:$G,Adjustments!$H:$H,"2E",Adjustments!$I:$I,'Schedule 2E Adjustments'!$N$12,Adjustments!$J:$J,'Schedule 2E Adjustments'!$A70)</f>
        <v>0</v>
      </c>
      <c r="P70" s="305">
        <f t="shared" si="3"/>
        <v>0</v>
      </c>
      <c r="Q70" s="68">
        <f>IFERROR(N70*'As-Filed Schedule 1'!$E$103,0)</f>
        <v>0</v>
      </c>
      <c r="R70" s="68">
        <f>IFERROR(P70*'Adjusted Schedule 1'!$E$104,0)</f>
        <v>0</v>
      </c>
      <c r="S70" s="68">
        <f t="shared" si="4"/>
        <v>0</v>
      </c>
      <c r="T70" s="306">
        <f t="shared" si="5"/>
        <v>0</v>
      </c>
      <c r="V70" s="119">
        <f>'As-Filed Schedule 2E'!N70</f>
        <v>0</v>
      </c>
      <c r="W70" s="309">
        <f>SUMIFS(Adjustments!$G:$G,Adjustments!$H:$H,"2E",Adjustments!$I:$I,'Schedule 2E Adjustments'!$V$12,Adjustments!$J:$J,'Schedule 2E Adjustments'!$A70)</f>
        <v>0</v>
      </c>
      <c r="X70" s="305">
        <f t="shared" si="6"/>
        <v>0</v>
      </c>
      <c r="Y70" s="119">
        <f>'As-Filed Schedule 2E'!O70</f>
        <v>0</v>
      </c>
      <c r="Z70" s="309">
        <f>SUMIFS(Adjustments!$G:$G,Adjustments!$H:$H,"2E",Adjustments!$I:$I,'Schedule 2E Adjustments'!$Y$12,Adjustments!$J:$J,'Schedule 2E Adjustments'!$A70)</f>
        <v>0</v>
      </c>
      <c r="AA70" s="305">
        <f t="shared" si="7"/>
        <v>0</v>
      </c>
    </row>
    <row r="71" spans="1:27" x14ac:dyDescent="0.35">
      <c r="A71" s="24">
        <v>57</v>
      </c>
      <c r="B71" s="514" t="str">
        <f>IF('As-Filed Schedule 2E'!B71:D71=0,"",'As-Filed Schedule 2E'!B71:D71)</f>
        <v/>
      </c>
      <c r="C71" s="514"/>
      <c r="D71" s="514"/>
      <c r="F71" s="117">
        <f>'As-Filed Schedule 2E'!F71</f>
        <v>0</v>
      </c>
      <c r="G71" s="309">
        <f>SUMIFS(Adjustments!$G:$G,Adjustments!$H:$H,"2E",Adjustments!$I:$I,'Schedule 2E Adjustments'!$F$12,Adjustments!$J:$J,'Schedule 2E Adjustments'!$A71)</f>
        <v>0</v>
      </c>
      <c r="H71" s="305">
        <f t="shared" si="0"/>
        <v>0</v>
      </c>
      <c r="I71" s="68">
        <f>IFERROR(F71*'As-Filed Schedule 1'!$E$103,0)</f>
        <v>0</v>
      </c>
      <c r="J71" s="306">
        <f>IFERROR(H71*'Adjusted Schedule 1'!$E$104,0)</f>
        <v>0</v>
      </c>
      <c r="K71" s="68">
        <f t="shared" si="1"/>
        <v>0</v>
      </c>
      <c r="L71" s="306">
        <f t="shared" si="2"/>
        <v>0</v>
      </c>
      <c r="N71" s="117">
        <f>'As-Filed Schedule 2E'!J71</f>
        <v>0</v>
      </c>
      <c r="O71" s="309">
        <f>SUMIFS(Adjustments!$G:$G,Adjustments!$H:$H,"2E",Adjustments!$I:$I,'Schedule 2E Adjustments'!$N$12,Adjustments!$J:$J,'Schedule 2E Adjustments'!$A71)</f>
        <v>0</v>
      </c>
      <c r="P71" s="305">
        <f t="shared" si="3"/>
        <v>0</v>
      </c>
      <c r="Q71" s="68">
        <f>IFERROR(N71*'As-Filed Schedule 1'!$E$103,0)</f>
        <v>0</v>
      </c>
      <c r="R71" s="68">
        <f>IFERROR(P71*'Adjusted Schedule 1'!$E$104,0)</f>
        <v>0</v>
      </c>
      <c r="S71" s="68">
        <f t="shared" si="4"/>
        <v>0</v>
      </c>
      <c r="T71" s="306">
        <f t="shared" si="5"/>
        <v>0</v>
      </c>
      <c r="V71" s="119">
        <f>'As-Filed Schedule 2E'!N71</f>
        <v>0</v>
      </c>
      <c r="W71" s="309">
        <f>SUMIFS(Adjustments!$G:$G,Adjustments!$H:$H,"2E",Adjustments!$I:$I,'Schedule 2E Adjustments'!$V$12,Adjustments!$J:$J,'Schedule 2E Adjustments'!$A71)</f>
        <v>0</v>
      </c>
      <c r="X71" s="305">
        <f t="shared" si="6"/>
        <v>0</v>
      </c>
      <c r="Y71" s="119">
        <f>'As-Filed Schedule 2E'!O71</f>
        <v>0</v>
      </c>
      <c r="Z71" s="309">
        <f>SUMIFS(Adjustments!$G:$G,Adjustments!$H:$H,"2E",Adjustments!$I:$I,'Schedule 2E Adjustments'!$Y$12,Adjustments!$J:$J,'Schedule 2E Adjustments'!$A71)</f>
        <v>0</v>
      </c>
      <c r="AA71" s="305">
        <f t="shared" si="7"/>
        <v>0</v>
      </c>
    </row>
    <row r="72" spans="1:27" x14ac:dyDescent="0.35">
      <c r="A72" s="24">
        <v>58</v>
      </c>
      <c r="B72" s="514" t="str">
        <f>IF('As-Filed Schedule 2E'!B72:D72=0,"",'As-Filed Schedule 2E'!B72:D72)</f>
        <v/>
      </c>
      <c r="C72" s="514"/>
      <c r="D72" s="514"/>
      <c r="F72" s="117">
        <f>'As-Filed Schedule 2E'!F72</f>
        <v>0</v>
      </c>
      <c r="G72" s="309">
        <f>SUMIFS(Adjustments!$G:$G,Adjustments!$H:$H,"2E",Adjustments!$I:$I,'Schedule 2E Adjustments'!$F$12,Adjustments!$J:$J,'Schedule 2E Adjustments'!$A72)</f>
        <v>0</v>
      </c>
      <c r="H72" s="305">
        <f t="shared" si="0"/>
        <v>0</v>
      </c>
      <c r="I72" s="68">
        <f>IFERROR(F72*'As-Filed Schedule 1'!$E$103,0)</f>
        <v>0</v>
      </c>
      <c r="J72" s="306">
        <f>IFERROR(H72*'Adjusted Schedule 1'!$E$104,0)</f>
        <v>0</v>
      </c>
      <c r="K72" s="68">
        <f t="shared" si="1"/>
        <v>0</v>
      </c>
      <c r="L72" s="306">
        <f t="shared" si="2"/>
        <v>0</v>
      </c>
      <c r="N72" s="117">
        <f>'As-Filed Schedule 2E'!J72</f>
        <v>0</v>
      </c>
      <c r="O72" s="309">
        <f>SUMIFS(Adjustments!$G:$G,Adjustments!$H:$H,"2E",Adjustments!$I:$I,'Schedule 2E Adjustments'!$N$12,Adjustments!$J:$J,'Schedule 2E Adjustments'!$A72)</f>
        <v>0</v>
      </c>
      <c r="P72" s="305">
        <f t="shared" si="3"/>
        <v>0</v>
      </c>
      <c r="Q72" s="68">
        <f>IFERROR(N72*'As-Filed Schedule 1'!$E$103,0)</f>
        <v>0</v>
      </c>
      <c r="R72" s="68">
        <f>IFERROR(P72*'Adjusted Schedule 1'!$E$104,0)</f>
        <v>0</v>
      </c>
      <c r="S72" s="68">
        <f t="shared" si="4"/>
        <v>0</v>
      </c>
      <c r="T72" s="306">
        <f t="shared" si="5"/>
        <v>0</v>
      </c>
      <c r="V72" s="119">
        <f>'As-Filed Schedule 2E'!N72</f>
        <v>0</v>
      </c>
      <c r="W72" s="309">
        <f>SUMIFS(Adjustments!$G:$G,Adjustments!$H:$H,"2E",Adjustments!$I:$I,'Schedule 2E Adjustments'!$V$12,Adjustments!$J:$J,'Schedule 2E Adjustments'!$A72)</f>
        <v>0</v>
      </c>
      <c r="X72" s="305">
        <f t="shared" si="6"/>
        <v>0</v>
      </c>
      <c r="Y72" s="119">
        <f>'As-Filed Schedule 2E'!O72</f>
        <v>0</v>
      </c>
      <c r="Z72" s="309">
        <f>SUMIFS(Adjustments!$G:$G,Adjustments!$H:$H,"2E",Adjustments!$I:$I,'Schedule 2E Adjustments'!$Y$12,Adjustments!$J:$J,'Schedule 2E Adjustments'!$A72)</f>
        <v>0</v>
      </c>
      <c r="AA72" s="305">
        <f t="shared" si="7"/>
        <v>0</v>
      </c>
    </row>
    <row r="73" spans="1:27" x14ac:dyDescent="0.35">
      <c r="A73" s="24">
        <v>59</v>
      </c>
      <c r="F73" s="18">
        <f>SUM(F15:F72)</f>
        <v>0</v>
      </c>
      <c r="G73" s="18">
        <f>SUM(G15:G72)</f>
        <v>0</v>
      </c>
      <c r="H73" s="18">
        <f t="shared" ref="H73:K73" si="8">SUM(H15:H72)</f>
        <v>0</v>
      </c>
      <c r="I73" s="18">
        <f t="shared" si="8"/>
        <v>0</v>
      </c>
      <c r="J73" s="306">
        <f>IFERROR(H73*'Adjusted Schedule 1'!$E$104,0)</f>
        <v>0</v>
      </c>
      <c r="K73" s="18">
        <f t="shared" si="8"/>
        <v>0</v>
      </c>
      <c r="L73" s="307">
        <f t="shared" ref="L73" si="9">SUM(L15:L72)</f>
        <v>0</v>
      </c>
      <c r="N73" s="18">
        <f>SUM(N15:N72)</f>
        <v>0</v>
      </c>
      <c r="O73" s="18">
        <f t="shared" ref="O73:S73" si="10">SUM(O15:O72)</f>
        <v>0</v>
      </c>
      <c r="P73" s="18">
        <f t="shared" si="10"/>
        <v>0</v>
      </c>
      <c r="Q73" s="18">
        <f t="shared" si="10"/>
        <v>0</v>
      </c>
      <c r="R73" s="18">
        <f t="shared" si="10"/>
        <v>0</v>
      </c>
      <c r="S73" s="18">
        <f t="shared" si="10"/>
        <v>0</v>
      </c>
      <c r="T73" s="307">
        <f>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811</v>
      </c>
      <c r="F75" s="75">
        <f>K73+S73</f>
        <v>0</v>
      </c>
      <c r="G75"/>
      <c r="H75" s="75">
        <f>L73+T73</f>
        <v>0</v>
      </c>
      <c r="I75" s="74"/>
      <c r="J75" s="321"/>
      <c r="K75" s="74"/>
      <c r="L75" s="321"/>
      <c r="N75" s="74"/>
      <c r="O75" s="328"/>
      <c r="P75" s="321"/>
      <c r="Q75" s="74"/>
      <c r="R75" s="321"/>
      <c r="T75" s="323"/>
      <c r="W75" s="326"/>
      <c r="X75" s="323"/>
      <c r="Z75" s="326"/>
      <c r="AA75" s="323"/>
    </row>
  </sheetData>
  <sheetProtection sheet="1" objects="1" scenarios="1"/>
  <customSheetViews>
    <customSheetView guid="{D0F83CC0-0361-4280-BCA4-9A92C986158B}" state="hidden">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V13:V14"/>
    <mergeCell ref="W13:W14"/>
    <mergeCell ref="X13:X14"/>
    <mergeCell ref="Y13:Y14"/>
    <mergeCell ref="Z13:Z14"/>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B40:D40"/>
    <mergeCell ref="B41:D41"/>
    <mergeCell ref="B42:D42"/>
    <mergeCell ref="B43:D43"/>
    <mergeCell ref="B44:D44"/>
    <mergeCell ref="B38:D38"/>
    <mergeCell ref="B27:D27"/>
    <mergeCell ref="B28:D28"/>
    <mergeCell ref="B29:D29"/>
    <mergeCell ref="B30:D30"/>
    <mergeCell ref="B31:D31"/>
    <mergeCell ref="B32:D32"/>
    <mergeCell ref="B33:D33"/>
    <mergeCell ref="B34:D34"/>
    <mergeCell ref="B35:D35"/>
    <mergeCell ref="B36:D36"/>
    <mergeCell ref="B37:D37"/>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s>
  <pageMargins left="0.7" right="0.7" top="0.75" bottom="0.75" header="0.3" footer="0.3"/>
  <pageSetup orientation="portrait" horizontalDpi="1200" verticalDpi="1200"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840</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813</v>
      </c>
      <c r="C8" s="1"/>
      <c r="F8" s="118" t="str">
        <f>'As-Filed Schedule 2F'!F8</f>
        <v>Yes/No</v>
      </c>
      <c r="G8" s="41" t="s">
        <v>259</v>
      </c>
    </row>
    <row r="10" spans="1:27" x14ac:dyDescent="0.35">
      <c r="A10" s="1" t="s">
        <v>254</v>
      </c>
      <c r="B10" s="1" t="s">
        <v>256</v>
      </c>
      <c r="C10" s="1"/>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ht="15" customHeight="1"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48"/>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2F'!B15:D15=0,"",'As-Filed Schedule 2F'!B15:D15)</f>
        <v/>
      </c>
      <c r="C15" s="514"/>
      <c r="D15" s="514"/>
      <c r="F15" s="117">
        <f>'As-Filed Schedule 2F'!F15</f>
        <v>0</v>
      </c>
      <c r="G15" s="309">
        <f>SUMIFS(Adjustments!$G:$G,Adjustments!$H:$H,"2F",Adjustments!$I:$I,'Schedule 2F Adjustments'!$F$12,Adjustments!$J:$J,'Schedule 2F Adjustments'!$A15)</f>
        <v>0</v>
      </c>
      <c r="H15" s="305">
        <f>SUM(F15:G15)</f>
        <v>0</v>
      </c>
      <c r="I15" s="68">
        <f>IFERROR(F15*'As-Filed Schedule 1'!$E$103,0)</f>
        <v>0</v>
      </c>
      <c r="J15" s="306">
        <f>IFERROR(H15*'Adjusted Schedule 1'!$E$104,0)</f>
        <v>0</v>
      </c>
      <c r="K15" s="68">
        <f>SUM(F15,I15)</f>
        <v>0</v>
      </c>
      <c r="L15" s="306">
        <f>SUM(H15,J15)</f>
        <v>0</v>
      </c>
      <c r="N15" s="117">
        <f>'As-Filed Schedule 2F'!J15</f>
        <v>0</v>
      </c>
      <c r="O15" s="309">
        <f>SUMIFS(Adjustments!$G:$G,Adjustments!$H:$H,"2F",Adjustments!$I:$I,'Schedule 2F Adjustments'!$N$12,Adjustments!$J:$J,'Schedule 2F Adjustments'!$A15)</f>
        <v>0</v>
      </c>
      <c r="P15" s="305">
        <f>SUM(N15:O15)</f>
        <v>0</v>
      </c>
      <c r="Q15" s="68">
        <f>IFERROR(N15*'As-Filed Schedule 1'!$E$103,0)</f>
        <v>0</v>
      </c>
      <c r="R15" s="68">
        <f>IFERROR(P15*'Adjusted Schedule 1'!$E$104,0)</f>
        <v>0</v>
      </c>
      <c r="S15" s="68">
        <f>SUM(N15,Q15)</f>
        <v>0</v>
      </c>
      <c r="T15" s="306">
        <f>SUM(P15,R15)</f>
        <v>0</v>
      </c>
      <c r="V15" s="119">
        <f>'As-Filed Schedule 2F'!N15</f>
        <v>0</v>
      </c>
      <c r="W15" s="309">
        <f>SUMIFS(Adjustments!$G:$G,Adjustments!$H:$H,"2F",Adjustments!$I:$I,'Schedule 2F Adjustments'!$V$12,Adjustments!$J:$J,'Schedule 2F Adjustments'!$A15)</f>
        <v>0</v>
      </c>
      <c r="X15" s="305">
        <f>SUM(V15:W15)</f>
        <v>0</v>
      </c>
      <c r="Y15" s="119">
        <f>'As-Filed Schedule 2F'!O15</f>
        <v>0</v>
      </c>
      <c r="Z15" s="309">
        <f>SUMIFS(Adjustments!$G:$G,Adjustments!$H:$H,"2F",Adjustments!$I:$I,'Schedule 2F Adjustments'!$Y$12,Adjustments!$J:$J,'Schedule 2F Adjustments'!$A15)</f>
        <v>0</v>
      </c>
      <c r="AA15" s="305">
        <f>SUM(Y15:Z15)</f>
        <v>0</v>
      </c>
    </row>
    <row r="16" spans="1:27" x14ac:dyDescent="0.35">
      <c r="A16" s="24">
        <v>2</v>
      </c>
      <c r="B16" s="514" t="str">
        <f>IF('As-Filed Schedule 2F'!B16:D16=0,"",'As-Filed Schedule 2F'!B16:D16)</f>
        <v/>
      </c>
      <c r="C16" s="514"/>
      <c r="D16" s="514"/>
      <c r="F16" s="117">
        <f>'As-Filed Schedule 2F'!F16</f>
        <v>0</v>
      </c>
      <c r="G16" s="309">
        <f>SUMIFS(Adjustments!$G:$G,Adjustments!$H:$H,"2F",Adjustments!$I:$I,'Schedule 2F Adjustments'!$F$12,Adjustments!$J:$J,'Schedule 2F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2F'!J16</f>
        <v>0</v>
      </c>
      <c r="O16" s="309">
        <f>SUMIFS(Adjustments!$G:$G,Adjustments!$H:$H,"2F",Adjustments!$I:$I,'Schedule 2F Adjustments'!$N$12,Adjustments!$J:$J,'Schedule 2F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2F'!N16</f>
        <v>0</v>
      </c>
      <c r="W16" s="309">
        <f>SUMIFS(Adjustments!$G:$G,Adjustments!$H:$H,"2F",Adjustments!$I:$I,'Schedule 2F Adjustments'!$V$12,Adjustments!$J:$J,'Schedule 2F Adjustments'!$A16)</f>
        <v>0</v>
      </c>
      <c r="X16" s="305">
        <f t="shared" ref="X16:X72" si="6">SUM(V16:W16)</f>
        <v>0</v>
      </c>
      <c r="Y16" s="119">
        <f>'As-Filed Schedule 2F'!O16</f>
        <v>0</v>
      </c>
      <c r="Z16" s="309">
        <f>SUMIFS(Adjustments!$G:$G,Adjustments!$H:$H,"2F",Adjustments!$I:$I,'Schedule 2F Adjustments'!$Y$12,Adjustments!$J:$J,'Schedule 2F Adjustments'!$A16)</f>
        <v>0</v>
      </c>
      <c r="AA16" s="305">
        <f t="shared" ref="AA16:AA72" si="7">SUM(Y16:Z16)</f>
        <v>0</v>
      </c>
    </row>
    <row r="17" spans="1:27" x14ac:dyDescent="0.35">
      <c r="A17" s="24">
        <v>3</v>
      </c>
      <c r="B17" s="514" t="str">
        <f>IF('As-Filed Schedule 2F'!B17:D17=0,"",'As-Filed Schedule 2F'!B17:D17)</f>
        <v/>
      </c>
      <c r="C17" s="514"/>
      <c r="D17" s="514"/>
      <c r="F17" s="117">
        <f>'As-Filed Schedule 2F'!F17</f>
        <v>0</v>
      </c>
      <c r="G17" s="309">
        <f>SUMIFS(Adjustments!$G:$G,Adjustments!$H:$H,"2F",Adjustments!$I:$I,'Schedule 2F Adjustments'!$F$12,Adjustments!$J:$J,'Schedule 2F Adjustments'!$A17)</f>
        <v>0</v>
      </c>
      <c r="H17" s="305">
        <f t="shared" si="0"/>
        <v>0</v>
      </c>
      <c r="I17" s="68">
        <f>IFERROR(F17*'As-Filed Schedule 1'!$E$103,0)</f>
        <v>0</v>
      </c>
      <c r="J17" s="306">
        <f>IFERROR(H17*'Adjusted Schedule 1'!$E$104,0)</f>
        <v>0</v>
      </c>
      <c r="K17" s="68">
        <f t="shared" si="1"/>
        <v>0</v>
      </c>
      <c r="L17" s="306">
        <f t="shared" si="2"/>
        <v>0</v>
      </c>
      <c r="N17" s="117">
        <f>'As-Filed Schedule 2F'!J17</f>
        <v>0</v>
      </c>
      <c r="O17" s="309">
        <f>SUMIFS(Adjustments!$G:$G,Adjustments!$H:$H,"2F",Adjustments!$I:$I,'Schedule 2F Adjustments'!$N$12,Adjustments!$J:$J,'Schedule 2F Adjustments'!$A17)</f>
        <v>0</v>
      </c>
      <c r="P17" s="305">
        <f t="shared" si="3"/>
        <v>0</v>
      </c>
      <c r="Q17" s="68">
        <f>IFERROR(N17*'As-Filed Schedule 1'!$E$103,0)</f>
        <v>0</v>
      </c>
      <c r="R17" s="68">
        <f>IFERROR(P17*'Adjusted Schedule 1'!$E$104,0)</f>
        <v>0</v>
      </c>
      <c r="S17" s="68">
        <f t="shared" si="4"/>
        <v>0</v>
      </c>
      <c r="T17" s="306">
        <f t="shared" si="5"/>
        <v>0</v>
      </c>
      <c r="V17" s="119">
        <f>'As-Filed Schedule 2F'!N17</f>
        <v>0</v>
      </c>
      <c r="W17" s="309">
        <f>SUMIFS(Adjustments!$G:$G,Adjustments!$H:$H,"2F",Adjustments!$I:$I,'Schedule 2F Adjustments'!$V$12,Adjustments!$J:$J,'Schedule 2F Adjustments'!$A17)</f>
        <v>0</v>
      </c>
      <c r="X17" s="305">
        <f t="shared" si="6"/>
        <v>0</v>
      </c>
      <c r="Y17" s="119">
        <f>'As-Filed Schedule 2F'!O17</f>
        <v>0</v>
      </c>
      <c r="Z17" s="309">
        <f>SUMIFS(Adjustments!$G:$G,Adjustments!$H:$H,"2F",Adjustments!$I:$I,'Schedule 2F Adjustments'!$Y$12,Adjustments!$J:$J,'Schedule 2F Adjustments'!$A17)</f>
        <v>0</v>
      </c>
      <c r="AA17" s="305">
        <f t="shared" si="7"/>
        <v>0</v>
      </c>
    </row>
    <row r="18" spans="1:27" x14ac:dyDescent="0.35">
      <c r="A18" s="24">
        <v>4</v>
      </c>
      <c r="B18" s="514" t="str">
        <f>IF('As-Filed Schedule 2F'!B18:D18=0,"",'As-Filed Schedule 2F'!B18:D18)</f>
        <v/>
      </c>
      <c r="C18" s="514"/>
      <c r="D18" s="514"/>
      <c r="F18" s="117">
        <f>'As-Filed Schedule 2F'!F18</f>
        <v>0</v>
      </c>
      <c r="G18" s="309">
        <f>SUMIFS(Adjustments!$G:$G,Adjustments!$H:$H,"2F",Adjustments!$I:$I,'Schedule 2F Adjustments'!$F$12,Adjustments!$J:$J,'Schedule 2F Adjustments'!$A18)</f>
        <v>0</v>
      </c>
      <c r="H18" s="305">
        <f t="shared" si="0"/>
        <v>0</v>
      </c>
      <c r="I18" s="68">
        <f>IFERROR(F18*'As-Filed Schedule 1'!$E$103,0)</f>
        <v>0</v>
      </c>
      <c r="J18" s="306">
        <f>IFERROR(H18*'Adjusted Schedule 1'!$E$104,0)</f>
        <v>0</v>
      </c>
      <c r="K18" s="68">
        <f>SUM(F18,I18)</f>
        <v>0</v>
      </c>
      <c r="L18" s="306">
        <f>SUM(H18,J18)</f>
        <v>0</v>
      </c>
      <c r="N18" s="117">
        <f>'As-Filed Schedule 2F'!J18</f>
        <v>0</v>
      </c>
      <c r="O18" s="309">
        <f>SUMIFS(Adjustments!$G:$G,Adjustments!$H:$H,"2F",Adjustments!$I:$I,'Schedule 2F Adjustments'!$N$12,Adjustments!$J:$J,'Schedule 2F Adjustments'!$A18)</f>
        <v>0</v>
      </c>
      <c r="P18" s="305">
        <f t="shared" si="3"/>
        <v>0</v>
      </c>
      <c r="Q18" s="68">
        <f>IFERROR(N18*'As-Filed Schedule 1'!$E$103,0)</f>
        <v>0</v>
      </c>
      <c r="R18" s="68">
        <f>IFERROR(P18*'Adjusted Schedule 1'!$E$104,0)</f>
        <v>0</v>
      </c>
      <c r="S18" s="68">
        <f t="shared" si="4"/>
        <v>0</v>
      </c>
      <c r="T18" s="306">
        <f t="shared" si="5"/>
        <v>0</v>
      </c>
      <c r="V18" s="119">
        <f>'As-Filed Schedule 2F'!N18</f>
        <v>0</v>
      </c>
      <c r="W18" s="309">
        <f>SUMIFS(Adjustments!$G:$G,Adjustments!$H:$H,"2F",Adjustments!$I:$I,'Schedule 2F Adjustments'!$V$12,Adjustments!$J:$J,'Schedule 2F Adjustments'!$A18)</f>
        <v>0</v>
      </c>
      <c r="X18" s="305">
        <f t="shared" si="6"/>
        <v>0</v>
      </c>
      <c r="Y18" s="119">
        <f>'As-Filed Schedule 2F'!O18</f>
        <v>0</v>
      </c>
      <c r="Z18" s="309">
        <f>SUMIFS(Adjustments!$G:$G,Adjustments!$H:$H,"2F",Adjustments!$I:$I,'Schedule 2F Adjustments'!$Y$12,Adjustments!$J:$J,'Schedule 2F Adjustments'!$A18)</f>
        <v>0</v>
      </c>
      <c r="AA18" s="305">
        <f t="shared" si="7"/>
        <v>0</v>
      </c>
    </row>
    <row r="19" spans="1:27" x14ac:dyDescent="0.35">
      <c r="A19" s="24">
        <v>5</v>
      </c>
      <c r="B19" s="514" t="str">
        <f>IF('As-Filed Schedule 2F'!B19:D19=0,"",'As-Filed Schedule 2F'!B19:D19)</f>
        <v/>
      </c>
      <c r="C19" s="514"/>
      <c r="D19" s="514"/>
      <c r="F19" s="117">
        <f>'As-Filed Schedule 2F'!F19</f>
        <v>0</v>
      </c>
      <c r="G19" s="309">
        <f>SUMIFS(Adjustments!$G:$G,Adjustments!$H:$H,"2F",Adjustments!$I:$I,'Schedule 2F Adjustments'!$F$12,Adjustments!$J:$J,'Schedule 2F Adjustments'!$A19)</f>
        <v>0</v>
      </c>
      <c r="H19" s="305">
        <f t="shared" si="0"/>
        <v>0</v>
      </c>
      <c r="I19" s="68">
        <f>IFERROR(F19*'As-Filed Schedule 1'!$E$103,0)</f>
        <v>0</v>
      </c>
      <c r="J19" s="306">
        <f>IFERROR(H19*'Adjusted Schedule 1'!$E$104,0)</f>
        <v>0</v>
      </c>
      <c r="K19" s="68">
        <f t="shared" si="1"/>
        <v>0</v>
      </c>
      <c r="L19" s="306">
        <f>SUM(H19,J19)</f>
        <v>0</v>
      </c>
      <c r="N19" s="117">
        <f>'As-Filed Schedule 2F'!J19</f>
        <v>0</v>
      </c>
      <c r="O19" s="309">
        <f>SUMIFS(Adjustments!$G:$G,Adjustments!$H:$H,"2F",Adjustments!$I:$I,'Schedule 2F Adjustments'!$N$12,Adjustments!$J:$J,'Schedule 2F Adjustments'!$A19)</f>
        <v>0</v>
      </c>
      <c r="P19" s="305">
        <f t="shared" si="3"/>
        <v>0</v>
      </c>
      <c r="Q19" s="68">
        <f>IFERROR(N19*'As-Filed Schedule 1'!$E$103,0)</f>
        <v>0</v>
      </c>
      <c r="R19" s="68">
        <f>IFERROR(P19*'Adjusted Schedule 1'!$E$104,0)</f>
        <v>0</v>
      </c>
      <c r="S19" s="68">
        <f t="shared" si="4"/>
        <v>0</v>
      </c>
      <c r="T19" s="306">
        <f t="shared" si="5"/>
        <v>0</v>
      </c>
      <c r="V19" s="119">
        <f>'As-Filed Schedule 2F'!N19</f>
        <v>0</v>
      </c>
      <c r="W19" s="309">
        <f>SUMIFS(Adjustments!$G:$G,Adjustments!$H:$H,"2F",Adjustments!$I:$I,'Schedule 2F Adjustments'!$V$12,Adjustments!$J:$J,'Schedule 2F Adjustments'!$A19)</f>
        <v>0</v>
      </c>
      <c r="X19" s="305">
        <f t="shared" si="6"/>
        <v>0</v>
      </c>
      <c r="Y19" s="119">
        <f>'As-Filed Schedule 2F'!O19</f>
        <v>0</v>
      </c>
      <c r="Z19" s="309">
        <f>SUMIFS(Adjustments!$G:$G,Adjustments!$H:$H,"2F",Adjustments!$I:$I,'Schedule 2F Adjustments'!$Y$12,Adjustments!$J:$J,'Schedule 2F Adjustments'!$A19)</f>
        <v>0</v>
      </c>
      <c r="AA19" s="305">
        <f t="shared" si="7"/>
        <v>0</v>
      </c>
    </row>
    <row r="20" spans="1:27" x14ac:dyDescent="0.35">
      <c r="A20" s="24">
        <v>6</v>
      </c>
      <c r="B20" s="514" t="str">
        <f>IF('As-Filed Schedule 2F'!B20:D20=0,"",'As-Filed Schedule 2F'!B20:D20)</f>
        <v/>
      </c>
      <c r="C20" s="514"/>
      <c r="D20" s="514"/>
      <c r="F20" s="117">
        <f>'As-Filed Schedule 2F'!F20</f>
        <v>0</v>
      </c>
      <c r="G20" s="309">
        <f>SUMIFS(Adjustments!$G:$G,Adjustments!$H:$H,"2F",Adjustments!$I:$I,'Schedule 2F Adjustments'!$F$12,Adjustments!$J:$J,'Schedule 2F Adjustments'!$A20)</f>
        <v>0</v>
      </c>
      <c r="H20" s="305">
        <f t="shared" si="0"/>
        <v>0</v>
      </c>
      <c r="I20" s="68">
        <f>IFERROR(F20*'As-Filed Schedule 1'!$E$103,0)</f>
        <v>0</v>
      </c>
      <c r="J20" s="306">
        <f>IFERROR(H20*'Adjusted Schedule 1'!$E$104,0)</f>
        <v>0</v>
      </c>
      <c r="K20" s="68">
        <f>SUM(F20,I20)</f>
        <v>0</v>
      </c>
      <c r="L20" s="306">
        <f t="shared" si="2"/>
        <v>0</v>
      </c>
      <c r="N20" s="117">
        <f>'As-Filed Schedule 2F'!J20</f>
        <v>0</v>
      </c>
      <c r="O20" s="309">
        <f>SUMIFS(Adjustments!$G:$G,Adjustments!$H:$H,"2F",Adjustments!$I:$I,'Schedule 2F Adjustments'!$N$12,Adjustments!$J:$J,'Schedule 2F Adjustments'!$A20)</f>
        <v>0</v>
      </c>
      <c r="P20" s="305">
        <f t="shared" si="3"/>
        <v>0</v>
      </c>
      <c r="Q20" s="68">
        <f>IFERROR(N20*'As-Filed Schedule 1'!$E$103,0)</f>
        <v>0</v>
      </c>
      <c r="R20" s="68">
        <f>IFERROR(P20*'Adjusted Schedule 1'!$E$104,0)</f>
        <v>0</v>
      </c>
      <c r="S20" s="68">
        <f t="shared" si="4"/>
        <v>0</v>
      </c>
      <c r="T20" s="306">
        <f t="shared" si="5"/>
        <v>0</v>
      </c>
      <c r="V20" s="119">
        <f>'As-Filed Schedule 2F'!N20</f>
        <v>0</v>
      </c>
      <c r="W20" s="309">
        <f>SUMIFS(Adjustments!$G:$G,Adjustments!$H:$H,"2F",Adjustments!$I:$I,'Schedule 2F Adjustments'!$V$12,Adjustments!$J:$J,'Schedule 2F Adjustments'!$A20)</f>
        <v>0</v>
      </c>
      <c r="X20" s="305">
        <f t="shared" si="6"/>
        <v>0</v>
      </c>
      <c r="Y20" s="119">
        <f>'As-Filed Schedule 2F'!O20</f>
        <v>0</v>
      </c>
      <c r="Z20" s="309">
        <f>SUMIFS(Adjustments!$G:$G,Adjustments!$H:$H,"2F",Adjustments!$I:$I,'Schedule 2F Adjustments'!$Y$12,Adjustments!$J:$J,'Schedule 2F Adjustments'!$A20)</f>
        <v>0</v>
      </c>
      <c r="AA20" s="305">
        <f t="shared" si="7"/>
        <v>0</v>
      </c>
    </row>
    <row r="21" spans="1:27" x14ac:dyDescent="0.35">
      <c r="A21" s="24">
        <v>7</v>
      </c>
      <c r="B21" s="514" t="str">
        <f>IF('As-Filed Schedule 2F'!B21:D21=0,"",'As-Filed Schedule 2F'!B21:D21)</f>
        <v/>
      </c>
      <c r="C21" s="514"/>
      <c r="D21" s="514"/>
      <c r="F21" s="117">
        <f>'As-Filed Schedule 2F'!F21</f>
        <v>0</v>
      </c>
      <c r="G21" s="309">
        <f>SUMIFS(Adjustments!$G:$G,Adjustments!$H:$H,"2F",Adjustments!$I:$I,'Schedule 2F Adjustments'!$F$12,Adjustments!$J:$J,'Schedule 2F Adjustments'!$A21)</f>
        <v>0</v>
      </c>
      <c r="H21" s="305">
        <f t="shared" si="0"/>
        <v>0</v>
      </c>
      <c r="I21" s="68">
        <f>IFERROR(F21*'As-Filed Schedule 1'!$E$103,0)</f>
        <v>0</v>
      </c>
      <c r="J21" s="306">
        <f>IFERROR(H21*'Adjusted Schedule 1'!$E$104,0)</f>
        <v>0</v>
      </c>
      <c r="K21" s="68">
        <f t="shared" si="1"/>
        <v>0</v>
      </c>
      <c r="L21" s="306">
        <f t="shared" si="2"/>
        <v>0</v>
      </c>
      <c r="N21" s="117">
        <f>'As-Filed Schedule 2F'!J21</f>
        <v>0</v>
      </c>
      <c r="O21" s="309">
        <f>SUMIFS(Adjustments!$G:$G,Adjustments!$H:$H,"2F",Adjustments!$I:$I,'Schedule 2F Adjustments'!$N$12,Adjustments!$J:$J,'Schedule 2F Adjustments'!$A21)</f>
        <v>0</v>
      </c>
      <c r="P21" s="305">
        <f t="shared" si="3"/>
        <v>0</v>
      </c>
      <c r="Q21" s="68">
        <f>IFERROR(N21*'As-Filed Schedule 1'!$E$103,0)</f>
        <v>0</v>
      </c>
      <c r="R21" s="68">
        <f>IFERROR(P21*'Adjusted Schedule 1'!$E$104,0)</f>
        <v>0</v>
      </c>
      <c r="S21" s="68">
        <f>SUM(N21,Q21)</f>
        <v>0</v>
      </c>
      <c r="T21" s="306">
        <f>SUM(P21,R21)</f>
        <v>0</v>
      </c>
      <c r="V21" s="119">
        <f>'As-Filed Schedule 2F'!N21</f>
        <v>0</v>
      </c>
      <c r="W21" s="309">
        <f>SUMIFS(Adjustments!$G:$G,Adjustments!$H:$H,"2F",Adjustments!$I:$I,'Schedule 2F Adjustments'!$V$12,Adjustments!$J:$J,'Schedule 2F Adjustments'!$A21)</f>
        <v>0</v>
      </c>
      <c r="X21" s="305">
        <f t="shared" si="6"/>
        <v>0</v>
      </c>
      <c r="Y21" s="119">
        <f>'As-Filed Schedule 2F'!O21</f>
        <v>0</v>
      </c>
      <c r="Z21" s="309">
        <f>SUMIFS(Adjustments!$G:$G,Adjustments!$H:$H,"2F",Adjustments!$I:$I,'Schedule 2F Adjustments'!$Y$12,Adjustments!$J:$J,'Schedule 2F Adjustments'!$A21)</f>
        <v>0</v>
      </c>
      <c r="AA21" s="305">
        <f t="shared" si="7"/>
        <v>0</v>
      </c>
    </row>
    <row r="22" spans="1:27" x14ac:dyDescent="0.35">
      <c r="A22" s="24">
        <v>8</v>
      </c>
      <c r="B22" s="514" t="str">
        <f>IF('As-Filed Schedule 2F'!B22:D22=0,"",'As-Filed Schedule 2F'!B22:D22)</f>
        <v/>
      </c>
      <c r="C22" s="514"/>
      <c r="D22" s="514"/>
      <c r="F22" s="117">
        <f>'As-Filed Schedule 2F'!F22</f>
        <v>0</v>
      </c>
      <c r="G22" s="309">
        <f>SUMIFS(Adjustments!$G:$G,Adjustments!$H:$H,"2F",Adjustments!$I:$I,'Schedule 2F Adjustments'!$F$12,Adjustments!$J:$J,'Schedule 2F Adjustments'!$A22)</f>
        <v>0</v>
      </c>
      <c r="H22" s="305">
        <f t="shared" si="0"/>
        <v>0</v>
      </c>
      <c r="I22" s="68">
        <f>IFERROR(F22*'As-Filed Schedule 1'!$E$103,0)</f>
        <v>0</v>
      </c>
      <c r="J22" s="306">
        <f>IFERROR(H22*'Adjusted Schedule 1'!$E$104,0)</f>
        <v>0</v>
      </c>
      <c r="K22" s="68">
        <f t="shared" si="1"/>
        <v>0</v>
      </c>
      <c r="L22" s="306">
        <f t="shared" si="2"/>
        <v>0</v>
      </c>
      <c r="N22" s="117">
        <f>'As-Filed Schedule 2F'!J22</f>
        <v>0</v>
      </c>
      <c r="O22" s="309">
        <f>SUMIFS(Adjustments!$G:$G,Adjustments!$H:$H,"2F",Adjustments!$I:$I,'Schedule 2F Adjustments'!$N$12,Adjustments!$J:$J,'Schedule 2F Adjustments'!$A22)</f>
        <v>0</v>
      </c>
      <c r="P22" s="305">
        <f t="shared" si="3"/>
        <v>0</v>
      </c>
      <c r="Q22" s="68">
        <f>IFERROR(N22*'As-Filed Schedule 1'!$E$103,0)</f>
        <v>0</v>
      </c>
      <c r="R22" s="68">
        <f>IFERROR(P22*'Adjusted Schedule 1'!$E$104,0)</f>
        <v>0</v>
      </c>
      <c r="S22" s="68">
        <f t="shared" si="4"/>
        <v>0</v>
      </c>
      <c r="T22" s="306">
        <f t="shared" si="5"/>
        <v>0</v>
      </c>
      <c r="V22" s="119">
        <f>'As-Filed Schedule 2F'!N22</f>
        <v>0</v>
      </c>
      <c r="W22" s="309">
        <f>SUMIFS(Adjustments!$G:$G,Adjustments!$H:$H,"2F",Adjustments!$I:$I,'Schedule 2F Adjustments'!$V$12,Adjustments!$J:$J,'Schedule 2F Adjustments'!$A22)</f>
        <v>0</v>
      </c>
      <c r="X22" s="305">
        <f t="shared" si="6"/>
        <v>0</v>
      </c>
      <c r="Y22" s="119">
        <f>'As-Filed Schedule 2F'!O22</f>
        <v>0</v>
      </c>
      <c r="Z22" s="309">
        <f>SUMIFS(Adjustments!$G:$G,Adjustments!$H:$H,"2F",Adjustments!$I:$I,'Schedule 2F Adjustments'!$Y$12,Adjustments!$J:$J,'Schedule 2F Adjustments'!$A22)</f>
        <v>0</v>
      </c>
      <c r="AA22" s="305">
        <f t="shared" si="7"/>
        <v>0</v>
      </c>
    </row>
    <row r="23" spans="1:27" x14ac:dyDescent="0.35">
      <c r="A23" s="24">
        <v>9</v>
      </c>
      <c r="B23" s="514" t="str">
        <f>IF('As-Filed Schedule 2F'!B23:D23=0,"",'As-Filed Schedule 2F'!B23:D23)</f>
        <v/>
      </c>
      <c r="C23" s="514"/>
      <c r="D23" s="514"/>
      <c r="F23" s="117">
        <f>'As-Filed Schedule 2F'!F23</f>
        <v>0</v>
      </c>
      <c r="G23" s="309">
        <f>SUMIFS(Adjustments!$G:$G,Adjustments!$H:$H,"2F",Adjustments!$I:$I,'Schedule 2F Adjustments'!$F$12,Adjustments!$J:$J,'Schedule 2F Adjustments'!$A23)</f>
        <v>0</v>
      </c>
      <c r="H23" s="305">
        <f t="shared" si="0"/>
        <v>0</v>
      </c>
      <c r="I23" s="68">
        <f>IFERROR(F23*'As-Filed Schedule 1'!$E$103,0)</f>
        <v>0</v>
      </c>
      <c r="J23" s="306">
        <f>IFERROR(H23*'Adjusted Schedule 1'!$E$104,0)</f>
        <v>0</v>
      </c>
      <c r="K23" s="68">
        <f t="shared" si="1"/>
        <v>0</v>
      </c>
      <c r="L23" s="306">
        <f t="shared" si="2"/>
        <v>0</v>
      </c>
      <c r="N23" s="117">
        <f>'As-Filed Schedule 2F'!J23</f>
        <v>0</v>
      </c>
      <c r="O23" s="309">
        <f>SUMIFS(Adjustments!$G:$G,Adjustments!$H:$H,"2F",Adjustments!$I:$I,'Schedule 2F Adjustments'!$N$12,Adjustments!$J:$J,'Schedule 2F Adjustments'!$A23)</f>
        <v>0</v>
      </c>
      <c r="P23" s="305">
        <f t="shared" si="3"/>
        <v>0</v>
      </c>
      <c r="Q23" s="68">
        <f>IFERROR(N23*'As-Filed Schedule 1'!$E$103,0)</f>
        <v>0</v>
      </c>
      <c r="R23" s="68">
        <f>IFERROR(P23*'Adjusted Schedule 1'!$E$104,0)</f>
        <v>0</v>
      </c>
      <c r="S23" s="68">
        <f t="shared" si="4"/>
        <v>0</v>
      </c>
      <c r="T23" s="306">
        <f t="shared" si="5"/>
        <v>0</v>
      </c>
      <c r="V23" s="119">
        <f>'As-Filed Schedule 2F'!N23</f>
        <v>0</v>
      </c>
      <c r="W23" s="309">
        <f>SUMIFS(Adjustments!$G:$G,Adjustments!$H:$H,"2F",Adjustments!$I:$I,'Schedule 2F Adjustments'!$V$12,Adjustments!$J:$J,'Schedule 2F Adjustments'!$A23)</f>
        <v>0</v>
      </c>
      <c r="X23" s="305">
        <f t="shared" si="6"/>
        <v>0</v>
      </c>
      <c r="Y23" s="119">
        <f>'As-Filed Schedule 2F'!O23</f>
        <v>0</v>
      </c>
      <c r="Z23" s="309">
        <f>SUMIFS(Adjustments!$G:$G,Adjustments!$H:$H,"2F",Adjustments!$I:$I,'Schedule 2F Adjustments'!$Y$12,Adjustments!$J:$J,'Schedule 2F Adjustments'!$A23)</f>
        <v>0</v>
      </c>
      <c r="AA23" s="305">
        <f t="shared" si="7"/>
        <v>0</v>
      </c>
    </row>
    <row r="24" spans="1:27" x14ac:dyDescent="0.35">
      <c r="A24" s="24">
        <v>10</v>
      </c>
      <c r="B24" s="514" t="str">
        <f>IF('As-Filed Schedule 2F'!B24:D24=0,"",'As-Filed Schedule 2F'!B24:D24)</f>
        <v/>
      </c>
      <c r="C24" s="514"/>
      <c r="D24" s="514"/>
      <c r="F24" s="117">
        <f>'As-Filed Schedule 2F'!F24</f>
        <v>0</v>
      </c>
      <c r="G24" s="309">
        <f>SUMIFS(Adjustments!$G:$G,Adjustments!$H:$H,"2F",Adjustments!$I:$I,'Schedule 2F Adjustments'!$F$12,Adjustments!$J:$J,'Schedule 2F Adjustments'!$A24)</f>
        <v>0</v>
      </c>
      <c r="H24" s="305">
        <f t="shared" si="0"/>
        <v>0</v>
      </c>
      <c r="I24" s="68">
        <f>IFERROR(F24*'As-Filed Schedule 1'!$E$103,0)</f>
        <v>0</v>
      </c>
      <c r="J24" s="306">
        <f>IFERROR(H24*'Adjusted Schedule 1'!$E$104,0)</f>
        <v>0</v>
      </c>
      <c r="K24" s="68">
        <f t="shared" si="1"/>
        <v>0</v>
      </c>
      <c r="L24" s="306">
        <f t="shared" si="2"/>
        <v>0</v>
      </c>
      <c r="N24" s="117">
        <f>'As-Filed Schedule 2F'!J24</f>
        <v>0</v>
      </c>
      <c r="O24" s="309">
        <f>SUMIFS(Adjustments!$G:$G,Adjustments!$H:$H,"2F",Adjustments!$I:$I,'Schedule 2F Adjustments'!$N$12,Adjustments!$J:$J,'Schedule 2F Adjustments'!$A24)</f>
        <v>0</v>
      </c>
      <c r="P24" s="305">
        <f t="shared" si="3"/>
        <v>0</v>
      </c>
      <c r="Q24" s="68">
        <f>IFERROR(N24*'As-Filed Schedule 1'!$E$103,0)</f>
        <v>0</v>
      </c>
      <c r="R24" s="68">
        <f>IFERROR(P24*'Adjusted Schedule 1'!$E$104,0)</f>
        <v>0</v>
      </c>
      <c r="S24" s="68">
        <f t="shared" si="4"/>
        <v>0</v>
      </c>
      <c r="T24" s="306">
        <f t="shared" si="5"/>
        <v>0</v>
      </c>
      <c r="V24" s="119">
        <f>'As-Filed Schedule 2F'!N24</f>
        <v>0</v>
      </c>
      <c r="W24" s="309">
        <f>SUMIFS(Adjustments!$G:$G,Adjustments!$H:$H,"2F",Adjustments!$I:$I,'Schedule 2F Adjustments'!$V$12,Adjustments!$J:$J,'Schedule 2F Adjustments'!$A24)</f>
        <v>0</v>
      </c>
      <c r="X24" s="305">
        <f t="shared" si="6"/>
        <v>0</v>
      </c>
      <c r="Y24" s="119">
        <f>'As-Filed Schedule 2F'!O24</f>
        <v>0</v>
      </c>
      <c r="Z24" s="309">
        <f>SUMIFS(Adjustments!$G:$G,Adjustments!$H:$H,"2F",Adjustments!$I:$I,'Schedule 2F Adjustments'!$Y$12,Adjustments!$J:$J,'Schedule 2F Adjustments'!$A24)</f>
        <v>0</v>
      </c>
      <c r="AA24" s="305">
        <f t="shared" si="7"/>
        <v>0</v>
      </c>
    </row>
    <row r="25" spans="1:27" x14ac:dyDescent="0.35">
      <c r="A25" s="24">
        <v>11</v>
      </c>
      <c r="B25" s="514" t="str">
        <f>IF('As-Filed Schedule 2F'!B25:D25=0,"",'As-Filed Schedule 2F'!B25:D25)</f>
        <v/>
      </c>
      <c r="C25" s="514"/>
      <c r="D25" s="514"/>
      <c r="F25" s="117">
        <f>'As-Filed Schedule 2F'!F25</f>
        <v>0</v>
      </c>
      <c r="G25" s="309">
        <f>SUMIFS(Adjustments!$G:$G,Adjustments!$H:$H,"2F",Adjustments!$I:$I,'Schedule 2F Adjustments'!$F$12,Adjustments!$J:$J,'Schedule 2F Adjustments'!$A25)</f>
        <v>0</v>
      </c>
      <c r="H25" s="305">
        <f t="shared" si="0"/>
        <v>0</v>
      </c>
      <c r="I25" s="68">
        <f>IFERROR(F25*'As-Filed Schedule 1'!$E$103,0)</f>
        <v>0</v>
      </c>
      <c r="J25" s="306">
        <f>IFERROR(H25*'Adjusted Schedule 1'!$E$104,0)</f>
        <v>0</v>
      </c>
      <c r="K25" s="68">
        <f t="shared" si="1"/>
        <v>0</v>
      </c>
      <c r="L25" s="306">
        <f t="shared" si="2"/>
        <v>0</v>
      </c>
      <c r="N25" s="117">
        <f>'As-Filed Schedule 2F'!J25</f>
        <v>0</v>
      </c>
      <c r="O25" s="309">
        <f>SUMIFS(Adjustments!$G:$G,Adjustments!$H:$H,"2F",Adjustments!$I:$I,'Schedule 2F Adjustments'!$N$12,Adjustments!$J:$J,'Schedule 2F Adjustments'!$A25)</f>
        <v>0</v>
      </c>
      <c r="P25" s="305">
        <f t="shared" si="3"/>
        <v>0</v>
      </c>
      <c r="Q25" s="68">
        <f>IFERROR(N25*'As-Filed Schedule 1'!$E$103,0)</f>
        <v>0</v>
      </c>
      <c r="R25" s="68">
        <f>IFERROR(P25*'Adjusted Schedule 1'!$E$104,0)</f>
        <v>0</v>
      </c>
      <c r="S25" s="68">
        <f t="shared" si="4"/>
        <v>0</v>
      </c>
      <c r="T25" s="306">
        <f t="shared" si="5"/>
        <v>0</v>
      </c>
      <c r="V25" s="119">
        <f>'As-Filed Schedule 2F'!N25</f>
        <v>0</v>
      </c>
      <c r="W25" s="309">
        <f>SUMIFS(Adjustments!$G:$G,Adjustments!$H:$H,"2F",Adjustments!$I:$I,'Schedule 2F Adjustments'!$V$12,Adjustments!$J:$J,'Schedule 2F Adjustments'!$A25)</f>
        <v>0</v>
      </c>
      <c r="X25" s="305">
        <f t="shared" si="6"/>
        <v>0</v>
      </c>
      <c r="Y25" s="119">
        <f>'As-Filed Schedule 2F'!O25</f>
        <v>0</v>
      </c>
      <c r="Z25" s="309">
        <f>SUMIFS(Adjustments!$G:$G,Adjustments!$H:$H,"2F",Adjustments!$I:$I,'Schedule 2F Adjustments'!$Y$12,Adjustments!$J:$J,'Schedule 2F Adjustments'!$A25)</f>
        <v>0</v>
      </c>
      <c r="AA25" s="305">
        <f t="shared" si="7"/>
        <v>0</v>
      </c>
    </row>
    <row r="26" spans="1:27" x14ac:dyDescent="0.35">
      <c r="A26" s="24">
        <v>12</v>
      </c>
      <c r="B26" s="514" t="str">
        <f>IF('As-Filed Schedule 2F'!B26:D26=0,"",'As-Filed Schedule 2F'!B26:D26)</f>
        <v/>
      </c>
      <c r="C26" s="514"/>
      <c r="D26" s="514"/>
      <c r="F26" s="117">
        <f>'As-Filed Schedule 2F'!F26</f>
        <v>0</v>
      </c>
      <c r="G26" s="309">
        <f>SUMIFS(Adjustments!$G:$G,Adjustments!$H:$H,"2F",Adjustments!$I:$I,'Schedule 2F Adjustments'!$F$12,Adjustments!$J:$J,'Schedule 2F Adjustments'!$A26)</f>
        <v>0</v>
      </c>
      <c r="H26" s="305">
        <f t="shared" si="0"/>
        <v>0</v>
      </c>
      <c r="I26" s="68">
        <f>IFERROR(F26*'As-Filed Schedule 1'!$E$103,0)</f>
        <v>0</v>
      </c>
      <c r="J26" s="306">
        <f>IFERROR(H26*'Adjusted Schedule 1'!$E$104,0)</f>
        <v>0</v>
      </c>
      <c r="K26" s="68">
        <f t="shared" si="1"/>
        <v>0</v>
      </c>
      <c r="L26" s="306">
        <f t="shared" si="2"/>
        <v>0</v>
      </c>
      <c r="N26" s="117">
        <f>'As-Filed Schedule 2F'!J26</f>
        <v>0</v>
      </c>
      <c r="O26" s="309">
        <f>SUMIFS(Adjustments!$G:$G,Adjustments!$H:$H,"2F",Adjustments!$I:$I,'Schedule 2F Adjustments'!$N$12,Adjustments!$J:$J,'Schedule 2F Adjustments'!$A26)</f>
        <v>0</v>
      </c>
      <c r="P26" s="305">
        <f t="shared" si="3"/>
        <v>0</v>
      </c>
      <c r="Q26" s="68">
        <f>IFERROR(N26*'As-Filed Schedule 1'!$E$103,0)</f>
        <v>0</v>
      </c>
      <c r="R26" s="68">
        <f>IFERROR(P26*'Adjusted Schedule 1'!$E$104,0)</f>
        <v>0</v>
      </c>
      <c r="S26" s="68">
        <f t="shared" si="4"/>
        <v>0</v>
      </c>
      <c r="T26" s="306">
        <f t="shared" si="5"/>
        <v>0</v>
      </c>
      <c r="V26" s="119">
        <f>'As-Filed Schedule 2F'!N26</f>
        <v>0</v>
      </c>
      <c r="W26" s="309">
        <f>SUMIFS(Adjustments!$G:$G,Adjustments!$H:$H,"2F",Adjustments!$I:$I,'Schedule 2F Adjustments'!$V$12,Adjustments!$J:$J,'Schedule 2F Adjustments'!$A26)</f>
        <v>0</v>
      </c>
      <c r="X26" s="305">
        <f t="shared" si="6"/>
        <v>0</v>
      </c>
      <c r="Y26" s="119">
        <f>'As-Filed Schedule 2F'!O26</f>
        <v>0</v>
      </c>
      <c r="Z26" s="309">
        <f>SUMIFS(Adjustments!$G:$G,Adjustments!$H:$H,"2F",Adjustments!$I:$I,'Schedule 2F Adjustments'!$Y$12,Adjustments!$J:$J,'Schedule 2F Adjustments'!$A26)</f>
        <v>0</v>
      </c>
      <c r="AA26" s="305">
        <f t="shared" si="7"/>
        <v>0</v>
      </c>
    </row>
    <row r="27" spans="1:27" x14ac:dyDescent="0.35">
      <c r="A27" s="24">
        <v>13</v>
      </c>
      <c r="B27" s="514" t="str">
        <f>IF('As-Filed Schedule 2F'!B27:D27=0,"",'As-Filed Schedule 2F'!B27:D27)</f>
        <v/>
      </c>
      <c r="C27" s="514"/>
      <c r="D27" s="514"/>
      <c r="F27" s="117">
        <f>'As-Filed Schedule 2F'!F27</f>
        <v>0</v>
      </c>
      <c r="G27" s="309">
        <f>SUMIFS(Adjustments!$G:$G,Adjustments!$H:$H,"2F",Adjustments!$I:$I,'Schedule 2F Adjustments'!$F$12,Adjustments!$J:$J,'Schedule 2F Adjustments'!$A27)</f>
        <v>0</v>
      </c>
      <c r="H27" s="305">
        <f t="shared" si="0"/>
        <v>0</v>
      </c>
      <c r="I27" s="68">
        <f>IFERROR(F27*'As-Filed Schedule 1'!$E$103,0)</f>
        <v>0</v>
      </c>
      <c r="J27" s="306">
        <f>IFERROR(H27*'Adjusted Schedule 1'!$E$104,0)</f>
        <v>0</v>
      </c>
      <c r="K27" s="68">
        <f t="shared" si="1"/>
        <v>0</v>
      </c>
      <c r="L27" s="306">
        <f t="shared" si="2"/>
        <v>0</v>
      </c>
      <c r="N27" s="117">
        <f>'As-Filed Schedule 2F'!J27</f>
        <v>0</v>
      </c>
      <c r="O27" s="309">
        <f>SUMIFS(Adjustments!$G:$G,Adjustments!$H:$H,"2F",Adjustments!$I:$I,'Schedule 2F Adjustments'!$N$12,Adjustments!$J:$J,'Schedule 2F Adjustments'!$A27)</f>
        <v>0</v>
      </c>
      <c r="P27" s="305">
        <f t="shared" si="3"/>
        <v>0</v>
      </c>
      <c r="Q27" s="68">
        <f>IFERROR(N27*'As-Filed Schedule 1'!$E$103,0)</f>
        <v>0</v>
      </c>
      <c r="R27" s="68">
        <f>IFERROR(P27*'Adjusted Schedule 1'!$E$104,0)</f>
        <v>0</v>
      </c>
      <c r="S27" s="68">
        <f t="shared" si="4"/>
        <v>0</v>
      </c>
      <c r="T27" s="306">
        <f t="shared" si="5"/>
        <v>0</v>
      </c>
      <c r="V27" s="119">
        <f>'As-Filed Schedule 2F'!N27</f>
        <v>0</v>
      </c>
      <c r="W27" s="309">
        <f>SUMIFS(Adjustments!$G:$G,Adjustments!$H:$H,"2F",Adjustments!$I:$I,'Schedule 2F Adjustments'!$V$12,Adjustments!$J:$J,'Schedule 2F Adjustments'!$A27)</f>
        <v>0</v>
      </c>
      <c r="X27" s="305">
        <f t="shared" si="6"/>
        <v>0</v>
      </c>
      <c r="Y27" s="119">
        <f>'As-Filed Schedule 2F'!O27</f>
        <v>0</v>
      </c>
      <c r="Z27" s="309">
        <f>SUMIFS(Adjustments!$G:$G,Adjustments!$H:$H,"2F",Adjustments!$I:$I,'Schedule 2F Adjustments'!$Y$12,Adjustments!$J:$J,'Schedule 2F Adjustments'!$A27)</f>
        <v>0</v>
      </c>
      <c r="AA27" s="305">
        <f t="shared" si="7"/>
        <v>0</v>
      </c>
    </row>
    <row r="28" spans="1:27" x14ac:dyDescent="0.35">
      <c r="A28" s="24">
        <v>14</v>
      </c>
      <c r="B28" s="514" t="str">
        <f>IF('As-Filed Schedule 2F'!B28:D28=0,"",'As-Filed Schedule 2F'!B28:D28)</f>
        <v/>
      </c>
      <c r="C28" s="514"/>
      <c r="D28" s="514"/>
      <c r="F28" s="117">
        <f>'As-Filed Schedule 2F'!F28</f>
        <v>0</v>
      </c>
      <c r="G28" s="309">
        <f>SUMIFS(Adjustments!$G:$G,Adjustments!$H:$H,"2F",Adjustments!$I:$I,'Schedule 2F Adjustments'!$F$12,Adjustments!$J:$J,'Schedule 2F Adjustments'!$A28)</f>
        <v>0</v>
      </c>
      <c r="H28" s="305">
        <f t="shared" si="0"/>
        <v>0</v>
      </c>
      <c r="I28" s="68">
        <f>IFERROR(F28*'As-Filed Schedule 1'!$E$103,0)</f>
        <v>0</v>
      </c>
      <c r="J28" s="306">
        <f>IFERROR(H28*'Adjusted Schedule 1'!$E$104,0)</f>
        <v>0</v>
      </c>
      <c r="K28" s="68">
        <f t="shared" si="1"/>
        <v>0</v>
      </c>
      <c r="L28" s="306">
        <f t="shared" si="2"/>
        <v>0</v>
      </c>
      <c r="N28" s="117">
        <f>'As-Filed Schedule 2F'!J28</f>
        <v>0</v>
      </c>
      <c r="O28" s="309">
        <f>SUMIFS(Adjustments!$G:$G,Adjustments!$H:$H,"2F",Adjustments!$I:$I,'Schedule 2F Adjustments'!$N$12,Adjustments!$J:$J,'Schedule 2F Adjustments'!$A28)</f>
        <v>0</v>
      </c>
      <c r="P28" s="305">
        <f t="shared" si="3"/>
        <v>0</v>
      </c>
      <c r="Q28" s="68">
        <f>IFERROR(N28*'As-Filed Schedule 1'!$E$103,0)</f>
        <v>0</v>
      </c>
      <c r="R28" s="68">
        <f>IFERROR(P28*'Adjusted Schedule 1'!$E$104,0)</f>
        <v>0</v>
      </c>
      <c r="S28" s="68">
        <f t="shared" si="4"/>
        <v>0</v>
      </c>
      <c r="T28" s="306">
        <f t="shared" si="5"/>
        <v>0</v>
      </c>
      <c r="V28" s="119">
        <f>'As-Filed Schedule 2F'!N28</f>
        <v>0</v>
      </c>
      <c r="W28" s="309">
        <f>SUMIFS(Adjustments!$G:$G,Adjustments!$H:$H,"2F",Adjustments!$I:$I,'Schedule 2F Adjustments'!$V$12,Adjustments!$J:$J,'Schedule 2F Adjustments'!$A28)</f>
        <v>0</v>
      </c>
      <c r="X28" s="305">
        <f t="shared" si="6"/>
        <v>0</v>
      </c>
      <c r="Y28" s="119">
        <f>'As-Filed Schedule 2F'!O28</f>
        <v>0</v>
      </c>
      <c r="Z28" s="309">
        <f>SUMIFS(Adjustments!$G:$G,Adjustments!$H:$H,"2F",Adjustments!$I:$I,'Schedule 2F Adjustments'!$Y$12,Adjustments!$J:$J,'Schedule 2F Adjustments'!$A28)</f>
        <v>0</v>
      </c>
      <c r="AA28" s="305">
        <f t="shared" si="7"/>
        <v>0</v>
      </c>
    </row>
    <row r="29" spans="1:27" x14ac:dyDescent="0.35">
      <c r="A29" s="24">
        <v>15</v>
      </c>
      <c r="B29" s="514" t="str">
        <f>IF('As-Filed Schedule 2F'!B29:D29=0,"",'As-Filed Schedule 2F'!B29:D29)</f>
        <v/>
      </c>
      <c r="C29" s="514"/>
      <c r="D29" s="514"/>
      <c r="F29" s="117">
        <f>'As-Filed Schedule 2F'!F29</f>
        <v>0</v>
      </c>
      <c r="G29" s="309">
        <f>SUMIFS(Adjustments!$G:$G,Adjustments!$H:$H,"2F",Adjustments!$I:$I,'Schedule 2F Adjustments'!$F$12,Adjustments!$J:$J,'Schedule 2F Adjustments'!$A29)</f>
        <v>0</v>
      </c>
      <c r="H29" s="305">
        <f t="shared" si="0"/>
        <v>0</v>
      </c>
      <c r="I29" s="68">
        <f>IFERROR(F29*'As-Filed Schedule 1'!$E$103,0)</f>
        <v>0</v>
      </c>
      <c r="J29" s="306">
        <f>IFERROR(H29*'Adjusted Schedule 1'!$E$104,0)</f>
        <v>0</v>
      </c>
      <c r="K29" s="68">
        <f t="shared" si="1"/>
        <v>0</v>
      </c>
      <c r="L29" s="306">
        <f t="shared" si="2"/>
        <v>0</v>
      </c>
      <c r="N29" s="117">
        <f>'As-Filed Schedule 2F'!J29</f>
        <v>0</v>
      </c>
      <c r="O29" s="309">
        <f>SUMIFS(Adjustments!$G:$G,Adjustments!$H:$H,"2F",Adjustments!$I:$I,'Schedule 2F Adjustments'!$N$12,Adjustments!$J:$J,'Schedule 2F Adjustments'!$A29)</f>
        <v>0</v>
      </c>
      <c r="P29" s="305">
        <f t="shared" si="3"/>
        <v>0</v>
      </c>
      <c r="Q29" s="68">
        <f>IFERROR(N29*'As-Filed Schedule 1'!$E$103,0)</f>
        <v>0</v>
      </c>
      <c r="R29" s="68">
        <f>IFERROR(P29*'Adjusted Schedule 1'!$E$104,0)</f>
        <v>0</v>
      </c>
      <c r="S29" s="68">
        <f t="shared" si="4"/>
        <v>0</v>
      </c>
      <c r="T29" s="306">
        <f t="shared" si="5"/>
        <v>0</v>
      </c>
      <c r="V29" s="119">
        <f>'As-Filed Schedule 2F'!N29</f>
        <v>0</v>
      </c>
      <c r="W29" s="309">
        <f>SUMIFS(Adjustments!$G:$G,Adjustments!$H:$H,"2F",Adjustments!$I:$I,'Schedule 2F Adjustments'!$V$12,Adjustments!$J:$J,'Schedule 2F Adjustments'!$A29)</f>
        <v>0</v>
      </c>
      <c r="X29" s="305">
        <f t="shared" si="6"/>
        <v>0</v>
      </c>
      <c r="Y29" s="119">
        <f>'As-Filed Schedule 2F'!O29</f>
        <v>0</v>
      </c>
      <c r="Z29" s="309">
        <f>SUMIFS(Adjustments!$G:$G,Adjustments!$H:$H,"2F",Adjustments!$I:$I,'Schedule 2F Adjustments'!$Y$12,Adjustments!$J:$J,'Schedule 2F Adjustments'!$A29)</f>
        <v>0</v>
      </c>
      <c r="AA29" s="305">
        <f t="shared" si="7"/>
        <v>0</v>
      </c>
    </row>
    <row r="30" spans="1:27" x14ac:dyDescent="0.35">
      <c r="A30" s="24">
        <v>16</v>
      </c>
      <c r="B30" s="514" t="str">
        <f>IF('As-Filed Schedule 2F'!B30:D30=0,"",'As-Filed Schedule 2F'!B30:D30)</f>
        <v/>
      </c>
      <c r="C30" s="514"/>
      <c r="D30" s="514"/>
      <c r="F30" s="117">
        <f>'As-Filed Schedule 2F'!F30</f>
        <v>0</v>
      </c>
      <c r="G30" s="309">
        <f>SUMIFS(Adjustments!$G:$G,Adjustments!$H:$H,"2F",Adjustments!$I:$I,'Schedule 2F Adjustments'!$F$12,Adjustments!$J:$J,'Schedule 2F Adjustments'!$A30)</f>
        <v>0</v>
      </c>
      <c r="H30" s="305">
        <f t="shared" si="0"/>
        <v>0</v>
      </c>
      <c r="I30" s="68">
        <f>IFERROR(F30*'As-Filed Schedule 1'!$E$103,0)</f>
        <v>0</v>
      </c>
      <c r="J30" s="306">
        <f>IFERROR(H30*'Adjusted Schedule 1'!$E$104,0)</f>
        <v>0</v>
      </c>
      <c r="K30" s="68">
        <f t="shared" si="1"/>
        <v>0</v>
      </c>
      <c r="L30" s="306">
        <f t="shared" si="2"/>
        <v>0</v>
      </c>
      <c r="N30" s="117">
        <f>'As-Filed Schedule 2F'!J30</f>
        <v>0</v>
      </c>
      <c r="O30" s="309">
        <f>SUMIFS(Adjustments!$G:$G,Adjustments!$H:$H,"2F",Adjustments!$I:$I,'Schedule 2F Adjustments'!$N$12,Adjustments!$J:$J,'Schedule 2F Adjustments'!$A30)</f>
        <v>0</v>
      </c>
      <c r="P30" s="305">
        <f t="shared" si="3"/>
        <v>0</v>
      </c>
      <c r="Q30" s="68">
        <f>IFERROR(N30*'As-Filed Schedule 1'!$E$103,0)</f>
        <v>0</v>
      </c>
      <c r="R30" s="68">
        <f>IFERROR(P30*'Adjusted Schedule 1'!$E$104,0)</f>
        <v>0</v>
      </c>
      <c r="S30" s="68">
        <f t="shared" si="4"/>
        <v>0</v>
      </c>
      <c r="T30" s="306">
        <f t="shared" si="5"/>
        <v>0</v>
      </c>
      <c r="V30" s="119">
        <f>'As-Filed Schedule 2F'!N30</f>
        <v>0</v>
      </c>
      <c r="W30" s="309">
        <f>SUMIFS(Adjustments!$G:$G,Adjustments!$H:$H,"2F",Adjustments!$I:$I,'Schedule 2F Adjustments'!$V$12,Adjustments!$J:$J,'Schedule 2F Adjustments'!$A30)</f>
        <v>0</v>
      </c>
      <c r="X30" s="305">
        <f t="shared" si="6"/>
        <v>0</v>
      </c>
      <c r="Y30" s="119">
        <f>'As-Filed Schedule 2F'!O30</f>
        <v>0</v>
      </c>
      <c r="Z30" s="309">
        <f>SUMIFS(Adjustments!$G:$G,Adjustments!$H:$H,"2F",Adjustments!$I:$I,'Schedule 2F Adjustments'!$Y$12,Adjustments!$J:$J,'Schedule 2F Adjustments'!$A30)</f>
        <v>0</v>
      </c>
      <c r="AA30" s="305">
        <f t="shared" si="7"/>
        <v>0</v>
      </c>
    </row>
    <row r="31" spans="1:27" x14ac:dyDescent="0.35">
      <c r="A31" s="24">
        <v>17</v>
      </c>
      <c r="B31" s="514" t="str">
        <f>IF('As-Filed Schedule 2F'!B31:D31=0,"",'As-Filed Schedule 2F'!B31:D31)</f>
        <v/>
      </c>
      <c r="C31" s="514"/>
      <c r="D31" s="514"/>
      <c r="F31" s="117">
        <f>'As-Filed Schedule 2F'!F31</f>
        <v>0</v>
      </c>
      <c r="G31" s="309">
        <f>SUMIFS(Adjustments!$G:$G,Adjustments!$H:$H,"2F",Adjustments!$I:$I,'Schedule 2F Adjustments'!$F$12,Adjustments!$J:$J,'Schedule 2F Adjustments'!$A31)</f>
        <v>0</v>
      </c>
      <c r="H31" s="305">
        <f t="shared" si="0"/>
        <v>0</v>
      </c>
      <c r="I31" s="68">
        <f>IFERROR(F31*'As-Filed Schedule 1'!$E$103,0)</f>
        <v>0</v>
      </c>
      <c r="J31" s="306">
        <f>IFERROR(H31*'Adjusted Schedule 1'!$E$104,0)</f>
        <v>0</v>
      </c>
      <c r="K31" s="68">
        <f t="shared" si="1"/>
        <v>0</v>
      </c>
      <c r="L31" s="306">
        <f t="shared" si="2"/>
        <v>0</v>
      </c>
      <c r="N31" s="117">
        <f>'As-Filed Schedule 2F'!J31</f>
        <v>0</v>
      </c>
      <c r="O31" s="309">
        <f>SUMIFS(Adjustments!$G:$G,Adjustments!$H:$H,"2F",Adjustments!$I:$I,'Schedule 2F Adjustments'!$N$12,Adjustments!$J:$J,'Schedule 2F Adjustments'!$A31)</f>
        <v>0</v>
      </c>
      <c r="P31" s="305">
        <f t="shared" si="3"/>
        <v>0</v>
      </c>
      <c r="Q31" s="68">
        <f>IFERROR(N31*'As-Filed Schedule 1'!$E$103,0)</f>
        <v>0</v>
      </c>
      <c r="R31" s="68">
        <f>IFERROR(P31*'Adjusted Schedule 1'!$E$104,0)</f>
        <v>0</v>
      </c>
      <c r="S31" s="68">
        <f t="shared" si="4"/>
        <v>0</v>
      </c>
      <c r="T31" s="306">
        <f t="shared" si="5"/>
        <v>0</v>
      </c>
      <c r="V31" s="119">
        <f>'As-Filed Schedule 2F'!N31</f>
        <v>0</v>
      </c>
      <c r="W31" s="309">
        <f>SUMIFS(Adjustments!$G:$G,Adjustments!$H:$H,"2F",Adjustments!$I:$I,'Schedule 2F Adjustments'!$V$12,Adjustments!$J:$J,'Schedule 2F Adjustments'!$A31)</f>
        <v>0</v>
      </c>
      <c r="X31" s="305">
        <f t="shared" si="6"/>
        <v>0</v>
      </c>
      <c r="Y31" s="119">
        <f>'As-Filed Schedule 2F'!O31</f>
        <v>0</v>
      </c>
      <c r="Z31" s="309">
        <f>SUMIFS(Adjustments!$G:$G,Adjustments!$H:$H,"2F",Adjustments!$I:$I,'Schedule 2F Adjustments'!$Y$12,Adjustments!$J:$J,'Schedule 2F Adjustments'!$A31)</f>
        <v>0</v>
      </c>
      <c r="AA31" s="305">
        <f t="shared" si="7"/>
        <v>0</v>
      </c>
    </row>
    <row r="32" spans="1:27" x14ac:dyDescent="0.35">
      <c r="A32" s="24">
        <v>18</v>
      </c>
      <c r="B32" s="514" t="str">
        <f>IF('As-Filed Schedule 2F'!B32:D32=0,"",'As-Filed Schedule 2F'!B32:D32)</f>
        <v/>
      </c>
      <c r="C32" s="514"/>
      <c r="D32" s="514"/>
      <c r="F32" s="117">
        <f>'As-Filed Schedule 2F'!F32</f>
        <v>0</v>
      </c>
      <c r="G32" s="309">
        <f>SUMIFS(Adjustments!$G:$G,Adjustments!$H:$H,"2F",Adjustments!$I:$I,'Schedule 2F Adjustments'!$F$12,Adjustments!$J:$J,'Schedule 2F Adjustments'!$A32)</f>
        <v>0</v>
      </c>
      <c r="H32" s="305">
        <f t="shared" si="0"/>
        <v>0</v>
      </c>
      <c r="I32" s="68">
        <f>IFERROR(F32*'As-Filed Schedule 1'!$E$103,0)</f>
        <v>0</v>
      </c>
      <c r="J32" s="306">
        <f>IFERROR(H32*'Adjusted Schedule 1'!$E$104,0)</f>
        <v>0</v>
      </c>
      <c r="K32" s="68">
        <f t="shared" si="1"/>
        <v>0</v>
      </c>
      <c r="L32" s="306">
        <f t="shared" si="2"/>
        <v>0</v>
      </c>
      <c r="N32" s="117">
        <f>'As-Filed Schedule 2F'!J32</f>
        <v>0</v>
      </c>
      <c r="O32" s="309">
        <f>SUMIFS(Adjustments!$G:$G,Adjustments!$H:$H,"2F",Adjustments!$I:$I,'Schedule 2F Adjustments'!$N$12,Adjustments!$J:$J,'Schedule 2F Adjustments'!$A32)</f>
        <v>0</v>
      </c>
      <c r="P32" s="305">
        <f t="shared" si="3"/>
        <v>0</v>
      </c>
      <c r="Q32" s="68">
        <f>IFERROR(N32*'As-Filed Schedule 1'!$E$103,0)</f>
        <v>0</v>
      </c>
      <c r="R32" s="68">
        <f>IFERROR(P32*'Adjusted Schedule 1'!$E$104,0)</f>
        <v>0</v>
      </c>
      <c r="S32" s="68">
        <f t="shared" si="4"/>
        <v>0</v>
      </c>
      <c r="T32" s="306">
        <f t="shared" si="5"/>
        <v>0</v>
      </c>
      <c r="V32" s="119">
        <f>'As-Filed Schedule 2F'!N32</f>
        <v>0</v>
      </c>
      <c r="W32" s="309">
        <f>SUMIFS(Adjustments!$G:$G,Adjustments!$H:$H,"2F",Adjustments!$I:$I,'Schedule 2F Adjustments'!$V$12,Adjustments!$J:$J,'Schedule 2F Adjustments'!$A32)</f>
        <v>0</v>
      </c>
      <c r="X32" s="305">
        <f t="shared" si="6"/>
        <v>0</v>
      </c>
      <c r="Y32" s="119">
        <f>'As-Filed Schedule 2F'!O32</f>
        <v>0</v>
      </c>
      <c r="Z32" s="309">
        <f>SUMIFS(Adjustments!$G:$G,Adjustments!$H:$H,"2F",Adjustments!$I:$I,'Schedule 2F Adjustments'!$Y$12,Adjustments!$J:$J,'Schedule 2F Adjustments'!$A32)</f>
        <v>0</v>
      </c>
      <c r="AA32" s="305">
        <f t="shared" si="7"/>
        <v>0</v>
      </c>
    </row>
    <row r="33" spans="1:27" x14ac:dyDescent="0.35">
      <c r="A33" s="24">
        <v>19</v>
      </c>
      <c r="B33" s="514" t="str">
        <f>IF('As-Filed Schedule 2F'!B33:D33=0,"",'As-Filed Schedule 2F'!B33:D33)</f>
        <v/>
      </c>
      <c r="C33" s="514"/>
      <c r="D33" s="514"/>
      <c r="F33" s="117">
        <f>'As-Filed Schedule 2F'!F33</f>
        <v>0</v>
      </c>
      <c r="G33" s="309">
        <f>SUMIFS(Adjustments!$G:$G,Adjustments!$H:$H,"2F",Adjustments!$I:$I,'Schedule 2F Adjustments'!$F$12,Adjustments!$J:$J,'Schedule 2F Adjustments'!$A33)</f>
        <v>0</v>
      </c>
      <c r="H33" s="305">
        <f t="shared" si="0"/>
        <v>0</v>
      </c>
      <c r="I33" s="68">
        <f>IFERROR(F33*'As-Filed Schedule 1'!$E$103,0)</f>
        <v>0</v>
      </c>
      <c r="J33" s="306">
        <f>IFERROR(H33*'Adjusted Schedule 1'!$E$104,0)</f>
        <v>0</v>
      </c>
      <c r="K33" s="68">
        <f t="shared" si="1"/>
        <v>0</v>
      </c>
      <c r="L33" s="306">
        <f t="shared" si="2"/>
        <v>0</v>
      </c>
      <c r="N33" s="117">
        <f>'As-Filed Schedule 2F'!J33</f>
        <v>0</v>
      </c>
      <c r="O33" s="309">
        <f>SUMIFS(Adjustments!$G:$G,Adjustments!$H:$H,"2F",Adjustments!$I:$I,'Schedule 2F Adjustments'!$N$12,Adjustments!$J:$J,'Schedule 2F Adjustments'!$A33)</f>
        <v>0</v>
      </c>
      <c r="P33" s="305">
        <f t="shared" si="3"/>
        <v>0</v>
      </c>
      <c r="Q33" s="68">
        <f>IFERROR(N33*'As-Filed Schedule 1'!$E$103,0)</f>
        <v>0</v>
      </c>
      <c r="R33" s="68">
        <f>IFERROR(P33*'Adjusted Schedule 1'!$E$104,0)</f>
        <v>0</v>
      </c>
      <c r="S33" s="68">
        <f t="shared" si="4"/>
        <v>0</v>
      </c>
      <c r="T33" s="306">
        <f t="shared" si="5"/>
        <v>0</v>
      </c>
      <c r="V33" s="119">
        <f>'As-Filed Schedule 2F'!N33</f>
        <v>0</v>
      </c>
      <c r="W33" s="309">
        <f>SUMIFS(Adjustments!$G:$G,Adjustments!$H:$H,"2F",Adjustments!$I:$I,'Schedule 2F Adjustments'!$V$12,Adjustments!$J:$J,'Schedule 2F Adjustments'!$A33)</f>
        <v>0</v>
      </c>
      <c r="X33" s="305">
        <f t="shared" si="6"/>
        <v>0</v>
      </c>
      <c r="Y33" s="119">
        <f>'As-Filed Schedule 2F'!O33</f>
        <v>0</v>
      </c>
      <c r="Z33" s="309">
        <f>SUMIFS(Adjustments!$G:$G,Adjustments!$H:$H,"2F",Adjustments!$I:$I,'Schedule 2F Adjustments'!$Y$12,Adjustments!$J:$J,'Schedule 2F Adjustments'!$A33)</f>
        <v>0</v>
      </c>
      <c r="AA33" s="305">
        <f t="shared" si="7"/>
        <v>0</v>
      </c>
    </row>
    <row r="34" spans="1:27" x14ac:dyDescent="0.35">
      <c r="A34" s="24">
        <v>20</v>
      </c>
      <c r="B34" s="514" t="str">
        <f>IF('As-Filed Schedule 2F'!B34:D34=0,"",'As-Filed Schedule 2F'!B34:D34)</f>
        <v/>
      </c>
      <c r="C34" s="514"/>
      <c r="D34" s="514"/>
      <c r="F34" s="117">
        <f>'As-Filed Schedule 2F'!F34</f>
        <v>0</v>
      </c>
      <c r="G34" s="309">
        <f>SUMIFS(Adjustments!$G:$G,Adjustments!$H:$H,"2F",Adjustments!$I:$I,'Schedule 2F Adjustments'!$F$12,Adjustments!$J:$J,'Schedule 2F Adjustments'!$A34)</f>
        <v>0</v>
      </c>
      <c r="H34" s="305">
        <f t="shared" si="0"/>
        <v>0</v>
      </c>
      <c r="I34" s="68">
        <f>IFERROR(F34*'As-Filed Schedule 1'!$E$103,0)</f>
        <v>0</v>
      </c>
      <c r="J34" s="306">
        <f>IFERROR(H34*'Adjusted Schedule 1'!$E$104,0)</f>
        <v>0</v>
      </c>
      <c r="K34" s="68">
        <f t="shared" si="1"/>
        <v>0</v>
      </c>
      <c r="L34" s="306">
        <f t="shared" si="2"/>
        <v>0</v>
      </c>
      <c r="N34" s="117">
        <f>'As-Filed Schedule 2F'!J34</f>
        <v>0</v>
      </c>
      <c r="O34" s="309">
        <f>SUMIFS(Adjustments!$G:$G,Adjustments!$H:$H,"2F",Adjustments!$I:$I,'Schedule 2F Adjustments'!$N$12,Adjustments!$J:$J,'Schedule 2F Adjustments'!$A34)</f>
        <v>0</v>
      </c>
      <c r="P34" s="305">
        <f t="shared" si="3"/>
        <v>0</v>
      </c>
      <c r="Q34" s="68">
        <f>IFERROR(N34*'As-Filed Schedule 1'!$E$103,0)</f>
        <v>0</v>
      </c>
      <c r="R34" s="68">
        <f>IFERROR(P34*'Adjusted Schedule 1'!$E$104,0)</f>
        <v>0</v>
      </c>
      <c r="S34" s="68">
        <f t="shared" si="4"/>
        <v>0</v>
      </c>
      <c r="T34" s="306">
        <f t="shared" si="5"/>
        <v>0</v>
      </c>
      <c r="V34" s="119">
        <f>'As-Filed Schedule 2F'!N34</f>
        <v>0</v>
      </c>
      <c r="W34" s="309">
        <f>SUMIFS(Adjustments!$G:$G,Adjustments!$H:$H,"2F",Adjustments!$I:$I,'Schedule 2F Adjustments'!$V$12,Adjustments!$J:$J,'Schedule 2F Adjustments'!$A34)</f>
        <v>0</v>
      </c>
      <c r="X34" s="305">
        <f t="shared" si="6"/>
        <v>0</v>
      </c>
      <c r="Y34" s="119">
        <f>'As-Filed Schedule 2F'!O34</f>
        <v>0</v>
      </c>
      <c r="Z34" s="309">
        <f>SUMIFS(Adjustments!$G:$G,Adjustments!$H:$H,"2F",Adjustments!$I:$I,'Schedule 2F Adjustments'!$Y$12,Adjustments!$J:$J,'Schedule 2F Adjustments'!$A34)</f>
        <v>0</v>
      </c>
      <c r="AA34" s="305">
        <f t="shared" si="7"/>
        <v>0</v>
      </c>
    </row>
    <row r="35" spans="1:27" x14ac:dyDescent="0.35">
      <c r="A35" s="24">
        <v>21</v>
      </c>
      <c r="B35" s="514" t="str">
        <f>IF('As-Filed Schedule 2F'!B35:D35=0,"",'As-Filed Schedule 2F'!B35:D35)</f>
        <v/>
      </c>
      <c r="C35" s="514"/>
      <c r="D35" s="514"/>
      <c r="F35" s="117">
        <f>'As-Filed Schedule 2F'!F35</f>
        <v>0</v>
      </c>
      <c r="G35" s="309">
        <f>SUMIFS(Adjustments!$G:$G,Adjustments!$H:$H,"2F",Adjustments!$I:$I,'Schedule 2F Adjustments'!$F$12,Adjustments!$J:$J,'Schedule 2F Adjustments'!$A35)</f>
        <v>0</v>
      </c>
      <c r="H35" s="305">
        <f t="shared" si="0"/>
        <v>0</v>
      </c>
      <c r="I35" s="68">
        <f>IFERROR(F35*'As-Filed Schedule 1'!$E$103,0)</f>
        <v>0</v>
      </c>
      <c r="J35" s="306">
        <f>IFERROR(H35*'Adjusted Schedule 1'!$E$104,0)</f>
        <v>0</v>
      </c>
      <c r="K35" s="68">
        <f t="shared" si="1"/>
        <v>0</v>
      </c>
      <c r="L35" s="306">
        <f t="shared" si="2"/>
        <v>0</v>
      </c>
      <c r="N35" s="117">
        <f>'As-Filed Schedule 2F'!J35</f>
        <v>0</v>
      </c>
      <c r="O35" s="309">
        <f>SUMIFS(Adjustments!$G:$G,Adjustments!$H:$H,"2F",Adjustments!$I:$I,'Schedule 2F Adjustments'!$N$12,Adjustments!$J:$J,'Schedule 2F Adjustments'!$A35)</f>
        <v>0</v>
      </c>
      <c r="P35" s="305">
        <f t="shared" si="3"/>
        <v>0</v>
      </c>
      <c r="Q35" s="68">
        <f>IFERROR(N35*'As-Filed Schedule 1'!$E$103,0)</f>
        <v>0</v>
      </c>
      <c r="R35" s="68">
        <f>IFERROR(P35*'Adjusted Schedule 1'!$E$104,0)</f>
        <v>0</v>
      </c>
      <c r="S35" s="68">
        <f t="shared" si="4"/>
        <v>0</v>
      </c>
      <c r="T35" s="306">
        <f t="shared" si="5"/>
        <v>0</v>
      </c>
      <c r="V35" s="119">
        <f>'As-Filed Schedule 2F'!N35</f>
        <v>0</v>
      </c>
      <c r="W35" s="309">
        <f>SUMIFS(Adjustments!$G:$G,Adjustments!$H:$H,"2F",Adjustments!$I:$I,'Schedule 2F Adjustments'!$V$12,Adjustments!$J:$J,'Schedule 2F Adjustments'!$A35)</f>
        <v>0</v>
      </c>
      <c r="X35" s="305">
        <f t="shared" si="6"/>
        <v>0</v>
      </c>
      <c r="Y35" s="119">
        <f>'As-Filed Schedule 2F'!O35</f>
        <v>0</v>
      </c>
      <c r="Z35" s="309">
        <f>SUMIFS(Adjustments!$G:$G,Adjustments!$H:$H,"2F",Adjustments!$I:$I,'Schedule 2F Adjustments'!$Y$12,Adjustments!$J:$J,'Schedule 2F Adjustments'!$A35)</f>
        <v>0</v>
      </c>
      <c r="AA35" s="305">
        <f t="shared" si="7"/>
        <v>0</v>
      </c>
    </row>
    <row r="36" spans="1:27" x14ac:dyDescent="0.35">
      <c r="A36" s="24">
        <v>22</v>
      </c>
      <c r="B36" s="514" t="str">
        <f>IF('As-Filed Schedule 2F'!B36:D36=0,"",'As-Filed Schedule 2F'!B36:D36)</f>
        <v/>
      </c>
      <c r="C36" s="514"/>
      <c r="D36" s="514"/>
      <c r="F36" s="117">
        <f>'As-Filed Schedule 2F'!F36</f>
        <v>0</v>
      </c>
      <c r="G36" s="309">
        <f>SUMIFS(Adjustments!$G:$G,Adjustments!$H:$H,"2F",Adjustments!$I:$I,'Schedule 2F Adjustments'!$F$12,Adjustments!$J:$J,'Schedule 2F Adjustments'!$A36)</f>
        <v>0</v>
      </c>
      <c r="H36" s="305">
        <f t="shared" si="0"/>
        <v>0</v>
      </c>
      <c r="I36" s="68">
        <f>IFERROR(F36*'As-Filed Schedule 1'!$E$103,0)</f>
        <v>0</v>
      </c>
      <c r="J36" s="306">
        <f>IFERROR(H36*'Adjusted Schedule 1'!$E$104,0)</f>
        <v>0</v>
      </c>
      <c r="K36" s="68">
        <f t="shared" si="1"/>
        <v>0</v>
      </c>
      <c r="L36" s="306">
        <f t="shared" si="2"/>
        <v>0</v>
      </c>
      <c r="N36" s="117">
        <f>'As-Filed Schedule 2F'!J36</f>
        <v>0</v>
      </c>
      <c r="O36" s="309">
        <f>SUMIFS(Adjustments!$G:$G,Adjustments!$H:$H,"2F",Adjustments!$I:$I,'Schedule 2F Adjustments'!$N$12,Adjustments!$J:$J,'Schedule 2F Adjustments'!$A36)</f>
        <v>0</v>
      </c>
      <c r="P36" s="305">
        <f t="shared" si="3"/>
        <v>0</v>
      </c>
      <c r="Q36" s="68">
        <f>IFERROR(N36*'As-Filed Schedule 1'!$E$103,0)</f>
        <v>0</v>
      </c>
      <c r="R36" s="68">
        <f>IFERROR(P36*'Adjusted Schedule 1'!$E$104,0)</f>
        <v>0</v>
      </c>
      <c r="S36" s="68">
        <f t="shared" si="4"/>
        <v>0</v>
      </c>
      <c r="T36" s="306">
        <f t="shared" si="5"/>
        <v>0</v>
      </c>
      <c r="V36" s="119">
        <f>'As-Filed Schedule 2F'!N36</f>
        <v>0</v>
      </c>
      <c r="W36" s="309">
        <f>SUMIFS(Adjustments!$G:$G,Adjustments!$H:$H,"2F",Adjustments!$I:$I,'Schedule 2F Adjustments'!$V$12,Adjustments!$J:$J,'Schedule 2F Adjustments'!$A36)</f>
        <v>0</v>
      </c>
      <c r="X36" s="305">
        <f t="shared" si="6"/>
        <v>0</v>
      </c>
      <c r="Y36" s="119">
        <f>'As-Filed Schedule 2F'!O36</f>
        <v>0</v>
      </c>
      <c r="Z36" s="309">
        <f>SUMIFS(Adjustments!$G:$G,Adjustments!$H:$H,"2F",Adjustments!$I:$I,'Schedule 2F Adjustments'!$Y$12,Adjustments!$J:$J,'Schedule 2F Adjustments'!$A36)</f>
        <v>0</v>
      </c>
      <c r="AA36" s="305">
        <f t="shared" si="7"/>
        <v>0</v>
      </c>
    </row>
    <row r="37" spans="1:27" x14ac:dyDescent="0.35">
      <c r="A37" s="24">
        <v>23</v>
      </c>
      <c r="B37" s="514" t="str">
        <f>IF('As-Filed Schedule 2F'!B37:D37=0,"",'As-Filed Schedule 2F'!B37:D37)</f>
        <v/>
      </c>
      <c r="C37" s="514"/>
      <c r="D37" s="514"/>
      <c r="F37" s="117">
        <f>'As-Filed Schedule 2F'!F37</f>
        <v>0</v>
      </c>
      <c r="G37" s="309">
        <f>SUMIFS(Adjustments!$G:$G,Adjustments!$H:$H,"2F",Adjustments!$I:$I,'Schedule 2F Adjustments'!$F$12,Adjustments!$J:$J,'Schedule 2F Adjustments'!$A37)</f>
        <v>0</v>
      </c>
      <c r="H37" s="305">
        <f t="shared" si="0"/>
        <v>0</v>
      </c>
      <c r="I37" s="68">
        <f>IFERROR(F37*'As-Filed Schedule 1'!$E$103,0)</f>
        <v>0</v>
      </c>
      <c r="J37" s="306">
        <f>IFERROR(H37*'Adjusted Schedule 1'!$E$104,0)</f>
        <v>0</v>
      </c>
      <c r="K37" s="68">
        <f t="shared" si="1"/>
        <v>0</v>
      </c>
      <c r="L37" s="306">
        <f t="shared" si="2"/>
        <v>0</v>
      </c>
      <c r="N37" s="117">
        <f>'As-Filed Schedule 2F'!J37</f>
        <v>0</v>
      </c>
      <c r="O37" s="309">
        <f>SUMIFS(Adjustments!$G:$G,Adjustments!$H:$H,"2F",Adjustments!$I:$I,'Schedule 2F Adjustments'!$N$12,Adjustments!$J:$J,'Schedule 2F Adjustments'!$A37)</f>
        <v>0</v>
      </c>
      <c r="P37" s="305">
        <f t="shared" si="3"/>
        <v>0</v>
      </c>
      <c r="Q37" s="68">
        <f>IFERROR(N37*'As-Filed Schedule 1'!$E$103,0)</f>
        <v>0</v>
      </c>
      <c r="R37" s="68">
        <f>IFERROR(P37*'Adjusted Schedule 1'!$E$104,0)</f>
        <v>0</v>
      </c>
      <c r="S37" s="68">
        <f t="shared" si="4"/>
        <v>0</v>
      </c>
      <c r="T37" s="306">
        <f t="shared" si="5"/>
        <v>0</v>
      </c>
      <c r="V37" s="119">
        <f>'As-Filed Schedule 2F'!N37</f>
        <v>0</v>
      </c>
      <c r="W37" s="309">
        <f>SUMIFS(Adjustments!$G:$G,Adjustments!$H:$H,"2F",Adjustments!$I:$I,'Schedule 2F Adjustments'!$V$12,Adjustments!$J:$J,'Schedule 2F Adjustments'!$A37)</f>
        <v>0</v>
      </c>
      <c r="X37" s="305">
        <f t="shared" si="6"/>
        <v>0</v>
      </c>
      <c r="Y37" s="119">
        <f>'As-Filed Schedule 2F'!O37</f>
        <v>0</v>
      </c>
      <c r="Z37" s="309">
        <f>SUMIFS(Adjustments!$G:$G,Adjustments!$H:$H,"2F",Adjustments!$I:$I,'Schedule 2F Adjustments'!$Y$12,Adjustments!$J:$J,'Schedule 2F Adjustments'!$A37)</f>
        <v>0</v>
      </c>
      <c r="AA37" s="305">
        <f t="shared" si="7"/>
        <v>0</v>
      </c>
    </row>
    <row r="38" spans="1:27" x14ac:dyDescent="0.35">
      <c r="A38" s="24">
        <v>24</v>
      </c>
      <c r="B38" s="514" t="str">
        <f>IF('As-Filed Schedule 2F'!B38:D38=0,"",'As-Filed Schedule 2F'!B38:D38)</f>
        <v/>
      </c>
      <c r="C38" s="514"/>
      <c r="D38" s="514"/>
      <c r="F38" s="117">
        <f>'As-Filed Schedule 2F'!F38</f>
        <v>0</v>
      </c>
      <c r="G38" s="309">
        <f>SUMIFS(Adjustments!$G:$G,Adjustments!$H:$H,"2F",Adjustments!$I:$I,'Schedule 2F Adjustments'!$F$12,Adjustments!$J:$J,'Schedule 2F Adjustments'!$A38)</f>
        <v>0</v>
      </c>
      <c r="H38" s="305">
        <f t="shared" si="0"/>
        <v>0</v>
      </c>
      <c r="I38" s="68">
        <f>IFERROR(F38*'As-Filed Schedule 1'!$E$103,0)</f>
        <v>0</v>
      </c>
      <c r="J38" s="306">
        <f>IFERROR(H38*'Adjusted Schedule 1'!$E$104,0)</f>
        <v>0</v>
      </c>
      <c r="K38" s="68">
        <f t="shared" si="1"/>
        <v>0</v>
      </c>
      <c r="L38" s="306">
        <f t="shared" si="2"/>
        <v>0</v>
      </c>
      <c r="N38" s="117">
        <f>'As-Filed Schedule 2F'!J38</f>
        <v>0</v>
      </c>
      <c r="O38" s="309">
        <f>SUMIFS(Adjustments!$G:$G,Adjustments!$H:$H,"2F",Adjustments!$I:$I,'Schedule 2F Adjustments'!$N$12,Adjustments!$J:$J,'Schedule 2F Adjustments'!$A38)</f>
        <v>0</v>
      </c>
      <c r="P38" s="305">
        <f t="shared" si="3"/>
        <v>0</v>
      </c>
      <c r="Q38" s="68">
        <f>IFERROR(N38*'As-Filed Schedule 1'!$E$103,0)</f>
        <v>0</v>
      </c>
      <c r="R38" s="68">
        <f>IFERROR(P38*'Adjusted Schedule 1'!$E$104,0)</f>
        <v>0</v>
      </c>
      <c r="S38" s="68">
        <f t="shared" si="4"/>
        <v>0</v>
      </c>
      <c r="T38" s="306">
        <f t="shared" si="5"/>
        <v>0</v>
      </c>
      <c r="V38" s="119">
        <f>'As-Filed Schedule 2F'!N38</f>
        <v>0</v>
      </c>
      <c r="W38" s="309">
        <f>SUMIFS(Adjustments!$G:$G,Adjustments!$H:$H,"2F",Adjustments!$I:$I,'Schedule 2F Adjustments'!$V$12,Adjustments!$J:$J,'Schedule 2F Adjustments'!$A38)</f>
        <v>0</v>
      </c>
      <c r="X38" s="305">
        <f t="shared" si="6"/>
        <v>0</v>
      </c>
      <c r="Y38" s="119">
        <f>'As-Filed Schedule 2F'!O38</f>
        <v>0</v>
      </c>
      <c r="Z38" s="309">
        <f>SUMIFS(Adjustments!$G:$G,Adjustments!$H:$H,"2F",Adjustments!$I:$I,'Schedule 2F Adjustments'!$Y$12,Adjustments!$J:$J,'Schedule 2F Adjustments'!$A38)</f>
        <v>0</v>
      </c>
      <c r="AA38" s="305">
        <f t="shared" si="7"/>
        <v>0</v>
      </c>
    </row>
    <row r="39" spans="1:27" x14ac:dyDescent="0.35">
      <c r="A39" s="24">
        <v>25</v>
      </c>
      <c r="B39" s="514" t="str">
        <f>IF('As-Filed Schedule 2F'!B39:D39=0,"",'As-Filed Schedule 2F'!B39:D39)</f>
        <v/>
      </c>
      <c r="C39" s="514"/>
      <c r="D39" s="514"/>
      <c r="F39" s="117">
        <f>'As-Filed Schedule 2F'!F39</f>
        <v>0</v>
      </c>
      <c r="G39" s="309">
        <f>SUMIFS(Adjustments!$G:$G,Adjustments!$H:$H,"2F",Adjustments!$I:$I,'Schedule 2F Adjustments'!$F$12,Adjustments!$J:$J,'Schedule 2F Adjustments'!$A39)</f>
        <v>0</v>
      </c>
      <c r="H39" s="305">
        <f t="shared" si="0"/>
        <v>0</v>
      </c>
      <c r="I39" s="68">
        <f>IFERROR(F39*'As-Filed Schedule 1'!$E$103,0)</f>
        <v>0</v>
      </c>
      <c r="J39" s="306">
        <f>IFERROR(H39*'Adjusted Schedule 1'!$E$104,0)</f>
        <v>0</v>
      </c>
      <c r="K39" s="68">
        <f t="shared" si="1"/>
        <v>0</v>
      </c>
      <c r="L39" s="306">
        <f t="shared" si="2"/>
        <v>0</v>
      </c>
      <c r="N39" s="117">
        <f>'As-Filed Schedule 2F'!J39</f>
        <v>0</v>
      </c>
      <c r="O39" s="309">
        <f>SUMIFS(Adjustments!$G:$G,Adjustments!$H:$H,"2F",Adjustments!$I:$I,'Schedule 2F Adjustments'!$N$12,Adjustments!$J:$J,'Schedule 2F Adjustments'!$A39)</f>
        <v>0</v>
      </c>
      <c r="P39" s="305">
        <f t="shared" si="3"/>
        <v>0</v>
      </c>
      <c r="Q39" s="68">
        <f>IFERROR(N39*'As-Filed Schedule 1'!$E$103,0)</f>
        <v>0</v>
      </c>
      <c r="R39" s="68">
        <f>IFERROR(P39*'Adjusted Schedule 1'!$E$104,0)</f>
        <v>0</v>
      </c>
      <c r="S39" s="68">
        <f t="shared" si="4"/>
        <v>0</v>
      </c>
      <c r="T39" s="306">
        <f t="shared" si="5"/>
        <v>0</v>
      </c>
      <c r="V39" s="119">
        <f>'As-Filed Schedule 2F'!N39</f>
        <v>0</v>
      </c>
      <c r="W39" s="309">
        <f>SUMIFS(Adjustments!$G:$G,Adjustments!$H:$H,"2F",Adjustments!$I:$I,'Schedule 2F Adjustments'!$V$12,Adjustments!$J:$J,'Schedule 2F Adjustments'!$A39)</f>
        <v>0</v>
      </c>
      <c r="X39" s="305">
        <f t="shared" si="6"/>
        <v>0</v>
      </c>
      <c r="Y39" s="119">
        <f>'As-Filed Schedule 2F'!O39</f>
        <v>0</v>
      </c>
      <c r="Z39" s="309">
        <f>SUMIFS(Adjustments!$G:$G,Adjustments!$H:$H,"2F",Adjustments!$I:$I,'Schedule 2F Adjustments'!$Y$12,Adjustments!$J:$J,'Schedule 2F Adjustments'!$A39)</f>
        <v>0</v>
      </c>
      <c r="AA39" s="305">
        <f t="shared" si="7"/>
        <v>0</v>
      </c>
    </row>
    <row r="40" spans="1:27" x14ac:dyDescent="0.35">
      <c r="A40" s="24">
        <v>26</v>
      </c>
      <c r="B40" s="514" t="str">
        <f>IF('As-Filed Schedule 2F'!B40:D40=0,"",'As-Filed Schedule 2F'!B40:D40)</f>
        <v/>
      </c>
      <c r="C40" s="514"/>
      <c r="D40" s="514"/>
      <c r="F40" s="117">
        <f>'As-Filed Schedule 2F'!F40</f>
        <v>0</v>
      </c>
      <c r="G40" s="309">
        <f>SUMIFS(Adjustments!$G:$G,Adjustments!$H:$H,"2F",Adjustments!$I:$I,'Schedule 2F Adjustments'!$F$12,Adjustments!$J:$J,'Schedule 2F Adjustments'!$A40)</f>
        <v>0</v>
      </c>
      <c r="H40" s="305">
        <f t="shared" si="0"/>
        <v>0</v>
      </c>
      <c r="I40" s="68">
        <f>IFERROR(F40*'As-Filed Schedule 1'!$E$103,0)</f>
        <v>0</v>
      </c>
      <c r="J40" s="306">
        <f>IFERROR(H40*'Adjusted Schedule 1'!$E$104,0)</f>
        <v>0</v>
      </c>
      <c r="K40" s="68">
        <f t="shared" si="1"/>
        <v>0</v>
      </c>
      <c r="L40" s="306">
        <f t="shared" si="2"/>
        <v>0</v>
      </c>
      <c r="N40" s="117">
        <f>'As-Filed Schedule 2F'!J40</f>
        <v>0</v>
      </c>
      <c r="O40" s="309">
        <f>SUMIFS(Adjustments!$G:$G,Adjustments!$H:$H,"2F",Adjustments!$I:$I,'Schedule 2F Adjustments'!$N$12,Adjustments!$J:$J,'Schedule 2F Adjustments'!$A40)</f>
        <v>0</v>
      </c>
      <c r="P40" s="305">
        <f t="shared" si="3"/>
        <v>0</v>
      </c>
      <c r="Q40" s="68">
        <f>IFERROR(N40*'As-Filed Schedule 1'!$E$103,0)</f>
        <v>0</v>
      </c>
      <c r="R40" s="68">
        <f>IFERROR(P40*'Adjusted Schedule 1'!$E$104,0)</f>
        <v>0</v>
      </c>
      <c r="S40" s="68">
        <f t="shared" si="4"/>
        <v>0</v>
      </c>
      <c r="T40" s="306">
        <f t="shared" si="5"/>
        <v>0</v>
      </c>
      <c r="V40" s="119">
        <f>'As-Filed Schedule 2F'!N40</f>
        <v>0</v>
      </c>
      <c r="W40" s="309">
        <f>SUMIFS(Adjustments!$G:$G,Adjustments!$H:$H,"2F",Adjustments!$I:$I,'Schedule 2F Adjustments'!$V$12,Adjustments!$J:$J,'Schedule 2F Adjustments'!$A40)</f>
        <v>0</v>
      </c>
      <c r="X40" s="305">
        <f t="shared" si="6"/>
        <v>0</v>
      </c>
      <c r="Y40" s="119">
        <f>'As-Filed Schedule 2F'!O40</f>
        <v>0</v>
      </c>
      <c r="Z40" s="309">
        <f>SUMIFS(Adjustments!$G:$G,Adjustments!$H:$H,"2F",Adjustments!$I:$I,'Schedule 2F Adjustments'!$Y$12,Adjustments!$J:$J,'Schedule 2F Adjustments'!$A40)</f>
        <v>0</v>
      </c>
      <c r="AA40" s="305">
        <f t="shared" si="7"/>
        <v>0</v>
      </c>
    </row>
    <row r="41" spans="1:27" x14ac:dyDescent="0.35">
      <c r="A41" s="24">
        <v>27</v>
      </c>
      <c r="B41" s="514" t="str">
        <f>IF('As-Filed Schedule 2F'!B41:D41=0,"",'As-Filed Schedule 2F'!B41:D41)</f>
        <v/>
      </c>
      <c r="C41" s="514"/>
      <c r="D41" s="514"/>
      <c r="F41" s="117">
        <f>'As-Filed Schedule 2F'!F41</f>
        <v>0</v>
      </c>
      <c r="G41" s="309">
        <f>SUMIFS(Adjustments!$G:$G,Adjustments!$H:$H,"2F",Adjustments!$I:$I,'Schedule 2F Adjustments'!$F$12,Adjustments!$J:$J,'Schedule 2F Adjustments'!$A41)</f>
        <v>0</v>
      </c>
      <c r="H41" s="305">
        <f t="shared" si="0"/>
        <v>0</v>
      </c>
      <c r="I41" s="68">
        <f>IFERROR(F41*'As-Filed Schedule 1'!$E$103,0)</f>
        <v>0</v>
      </c>
      <c r="J41" s="306">
        <f>IFERROR(H41*'Adjusted Schedule 1'!$E$104,0)</f>
        <v>0</v>
      </c>
      <c r="K41" s="68">
        <f t="shared" si="1"/>
        <v>0</v>
      </c>
      <c r="L41" s="306">
        <f t="shared" si="2"/>
        <v>0</v>
      </c>
      <c r="N41" s="117">
        <f>'As-Filed Schedule 2F'!J41</f>
        <v>0</v>
      </c>
      <c r="O41" s="309">
        <f>SUMIFS(Adjustments!$G:$G,Adjustments!$H:$H,"2F",Adjustments!$I:$I,'Schedule 2F Adjustments'!$N$12,Adjustments!$J:$J,'Schedule 2F Adjustments'!$A41)</f>
        <v>0</v>
      </c>
      <c r="P41" s="305">
        <f t="shared" si="3"/>
        <v>0</v>
      </c>
      <c r="Q41" s="68">
        <f>IFERROR(N41*'As-Filed Schedule 1'!$E$103,0)</f>
        <v>0</v>
      </c>
      <c r="R41" s="68">
        <f>IFERROR(P41*'Adjusted Schedule 1'!$E$104,0)</f>
        <v>0</v>
      </c>
      <c r="S41" s="68">
        <f t="shared" si="4"/>
        <v>0</v>
      </c>
      <c r="T41" s="306">
        <f t="shared" si="5"/>
        <v>0</v>
      </c>
      <c r="V41" s="119">
        <f>'As-Filed Schedule 2F'!N41</f>
        <v>0</v>
      </c>
      <c r="W41" s="309">
        <f>SUMIFS(Adjustments!$G:$G,Adjustments!$H:$H,"2F",Adjustments!$I:$I,'Schedule 2F Adjustments'!$V$12,Adjustments!$J:$J,'Schedule 2F Adjustments'!$A41)</f>
        <v>0</v>
      </c>
      <c r="X41" s="305">
        <f t="shared" si="6"/>
        <v>0</v>
      </c>
      <c r="Y41" s="119">
        <f>'As-Filed Schedule 2F'!O41</f>
        <v>0</v>
      </c>
      <c r="Z41" s="309">
        <f>SUMIFS(Adjustments!$G:$G,Adjustments!$H:$H,"2F",Adjustments!$I:$I,'Schedule 2F Adjustments'!$Y$12,Adjustments!$J:$J,'Schedule 2F Adjustments'!$A41)</f>
        <v>0</v>
      </c>
      <c r="AA41" s="305">
        <f t="shared" si="7"/>
        <v>0</v>
      </c>
    </row>
    <row r="42" spans="1:27" x14ac:dyDescent="0.35">
      <c r="A42" s="24">
        <v>28</v>
      </c>
      <c r="B42" s="514" t="str">
        <f>IF('As-Filed Schedule 2F'!B42:D42=0,"",'As-Filed Schedule 2F'!B42:D42)</f>
        <v/>
      </c>
      <c r="C42" s="514"/>
      <c r="D42" s="514"/>
      <c r="F42" s="117">
        <f>'As-Filed Schedule 2F'!F42</f>
        <v>0</v>
      </c>
      <c r="G42" s="309">
        <f>SUMIFS(Adjustments!$G:$G,Adjustments!$H:$H,"2F",Adjustments!$I:$I,'Schedule 2F Adjustments'!$F$12,Adjustments!$J:$J,'Schedule 2F Adjustments'!$A42)</f>
        <v>0</v>
      </c>
      <c r="H42" s="305">
        <f t="shared" si="0"/>
        <v>0</v>
      </c>
      <c r="I42" s="68">
        <f>IFERROR(F42*'As-Filed Schedule 1'!$E$103,0)</f>
        <v>0</v>
      </c>
      <c r="J42" s="306">
        <f>IFERROR(H42*'Adjusted Schedule 1'!$E$104,0)</f>
        <v>0</v>
      </c>
      <c r="K42" s="68">
        <f t="shared" si="1"/>
        <v>0</v>
      </c>
      <c r="L42" s="306">
        <f t="shared" si="2"/>
        <v>0</v>
      </c>
      <c r="N42" s="117">
        <f>'As-Filed Schedule 2F'!J42</f>
        <v>0</v>
      </c>
      <c r="O42" s="309">
        <f>SUMIFS(Adjustments!$G:$G,Adjustments!$H:$H,"2F",Adjustments!$I:$I,'Schedule 2F Adjustments'!$N$12,Adjustments!$J:$J,'Schedule 2F Adjustments'!$A42)</f>
        <v>0</v>
      </c>
      <c r="P42" s="305">
        <f t="shared" si="3"/>
        <v>0</v>
      </c>
      <c r="Q42" s="68">
        <f>IFERROR(N42*'As-Filed Schedule 1'!$E$103,0)</f>
        <v>0</v>
      </c>
      <c r="R42" s="68">
        <f>IFERROR(P42*'Adjusted Schedule 1'!$E$104,0)</f>
        <v>0</v>
      </c>
      <c r="S42" s="68">
        <f t="shared" si="4"/>
        <v>0</v>
      </c>
      <c r="T42" s="306">
        <f t="shared" si="5"/>
        <v>0</v>
      </c>
      <c r="V42" s="119">
        <f>'As-Filed Schedule 2F'!N42</f>
        <v>0</v>
      </c>
      <c r="W42" s="309">
        <f>SUMIFS(Adjustments!$G:$G,Adjustments!$H:$H,"2F",Adjustments!$I:$I,'Schedule 2F Adjustments'!$V$12,Adjustments!$J:$J,'Schedule 2F Adjustments'!$A42)</f>
        <v>0</v>
      </c>
      <c r="X42" s="305">
        <f t="shared" si="6"/>
        <v>0</v>
      </c>
      <c r="Y42" s="119">
        <f>'As-Filed Schedule 2F'!O42</f>
        <v>0</v>
      </c>
      <c r="Z42" s="309">
        <f>SUMIFS(Adjustments!$G:$G,Adjustments!$H:$H,"2F",Adjustments!$I:$I,'Schedule 2F Adjustments'!$Y$12,Adjustments!$J:$J,'Schedule 2F Adjustments'!$A42)</f>
        <v>0</v>
      </c>
      <c r="AA42" s="305">
        <f t="shared" si="7"/>
        <v>0</v>
      </c>
    </row>
    <row r="43" spans="1:27" x14ac:dyDescent="0.35">
      <c r="A43" s="24">
        <v>29</v>
      </c>
      <c r="B43" s="514" t="str">
        <f>IF('As-Filed Schedule 2F'!B43:D43=0,"",'As-Filed Schedule 2F'!B43:D43)</f>
        <v/>
      </c>
      <c r="C43" s="514"/>
      <c r="D43" s="514"/>
      <c r="F43" s="117">
        <f>'As-Filed Schedule 2F'!F43</f>
        <v>0</v>
      </c>
      <c r="G43" s="309">
        <f>SUMIFS(Adjustments!$G:$G,Adjustments!$H:$H,"2F",Adjustments!$I:$I,'Schedule 2F Adjustments'!$F$12,Adjustments!$J:$J,'Schedule 2F Adjustments'!$A43)</f>
        <v>0</v>
      </c>
      <c r="H43" s="305">
        <f t="shared" si="0"/>
        <v>0</v>
      </c>
      <c r="I43" s="68">
        <f>IFERROR(F43*'As-Filed Schedule 1'!$E$103,0)</f>
        <v>0</v>
      </c>
      <c r="J43" s="306">
        <f>IFERROR(H43*'Adjusted Schedule 1'!$E$104,0)</f>
        <v>0</v>
      </c>
      <c r="K43" s="68">
        <f t="shared" si="1"/>
        <v>0</v>
      </c>
      <c r="L43" s="306">
        <f t="shared" si="2"/>
        <v>0</v>
      </c>
      <c r="N43" s="117">
        <f>'As-Filed Schedule 2F'!J43</f>
        <v>0</v>
      </c>
      <c r="O43" s="309">
        <f>SUMIFS(Adjustments!$G:$G,Adjustments!$H:$H,"2F",Adjustments!$I:$I,'Schedule 2F Adjustments'!$N$12,Adjustments!$J:$J,'Schedule 2F Adjustments'!$A43)</f>
        <v>0</v>
      </c>
      <c r="P43" s="305">
        <f t="shared" si="3"/>
        <v>0</v>
      </c>
      <c r="Q43" s="68">
        <f>IFERROR(N43*'As-Filed Schedule 1'!$E$103,0)</f>
        <v>0</v>
      </c>
      <c r="R43" s="68">
        <f>IFERROR(P43*'Adjusted Schedule 1'!$E$104,0)</f>
        <v>0</v>
      </c>
      <c r="S43" s="68">
        <f t="shared" si="4"/>
        <v>0</v>
      </c>
      <c r="T43" s="306">
        <f t="shared" si="5"/>
        <v>0</v>
      </c>
      <c r="V43" s="119">
        <f>'As-Filed Schedule 2F'!N43</f>
        <v>0</v>
      </c>
      <c r="W43" s="309">
        <f>SUMIFS(Adjustments!$G:$G,Adjustments!$H:$H,"2F",Adjustments!$I:$I,'Schedule 2F Adjustments'!$V$12,Adjustments!$J:$J,'Schedule 2F Adjustments'!$A43)</f>
        <v>0</v>
      </c>
      <c r="X43" s="305">
        <f t="shared" si="6"/>
        <v>0</v>
      </c>
      <c r="Y43" s="119">
        <f>'As-Filed Schedule 2F'!O43</f>
        <v>0</v>
      </c>
      <c r="Z43" s="309">
        <f>SUMIFS(Adjustments!$G:$G,Adjustments!$H:$H,"2F",Adjustments!$I:$I,'Schedule 2F Adjustments'!$Y$12,Adjustments!$J:$J,'Schedule 2F Adjustments'!$A43)</f>
        <v>0</v>
      </c>
      <c r="AA43" s="305">
        <f t="shared" si="7"/>
        <v>0</v>
      </c>
    </row>
    <row r="44" spans="1:27" x14ac:dyDescent="0.35">
      <c r="A44" s="24">
        <v>30</v>
      </c>
      <c r="B44" s="514" t="str">
        <f>IF('As-Filed Schedule 2F'!B44:D44=0,"",'As-Filed Schedule 2F'!B44:D44)</f>
        <v/>
      </c>
      <c r="C44" s="514"/>
      <c r="D44" s="514"/>
      <c r="F44" s="117">
        <f>'As-Filed Schedule 2F'!F44</f>
        <v>0</v>
      </c>
      <c r="G44" s="309">
        <f>SUMIFS(Adjustments!$G:$G,Adjustments!$H:$H,"2F",Adjustments!$I:$I,'Schedule 2F Adjustments'!$F$12,Adjustments!$J:$J,'Schedule 2F Adjustments'!$A44)</f>
        <v>0</v>
      </c>
      <c r="H44" s="305">
        <f t="shared" si="0"/>
        <v>0</v>
      </c>
      <c r="I44" s="68">
        <f>IFERROR(F44*'As-Filed Schedule 1'!$E$103,0)</f>
        <v>0</v>
      </c>
      <c r="J44" s="306">
        <f>IFERROR(H44*'Adjusted Schedule 1'!$E$104,0)</f>
        <v>0</v>
      </c>
      <c r="K44" s="68">
        <f t="shared" si="1"/>
        <v>0</v>
      </c>
      <c r="L44" s="306">
        <f t="shared" si="2"/>
        <v>0</v>
      </c>
      <c r="N44" s="117">
        <f>'As-Filed Schedule 2F'!J44</f>
        <v>0</v>
      </c>
      <c r="O44" s="309">
        <f>SUMIFS(Adjustments!$G:$G,Adjustments!$H:$H,"2F",Adjustments!$I:$I,'Schedule 2F Adjustments'!$N$12,Adjustments!$J:$J,'Schedule 2F Adjustments'!$A44)</f>
        <v>0</v>
      </c>
      <c r="P44" s="305">
        <f t="shared" si="3"/>
        <v>0</v>
      </c>
      <c r="Q44" s="68">
        <f>IFERROR(N44*'As-Filed Schedule 1'!$E$103,0)</f>
        <v>0</v>
      </c>
      <c r="R44" s="68">
        <f>IFERROR(P44*'Adjusted Schedule 1'!$E$104,0)</f>
        <v>0</v>
      </c>
      <c r="S44" s="68">
        <f t="shared" si="4"/>
        <v>0</v>
      </c>
      <c r="T44" s="306">
        <f t="shared" si="5"/>
        <v>0</v>
      </c>
      <c r="V44" s="119">
        <f>'As-Filed Schedule 2F'!N44</f>
        <v>0</v>
      </c>
      <c r="W44" s="309">
        <f>SUMIFS(Adjustments!$G:$G,Adjustments!$H:$H,"2F",Adjustments!$I:$I,'Schedule 2F Adjustments'!$V$12,Adjustments!$J:$J,'Schedule 2F Adjustments'!$A44)</f>
        <v>0</v>
      </c>
      <c r="X44" s="305">
        <f t="shared" si="6"/>
        <v>0</v>
      </c>
      <c r="Y44" s="119">
        <f>'As-Filed Schedule 2F'!O44</f>
        <v>0</v>
      </c>
      <c r="Z44" s="309">
        <f>SUMIFS(Adjustments!$G:$G,Adjustments!$H:$H,"2F",Adjustments!$I:$I,'Schedule 2F Adjustments'!$Y$12,Adjustments!$J:$J,'Schedule 2F Adjustments'!$A44)</f>
        <v>0</v>
      </c>
      <c r="AA44" s="305">
        <f t="shared" si="7"/>
        <v>0</v>
      </c>
    </row>
    <row r="45" spans="1:27" x14ac:dyDescent="0.35">
      <c r="A45" s="24">
        <v>31</v>
      </c>
      <c r="B45" s="514" t="str">
        <f>IF('As-Filed Schedule 2F'!B45:D45=0,"",'As-Filed Schedule 2F'!B45:D45)</f>
        <v/>
      </c>
      <c r="C45" s="514"/>
      <c r="D45" s="514"/>
      <c r="F45" s="117">
        <f>'As-Filed Schedule 2F'!F45</f>
        <v>0</v>
      </c>
      <c r="G45" s="309">
        <f>SUMIFS(Adjustments!$G:$G,Adjustments!$H:$H,"2F",Adjustments!$I:$I,'Schedule 2F Adjustments'!$F$12,Adjustments!$J:$J,'Schedule 2F Adjustments'!$A45)</f>
        <v>0</v>
      </c>
      <c r="H45" s="305">
        <f t="shared" si="0"/>
        <v>0</v>
      </c>
      <c r="I45" s="68">
        <f>IFERROR(F45*'As-Filed Schedule 1'!$E$103,0)</f>
        <v>0</v>
      </c>
      <c r="J45" s="306">
        <f>IFERROR(H45*'Adjusted Schedule 1'!$E$104,0)</f>
        <v>0</v>
      </c>
      <c r="K45" s="68">
        <f t="shared" si="1"/>
        <v>0</v>
      </c>
      <c r="L45" s="306">
        <f t="shared" si="2"/>
        <v>0</v>
      </c>
      <c r="N45" s="117">
        <f>'As-Filed Schedule 2F'!J45</f>
        <v>0</v>
      </c>
      <c r="O45" s="309">
        <f>SUMIFS(Adjustments!$G:$G,Adjustments!$H:$H,"2F",Adjustments!$I:$I,'Schedule 2F Adjustments'!$N$12,Adjustments!$J:$J,'Schedule 2F Adjustments'!$A45)</f>
        <v>0</v>
      </c>
      <c r="P45" s="305">
        <f t="shared" si="3"/>
        <v>0</v>
      </c>
      <c r="Q45" s="68">
        <f>IFERROR(N45*'As-Filed Schedule 1'!$E$103,0)</f>
        <v>0</v>
      </c>
      <c r="R45" s="68">
        <f>IFERROR(P45*'Adjusted Schedule 1'!$E$104,0)</f>
        <v>0</v>
      </c>
      <c r="S45" s="68">
        <f t="shared" si="4"/>
        <v>0</v>
      </c>
      <c r="T45" s="306">
        <f t="shared" si="5"/>
        <v>0</v>
      </c>
      <c r="V45" s="119">
        <f>'As-Filed Schedule 2F'!N45</f>
        <v>0</v>
      </c>
      <c r="W45" s="309">
        <f>SUMIFS(Adjustments!$G:$G,Adjustments!$H:$H,"2F",Adjustments!$I:$I,'Schedule 2F Adjustments'!$V$12,Adjustments!$J:$J,'Schedule 2F Adjustments'!$A45)</f>
        <v>0</v>
      </c>
      <c r="X45" s="305">
        <f t="shared" si="6"/>
        <v>0</v>
      </c>
      <c r="Y45" s="119">
        <f>'As-Filed Schedule 2F'!O45</f>
        <v>0</v>
      </c>
      <c r="Z45" s="309">
        <f>SUMIFS(Adjustments!$G:$G,Adjustments!$H:$H,"2F",Adjustments!$I:$I,'Schedule 2F Adjustments'!$Y$12,Adjustments!$J:$J,'Schedule 2F Adjustments'!$A45)</f>
        <v>0</v>
      </c>
      <c r="AA45" s="305">
        <f t="shared" si="7"/>
        <v>0</v>
      </c>
    </row>
    <row r="46" spans="1:27" x14ac:dyDescent="0.35">
      <c r="A46" s="24">
        <v>32</v>
      </c>
      <c r="B46" s="514" t="str">
        <f>IF('As-Filed Schedule 2F'!B46:D46=0,"",'As-Filed Schedule 2F'!B46:D46)</f>
        <v/>
      </c>
      <c r="C46" s="514"/>
      <c r="D46" s="514"/>
      <c r="F46" s="117">
        <f>'As-Filed Schedule 2F'!F46</f>
        <v>0</v>
      </c>
      <c r="G46" s="309">
        <f>SUMIFS(Adjustments!$G:$G,Adjustments!$H:$H,"2F",Adjustments!$I:$I,'Schedule 2F Adjustments'!$F$12,Adjustments!$J:$J,'Schedule 2F Adjustments'!$A46)</f>
        <v>0</v>
      </c>
      <c r="H46" s="305">
        <f t="shared" si="0"/>
        <v>0</v>
      </c>
      <c r="I46" s="68">
        <f>IFERROR(F46*'As-Filed Schedule 1'!$E$103,0)</f>
        <v>0</v>
      </c>
      <c r="J46" s="306">
        <f>IFERROR(H46*'Adjusted Schedule 1'!$E$104,0)</f>
        <v>0</v>
      </c>
      <c r="K46" s="68">
        <f t="shared" si="1"/>
        <v>0</v>
      </c>
      <c r="L46" s="306">
        <f t="shared" si="2"/>
        <v>0</v>
      </c>
      <c r="N46" s="117">
        <f>'As-Filed Schedule 2F'!J46</f>
        <v>0</v>
      </c>
      <c r="O46" s="309">
        <f>SUMIFS(Adjustments!$G:$G,Adjustments!$H:$H,"2F",Adjustments!$I:$I,'Schedule 2F Adjustments'!$N$12,Adjustments!$J:$J,'Schedule 2F Adjustments'!$A46)</f>
        <v>0</v>
      </c>
      <c r="P46" s="305">
        <f t="shared" si="3"/>
        <v>0</v>
      </c>
      <c r="Q46" s="68">
        <f>IFERROR(N46*'As-Filed Schedule 1'!$E$103,0)</f>
        <v>0</v>
      </c>
      <c r="R46" s="68">
        <f>IFERROR(P46*'Adjusted Schedule 1'!$E$104,0)</f>
        <v>0</v>
      </c>
      <c r="S46" s="68">
        <f t="shared" si="4"/>
        <v>0</v>
      </c>
      <c r="T46" s="306">
        <f t="shared" si="5"/>
        <v>0</v>
      </c>
      <c r="V46" s="119">
        <f>'As-Filed Schedule 2F'!N46</f>
        <v>0</v>
      </c>
      <c r="W46" s="309">
        <f>SUMIFS(Adjustments!$G:$G,Adjustments!$H:$H,"2F",Adjustments!$I:$I,'Schedule 2F Adjustments'!$V$12,Adjustments!$J:$J,'Schedule 2F Adjustments'!$A46)</f>
        <v>0</v>
      </c>
      <c r="X46" s="305">
        <f t="shared" si="6"/>
        <v>0</v>
      </c>
      <c r="Y46" s="119">
        <f>'As-Filed Schedule 2F'!O46</f>
        <v>0</v>
      </c>
      <c r="Z46" s="309">
        <f>SUMIFS(Adjustments!$G:$G,Adjustments!$H:$H,"2F",Adjustments!$I:$I,'Schedule 2F Adjustments'!$Y$12,Adjustments!$J:$J,'Schedule 2F Adjustments'!$A46)</f>
        <v>0</v>
      </c>
      <c r="AA46" s="305">
        <f t="shared" si="7"/>
        <v>0</v>
      </c>
    </row>
    <row r="47" spans="1:27" x14ac:dyDescent="0.35">
      <c r="A47" s="24">
        <v>33</v>
      </c>
      <c r="B47" s="514" t="str">
        <f>IF('As-Filed Schedule 2F'!B47:D47=0,"",'As-Filed Schedule 2F'!B47:D47)</f>
        <v/>
      </c>
      <c r="C47" s="514"/>
      <c r="D47" s="514"/>
      <c r="F47" s="117">
        <f>'As-Filed Schedule 2F'!F47</f>
        <v>0</v>
      </c>
      <c r="G47" s="309">
        <f>SUMIFS(Adjustments!$G:$G,Adjustments!$H:$H,"2F",Adjustments!$I:$I,'Schedule 2F Adjustments'!$F$12,Adjustments!$J:$J,'Schedule 2F Adjustments'!$A47)</f>
        <v>0</v>
      </c>
      <c r="H47" s="305">
        <f t="shared" si="0"/>
        <v>0</v>
      </c>
      <c r="I47" s="68">
        <f>IFERROR(F47*'As-Filed Schedule 1'!$E$103,0)</f>
        <v>0</v>
      </c>
      <c r="J47" s="306">
        <f>IFERROR(H47*'Adjusted Schedule 1'!$E$104,0)</f>
        <v>0</v>
      </c>
      <c r="K47" s="68">
        <f t="shared" si="1"/>
        <v>0</v>
      </c>
      <c r="L47" s="306">
        <f t="shared" si="2"/>
        <v>0</v>
      </c>
      <c r="N47" s="117">
        <f>'As-Filed Schedule 2F'!J47</f>
        <v>0</v>
      </c>
      <c r="O47" s="309">
        <f>SUMIFS(Adjustments!$G:$G,Adjustments!$H:$H,"2F",Adjustments!$I:$I,'Schedule 2F Adjustments'!$N$12,Adjustments!$J:$J,'Schedule 2F Adjustments'!$A47)</f>
        <v>0</v>
      </c>
      <c r="P47" s="305">
        <f t="shared" si="3"/>
        <v>0</v>
      </c>
      <c r="Q47" s="68">
        <f>IFERROR(N47*'As-Filed Schedule 1'!$E$103,0)</f>
        <v>0</v>
      </c>
      <c r="R47" s="68">
        <f>IFERROR(P47*'Adjusted Schedule 1'!$E$104,0)</f>
        <v>0</v>
      </c>
      <c r="S47" s="68">
        <f t="shared" si="4"/>
        <v>0</v>
      </c>
      <c r="T47" s="306">
        <f t="shared" si="5"/>
        <v>0</v>
      </c>
      <c r="V47" s="119">
        <f>'As-Filed Schedule 2F'!N47</f>
        <v>0</v>
      </c>
      <c r="W47" s="309">
        <f>SUMIFS(Adjustments!$G:$G,Adjustments!$H:$H,"2F",Adjustments!$I:$I,'Schedule 2F Adjustments'!$V$12,Adjustments!$J:$J,'Schedule 2F Adjustments'!$A47)</f>
        <v>0</v>
      </c>
      <c r="X47" s="305">
        <f t="shared" si="6"/>
        <v>0</v>
      </c>
      <c r="Y47" s="119">
        <f>'As-Filed Schedule 2F'!O47</f>
        <v>0</v>
      </c>
      <c r="Z47" s="309">
        <f>SUMIFS(Adjustments!$G:$G,Adjustments!$H:$H,"2F",Adjustments!$I:$I,'Schedule 2F Adjustments'!$Y$12,Adjustments!$J:$J,'Schedule 2F Adjustments'!$A47)</f>
        <v>0</v>
      </c>
      <c r="AA47" s="305">
        <f t="shared" si="7"/>
        <v>0</v>
      </c>
    </row>
    <row r="48" spans="1:27" x14ac:dyDescent="0.35">
      <c r="A48" s="24">
        <v>34</v>
      </c>
      <c r="B48" s="514" t="str">
        <f>IF('As-Filed Schedule 2F'!B48:D48=0,"",'As-Filed Schedule 2F'!B48:D48)</f>
        <v/>
      </c>
      <c r="C48" s="514"/>
      <c r="D48" s="514"/>
      <c r="F48" s="117">
        <f>'As-Filed Schedule 2F'!F48</f>
        <v>0</v>
      </c>
      <c r="G48" s="309">
        <f>SUMIFS(Adjustments!$G:$G,Adjustments!$H:$H,"2F",Adjustments!$I:$I,'Schedule 2F Adjustments'!$F$12,Adjustments!$J:$J,'Schedule 2F Adjustments'!$A48)</f>
        <v>0</v>
      </c>
      <c r="H48" s="305">
        <f t="shared" si="0"/>
        <v>0</v>
      </c>
      <c r="I48" s="68">
        <f>IFERROR(F48*'As-Filed Schedule 1'!$E$103,0)</f>
        <v>0</v>
      </c>
      <c r="J48" s="306">
        <f>IFERROR(H48*'Adjusted Schedule 1'!$E$104,0)</f>
        <v>0</v>
      </c>
      <c r="K48" s="68">
        <f t="shared" si="1"/>
        <v>0</v>
      </c>
      <c r="L48" s="306">
        <f t="shared" si="2"/>
        <v>0</v>
      </c>
      <c r="N48" s="117">
        <f>'As-Filed Schedule 2F'!J48</f>
        <v>0</v>
      </c>
      <c r="O48" s="309">
        <f>SUMIFS(Adjustments!$G:$G,Adjustments!$H:$H,"2F",Adjustments!$I:$I,'Schedule 2F Adjustments'!$N$12,Adjustments!$J:$J,'Schedule 2F Adjustments'!$A48)</f>
        <v>0</v>
      </c>
      <c r="P48" s="305">
        <f t="shared" si="3"/>
        <v>0</v>
      </c>
      <c r="Q48" s="68">
        <f>IFERROR(N48*'As-Filed Schedule 1'!$E$103,0)</f>
        <v>0</v>
      </c>
      <c r="R48" s="68">
        <f>IFERROR(P48*'Adjusted Schedule 1'!$E$104,0)</f>
        <v>0</v>
      </c>
      <c r="S48" s="68">
        <f t="shared" si="4"/>
        <v>0</v>
      </c>
      <c r="T48" s="306">
        <f t="shared" si="5"/>
        <v>0</v>
      </c>
      <c r="V48" s="119">
        <f>'As-Filed Schedule 2F'!N48</f>
        <v>0</v>
      </c>
      <c r="W48" s="309">
        <f>SUMIFS(Adjustments!$G:$G,Adjustments!$H:$H,"2F",Adjustments!$I:$I,'Schedule 2F Adjustments'!$V$12,Adjustments!$J:$J,'Schedule 2F Adjustments'!$A48)</f>
        <v>0</v>
      </c>
      <c r="X48" s="305">
        <f t="shared" si="6"/>
        <v>0</v>
      </c>
      <c r="Y48" s="119">
        <f>'As-Filed Schedule 2F'!O48</f>
        <v>0</v>
      </c>
      <c r="Z48" s="309">
        <f>SUMIFS(Adjustments!$G:$G,Adjustments!$H:$H,"2F",Adjustments!$I:$I,'Schedule 2F Adjustments'!$Y$12,Adjustments!$J:$J,'Schedule 2F Adjustments'!$A48)</f>
        <v>0</v>
      </c>
      <c r="AA48" s="305">
        <f t="shared" si="7"/>
        <v>0</v>
      </c>
    </row>
    <row r="49" spans="1:27" x14ac:dyDescent="0.35">
      <c r="A49" s="24">
        <v>35</v>
      </c>
      <c r="B49" s="514" t="str">
        <f>IF('As-Filed Schedule 2F'!B49:D49=0,"",'As-Filed Schedule 2F'!B49:D49)</f>
        <v/>
      </c>
      <c r="C49" s="514"/>
      <c r="D49" s="514"/>
      <c r="F49" s="117">
        <f>'As-Filed Schedule 2F'!F49</f>
        <v>0</v>
      </c>
      <c r="G49" s="309">
        <f>SUMIFS(Adjustments!$G:$G,Adjustments!$H:$H,"2F",Adjustments!$I:$I,'Schedule 2F Adjustments'!$F$12,Adjustments!$J:$J,'Schedule 2F Adjustments'!$A49)</f>
        <v>0</v>
      </c>
      <c r="H49" s="305">
        <f t="shared" si="0"/>
        <v>0</v>
      </c>
      <c r="I49" s="68">
        <f>IFERROR(F49*'As-Filed Schedule 1'!$E$103,0)</f>
        <v>0</v>
      </c>
      <c r="J49" s="306">
        <f>IFERROR(H49*'Adjusted Schedule 1'!$E$104,0)</f>
        <v>0</v>
      </c>
      <c r="K49" s="68">
        <f t="shared" si="1"/>
        <v>0</v>
      </c>
      <c r="L49" s="306">
        <f t="shared" si="2"/>
        <v>0</v>
      </c>
      <c r="N49" s="117">
        <f>'As-Filed Schedule 2F'!J49</f>
        <v>0</v>
      </c>
      <c r="O49" s="309">
        <f>SUMIFS(Adjustments!$G:$G,Adjustments!$H:$H,"2F",Adjustments!$I:$I,'Schedule 2F Adjustments'!$N$12,Adjustments!$J:$J,'Schedule 2F Adjustments'!$A49)</f>
        <v>0</v>
      </c>
      <c r="P49" s="305">
        <f t="shared" si="3"/>
        <v>0</v>
      </c>
      <c r="Q49" s="68">
        <f>IFERROR(N49*'As-Filed Schedule 1'!$E$103,0)</f>
        <v>0</v>
      </c>
      <c r="R49" s="68">
        <f>IFERROR(P49*'Adjusted Schedule 1'!$E$104,0)</f>
        <v>0</v>
      </c>
      <c r="S49" s="68">
        <f t="shared" si="4"/>
        <v>0</v>
      </c>
      <c r="T49" s="306">
        <f t="shared" si="5"/>
        <v>0</v>
      </c>
      <c r="V49" s="119">
        <f>'As-Filed Schedule 2F'!N49</f>
        <v>0</v>
      </c>
      <c r="W49" s="309">
        <f>SUMIFS(Adjustments!$G:$G,Adjustments!$H:$H,"2F",Adjustments!$I:$I,'Schedule 2F Adjustments'!$V$12,Adjustments!$J:$J,'Schedule 2F Adjustments'!$A49)</f>
        <v>0</v>
      </c>
      <c r="X49" s="305">
        <f t="shared" si="6"/>
        <v>0</v>
      </c>
      <c r="Y49" s="119">
        <f>'As-Filed Schedule 2F'!O49</f>
        <v>0</v>
      </c>
      <c r="Z49" s="309">
        <f>SUMIFS(Adjustments!$G:$G,Adjustments!$H:$H,"2F",Adjustments!$I:$I,'Schedule 2F Adjustments'!$Y$12,Adjustments!$J:$J,'Schedule 2F Adjustments'!$A49)</f>
        <v>0</v>
      </c>
      <c r="AA49" s="305">
        <f t="shared" si="7"/>
        <v>0</v>
      </c>
    </row>
    <row r="50" spans="1:27" x14ac:dyDescent="0.35">
      <c r="A50" s="24">
        <v>36</v>
      </c>
      <c r="B50" s="514" t="str">
        <f>IF('As-Filed Schedule 2F'!B50:D50=0,"",'As-Filed Schedule 2F'!B50:D50)</f>
        <v/>
      </c>
      <c r="C50" s="514"/>
      <c r="D50" s="514"/>
      <c r="F50" s="117">
        <f>'As-Filed Schedule 2F'!F50</f>
        <v>0</v>
      </c>
      <c r="G50" s="309">
        <f>SUMIFS(Adjustments!$G:$G,Adjustments!$H:$H,"2F",Adjustments!$I:$I,'Schedule 2F Adjustments'!$F$12,Adjustments!$J:$J,'Schedule 2F Adjustments'!$A50)</f>
        <v>0</v>
      </c>
      <c r="H50" s="305">
        <f t="shared" si="0"/>
        <v>0</v>
      </c>
      <c r="I50" s="68">
        <f>IFERROR(F50*'As-Filed Schedule 1'!$E$103,0)</f>
        <v>0</v>
      </c>
      <c r="J50" s="306">
        <f>IFERROR(H50*'Adjusted Schedule 1'!$E$104,0)</f>
        <v>0</v>
      </c>
      <c r="K50" s="68">
        <f t="shared" si="1"/>
        <v>0</v>
      </c>
      <c r="L50" s="306">
        <f t="shared" si="2"/>
        <v>0</v>
      </c>
      <c r="N50" s="117">
        <f>'As-Filed Schedule 2F'!J50</f>
        <v>0</v>
      </c>
      <c r="O50" s="309">
        <f>SUMIFS(Adjustments!$G:$G,Adjustments!$H:$H,"2F",Adjustments!$I:$I,'Schedule 2F Adjustments'!$N$12,Adjustments!$J:$J,'Schedule 2F Adjustments'!$A50)</f>
        <v>0</v>
      </c>
      <c r="P50" s="305">
        <f t="shared" si="3"/>
        <v>0</v>
      </c>
      <c r="Q50" s="68">
        <f>IFERROR(N50*'As-Filed Schedule 1'!$E$103,0)</f>
        <v>0</v>
      </c>
      <c r="R50" s="68">
        <f>IFERROR(P50*'Adjusted Schedule 1'!$E$104,0)</f>
        <v>0</v>
      </c>
      <c r="S50" s="68">
        <f t="shared" si="4"/>
        <v>0</v>
      </c>
      <c r="T50" s="306">
        <f t="shared" si="5"/>
        <v>0</v>
      </c>
      <c r="V50" s="119">
        <f>'As-Filed Schedule 2F'!N50</f>
        <v>0</v>
      </c>
      <c r="W50" s="309">
        <f>SUMIFS(Adjustments!$G:$G,Adjustments!$H:$H,"2F",Adjustments!$I:$I,'Schedule 2F Adjustments'!$V$12,Adjustments!$J:$J,'Schedule 2F Adjustments'!$A50)</f>
        <v>0</v>
      </c>
      <c r="X50" s="305">
        <f t="shared" si="6"/>
        <v>0</v>
      </c>
      <c r="Y50" s="119">
        <f>'As-Filed Schedule 2F'!O50</f>
        <v>0</v>
      </c>
      <c r="Z50" s="309">
        <f>SUMIFS(Adjustments!$G:$G,Adjustments!$H:$H,"2F",Adjustments!$I:$I,'Schedule 2F Adjustments'!$Y$12,Adjustments!$J:$J,'Schedule 2F Adjustments'!$A50)</f>
        <v>0</v>
      </c>
      <c r="AA50" s="305">
        <f t="shared" si="7"/>
        <v>0</v>
      </c>
    </row>
    <row r="51" spans="1:27" x14ac:dyDescent="0.35">
      <c r="A51" s="24">
        <v>37</v>
      </c>
      <c r="B51" s="514" t="str">
        <f>IF('As-Filed Schedule 2F'!B51:D51=0,"",'As-Filed Schedule 2F'!B51:D51)</f>
        <v/>
      </c>
      <c r="C51" s="514"/>
      <c r="D51" s="514"/>
      <c r="F51" s="117">
        <f>'As-Filed Schedule 2F'!F51</f>
        <v>0</v>
      </c>
      <c r="G51" s="309">
        <f>SUMIFS(Adjustments!$G:$G,Adjustments!$H:$H,"2F",Adjustments!$I:$I,'Schedule 2F Adjustments'!$F$12,Adjustments!$J:$J,'Schedule 2F Adjustments'!$A51)</f>
        <v>0</v>
      </c>
      <c r="H51" s="305">
        <f t="shared" si="0"/>
        <v>0</v>
      </c>
      <c r="I51" s="68">
        <f>IFERROR(F51*'As-Filed Schedule 1'!$E$103,0)</f>
        <v>0</v>
      </c>
      <c r="J51" s="306">
        <f>IFERROR(H51*'Adjusted Schedule 1'!$E$104,0)</f>
        <v>0</v>
      </c>
      <c r="K51" s="68">
        <f t="shared" si="1"/>
        <v>0</v>
      </c>
      <c r="L51" s="306">
        <f t="shared" si="2"/>
        <v>0</v>
      </c>
      <c r="N51" s="117">
        <f>'As-Filed Schedule 2F'!J51</f>
        <v>0</v>
      </c>
      <c r="O51" s="309">
        <f>SUMIFS(Adjustments!$G:$G,Adjustments!$H:$H,"2F",Adjustments!$I:$I,'Schedule 2F Adjustments'!$N$12,Adjustments!$J:$J,'Schedule 2F Adjustments'!$A51)</f>
        <v>0</v>
      </c>
      <c r="P51" s="305">
        <f t="shared" si="3"/>
        <v>0</v>
      </c>
      <c r="Q51" s="68">
        <f>IFERROR(N51*'As-Filed Schedule 1'!$E$103,0)</f>
        <v>0</v>
      </c>
      <c r="R51" s="68">
        <f>IFERROR(P51*'Adjusted Schedule 1'!$E$104,0)</f>
        <v>0</v>
      </c>
      <c r="S51" s="68">
        <f t="shared" si="4"/>
        <v>0</v>
      </c>
      <c r="T51" s="306">
        <f t="shared" si="5"/>
        <v>0</v>
      </c>
      <c r="V51" s="119">
        <f>'As-Filed Schedule 2F'!N51</f>
        <v>0</v>
      </c>
      <c r="W51" s="309">
        <f>SUMIFS(Adjustments!$G:$G,Adjustments!$H:$H,"2F",Adjustments!$I:$I,'Schedule 2F Adjustments'!$V$12,Adjustments!$J:$J,'Schedule 2F Adjustments'!$A51)</f>
        <v>0</v>
      </c>
      <c r="X51" s="305">
        <f t="shared" si="6"/>
        <v>0</v>
      </c>
      <c r="Y51" s="119">
        <f>'As-Filed Schedule 2F'!O51</f>
        <v>0</v>
      </c>
      <c r="Z51" s="309">
        <f>SUMIFS(Adjustments!$G:$G,Adjustments!$H:$H,"2F",Adjustments!$I:$I,'Schedule 2F Adjustments'!$Y$12,Adjustments!$J:$J,'Schedule 2F Adjustments'!$A51)</f>
        <v>0</v>
      </c>
      <c r="AA51" s="305">
        <f t="shared" si="7"/>
        <v>0</v>
      </c>
    </row>
    <row r="52" spans="1:27" x14ac:dyDescent="0.35">
      <c r="A52" s="24">
        <v>38</v>
      </c>
      <c r="B52" s="514" t="str">
        <f>IF('As-Filed Schedule 2F'!B52:D52=0,"",'As-Filed Schedule 2F'!B52:D52)</f>
        <v/>
      </c>
      <c r="C52" s="514"/>
      <c r="D52" s="514"/>
      <c r="F52" s="117">
        <f>'As-Filed Schedule 2F'!F52</f>
        <v>0</v>
      </c>
      <c r="G52" s="309">
        <f>SUMIFS(Adjustments!$G:$G,Adjustments!$H:$H,"2F",Adjustments!$I:$I,'Schedule 2F Adjustments'!$F$12,Adjustments!$J:$J,'Schedule 2F Adjustments'!$A52)</f>
        <v>0</v>
      </c>
      <c r="H52" s="305">
        <f t="shared" si="0"/>
        <v>0</v>
      </c>
      <c r="I52" s="68">
        <f>IFERROR(F52*'As-Filed Schedule 1'!$E$103,0)</f>
        <v>0</v>
      </c>
      <c r="J52" s="306">
        <f>IFERROR(H52*'Adjusted Schedule 1'!$E$104,0)</f>
        <v>0</v>
      </c>
      <c r="K52" s="68">
        <f t="shared" si="1"/>
        <v>0</v>
      </c>
      <c r="L52" s="306">
        <f t="shared" si="2"/>
        <v>0</v>
      </c>
      <c r="N52" s="117">
        <f>'As-Filed Schedule 2F'!J52</f>
        <v>0</v>
      </c>
      <c r="O52" s="309">
        <f>SUMIFS(Adjustments!$G:$G,Adjustments!$H:$H,"2F",Adjustments!$I:$I,'Schedule 2F Adjustments'!$N$12,Adjustments!$J:$J,'Schedule 2F Adjustments'!$A52)</f>
        <v>0</v>
      </c>
      <c r="P52" s="305">
        <f t="shared" si="3"/>
        <v>0</v>
      </c>
      <c r="Q52" s="68">
        <f>IFERROR(N52*'As-Filed Schedule 1'!$E$103,0)</f>
        <v>0</v>
      </c>
      <c r="R52" s="68">
        <f>IFERROR(P52*'Adjusted Schedule 1'!$E$104,0)</f>
        <v>0</v>
      </c>
      <c r="S52" s="68">
        <f t="shared" si="4"/>
        <v>0</v>
      </c>
      <c r="T52" s="306">
        <f t="shared" si="5"/>
        <v>0</v>
      </c>
      <c r="V52" s="119">
        <f>'As-Filed Schedule 2F'!N52</f>
        <v>0</v>
      </c>
      <c r="W52" s="309">
        <f>SUMIFS(Adjustments!$G:$G,Adjustments!$H:$H,"2F",Adjustments!$I:$I,'Schedule 2F Adjustments'!$V$12,Adjustments!$J:$J,'Schedule 2F Adjustments'!$A52)</f>
        <v>0</v>
      </c>
      <c r="X52" s="305">
        <f t="shared" si="6"/>
        <v>0</v>
      </c>
      <c r="Y52" s="119">
        <f>'As-Filed Schedule 2F'!O52</f>
        <v>0</v>
      </c>
      <c r="Z52" s="309">
        <f>SUMIFS(Adjustments!$G:$G,Adjustments!$H:$H,"2F",Adjustments!$I:$I,'Schedule 2F Adjustments'!$Y$12,Adjustments!$J:$J,'Schedule 2F Adjustments'!$A52)</f>
        <v>0</v>
      </c>
      <c r="AA52" s="305">
        <f t="shared" si="7"/>
        <v>0</v>
      </c>
    </row>
    <row r="53" spans="1:27" x14ac:dyDescent="0.35">
      <c r="A53" s="24">
        <v>39</v>
      </c>
      <c r="B53" s="514" t="str">
        <f>IF('As-Filed Schedule 2F'!B53:D53=0,"",'As-Filed Schedule 2F'!B53:D53)</f>
        <v/>
      </c>
      <c r="C53" s="514"/>
      <c r="D53" s="514"/>
      <c r="F53" s="117">
        <f>'As-Filed Schedule 2F'!F53</f>
        <v>0</v>
      </c>
      <c r="G53" s="309">
        <f>SUMIFS(Adjustments!$G:$G,Adjustments!$H:$H,"2F",Adjustments!$I:$I,'Schedule 2F Adjustments'!$F$12,Adjustments!$J:$J,'Schedule 2F Adjustments'!$A53)</f>
        <v>0</v>
      </c>
      <c r="H53" s="305">
        <f t="shared" si="0"/>
        <v>0</v>
      </c>
      <c r="I53" s="68">
        <f>IFERROR(F53*'As-Filed Schedule 1'!$E$103,0)</f>
        <v>0</v>
      </c>
      <c r="J53" s="306">
        <f>IFERROR(H53*'Adjusted Schedule 1'!$E$104,0)</f>
        <v>0</v>
      </c>
      <c r="K53" s="68">
        <f t="shared" si="1"/>
        <v>0</v>
      </c>
      <c r="L53" s="306">
        <f t="shared" si="2"/>
        <v>0</v>
      </c>
      <c r="N53" s="117">
        <f>'As-Filed Schedule 2F'!J53</f>
        <v>0</v>
      </c>
      <c r="O53" s="309">
        <f>SUMIFS(Adjustments!$G:$G,Adjustments!$H:$H,"2F",Adjustments!$I:$I,'Schedule 2F Adjustments'!$N$12,Adjustments!$J:$J,'Schedule 2F Adjustments'!$A53)</f>
        <v>0</v>
      </c>
      <c r="P53" s="305">
        <f t="shared" si="3"/>
        <v>0</v>
      </c>
      <c r="Q53" s="68">
        <f>IFERROR(N53*'As-Filed Schedule 1'!$E$103,0)</f>
        <v>0</v>
      </c>
      <c r="R53" s="68">
        <f>IFERROR(P53*'Adjusted Schedule 1'!$E$104,0)</f>
        <v>0</v>
      </c>
      <c r="S53" s="68">
        <f t="shared" si="4"/>
        <v>0</v>
      </c>
      <c r="T53" s="306">
        <f t="shared" si="5"/>
        <v>0</v>
      </c>
      <c r="V53" s="119">
        <f>'As-Filed Schedule 2F'!N53</f>
        <v>0</v>
      </c>
      <c r="W53" s="309">
        <f>SUMIFS(Adjustments!$G:$G,Adjustments!$H:$H,"2F",Adjustments!$I:$I,'Schedule 2F Adjustments'!$V$12,Adjustments!$J:$J,'Schedule 2F Adjustments'!$A53)</f>
        <v>0</v>
      </c>
      <c r="X53" s="305">
        <f t="shared" si="6"/>
        <v>0</v>
      </c>
      <c r="Y53" s="119">
        <f>'As-Filed Schedule 2F'!O53</f>
        <v>0</v>
      </c>
      <c r="Z53" s="309">
        <f>SUMIFS(Adjustments!$G:$G,Adjustments!$H:$H,"2F",Adjustments!$I:$I,'Schedule 2F Adjustments'!$Y$12,Adjustments!$J:$J,'Schedule 2F Adjustments'!$A53)</f>
        <v>0</v>
      </c>
      <c r="AA53" s="305">
        <f t="shared" si="7"/>
        <v>0</v>
      </c>
    </row>
    <row r="54" spans="1:27" x14ac:dyDescent="0.35">
      <c r="A54" s="24">
        <v>40</v>
      </c>
      <c r="B54" s="514" t="str">
        <f>IF('As-Filed Schedule 2F'!B54:D54=0,"",'As-Filed Schedule 2F'!B54:D54)</f>
        <v/>
      </c>
      <c r="C54" s="514"/>
      <c r="D54" s="514"/>
      <c r="F54" s="117">
        <f>'As-Filed Schedule 2F'!F54</f>
        <v>0</v>
      </c>
      <c r="G54" s="309">
        <f>SUMIFS(Adjustments!$G:$G,Adjustments!$H:$H,"2F",Adjustments!$I:$I,'Schedule 2F Adjustments'!$F$12,Adjustments!$J:$J,'Schedule 2F Adjustments'!$A54)</f>
        <v>0</v>
      </c>
      <c r="H54" s="305">
        <f t="shared" si="0"/>
        <v>0</v>
      </c>
      <c r="I54" s="68">
        <f>IFERROR(F54*'As-Filed Schedule 1'!$E$103,0)</f>
        <v>0</v>
      </c>
      <c r="J54" s="306">
        <f>IFERROR(H54*'Adjusted Schedule 1'!$E$104,0)</f>
        <v>0</v>
      </c>
      <c r="K54" s="68">
        <f t="shared" si="1"/>
        <v>0</v>
      </c>
      <c r="L54" s="306">
        <f t="shared" si="2"/>
        <v>0</v>
      </c>
      <c r="N54" s="117">
        <f>'As-Filed Schedule 2F'!J54</f>
        <v>0</v>
      </c>
      <c r="O54" s="309">
        <f>SUMIFS(Adjustments!$G:$G,Adjustments!$H:$H,"2F",Adjustments!$I:$I,'Schedule 2F Adjustments'!$N$12,Adjustments!$J:$J,'Schedule 2F Adjustments'!$A54)</f>
        <v>0</v>
      </c>
      <c r="P54" s="305">
        <f t="shared" si="3"/>
        <v>0</v>
      </c>
      <c r="Q54" s="68">
        <f>IFERROR(N54*'As-Filed Schedule 1'!$E$103,0)</f>
        <v>0</v>
      </c>
      <c r="R54" s="68">
        <f>IFERROR(P54*'Adjusted Schedule 1'!$E$104,0)</f>
        <v>0</v>
      </c>
      <c r="S54" s="68">
        <f t="shared" si="4"/>
        <v>0</v>
      </c>
      <c r="T54" s="306">
        <f t="shared" si="5"/>
        <v>0</v>
      </c>
      <c r="V54" s="119">
        <f>'As-Filed Schedule 2F'!N54</f>
        <v>0</v>
      </c>
      <c r="W54" s="309">
        <f>SUMIFS(Adjustments!$G:$G,Adjustments!$H:$H,"2F",Adjustments!$I:$I,'Schedule 2F Adjustments'!$V$12,Adjustments!$J:$J,'Schedule 2F Adjustments'!$A54)</f>
        <v>0</v>
      </c>
      <c r="X54" s="305">
        <f t="shared" si="6"/>
        <v>0</v>
      </c>
      <c r="Y54" s="119">
        <f>'As-Filed Schedule 2F'!O54</f>
        <v>0</v>
      </c>
      <c r="Z54" s="309">
        <f>SUMIFS(Adjustments!$G:$G,Adjustments!$H:$H,"2F",Adjustments!$I:$I,'Schedule 2F Adjustments'!$Y$12,Adjustments!$J:$J,'Schedule 2F Adjustments'!$A54)</f>
        <v>0</v>
      </c>
      <c r="AA54" s="305">
        <f t="shared" si="7"/>
        <v>0</v>
      </c>
    </row>
    <row r="55" spans="1:27" x14ac:dyDescent="0.35">
      <c r="A55" s="24">
        <v>41</v>
      </c>
      <c r="B55" s="514" t="str">
        <f>IF('As-Filed Schedule 2F'!B55:D55=0,"",'As-Filed Schedule 2F'!B55:D55)</f>
        <v/>
      </c>
      <c r="C55" s="514"/>
      <c r="D55" s="514"/>
      <c r="F55" s="117">
        <f>'As-Filed Schedule 2F'!F55</f>
        <v>0</v>
      </c>
      <c r="G55" s="309">
        <f>SUMIFS(Adjustments!$G:$G,Adjustments!$H:$H,"2F",Adjustments!$I:$I,'Schedule 2F Adjustments'!$F$12,Adjustments!$J:$J,'Schedule 2F Adjustments'!$A55)</f>
        <v>0</v>
      </c>
      <c r="H55" s="305">
        <f t="shared" si="0"/>
        <v>0</v>
      </c>
      <c r="I55" s="68">
        <f>IFERROR(F55*'As-Filed Schedule 1'!$E$103,0)</f>
        <v>0</v>
      </c>
      <c r="J55" s="306">
        <f>IFERROR(H55*'Adjusted Schedule 1'!$E$104,0)</f>
        <v>0</v>
      </c>
      <c r="K55" s="68">
        <f t="shared" si="1"/>
        <v>0</v>
      </c>
      <c r="L55" s="306">
        <f t="shared" si="2"/>
        <v>0</v>
      </c>
      <c r="N55" s="117">
        <f>'As-Filed Schedule 2F'!J55</f>
        <v>0</v>
      </c>
      <c r="O55" s="309">
        <f>SUMIFS(Adjustments!$G:$G,Adjustments!$H:$H,"2F",Adjustments!$I:$I,'Schedule 2F Adjustments'!$N$12,Adjustments!$J:$J,'Schedule 2F Adjustments'!$A55)</f>
        <v>0</v>
      </c>
      <c r="P55" s="305">
        <f t="shared" si="3"/>
        <v>0</v>
      </c>
      <c r="Q55" s="68">
        <f>IFERROR(N55*'As-Filed Schedule 1'!$E$103,0)</f>
        <v>0</v>
      </c>
      <c r="R55" s="68">
        <f>IFERROR(P55*'Adjusted Schedule 1'!$E$104,0)</f>
        <v>0</v>
      </c>
      <c r="S55" s="68">
        <f t="shared" si="4"/>
        <v>0</v>
      </c>
      <c r="T55" s="306">
        <f t="shared" si="5"/>
        <v>0</v>
      </c>
      <c r="V55" s="119">
        <f>'As-Filed Schedule 2F'!N55</f>
        <v>0</v>
      </c>
      <c r="W55" s="309">
        <f>SUMIFS(Adjustments!$G:$G,Adjustments!$H:$H,"2F",Adjustments!$I:$I,'Schedule 2F Adjustments'!$V$12,Adjustments!$J:$J,'Schedule 2F Adjustments'!$A55)</f>
        <v>0</v>
      </c>
      <c r="X55" s="305">
        <f t="shared" si="6"/>
        <v>0</v>
      </c>
      <c r="Y55" s="119">
        <f>'As-Filed Schedule 2F'!O55</f>
        <v>0</v>
      </c>
      <c r="Z55" s="309">
        <f>SUMIFS(Adjustments!$G:$G,Adjustments!$H:$H,"2F",Adjustments!$I:$I,'Schedule 2F Adjustments'!$Y$12,Adjustments!$J:$J,'Schedule 2F Adjustments'!$A55)</f>
        <v>0</v>
      </c>
      <c r="AA55" s="305">
        <f t="shared" si="7"/>
        <v>0</v>
      </c>
    </row>
    <row r="56" spans="1:27" x14ac:dyDescent="0.35">
      <c r="A56" s="24">
        <v>42</v>
      </c>
      <c r="B56" s="514" t="str">
        <f>IF('As-Filed Schedule 2F'!B56:D56=0,"",'As-Filed Schedule 2F'!B56:D56)</f>
        <v/>
      </c>
      <c r="C56" s="514"/>
      <c r="D56" s="514"/>
      <c r="F56" s="117">
        <f>'As-Filed Schedule 2F'!F56</f>
        <v>0</v>
      </c>
      <c r="G56" s="309">
        <f>SUMIFS(Adjustments!$G:$G,Adjustments!$H:$H,"2F",Adjustments!$I:$I,'Schedule 2F Adjustments'!$F$12,Adjustments!$J:$J,'Schedule 2F Adjustments'!$A56)</f>
        <v>0</v>
      </c>
      <c r="H56" s="305">
        <f t="shared" si="0"/>
        <v>0</v>
      </c>
      <c r="I56" s="68">
        <f>IFERROR(F56*'As-Filed Schedule 1'!$E$103,0)</f>
        <v>0</v>
      </c>
      <c r="J56" s="306">
        <f>IFERROR(H56*'Adjusted Schedule 1'!$E$104,0)</f>
        <v>0</v>
      </c>
      <c r="K56" s="68">
        <f t="shared" si="1"/>
        <v>0</v>
      </c>
      <c r="L56" s="306">
        <f t="shared" si="2"/>
        <v>0</v>
      </c>
      <c r="N56" s="117">
        <f>'As-Filed Schedule 2F'!J56</f>
        <v>0</v>
      </c>
      <c r="O56" s="309">
        <f>SUMIFS(Adjustments!$G:$G,Adjustments!$H:$H,"2F",Adjustments!$I:$I,'Schedule 2F Adjustments'!$N$12,Adjustments!$J:$J,'Schedule 2F Adjustments'!$A56)</f>
        <v>0</v>
      </c>
      <c r="P56" s="305">
        <f t="shared" si="3"/>
        <v>0</v>
      </c>
      <c r="Q56" s="68">
        <f>IFERROR(N56*'As-Filed Schedule 1'!$E$103,0)</f>
        <v>0</v>
      </c>
      <c r="R56" s="68">
        <f>IFERROR(P56*'Adjusted Schedule 1'!$E$104,0)</f>
        <v>0</v>
      </c>
      <c r="S56" s="68">
        <f t="shared" si="4"/>
        <v>0</v>
      </c>
      <c r="T56" s="306">
        <f t="shared" si="5"/>
        <v>0</v>
      </c>
      <c r="V56" s="119">
        <f>'As-Filed Schedule 2F'!N56</f>
        <v>0</v>
      </c>
      <c r="W56" s="309">
        <f>SUMIFS(Adjustments!$G:$G,Adjustments!$H:$H,"2F",Adjustments!$I:$I,'Schedule 2F Adjustments'!$V$12,Adjustments!$J:$J,'Schedule 2F Adjustments'!$A56)</f>
        <v>0</v>
      </c>
      <c r="X56" s="305">
        <f t="shared" si="6"/>
        <v>0</v>
      </c>
      <c r="Y56" s="119">
        <f>'As-Filed Schedule 2F'!O56</f>
        <v>0</v>
      </c>
      <c r="Z56" s="309">
        <f>SUMIFS(Adjustments!$G:$G,Adjustments!$H:$H,"2F",Adjustments!$I:$I,'Schedule 2F Adjustments'!$Y$12,Adjustments!$J:$J,'Schedule 2F Adjustments'!$A56)</f>
        <v>0</v>
      </c>
      <c r="AA56" s="305">
        <f t="shared" si="7"/>
        <v>0</v>
      </c>
    </row>
    <row r="57" spans="1:27" x14ac:dyDescent="0.35">
      <c r="A57" s="24">
        <v>43</v>
      </c>
      <c r="B57" s="514" t="str">
        <f>IF('As-Filed Schedule 2F'!B57:D57=0,"",'As-Filed Schedule 2F'!B57:D57)</f>
        <v/>
      </c>
      <c r="C57" s="514"/>
      <c r="D57" s="514"/>
      <c r="F57" s="117">
        <f>'As-Filed Schedule 2F'!F57</f>
        <v>0</v>
      </c>
      <c r="G57" s="309">
        <f>SUMIFS(Adjustments!$G:$G,Adjustments!$H:$H,"2F",Adjustments!$I:$I,'Schedule 2F Adjustments'!$F$12,Adjustments!$J:$J,'Schedule 2F Adjustments'!$A57)</f>
        <v>0</v>
      </c>
      <c r="H57" s="305">
        <f t="shared" si="0"/>
        <v>0</v>
      </c>
      <c r="I57" s="68">
        <f>IFERROR(F57*'As-Filed Schedule 1'!$E$103,0)</f>
        <v>0</v>
      </c>
      <c r="J57" s="306">
        <f>IFERROR(H57*'Adjusted Schedule 1'!$E$104,0)</f>
        <v>0</v>
      </c>
      <c r="K57" s="68">
        <f t="shared" si="1"/>
        <v>0</v>
      </c>
      <c r="L57" s="306">
        <f t="shared" si="2"/>
        <v>0</v>
      </c>
      <c r="N57" s="117">
        <f>'As-Filed Schedule 2F'!J57</f>
        <v>0</v>
      </c>
      <c r="O57" s="309">
        <f>SUMIFS(Adjustments!$G:$G,Adjustments!$H:$H,"2F",Adjustments!$I:$I,'Schedule 2F Adjustments'!$N$12,Adjustments!$J:$J,'Schedule 2F Adjustments'!$A57)</f>
        <v>0</v>
      </c>
      <c r="P57" s="305">
        <f t="shared" si="3"/>
        <v>0</v>
      </c>
      <c r="Q57" s="68">
        <f>IFERROR(N57*'As-Filed Schedule 1'!$E$103,0)</f>
        <v>0</v>
      </c>
      <c r="R57" s="68">
        <f>IFERROR(P57*'Adjusted Schedule 1'!$E$104,0)</f>
        <v>0</v>
      </c>
      <c r="S57" s="68">
        <f t="shared" si="4"/>
        <v>0</v>
      </c>
      <c r="T57" s="306">
        <f t="shared" si="5"/>
        <v>0</v>
      </c>
      <c r="V57" s="119">
        <f>'As-Filed Schedule 2F'!N57</f>
        <v>0</v>
      </c>
      <c r="W57" s="309">
        <f>SUMIFS(Adjustments!$G:$G,Adjustments!$H:$H,"2F",Adjustments!$I:$I,'Schedule 2F Adjustments'!$V$12,Adjustments!$J:$J,'Schedule 2F Adjustments'!$A57)</f>
        <v>0</v>
      </c>
      <c r="X57" s="305">
        <f t="shared" si="6"/>
        <v>0</v>
      </c>
      <c r="Y57" s="119">
        <f>'As-Filed Schedule 2F'!O57</f>
        <v>0</v>
      </c>
      <c r="Z57" s="309">
        <f>SUMIFS(Adjustments!$G:$G,Adjustments!$H:$H,"2F",Adjustments!$I:$I,'Schedule 2F Adjustments'!$Y$12,Adjustments!$J:$J,'Schedule 2F Adjustments'!$A57)</f>
        <v>0</v>
      </c>
      <c r="AA57" s="305">
        <f t="shared" si="7"/>
        <v>0</v>
      </c>
    </row>
    <row r="58" spans="1:27" x14ac:dyDescent="0.35">
      <c r="A58" s="24">
        <v>44</v>
      </c>
      <c r="B58" s="514" t="str">
        <f>IF('As-Filed Schedule 2F'!B58:D58=0,"",'As-Filed Schedule 2F'!B58:D58)</f>
        <v/>
      </c>
      <c r="C58" s="514"/>
      <c r="D58" s="514"/>
      <c r="F58" s="117">
        <f>'As-Filed Schedule 2F'!F58</f>
        <v>0</v>
      </c>
      <c r="G58" s="309">
        <f>SUMIFS(Adjustments!$G:$G,Adjustments!$H:$H,"2F",Adjustments!$I:$I,'Schedule 2F Adjustments'!$F$12,Adjustments!$J:$J,'Schedule 2F Adjustments'!$A58)</f>
        <v>0</v>
      </c>
      <c r="H58" s="305">
        <f t="shared" si="0"/>
        <v>0</v>
      </c>
      <c r="I58" s="68">
        <f>IFERROR(F58*'As-Filed Schedule 1'!$E$103,0)</f>
        <v>0</v>
      </c>
      <c r="J58" s="306">
        <f>IFERROR(H58*'Adjusted Schedule 1'!$E$104,0)</f>
        <v>0</v>
      </c>
      <c r="K58" s="68">
        <f t="shared" si="1"/>
        <v>0</v>
      </c>
      <c r="L58" s="306">
        <f t="shared" si="2"/>
        <v>0</v>
      </c>
      <c r="N58" s="117">
        <f>'As-Filed Schedule 2F'!J58</f>
        <v>0</v>
      </c>
      <c r="O58" s="309">
        <f>SUMIFS(Adjustments!$G:$G,Adjustments!$H:$H,"2F",Adjustments!$I:$I,'Schedule 2F Adjustments'!$N$12,Adjustments!$J:$J,'Schedule 2F Adjustments'!$A58)</f>
        <v>0</v>
      </c>
      <c r="P58" s="305">
        <f t="shared" si="3"/>
        <v>0</v>
      </c>
      <c r="Q58" s="68">
        <f>IFERROR(N58*'As-Filed Schedule 1'!$E$103,0)</f>
        <v>0</v>
      </c>
      <c r="R58" s="68">
        <f>IFERROR(P58*'Adjusted Schedule 1'!$E$104,0)</f>
        <v>0</v>
      </c>
      <c r="S58" s="68">
        <f t="shared" si="4"/>
        <v>0</v>
      </c>
      <c r="T58" s="306">
        <f t="shared" si="5"/>
        <v>0</v>
      </c>
      <c r="V58" s="119">
        <f>'As-Filed Schedule 2F'!N58</f>
        <v>0</v>
      </c>
      <c r="W58" s="309">
        <f>SUMIFS(Adjustments!$G:$G,Adjustments!$H:$H,"2F",Adjustments!$I:$I,'Schedule 2F Adjustments'!$V$12,Adjustments!$J:$J,'Schedule 2F Adjustments'!$A58)</f>
        <v>0</v>
      </c>
      <c r="X58" s="305">
        <f t="shared" si="6"/>
        <v>0</v>
      </c>
      <c r="Y58" s="119">
        <f>'As-Filed Schedule 2F'!O58</f>
        <v>0</v>
      </c>
      <c r="Z58" s="309">
        <f>SUMIFS(Adjustments!$G:$G,Adjustments!$H:$H,"2F",Adjustments!$I:$I,'Schedule 2F Adjustments'!$Y$12,Adjustments!$J:$J,'Schedule 2F Adjustments'!$A58)</f>
        <v>0</v>
      </c>
      <c r="AA58" s="305">
        <f t="shared" si="7"/>
        <v>0</v>
      </c>
    </row>
    <row r="59" spans="1:27" x14ac:dyDescent="0.35">
      <c r="A59" s="24">
        <v>45</v>
      </c>
      <c r="B59" s="514" t="str">
        <f>IF('As-Filed Schedule 2F'!B59:D59=0,"",'As-Filed Schedule 2F'!B59:D59)</f>
        <v/>
      </c>
      <c r="C59" s="514"/>
      <c r="D59" s="514"/>
      <c r="F59" s="117">
        <f>'As-Filed Schedule 2F'!F59</f>
        <v>0</v>
      </c>
      <c r="G59" s="309">
        <f>SUMIFS(Adjustments!$G:$G,Adjustments!$H:$H,"2F",Adjustments!$I:$I,'Schedule 2F Adjustments'!$F$12,Adjustments!$J:$J,'Schedule 2F Adjustments'!$A59)</f>
        <v>0</v>
      </c>
      <c r="H59" s="305">
        <f t="shared" si="0"/>
        <v>0</v>
      </c>
      <c r="I59" s="68">
        <f>IFERROR(F59*'As-Filed Schedule 1'!$E$103,0)</f>
        <v>0</v>
      </c>
      <c r="J59" s="306">
        <f>IFERROR(H59*'Adjusted Schedule 1'!$E$104,0)</f>
        <v>0</v>
      </c>
      <c r="K59" s="68">
        <f t="shared" si="1"/>
        <v>0</v>
      </c>
      <c r="L59" s="306">
        <f t="shared" si="2"/>
        <v>0</v>
      </c>
      <c r="N59" s="117">
        <f>'As-Filed Schedule 2F'!J59</f>
        <v>0</v>
      </c>
      <c r="O59" s="309">
        <f>SUMIFS(Adjustments!$G:$G,Adjustments!$H:$H,"2F",Adjustments!$I:$I,'Schedule 2F Adjustments'!$N$12,Adjustments!$J:$J,'Schedule 2F Adjustments'!$A59)</f>
        <v>0</v>
      </c>
      <c r="P59" s="305">
        <f t="shared" si="3"/>
        <v>0</v>
      </c>
      <c r="Q59" s="68">
        <f>IFERROR(N59*'As-Filed Schedule 1'!$E$103,0)</f>
        <v>0</v>
      </c>
      <c r="R59" s="68">
        <f>IFERROR(P59*'Adjusted Schedule 1'!$E$104,0)</f>
        <v>0</v>
      </c>
      <c r="S59" s="68">
        <f t="shared" si="4"/>
        <v>0</v>
      </c>
      <c r="T59" s="306">
        <f t="shared" si="5"/>
        <v>0</v>
      </c>
      <c r="V59" s="119">
        <f>'As-Filed Schedule 2F'!N59</f>
        <v>0</v>
      </c>
      <c r="W59" s="309">
        <f>SUMIFS(Adjustments!$G:$G,Adjustments!$H:$H,"2F",Adjustments!$I:$I,'Schedule 2F Adjustments'!$V$12,Adjustments!$J:$J,'Schedule 2F Adjustments'!$A59)</f>
        <v>0</v>
      </c>
      <c r="X59" s="305">
        <f t="shared" si="6"/>
        <v>0</v>
      </c>
      <c r="Y59" s="119">
        <f>'As-Filed Schedule 2F'!O59</f>
        <v>0</v>
      </c>
      <c r="Z59" s="309">
        <f>SUMIFS(Adjustments!$G:$G,Adjustments!$H:$H,"2F",Adjustments!$I:$I,'Schedule 2F Adjustments'!$Y$12,Adjustments!$J:$J,'Schedule 2F Adjustments'!$A59)</f>
        <v>0</v>
      </c>
      <c r="AA59" s="305">
        <f t="shared" si="7"/>
        <v>0</v>
      </c>
    </row>
    <row r="60" spans="1:27" x14ac:dyDescent="0.35">
      <c r="A60" s="24">
        <v>46</v>
      </c>
      <c r="B60" s="514" t="str">
        <f>IF('As-Filed Schedule 2F'!B60:D60=0,"",'As-Filed Schedule 2F'!B60:D60)</f>
        <v/>
      </c>
      <c r="C60" s="514"/>
      <c r="D60" s="514"/>
      <c r="F60" s="117">
        <f>'As-Filed Schedule 2F'!F60</f>
        <v>0</v>
      </c>
      <c r="G60" s="309">
        <f>SUMIFS(Adjustments!$G:$G,Adjustments!$H:$H,"2F",Adjustments!$I:$I,'Schedule 2F Adjustments'!$F$12,Adjustments!$J:$J,'Schedule 2F Adjustments'!$A60)</f>
        <v>0</v>
      </c>
      <c r="H60" s="305">
        <f t="shared" si="0"/>
        <v>0</v>
      </c>
      <c r="I60" s="68">
        <f>IFERROR(F60*'As-Filed Schedule 1'!$E$103,0)</f>
        <v>0</v>
      </c>
      <c r="J60" s="306">
        <f>IFERROR(H60*'Adjusted Schedule 1'!$E$104,0)</f>
        <v>0</v>
      </c>
      <c r="K60" s="68">
        <f t="shared" si="1"/>
        <v>0</v>
      </c>
      <c r="L60" s="306">
        <f t="shared" si="2"/>
        <v>0</v>
      </c>
      <c r="N60" s="117">
        <f>'As-Filed Schedule 2F'!J60</f>
        <v>0</v>
      </c>
      <c r="O60" s="309">
        <f>SUMIFS(Adjustments!$G:$G,Adjustments!$H:$H,"2F",Adjustments!$I:$I,'Schedule 2F Adjustments'!$N$12,Adjustments!$J:$J,'Schedule 2F Adjustments'!$A60)</f>
        <v>0</v>
      </c>
      <c r="P60" s="305">
        <f t="shared" si="3"/>
        <v>0</v>
      </c>
      <c r="Q60" s="68">
        <f>IFERROR(N60*'As-Filed Schedule 1'!$E$103,0)</f>
        <v>0</v>
      </c>
      <c r="R60" s="68">
        <f>IFERROR(P60*'Adjusted Schedule 1'!$E$104,0)</f>
        <v>0</v>
      </c>
      <c r="S60" s="68">
        <f t="shared" si="4"/>
        <v>0</v>
      </c>
      <c r="T60" s="306">
        <f t="shared" si="5"/>
        <v>0</v>
      </c>
      <c r="V60" s="119">
        <f>'As-Filed Schedule 2F'!N60</f>
        <v>0</v>
      </c>
      <c r="W60" s="309">
        <f>SUMIFS(Adjustments!$G:$G,Adjustments!$H:$H,"2F",Adjustments!$I:$I,'Schedule 2F Adjustments'!$V$12,Adjustments!$J:$J,'Schedule 2F Adjustments'!$A60)</f>
        <v>0</v>
      </c>
      <c r="X60" s="305">
        <f t="shared" si="6"/>
        <v>0</v>
      </c>
      <c r="Y60" s="119">
        <f>'As-Filed Schedule 2F'!O60</f>
        <v>0</v>
      </c>
      <c r="Z60" s="309">
        <f>SUMIFS(Adjustments!$G:$G,Adjustments!$H:$H,"2F",Adjustments!$I:$I,'Schedule 2F Adjustments'!$Y$12,Adjustments!$J:$J,'Schedule 2F Adjustments'!$A60)</f>
        <v>0</v>
      </c>
      <c r="AA60" s="305">
        <f t="shared" si="7"/>
        <v>0</v>
      </c>
    </row>
    <row r="61" spans="1:27" x14ac:dyDescent="0.35">
      <c r="A61" s="24">
        <v>47</v>
      </c>
      <c r="B61" s="514" t="str">
        <f>IF('As-Filed Schedule 2F'!B61:D61=0,"",'As-Filed Schedule 2F'!B61:D61)</f>
        <v/>
      </c>
      <c r="C61" s="514"/>
      <c r="D61" s="514"/>
      <c r="F61" s="117">
        <f>'As-Filed Schedule 2F'!F61</f>
        <v>0</v>
      </c>
      <c r="G61" s="309">
        <f>SUMIFS(Adjustments!$G:$G,Adjustments!$H:$H,"2F",Adjustments!$I:$I,'Schedule 2F Adjustments'!$F$12,Adjustments!$J:$J,'Schedule 2F Adjustments'!$A61)</f>
        <v>0</v>
      </c>
      <c r="H61" s="305">
        <f t="shared" si="0"/>
        <v>0</v>
      </c>
      <c r="I61" s="68">
        <f>IFERROR(F61*'As-Filed Schedule 1'!$E$103,0)</f>
        <v>0</v>
      </c>
      <c r="J61" s="306">
        <f>IFERROR(H61*'Adjusted Schedule 1'!$E$104,0)</f>
        <v>0</v>
      </c>
      <c r="K61" s="68">
        <f t="shared" si="1"/>
        <v>0</v>
      </c>
      <c r="L61" s="306">
        <f t="shared" si="2"/>
        <v>0</v>
      </c>
      <c r="N61" s="117">
        <f>'As-Filed Schedule 2F'!J61</f>
        <v>0</v>
      </c>
      <c r="O61" s="309">
        <f>SUMIFS(Adjustments!$G:$G,Adjustments!$H:$H,"2F",Adjustments!$I:$I,'Schedule 2F Adjustments'!$N$12,Adjustments!$J:$J,'Schedule 2F Adjustments'!$A61)</f>
        <v>0</v>
      </c>
      <c r="P61" s="305">
        <f t="shared" si="3"/>
        <v>0</v>
      </c>
      <c r="Q61" s="68">
        <f>IFERROR(N61*'As-Filed Schedule 1'!$E$103,0)</f>
        <v>0</v>
      </c>
      <c r="R61" s="68">
        <f>IFERROR(P61*'Adjusted Schedule 1'!$E$104,0)</f>
        <v>0</v>
      </c>
      <c r="S61" s="68">
        <f t="shared" si="4"/>
        <v>0</v>
      </c>
      <c r="T61" s="306">
        <f t="shared" si="5"/>
        <v>0</v>
      </c>
      <c r="V61" s="119">
        <f>'As-Filed Schedule 2F'!N61</f>
        <v>0</v>
      </c>
      <c r="W61" s="309">
        <f>SUMIFS(Adjustments!$G:$G,Adjustments!$H:$H,"2F",Adjustments!$I:$I,'Schedule 2F Adjustments'!$V$12,Adjustments!$J:$J,'Schedule 2F Adjustments'!$A61)</f>
        <v>0</v>
      </c>
      <c r="X61" s="305">
        <f t="shared" si="6"/>
        <v>0</v>
      </c>
      <c r="Y61" s="119">
        <f>'As-Filed Schedule 2F'!O61</f>
        <v>0</v>
      </c>
      <c r="Z61" s="309">
        <f>SUMIFS(Adjustments!$G:$G,Adjustments!$H:$H,"2F",Adjustments!$I:$I,'Schedule 2F Adjustments'!$Y$12,Adjustments!$J:$J,'Schedule 2F Adjustments'!$A61)</f>
        <v>0</v>
      </c>
      <c r="AA61" s="305">
        <f t="shared" si="7"/>
        <v>0</v>
      </c>
    </row>
    <row r="62" spans="1:27" x14ac:dyDescent="0.35">
      <c r="A62" s="24">
        <v>48</v>
      </c>
      <c r="B62" s="514" t="str">
        <f>IF('As-Filed Schedule 2F'!B62:D62=0,"",'As-Filed Schedule 2F'!B62:D62)</f>
        <v/>
      </c>
      <c r="C62" s="514"/>
      <c r="D62" s="514"/>
      <c r="F62" s="117">
        <f>'As-Filed Schedule 2F'!F62</f>
        <v>0</v>
      </c>
      <c r="G62" s="309">
        <f>SUMIFS(Adjustments!$G:$G,Adjustments!$H:$H,"2F",Adjustments!$I:$I,'Schedule 2F Adjustments'!$F$12,Adjustments!$J:$J,'Schedule 2F Adjustments'!$A62)</f>
        <v>0</v>
      </c>
      <c r="H62" s="305">
        <f t="shared" si="0"/>
        <v>0</v>
      </c>
      <c r="I62" s="68">
        <f>IFERROR(F62*'As-Filed Schedule 1'!$E$103,0)</f>
        <v>0</v>
      </c>
      <c r="J62" s="306">
        <f>IFERROR(H62*'Adjusted Schedule 1'!$E$104,0)</f>
        <v>0</v>
      </c>
      <c r="K62" s="68">
        <f t="shared" si="1"/>
        <v>0</v>
      </c>
      <c r="L62" s="306">
        <f t="shared" si="2"/>
        <v>0</v>
      </c>
      <c r="N62" s="117">
        <f>'As-Filed Schedule 2F'!J62</f>
        <v>0</v>
      </c>
      <c r="O62" s="309">
        <f>SUMIFS(Adjustments!$G:$G,Adjustments!$H:$H,"2F",Adjustments!$I:$I,'Schedule 2F Adjustments'!$N$12,Adjustments!$J:$J,'Schedule 2F Adjustments'!$A62)</f>
        <v>0</v>
      </c>
      <c r="P62" s="305">
        <f t="shared" si="3"/>
        <v>0</v>
      </c>
      <c r="Q62" s="68">
        <f>IFERROR(N62*'As-Filed Schedule 1'!$E$103,0)</f>
        <v>0</v>
      </c>
      <c r="R62" s="68">
        <f>IFERROR(P62*'Adjusted Schedule 1'!$E$104,0)</f>
        <v>0</v>
      </c>
      <c r="S62" s="68">
        <f t="shared" si="4"/>
        <v>0</v>
      </c>
      <c r="T62" s="306">
        <f t="shared" si="5"/>
        <v>0</v>
      </c>
      <c r="V62" s="119">
        <f>'As-Filed Schedule 2F'!N62</f>
        <v>0</v>
      </c>
      <c r="W62" s="309">
        <f>SUMIFS(Adjustments!$G:$G,Adjustments!$H:$H,"2F",Adjustments!$I:$I,'Schedule 2F Adjustments'!$V$12,Adjustments!$J:$J,'Schedule 2F Adjustments'!$A62)</f>
        <v>0</v>
      </c>
      <c r="X62" s="305">
        <f t="shared" si="6"/>
        <v>0</v>
      </c>
      <c r="Y62" s="119">
        <f>'As-Filed Schedule 2F'!O62</f>
        <v>0</v>
      </c>
      <c r="Z62" s="309">
        <f>SUMIFS(Adjustments!$G:$G,Adjustments!$H:$H,"2F",Adjustments!$I:$I,'Schedule 2F Adjustments'!$Y$12,Adjustments!$J:$J,'Schedule 2F Adjustments'!$A62)</f>
        <v>0</v>
      </c>
      <c r="AA62" s="305">
        <f t="shared" si="7"/>
        <v>0</v>
      </c>
    </row>
    <row r="63" spans="1:27" x14ac:dyDescent="0.35">
      <c r="A63" s="24">
        <v>49</v>
      </c>
      <c r="B63" s="514" t="str">
        <f>IF('As-Filed Schedule 2F'!B63:D63=0,"",'As-Filed Schedule 2F'!B63:D63)</f>
        <v/>
      </c>
      <c r="C63" s="514"/>
      <c r="D63" s="514"/>
      <c r="F63" s="117">
        <f>'As-Filed Schedule 2F'!F63</f>
        <v>0</v>
      </c>
      <c r="G63" s="309">
        <f>SUMIFS(Adjustments!$G:$G,Adjustments!$H:$H,"2F",Adjustments!$I:$I,'Schedule 2F Adjustments'!$F$12,Adjustments!$J:$J,'Schedule 2F Adjustments'!$A63)</f>
        <v>0</v>
      </c>
      <c r="H63" s="305">
        <f t="shared" si="0"/>
        <v>0</v>
      </c>
      <c r="I63" s="68">
        <f>IFERROR(F63*'As-Filed Schedule 1'!$E$103,0)</f>
        <v>0</v>
      </c>
      <c r="J63" s="306">
        <f>IFERROR(H63*'Adjusted Schedule 1'!$E$104,0)</f>
        <v>0</v>
      </c>
      <c r="K63" s="68">
        <f t="shared" si="1"/>
        <v>0</v>
      </c>
      <c r="L63" s="306">
        <f t="shared" si="2"/>
        <v>0</v>
      </c>
      <c r="N63" s="117">
        <f>'As-Filed Schedule 2F'!J63</f>
        <v>0</v>
      </c>
      <c r="O63" s="309">
        <f>SUMIFS(Adjustments!$G:$G,Adjustments!$H:$H,"2F",Adjustments!$I:$I,'Schedule 2F Adjustments'!$N$12,Adjustments!$J:$J,'Schedule 2F Adjustments'!$A63)</f>
        <v>0</v>
      </c>
      <c r="P63" s="305">
        <f t="shared" si="3"/>
        <v>0</v>
      </c>
      <c r="Q63" s="68">
        <f>IFERROR(N63*'As-Filed Schedule 1'!$E$103,0)</f>
        <v>0</v>
      </c>
      <c r="R63" s="68">
        <f>IFERROR(P63*'Adjusted Schedule 1'!$E$104,0)</f>
        <v>0</v>
      </c>
      <c r="S63" s="68">
        <f t="shared" si="4"/>
        <v>0</v>
      </c>
      <c r="T63" s="306">
        <f t="shared" si="5"/>
        <v>0</v>
      </c>
      <c r="V63" s="119">
        <f>'As-Filed Schedule 2F'!N63</f>
        <v>0</v>
      </c>
      <c r="W63" s="309">
        <f>SUMIFS(Adjustments!$G:$G,Adjustments!$H:$H,"2F",Adjustments!$I:$I,'Schedule 2F Adjustments'!$V$12,Adjustments!$J:$J,'Schedule 2F Adjustments'!$A63)</f>
        <v>0</v>
      </c>
      <c r="X63" s="305">
        <f t="shared" si="6"/>
        <v>0</v>
      </c>
      <c r="Y63" s="119">
        <f>'As-Filed Schedule 2F'!O63</f>
        <v>0</v>
      </c>
      <c r="Z63" s="309">
        <f>SUMIFS(Adjustments!$G:$G,Adjustments!$H:$H,"2F",Adjustments!$I:$I,'Schedule 2F Adjustments'!$Y$12,Adjustments!$J:$J,'Schedule 2F Adjustments'!$A63)</f>
        <v>0</v>
      </c>
      <c r="AA63" s="305">
        <f t="shared" si="7"/>
        <v>0</v>
      </c>
    </row>
    <row r="64" spans="1:27" x14ac:dyDescent="0.35">
      <c r="A64" s="24">
        <v>50</v>
      </c>
      <c r="B64" s="514" t="str">
        <f>IF('As-Filed Schedule 2F'!B64:D64=0,"",'As-Filed Schedule 2F'!B64:D64)</f>
        <v/>
      </c>
      <c r="C64" s="514"/>
      <c r="D64" s="514"/>
      <c r="F64" s="117">
        <f>'As-Filed Schedule 2F'!F64</f>
        <v>0</v>
      </c>
      <c r="G64" s="309">
        <f>SUMIFS(Adjustments!$G:$G,Adjustments!$H:$H,"2F",Adjustments!$I:$I,'Schedule 2F Adjustments'!$F$12,Adjustments!$J:$J,'Schedule 2F Adjustments'!$A64)</f>
        <v>0</v>
      </c>
      <c r="H64" s="305">
        <f t="shared" si="0"/>
        <v>0</v>
      </c>
      <c r="I64" s="68">
        <f>IFERROR(F64*'As-Filed Schedule 1'!$E$103,0)</f>
        <v>0</v>
      </c>
      <c r="J64" s="306">
        <f>IFERROR(H64*'Adjusted Schedule 1'!$E$104,0)</f>
        <v>0</v>
      </c>
      <c r="K64" s="68">
        <f t="shared" si="1"/>
        <v>0</v>
      </c>
      <c r="L64" s="306">
        <f t="shared" si="2"/>
        <v>0</v>
      </c>
      <c r="N64" s="117">
        <f>'As-Filed Schedule 2F'!J64</f>
        <v>0</v>
      </c>
      <c r="O64" s="309">
        <f>SUMIFS(Adjustments!$G:$G,Adjustments!$H:$H,"2F",Adjustments!$I:$I,'Schedule 2F Adjustments'!$N$12,Adjustments!$J:$J,'Schedule 2F Adjustments'!$A64)</f>
        <v>0</v>
      </c>
      <c r="P64" s="305">
        <f t="shared" si="3"/>
        <v>0</v>
      </c>
      <c r="Q64" s="68">
        <f>IFERROR(N64*'As-Filed Schedule 1'!$E$103,0)</f>
        <v>0</v>
      </c>
      <c r="R64" s="68">
        <f>IFERROR(P64*'Adjusted Schedule 1'!$E$104,0)</f>
        <v>0</v>
      </c>
      <c r="S64" s="68">
        <f t="shared" si="4"/>
        <v>0</v>
      </c>
      <c r="T64" s="306">
        <f t="shared" si="5"/>
        <v>0</v>
      </c>
      <c r="V64" s="119">
        <f>'As-Filed Schedule 2F'!N64</f>
        <v>0</v>
      </c>
      <c r="W64" s="309">
        <f>SUMIFS(Adjustments!$G:$G,Adjustments!$H:$H,"2F",Adjustments!$I:$I,'Schedule 2F Adjustments'!$V$12,Adjustments!$J:$J,'Schedule 2F Adjustments'!$A64)</f>
        <v>0</v>
      </c>
      <c r="X64" s="305">
        <f t="shared" si="6"/>
        <v>0</v>
      </c>
      <c r="Y64" s="119">
        <f>'As-Filed Schedule 2F'!O64</f>
        <v>0</v>
      </c>
      <c r="Z64" s="309">
        <f>SUMIFS(Adjustments!$G:$G,Adjustments!$H:$H,"2F",Adjustments!$I:$I,'Schedule 2F Adjustments'!$Y$12,Adjustments!$J:$J,'Schedule 2F Adjustments'!$A64)</f>
        <v>0</v>
      </c>
      <c r="AA64" s="305">
        <f t="shared" si="7"/>
        <v>0</v>
      </c>
    </row>
    <row r="65" spans="1:27" x14ac:dyDescent="0.35">
      <c r="A65" s="24">
        <v>51</v>
      </c>
      <c r="B65" s="514" t="str">
        <f>IF('As-Filed Schedule 2F'!B65:D65=0,"",'As-Filed Schedule 2F'!B65:D65)</f>
        <v/>
      </c>
      <c r="C65" s="514"/>
      <c r="D65" s="514"/>
      <c r="F65" s="117">
        <f>'As-Filed Schedule 2F'!F65</f>
        <v>0</v>
      </c>
      <c r="G65" s="309">
        <f>SUMIFS(Adjustments!$G:$G,Adjustments!$H:$H,"2F",Adjustments!$I:$I,'Schedule 2F Adjustments'!$F$12,Adjustments!$J:$J,'Schedule 2F Adjustments'!$A65)</f>
        <v>0</v>
      </c>
      <c r="H65" s="305">
        <f t="shared" si="0"/>
        <v>0</v>
      </c>
      <c r="I65" s="68">
        <f>IFERROR(F65*'As-Filed Schedule 1'!$E$103,0)</f>
        <v>0</v>
      </c>
      <c r="J65" s="306">
        <f>IFERROR(H65*'Adjusted Schedule 1'!$E$104,0)</f>
        <v>0</v>
      </c>
      <c r="K65" s="68">
        <f t="shared" si="1"/>
        <v>0</v>
      </c>
      <c r="L65" s="306">
        <f t="shared" si="2"/>
        <v>0</v>
      </c>
      <c r="N65" s="117">
        <f>'As-Filed Schedule 2F'!J65</f>
        <v>0</v>
      </c>
      <c r="O65" s="309">
        <f>SUMIFS(Adjustments!$G:$G,Adjustments!$H:$H,"2F",Adjustments!$I:$I,'Schedule 2F Adjustments'!$N$12,Adjustments!$J:$J,'Schedule 2F Adjustments'!$A65)</f>
        <v>0</v>
      </c>
      <c r="P65" s="305">
        <f t="shared" si="3"/>
        <v>0</v>
      </c>
      <c r="Q65" s="68">
        <f>IFERROR(N65*'As-Filed Schedule 1'!$E$103,0)</f>
        <v>0</v>
      </c>
      <c r="R65" s="68">
        <f>IFERROR(P65*'Adjusted Schedule 1'!$E$104,0)</f>
        <v>0</v>
      </c>
      <c r="S65" s="68">
        <f t="shared" si="4"/>
        <v>0</v>
      </c>
      <c r="T65" s="306">
        <f t="shared" si="5"/>
        <v>0</v>
      </c>
      <c r="V65" s="119">
        <f>'As-Filed Schedule 2F'!N65</f>
        <v>0</v>
      </c>
      <c r="W65" s="309">
        <f>SUMIFS(Adjustments!$G:$G,Adjustments!$H:$H,"2F",Adjustments!$I:$I,'Schedule 2F Adjustments'!$V$12,Adjustments!$J:$J,'Schedule 2F Adjustments'!$A65)</f>
        <v>0</v>
      </c>
      <c r="X65" s="305">
        <f t="shared" si="6"/>
        <v>0</v>
      </c>
      <c r="Y65" s="119">
        <f>'As-Filed Schedule 2F'!O65</f>
        <v>0</v>
      </c>
      <c r="Z65" s="309">
        <f>SUMIFS(Adjustments!$G:$G,Adjustments!$H:$H,"2F",Adjustments!$I:$I,'Schedule 2F Adjustments'!$Y$12,Adjustments!$J:$J,'Schedule 2F Adjustments'!$A65)</f>
        <v>0</v>
      </c>
      <c r="AA65" s="305">
        <f t="shared" si="7"/>
        <v>0</v>
      </c>
    </row>
    <row r="66" spans="1:27" x14ac:dyDescent="0.35">
      <c r="A66" s="24">
        <v>52</v>
      </c>
      <c r="B66" s="514" t="str">
        <f>IF('As-Filed Schedule 2F'!B66:D66=0,"",'As-Filed Schedule 2F'!B66:D66)</f>
        <v/>
      </c>
      <c r="C66" s="514"/>
      <c r="D66" s="514"/>
      <c r="F66" s="117">
        <f>'As-Filed Schedule 2F'!F66</f>
        <v>0</v>
      </c>
      <c r="G66" s="309">
        <f>SUMIFS(Adjustments!$G:$G,Adjustments!$H:$H,"2F",Adjustments!$I:$I,'Schedule 2F Adjustments'!$F$12,Adjustments!$J:$J,'Schedule 2F Adjustments'!$A66)</f>
        <v>0</v>
      </c>
      <c r="H66" s="305">
        <f t="shared" si="0"/>
        <v>0</v>
      </c>
      <c r="I66" s="68">
        <f>IFERROR(F66*'As-Filed Schedule 1'!$E$103,0)</f>
        <v>0</v>
      </c>
      <c r="J66" s="306">
        <f>IFERROR(H66*'Adjusted Schedule 1'!$E$104,0)</f>
        <v>0</v>
      </c>
      <c r="K66" s="68">
        <f t="shared" si="1"/>
        <v>0</v>
      </c>
      <c r="L66" s="306">
        <f t="shared" si="2"/>
        <v>0</v>
      </c>
      <c r="N66" s="117">
        <f>'As-Filed Schedule 2F'!J66</f>
        <v>0</v>
      </c>
      <c r="O66" s="309">
        <f>SUMIFS(Adjustments!$G:$G,Adjustments!$H:$H,"2F",Adjustments!$I:$I,'Schedule 2F Adjustments'!$N$12,Adjustments!$J:$J,'Schedule 2F Adjustments'!$A66)</f>
        <v>0</v>
      </c>
      <c r="P66" s="305">
        <f t="shared" si="3"/>
        <v>0</v>
      </c>
      <c r="Q66" s="68">
        <f>IFERROR(N66*'As-Filed Schedule 1'!$E$103,0)</f>
        <v>0</v>
      </c>
      <c r="R66" s="68">
        <f>IFERROR(P66*'Adjusted Schedule 1'!$E$104,0)</f>
        <v>0</v>
      </c>
      <c r="S66" s="68">
        <f t="shared" si="4"/>
        <v>0</v>
      </c>
      <c r="T66" s="306">
        <f t="shared" si="5"/>
        <v>0</v>
      </c>
      <c r="V66" s="119">
        <f>'As-Filed Schedule 2F'!N66</f>
        <v>0</v>
      </c>
      <c r="W66" s="309">
        <f>SUMIFS(Adjustments!$G:$G,Adjustments!$H:$H,"2F",Adjustments!$I:$I,'Schedule 2F Adjustments'!$V$12,Adjustments!$J:$J,'Schedule 2F Adjustments'!$A66)</f>
        <v>0</v>
      </c>
      <c r="X66" s="305">
        <f t="shared" si="6"/>
        <v>0</v>
      </c>
      <c r="Y66" s="119">
        <f>'As-Filed Schedule 2F'!O66</f>
        <v>0</v>
      </c>
      <c r="Z66" s="309">
        <f>SUMIFS(Adjustments!$G:$G,Adjustments!$H:$H,"2F",Adjustments!$I:$I,'Schedule 2F Adjustments'!$Y$12,Adjustments!$J:$J,'Schedule 2F Adjustments'!$A66)</f>
        <v>0</v>
      </c>
      <c r="AA66" s="305">
        <f t="shared" si="7"/>
        <v>0</v>
      </c>
    </row>
    <row r="67" spans="1:27" x14ac:dyDescent="0.35">
      <c r="A67" s="24">
        <v>53</v>
      </c>
      <c r="B67" s="514" t="str">
        <f>IF('As-Filed Schedule 2F'!B67:D67=0,"",'As-Filed Schedule 2F'!B67:D67)</f>
        <v/>
      </c>
      <c r="C67" s="514"/>
      <c r="D67" s="514"/>
      <c r="F67" s="117">
        <f>'As-Filed Schedule 2F'!F67</f>
        <v>0</v>
      </c>
      <c r="G67" s="309">
        <f>SUMIFS(Adjustments!$G:$G,Adjustments!$H:$H,"2F",Adjustments!$I:$I,'Schedule 2F Adjustments'!$F$12,Adjustments!$J:$J,'Schedule 2F Adjustments'!$A67)</f>
        <v>0</v>
      </c>
      <c r="H67" s="305">
        <f t="shared" si="0"/>
        <v>0</v>
      </c>
      <c r="I67" s="68">
        <f>IFERROR(F67*'As-Filed Schedule 1'!$E$103,0)</f>
        <v>0</v>
      </c>
      <c r="J67" s="306">
        <f>IFERROR(H67*'Adjusted Schedule 1'!$E$104,0)</f>
        <v>0</v>
      </c>
      <c r="K67" s="68">
        <f t="shared" si="1"/>
        <v>0</v>
      </c>
      <c r="L67" s="306">
        <f t="shared" si="2"/>
        <v>0</v>
      </c>
      <c r="N67" s="117">
        <f>'As-Filed Schedule 2F'!J67</f>
        <v>0</v>
      </c>
      <c r="O67" s="309">
        <f>SUMIFS(Adjustments!$G:$G,Adjustments!$H:$H,"2F",Adjustments!$I:$I,'Schedule 2F Adjustments'!$N$12,Adjustments!$J:$J,'Schedule 2F Adjustments'!$A67)</f>
        <v>0</v>
      </c>
      <c r="P67" s="305">
        <f t="shared" si="3"/>
        <v>0</v>
      </c>
      <c r="Q67" s="68">
        <f>IFERROR(N67*'As-Filed Schedule 1'!$E$103,0)</f>
        <v>0</v>
      </c>
      <c r="R67" s="68">
        <f>IFERROR(P67*'Adjusted Schedule 1'!$E$104,0)</f>
        <v>0</v>
      </c>
      <c r="S67" s="68">
        <f t="shared" si="4"/>
        <v>0</v>
      </c>
      <c r="T67" s="306">
        <f t="shared" si="5"/>
        <v>0</v>
      </c>
      <c r="V67" s="119">
        <f>'As-Filed Schedule 2F'!N67</f>
        <v>0</v>
      </c>
      <c r="W67" s="309">
        <f>SUMIFS(Adjustments!$G:$G,Adjustments!$H:$H,"2F",Adjustments!$I:$I,'Schedule 2F Adjustments'!$V$12,Adjustments!$J:$J,'Schedule 2F Adjustments'!$A67)</f>
        <v>0</v>
      </c>
      <c r="X67" s="305">
        <f t="shared" si="6"/>
        <v>0</v>
      </c>
      <c r="Y67" s="119">
        <f>'As-Filed Schedule 2F'!O67</f>
        <v>0</v>
      </c>
      <c r="Z67" s="309">
        <f>SUMIFS(Adjustments!$G:$G,Adjustments!$H:$H,"2F",Adjustments!$I:$I,'Schedule 2F Adjustments'!$Y$12,Adjustments!$J:$J,'Schedule 2F Adjustments'!$A67)</f>
        <v>0</v>
      </c>
      <c r="AA67" s="305">
        <f t="shared" si="7"/>
        <v>0</v>
      </c>
    </row>
    <row r="68" spans="1:27" x14ac:dyDescent="0.35">
      <c r="A68" s="24">
        <v>54</v>
      </c>
      <c r="B68" s="514" t="str">
        <f>IF('As-Filed Schedule 2F'!B68:D68=0,"",'As-Filed Schedule 2F'!B68:D68)</f>
        <v/>
      </c>
      <c r="C68" s="514"/>
      <c r="D68" s="514"/>
      <c r="F68" s="117">
        <f>'As-Filed Schedule 2F'!F68</f>
        <v>0</v>
      </c>
      <c r="G68" s="309">
        <f>SUMIFS(Adjustments!$G:$G,Adjustments!$H:$H,"2F",Adjustments!$I:$I,'Schedule 2F Adjustments'!$F$12,Adjustments!$J:$J,'Schedule 2F Adjustments'!$A68)</f>
        <v>0</v>
      </c>
      <c r="H68" s="305">
        <f t="shared" si="0"/>
        <v>0</v>
      </c>
      <c r="I68" s="68">
        <f>IFERROR(F68*'As-Filed Schedule 1'!$E$103,0)</f>
        <v>0</v>
      </c>
      <c r="J68" s="306">
        <f>IFERROR(H68*'Adjusted Schedule 1'!$E$104,0)</f>
        <v>0</v>
      </c>
      <c r="K68" s="68">
        <f t="shared" si="1"/>
        <v>0</v>
      </c>
      <c r="L68" s="306">
        <f t="shared" si="2"/>
        <v>0</v>
      </c>
      <c r="N68" s="117">
        <f>'As-Filed Schedule 2F'!J68</f>
        <v>0</v>
      </c>
      <c r="O68" s="309">
        <f>SUMIFS(Adjustments!$G:$G,Adjustments!$H:$H,"2F",Adjustments!$I:$I,'Schedule 2F Adjustments'!$N$12,Adjustments!$J:$J,'Schedule 2F Adjustments'!$A68)</f>
        <v>0</v>
      </c>
      <c r="P68" s="305">
        <f t="shared" si="3"/>
        <v>0</v>
      </c>
      <c r="Q68" s="68">
        <f>IFERROR(N68*'As-Filed Schedule 1'!$E$103,0)</f>
        <v>0</v>
      </c>
      <c r="R68" s="68">
        <f>IFERROR(P68*'Adjusted Schedule 1'!$E$104,0)</f>
        <v>0</v>
      </c>
      <c r="S68" s="68">
        <f t="shared" si="4"/>
        <v>0</v>
      </c>
      <c r="T68" s="306">
        <f t="shared" si="5"/>
        <v>0</v>
      </c>
      <c r="V68" s="119">
        <f>'As-Filed Schedule 2F'!N68</f>
        <v>0</v>
      </c>
      <c r="W68" s="309">
        <f>SUMIFS(Adjustments!$G:$G,Adjustments!$H:$H,"2F",Adjustments!$I:$I,'Schedule 2F Adjustments'!$V$12,Adjustments!$J:$J,'Schedule 2F Adjustments'!$A68)</f>
        <v>0</v>
      </c>
      <c r="X68" s="305">
        <f t="shared" si="6"/>
        <v>0</v>
      </c>
      <c r="Y68" s="119">
        <f>'As-Filed Schedule 2F'!O68</f>
        <v>0</v>
      </c>
      <c r="Z68" s="309">
        <f>SUMIFS(Adjustments!$G:$G,Adjustments!$H:$H,"2F",Adjustments!$I:$I,'Schedule 2F Adjustments'!$Y$12,Adjustments!$J:$J,'Schedule 2F Adjustments'!$A68)</f>
        <v>0</v>
      </c>
      <c r="AA68" s="305">
        <f t="shared" si="7"/>
        <v>0</v>
      </c>
    </row>
    <row r="69" spans="1:27" x14ac:dyDescent="0.35">
      <c r="A69" s="24">
        <v>55</v>
      </c>
      <c r="B69" s="514" t="str">
        <f>IF('As-Filed Schedule 2F'!B69:D69=0,"",'As-Filed Schedule 2F'!B69:D69)</f>
        <v/>
      </c>
      <c r="C69" s="514"/>
      <c r="D69" s="514"/>
      <c r="F69" s="117">
        <f>'As-Filed Schedule 2F'!F69</f>
        <v>0</v>
      </c>
      <c r="G69" s="309">
        <f>SUMIFS(Adjustments!$G:$G,Adjustments!$H:$H,"2F",Adjustments!$I:$I,'Schedule 2F Adjustments'!$F$12,Adjustments!$J:$J,'Schedule 2F Adjustments'!$A69)</f>
        <v>0</v>
      </c>
      <c r="H69" s="305">
        <f t="shared" si="0"/>
        <v>0</v>
      </c>
      <c r="I69" s="68">
        <f>IFERROR(F69*'As-Filed Schedule 1'!$E$103,0)</f>
        <v>0</v>
      </c>
      <c r="J69" s="306">
        <f>IFERROR(H69*'Adjusted Schedule 1'!$E$104,0)</f>
        <v>0</v>
      </c>
      <c r="K69" s="68">
        <f t="shared" si="1"/>
        <v>0</v>
      </c>
      <c r="L69" s="306">
        <f t="shared" si="2"/>
        <v>0</v>
      </c>
      <c r="N69" s="117">
        <f>'As-Filed Schedule 2F'!J69</f>
        <v>0</v>
      </c>
      <c r="O69" s="309">
        <f>SUMIFS(Adjustments!$G:$G,Adjustments!$H:$H,"2F",Adjustments!$I:$I,'Schedule 2F Adjustments'!$N$12,Adjustments!$J:$J,'Schedule 2F Adjustments'!$A69)</f>
        <v>0</v>
      </c>
      <c r="P69" s="305">
        <f t="shared" si="3"/>
        <v>0</v>
      </c>
      <c r="Q69" s="68">
        <f>IFERROR(N69*'As-Filed Schedule 1'!$E$103,0)</f>
        <v>0</v>
      </c>
      <c r="R69" s="68">
        <f>IFERROR(P69*'Adjusted Schedule 1'!$E$104,0)</f>
        <v>0</v>
      </c>
      <c r="S69" s="68">
        <f t="shared" si="4"/>
        <v>0</v>
      </c>
      <c r="T69" s="306">
        <f t="shared" si="5"/>
        <v>0</v>
      </c>
      <c r="V69" s="119">
        <f>'As-Filed Schedule 2F'!N69</f>
        <v>0</v>
      </c>
      <c r="W69" s="309">
        <f>SUMIFS(Adjustments!$G:$G,Adjustments!$H:$H,"2F",Adjustments!$I:$I,'Schedule 2F Adjustments'!$V$12,Adjustments!$J:$J,'Schedule 2F Adjustments'!$A69)</f>
        <v>0</v>
      </c>
      <c r="X69" s="305">
        <f t="shared" si="6"/>
        <v>0</v>
      </c>
      <c r="Y69" s="119">
        <f>'As-Filed Schedule 2F'!O69</f>
        <v>0</v>
      </c>
      <c r="Z69" s="309">
        <f>SUMIFS(Adjustments!$G:$G,Adjustments!$H:$H,"2F",Adjustments!$I:$I,'Schedule 2F Adjustments'!$Y$12,Adjustments!$J:$J,'Schedule 2F Adjustments'!$A69)</f>
        <v>0</v>
      </c>
      <c r="AA69" s="305">
        <f t="shared" si="7"/>
        <v>0</v>
      </c>
    </row>
    <row r="70" spans="1:27" x14ac:dyDescent="0.35">
      <c r="A70" s="24">
        <v>56</v>
      </c>
      <c r="B70" s="514" t="str">
        <f>IF('As-Filed Schedule 2F'!B70:D70=0,"",'As-Filed Schedule 2F'!B70:D70)</f>
        <v/>
      </c>
      <c r="C70" s="514"/>
      <c r="D70" s="514"/>
      <c r="F70" s="117">
        <f>'As-Filed Schedule 2F'!F70</f>
        <v>0</v>
      </c>
      <c r="G70" s="309">
        <f>SUMIFS(Adjustments!$G:$G,Adjustments!$H:$H,"2F",Adjustments!$I:$I,'Schedule 2F Adjustments'!$F$12,Adjustments!$J:$J,'Schedule 2F Adjustments'!$A70)</f>
        <v>0</v>
      </c>
      <c r="H70" s="305">
        <f t="shared" si="0"/>
        <v>0</v>
      </c>
      <c r="I70" s="68">
        <f>IFERROR(F70*'As-Filed Schedule 1'!$E$103,0)</f>
        <v>0</v>
      </c>
      <c r="J70" s="306">
        <f>IFERROR(H70*'Adjusted Schedule 1'!$E$104,0)</f>
        <v>0</v>
      </c>
      <c r="K70" s="68">
        <f t="shared" si="1"/>
        <v>0</v>
      </c>
      <c r="L70" s="306">
        <f t="shared" si="2"/>
        <v>0</v>
      </c>
      <c r="N70" s="117">
        <f>'As-Filed Schedule 2F'!J70</f>
        <v>0</v>
      </c>
      <c r="O70" s="309">
        <f>SUMIFS(Adjustments!$G:$G,Adjustments!$H:$H,"2F",Adjustments!$I:$I,'Schedule 2F Adjustments'!$N$12,Adjustments!$J:$J,'Schedule 2F Adjustments'!$A70)</f>
        <v>0</v>
      </c>
      <c r="P70" s="305">
        <f t="shared" si="3"/>
        <v>0</v>
      </c>
      <c r="Q70" s="68">
        <f>IFERROR(N70*'As-Filed Schedule 1'!$E$103,0)</f>
        <v>0</v>
      </c>
      <c r="R70" s="68">
        <f>IFERROR(P70*'Adjusted Schedule 1'!$E$104,0)</f>
        <v>0</v>
      </c>
      <c r="S70" s="68">
        <f t="shared" si="4"/>
        <v>0</v>
      </c>
      <c r="T70" s="306">
        <f t="shared" si="5"/>
        <v>0</v>
      </c>
      <c r="V70" s="119">
        <f>'As-Filed Schedule 2F'!N70</f>
        <v>0</v>
      </c>
      <c r="W70" s="309">
        <f>SUMIFS(Adjustments!$G:$G,Adjustments!$H:$H,"2F",Adjustments!$I:$I,'Schedule 2F Adjustments'!$V$12,Adjustments!$J:$J,'Schedule 2F Adjustments'!$A70)</f>
        <v>0</v>
      </c>
      <c r="X70" s="305">
        <f t="shared" si="6"/>
        <v>0</v>
      </c>
      <c r="Y70" s="119">
        <f>'As-Filed Schedule 2F'!O70</f>
        <v>0</v>
      </c>
      <c r="Z70" s="309">
        <f>SUMIFS(Adjustments!$G:$G,Adjustments!$H:$H,"2F",Adjustments!$I:$I,'Schedule 2F Adjustments'!$Y$12,Adjustments!$J:$J,'Schedule 2F Adjustments'!$A70)</f>
        <v>0</v>
      </c>
      <c r="AA70" s="305">
        <f t="shared" si="7"/>
        <v>0</v>
      </c>
    </row>
    <row r="71" spans="1:27" x14ac:dyDescent="0.35">
      <c r="A71" s="24">
        <v>57</v>
      </c>
      <c r="B71" s="514" t="str">
        <f>IF('As-Filed Schedule 2F'!B71:D71=0,"",'As-Filed Schedule 2F'!B71:D71)</f>
        <v/>
      </c>
      <c r="C71" s="514"/>
      <c r="D71" s="514"/>
      <c r="F71" s="117">
        <f>'As-Filed Schedule 2F'!F71</f>
        <v>0</v>
      </c>
      <c r="G71" s="309">
        <f>SUMIFS(Adjustments!$G:$G,Adjustments!$H:$H,"2F",Adjustments!$I:$I,'Schedule 2F Adjustments'!$F$12,Adjustments!$J:$J,'Schedule 2F Adjustments'!$A71)</f>
        <v>0</v>
      </c>
      <c r="H71" s="305">
        <f t="shared" si="0"/>
        <v>0</v>
      </c>
      <c r="I71" s="68">
        <f>IFERROR(F71*'As-Filed Schedule 1'!$E$103,0)</f>
        <v>0</v>
      </c>
      <c r="J71" s="306">
        <f>IFERROR(H71*'Adjusted Schedule 1'!$E$104,0)</f>
        <v>0</v>
      </c>
      <c r="K71" s="68">
        <f t="shared" si="1"/>
        <v>0</v>
      </c>
      <c r="L71" s="306">
        <f t="shared" si="2"/>
        <v>0</v>
      </c>
      <c r="N71" s="117">
        <f>'As-Filed Schedule 2F'!J71</f>
        <v>0</v>
      </c>
      <c r="O71" s="309">
        <f>SUMIFS(Adjustments!$G:$G,Adjustments!$H:$H,"2F",Adjustments!$I:$I,'Schedule 2F Adjustments'!$N$12,Adjustments!$J:$J,'Schedule 2F Adjustments'!$A71)</f>
        <v>0</v>
      </c>
      <c r="P71" s="305">
        <f t="shared" si="3"/>
        <v>0</v>
      </c>
      <c r="Q71" s="68">
        <f>IFERROR(N71*'As-Filed Schedule 1'!$E$103,0)</f>
        <v>0</v>
      </c>
      <c r="R71" s="68">
        <f>IFERROR(P71*'Adjusted Schedule 1'!$E$104,0)</f>
        <v>0</v>
      </c>
      <c r="S71" s="68">
        <f t="shared" si="4"/>
        <v>0</v>
      </c>
      <c r="T71" s="306">
        <f t="shared" si="5"/>
        <v>0</v>
      </c>
      <c r="V71" s="119">
        <f>'As-Filed Schedule 2F'!N71</f>
        <v>0</v>
      </c>
      <c r="W71" s="309">
        <f>SUMIFS(Adjustments!$G:$G,Adjustments!$H:$H,"2F",Adjustments!$I:$I,'Schedule 2F Adjustments'!$V$12,Adjustments!$J:$J,'Schedule 2F Adjustments'!$A71)</f>
        <v>0</v>
      </c>
      <c r="X71" s="305">
        <f t="shared" si="6"/>
        <v>0</v>
      </c>
      <c r="Y71" s="119">
        <f>'As-Filed Schedule 2F'!O71</f>
        <v>0</v>
      </c>
      <c r="Z71" s="309">
        <f>SUMIFS(Adjustments!$G:$G,Adjustments!$H:$H,"2F",Adjustments!$I:$I,'Schedule 2F Adjustments'!$Y$12,Adjustments!$J:$J,'Schedule 2F Adjustments'!$A71)</f>
        <v>0</v>
      </c>
      <c r="AA71" s="305">
        <f t="shared" si="7"/>
        <v>0</v>
      </c>
    </row>
    <row r="72" spans="1:27" x14ac:dyDescent="0.35">
      <c r="A72" s="24">
        <v>58</v>
      </c>
      <c r="B72" s="514" t="str">
        <f>IF('As-Filed Schedule 2F'!B72:D72=0,"",'As-Filed Schedule 2F'!B72:D72)</f>
        <v/>
      </c>
      <c r="C72" s="514"/>
      <c r="D72" s="514"/>
      <c r="F72" s="117">
        <f>'As-Filed Schedule 2F'!F72</f>
        <v>0</v>
      </c>
      <c r="G72" s="309">
        <f>SUMIFS(Adjustments!$G:$G,Adjustments!$H:$H,"2F",Adjustments!$I:$I,'Schedule 2F Adjustments'!$F$12,Adjustments!$J:$J,'Schedule 2F Adjustments'!$A72)</f>
        <v>0</v>
      </c>
      <c r="H72" s="305">
        <f t="shared" si="0"/>
        <v>0</v>
      </c>
      <c r="I72" s="68">
        <f>IFERROR(F72*'As-Filed Schedule 1'!$E$103,0)</f>
        <v>0</v>
      </c>
      <c r="J72" s="306">
        <f>IFERROR(H72*'Adjusted Schedule 1'!$E$104,0)</f>
        <v>0</v>
      </c>
      <c r="K72" s="68">
        <f t="shared" si="1"/>
        <v>0</v>
      </c>
      <c r="L72" s="306">
        <f t="shared" si="2"/>
        <v>0</v>
      </c>
      <c r="N72" s="117">
        <f>'As-Filed Schedule 2F'!J72</f>
        <v>0</v>
      </c>
      <c r="O72" s="309">
        <f>SUMIFS(Adjustments!$G:$G,Adjustments!$H:$H,"2F",Adjustments!$I:$I,'Schedule 2F Adjustments'!$N$12,Adjustments!$J:$J,'Schedule 2F Adjustments'!$A72)</f>
        <v>0</v>
      </c>
      <c r="P72" s="305">
        <f t="shared" si="3"/>
        <v>0</v>
      </c>
      <c r="Q72" s="68">
        <f>IFERROR(N72*'As-Filed Schedule 1'!$E$103,0)</f>
        <v>0</v>
      </c>
      <c r="R72" s="68">
        <f>IFERROR(P72*'Adjusted Schedule 1'!$E$104,0)</f>
        <v>0</v>
      </c>
      <c r="S72" s="68">
        <f t="shared" si="4"/>
        <v>0</v>
      </c>
      <c r="T72" s="306">
        <f t="shared" si="5"/>
        <v>0</v>
      </c>
      <c r="V72" s="119">
        <f>'As-Filed Schedule 2F'!N72</f>
        <v>0</v>
      </c>
      <c r="W72" s="309">
        <f>SUMIFS(Adjustments!$G:$G,Adjustments!$H:$H,"2F",Adjustments!$I:$I,'Schedule 2F Adjustments'!$V$12,Adjustments!$J:$J,'Schedule 2F Adjustments'!$A72)</f>
        <v>0</v>
      </c>
      <c r="X72" s="305">
        <f t="shared" si="6"/>
        <v>0</v>
      </c>
      <c r="Y72" s="119">
        <f>'As-Filed Schedule 2F'!O72</f>
        <v>0</v>
      </c>
      <c r="Z72" s="309">
        <f>SUMIFS(Adjustments!$G:$G,Adjustments!$H:$H,"2F",Adjustments!$I:$I,'Schedule 2F Adjustments'!$Y$12,Adjustments!$J:$J,'Schedule 2F Adjustments'!$A72)</f>
        <v>0</v>
      </c>
      <c r="AA72" s="305">
        <f t="shared" si="7"/>
        <v>0</v>
      </c>
    </row>
    <row r="73" spans="1:27" x14ac:dyDescent="0.35">
      <c r="A73" s="24">
        <v>59</v>
      </c>
      <c r="F73" s="18">
        <f>SUM(F15:F72)</f>
        <v>0</v>
      </c>
      <c r="G73" s="18">
        <f>SUM(G15:G72)</f>
        <v>0</v>
      </c>
      <c r="H73" s="18">
        <f t="shared" ref="H73:K73" si="8">SUM(H15:H72)</f>
        <v>0</v>
      </c>
      <c r="I73" s="18">
        <f t="shared" si="8"/>
        <v>0</v>
      </c>
      <c r="J73" s="306">
        <f>IFERROR(H73*'Adjusted Schedule 1'!$E$104,0)</f>
        <v>0</v>
      </c>
      <c r="K73" s="18">
        <f t="shared" si="8"/>
        <v>0</v>
      </c>
      <c r="L73" s="307">
        <f t="shared" ref="L73" si="9">SUM(L15:L72)</f>
        <v>0</v>
      </c>
      <c r="N73" s="18">
        <f>SUM(N15:N72)</f>
        <v>0</v>
      </c>
      <c r="O73" s="18">
        <f t="shared" ref="O73:S73" si="10">SUM(O15:O72)</f>
        <v>0</v>
      </c>
      <c r="P73" s="18">
        <f t="shared" si="10"/>
        <v>0</v>
      </c>
      <c r="Q73" s="18">
        <f t="shared" si="10"/>
        <v>0</v>
      </c>
      <c r="R73" s="18">
        <f t="shared" si="10"/>
        <v>0</v>
      </c>
      <c r="S73" s="18">
        <f t="shared" si="10"/>
        <v>0</v>
      </c>
      <c r="T73" s="307">
        <f>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814</v>
      </c>
      <c r="F75" s="75">
        <f>K73+S73</f>
        <v>0</v>
      </c>
      <c r="G75"/>
      <c r="H75" s="75">
        <f>L73+T73</f>
        <v>0</v>
      </c>
      <c r="I75" s="74"/>
      <c r="J75" s="321"/>
      <c r="K75" s="74"/>
      <c r="L75" s="321"/>
      <c r="N75" s="74"/>
      <c r="O75" s="328"/>
      <c r="P75" s="321"/>
      <c r="Q75" s="74"/>
      <c r="R75" s="321"/>
      <c r="T75" s="323"/>
      <c r="W75" s="326"/>
      <c r="X75" s="323"/>
      <c r="Z75" s="326"/>
      <c r="AA75" s="323"/>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40:D40"/>
    <mergeCell ref="B41:D41"/>
    <mergeCell ref="B42:D42"/>
    <mergeCell ref="B43:D43"/>
    <mergeCell ref="B44:D44"/>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V13:V14"/>
    <mergeCell ref="W13:W14"/>
    <mergeCell ref="X13:X14"/>
    <mergeCell ref="Y13:Y14"/>
    <mergeCell ref="Z13:Z1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841</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816</v>
      </c>
      <c r="C8" s="1"/>
      <c r="F8" s="118" t="str">
        <f>'As-Filed Schedule 2G'!F8</f>
        <v>Yes/No</v>
      </c>
      <c r="G8" s="41" t="s">
        <v>259</v>
      </c>
    </row>
    <row r="10" spans="1:27" x14ac:dyDescent="0.35">
      <c r="A10" s="1" t="s">
        <v>254</v>
      </c>
      <c r="B10" s="1" t="s">
        <v>256</v>
      </c>
      <c r="C10" s="1"/>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ht="15" customHeight="1"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48"/>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2G'!B15:D15=0,"",'As-Filed Schedule 2G'!B15:D15)</f>
        <v/>
      </c>
      <c r="C15" s="514"/>
      <c r="D15" s="514"/>
      <c r="F15" s="117">
        <f>'As-Filed Schedule 2G'!F15</f>
        <v>0</v>
      </c>
      <c r="G15" s="309">
        <f>SUMIFS(Adjustments!$G:$G,Adjustments!$H:$H,"2G",Adjustments!$I:$I,'Schedule 2G Adjustments'!$F$12,Adjustments!$J:$J,'Schedule 2G Adjustments'!$A15)</f>
        <v>0</v>
      </c>
      <c r="H15" s="305">
        <f>SUM(F15:G15)</f>
        <v>0</v>
      </c>
      <c r="I15" s="68">
        <f>IFERROR(F15*'As-Filed Schedule 1'!$E$103,0)</f>
        <v>0</v>
      </c>
      <c r="J15" s="306">
        <f>IFERROR(H15*'Adjusted Schedule 1'!$E$104,0)</f>
        <v>0</v>
      </c>
      <c r="K15" s="68">
        <f>SUM(F15,I15)</f>
        <v>0</v>
      </c>
      <c r="L15" s="306">
        <f>SUM(H15,J15)</f>
        <v>0</v>
      </c>
      <c r="N15" s="117">
        <f>'As-Filed Schedule 2G'!J15</f>
        <v>0</v>
      </c>
      <c r="O15" s="309">
        <f>SUMIFS(Adjustments!$G:$G,Adjustments!$H:$H,"2G",Adjustments!$I:$I,'Schedule 2G Adjustments'!$N$12,Adjustments!$J:$J,'Schedule 2G Adjustments'!$A15)</f>
        <v>0</v>
      </c>
      <c r="P15" s="305">
        <f>SUM(N15:O15)</f>
        <v>0</v>
      </c>
      <c r="Q15" s="68">
        <f>IFERROR(N15*'As-Filed Schedule 1'!$E$103,0)</f>
        <v>0</v>
      </c>
      <c r="R15" s="68">
        <f>IFERROR(P15*'Adjusted Schedule 1'!$E$104,0)</f>
        <v>0</v>
      </c>
      <c r="S15" s="68">
        <f>SUM(N15,Q15)</f>
        <v>0</v>
      </c>
      <c r="T15" s="306">
        <f>SUM(P15,R15)</f>
        <v>0</v>
      </c>
      <c r="V15" s="119">
        <f>'As-Filed Schedule 2G'!N15</f>
        <v>0</v>
      </c>
      <c r="W15" s="309">
        <f>SUMIFS(Adjustments!$G:$G,Adjustments!$H:$H,"2G",Adjustments!$I:$I,'Schedule 2G Adjustments'!$V$12,Adjustments!$J:$J,'Schedule 2G Adjustments'!$A15)</f>
        <v>0</v>
      </c>
      <c r="X15" s="305">
        <f>SUM(V15:W15)</f>
        <v>0</v>
      </c>
      <c r="Y15" s="119">
        <f>'As-Filed Schedule 2G'!O15</f>
        <v>0</v>
      </c>
      <c r="Z15" s="309">
        <f>SUMIFS(Adjustments!$G:$G,Adjustments!$H:$H,"2G",Adjustments!$I:$I,'Schedule 2G Adjustments'!$Y$12,Adjustments!$J:$J,'Schedule 2G Adjustments'!$A15)</f>
        <v>0</v>
      </c>
      <c r="AA15" s="305">
        <f>SUM(Y15:Z15)</f>
        <v>0</v>
      </c>
    </row>
    <row r="16" spans="1:27" x14ac:dyDescent="0.35">
      <c r="A16" s="24">
        <v>2</v>
      </c>
      <c r="B16" s="514" t="str">
        <f>IF('As-Filed Schedule 2G'!B16:D16=0,"",'As-Filed Schedule 2G'!B16:D16)</f>
        <v/>
      </c>
      <c r="C16" s="514"/>
      <c r="D16" s="514"/>
      <c r="F16" s="117">
        <f>'As-Filed Schedule 2G'!F16</f>
        <v>0</v>
      </c>
      <c r="G16" s="309">
        <f>SUMIFS(Adjustments!$G:$G,Adjustments!$H:$H,"2G",Adjustments!$I:$I,'Schedule 2G Adjustments'!$F$12,Adjustments!$J:$J,'Schedule 2G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2G'!J16</f>
        <v>0</v>
      </c>
      <c r="O16" s="309">
        <f>SUMIFS(Adjustments!$G:$G,Adjustments!$H:$H,"2G",Adjustments!$I:$I,'Schedule 2G Adjustments'!$N$12,Adjustments!$J:$J,'Schedule 2G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2G'!N16</f>
        <v>0</v>
      </c>
      <c r="W16" s="309">
        <f>SUMIFS(Adjustments!$G:$G,Adjustments!$H:$H,"2G",Adjustments!$I:$I,'Schedule 2G Adjustments'!$V$12,Adjustments!$J:$J,'Schedule 2G Adjustments'!$A16)</f>
        <v>0</v>
      </c>
      <c r="X16" s="305">
        <f t="shared" ref="X16:X72" si="6">SUM(V16:W16)</f>
        <v>0</v>
      </c>
      <c r="Y16" s="119">
        <f>'As-Filed Schedule 2G'!O16</f>
        <v>0</v>
      </c>
      <c r="Z16" s="309">
        <f>SUMIFS(Adjustments!$G:$G,Adjustments!$H:$H,"2G",Adjustments!$I:$I,'Schedule 2G Adjustments'!$Y$12,Adjustments!$J:$J,'Schedule 2G Adjustments'!$A16)</f>
        <v>0</v>
      </c>
      <c r="AA16" s="305">
        <f t="shared" ref="AA16:AA72" si="7">SUM(Y16:Z16)</f>
        <v>0</v>
      </c>
    </row>
    <row r="17" spans="1:27" x14ac:dyDescent="0.35">
      <c r="A17" s="24">
        <v>3</v>
      </c>
      <c r="B17" s="514" t="str">
        <f>IF('As-Filed Schedule 2G'!B17:D17=0,"",'As-Filed Schedule 2G'!B17:D17)</f>
        <v/>
      </c>
      <c r="C17" s="514"/>
      <c r="D17" s="514"/>
      <c r="F17" s="117">
        <f>'As-Filed Schedule 2G'!F17</f>
        <v>0</v>
      </c>
      <c r="G17" s="309">
        <f>SUMIFS(Adjustments!$G:$G,Adjustments!$H:$H,"2G",Adjustments!$I:$I,'Schedule 2G Adjustments'!$F$12,Adjustments!$J:$J,'Schedule 2G Adjustments'!$A17)</f>
        <v>0</v>
      </c>
      <c r="H17" s="305">
        <f t="shared" si="0"/>
        <v>0</v>
      </c>
      <c r="I17" s="68">
        <f>IFERROR(F17*'As-Filed Schedule 1'!$E$103,0)</f>
        <v>0</v>
      </c>
      <c r="J17" s="306">
        <f>IFERROR(H17*'Adjusted Schedule 1'!$E$104,0)</f>
        <v>0</v>
      </c>
      <c r="K17" s="68">
        <f t="shared" si="1"/>
        <v>0</v>
      </c>
      <c r="L17" s="306">
        <f t="shared" si="2"/>
        <v>0</v>
      </c>
      <c r="N17" s="117">
        <f>'As-Filed Schedule 2G'!J17</f>
        <v>0</v>
      </c>
      <c r="O17" s="309">
        <f>SUMIFS(Adjustments!$G:$G,Adjustments!$H:$H,"2G",Adjustments!$I:$I,'Schedule 2G Adjustments'!$N$12,Adjustments!$J:$J,'Schedule 2G Adjustments'!$A17)</f>
        <v>0</v>
      </c>
      <c r="P17" s="305">
        <f t="shared" si="3"/>
        <v>0</v>
      </c>
      <c r="Q17" s="68">
        <f>IFERROR(N17*'As-Filed Schedule 1'!$E$103,0)</f>
        <v>0</v>
      </c>
      <c r="R17" s="68">
        <f>IFERROR(P17*'Adjusted Schedule 1'!$E$104,0)</f>
        <v>0</v>
      </c>
      <c r="S17" s="68">
        <f t="shared" si="4"/>
        <v>0</v>
      </c>
      <c r="T17" s="306">
        <f t="shared" si="5"/>
        <v>0</v>
      </c>
      <c r="V17" s="119">
        <f>'As-Filed Schedule 2G'!N17</f>
        <v>0</v>
      </c>
      <c r="W17" s="309">
        <f>SUMIFS(Adjustments!$G:$G,Adjustments!$H:$H,"2G",Adjustments!$I:$I,'Schedule 2G Adjustments'!$V$12,Adjustments!$J:$J,'Schedule 2G Adjustments'!$A17)</f>
        <v>0</v>
      </c>
      <c r="X17" s="305">
        <f t="shared" si="6"/>
        <v>0</v>
      </c>
      <c r="Y17" s="119">
        <f>'As-Filed Schedule 2G'!O17</f>
        <v>0</v>
      </c>
      <c r="Z17" s="309">
        <f>SUMIFS(Adjustments!$G:$G,Adjustments!$H:$H,"2G",Adjustments!$I:$I,'Schedule 2G Adjustments'!$Y$12,Adjustments!$J:$J,'Schedule 2G Adjustments'!$A17)</f>
        <v>0</v>
      </c>
      <c r="AA17" s="305">
        <f t="shared" si="7"/>
        <v>0</v>
      </c>
    </row>
    <row r="18" spans="1:27" x14ac:dyDescent="0.35">
      <c r="A18" s="24">
        <v>4</v>
      </c>
      <c r="B18" s="514" t="str">
        <f>IF('As-Filed Schedule 2G'!B18:D18=0,"",'As-Filed Schedule 2G'!B18:D18)</f>
        <v/>
      </c>
      <c r="C18" s="514"/>
      <c r="D18" s="514"/>
      <c r="F18" s="117">
        <f>'As-Filed Schedule 2G'!F18</f>
        <v>0</v>
      </c>
      <c r="G18" s="309">
        <f>SUMIFS(Adjustments!$G:$G,Adjustments!$H:$H,"2G",Adjustments!$I:$I,'Schedule 2G Adjustments'!$F$12,Adjustments!$J:$J,'Schedule 2G Adjustments'!$A18)</f>
        <v>0</v>
      </c>
      <c r="H18" s="305">
        <f t="shared" si="0"/>
        <v>0</v>
      </c>
      <c r="I18" s="68">
        <f>IFERROR(F18*'As-Filed Schedule 1'!$E$103,0)</f>
        <v>0</v>
      </c>
      <c r="J18" s="306">
        <f>IFERROR(H18*'Adjusted Schedule 1'!$E$104,0)</f>
        <v>0</v>
      </c>
      <c r="K18" s="68">
        <f>SUM(F18,I18)</f>
        <v>0</v>
      </c>
      <c r="L18" s="306">
        <f>SUM(H18,J18)</f>
        <v>0</v>
      </c>
      <c r="N18" s="117">
        <f>'As-Filed Schedule 2G'!J18</f>
        <v>0</v>
      </c>
      <c r="O18" s="309">
        <f>SUMIFS(Adjustments!$G:$G,Adjustments!$H:$H,"2G",Adjustments!$I:$I,'Schedule 2G Adjustments'!$N$12,Adjustments!$J:$J,'Schedule 2G Adjustments'!$A18)</f>
        <v>0</v>
      </c>
      <c r="P18" s="305">
        <f t="shared" si="3"/>
        <v>0</v>
      </c>
      <c r="Q18" s="68">
        <f>IFERROR(N18*'As-Filed Schedule 1'!$E$103,0)</f>
        <v>0</v>
      </c>
      <c r="R18" s="68">
        <f>IFERROR(P18*'Adjusted Schedule 1'!$E$104,0)</f>
        <v>0</v>
      </c>
      <c r="S18" s="68">
        <f t="shared" si="4"/>
        <v>0</v>
      </c>
      <c r="T18" s="306">
        <f t="shared" si="5"/>
        <v>0</v>
      </c>
      <c r="V18" s="119">
        <f>'As-Filed Schedule 2G'!N18</f>
        <v>0</v>
      </c>
      <c r="W18" s="309">
        <f>SUMIFS(Adjustments!$G:$G,Adjustments!$H:$H,"2G",Adjustments!$I:$I,'Schedule 2G Adjustments'!$V$12,Adjustments!$J:$J,'Schedule 2G Adjustments'!$A18)</f>
        <v>0</v>
      </c>
      <c r="X18" s="305">
        <f t="shared" si="6"/>
        <v>0</v>
      </c>
      <c r="Y18" s="119">
        <f>'As-Filed Schedule 2G'!O18</f>
        <v>0</v>
      </c>
      <c r="Z18" s="309">
        <f>SUMIFS(Adjustments!$G:$G,Adjustments!$H:$H,"2G",Adjustments!$I:$I,'Schedule 2G Adjustments'!$Y$12,Adjustments!$J:$J,'Schedule 2G Adjustments'!$A18)</f>
        <v>0</v>
      </c>
      <c r="AA18" s="305">
        <f t="shared" si="7"/>
        <v>0</v>
      </c>
    </row>
    <row r="19" spans="1:27" x14ac:dyDescent="0.35">
      <c r="A19" s="24">
        <v>5</v>
      </c>
      <c r="B19" s="514" t="str">
        <f>IF('As-Filed Schedule 2G'!B19:D19=0,"",'As-Filed Schedule 2G'!B19:D19)</f>
        <v/>
      </c>
      <c r="C19" s="514"/>
      <c r="D19" s="514"/>
      <c r="F19" s="117">
        <f>'As-Filed Schedule 2G'!F19</f>
        <v>0</v>
      </c>
      <c r="G19" s="309">
        <f>SUMIFS(Adjustments!$G:$G,Adjustments!$H:$H,"2G",Adjustments!$I:$I,'Schedule 2G Adjustments'!$F$12,Adjustments!$J:$J,'Schedule 2G Adjustments'!$A19)</f>
        <v>0</v>
      </c>
      <c r="H19" s="305">
        <f t="shared" si="0"/>
        <v>0</v>
      </c>
      <c r="I19" s="68">
        <f>IFERROR(F19*'As-Filed Schedule 1'!$E$103,0)</f>
        <v>0</v>
      </c>
      <c r="J19" s="306">
        <f>IFERROR(H19*'Adjusted Schedule 1'!$E$104,0)</f>
        <v>0</v>
      </c>
      <c r="K19" s="68">
        <f t="shared" si="1"/>
        <v>0</v>
      </c>
      <c r="L19" s="306">
        <f>SUM(H19,J19)</f>
        <v>0</v>
      </c>
      <c r="N19" s="117">
        <f>'As-Filed Schedule 2G'!J19</f>
        <v>0</v>
      </c>
      <c r="O19" s="309">
        <f>SUMIFS(Adjustments!$G:$G,Adjustments!$H:$H,"2G",Adjustments!$I:$I,'Schedule 2G Adjustments'!$N$12,Adjustments!$J:$J,'Schedule 2G Adjustments'!$A19)</f>
        <v>0</v>
      </c>
      <c r="P19" s="305">
        <f t="shared" si="3"/>
        <v>0</v>
      </c>
      <c r="Q19" s="68">
        <f>IFERROR(N19*'As-Filed Schedule 1'!$E$103,0)</f>
        <v>0</v>
      </c>
      <c r="R19" s="68">
        <f>IFERROR(P19*'Adjusted Schedule 1'!$E$104,0)</f>
        <v>0</v>
      </c>
      <c r="S19" s="68">
        <f t="shared" si="4"/>
        <v>0</v>
      </c>
      <c r="T19" s="306">
        <f t="shared" si="5"/>
        <v>0</v>
      </c>
      <c r="V19" s="119">
        <f>'As-Filed Schedule 2G'!N19</f>
        <v>0</v>
      </c>
      <c r="W19" s="309">
        <f>SUMIFS(Adjustments!$G:$G,Adjustments!$H:$H,"2G",Adjustments!$I:$I,'Schedule 2G Adjustments'!$V$12,Adjustments!$J:$J,'Schedule 2G Adjustments'!$A19)</f>
        <v>0</v>
      </c>
      <c r="X19" s="305">
        <f t="shared" si="6"/>
        <v>0</v>
      </c>
      <c r="Y19" s="119">
        <f>'As-Filed Schedule 2G'!O19</f>
        <v>0</v>
      </c>
      <c r="Z19" s="309">
        <f>SUMIFS(Adjustments!$G:$G,Adjustments!$H:$H,"2G",Adjustments!$I:$I,'Schedule 2G Adjustments'!$Y$12,Adjustments!$J:$J,'Schedule 2G Adjustments'!$A19)</f>
        <v>0</v>
      </c>
      <c r="AA19" s="305">
        <f t="shared" si="7"/>
        <v>0</v>
      </c>
    </row>
    <row r="20" spans="1:27" x14ac:dyDescent="0.35">
      <c r="A20" s="24">
        <v>6</v>
      </c>
      <c r="B20" s="514" t="str">
        <f>IF('As-Filed Schedule 2G'!B20:D20=0,"",'As-Filed Schedule 2G'!B20:D20)</f>
        <v/>
      </c>
      <c r="C20" s="514"/>
      <c r="D20" s="514"/>
      <c r="F20" s="117">
        <f>'As-Filed Schedule 2G'!F20</f>
        <v>0</v>
      </c>
      <c r="G20" s="309">
        <f>SUMIFS(Adjustments!$G:$G,Adjustments!$H:$H,"2G",Adjustments!$I:$I,'Schedule 2G Adjustments'!$F$12,Adjustments!$J:$J,'Schedule 2G Adjustments'!$A20)</f>
        <v>0</v>
      </c>
      <c r="H20" s="305">
        <f t="shared" si="0"/>
        <v>0</v>
      </c>
      <c r="I20" s="68">
        <f>IFERROR(F20*'As-Filed Schedule 1'!$E$103,0)</f>
        <v>0</v>
      </c>
      <c r="J20" s="306">
        <f>IFERROR(H20*'Adjusted Schedule 1'!$E$104,0)</f>
        <v>0</v>
      </c>
      <c r="K20" s="68">
        <f>SUM(F20,I20)</f>
        <v>0</v>
      </c>
      <c r="L20" s="306">
        <f t="shared" si="2"/>
        <v>0</v>
      </c>
      <c r="N20" s="117">
        <f>'As-Filed Schedule 2G'!J20</f>
        <v>0</v>
      </c>
      <c r="O20" s="309">
        <f>SUMIFS(Adjustments!$G:$G,Adjustments!$H:$H,"2G",Adjustments!$I:$I,'Schedule 2G Adjustments'!$N$12,Adjustments!$J:$J,'Schedule 2G Adjustments'!$A20)</f>
        <v>0</v>
      </c>
      <c r="P20" s="305">
        <f t="shared" si="3"/>
        <v>0</v>
      </c>
      <c r="Q20" s="68">
        <f>IFERROR(N20*'As-Filed Schedule 1'!$E$103,0)</f>
        <v>0</v>
      </c>
      <c r="R20" s="68">
        <f>IFERROR(P20*'Adjusted Schedule 1'!$E$104,0)</f>
        <v>0</v>
      </c>
      <c r="S20" s="68">
        <f t="shared" si="4"/>
        <v>0</v>
      </c>
      <c r="T20" s="306">
        <f t="shared" si="5"/>
        <v>0</v>
      </c>
      <c r="V20" s="119">
        <f>'As-Filed Schedule 2G'!N20</f>
        <v>0</v>
      </c>
      <c r="W20" s="309">
        <f>SUMIFS(Adjustments!$G:$G,Adjustments!$H:$H,"2G",Adjustments!$I:$I,'Schedule 2G Adjustments'!$V$12,Adjustments!$J:$J,'Schedule 2G Adjustments'!$A20)</f>
        <v>0</v>
      </c>
      <c r="X20" s="305">
        <f t="shared" si="6"/>
        <v>0</v>
      </c>
      <c r="Y20" s="119">
        <f>'As-Filed Schedule 2G'!O20</f>
        <v>0</v>
      </c>
      <c r="Z20" s="309">
        <f>SUMIFS(Adjustments!$G:$G,Adjustments!$H:$H,"2G",Adjustments!$I:$I,'Schedule 2G Adjustments'!$Y$12,Adjustments!$J:$J,'Schedule 2G Adjustments'!$A20)</f>
        <v>0</v>
      </c>
      <c r="AA20" s="305">
        <f t="shared" si="7"/>
        <v>0</v>
      </c>
    </row>
    <row r="21" spans="1:27" x14ac:dyDescent="0.35">
      <c r="A21" s="24">
        <v>7</v>
      </c>
      <c r="B21" s="514" t="str">
        <f>IF('As-Filed Schedule 2G'!B21:D21=0,"",'As-Filed Schedule 2G'!B21:D21)</f>
        <v/>
      </c>
      <c r="C21" s="514"/>
      <c r="D21" s="514"/>
      <c r="F21" s="117">
        <f>'As-Filed Schedule 2G'!F21</f>
        <v>0</v>
      </c>
      <c r="G21" s="309">
        <f>SUMIFS(Adjustments!$G:$G,Adjustments!$H:$H,"2G",Adjustments!$I:$I,'Schedule 2G Adjustments'!$F$12,Adjustments!$J:$J,'Schedule 2G Adjustments'!$A21)</f>
        <v>0</v>
      </c>
      <c r="H21" s="305">
        <f t="shared" si="0"/>
        <v>0</v>
      </c>
      <c r="I21" s="68">
        <f>IFERROR(F21*'As-Filed Schedule 1'!$E$103,0)</f>
        <v>0</v>
      </c>
      <c r="J21" s="306">
        <f>IFERROR(H21*'Adjusted Schedule 1'!$E$104,0)</f>
        <v>0</v>
      </c>
      <c r="K21" s="68">
        <f t="shared" si="1"/>
        <v>0</v>
      </c>
      <c r="L21" s="306">
        <f t="shared" si="2"/>
        <v>0</v>
      </c>
      <c r="N21" s="117">
        <f>'As-Filed Schedule 2G'!J21</f>
        <v>0</v>
      </c>
      <c r="O21" s="309">
        <f>SUMIFS(Adjustments!$G:$G,Adjustments!$H:$H,"2G",Adjustments!$I:$I,'Schedule 2G Adjustments'!$N$12,Adjustments!$J:$J,'Schedule 2G Adjustments'!$A21)</f>
        <v>0</v>
      </c>
      <c r="P21" s="305">
        <f t="shared" si="3"/>
        <v>0</v>
      </c>
      <c r="Q21" s="68">
        <f>IFERROR(N21*'As-Filed Schedule 1'!$E$103,0)</f>
        <v>0</v>
      </c>
      <c r="R21" s="68">
        <f>IFERROR(P21*'Adjusted Schedule 1'!$E$104,0)</f>
        <v>0</v>
      </c>
      <c r="S21" s="68">
        <f>SUM(N21,Q21)</f>
        <v>0</v>
      </c>
      <c r="T21" s="306">
        <f>SUM(P21,R21)</f>
        <v>0</v>
      </c>
      <c r="V21" s="119">
        <f>'As-Filed Schedule 2G'!N21</f>
        <v>0</v>
      </c>
      <c r="W21" s="309">
        <f>SUMIFS(Adjustments!$G:$G,Adjustments!$H:$H,"2G",Adjustments!$I:$I,'Schedule 2G Adjustments'!$V$12,Adjustments!$J:$J,'Schedule 2G Adjustments'!$A21)</f>
        <v>0</v>
      </c>
      <c r="X21" s="305">
        <f t="shared" si="6"/>
        <v>0</v>
      </c>
      <c r="Y21" s="119">
        <f>'As-Filed Schedule 2G'!O21</f>
        <v>0</v>
      </c>
      <c r="Z21" s="309">
        <f>SUMIFS(Adjustments!$G:$G,Adjustments!$H:$H,"2G",Adjustments!$I:$I,'Schedule 2G Adjustments'!$Y$12,Adjustments!$J:$J,'Schedule 2G Adjustments'!$A21)</f>
        <v>0</v>
      </c>
      <c r="AA21" s="305">
        <f t="shared" si="7"/>
        <v>0</v>
      </c>
    </row>
    <row r="22" spans="1:27" x14ac:dyDescent="0.35">
      <c r="A22" s="24">
        <v>8</v>
      </c>
      <c r="B22" s="514" t="str">
        <f>IF('As-Filed Schedule 2G'!B22:D22=0,"",'As-Filed Schedule 2G'!B22:D22)</f>
        <v/>
      </c>
      <c r="C22" s="514"/>
      <c r="D22" s="514"/>
      <c r="F22" s="117">
        <f>'As-Filed Schedule 2G'!F22</f>
        <v>0</v>
      </c>
      <c r="G22" s="309">
        <f>SUMIFS(Adjustments!$G:$G,Adjustments!$H:$H,"2G",Adjustments!$I:$I,'Schedule 2G Adjustments'!$F$12,Adjustments!$J:$J,'Schedule 2G Adjustments'!$A22)</f>
        <v>0</v>
      </c>
      <c r="H22" s="305">
        <f t="shared" si="0"/>
        <v>0</v>
      </c>
      <c r="I22" s="68">
        <f>IFERROR(F22*'As-Filed Schedule 1'!$E$103,0)</f>
        <v>0</v>
      </c>
      <c r="J22" s="306">
        <f>IFERROR(H22*'Adjusted Schedule 1'!$E$104,0)</f>
        <v>0</v>
      </c>
      <c r="K22" s="68">
        <f t="shared" si="1"/>
        <v>0</v>
      </c>
      <c r="L22" s="306">
        <f t="shared" si="2"/>
        <v>0</v>
      </c>
      <c r="N22" s="117">
        <f>'As-Filed Schedule 2G'!J22</f>
        <v>0</v>
      </c>
      <c r="O22" s="309">
        <f>SUMIFS(Adjustments!$G:$G,Adjustments!$H:$H,"2G",Adjustments!$I:$I,'Schedule 2G Adjustments'!$N$12,Adjustments!$J:$J,'Schedule 2G Adjustments'!$A22)</f>
        <v>0</v>
      </c>
      <c r="P22" s="305">
        <f t="shared" si="3"/>
        <v>0</v>
      </c>
      <c r="Q22" s="68">
        <f>IFERROR(N22*'As-Filed Schedule 1'!$E$103,0)</f>
        <v>0</v>
      </c>
      <c r="R22" s="68">
        <f>IFERROR(P22*'Adjusted Schedule 1'!$E$104,0)</f>
        <v>0</v>
      </c>
      <c r="S22" s="68">
        <f t="shared" si="4"/>
        <v>0</v>
      </c>
      <c r="T22" s="306">
        <f t="shared" si="5"/>
        <v>0</v>
      </c>
      <c r="V22" s="119">
        <f>'As-Filed Schedule 2G'!N22</f>
        <v>0</v>
      </c>
      <c r="W22" s="309">
        <f>SUMIFS(Adjustments!$G:$G,Adjustments!$H:$H,"2G",Adjustments!$I:$I,'Schedule 2G Adjustments'!$V$12,Adjustments!$J:$J,'Schedule 2G Adjustments'!$A22)</f>
        <v>0</v>
      </c>
      <c r="X22" s="305">
        <f t="shared" si="6"/>
        <v>0</v>
      </c>
      <c r="Y22" s="119">
        <f>'As-Filed Schedule 2G'!O22</f>
        <v>0</v>
      </c>
      <c r="Z22" s="309">
        <f>SUMIFS(Adjustments!$G:$G,Adjustments!$H:$H,"2G",Adjustments!$I:$I,'Schedule 2G Adjustments'!$Y$12,Adjustments!$J:$J,'Schedule 2G Adjustments'!$A22)</f>
        <v>0</v>
      </c>
      <c r="AA22" s="305">
        <f t="shared" si="7"/>
        <v>0</v>
      </c>
    </row>
    <row r="23" spans="1:27" x14ac:dyDescent="0.35">
      <c r="A23" s="24">
        <v>9</v>
      </c>
      <c r="B23" s="514" t="str">
        <f>IF('As-Filed Schedule 2G'!B23:D23=0,"",'As-Filed Schedule 2G'!B23:D23)</f>
        <v/>
      </c>
      <c r="C23" s="514"/>
      <c r="D23" s="514"/>
      <c r="F23" s="117">
        <f>'As-Filed Schedule 2G'!F23</f>
        <v>0</v>
      </c>
      <c r="G23" s="309">
        <f>SUMIFS(Adjustments!$G:$G,Adjustments!$H:$H,"2G",Adjustments!$I:$I,'Schedule 2G Adjustments'!$F$12,Adjustments!$J:$J,'Schedule 2G Adjustments'!$A23)</f>
        <v>0</v>
      </c>
      <c r="H23" s="305">
        <f t="shared" si="0"/>
        <v>0</v>
      </c>
      <c r="I23" s="68">
        <f>IFERROR(F23*'As-Filed Schedule 1'!$E$103,0)</f>
        <v>0</v>
      </c>
      <c r="J23" s="306">
        <f>IFERROR(H23*'Adjusted Schedule 1'!$E$104,0)</f>
        <v>0</v>
      </c>
      <c r="K23" s="68">
        <f t="shared" si="1"/>
        <v>0</v>
      </c>
      <c r="L23" s="306">
        <f t="shared" si="2"/>
        <v>0</v>
      </c>
      <c r="N23" s="117">
        <f>'As-Filed Schedule 2G'!J23</f>
        <v>0</v>
      </c>
      <c r="O23" s="309">
        <f>SUMIFS(Adjustments!$G:$G,Adjustments!$H:$H,"2G",Adjustments!$I:$I,'Schedule 2G Adjustments'!$N$12,Adjustments!$J:$J,'Schedule 2G Adjustments'!$A23)</f>
        <v>0</v>
      </c>
      <c r="P23" s="305">
        <f t="shared" si="3"/>
        <v>0</v>
      </c>
      <c r="Q23" s="68">
        <f>IFERROR(N23*'As-Filed Schedule 1'!$E$103,0)</f>
        <v>0</v>
      </c>
      <c r="R23" s="68">
        <f>IFERROR(P23*'Adjusted Schedule 1'!$E$104,0)</f>
        <v>0</v>
      </c>
      <c r="S23" s="68">
        <f t="shared" si="4"/>
        <v>0</v>
      </c>
      <c r="T23" s="306">
        <f t="shared" si="5"/>
        <v>0</v>
      </c>
      <c r="V23" s="119">
        <f>'As-Filed Schedule 2G'!N23</f>
        <v>0</v>
      </c>
      <c r="W23" s="309">
        <f>SUMIFS(Adjustments!$G:$G,Adjustments!$H:$H,"2G",Adjustments!$I:$I,'Schedule 2G Adjustments'!$V$12,Adjustments!$J:$J,'Schedule 2G Adjustments'!$A23)</f>
        <v>0</v>
      </c>
      <c r="X23" s="305">
        <f t="shared" si="6"/>
        <v>0</v>
      </c>
      <c r="Y23" s="119">
        <f>'As-Filed Schedule 2G'!O23</f>
        <v>0</v>
      </c>
      <c r="Z23" s="309">
        <f>SUMIFS(Adjustments!$G:$G,Adjustments!$H:$H,"2G",Adjustments!$I:$I,'Schedule 2G Adjustments'!$Y$12,Adjustments!$J:$J,'Schedule 2G Adjustments'!$A23)</f>
        <v>0</v>
      </c>
      <c r="AA23" s="305">
        <f t="shared" si="7"/>
        <v>0</v>
      </c>
    </row>
    <row r="24" spans="1:27" x14ac:dyDescent="0.35">
      <c r="A24" s="24">
        <v>10</v>
      </c>
      <c r="B24" s="514" t="str">
        <f>IF('As-Filed Schedule 2G'!B24:D24=0,"",'As-Filed Schedule 2G'!B24:D24)</f>
        <v/>
      </c>
      <c r="C24" s="514"/>
      <c r="D24" s="514"/>
      <c r="F24" s="117">
        <f>'As-Filed Schedule 2G'!F24</f>
        <v>0</v>
      </c>
      <c r="G24" s="309">
        <f>SUMIFS(Adjustments!$G:$G,Adjustments!$H:$H,"2G",Adjustments!$I:$I,'Schedule 2G Adjustments'!$F$12,Adjustments!$J:$J,'Schedule 2G Adjustments'!$A24)</f>
        <v>0</v>
      </c>
      <c r="H24" s="305">
        <f t="shared" si="0"/>
        <v>0</v>
      </c>
      <c r="I24" s="68">
        <f>IFERROR(F24*'As-Filed Schedule 1'!$E$103,0)</f>
        <v>0</v>
      </c>
      <c r="J24" s="306">
        <f>IFERROR(H24*'Adjusted Schedule 1'!$E$104,0)</f>
        <v>0</v>
      </c>
      <c r="K24" s="68">
        <f t="shared" si="1"/>
        <v>0</v>
      </c>
      <c r="L24" s="306">
        <f t="shared" si="2"/>
        <v>0</v>
      </c>
      <c r="N24" s="117">
        <f>'As-Filed Schedule 2G'!J24</f>
        <v>0</v>
      </c>
      <c r="O24" s="309">
        <f>SUMIFS(Adjustments!$G:$G,Adjustments!$H:$H,"2G",Adjustments!$I:$I,'Schedule 2G Adjustments'!$N$12,Adjustments!$J:$J,'Schedule 2G Adjustments'!$A24)</f>
        <v>0</v>
      </c>
      <c r="P24" s="305">
        <f t="shared" si="3"/>
        <v>0</v>
      </c>
      <c r="Q24" s="68">
        <f>IFERROR(N24*'As-Filed Schedule 1'!$E$103,0)</f>
        <v>0</v>
      </c>
      <c r="R24" s="68">
        <f>IFERROR(P24*'Adjusted Schedule 1'!$E$104,0)</f>
        <v>0</v>
      </c>
      <c r="S24" s="68">
        <f t="shared" si="4"/>
        <v>0</v>
      </c>
      <c r="T24" s="306">
        <f t="shared" si="5"/>
        <v>0</v>
      </c>
      <c r="V24" s="119">
        <f>'As-Filed Schedule 2G'!N24</f>
        <v>0</v>
      </c>
      <c r="W24" s="309">
        <f>SUMIFS(Adjustments!$G:$G,Adjustments!$H:$H,"2G",Adjustments!$I:$I,'Schedule 2G Adjustments'!$V$12,Adjustments!$J:$J,'Schedule 2G Adjustments'!$A24)</f>
        <v>0</v>
      </c>
      <c r="X24" s="305">
        <f t="shared" si="6"/>
        <v>0</v>
      </c>
      <c r="Y24" s="119">
        <f>'As-Filed Schedule 2G'!O24</f>
        <v>0</v>
      </c>
      <c r="Z24" s="309">
        <f>SUMIFS(Adjustments!$G:$G,Adjustments!$H:$H,"2G",Adjustments!$I:$I,'Schedule 2G Adjustments'!$Y$12,Adjustments!$J:$J,'Schedule 2G Adjustments'!$A24)</f>
        <v>0</v>
      </c>
      <c r="AA24" s="305">
        <f t="shared" si="7"/>
        <v>0</v>
      </c>
    </row>
    <row r="25" spans="1:27" x14ac:dyDescent="0.35">
      <c r="A25" s="24">
        <v>11</v>
      </c>
      <c r="B25" s="514" t="str">
        <f>IF('As-Filed Schedule 2G'!B25:D25=0,"",'As-Filed Schedule 2G'!B25:D25)</f>
        <v/>
      </c>
      <c r="C25" s="514"/>
      <c r="D25" s="514"/>
      <c r="F25" s="117">
        <f>'As-Filed Schedule 2G'!F25</f>
        <v>0</v>
      </c>
      <c r="G25" s="309">
        <f>SUMIFS(Adjustments!$G:$G,Adjustments!$H:$H,"2G",Adjustments!$I:$I,'Schedule 2G Adjustments'!$F$12,Adjustments!$J:$J,'Schedule 2G Adjustments'!$A25)</f>
        <v>0</v>
      </c>
      <c r="H25" s="305">
        <f t="shared" si="0"/>
        <v>0</v>
      </c>
      <c r="I25" s="68">
        <f>IFERROR(F25*'As-Filed Schedule 1'!$E$103,0)</f>
        <v>0</v>
      </c>
      <c r="J25" s="306">
        <f>IFERROR(H25*'Adjusted Schedule 1'!$E$104,0)</f>
        <v>0</v>
      </c>
      <c r="K25" s="68">
        <f t="shared" si="1"/>
        <v>0</v>
      </c>
      <c r="L25" s="306">
        <f t="shared" si="2"/>
        <v>0</v>
      </c>
      <c r="N25" s="117">
        <f>'As-Filed Schedule 2G'!J25</f>
        <v>0</v>
      </c>
      <c r="O25" s="309">
        <f>SUMIFS(Adjustments!$G:$G,Adjustments!$H:$H,"2G",Adjustments!$I:$I,'Schedule 2G Adjustments'!$N$12,Adjustments!$J:$J,'Schedule 2G Adjustments'!$A25)</f>
        <v>0</v>
      </c>
      <c r="P25" s="305">
        <f t="shared" si="3"/>
        <v>0</v>
      </c>
      <c r="Q25" s="68">
        <f>IFERROR(N25*'As-Filed Schedule 1'!$E$103,0)</f>
        <v>0</v>
      </c>
      <c r="R25" s="68">
        <f>IFERROR(P25*'Adjusted Schedule 1'!$E$104,0)</f>
        <v>0</v>
      </c>
      <c r="S25" s="68">
        <f t="shared" si="4"/>
        <v>0</v>
      </c>
      <c r="T25" s="306">
        <f t="shared" si="5"/>
        <v>0</v>
      </c>
      <c r="V25" s="119">
        <f>'As-Filed Schedule 2G'!N25</f>
        <v>0</v>
      </c>
      <c r="W25" s="309">
        <f>SUMIFS(Adjustments!$G:$G,Adjustments!$H:$H,"2G",Adjustments!$I:$I,'Schedule 2G Adjustments'!$V$12,Adjustments!$J:$J,'Schedule 2G Adjustments'!$A25)</f>
        <v>0</v>
      </c>
      <c r="X25" s="305">
        <f t="shared" si="6"/>
        <v>0</v>
      </c>
      <c r="Y25" s="119">
        <f>'As-Filed Schedule 2G'!O25</f>
        <v>0</v>
      </c>
      <c r="Z25" s="309">
        <f>SUMIFS(Adjustments!$G:$G,Adjustments!$H:$H,"2G",Adjustments!$I:$I,'Schedule 2G Adjustments'!$Y$12,Adjustments!$J:$J,'Schedule 2G Adjustments'!$A25)</f>
        <v>0</v>
      </c>
      <c r="AA25" s="305">
        <f t="shared" si="7"/>
        <v>0</v>
      </c>
    </row>
    <row r="26" spans="1:27" x14ac:dyDescent="0.35">
      <c r="A26" s="24">
        <v>12</v>
      </c>
      <c r="B26" s="514" t="str">
        <f>IF('As-Filed Schedule 2G'!B26:D26=0,"",'As-Filed Schedule 2G'!B26:D26)</f>
        <v/>
      </c>
      <c r="C26" s="514"/>
      <c r="D26" s="514"/>
      <c r="F26" s="117">
        <f>'As-Filed Schedule 2G'!F26</f>
        <v>0</v>
      </c>
      <c r="G26" s="309">
        <f>SUMIFS(Adjustments!$G:$G,Adjustments!$H:$H,"2G",Adjustments!$I:$I,'Schedule 2G Adjustments'!$F$12,Adjustments!$J:$J,'Schedule 2G Adjustments'!$A26)</f>
        <v>0</v>
      </c>
      <c r="H26" s="305">
        <f t="shared" si="0"/>
        <v>0</v>
      </c>
      <c r="I26" s="68">
        <f>IFERROR(F26*'As-Filed Schedule 1'!$E$103,0)</f>
        <v>0</v>
      </c>
      <c r="J26" s="306">
        <f>IFERROR(H26*'Adjusted Schedule 1'!$E$104,0)</f>
        <v>0</v>
      </c>
      <c r="K26" s="68">
        <f t="shared" si="1"/>
        <v>0</v>
      </c>
      <c r="L26" s="306">
        <f t="shared" si="2"/>
        <v>0</v>
      </c>
      <c r="N26" s="117">
        <f>'As-Filed Schedule 2G'!J26</f>
        <v>0</v>
      </c>
      <c r="O26" s="309">
        <f>SUMIFS(Adjustments!$G:$G,Adjustments!$H:$H,"2G",Adjustments!$I:$I,'Schedule 2G Adjustments'!$N$12,Adjustments!$J:$J,'Schedule 2G Adjustments'!$A26)</f>
        <v>0</v>
      </c>
      <c r="P26" s="305">
        <f t="shared" si="3"/>
        <v>0</v>
      </c>
      <c r="Q26" s="68">
        <f>IFERROR(N26*'As-Filed Schedule 1'!$E$103,0)</f>
        <v>0</v>
      </c>
      <c r="R26" s="68">
        <f>IFERROR(P26*'Adjusted Schedule 1'!$E$104,0)</f>
        <v>0</v>
      </c>
      <c r="S26" s="68">
        <f t="shared" si="4"/>
        <v>0</v>
      </c>
      <c r="T26" s="306">
        <f t="shared" si="5"/>
        <v>0</v>
      </c>
      <c r="V26" s="119">
        <f>'As-Filed Schedule 2G'!N26</f>
        <v>0</v>
      </c>
      <c r="W26" s="309">
        <f>SUMIFS(Adjustments!$G:$G,Adjustments!$H:$H,"2G",Adjustments!$I:$I,'Schedule 2G Adjustments'!$V$12,Adjustments!$J:$J,'Schedule 2G Adjustments'!$A26)</f>
        <v>0</v>
      </c>
      <c r="X26" s="305">
        <f t="shared" si="6"/>
        <v>0</v>
      </c>
      <c r="Y26" s="119">
        <f>'As-Filed Schedule 2G'!O26</f>
        <v>0</v>
      </c>
      <c r="Z26" s="309">
        <f>SUMIFS(Adjustments!$G:$G,Adjustments!$H:$H,"2G",Adjustments!$I:$I,'Schedule 2G Adjustments'!$Y$12,Adjustments!$J:$J,'Schedule 2G Adjustments'!$A26)</f>
        <v>0</v>
      </c>
      <c r="AA26" s="305">
        <f t="shared" si="7"/>
        <v>0</v>
      </c>
    </row>
    <row r="27" spans="1:27" x14ac:dyDescent="0.35">
      <c r="A27" s="24">
        <v>13</v>
      </c>
      <c r="B27" s="514" t="str">
        <f>IF('As-Filed Schedule 2G'!B27:D27=0,"",'As-Filed Schedule 2G'!B27:D27)</f>
        <v/>
      </c>
      <c r="C27" s="514"/>
      <c r="D27" s="514"/>
      <c r="F27" s="117">
        <f>'As-Filed Schedule 2G'!F27</f>
        <v>0</v>
      </c>
      <c r="G27" s="309">
        <f>SUMIFS(Adjustments!$G:$G,Adjustments!$H:$H,"2G",Adjustments!$I:$I,'Schedule 2G Adjustments'!$F$12,Adjustments!$J:$J,'Schedule 2G Adjustments'!$A27)</f>
        <v>0</v>
      </c>
      <c r="H27" s="305">
        <f t="shared" si="0"/>
        <v>0</v>
      </c>
      <c r="I27" s="68">
        <f>IFERROR(F27*'As-Filed Schedule 1'!$E$103,0)</f>
        <v>0</v>
      </c>
      <c r="J27" s="306">
        <f>IFERROR(H27*'Adjusted Schedule 1'!$E$104,0)</f>
        <v>0</v>
      </c>
      <c r="K27" s="68">
        <f t="shared" si="1"/>
        <v>0</v>
      </c>
      <c r="L27" s="306">
        <f t="shared" si="2"/>
        <v>0</v>
      </c>
      <c r="N27" s="117">
        <f>'As-Filed Schedule 2G'!J27</f>
        <v>0</v>
      </c>
      <c r="O27" s="309">
        <f>SUMIFS(Adjustments!$G:$G,Adjustments!$H:$H,"2G",Adjustments!$I:$I,'Schedule 2G Adjustments'!$N$12,Adjustments!$J:$J,'Schedule 2G Adjustments'!$A27)</f>
        <v>0</v>
      </c>
      <c r="P27" s="305">
        <f t="shared" si="3"/>
        <v>0</v>
      </c>
      <c r="Q27" s="68">
        <f>IFERROR(N27*'As-Filed Schedule 1'!$E$103,0)</f>
        <v>0</v>
      </c>
      <c r="R27" s="68">
        <f>IFERROR(P27*'Adjusted Schedule 1'!$E$104,0)</f>
        <v>0</v>
      </c>
      <c r="S27" s="68">
        <f t="shared" si="4"/>
        <v>0</v>
      </c>
      <c r="T27" s="306">
        <f t="shared" si="5"/>
        <v>0</v>
      </c>
      <c r="V27" s="119">
        <f>'As-Filed Schedule 2G'!N27</f>
        <v>0</v>
      </c>
      <c r="W27" s="309">
        <f>SUMIFS(Adjustments!$G:$G,Adjustments!$H:$H,"2G",Adjustments!$I:$I,'Schedule 2G Adjustments'!$V$12,Adjustments!$J:$J,'Schedule 2G Adjustments'!$A27)</f>
        <v>0</v>
      </c>
      <c r="X27" s="305">
        <f t="shared" si="6"/>
        <v>0</v>
      </c>
      <c r="Y27" s="119">
        <f>'As-Filed Schedule 2G'!O27</f>
        <v>0</v>
      </c>
      <c r="Z27" s="309">
        <f>SUMIFS(Adjustments!$G:$G,Adjustments!$H:$H,"2G",Adjustments!$I:$I,'Schedule 2G Adjustments'!$Y$12,Adjustments!$J:$J,'Schedule 2G Adjustments'!$A27)</f>
        <v>0</v>
      </c>
      <c r="AA27" s="305">
        <f t="shared" si="7"/>
        <v>0</v>
      </c>
    </row>
    <row r="28" spans="1:27" x14ac:dyDescent="0.35">
      <c r="A28" s="24">
        <v>14</v>
      </c>
      <c r="B28" s="514" t="str">
        <f>IF('As-Filed Schedule 2G'!B28:D28=0,"",'As-Filed Schedule 2G'!B28:D28)</f>
        <v/>
      </c>
      <c r="C28" s="514"/>
      <c r="D28" s="514"/>
      <c r="F28" s="117">
        <f>'As-Filed Schedule 2G'!F28</f>
        <v>0</v>
      </c>
      <c r="G28" s="309">
        <f>SUMIFS(Adjustments!$G:$G,Adjustments!$H:$H,"2G",Adjustments!$I:$I,'Schedule 2G Adjustments'!$F$12,Adjustments!$J:$J,'Schedule 2G Adjustments'!$A28)</f>
        <v>0</v>
      </c>
      <c r="H28" s="305">
        <f t="shared" si="0"/>
        <v>0</v>
      </c>
      <c r="I28" s="68">
        <f>IFERROR(F28*'As-Filed Schedule 1'!$E$103,0)</f>
        <v>0</v>
      </c>
      <c r="J28" s="306">
        <f>IFERROR(H28*'Adjusted Schedule 1'!$E$104,0)</f>
        <v>0</v>
      </c>
      <c r="K28" s="68">
        <f t="shared" si="1"/>
        <v>0</v>
      </c>
      <c r="L28" s="306">
        <f t="shared" si="2"/>
        <v>0</v>
      </c>
      <c r="N28" s="117">
        <f>'As-Filed Schedule 2G'!J28</f>
        <v>0</v>
      </c>
      <c r="O28" s="309">
        <f>SUMIFS(Adjustments!$G:$G,Adjustments!$H:$H,"2G",Adjustments!$I:$I,'Schedule 2G Adjustments'!$N$12,Adjustments!$J:$J,'Schedule 2G Adjustments'!$A28)</f>
        <v>0</v>
      </c>
      <c r="P28" s="305">
        <f t="shared" si="3"/>
        <v>0</v>
      </c>
      <c r="Q28" s="68">
        <f>IFERROR(N28*'As-Filed Schedule 1'!$E$103,0)</f>
        <v>0</v>
      </c>
      <c r="R28" s="68">
        <f>IFERROR(P28*'Adjusted Schedule 1'!$E$104,0)</f>
        <v>0</v>
      </c>
      <c r="S28" s="68">
        <f t="shared" si="4"/>
        <v>0</v>
      </c>
      <c r="T28" s="306">
        <f t="shared" si="5"/>
        <v>0</v>
      </c>
      <c r="V28" s="119">
        <f>'As-Filed Schedule 2G'!N28</f>
        <v>0</v>
      </c>
      <c r="W28" s="309">
        <f>SUMIFS(Adjustments!$G:$G,Adjustments!$H:$H,"2G",Adjustments!$I:$I,'Schedule 2G Adjustments'!$V$12,Adjustments!$J:$J,'Schedule 2G Adjustments'!$A28)</f>
        <v>0</v>
      </c>
      <c r="X28" s="305">
        <f t="shared" si="6"/>
        <v>0</v>
      </c>
      <c r="Y28" s="119">
        <f>'As-Filed Schedule 2G'!O28</f>
        <v>0</v>
      </c>
      <c r="Z28" s="309">
        <f>SUMIFS(Adjustments!$G:$G,Adjustments!$H:$H,"2G",Adjustments!$I:$I,'Schedule 2G Adjustments'!$Y$12,Adjustments!$J:$J,'Schedule 2G Adjustments'!$A28)</f>
        <v>0</v>
      </c>
      <c r="AA28" s="305">
        <f t="shared" si="7"/>
        <v>0</v>
      </c>
    </row>
    <row r="29" spans="1:27" x14ac:dyDescent="0.35">
      <c r="A29" s="24">
        <v>15</v>
      </c>
      <c r="B29" s="514" t="str">
        <f>IF('As-Filed Schedule 2G'!B29:D29=0,"",'As-Filed Schedule 2G'!B29:D29)</f>
        <v/>
      </c>
      <c r="C29" s="514"/>
      <c r="D29" s="514"/>
      <c r="F29" s="117">
        <f>'As-Filed Schedule 2G'!F29</f>
        <v>0</v>
      </c>
      <c r="G29" s="309">
        <f>SUMIFS(Adjustments!$G:$G,Adjustments!$H:$H,"2G",Adjustments!$I:$I,'Schedule 2G Adjustments'!$F$12,Adjustments!$J:$J,'Schedule 2G Adjustments'!$A29)</f>
        <v>0</v>
      </c>
      <c r="H29" s="305">
        <f t="shared" si="0"/>
        <v>0</v>
      </c>
      <c r="I29" s="68">
        <f>IFERROR(F29*'As-Filed Schedule 1'!$E$103,0)</f>
        <v>0</v>
      </c>
      <c r="J29" s="306">
        <f>IFERROR(H29*'Adjusted Schedule 1'!$E$104,0)</f>
        <v>0</v>
      </c>
      <c r="K29" s="68">
        <f t="shared" si="1"/>
        <v>0</v>
      </c>
      <c r="L29" s="306">
        <f t="shared" si="2"/>
        <v>0</v>
      </c>
      <c r="N29" s="117">
        <f>'As-Filed Schedule 2G'!J29</f>
        <v>0</v>
      </c>
      <c r="O29" s="309">
        <f>SUMIFS(Adjustments!$G:$G,Adjustments!$H:$H,"2G",Adjustments!$I:$I,'Schedule 2G Adjustments'!$N$12,Adjustments!$J:$J,'Schedule 2G Adjustments'!$A29)</f>
        <v>0</v>
      </c>
      <c r="P29" s="305">
        <f t="shared" si="3"/>
        <v>0</v>
      </c>
      <c r="Q29" s="68">
        <f>IFERROR(N29*'As-Filed Schedule 1'!$E$103,0)</f>
        <v>0</v>
      </c>
      <c r="R29" s="68">
        <f>IFERROR(P29*'Adjusted Schedule 1'!$E$104,0)</f>
        <v>0</v>
      </c>
      <c r="S29" s="68">
        <f t="shared" si="4"/>
        <v>0</v>
      </c>
      <c r="T29" s="306">
        <f t="shared" si="5"/>
        <v>0</v>
      </c>
      <c r="V29" s="119">
        <f>'As-Filed Schedule 2G'!N29</f>
        <v>0</v>
      </c>
      <c r="W29" s="309">
        <f>SUMIFS(Adjustments!$G:$G,Adjustments!$H:$H,"2G",Adjustments!$I:$I,'Schedule 2G Adjustments'!$V$12,Adjustments!$J:$J,'Schedule 2G Adjustments'!$A29)</f>
        <v>0</v>
      </c>
      <c r="X29" s="305">
        <f t="shared" si="6"/>
        <v>0</v>
      </c>
      <c r="Y29" s="119">
        <f>'As-Filed Schedule 2G'!O29</f>
        <v>0</v>
      </c>
      <c r="Z29" s="309">
        <f>SUMIFS(Adjustments!$G:$G,Adjustments!$H:$H,"2G",Adjustments!$I:$I,'Schedule 2G Adjustments'!$Y$12,Adjustments!$J:$J,'Schedule 2G Adjustments'!$A29)</f>
        <v>0</v>
      </c>
      <c r="AA29" s="305">
        <f t="shared" si="7"/>
        <v>0</v>
      </c>
    </row>
    <row r="30" spans="1:27" x14ac:dyDescent="0.35">
      <c r="A30" s="24">
        <v>16</v>
      </c>
      <c r="B30" s="514" t="str">
        <f>IF('As-Filed Schedule 2G'!B30:D30=0,"",'As-Filed Schedule 2G'!B30:D30)</f>
        <v/>
      </c>
      <c r="C30" s="514"/>
      <c r="D30" s="514"/>
      <c r="F30" s="117">
        <f>'As-Filed Schedule 2G'!F30</f>
        <v>0</v>
      </c>
      <c r="G30" s="309">
        <f>SUMIFS(Adjustments!$G:$G,Adjustments!$H:$H,"2G",Adjustments!$I:$I,'Schedule 2G Adjustments'!$F$12,Adjustments!$J:$J,'Schedule 2G Adjustments'!$A30)</f>
        <v>0</v>
      </c>
      <c r="H30" s="305">
        <f t="shared" si="0"/>
        <v>0</v>
      </c>
      <c r="I30" s="68">
        <f>IFERROR(F30*'As-Filed Schedule 1'!$E$103,0)</f>
        <v>0</v>
      </c>
      <c r="J30" s="306">
        <f>IFERROR(H30*'Adjusted Schedule 1'!$E$104,0)</f>
        <v>0</v>
      </c>
      <c r="K30" s="68">
        <f t="shared" si="1"/>
        <v>0</v>
      </c>
      <c r="L30" s="306">
        <f t="shared" si="2"/>
        <v>0</v>
      </c>
      <c r="N30" s="117">
        <f>'As-Filed Schedule 2G'!J30</f>
        <v>0</v>
      </c>
      <c r="O30" s="309">
        <f>SUMIFS(Adjustments!$G:$G,Adjustments!$H:$H,"2G",Adjustments!$I:$I,'Schedule 2G Adjustments'!$N$12,Adjustments!$J:$J,'Schedule 2G Adjustments'!$A30)</f>
        <v>0</v>
      </c>
      <c r="P30" s="305">
        <f t="shared" si="3"/>
        <v>0</v>
      </c>
      <c r="Q30" s="68">
        <f>IFERROR(N30*'As-Filed Schedule 1'!$E$103,0)</f>
        <v>0</v>
      </c>
      <c r="R30" s="68">
        <f>IFERROR(P30*'Adjusted Schedule 1'!$E$104,0)</f>
        <v>0</v>
      </c>
      <c r="S30" s="68">
        <f t="shared" si="4"/>
        <v>0</v>
      </c>
      <c r="T30" s="306">
        <f t="shared" si="5"/>
        <v>0</v>
      </c>
      <c r="V30" s="119">
        <f>'As-Filed Schedule 2G'!N30</f>
        <v>0</v>
      </c>
      <c r="W30" s="309">
        <f>SUMIFS(Adjustments!$G:$G,Adjustments!$H:$H,"2G",Adjustments!$I:$I,'Schedule 2G Adjustments'!$V$12,Adjustments!$J:$J,'Schedule 2G Adjustments'!$A30)</f>
        <v>0</v>
      </c>
      <c r="X30" s="305">
        <f t="shared" si="6"/>
        <v>0</v>
      </c>
      <c r="Y30" s="119">
        <f>'As-Filed Schedule 2G'!O30</f>
        <v>0</v>
      </c>
      <c r="Z30" s="309">
        <f>SUMIFS(Adjustments!$G:$G,Adjustments!$H:$H,"2G",Adjustments!$I:$I,'Schedule 2G Adjustments'!$Y$12,Adjustments!$J:$J,'Schedule 2G Adjustments'!$A30)</f>
        <v>0</v>
      </c>
      <c r="AA30" s="305">
        <f t="shared" si="7"/>
        <v>0</v>
      </c>
    </row>
    <row r="31" spans="1:27" x14ac:dyDescent="0.35">
      <c r="A31" s="24">
        <v>17</v>
      </c>
      <c r="B31" s="514" t="str">
        <f>IF('As-Filed Schedule 2G'!B31:D31=0,"",'As-Filed Schedule 2G'!B31:D31)</f>
        <v/>
      </c>
      <c r="C31" s="514"/>
      <c r="D31" s="514"/>
      <c r="F31" s="117">
        <f>'As-Filed Schedule 2G'!F31</f>
        <v>0</v>
      </c>
      <c r="G31" s="309">
        <f>SUMIFS(Adjustments!$G:$G,Adjustments!$H:$H,"2G",Adjustments!$I:$I,'Schedule 2G Adjustments'!$F$12,Adjustments!$J:$J,'Schedule 2G Adjustments'!$A31)</f>
        <v>0</v>
      </c>
      <c r="H31" s="305">
        <f t="shared" si="0"/>
        <v>0</v>
      </c>
      <c r="I31" s="68">
        <f>IFERROR(F31*'As-Filed Schedule 1'!$E$103,0)</f>
        <v>0</v>
      </c>
      <c r="J31" s="306">
        <f>IFERROR(H31*'Adjusted Schedule 1'!$E$104,0)</f>
        <v>0</v>
      </c>
      <c r="K31" s="68">
        <f t="shared" si="1"/>
        <v>0</v>
      </c>
      <c r="L31" s="306">
        <f t="shared" si="2"/>
        <v>0</v>
      </c>
      <c r="N31" s="117">
        <f>'As-Filed Schedule 2G'!J31</f>
        <v>0</v>
      </c>
      <c r="O31" s="309">
        <f>SUMIFS(Adjustments!$G:$G,Adjustments!$H:$H,"2G",Adjustments!$I:$I,'Schedule 2G Adjustments'!$N$12,Adjustments!$J:$J,'Schedule 2G Adjustments'!$A31)</f>
        <v>0</v>
      </c>
      <c r="P31" s="305">
        <f t="shared" si="3"/>
        <v>0</v>
      </c>
      <c r="Q31" s="68">
        <f>IFERROR(N31*'As-Filed Schedule 1'!$E$103,0)</f>
        <v>0</v>
      </c>
      <c r="R31" s="68">
        <f>IFERROR(P31*'Adjusted Schedule 1'!$E$104,0)</f>
        <v>0</v>
      </c>
      <c r="S31" s="68">
        <f t="shared" si="4"/>
        <v>0</v>
      </c>
      <c r="T31" s="306">
        <f t="shared" si="5"/>
        <v>0</v>
      </c>
      <c r="V31" s="119">
        <f>'As-Filed Schedule 2G'!N31</f>
        <v>0</v>
      </c>
      <c r="W31" s="309">
        <f>SUMIFS(Adjustments!$G:$G,Adjustments!$H:$H,"2G",Adjustments!$I:$I,'Schedule 2G Adjustments'!$V$12,Adjustments!$J:$J,'Schedule 2G Adjustments'!$A31)</f>
        <v>0</v>
      </c>
      <c r="X31" s="305">
        <f t="shared" si="6"/>
        <v>0</v>
      </c>
      <c r="Y31" s="119">
        <f>'As-Filed Schedule 2G'!O31</f>
        <v>0</v>
      </c>
      <c r="Z31" s="309">
        <f>SUMIFS(Adjustments!$G:$G,Adjustments!$H:$H,"2G",Adjustments!$I:$I,'Schedule 2G Adjustments'!$Y$12,Adjustments!$J:$J,'Schedule 2G Adjustments'!$A31)</f>
        <v>0</v>
      </c>
      <c r="AA31" s="305">
        <f t="shared" si="7"/>
        <v>0</v>
      </c>
    </row>
    <row r="32" spans="1:27" x14ac:dyDescent="0.35">
      <c r="A32" s="24">
        <v>18</v>
      </c>
      <c r="B32" s="514" t="str">
        <f>IF('As-Filed Schedule 2G'!B32:D32=0,"",'As-Filed Schedule 2G'!B32:D32)</f>
        <v/>
      </c>
      <c r="C32" s="514"/>
      <c r="D32" s="514"/>
      <c r="F32" s="117">
        <f>'As-Filed Schedule 2G'!F32</f>
        <v>0</v>
      </c>
      <c r="G32" s="309">
        <f>SUMIFS(Adjustments!$G:$G,Adjustments!$H:$H,"2G",Adjustments!$I:$I,'Schedule 2G Adjustments'!$F$12,Adjustments!$J:$J,'Schedule 2G Adjustments'!$A32)</f>
        <v>0</v>
      </c>
      <c r="H32" s="305">
        <f t="shared" si="0"/>
        <v>0</v>
      </c>
      <c r="I32" s="68">
        <f>IFERROR(F32*'As-Filed Schedule 1'!$E$103,0)</f>
        <v>0</v>
      </c>
      <c r="J32" s="306">
        <f>IFERROR(H32*'Adjusted Schedule 1'!$E$104,0)</f>
        <v>0</v>
      </c>
      <c r="K32" s="68">
        <f t="shared" si="1"/>
        <v>0</v>
      </c>
      <c r="L32" s="306">
        <f t="shared" si="2"/>
        <v>0</v>
      </c>
      <c r="N32" s="117">
        <f>'As-Filed Schedule 2G'!J32</f>
        <v>0</v>
      </c>
      <c r="O32" s="309">
        <f>SUMIFS(Adjustments!$G:$G,Adjustments!$H:$H,"2G",Adjustments!$I:$I,'Schedule 2G Adjustments'!$N$12,Adjustments!$J:$J,'Schedule 2G Adjustments'!$A32)</f>
        <v>0</v>
      </c>
      <c r="P32" s="305">
        <f t="shared" si="3"/>
        <v>0</v>
      </c>
      <c r="Q32" s="68">
        <f>IFERROR(N32*'As-Filed Schedule 1'!$E$103,0)</f>
        <v>0</v>
      </c>
      <c r="R32" s="68">
        <f>IFERROR(P32*'Adjusted Schedule 1'!$E$104,0)</f>
        <v>0</v>
      </c>
      <c r="S32" s="68">
        <f t="shared" si="4"/>
        <v>0</v>
      </c>
      <c r="T32" s="306">
        <f t="shared" si="5"/>
        <v>0</v>
      </c>
      <c r="V32" s="119">
        <f>'As-Filed Schedule 2G'!N32</f>
        <v>0</v>
      </c>
      <c r="W32" s="309">
        <f>SUMIFS(Adjustments!$G:$G,Adjustments!$H:$H,"2G",Adjustments!$I:$I,'Schedule 2G Adjustments'!$V$12,Adjustments!$J:$J,'Schedule 2G Adjustments'!$A32)</f>
        <v>0</v>
      </c>
      <c r="X32" s="305">
        <f t="shared" si="6"/>
        <v>0</v>
      </c>
      <c r="Y32" s="119">
        <f>'As-Filed Schedule 2G'!O32</f>
        <v>0</v>
      </c>
      <c r="Z32" s="309">
        <f>SUMIFS(Adjustments!$G:$G,Adjustments!$H:$H,"2G",Adjustments!$I:$I,'Schedule 2G Adjustments'!$Y$12,Adjustments!$J:$J,'Schedule 2G Adjustments'!$A32)</f>
        <v>0</v>
      </c>
      <c r="AA32" s="305">
        <f t="shared" si="7"/>
        <v>0</v>
      </c>
    </row>
    <row r="33" spans="1:27" x14ac:dyDescent="0.35">
      <c r="A33" s="24">
        <v>19</v>
      </c>
      <c r="B33" s="514" t="str">
        <f>IF('As-Filed Schedule 2G'!B33:D33=0,"",'As-Filed Schedule 2G'!B33:D33)</f>
        <v/>
      </c>
      <c r="C33" s="514"/>
      <c r="D33" s="514"/>
      <c r="F33" s="117">
        <f>'As-Filed Schedule 2G'!F33</f>
        <v>0</v>
      </c>
      <c r="G33" s="309">
        <f>SUMIFS(Adjustments!$G:$G,Adjustments!$H:$H,"2G",Adjustments!$I:$I,'Schedule 2G Adjustments'!$F$12,Adjustments!$J:$J,'Schedule 2G Adjustments'!$A33)</f>
        <v>0</v>
      </c>
      <c r="H33" s="305">
        <f t="shared" si="0"/>
        <v>0</v>
      </c>
      <c r="I33" s="68">
        <f>IFERROR(F33*'As-Filed Schedule 1'!$E$103,0)</f>
        <v>0</v>
      </c>
      <c r="J33" s="306">
        <f>IFERROR(H33*'Adjusted Schedule 1'!$E$104,0)</f>
        <v>0</v>
      </c>
      <c r="K33" s="68">
        <f t="shared" si="1"/>
        <v>0</v>
      </c>
      <c r="L33" s="306">
        <f t="shared" si="2"/>
        <v>0</v>
      </c>
      <c r="N33" s="117">
        <f>'As-Filed Schedule 2G'!J33</f>
        <v>0</v>
      </c>
      <c r="O33" s="309">
        <f>SUMIFS(Adjustments!$G:$G,Adjustments!$H:$H,"2G",Adjustments!$I:$I,'Schedule 2G Adjustments'!$N$12,Adjustments!$J:$J,'Schedule 2G Adjustments'!$A33)</f>
        <v>0</v>
      </c>
      <c r="P33" s="305">
        <f t="shared" si="3"/>
        <v>0</v>
      </c>
      <c r="Q33" s="68">
        <f>IFERROR(N33*'As-Filed Schedule 1'!$E$103,0)</f>
        <v>0</v>
      </c>
      <c r="R33" s="68">
        <f>IFERROR(P33*'Adjusted Schedule 1'!$E$104,0)</f>
        <v>0</v>
      </c>
      <c r="S33" s="68">
        <f t="shared" si="4"/>
        <v>0</v>
      </c>
      <c r="T33" s="306">
        <f t="shared" si="5"/>
        <v>0</v>
      </c>
      <c r="V33" s="119">
        <f>'As-Filed Schedule 2G'!N33</f>
        <v>0</v>
      </c>
      <c r="W33" s="309">
        <f>SUMIFS(Adjustments!$G:$G,Adjustments!$H:$H,"2G",Adjustments!$I:$I,'Schedule 2G Adjustments'!$V$12,Adjustments!$J:$J,'Schedule 2G Adjustments'!$A33)</f>
        <v>0</v>
      </c>
      <c r="X33" s="305">
        <f t="shared" si="6"/>
        <v>0</v>
      </c>
      <c r="Y33" s="119">
        <f>'As-Filed Schedule 2G'!O33</f>
        <v>0</v>
      </c>
      <c r="Z33" s="309">
        <f>SUMIFS(Adjustments!$G:$G,Adjustments!$H:$H,"2G",Adjustments!$I:$I,'Schedule 2G Adjustments'!$Y$12,Adjustments!$J:$J,'Schedule 2G Adjustments'!$A33)</f>
        <v>0</v>
      </c>
      <c r="AA33" s="305">
        <f t="shared" si="7"/>
        <v>0</v>
      </c>
    </row>
    <row r="34" spans="1:27" x14ac:dyDescent="0.35">
      <c r="A34" s="24">
        <v>20</v>
      </c>
      <c r="B34" s="514" t="str">
        <f>IF('As-Filed Schedule 2G'!B34:D34=0,"",'As-Filed Schedule 2G'!B34:D34)</f>
        <v/>
      </c>
      <c r="C34" s="514"/>
      <c r="D34" s="514"/>
      <c r="F34" s="117">
        <f>'As-Filed Schedule 2G'!F34</f>
        <v>0</v>
      </c>
      <c r="G34" s="309">
        <f>SUMIFS(Adjustments!$G:$G,Adjustments!$H:$H,"2G",Adjustments!$I:$I,'Schedule 2G Adjustments'!$F$12,Adjustments!$J:$J,'Schedule 2G Adjustments'!$A34)</f>
        <v>0</v>
      </c>
      <c r="H34" s="305">
        <f t="shared" si="0"/>
        <v>0</v>
      </c>
      <c r="I34" s="68">
        <f>IFERROR(F34*'As-Filed Schedule 1'!$E$103,0)</f>
        <v>0</v>
      </c>
      <c r="J34" s="306">
        <f>IFERROR(H34*'Adjusted Schedule 1'!$E$104,0)</f>
        <v>0</v>
      </c>
      <c r="K34" s="68">
        <f t="shared" si="1"/>
        <v>0</v>
      </c>
      <c r="L34" s="306">
        <f t="shared" si="2"/>
        <v>0</v>
      </c>
      <c r="N34" s="117">
        <f>'As-Filed Schedule 2G'!J34</f>
        <v>0</v>
      </c>
      <c r="O34" s="309">
        <f>SUMIFS(Adjustments!$G:$G,Adjustments!$H:$H,"2G",Adjustments!$I:$I,'Schedule 2G Adjustments'!$N$12,Adjustments!$J:$J,'Schedule 2G Adjustments'!$A34)</f>
        <v>0</v>
      </c>
      <c r="P34" s="305">
        <f t="shared" si="3"/>
        <v>0</v>
      </c>
      <c r="Q34" s="68">
        <f>IFERROR(N34*'As-Filed Schedule 1'!$E$103,0)</f>
        <v>0</v>
      </c>
      <c r="R34" s="68">
        <f>IFERROR(P34*'Adjusted Schedule 1'!$E$104,0)</f>
        <v>0</v>
      </c>
      <c r="S34" s="68">
        <f t="shared" si="4"/>
        <v>0</v>
      </c>
      <c r="T34" s="306">
        <f t="shared" si="5"/>
        <v>0</v>
      </c>
      <c r="V34" s="119">
        <f>'As-Filed Schedule 2G'!N34</f>
        <v>0</v>
      </c>
      <c r="W34" s="309">
        <f>SUMIFS(Adjustments!$G:$G,Adjustments!$H:$H,"2G",Adjustments!$I:$I,'Schedule 2G Adjustments'!$V$12,Adjustments!$J:$J,'Schedule 2G Adjustments'!$A34)</f>
        <v>0</v>
      </c>
      <c r="X34" s="305">
        <f t="shared" si="6"/>
        <v>0</v>
      </c>
      <c r="Y34" s="119">
        <f>'As-Filed Schedule 2G'!O34</f>
        <v>0</v>
      </c>
      <c r="Z34" s="309">
        <f>SUMIFS(Adjustments!$G:$G,Adjustments!$H:$H,"2G",Adjustments!$I:$I,'Schedule 2G Adjustments'!$Y$12,Adjustments!$J:$J,'Schedule 2G Adjustments'!$A34)</f>
        <v>0</v>
      </c>
      <c r="AA34" s="305">
        <f t="shared" si="7"/>
        <v>0</v>
      </c>
    </row>
    <row r="35" spans="1:27" x14ac:dyDescent="0.35">
      <c r="A35" s="24">
        <v>21</v>
      </c>
      <c r="B35" s="514" t="str">
        <f>IF('As-Filed Schedule 2G'!B35:D35=0,"",'As-Filed Schedule 2G'!B35:D35)</f>
        <v/>
      </c>
      <c r="C35" s="514"/>
      <c r="D35" s="514"/>
      <c r="F35" s="117">
        <f>'As-Filed Schedule 2G'!F35</f>
        <v>0</v>
      </c>
      <c r="G35" s="309">
        <f>SUMIFS(Adjustments!$G:$G,Adjustments!$H:$H,"2G",Adjustments!$I:$I,'Schedule 2G Adjustments'!$F$12,Adjustments!$J:$J,'Schedule 2G Adjustments'!$A35)</f>
        <v>0</v>
      </c>
      <c r="H35" s="305">
        <f t="shared" si="0"/>
        <v>0</v>
      </c>
      <c r="I35" s="68">
        <f>IFERROR(F35*'As-Filed Schedule 1'!$E$103,0)</f>
        <v>0</v>
      </c>
      <c r="J35" s="306">
        <f>IFERROR(H35*'Adjusted Schedule 1'!$E$104,0)</f>
        <v>0</v>
      </c>
      <c r="K35" s="68">
        <f t="shared" si="1"/>
        <v>0</v>
      </c>
      <c r="L35" s="306">
        <f t="shared" si="2"/>
        <v>0</v>
      </c>
      <c r="N35" s="117">
        <f>'As-Filed Schedule 2G'!J35</f>
        <v>0</v>
      </c>
      <c r="O35" s="309">
        <f>SUMIFS(Adjustments!$G:$G,Adjustments!$H:$H,"2G",Adjustments!$I:$I,'Schedule 2G Adjustments'!$N$12,Adjustments!$J:$J,'Schedule 2G Adjustments'!$A35)</f>
        <v>0</v>
      </c>
      <c r="P35" s="305">
        <f t="shared" si="3"/>
        <v>0</v>
      </c>
      <c r="Q35" s="68">
        <f>IFERROR(N35*'As-Filed Schedule 1'!$E$103,0)</f>
        <v>0</v>
      </c>
      <c r="R35" s="68">
        <f>IFERROR(P35*'Adjusted Schedule 1'!$E$104,0)</f>
        <v>0</v>
      </c>
      <c r="S35" s="68">
        <f t="shared" si="4"/>
        <v>0</v>
      </c>
      <c r="T35" s="306">
        <f t="shared" si="5"/>
        <v>0</v>
      </c>
      <c r="V35" s="119">
        <f>'As-Filed Schedule 2G'!N35</f>
        <v>0</v>
      </c>
      <c r="W35" s="309">
        <f>SUMIFS(Adjustments!$G:$G,Adjustments!$H:$H,"2G",Adjustments!$I:$I,'Schedule 2G Adjustments'!$V$12,Adjustments!$J:$J,'Schedule 2G Adjustments'!$A35)</f>
        <v>0</v>
      </c>
      <c r="X35" s="305">
        <f t="shared" si="6"/>
        <v>0</v>
      </c>
      <c r="Y35" s="119">
        <f>'As-Filed Schedule 2G'!O35</f>
        <v>0</v>
      </c>
      <c r="Z35" s="309">
        <f>SUMIFS(Adjustments!$G:$G,Adjustments!$H:$H,"2G",Adjustments!$I:$I,'Schedule 2G Adjustments'!$Y$12,Adjustments!$J:$J,'Schedule 2G Adjustments'!$A35)</f>
        <v>0</v>
      </c>
      <c r="AA35" s="305">
        <f t="shared" si="7"/>
        <v>0</v>
      </c>
    </row>
    <row r="36" spans="1:27" x14ac:dyDescent="0.35">
      <c r="A36" s="24">
        <v>22</v>
      </c>
      <c r="B36" s="514" t="str">
        <f>IF('As-Filed Schedule 2G'!B36:D36=0,"",'As-Filed Schedule 2G'!B36:D36)</f>
        <v/>
      </c>
      <c r="C36" s="514"/>
      <c r="D36" s="514"/>
      <c r="F36" s="117">
        <f>'As-Filed Schedule 2G'!F36</f>
        <v>0</v>
      </c>
      <c r="G36" s="309">
        <f>SUMIFS(Adjustments!$G:$G,Adjustments!$H:$H,"2G",Adjustments!$I:$I,'Schedule 2G Adjustments'!$F$12,Adjustments!$J:$J,'Schedule 2G Adjustments'!$A36)</f>
        <v>0</v>
      </c>
      <c r="H36" s="305">
        <f t="shared" si="0"/>
        <v>0</v>
      </c>
      <c r="I36" s="68">
        <f>IFERROR(F36*'As-Filed Schedule 1'!$E$103,0)</f>
        <v>0</v>
      </c>
      <c r="J36" s="306">
        <f>IFERROR(H36*'Adjusted Schedule 1'!$E$104,0)</f>
        <v>0</v>
      </c>
      <c r="K36" s="68">
        <f t="shared" si="1"/>
        <v>0</v>
      </c>
      <c r="L36" s="306">
        <f t="shared" si="2"/>
        <v>0</v>
      </c>
      <c r="N36" s="117">
        <f>'As-Filed Schedule 2G'!J36</f>
        <v>0</v>
      </c>
      <c r="O36" s="309">
        <f>SUMIFS(Adjustments!$G:$G,Adjustments!$H:$H,"2G",Adjustments!$I:$I,'Schedule 2G Adjustments'!$N$12,Adjustments!$J:$J,'Schedule 2G Adjustments'!$A36)</f>
        <v>0</v>
      </c>
      <c r="P36" s="305">
        <f t="shared" si="3"/>
        <v>0</v>
      </c>
      <c r="Q36" s="68">
        <f>IFERROR(N36*'As-Filed Schedule 1'!$E$103,0)</f>
        <v>0</v>
      </c>
      <c r="R36" s="68">
        <f>IFERROR(P36*'Adjusted Schedule 1'!$E$104,0)</f>
        <v>0</v>
      </c>
      <c r="S36" s="68">
        <f t="shared" si="4"/>
        <v>0</v>
      </c>
      <c r="T36" s="306">
        <f t="shared" si="5"/>
        <v>0</v>
      </c>
      <c r="V36" s="119">
        <f>'As-Filed Schedule 2G'!N36</f>
        <v>0</v>
      </c>
      <c r="W36" s="309">
        <f>SUMIFS(Adjustments!$G:$G,Adjustments!$H:$H,"2G",Adjustments!$I:$I,'Schedule 2G Adjustments'!$V$12,Adjustments!$J:$J,'Schedule 2G Adjustments'!$A36)</f>
        <v>0</v>
      </c>
      <c r="X36" s="305">
        <f t="shared" si="6"/>
        <v>0</v>
      </c>
      <c r="Y36" s="119">
        <f>'As-Filed Schedule 2G'!O36</f>
        <v>0</v>
      </c>
      <c r="Z36" s="309">
        <f>SUMIFS(Adjustments!$G:$G,Adjustments!$H:$H,"2G",Adjustments!$I:$I,'Schedule 2G Adjustments'!$Y$12,Adjustments!$J:$J,'Schedule 2G Adjustments'!$A36)</f>
        <v>0</v>
      </c>
      <c r="AA36" s="305">
        <f t="shared" si="7"/>
        <v>0</v>
      </c>
    </row>
    <row r="37" spans="1:27" x14ac:dyDescent="0.35">
      <c r="A37" s="24">
        <v>23</v>
      </c>
      <c r="B37" s="514" t="str">
        <f>IF('As-Filed Schedule 2G'!B37:D37=0,"",'As-Filed Schedule 2G'!B37:D37)</f>
        <v/>
      </c>
      <c r="C37" s="514"/>
      <c r="D37" s="514"/>
      <c r="F37" s="117">
        <f>'As-Filed Schedule 2G'!F37</f>
        <v>0</v>
      </c>
      <c r="G37" s="309">
        <f>SUMIFS(Adjustments!$G:$G,Adjustments!$H:$H,"2G",Adjustments!$I:$I,'Schedule 2G Adjustments'!$F$12,Adjustments!$J:$J,'Schedule 2G Adjustments'!$A37)</f>
        <v>0</v>
      </c>
      <c r="H37" s="305">
        <f t="shared" si="0"/>
        <v>0</v>
      </c>
      <c r="I37" s="68">
        <f>IFERROR(F37*'As-Filed Schedule 1'!$E$103,0)</f>
        <v>0</v>
      </c>
      <c r="J37" s="306">
        <f>IFERROR(H37*'Adjusted Schedule 1'!$E$104,0)</f>
        <v>0</v>
      </c>
      <c r="K37" s="68">
        <f t="shared" si="1"/>
        <v>0</v>
      </c>
      <c r="L37" s="306">
        <f t="shared" si="2"/>
        <v>0</v>
      </c>
      <c r="N37" s="117">
        <f>'As-Filed Schedule 2G'!J37</f>
        <v>0</v>
      </c>
      <c r="O37" s="309">
        <f>SUMIFS(Adjustments!$G:$G,Adjustments!$H:$H,"2G",Adjustments!$I:$I,'Schedule 2G Adjustments'!$N$12,Adjustments!$J:$J,'Schedule 2G Adjustments'!$A37)</f>
        <v>0</v>
      </c>
      <c r="P37" s="305">
        <f t="shared" si="3"/>
        <v>0</v>
      </c>
      <c r="Q37" s="68">
        <f>IFERROR(N37*'As-Filed Schedule 1'!$E$103,0)</f>
        <v>0</v>
      </c>
      <c r="R37" s="68">
        <f>IFERROR(P37*'Adjusted Schedule 1'!$E$104,0)</f>
        <v>0</v>
      </c>
      <c r="S37" s="68">
        <f t="shared" si="4"/>
        <v>0</v>
      </c>
      <c r="T37" s="306">
        <f t="shared" si="5"/>
        <v>0</v>
      </c>
      <c r="V37" s="119">
        <f>'As-Filed Schedule 2G'!N37</f>
        <v>0</v>
      </c>
      <c r="W37" s="309">
        <f>SUMIFS(Adjustments!$G:$G,Adjustments!$H:$H,"2G",Adjustments!$I:$I,'Schedule 2G Adjustments'!$V$12,Adjustments!$J:$J,'Schedule 2G Adjustments'!$A37)</f>
        <v>0</v>
      </c>
      <c r="X37" s="305">
        <f t="shared" si="6"/>
        <v>0</v>
      </c>
      <c r="Y37" s="119">
        <f>'As-Filed Schedule 2G'!O37</f>
        <v>0</v>
      </c>
      <c r="Z37" s="309">
        <f>SUMIFS(Adjustments!$G:$G,Adjustments!$H:$H,"2G",Adjustments!$I:$I,'Schedule 2G Adjustments'!$Y$12,Adjustments!$J:$J,'Schedule 2G Adjustments'!$A37)</f>
        <v>0</v>
      </c>
      <c r="AA37" s="305">
        <f t="shared" si="7"/>
        <v>0</v>
      </c>
    </row>
    <row r="38" spans="1:27" x14ac:dyDescent="0.35">
      <c r="A38" s="24">
        <v>24</v>
      </c>
      <c r="B38" s="514" t="str">
        <f>IF('As-Filed Schedule 2G'!B38:D38=0,"",'As-Filed Schedule 2G'!B38:D38)</f>
        <v/>
      </c>
      <c r="C38" s="514"/>
      <c r="D38" s="514"/>
      <c r="F38" s="117">
        <f>'As-Filed Schedule 2G'!F38</f>
        <v>0</v>
      </c>
      <c r="G38" s="309">
        <f>SUMIFS(Adjustments!$G:$G,Adjustments!$H:$H,"2G",Adjustments!$I:$I,'Schedule 2G Adjustments'!$F$12,Adjustments!$J:$J,'Schedule 2G Adjustments'!$A38)</f>
        <v>0</v>
      </c>
      <c r="H38" s="305">
        <f t="shared" si="0"/>
        <v>0</v>
      </c>
      <c r="I38" s="68">
        <f>IFERROR(F38*'As-Filed Schedule 1'!$E$103,0)</f>
        <v>0</v>
      </c>
      <c r="J38" s="306">
        <f>IFERROR(H38*'Adjusted Schedule 1'!$E$104,0)</f>
        <v>0</v>
      </c>
      <c r="K38" s="68">
        <f t="shared" si="1"/>
        <v>0</v>
      </c>
      <c r="L38" s="306">
        <f t="shared" si="2"/>
        <v>0</v>
      </c>
      <c r="N38" s="117">
        <f>'As-Filed Schedule 2G'!J38</f>
        <v>0</v>
      </c>
      <c r="O38" s="309">
        <f>SUMIFS(Adjustments!$G:$G,Adjustments!$H:$H,"2G",Adjustments!$I:$I,'Schedule 2G Adjustments'!$N$12,Adjustments!$J:$J,'Schedule 2G Adjustments'!$A38)</f>
        <v>0</v>
      </c>
      <c r="P38" s="305">
        <f t="shared" si="3"/>
        <v>0</v>
      </c>
      <c r="Q38" s="68">
        <f>IFERROR(N38*'As-Filed Schedule 1'!$E$103,0)</f>
        <v>0</v>
      </c>
      <c r="R38" s="68">
        <f>IFERROR(P38*'Adjusted Schedule 1'!$E$104,0)</f>
        <v>0</v>
      </c>
      <c r="S38" s="68">
        <f t="shared" si="4"/>
        <v>0</v>
      </c>
      <c r="T38" s="306">
        <f t="shared" si="5"/>
        <v>0</v>
      </c>
      <c r="V38" s="119">
        <f>'As-Filed Schedule 2G'!N38</f>
        <v>0</v>
      </c>
      <c r="W38" s="309">
        <f>SUMIFS(Adjustments!$G:$G,Adjustments!$H:$H,"2G",Adjustments!$I:$I,'Schedule 2G Adjustments'!$V$12,Adjustments!$J:$J,'Schedule 2G Adjustments'!$A38)</f>
        <v>0</v>
      </c>
      <c r="X38" s="305">
        <f t="shared" si="6"/>
        <v>0</v>
      </c>
      <c r="Y38" s="119">
        <f>'As-Filed Schedule 2G'!O38</f>
        <v>0</v>
      </c>
      <c r="Z38" s="309">
        <f>SUMIFS(Adjustments!$G:$G,Adjustments!$H:$H,"2G",Adjustments!$I:$I,'Schedule 2G Adjustments'!$Y$12,Adjustments!$J:$J,'Schedule 2G Adjustments'!$A38)</f>
        <v>0</v>
      </c>
      <c r="AA38" s="305">
        <f t="shared" si="7"/>
        <v>0</v>
      </c>
    </row>
    <row r="39" spans="1:27" x14ac:dyDescent="0.35">
      <c r="A39" s="24">
        <v>25</v>
      </c>
      <c r="B39" s="514" t="str">
        <f>IF('As-Filed Schedule 2G'!B39:D39=0,"",'As-Filed Schedule 2G'!B39:D39)</f>
        <v/>
      </c>
      <c r="C39" s="514"/>
      <c r="D39" s="514"/>
      <c r="F39" s="117">
        <f>'As-Filed Schedule 2G'!F39</f>
        <v>0</v>
      </c>
      <c r="G39" s="309">
        <f>SUMIFS(Adjustments!$G:$G,Adjustments!$H:$H,"2G",Adjustments!$I:$I,'Schedule 2G Adjustments'!$F$12,Adjustments!$J:$J,'Schedule 2G Adjustments'!$A39)</f>
        <v>0</v>
      </c>
      <c r="H39" s="305">
        <f t="shared" si="0"/>
        <v>0</v>
      </c>
      <c r="I39" s="68">
        <f>IFERROR(F39*'As-Filed Schedule 1'!$E$103,0)</f>
        <v>0</v>
      </c>
      <c r="J39" s="306">
        <f>IFERROR(H39*'Adjusted Schedule 1'!$E$104,0)</f>
        <v>0</v>
      </c>
      <c r="K39" s="68">
        <f t="shared" si="1"/>
        <v>0</v>
      </c>
      <c r="L39" s="306">
        <f t="shared" si="2"/>
        <v>0</v>
      </c>
      <c r="N39" s="117">
        <f>'As-Filed Schedule 2G'!J39</f>
        <v>0</v>
      </c>
      <c r="O39" s="309">
        <f>SUMIFS(Adjustments!$G:$G,Adjustments!$H:$H,"2G",Adjustments!$I:$I,'Schedule 2G Adjustments'!$N$12,Adjustments!$J:$J,'Schedule 2G Adjustments'!$A39)</f>
        <v>0</v>
      </c>
      <c r="P39" s="305">
        <f t="shared" si="3"/>
        <v>0</v>
      </c>
      <c r="Q39" s="68">
        <f>IFERROR(N39*'As-Filed Schedule 1'!$E$103,0)</f>
        <v>0</v>
      </c>
      <c r="R39" s="68">
        <f>IFERROR(P39*'Adjusted Schedule 1'!$E$104,0)</f>
        <v>0</v>
      </c>
      <c r="S39" s="68">
        <f t="shared" si="4"/>
        <v>0</v>
      </c>
      <c r="T39" s="306">
        <f t="shared" si="5"/>
        <v>0</v>
      </c>
      <c r="V39" s="119">
        <f>'As-Filed Schedule 2G'!N39</f>
        <v>0</v>
      </c>
      <c r="W39" s="309">
        <f>SUMIFS(Adjustments!$G:$G,Adjustments!$H:$H,"2G",Adjustments!$I:$I,'Schedule 2G Adjustments'!$V$12,Adjustments!$J:$J,'Schedule 2G Adjustments'!$A39)</f>
        <v>0</v>
      </c>
      <c r="X39" s="305">
        <f t="shared" si="6"/>
        <v>0</v>
      </c>
      <c r="Y39" s="119">
        <f>'As-Filed Schedule 2G'!O39</f>
        <v>0</v>
      </c>
      <c r="Z39" s="309">
        <f>SUMIFS(Adjustments!$G:$G,Adjustments!$H:$H,"2G",Adjustments!$I:$I,'Schedule 2G Adjustments'!$Y$12,Adjustments!$J:$J,'Schedule 2G Adjustments'!$A39)</f>
        <v>0</v>
      </c>
      <c r="AA39" s="305">
        <f t="shared" si="7"/>
        <v>0</v>
      </c>
    </row>
    <row r="40" spans="1:27" x14ac:dyDescent="0.35">
      <c r="A40" s="24">
        <v>26</v>
      </c>
      <c r="B40" s="514" t="str">
        <f>IF('As-Filed Schedule 2G'!B40:D40=0,"",'As-Filed Schedule 2G'!B40:D40)</f>
        <v/>
      </c>
      <c r="C40" s="514"/>
      <c r="D40" s="514"/>
      <c r="F40" s="117">
        <f>'As-Filed Schedule 2G'!F40</f>
        <v>0</v>
      </c>
      <c r="G40" s="309">
        <f>SUMIFS(Adjustments!$G:$G,Adjustments!$H:$H,"2G",Adjustments!$I:$I,'Schedule 2G Adjustments'!$F$12,Adjustments!$J:$J,'Schedule 2G Adjustments'!$A40)</f>
        <v>0</v>
      </c>
      <c r="H40" s="305">
        <f t="shared" si="0"/>
        <v>0</v>
      </c>
      <c r="I40" s="68">
        <f>IFERROR(F40*'As-Filed Schedule 1'!$E$103,0)</f>
        <v>0</v>
      </c>
      <c r="J40" s="306">
        <f>IFERROR(H40*'Adjusted Schedule 1'!$E$104,0)</f>
        <v>0</v>
      </c>
      <c r="K40" s="68">
        <f t="shared" si="1"/>
        <v>0</v>
      </c>
      <c r="L40" s="306">
        <f t="shared" si="2"/>
        <v>0</v>
      </c>
      <c r="N40" s="117">
        <f>'As-Filed Schedule 2G'!J40</f>
        <v>0</v>
      </c>
      <c r="O40" s="309">
        <f>SUMIFS(Adjustments!$G:$G,Adjustments!$H:$H,"2G",Adjustments!$I:$I,'Schedule 2G Adjustments'!$N$12,Adjustments!$J:$J,'Schedule 2G Adjustments'!$A40)</f>
        <v>0</v>
      </c>
      <c r="P40" s="305">
        <f t="shared" si="3"/>
        <v>0</v>
      </c>
      <c r="Q40" s="68">
        <f>IFERROR(N40*'As-Filed Schedule 1'!$E$103,0)</f>
        <v>0</v>
      </c>
      <c r="R40" s="68">
        <f>IFERROR(P40*'Adjusted Schedule 1'!$E$104,0)</f>
        <v>0</v>
      </c>
      <c r="S40" s="68">
        <f t="shared" si="4"/>
        <v>0</v>
      </c>
      <c r="T40" s="306">
        <f t="shared" si="5"/>
        <v>0</v>
      </c>
      <c r="V40" s="119">
        <f>'As-Filed Schedule 2G'!N40</f>
        <v>0</v>
      </c>
      <c r="W40" s="309">
        <f>SUMIFS(Adjustments!$G:$G,Adjustments!$H:$H,"2G",Adjustments!$I:$I,'Schedule 2G Adjustments'!$V$12,Adjustments!$J:$J,'Schedule 2G Adjustments'!$A40)</f>
        <v>0</v>
      </c>
      <c r="X40" s="305">
        <f t="shared" si="6"/>
        <v>0</v>
      </c>
      <c r="Y40" s="119">
        <f>'As-Filed Schedule 2G'!O40</f>
        <v>0</v>
      </c>
      <c r="Z40" s="309">
        <f>SUMIFS(Adjustments!$G:$G,Adjustments!$H:$H,"2G",Adjustments!$I:$I,'Schedule 2G Adjustments'!$Y$12,Adjustments!$J:$J,'Schedule 2G Adjustments'!$A40)</f>
        <v>0</v>
      </c>
      <c r="AA40" s="305">
        <f t="shared" si="7"/>
        <v>0</v>
      </c>
    </row>
    <row r="41" spans="1:27" x14ac:dyDescent="0.35">
      <c r="A41" s="24">
        <v>27</v>
      </c>
      <c r="B41" s="514" t="str">
        <f>IF('As-Filed Schedule 2G'!B41:D41=0,"",'As-Filed Schedule 2G'!B41:D41)</f>
        <v/>
      </c>
      <c r="C41" s="514"/>
      <c r="D41" s="514"/>
      <c r="F41" s="117">
        <f>'As-Filed Schedule 2G'!F41</f>
        <v>0</v>
      </c>
      <c r="G41" s="309">
        <f>SUMIFS(Adjustments!$G:$G,Adjustments!$H:$H,"2G",Adjustments!$I:$I,'Schedule 2G Adjustments'!$F$12,Adjustments!$J:$J,'Schedule 2G Adjustments'!$A41)</f>
        <v>0</v>
      </c>
      <c r="H41" s="305">
        <f t="shared" si="0"/>
        <v>0</v>
      </c>
      <c r="I41" s="68">
        <f>IFERROR(F41*'As-Filed Schedule 1'!$E$103,0)</f>
        <v>0</v>
      </c>
      <c r="J41" s="306">
        <f>IFERROR(H41*'Adjusted Schedule 1'!$E$104,0)</f>
        <v>0</v>
      </c>
      <c r="K41" s="68">
        <f t="shared" si="1"/>
        <v>0</v>
      </c>
      <c r="L41" s="306">
        <f t="shared" si="2"/>
        <v>0</v>
      </c>
      <c r="N41" s="117">
        <f>'As-Filed Schedule 2G'!J41</f>
        <v>0</v>
      </c>
      <c r="O41" s="309">
        <f>SUMIFS(Adjustments!$G:$G,Adjustments!$H:$H,"2G",Adjustments!$I:$I,'Schedule 2G Adjustments'!$N$12,Adjustments!$J:$J,'Schedule 2G Adjustments'!$A41)</f>
        <v>0</v>
      </c>
      <c r="P41" s="305">
        <f t="shared" si="3"/>
        <v>0</v>
      </c>
      <c r="Q41" s="68">
        <f>IFERROR(N41*'As-Filed Schedule 1'!$E$103,0)</f>
        <v>0</v>
      </c>
      <c r="R41" s="68">
        <f>IFERROR(P41*'Adjusted Schedule 1'!$E$104,0)</f>
        <v>0</v>
      </c>
      <c r="S41" s="68">
        <f t="shared" si="4"/>
        <v>0</v>
      </c>
      <c r="T41" s="306">
        <f t="shared" si="5"/>
        <v>0</v>
      </c>
      <c r="V41" s="119">
        <f>'As-Filed Schedule 2G'!N41</f>
        <v>0</v>
      </c>
      <c r="W41" s="309">
        <f>SUMIFS(Adjustments!$G:$G,Adjustments!$H:$H,"2G",Adjustments!$I:$I,'Schedule 2G Adjustments'!$V$12,Adjustments!$J:$J,'Schedule 2G Adjustments'!$A41)</f>
        <v>0</v>
      </c>
      <c r="X41" s="305">
        <f t="shared" si="6"/>
        <v>0</v>
      </c>
      <c r="Y41" s="119">
        <f>'As-Filed Schedule 2G'!O41</f>
        <v>0</v>
      </c>
      <c r="Z41" s="309">
        <f>SUMIFS(Adjustments!$G:$G,Adjustments!$H:$H,"2G",Adjustments!$I:$I,'Schedule 2G Adjustments'!$Y$12,Adjustments!$J:$J,'Schedule 2G Adjustments'!$A41)</f>
        <v>0</v>
      </c>
      <c r="AA41" s="305">
        <f t="shared" si="7"/>
        <v>0</v>
      </c>
    </row>
    <row r="42" spans="1:27" x14ac:dyDescent="0.35">
      <c r="A42" s="24">
        <v>28</v>
      </c>
      <c r="B42" s="514" t="str">
        <f>IF('As-Filed Schedule 2G'!B42:D42=0,"",'As-Filed Schedule 2G'!B42:D42)</f>
        <v/>
      </c>
      <c r="C42" s="514"/>
      <c r="D42" s="514"/>
      <c r="F42" s="117">
        <f>'As-Filed Schedule 2G'!F42</f>
        <v>0</v>
      </c>
      <c r="G42" s="309">
        <f>SUMIFS(Adjustments!$G:$G,Adjustments!$H:$H,"2G",Adjustments!$I:$I,'Schedule 2G Adjustments'!$F$12,Adjustments!$J:$J,'Schedule 2G Adjustments'!$A42)</f>
        <v>0</v>
      </c>
      <c r="H42" s="305">
        <f t="shared" si="0"/>
        <v>0</v>
      </c>
      <c r="I42" s="68">
        <f>IFERROR(F42*'As-Filed Schedule 1'!$E$103,0)</f>
        <v>0</v>
      </c>
      <c r="J42" s="306">
        <f>IFERROR(H42*'Adjusted Schedule 1'!$E$104,0)</f>
        <v>0</v>
      </c>
      <c r="K42" s="68">
        <f t="shared" si="1"/>
        <v>0</v>
      </c>
      <c r="L42" s="306">
        <f t="shared" si="2"/>
        <v>0</v>
      </c>
      <c r="N42" s="117">
        <f>'As-Filed Schedule 2G'!J42</f>
        <v>0</v>
      </c>
      <c r="O42" s="309">
        <f>SUMIFS(Adjustments!$G:$G,Adjustments!$H:$H,"2G",Adjustments!$I:$I,'Schedule 2G Adjustments'!$N$12,Adjustments!$J:$J,'Schedule 2G Adjustments'!$A42)</f>
        <v>0</v>
      </c>
      <c r="P42" s="305">
        <f t="shared" si="3"/>
        <v>0</v>
      </c>
      <c r="Q42" s="68">
        <f>IFERROR(N42*'As-Filed Schedule 1'!$E$103,0)</f>
        <v>0</v>
      </c>
      <c r="R42" s="68">
        <f>IFERROR(P42*'Adjusted Schedule 1'!$E$104,0)</f>
        <v>0</v>
      </c>
      <c r="S42" s="68">
        <f t="shared" si="4"/>
        <v>0</v>
      </c>
      <c r="T42" s="306">
        <f t="shared" si="5"/>
        <v>0</v>
      </c>
      <c r="V42" s="119">
        <f>'As-Filed Schedule 2G'!N42</f>
        <v>0</v>
      </c>
      <c r="W42" s="309">
        <f>SUMIFS(Adjustments!$G:$G,Adjustments!$H:$H,"2G",Adjustments!$I:$I,'Schedule 2G Adjustments'!$V$12,Adjustments!$J:$J,'Schedule 2G Adjustments'!$A42)</f>
        <v>0</v>
      </c>
      <c r="X42" s="305">
        <f t="shared" si="6"/>
        <v>0</v>
      </c>
      <c r="Y42" s="119">
        <f>'As-Filed Schedule 2G'!O42</f>
        <v>0</v>
      </c>
      <c r="Z42" s="309">
        <f>SUMIFS(Adjustments!$G:$G,Adjustments!$H:$H,"2G",Adjustments!$I:$I,'Schedule 2G Adjustments'!$Y$12,Adjustments!$J:$J,'Schedule 2G Adjustments'!$A42)</f>
        <v>0</v>
      </c>
      <c r="AA42" s="305">
        <f t="shared" si="7"/>
        <v>0</v>
      </c>
    </row>
    <row r="43" spans="1:27" x14ac:dyDescent="0.35">
      <c r="A43" s="24">
        <v>29</v>
      </c>
      <c r="B43" s="514" t="str">
        <f>IF('As-Filed Schedule 2G'!B43:D43=0,"",'As-Filed Schedule 2G'!B43:D43)</f>
        <v/>
      </c>
      <c r="C43" s="514"/>
      <c r="D43" s="514"/>
      <c r="F43" s="117">
        <f>'As-Filed Schedule 2G'!F43</f>
        <v>0</v>
      </c>
      <c r="G43" s="309">
        <f>SUMIFS(Adjustments!$G:$G,Adjustments!$H:$H,"2G",Adjustments!$I:$I,'Schedule 2G Adjustments'!$F$12,Adjustments!$J:$J,'Schedule 2G Adjustments'!$A43)</f>
        <v>0</v>
      </c>
      <c r="H43" s="305">
        <f t="shared" si="0"/>
        <v>0</v>
      </c>
      <c r="I43" s="68">
        <f>IFERROR(F43*'As-Filed Schedule 1'!$E$103,0)</f>
        <v>0</v>
      </c>
      <c r="J43" s="306">
        <f>IFERROR(H43*'Adjusted Schedule 1'!$E$104,0)</f>
        <v>0</v>
      </c>
      <c r="K43" s="68">
        <f t="shared" si="1"/>
        <v>0</v>
      </c>
      <c r="L43" s="306">
        <f t="shared" si="2"/>
        <v>0</v>
      </c>
      <c r="N43" s="117">
        <f>'As-Filed Schedule 2G'!J43</f>
        <v>0</v>
      </c>
      <c r="O43" s="309">
        <f>SUMIFS(Adjustments!$G:$G,Adjustments!$H:$H,"2G",Adjustments!$I:$I,'Schedule 2G Adjustments'!$N$12,Adjustments!$J:$J,'Schedule 2G Adjustments'!$A43)</f>
        <v>0</v>
      </c>
      <c r="P43" s="305">
        <f t="shared" si="3"/>
        <v>0</v>
      </c>
      <c r="Q43" s="68">
        <f>IFERROR(N43*'As-Filed Schedule 1'!$E$103,0)</f>
        <v>0</v>
      </c>
      <c r="R43" s="68">
        <f>IFERROR(P43*'Adjusted Schedule 1'!$E$104,0)</f>
        <v>0</v>
      </c>
      <c r="S43" s="68">
        <f t="shared" si="4"/>
        <v>0</v>
      </c>
      <c r="T43" s="306">
        <f t="shared" si="5"/>
        <v>0</v>
      </c>
      <c r="V43" s="119">
        <f>'As-Filed Schedule 2G'!N43</f>
        <v>0</v>
      </c>
      <c r="W43" s="309">
        <f>SUMIFS(Adjustments!$G:$G,Adjustments!$H:$H,"2G",Adjustments!$I:$I,'Schedule 2G Adjustments'!$V$12,Adjustments!$J:$J,'Schedule 2G Adjustments'!$A43)</f>
        <v>0</v>
      </c>
      <c r="X43" s="305">
        <f t="shared" si="6"/>
        <v>0</v>
      </c>
      <c r="Y43" s="119">
        <f>'As-Filed Schedule 2G'!O43</f>
        <v>0</v>
      </c>
      <c r="Z43" s="309">
        <f>SUMIFS(Adjustments!$G:$G,Adjustments!$H:$H,"2G",Adjustments!$I:$I,'Schedule 2G Adjustments'!$Y$12,Adjustments!$J:$J,'Schedule 2G Adjustments'!$A43)</f>
        <v>0</v>
      </c>
      <c r="AA43" s="305">
        <f t="shared" si="7"/>
        <v>0</v>
      </c>
    </row>
    <row r="44" spans="1:27" x14ac:dyDescent="0.35">
      <c r="A44" s="24">
        <v>30</v>
      </c>
      <c r="B44" s="514" t="str">
        <f>IF('As-Filed Schedule 2G'!B44:D44=0,"",'As-Filed Schedule 2G'!B44:D44)</f>
        <v/>
      </c>
      <c r="C44" s="514"/>
      <c r="D44" s="514"/>
      <c r="F44" s="117">
        <f>'As-Filed Schedule 2G'!F44</f>
        <v>0</v>
      </c>
      <c r="G44" s="309">
        <f>SUMIFS(Adjustments!$G:$G,Adjustments!$H:$H,"2G",Adjustments!$I:$I,'Schedule 2G Adjustments'!$F$12,Adjustments!$J:$J,'Schedule 2G Adjustments'!$A44)</f>
        <v>0</v>
      </c>
      <c r="H44" s="305">
        <f t="shared" si="0"/>
        <v>0</v>
      </c>
      <c r="I44" s="68">
        <f>IFERROR(F44*'As-Filed Schedule 1'!$E$103,0)</f>
        <v>0</v>
      </c>
      <c r="J44" s="306">
        <f>IFERROR(H44*'Adjusted Schedule 1'!$E$104,0)</f>
        <v>0</v>
      </c>
      <c r="K44" s="68">
        <f t="shared" si="1"/>
        <v>0</v>
      </c>
      <c r="L44" s="306">
        <f t="shared" si="2"/>
        <v>0</v>
      </c>
      <c r="N44" s="117">
        <f>'As-Filed Schedule 2G'!J44</f>
        <v>0</v>
      </c>
      <c r="O44" s="309">
        <f>SUMIFS(Adjustments!$G:$G,Adjustments!$H:$H,"2G",Adjustments!$I:$I,'Schedule 2G Adjustments'!$N$12,Adjustments!$J:$J,'Schedule 2G Adjustments'!$A44)</f>
        <v>0</v>
      </c>
      <c r="P44" s="305">
        <f t="shared" si="3"/>
        <v>0</v>
      </c>
      <c r="Q44" s="68">
        <f>IFERROR(N44*'As-Filed Schedule 1'!$E$103,0)</f>
        <v>0</v>
      </c>
      <c r="R44" s="68">
        <f>IFERROR(P44*'Adjusted Schedule 1'!$E$104,0)</f>
        <v>0</v>
      </c>
      <c r="S44" s="68">
        <f t="shared" si="4"/>
        <v>0</v>
      </c>
      <c r="T44" s="306">
        <f t="shared" si="5"/>
        <v>0</v>
      </c>
      <c r="V44" s="119">
        <f>'As-Filed Schedule 2G'!N44</f>
        <v>0</v>
      </c>
      <c r="W44" s="309">
        <f>SUMIFS(Adjustments!$G:$G,Adjustments!$H:$H,"2G",Adjustments!$I:$I,'Schedule 2G Adjustments'!$V$12,Adjustments!$J:$J,'Schedule 2G Adjustments'!$A44)</f>
        <v>0</v>
      </c>
      <c r="X44" s="305">
        <f t="shared" si="6"/>
        <v>0</v>
      </c>
      <c r="Y44" s="119">
        <f>'As-Filed Schedule 2G'!O44</f>
        <v>0</v>
      </c>
      <c r="Z44" s="309">
        <f>SUMIFS(Adjustments!$G:$G,Adjustments!$H:$H,"2G",Adjustments!$I:$I,'Schedule 2G Adjustments'!$Y$12,Adjustments!$J:$J,'Schedule 2G Adjustments'!$A44)</f>
        <v>0</v>
      </c>
      <c r="AA44" s="305">
        <f t="shared" si="7"/>
        <v>0</v>
      </c>
    </row>
    <row r="45" spans="1:27" x14ac:dyDescent="0.35">
      <c r="A45" s="24">
        <v>31</v>
      </c>
      <c r="B45" s="514" t="str">
        <f>IF('As-Filed Schedule 2G'!B45:D45=0,"",'As-Filed Schedule 2G'!B45:D45)</f>
        <v/>
      </c>
      <c r="C45" s="514"/>
      <c r="D45" s="514"/>
      <c r="F45" s="117">
        <f>'As-Filed Schedule 2G'!F45</f>
        <v>0</v>
      </c>
      <c r="G45" s="309">
        <f>SUMIFS(Adjustments!$G:$G,Adjustments!$H:$H,"2G",Adjustments!$I:$I,'Schedule 2G Adjustments'!$F$12,Adjustments!$J:$J,'Schedule 2G Adjustments'!$A45)</f>
        <v>0</v>
      </c>
      <c r="H45" s="305">
        <f t="shared" si="0"/>
        <v>0</v>
      </c>
      <c r="I45" s="68">
        <f>IFERROR(F45*'As-Filed Schedule 1'!$E$103,0)</f>
        <v>0</v>
      </c>
      <c r="J45" s="306">
        <f>IFERROR(H45*'Adjusted Schedule 1'!$E$104,0)</f>
        <v>0</v>
      </c>
      <c r="K45" s="68">
        <f t="shared" si="1"/>
        <v>0</v>
      </c>
      <c r="L45" s="306">
        <f t="shared" si="2"/>
        <v>0</v>
      </c>
      <c r="N45" s="117">
        <f>'As-Filed Schedule 2G'!J45</f>
        <v>0</v>
      </c>
      <c r="O45" s="309">
        <f>SUMIFS(Adjustments!$G:$G,Adjustments!$H:$H,"2G",Adjustments!$I:$I,'Schedule 2G Adjustments'!$N$12,Adjustments!$J:$J,'Schedule 2G Adjustments'!$A45)</f>
        <v>0</v>
      </c>
      <c r="P45" s="305">
        <f t="shared" si="3"/>
        <v>0</v>
      </c>
      <c r="Q45" s="68">
        <f>IFERROR(N45*'As-Filed Schedule 1'!$E$103,0)</f>
        <v>0</v>
      </c>
      <c r="R45" s="68">
        <f>IFERROR(P45*'Adjusted Schedule 1'!$E$104,0)</f>
        <v>0</v>
      </c>
      <c r="S45" s="68">
        <f t="shared" si="4"/>
        <v>0</v>
      </c>
      <c r="T45" s="306">
        <f t="shared" si="5"/>
        <v>0</v>
      </c>
      <c r="V45" s="119">
        <f>'As-Filed Schedule 2G'!N45</f>
        <v>0</v>
      </c>
      <c r="W45" s="309">
        <f>SUMIFS(Adjustments!$G:$G,Adjustments!$H:$H,"2G",Adjustments!$I:$I,'Schedule 2G Adjustments'!$V$12,Adjustments!$J:$J,'Schedule 2G Adjustments'!$A45)</f>
        <v>0</v>
      </c>
      <c r="X45" s="305">
        <f t="shared" si="6"/>
        <v>0</v>
      </c>
      <c r="Y45" s="119">
        <f>'As-Filed Schedule 2G'!O45</f>
        <v>0</v>
      </c>
      <c r="Z45" s="309">
        <f>SUMIFS(Adjustments!$G:$G,Adjustments!$H:$H,"2G",Adjustments!$I:$I,'Schedule 2G Adjustments'!$Y$12,Adjustments!$J:$J,'Schedule 2G Adjustments'!$A45)</f>
        <v>0</v>
      </c>
      <c r="AA45" s="305">
        <f t="shared" si="7"/>
        <v>0</v>
      </c>
    </row>
    <row r="46" spans="1:27" x14ac:dyDescent="0.35">
      <c r="A46" s="24">
        <v>32</v>
      </c>
      <c r="B46" s="514" t="str">
        <f>IF('As-Filed Schedule 2G'!B46:D46=0,"",'As-Filed Schedule 2G'!B46:D46)</f>
        <v/>
      </c>
      <c r="C46" s="514"/>
      <c r="D46" s="514"/>
      <c r="F46" s="117">
        <f>'As-Filed Schedule 2G'!F46</f>
        <v>0</v>
      </c>
      <c r="G46" s="309">
        <f>SUMIFS(Adjustments!$G:$G,Adjustments!$H:$H,"2G",Adjustments!$I:$I,'Schedule 2G Adjustments'!$F$12,Adjustments!$J:$J,'Schedule 2G Adjustments'!$A46)</f>
        <v>0</v>
      </c>
      <c r="H46" s="305">
        <f t="shared" si="0"/>
        <v>0</v>
      </c>
      <c r="I46" s="68">
        <f>IFERROR(F46*'As-Filed Schedule 1'!$E$103,0)</f>
        <v>0</v>
      </c>
      <c r="J46" s="306">
        <f>IFERROR(H46*'Adjusted Schedule 1'!$E$104,0)</f>
        <v>0</v>
      </c>
      <c r="K46" s="68">
        <f t="shared" si="1"/>
        <v>0</v>
      </c>
      <c r="L46" s="306">
        <f t="shared" si="2"/>
        <v>0</v>
      </c>
      <c r="N46" s="117">
        <f>'As-Filed Schedule 2G'!J46</f>
        <v>0</v>
      </c>
      <c r="O46" s="309">
        <f>SUMIFS(Adjustments!$G:$G,Adjustments!$H:$H,"2G",Adjustments!$I:$I,'Schedule 2G Adjustments'!$N$12,Adjustments!$J:$J,'Schedule 2G Adjustments'!$A46)</f>
        <v>0</v>
      </c>
      <c r="P46" s="305">
        <f t="shared" si="3"/>
        <v>0</v>
      </c>
      <c r="Q46" s="68">
        <f>IFERROR(N46*'As-Filed Schedule 1'!$E$103,0)</f>
        <v>0</v>
      </c>
      <c r="R46" s="68">
        <f>IFERROR(P46*'Adjusted Schedule 1'!$E$104,0)</f>
        <v>0</v>
      </c>
      <c r="S46" s="68">
        <f t="shared" si="4"/>
        <v>0</v>
      </c>
      <c r="T46" s="306">
        <f t="shared" si="5"/>
        <v>0</v>
      </c>
      <c r="V46" s="119">
        <f>'As-Filed Schedule 2G'!N46</f>
        <v>0</v>
      </c>
      <c r="W46" s="309">
        <f>SUMIFS(Adjustments!$G:$G,Adjustments!$H:$H,"2G",Adjustments!$I:$I,'Schedule 2G Adjustments'!$V$12,Adjustments!$J:$J,'Schedule 2G Adjustments'!$A46)</f>
        <v>0</v>
      </c>
      <c r="X46" s="305">
        <f t="shared" si="6"/>
        <v>0</v>
      </c>
      <c r="Y46" s="119">
        <f>'As-Filed Schedule 2G'!O46</f>
        <v>0</v>
      </c>
      <c r="Z46" s="309">
        <f>SUMIFS(Adjustments!$G:$G,Adjustments!$H:$H,"2G",Adjustments!$I:$I,'Schedule 2G Adjustments'!$Y$12,Adjustments!$J:$J,'Schedule 2G Adjustments'!$A46)</f>
        <v>0</v>
      </c>
      <c r="AA46" s="305">
        <f t="shared" si="7"/>
        <v>0</v>
      </c>
    </row>
    <row r="47" spans="1:27" x14ac:dyDescent="0.35">
      <c r="A47" s="24">
        <v>33</v>
      </c>
      <c r="B47" s="514" t="str">
        <f>IF('As-Filed Schedule 2G'!B47:D47=0,"",'As-Filed Schedule 2G'!B47:D47)</f>
        <v/>
      </c>
      <c r="C47" s="514"/>
      <c r="D47" s="514"/>
      <c r="F47" s="117">
        <f>'As-Filed Schedule 2G'!F47</f>
        <v>0</v>
      </c>
      <c r="G47" s="309">
        <f>SUMIFS(Adjustments!$G:$G,Adjustments!$H:$H,"2G",Adjustments!$I:$I,'Schedule 2G Adjustments'!$F$12,Adjustments!$J:$J,'Schedule 2G Adjustments'!$A47)</f>
        <v>0</v>
      </c>
      <c r="H47" s="305">
        <f t="shared" si="0"/>
        <v>0</v>
      </c>
      <c r="I47" s="68">
        <f>IFERROR(F47*'As-Filed Schedule 1'!$E$103,0)</f>
        <v>0</v>
      </c>
      <c r="J47" s="306">
        <f>IFERROR(H47*'Adjusted Schedule 1'!$E$104,0)</f>
        <v>0</v>
      </c>
      <c r="K47" s="68">
        <f t="shared" si="1"/>
        <v>0</v>
      </c>
      <c r="L47" s="306">
        <f t="shared" si="2"/>
        <v>0</v>
      </c>
      <c r="N47" s="117">
        <f>'As-Filed Schedule 2G'!J47</f>
        <v>0</v>
      </c>
      <c r="O47" s="309">
        <f>SUMIFS(Adjustments!$G:$G,Adjustments!$H:$H,"2G",Adjustments!$I:$I,'Schedule 2G Adjustments'!$N$12,Adjustments!$J:$J,'Schedule 2G Adjustments'!$A47)</f>
        <v>0</v>
      </c>
      <c r="P47" s="305">
        <f t="shared" si="3"/>
        <v>0</v>
      </c>
      <c r="Q47" s="68">
        <f>IFERROR(N47*'As-Filed Schedule 1'!$E$103,0)</f>
        <v>0</v>
      </c>
      <c r="R47" s="68">
        <f>IFERROR(P47*'Adjusted Schedule 1'!$E$104,0)</f>
        <v>0</v>
      </c>
      <c r="S47" s="68">
        <f t="shared" si="4"/>
        <v>0</v>
      </c>
      <c r="T47" s="306">
        <f t="shared" si="5"/>
        <v>0</v>
      </c>
      <c r="V47" s="119">
        <f>'As-Filed Schedule 2G'!N47</f>
        <v>0</v>
      </c>
      <c r="W47" s="309">
        <f>SUMIFS(Adjustments!$G:$G,Adjustments!$H:$H,"2G",Adjustments!$I:$I,'Schedule 2G Adjustments'!$V$12,Adjustments!$J:$J,'Schedule 2G Adjustments'!$A47)</f>
        <v>0</v>
      </c>
      <c r="X47" s="305">
        <f t="shared" si="6"/>
        <v>0</v>
      </c>
      <c r="Y47" s="119">
        <f>'As-Filed Schedule 2G'!O47</f>
        <v>0</v>
      </c>
      <c r="Z47" s="309">
        <f>SUMIFS(Adjustments!$G:$G,Adjustments!$H:$H,"2G",Adjustments!$I:$I,'Schedule 2G Adjustments'!$Y$12,Adjustments!$J:$J,'Schedule 2G Adjustments'!$A47)</f>
        <v>0</v>
      </c>
      <c r="AA47" s="305">
        <f t="shared" si="7"/>
        <v>0</v>
      </c>
    </row>
    <row r="48" spans="1:27" x14ac:dyDescent="0.35">
      <c r="A48" s="24">
        <v>34</v>
      </c>
      <c r="B48" s="514" t="str">
        <f>IF('As-Filed Schedule 2G'!B48:D48=0,"",'As-Filed Schedule 2G'!B48:D48)</f>
        <v/>
      </c>
      <c r="C48" s="514"/>
      <c r="D48" s="514"/>
      <c r="F48" s="117">
        <f>'As-Filed Schedule 2G'!F48</f>
        <v>0</v>
      </c>
      <c r="G48" s="309">
        <f>SUMIFS(Adjustments!$G:$G,Adjustments!$H:$H,"2G",Adjustments!$I:$I,'Schedule 2G Adjustments'!$F$12,Adjustments!$J:$J,'Schedule 2G Adjustments'!$A48)</f>
        <v>0</v>
      </c>
      <c r="H48" s="305">
        <f t="shared" si="0"/>
        <v>0</v>
      </c>
      <c r="I48" s="68">
        <f>IFERROR(F48*'As-Filed Schedule 1'!$E$103,0)</f>
        <v>0</v>
      </c>
      <c r="J48" s="306">
        <f>IFERROR(H48*'Adjusted Schedule 1'!$E$104,0)</f>
        <v>0</v>
      </c>
      <c r="K48" s="68">
        <f t="shared" si="1"/>
        <v>0</v>
      </c>
      <c r="L48" s="306">
        <f t="shared" si="2"/>
        <v>0</v>
      </c>
      <c r="N48" s="117">
        <f>'As-Filed Schedule 2G'!J48</f>
        <v>0</v>
      </c>
      <c r="O48" s="309">
        <f>SUMIFS(Adjustments!$G:$G,Adjustments!$H:$H,"2G",Adjustments!$I:$I,'Schedule 2G Adjustments'!$N$12,Adjustments!$J:$J,'Schedule 2G Adjustments'!$A48)</f>
        <v>0</v>
      </c>
      <c r="P48" s="305">
        <f t="shared" si="3"/>
        <v>0</v>
      </c>
      <c r="Q48" s="68">
        <f>IFERROR(N48*'As-Filed Schedule 1'!$E$103,0)</f>
        <v>0</v>
      </c>
      <c r="R48" s="68">
        <f>IFERROR(P48*'Adjusted Schedule 1'!$E$104,0)</f>
        <v>0</v>
      </c>
      <c r="S48" s="68">
        <f t="shared" si="4"/>
        <v>0</v>
      </c>
      <c r="T48" s="306">
        <f t="shared" si="5"/>
        <v>0</v>
      </c>
      <c r="V48" s="119">
        <f>'As-Filed Schedule 2G'!N48</f>
        <v>0</v>
      </c>
      <c r="W48" s="309">
        <f>SUMIFS(Adjustments!$G:$G,Adjustments!$H:$H,"2G",Adjustments!$I:$I,'Schedule 2G Adjustments'!$V$12,Adjustments!$J:$J,'Schedule 2G Adjustments'!$A48)</f>
        <v>0</v>
      </c>
      <c r="X48" s="305">
        <f t="shared" si="6"/>
        <v>0</v>
      </c>
      <c r="Y48" s="119">
        <f>'As-Filed Schedule 2G'!O48</f>
        <v>0</v>
      </c>
      <c r="Z48" s="309">
        <f>SUMIFS(Adjustments!$G:$G,Adjustments!$H:$H,"2G",Adjustments!$I:$I,'Schedule 2G Adjustments'!$Y$12,Adjustments!$J:$J,'Schedule 2G Adjustments'!$A48)</f>
        <v>0</v>
      </c>
      <c r="AA48" s="305">
        <f t="shared" si="7"/>
        <v>0</v>
      </c>
    </row>
    <row r="49" spans="1:27" x14ac:dyDescent="0.35">
      <c r="A49" s="24">
        <v>35</v>
      </c>
      <c r="B49" s="514" t="str">
        <f>IF('As-Filed Schedule 2G'!B49:D49=0,"",'As-Filed Schedule 2G'!B49:D49)</f>
        <v/>
      </c>
      <c r="C49" s="514"/>
      <c r="D49" s="514"/>
      <c r="F49" s="117">
        <f>'As-Filed Schedule 2G'!F49</f>
        <v>0</v>
      </c>
      <c r="G49" s="309">
        <f>SUMIFS(Adjustments!$G:$G,Adjustments!$H:$H,"2G",Adjustments!$I:$I,'Schedule 2G Adjustments'!$F$12,Adjustments!$J:$J,'Schedule 2G Adjustments'!$A49)</f>
        <v>0</v>
      </c>
      <c r="H49" s="305">
        <f t="shared" si="0"/>
        <v>0</v>
      </c>
      <c r="I49" s="68">
        <f>IFERROR(F49*'As-Filed Schedule 1'!$E$103,0)</f>
        <v>0</v>
      </c>
      <c r="J49" s="306">
        <f>IFERROR(H49*'Adjusted Schedule 1'!$E$104,0)</f>
        <v>0</v>
      </c>
      <c r="K49" s="68">
        <f t="shared" si="1"/>
        <v>0</v>
      </c>
      <c r="L49" s="306">
        <f t="shared" si="2"/>
        <v>0</v>
      </c>
      <c r="N49" s="117">
        <f>'As-Filed Schedule 2G'!J49</f>
        <v>0</v>
      </c>
      <c r="O49" s="309">
        <f>SUMIFS(Adjustments!$G:$G,Adjustments!$H:$H,"2G",Adjustments!$I:$I,'Schedule 2G Adjustments'!$N$12,Adjustments!$J:$J,'Schedule 2G Adjustments'!$A49)</f>
        <v>0</v>
      </c>
      <c r="P49" s="305">
        <f t="shared" si="3"/>
        <v>0</v>
      </c>
      <c r="Q49" s="68">
        <f>IFERROR(N49*'As-Filed Schedule 1'!$E$103,0)</f>
        <v>0</v>
      </c>
      <c r="R49" s="68">
        <f>IFERROR(P49*'Adjusted Schedule 1'!$E$104,0)</f>
        <v>0</v>
      </c>
      <c r="S49" s="68">
        <f t="shared" si="4"/>
        <v>0</v>
      </c>
      <c r="T49" s="306">
        <f t="shared" si="5"/>
        <v>0</v>
      </c>
      <c r="V49" s="119">
        <f>'As-Filed Schedule 2G'!N49</f>
        <v>0</v>
      </c>
      <c r="W49" s="309">
        <f>SUMIFS(Adjustments!$G:$G,Adjustments!$H:$H,"2G",Adjustments!$I:$I,'Schedule 2G Adjustments'!$V$12,Adjustments!$J:$J,'Schedule 2G Adjustments'!$A49)</f>
        <v>0</v>
      </c>
      <c r="X49" s="305">
        <f t="shared" si="6"/>
        <v>0</v>
      </c>
      <c r="Y49" s="119">
        <f>'As-Filed Schedule 2G'!O49</f>
        <v>0</v>
      </c>
      <c r="Z49" s="309">
        <f>SUMIFS(Adjustments!$G:$G,Adjustments!$H:$H,"2G",Adjustments!$I:$I,'Schedule 2G Adjustments'!$Y$12,Adjustments!$J:$J,'Schedule 2G Adjustments'!$A49)</f>
        <v>0</v>
      </c>
      <c r="AA49" s="305">
        <f t="shared" si="7"/>
        <v>0</v>
      </c>
    </row>
    <row r="50" spans="1:27" x14ac:dyDescent="0.35">
      <c r="A50" s="24">
        <v>36</v>
      </c>
      <c r="B50" s="514" t="str">
        <f>IF('As-Filed Schedule 2G'!B50:D50=0,"",'As-Filed Schedule 2G'!B50:D50)</f>
        <v/>
      </c>
      <c r="C50" s="514"/>
      <c r="D50" s="514"/>
      <c r="F50" s="117">
        <f>'As-Filed Schedule 2G'!F50</f>
        <v>0</v>
      </c>
      <c r="G50" s="309">
        <f>SUMIFS(Adjustments!$G:$G,Adjustments!$H:$H,"2G",Adjustments!$I:$I,'Schedule 2G Adjustments'!$F$12,Adjustments!$J:$J,'Schedule 2G Adjustments'!$A50)</f>
        <v>0</v>
      </c>
      <c r="H50" s="305">
        <f t="shared" si="0"/>
        <v>0</v>
      </c>
      <c r="I50" s="68">
        <f>IFERROR(F50*'As-Filed Schedule 1'!$E$103,0)</f>
        <v>0</v>
      </c>
      <c r="J50" s="306">
        <f>IFERROR(H50*'Adjusted Schedule 1'!$E$104,0)</f>
        <v>0</v>
      </c>
      <c r="K50" s="68">
        <f t="shared" si="1"/>
        <v>0</v>
      </c>
      <c r="L50" s="306">
        <f t="shared" si="2"/>
        <v>0</v>
      </c>
      <c r="N50" s="117">
        <f>'As-Filed Schedule 2G'!J50</f>
        <v>0</v>
      </c>
      <c r="O50" s="309">
        <f>SUMIFS(Adjustments!$G:$G,Adjustments!$H:$H,"2G",Adjustments!$I:$I,'Schedule 2G Adjustments'!$N$12,Adjustments!$J:$J,'Schedule 2G Adjustments'!$A50)</f>
        <v>0</v>
      </c>
      <c r="P50" s="305">
        <f t="shared" si="3"/>
        <v>0</v>
      </c>
      <c r="Q50" s="68">
        <f>IFERROR(N50*'As-Filed Schedule 1'!$E$103,0)</f>
        <v>0</v>
      </c>
      <c r="R50" s="68">
        <f>IFERROR(P50*'Adjusted Schedule 1'!$E$104,0)</f>
        <v>0</v>
      </c>
      <c r="S50" s="68">
        <f t="shared" si="4"/>
        <v>0</v>
      </c>
      <c r="T50" s="306">
        <f t="shared" si="5"/>
        <v>0</v>
      </c>
      <c r="V50" s="119">
        <f>'As-Filed Schedule 2G'!N50</f>
        <v>0</v>
      </c>
      <c r="W50" s="309">
        <f>SUMIFS(Adjustments!$G:$G,Adjustments!$H:$H,"2G",Adjustments!$I:$I,'Schedule 2G Adjustments'!$V$12,Adjustments!$J:$J,'Schedule 2G Adjustments'!$A50)</f>
        <v>0</v>
      </c>
      <c r="X50" s="305">
        <f t="shared" si="6"/>
        <v>0</v>
      </c>
      <c r="Y50" s="119">
        <f>'As-Filed Schedule 2G'!O50</f>
        <v>0</v>
      </c>
      <c r="Z50" s="309">
        <f>SUMIFS(Adjustments!$G:$G,Adjustments!$H:$H,"2G",Adjustments!$I:$I,'Schedule 2G Adjustments'!$Y$12,Adjustments!$J:$J,'Schedule 2G Adjustments'!$A50)</f>
        <v>0</v>
      </c>
      <c r="AA50" s="305">
        <f t="shared" si="7"/>
        <v>0</v>
      </c>
    </row>
    <row r="51" spans="1:27" x14ac:dyDescent="0.35">
      <c r="A51" s="24">
        <v>37</v>
      </c>
      <c r="B51" s="514" t="str">
        <f>IF('As-Filed Schedule 2G'!B51:D51=0,"",'As-Filed Schedule 2G'!B51:D51)</f>
        <v/>
      </c>
      <c r="C51" s="514"/>
      <c r="D51" s="514"/>
      <c r="F51" s="117">
        <f>'As-Filed Schedule 2G'!F51</f>
        <v>0</v>
      </c>
      <c r="G51" s="309">
        <f>SUMIFS(Adjustments!$G:$G,Adjustments!$H:$H,"2G",Adjustments!$I:$I,'Schedule 2G Adjustments'!$F$12,Adjustments!$J:$J,'Schedule 2G Adjustments'!$A51)</f>
        <v>0</v>
      </c>
      <c r="H51" s="305">
        <f t="shared" si="0"/>
        <v>0</v>
      </c>
      <c r="I51" s="68">
        <f>IFERROR(F51*'As-Filed Schedule 1'!$E$103,0)</f>
        <v>0</v>
      </c>
      <c r="J51" s="306">
        <f>IFERROR(H51*'Adjusted Schedule 1'!$E$104,0)</f>
        <v>0</v>
      </c>
      <c r="K51" s="68">
        <f t="shared" si="1"/>
        <v>0</v>
      </c>
      <c r="L51" s="306">
        <f t="shared" si="2"/>
        <v>0</v>
      </c>
      <c r="N51" s="117">
        <f>'As-Filed Schedule 2G'!J51</f>
        <v>0</v>
      </c>
      <c r="O51" s="309">
        <f>SUMIFS(Adjustments!$G:$G,Adjustments!$H:$H,"2G",Adjustments!$I:$I,'Schedule 2G Adjustments'!$N$12,Adjustments!$J:$J,'Schedule 2G Adjustments'!$A51)</f>
        <v>0</v>
      </c>
      <c r="P51" s="305">
        <f t="shared" si="3"/>
        <v>0</v>
      </c>
      <c r="Q51" s="68">
        <f>IFERROR(N51*'As-Filed Schedule 1'!$E$103,0)</f>
        <v>0</v>
      </c>
      <c r="R51" s="68">
        <f>IFERROR(P51*'Adjusted Schedule 1'!$E$104,0)</f>
        <v>0</v>
      </c>
      <c r="S51" s="68">
        <f t="shared" si="4"/>
        <v>0</v>
      </c>
      <c r="T51" s="306">
        <f t="shared" si="5"/>
        <v>0</v>
      </c>
      <c r="V51" s="119">
        <f>'As-Filed Schedule 2G'!N51</f>
        <v>0</v>
      </c>
      <c r="W51" s="309">
        <f>SUMIFS(Adjustments!$G:$G,Adjustments!$H:$H,"2G",Adjustments!$I:$I,'Schedule 2G Adjustments'!$V$12,Adjustments!$J:$J,'Schedule 2G Adjustments'!$A51)</f>
        <v>0</v>
      </c>
      <c r="X51" s="305">
        <f t="shared" si="6"/>
        <v>0</v>
      </c>
      <c r="Y51" s="119">
        <f>'As-Filed Schedule 2G'!O51</f>
        <v>0</v>
      </c>
      <c r="Z51" s="309">
        <f>SUMIFS(Adjustments!$G:$G,Adjustments!$H:$H,"2G",Adjustments!$I:$I,'Schedule 2G Adjustments'!$Y$12,Adjustments!$J:$J,'Schedule 2G Adjustments'!$A51)</f>
        <v>0</v>
      </c>
      <c r="AA51" s="305">
        <f t="shared" si="7"/>
        <v>0</v>
      </c>
    </row>
    <row r="52" spans="1:27" x14ac:dyDescent="0.35">
      <c r="A52" s="24">
        <v>38</v>
      </c>
      <c r="B52" s="514" t="str">
        <f>IF('As-Filed Schedule 2G'!B52:D52=0,"",'As-Filed Schedule 2G'!B52:D52)</f>
        <v/>
      </c>
      <c r="C52" s="514"/>
      <c r="D52" s="514"/>
      <c r="F52" s="117">
        <f>'As-Filed Schedule 2G'!F52</f>
        <v>0</v>
      </c>
      <c r="G52" s="309">
        <f>SUMIFS(Adjustments!$G:$G,Adjustments!$H:$H,"2G",Adjustments!$I:$I,'Schedule 2G Adjustments'!$F$12,Adjustments!$J:$J,'Schedule 2G Adjustments'!$A52)</f>
        <v>0</v>
      </c>
      <c r="H52" s="305">
        <f t="shared" si="0"/>
        <v>0</v>
      </c>
      <c r="I52" s="68">
        <f>IFERROR(F52*'As-Filed Schedule 1'!$E$103,0)</f>
        <v>0</v>
      </c>
      <c r="J52" s="306">
        <f>IFERROR(H52*'Adjusted Schedule 1'!$E$104,0)</f>
        <v>0</v>
      </c>
      <c r="K52" s="68">
        <f t="shared" si="1"/>
        <v>0</v>
      </c>
      <c r="L52" s="306">
        <f t="shared" si="2"/>
        <v>0</v>
      </c>
      <c r="N52" s="117">
        <f>'As-Filed Schedule 2G'!J52</f>
        <v>0</v>
      </c>
      <c r="O52" s="309">
        <f>SUMIFS(Adjustments!$G:$G,Adjustments!$H:$H,"2G",Adjustments!$I:$I,'Schedule 2G Adjustments'!$N$12,Adjustments!$J:$J,'Schedule 2G Adjustments'!$A52)</f>
        <v>0</v>
      </c>
      <c r="P52" s="305">
        <f t="shared" si="3"/>
        <v>0</v>
      </c>
      <c r="Q52" s="68">
        <f>IFERROR(N52*'As-Filed Schedule 1'!$E$103,0)</f>
        <v>0</v>
      </c>
      <c r="R52" s="68">
        <f>IFERROR(P52*'Adjusted Schedule 1'!$E$104,0)</f>
        <v>0</v>
      </c>
      <c r="S52" s="68">
        <f t="shared" si="4"/>
        <v>0</v>
      </c>
      <c r="T52" s="306">
        <f t="shared" si="5"/>
        <v>0</v>
      </c>
      <c r="V52" s="119">
        <f>'As-Filed Schedule 2G'!N52</f>
        <v>0</v>
      </c>
      <c r="W52" s="309">
        <f>SUMIFS(Adjustments!$G:$G,Adjustments!$H:$H,"2G",Adjustments!$I:$I,'Schedule 2G Adjustments'!$V$12,Adjustments!$J:$J,'Schedule 2G Adjustments'!$A52)</f>
        <v>0</v>
      </c>
      <c r="X52" s="305">
        <f t="shared" si="6"/>
        <v>0</v>
      </c>
      <c r="Y52" s="119">
        <f>'As-Filed Schedule 2G'!O52</f>
        <v>0</v>
      </c>
      <c r="Z52" s="309">
        <f>SUMIFS(Adjustments!$G:$G,Adjustments!$H:$H,"2G",Adjustments!$I:$I,'Schedule 2G Adjustments'!$Y$12,Adjustments!$J:$J,'Schedule 2G Adjustments'!$A52)</f>
        <v>0</v>
      </c>
      <c r="AA52" s="305">
        <f t="shared" si="7"/>
        <v>0</v>
      </c>
    </row>
    <row r="53" spans="1:27" x14ac:dyDescent="0.35">
      <c r="A53" s="24">
        <v>39</v>
      </c>
      <c r="B53" s="514" t="str">
        <f>IF('As-Filed Schedule 2G'!B53:D53=0,"",'As-Filed Schedule 2G'!B53:D53)</f>
        <v/>
      </c>
      <c r="C53" s="514"/>
      <c r="D53" s="514"/>
      <c r="F53" s="117">
        <f>'As-Filed Schedule 2G'!F53</f>
        <v>0</v>
      </c>
      <c r="G53" s="309">
        <f>SUMIFS(Adjustments!$G:$G,Adjustments!$H:$H,"2G",Adjustments!$I:$I,'Schedule 2G Adjustments'!$F$12,Adjustments!$J:$J,'Schedule 2G Adjustments'!$A53)</f>
        <v>0</v>
      </c>
      <c r="H53" s="305">
        <f t="shared" si="0"/>
        <v>0</v>
      </c>
      <c r="I53" s="68">
        <f>IFERROR(F53*'As-Filed Schedule 1'!$E$103,0)</f>
        <v>0</v>
      </c>
      <c r="J53" s="306">
        <f>IFERROR(H53*'Adjusted Schedule 1'!$E$104,0)</f>
        <v>0</v>
      </c>
      <c r="K53" s="68">
        <f t="shared" si="1"/>
        <v>0</v>
      </c>
      <c r="L53" s="306">
        <f t="shared" si="2"/>
        <v>0</v>
      </c>
      <c r="N53" s="117">
        <f>'As-Filed Schedule 2G'!J53</f>
        <v>0</v>
      </c>
      <c r="O53" s="309">
        <f>SUMIFS(Adjustments!$G:$G,Adjustments!$H:$H,"2G",Adjustments!$I:$I,'Schedule 2G Adjustments'!$N$12,Adjustments!$J:$J,'Schedule 2G Adjustments'!$A53)</f>
        <v>0</v>
      </c>
      <c r="P53" s="305">
        <f t="shared" si="3"/>
        <v>0</v>
      </c>
      <c r="Q53" s="68">
        <f>IFERROR(N53*'As-Filed Schedule 1'!$E$103,0)</f>
        <v>0</v>
      </c>
      <c r="R53" s="68">
        <f>IFERROR(P53*'Adjusted Schedule 1'!$E$104,0)</f>
        <v>0</v>
      </c>
      <c r="S53" s="68">
        <f t="shared" si="4"/>
        <v>0</v>
      </c>
      <c r="T53" s="306">
        <f t="shared" si="5"/>
        <v>0</v>
      </c>
      <c r="V53" s="119">
        <f>'As-Filed Schedule 2G'!N53</f>
        <v>0</v>
      </c>
      <c r="W53" s="309">
        <f>SUMIFS(Adjustments!$G:$G,Adjustments!$H:$H,"2G",Adjustments!$I:$I,'Schedule 2G Adjustments'!$V$12,Adjustments!$J:$J,'Schedule 2G Adjustments'!$A53)</f>
        <v>0</v>
      </c>
      <c r="X53" s="305">
        <f t="shared" si="6"/>
        <v>0</v>
      </c>
      <c r="Y53" s="119">
        <f>'As-Filed Schedule 2G'!O53</f>
        <v>0</v>
      </c>
      <c r="Z53" s="309">
        <f>SUMIFS(Adjustments!$G:$G,Adjustments!$H:$H,"2G",Adjustments!$I:$I,'Schedule 2G Adjustments'!$Y$12,Adjustments!$J:$J,'Schedule 2G Adjustments'!$A53)</f>
        <v>0</v>
      </c>
      <c r="AA53" s="305">
        <f t="shared" si="7"/>
        <v>0</v>
      </c>
    </row>
    <row r="54" spans="1:27" x14ac:dyDescent="0.35">
      <c r="A54" s="24">
        <v>40</v>
      </c>
      <c r="B54" s="514" t="str">
        <f>IF('As-Filed Schedule 2G'!B54:D54=0,"",'As-Filed Schedule 2G'!B54:D54)</f>
        <v/>
      </c>
      <c r="C54" s="514"/>
      <c r="D54" s="514"/>
      <c r="F54" s="117">
        <f>'As-Filed Schedule 2G'!F54</f>
        <v>0</v>
      </c>
      <c r="G54" s="309">
        <f>SUMIFS(Adjustments!$G:$G,Adjustments!$H:$H,"2G",Adjustments!$I:$I,'Schedule 2G Adjustments'!$F$12,Adjustments!$J:$J,'Schedule 2G Adjustments'!$A54)</f>
        <v>0</v>
      </c>
      <c r="H54" s="305">
        <f t="shared" si="0"/>
        <v>0</v>
      </c>
      <c r="I54" s="68">
        <f>IFERROR(F54*'As-Filed Schedule 1'!$E$103,0)</f>
        <v>0</v>
      </c>
      <c r="J54" s="306">
        <f>IFERROR(H54*'Adjusted Schedule 1'!$E$104,0)</f>
        <v>0</v>
      </c>
      <c r="K54" s="68">
        <f t="shared" si="1"/>
        <v>0</v>
      </c>
      <c r="L54" s="306">
        <f t="shared" si="2"/>
        <v>0</v>
      </c>
      <c r="N54" s="117">
        <f>'As-Filed Schedule 2G'!J54</f>
        <v>0</v>
      </c>
      <c r="O54" s="309">
        <f>SUMIFS(Adjustments!$G:$G,Adjustments!$H:$H,"2G",Adjustments!$I:$I,'Schedule 2G Adjustments'!$N$12,Adjustments!$J:$J,'Schedule 2G Adjustments'!$A54)</f>
        <v>0</v>
      </c>
      <c r="P54" s="305">
        <f t="shared" si="3"/>
        <v>0</v>
      </c>
      <c r="Q54" s="68">
        <f>IFERROR(N54*'As-Filed Schedule 1'!$E$103,0)</f>
        <v>0</v>
      </c>
      <c r="R54" s="68">
        <f>IFERROR(P54*'Adjusted Schedule 1'!$E$104,0)</f>
        <v>0</v>
      </c>
      <c r="S54" s="68">
        <f t="shared" si="4"/>
        <v>0</v>
      </c>
      <c r="T54" s="306">
        <f t="shared" si="5"/>
        <v>0</v>
      </c>
      <c r="V54" s="119">
        <f>'As-Filed Schedule 2G'!N54</f>
        <v>0</v>
      </c>
      <c r="W54" s="309">
        <f>SUMIFS(Adjustments!$G:$G,Adjustments!$H:$H,"2G",Adjustments!$I:$I,'Schedule 2G Adjustments'!$V$12,Adjustments!$J:$J,'Schedule 2G Adjustments'!$A54)</f>
        <v>0</v>
      </c>
      <c r="X54" s="305">
        <f t="shared" si="6"/>
        <v>0</v>
      </c>
      <c r="Y54" s="119">
        <f>'As-Filed Schedule 2G'!O54</f>
        <v>0</v>
      </c>
      <c r="Z54" s="309">
        <f>SUMIFS(Adjustments!$G:$G,Adjustments!$H:$H,"2G",Adjustments!$I:$I,'Schedule 2G Adjustments'!$Y$12,Adjustments!$J:$J,'Schedule 2G Adjustments'!$A54)</f>
        <v>0</v>
      </c>
      <c r="AA54" s="305">
        <f t="shared" si="7"/>
        <v>0</v>
      </c>
    </row>
    <row r="55" spans="1:27" x14ac:dyDescent="0.35">
      <c r="A55" s="24">
        <v>41</v>
      </c>
      <c r="B55" s="514" t="str">
        <f>IF('As-Filed Schedule 2G'!B55:D55=0,"",'As-Filed Schedule 2G'!B55:D55)</f>
        <v/>
      </c>
      <c r="C55" s="514"/>
      <c r="D55" s="514"/>
      <c r="F55" s="117">
        <f>'As-Filed Schedule 2G'!F55</f>
        <v>0</v>
      </c>
      <c r="G55" s="309">
        <f>SUMIFS(Adjustments!$G:$G,Adjustments!$H:$H,"2G",Adjustments!$I:$I,'Schedule 2G Adjustments'!$F$12,Adjustments!$J:$J,'Schedule 2G Adjustments'!$A55)</f>
        <v>0</v>
      </c>
      <c r="H55" s="305">
        <f t="shared" si="0"/>
        <v>0</v>
      </c>
      <c r="I55" s="68">
        <f>IFERROR(F55*'As-Filed Schedule 1'!$E$103,0)</f>
        <v>0</v>
      </c>
      <c r="J55" s="306">
        <f>IFERROR(H55*'Adjusted Schedule 1'!$E$104,0)</f>
        <v>0</v>
      </c>
      <c r="K55" s="68">
        <f t="shared" si="1"/>
        <v>0</v>
      </c>
      <c r="L55" s="306">
        <f t="shared" si="2"/>
        <v>0</v>
      </c>
      <c r="N55" s="117">
        <f>'As-Filed Schedule 2G'!J55</f>
        <v>0</v>
      </c>
      <c r="O55" s="309">
        <f>SUMIFS(Adjustments!$G:$G,Adjustments!$H:$H,"2G",Adjustments!$I:$I,'Schedule 2G Adjustments'!$N$12,Adjustments!$J:$J,'Schedule 2G Adjustments'!$A55)</f>
        <v>0</v>
      </c>
      <c r="P55" s="305">
        <f t="shared" si="3"/>
        <v>0</v>
      </c>
      <c r="Q55" s="68">
        <f>IFERROR(N55*'As-Filed Schedule 1'!$E$103,0)</f>
        <v>0</v>
      </c>
      <c r="R55" s="68">
        <f>IFERROR(P55*'Adjusted Schedule 1'!$E$104,0)</f>
        <v>0</v>
      </c>
      <c r="S55" s="68">
        <f t="shared" si="4"/>
        <v>0</v>
      </c>
      <c r="T55" s="306">
        <f t="shared" si="5"/>
        <v>0</v>
      </c>
      <c r="V55" s="119">
        <f>'As-Filed Schedule 2G'!N55</f>
        <v>0</v>
      </c>
      <c r="W55" s="309">
        <f>SUMIFS(Adjustments!$G:$G,Adjustments!$H:$H,"2G",Adjustments!$I:$I,'Schedule 2G Adjustments'!$V$12,Adjustments!$J:$J,'Schedule 2G Adjustments'!$A55)</f>
        <v>0</v>
      </c>
      <c r="X55" s="305">
        <f t="shared" si="6"/>
        <v>0</v>
      </c>
      <c r="Y55" s="119">
        <f>'As-Filed Schedule 2G'!O55</f>
        <v>0</v>
      </c>
      <c r="Z55" s="309">
        <f>SUMIFS(Adjustments!$G:$G,Adjustments!$H:$H,"2G",Adjustments!$I:$I,'Schedule 2G Adjustments'!$Y$12,Adjustments!$J:$J,'Schedule 2G Adjustments'!$A55)</f>
        <v>0</v>
      </c>
      <c r="AA55" s="305">
        <f t="shared" si="7"/>
        <v>0</v>
      </c>
    </row>
    <row r="56" spans="1:27" x14ac:dyDescent="0.35">
      <c r="A56" s="24">
        <v>42</v>
      </c>
      <c r="B56" s="514" t="str">
        <f>IF('As-Filed Schedule 2G'!B56:D56=0,"",'As-Filed Schedule 2G'!B56:D56)</f>
        <v/>
      </c>
      <c r="C56" s="514"/>
      <c r="D56" s="514"/>
      <c r="F56" s="117">
        <f>'As-Filed Schedule 2G'!F56</f>
        <v>0</v>
      </c>
      <c r="G56" s="309">
        <f>SUMIFS(Adjustments!$G:$G,Adjustments!$H:$H,"2G",Adjustments!$I:$I,'Schedule 2G Adjustments'!$F$12,Adjustments!$J:$J,'Schedule 2G Adjustments'!$A56)</f>
        <v>0</v>
      </c>
      <c r="H56" s="305">
        <f t="shared" si="0"/>
        <v>0</v>
      </c>
      <c r="I56" s="68">
        <f>IFERROR(F56*'As-Filed Schedule 1'!$E$103,0)</f>
        <v>0</v>
      </c>
      <c r="J56" s="306">
        <f>IFERROR(H56*'Adjusted Schedule 1'!$E$104,0)</f>
        <v>0</v>
      </c>
      <c r="K56" s="68">
        <f t="shared" si="1"/>
        <v>0</v>
      </c>
      <c r="L56" s="306">
        <f t="shared" si="2"/>
        <v>0</v>
      </c>
      <c r="N56" s="117">
        <f>'As-Filed Schedule 2G'!J56</f>
        <v>0</v>
      </c>
      <c r="O56" s="309">
        <f>SUMIFS(Adjustments!$G:$G,Adjustments!$H:$H,"2G",Adjustments!$I:$I,'Schedule 2G Adjustments'!$N$12,Adjustments!$J:$J,'Schedule 2G Adjustments'!$A56)</f>
        <v>0</v>
      </c>
      <c r="P56" s="305">
        <f t="shared" si="3"/>
        <v>0</v>
      </c>
      <c r="Q56" s="68">
        <f>IFERROR(N56*'As-Filed Schedule 1'!$E$103,0)</f>
        <v>0</v>
      </c>
      <c r="R56" s="68">
        <f>IFERROR(P56*'Adjusted Schedule 1'!$E$104,0)</f>
        <v>0</v>
      </c>
      <c r="S56" s="68">
        <f t="shared" si="4"/>
        <v>0</v>
      </c>
      <c r="T56" s="306">
        <f t="shared" si="5"/>
        <v>0</v>
      </c>
      <c r="V56" s="119">
        <f>'As-Filed Schedule 2G'!N56</f>
        <v>0</v>
      </c>
      <c r="W56" s="309">
        <f>SUMIFS(Adjustments!$G:$G,Adjustments!$H:$H,"2G",Adjustments!$I:$I,'Schedule 2G Adjustments'!$V$12,Adjustments!$J:$J,'Schedule 2G Adjustments'!$A56)</f>
        <v>0</v>
      </c>
      <c r="X56" s="305">
        <f t="shared" si="6"/>
        <v>0</v>
      </c>
      <c r="Y56" s="119">
        <f>'As-Filed Schedule 2G'!O56</f>
        <v>0</v>
      </c>
      <c r="Z56" s="309">
        <f>SUMIFS(Adjustments!$G:$G,Adjustments!$H:$H,"2G",Adjustments!$I:$I,'Schedule 2G Adjustments'!$Y$12,Adjustments!$J:$J,'Schedule 2G Adjustments'!$A56)</f>
        <v>0</v>
      </c>
      <c r="AA56" s="305">
        <f t="shared" si="7"/>
        <v>0</v>
      </c>
    </row>
    <row r="57" spans="1:27" x14ac:dyDescent="0.35">
      <c r="A57" s="24">
        <v>43</v>
      </c>
      <c r="B57" s="514" t="str">
        <f>IF('As-Filed Schedule 2G'!B57:D57=0,"",'As-Filed Schedule 2G'!B57:D57)</f>
        <v/>
      </c>
      <c r="C57" s="514"/>
      <c r="D57" s="514"/>
      <c r="F57" s="117">
        <f>'As-Filed Schedule 2G'!F57</f>
        <v>0</v>
      </c>
      <c r="G57" s="309">
        <f>SUMIFS(Adjustments!$G:$G,Adjustments!$H:$H,"2G",Adjustments!$I:$I,'Schedule 2G Adjustments'!$F$12,Adjustments!$J:$J,'Schedule 2G Adjustments'!$A57)</f>
        <v>0</v>
      </c>
      <c r="H57" s="305">
        <f t="shared" si="0"/>
        <v>0</v>
      </c>
      <c r="I57" s="68">
        <f>IFERROR(F57*'As-Filed Schedule 1'!$E$103,0)</f>
        <v>0</v>
      </c>
      <c r="J57" s="306">
        <f>IFERROR(H57*'Adjusted Schedule 1'!$E$104,0)</f>
        <v>0</v>
      </c>
      <c r="K57" s="68">
        <f t="shared" si="1"/>
        <v>0</v>
      </c>
      <c r="L57" s="306">
        <f t="shared" si="2"/>
        <v>0</v>
      </c>
      <c r="N57" s="117">
        <f>'As-Filed Schedule 2G'!J57</f>
        <v>0</v>
      </c>
      <c r="O57" s="309">
        <f>SUMIFS(Adjustments!$G:$G,Adjustments!$H:$H,"2G",Adjustments!$I:$I,'Schedule 2G Adjustments'!$N$12,Adjustments!$J:$J,'Schedule 2G Adjustments'!$A57)</f>
        <v>0</v>
      </c>
      <c r="P57" s="305">
        <f t="shared" si="3"/>
        <v>0</v>
      </c>
      <c r="Q57" s="68">
        <f>IFERROR(N57*'As-Filed Schedule 1'!$E$103,0)</f>
        <v>0</v>
      </c>
      <c r="R57" s="68">
        <f>IFERROR(P57*'Adjusted Schedule 1'!$E$104,0)</f>
        <v>0</v>
      </c>
      <c r="S57" s="68">
        <f t="shared" si="4"/>
        <v>0</v>
      </c>
      <c r="T57" s="306">
        <f t="shared" si="5"/>
        <v>0</v>
      </c>
      <c r="V57" s="119">
        <f>'As-Filed Schedule 2G'!N57</f>
        <v>0</v>
      </c>
      <c r="W57" s="309">
        <f>SUMIFS(Adjustments!$G:$G,Adjustments!$H:$H,"2G",Adjustments!$I:$I,'Schedule 2G Adjustments'!$V$12,Adjustments!$J:$J,'Schedule 2G Adjustments'!$A57)</f>
        <v>0</v>
      </c>
      <c r="X57" s="305">
        <f t="shared" si="6"/>
        <v>0</v>
      </c>
      <c r="Y57" s="119">
        <f>'As-Filed Schedule 2G'!O57</f>
        <v>0</v>
      </c>
      <c r="Z57" s="309">
        <f>SUMIFS(Adjustments!$G:$G,Adjustments!$H:$H,"2G",Adjustments!$I:$I,'Schedule 2G Adjustments'!$Y$12,Adjustments!$J:$J,'Schedule 2G Adjustments'!$A57)</f>
        <v>0</v>
      </c>
      <c r="AA57" s="305">
        <f t="shared" si="7"/>
        <v>0</v>
      </c>
    </row>
    <row r="58" spans="1:27" x14ac:dyDescent="0.35">
      <c r="A58" s="24">
        <v>44</v>
      </c>
      <c r="B58" s="514" t="str">
        <f>IF('As-Filed Schedule 2G'!B58:D58=0,"",'As-Filed Schedule 2G'!B58:D58)</f>
        <v/>
      </c>
      <c r="C58" s="514"/>
      <c r="D58" s="514"/>
      <c r="F58" s="117">
        <f>'As-Filed Schedule 2G'!F58</f>
        <v>0</v>
      </c>
      <c r="G58" s="309">
        <f>SUMIFS(Adjustments!$G:$G,Adjustments!$H:$H,"2G",Adjustments!$I:$I,'Schedule 2G Adjustments'!$F$12,Adjustments!$J:$J,'Schedule 2G Adjustments'!$A58)</f>
        <v>0</v>
      </c>
      <c r="H58" s="305">
        <f t="shared" si="0"/>
        <v>0</v>
      </c>
      <c r="I58" s="68">
        <f>IFERROR(F58*'As-Filed Schedule 1'!$E$103,0)</f>
        <v>0</v>
      </c>
      <c r="J58" s="306">
        <f>IFERROR(H58*'Adjusted Schedule 1'!$E$104,0)</f>
        <v>0</v>
      </c>
      <c r="K58" s="68">
        <f t="shared" si="1"/>
        <v>0</v>
      </c>
      <c r="L58" s="306">
        <f t="shared" si="2"/>
        <v>0</v>
      </c>
      <c r="N58" s="117">
        <f>'As-Filed Schedule 2G'!J58</f>
        <v>0</v>
      </c>
      <c r="O58" s="309">
        <f>SUMIFS(Adjustments!$G:$G,Adjustments!$H:$H,"2G",Adjustments!$I:$I,'Schedule 2G Adjustments'!$N$12,Adjustments!$J:$J,'Schedule 2G Adjustments'!$A58)</f>
        <v>0</v>
      </c>
      <c r="P58" s="305">
        <f t="shared" si="3"/>
        <v>0</v>
      </c>
      <c r="Q58" s="68">
        <f>IFERROR(N58*'As-Filed Schedule 1'!$E$103,0)</f>
        <v>0</v>
      </c>
      <c r="R58" s="68">
        <f>IFERROR(P58*'Adjusted Schedule 1'!$E$104,0)</f>
        <v>0</v>
      </c>
      <c r="S58" s="68">
        <f t="shared" si="4"/>
        <v>0</v>
      </c>
      <c r="T58" s="306">
        <f t="shared" si="5"/>
        <v>0</v>
      </c>
      <c r="V58" s="119">
        <f>'As-Filed Schedule 2G'!N58</f>
        <v>0</v>
      </c>
      <c r="W58" s="309">
        <f>SUMIFS(Adjustments!$G:$G,Adjustments!$H:$H,"2G",Adjustments!$I:$I,'Schedule 2G Adjustments'!$V$12,Adjustments!$J:$J,'Schedule 2G Adjustments'!$A58)</f>
        <v>0</v>
      </c>
      <c r="X58" s="305">
        <f t="shared" si="6"/>
        <v>0</v>
      </c>
      <c r="Y58" s="119">
        <f>'As-Filed Schedule 2G'!O58</f>
        <v>0</v>
      </c>
      <c r="Z58" s="309">
        <f>SUMIFS(Adjustments!$G:$G,Adjustments!$H:$H,"2G",Adjustments!$I:$I,'Schedule 2G Adjustments'!$Y$12,Adjustments!$J:$J,'Schedule 2G Adjustments'!$A58)</f>
        <v>0</v>
      </c>
      <c r="AA58" s="305">
        <f t="shared" si="7"/>
        <v>0</v>
      </c>
    </row>
    <row r="59" spans="1:27" x14ac:dyDescent="0.35">
      <c r="A59" s="24">
        <v>45</v>
      </c>
      <c r="B59" s="514" t="str">
        <f>IF('As-Filed Schedule 2G'!B59:D59=0,"",'As-Filed Schedule 2G'!B59:D59)</f>
        <v/>
      </c>
      <c r="C59" s="514"/>
      <c r="D59" s="514"/>
      <c r="F59" s="117">
        <f>'As-Filed Schedule 2G'!F59</f>
        <v>0</v>
      </c>
      <c r="G59" s="309">
        <f>SUMIFS(Adjustments!$G:$G,Adjustments!$H:$H,"2G",Adjustments!$I:$I,'Schedule 2G Adjustments'!$F$12,Adjustments!$J:$J,'Schedule 2G Adjustments'!$A59)</f>
        <v>0</v>
      </c>
      <c r="H59" s="305">
        <f t="shared" si="0"/>
        <v>0</v>
      </c>
      <c r="I59" s="68">
        <f>IFERROR(F59*'As-Filed Schedule 1'!$E$103,0)</f>
        <v>0</v>
      </c>
      <c r="J59" s="306">
        <f>IFERROR(H59*'Adjusted Schedule 1'!$E$104,0)</f>
        <v>0</v>
      </c>
      <c r="K59" s="68">
        <f t="shared" si="1"/>
        <v>0</v>
      </c>
      <c r="L59" s="306">
        <f t="shared" si="2"/>
        <v>0</v>
      </c>
      <c r="N59" s="117">
        <f>'As-Filed Schedule 2G'!J59</f>
        <v>0</v>
      </c>
      <c r="O59" s="309">
        <f>SUMIFS(Adjustments!$G:$G,Adjustments!$H:$H,"2G",Adjustments!$I:$I,'Schedule 2G Adjustments'!$N$12,Adjustments!$J:$J,'Schedule 2G Adjustments'!$A59)</f>
        <v>0</v>
      </c>
      <c r="P59" s="305">
        <f t="shared" si="3"/>
        <v>0</v>
      </c>
      <c r="Q59" s="68">
        <f>IFERROR(N59*'As-Filed Schedule 1'!$E$103,0)</f>
        <v>0</v>
      </c>
      <c r="R59" s="68">
        <f>IFERROR(P59*'Adjusted Schedule 1'!$E$104,0)</f>
        <v>0</v>
      </c>
      <c r="S59" s="68">
        <f t="shared" si="4"/>
        <v>0</v>
      </c>
      <c r="T59" s="306">
        <f t="shared" si="5"/>
        <v>0</v>
      </c>
      <c r="V59" s="119">
        <f>'As-Filed Schedule 2G'!N59</f>
        <v>0</v>
      </c>
      <c r="W59" s="309">
        <f>SUMIFS(Adjustments!$G:$G,Adjustments!$H:$H,"2G",Adjustments!$I:$I,'Schedule 2G Adjustments'!$V$12,Adjustments!$J:$J,'Schedule 2G Adjustments'!$A59)</f>
        <v>0</v>
      </c>
      <c r="X59" s="305">
        <f t="shared" si="6"/>
        <v>0</v>
      </c>
      <c r="Y59" s="119">
        <f>'As-Filed Schedule 2G'!O59</f>
        <v>0</v>
      </c>
      <c r="Z59" s="309">
        <f>SUMIFS(Adjustments!$G:$G,Adjustments!$H:$H,"2G",Adjustments!$I:$I,'Schedule 2G Adjustments'!$Y$12,Adjustments!$J:$J,'Schedule 2G Adjustments'!$A59)</f>
        <v>0</v>
      </c>
      <c r="AA59" s="305">
        <f t="shared" si="7"/>
        <v>0</v>
      </c>
    </row>
    <row r="60" spans="1:27" x14ac:dyDescent="0.35">
      <c r="A60" s="24">
        <v>46</v>
      </c>
      <c r="B60" s="514" t="str">
        <f>IF('As-Filed Schedule 2G'!B60:D60=0,"",'As-Filed Schedule 2G'!B60:D60)</f>
        <v/>
      </c>
      <c r="C60" s="514"/>
      <c r="D60" s="514"/>
      <c r="F60" s="117">
        <f>'As-Filed Schedule 2G'!F60</f>
        <v>0</v>
      </c>
      <c r="G60" s="309">
        <f>SUMIFS(Adjustments!$G:$G,Adjustments!$H:$H,"2G",Adjustments!$I:$I,'Schedule 2G Adjustments'!$F$12,Adjustments!$J:$J,'Schedule 2G Adjustments'!$A60)</f>
        <v>0</v>
      </c>
      <c r="H60" s="305">
        <f t="shared" si="0"/>
        <v>0</v>
      </c>
      <c r="I60" s="68">
        <f>IFERROR(F60*'As-Filed Schedule 1'!$E$103,0)</f>
        <v>0</v>
      </c>
      <c r="J60" s="306">
        <f>IFERROR(H60*'Adjusted Schedule 1'!$E$104,0)</f>
        <v>0</v>
      </c>
      <c r="K60" s="68">
        <f t="shared" si="1"/>
        <v>0</v>
      </c>
      <c r="L60" s="306">
        <f t="shared" si="2"/>
        <v>0</v>
      </c>
      <c r="N60" s="117">
        <f>'As-Filed Schedule 2G'!J60</f>
        <v>0</v>
      </c>
      <c r="O60" s="309">
        <f>SUMIFS(Adjustments!$G:$G,Adjustments!$H:$H,"2G",Adjustments!$I:$I,'Schedule 2G Adjustments'!$N$12,Adjustments!$J:$J,'Schedule 2G Adjustments'!$A60)</f>
        <v>0</v>
      </c>
      <c r="P60" s="305">
        <f t="shared" si="3"/>
        <v>0</v>
      </c>
      <c r="Q60" s="68">
        <f>IFERROR(N60*'As-Filed Schedule 1'!$E$103,0)</f>
        <v>0</v>
      </c>
      <c r="R60" s="68">
        <f>IFERROR(P60*'Adjusted Schedule 1'!$E$104,0)</f>
        <v>0</v>
      </c>
      <c r="S60" s="68">
        <f t="shared" si="4"/>
        <v>0</v>
      </c>
      <c r="T60" s="306">
        <f t="shared" si="5"/>
        <v>0</v>
      </c>
      <c r="V60" s="119">
        <f>'As-Filed Schedule 2G'!N60</f>
        <v>0</v>
      </c>
      <c r="W60" s="309">
        <f>SUMIFS(Adjustments!$G:$G,Adjustments!$H:$H,"2G",Adjustments!$I:$I,'Schedule 2G Adjustments'!$V$12,Adjustments!$J:$J,'Schedule 2G Adjustments'!$A60)</f>
        <v>0</v>
      </c>
      <c r="X60" s="305">
        <f t="shared" si="6"/>
        <v>0</v>
      </c>
      <c r="Y60" s="119">
        <f>'As-Filed Schedule 2G'!O60</f>
        <v>0</v>
      </c>
      <c r="Z60" s="309">
        <f>SUMIFS(Adjustments!$G:$G,Adjustments!$H:$H,"2G",Adjustments!$I:$I,'Schedule 2G Adjustments'!$Y$12,Adjustments!$J:$J,'Schedule 2G Adjustments'!$A60)</f>
        <v>0</v>
      </c>
      <c r="AA60" s="305">
        <f t="shared" si="7"/>
        <v>0</v>
      </c>
    </row>
    <row r="61" spans="1:27" x14ac:dyDescent="0.35">
      <c r="A61" s="24">
        <v>47</v>
      </c>
      <c r="B61" s="514" t="str">
        <f>IF('As-Filed Schedule 2G'!B61:D61=0,"",'As-Filed Schedule 2G'!B61:D61)</f>
        <v/>
      </c>
      <c r="C61" s="514"/>
      <c r="D61" s="514"/>
      <c r="F61" s="117">
        <f>'As-Filed Schedule 2G'!F61</f>
        <v>0</v>
      </c>
      <c r="G61" s="309">
        <f>SUMIFS(Adjustments!$G:$G,Adjustments!$H:$H,"2G",Adjustments!$I:$I,'Schedule 2G Adjustments'!$F$12,Adjustments!$J:$J,'Schedule 2G Adjustments'!$A61)</f>
        <v>0</v>
      </c>
      <c r="H61" s="305">
        <f t="shared" si="0"/>
        <v>0</v>
      </c>
      <c r="I61" s="68">
        <f>IFERROR(F61*'As-Filed Schedule 1'!$E$103,0)</f>
        <v>0</v>
      </c>
      <c r="J61" s="306">
        <f>IFERROR(H61*'Adjusted Schedule 1'!$E$104,0)</f>
        <v>0</v>
      </c>
      <c r="K61" s="68">
        <f t="shared" si="1"/>
        <v>0</v>
      </c>
      <c r="L61" s="306">
        <f t="shared" si="2"/>
        <v>0</v>
      </c>
      <c r="N61" s="117">
        <f>'As-Filed Schedule 2G'!J61</f>
        <v>0</v>
      </c>
      <c r="O61" s="309">
        <f>SUMIFS(Adjustments!$G:$G,Adjustments!$H:$H,"2G",Adjustments!$I:$I,'Schedule 2G Adjustments'!$N$12,Adjustments!$J:$J,'Schedule 2G Adjustments'!$A61)</f>
        <v>0</v>
      </c>
      <c r="P61" s="305">
        <f t="shared" si="3"/>
        <v>0</v>
      </c>
      <c r="Q61" s="68">
        <f>IFERROR(N61*'As-Filed Schedule 1'!$E$103,0)</f>
        <v>0</v>
      </c>
      <c r="R61" s="68">
        <f>IFERROR(P61*'Adjusted Schedule 1'!$E$104,0)</f>
        <v>0</v>
      </c>
      <c r="S61" s="68">
        <f t="shared" si="4"/>
        <v>0</v>
      </c>
      <c r="T61" s="306">
        <f t="shared" si="5"/>
        <v>0</v>
      </c>
      <c r="V61" s="119">
        <f>'As-Filed Schedule 2G'!N61</f>
        <v>0</v>
      </c>
      <c r="W61" s="309">
        <f>SUMIFS(Adjustments!$G:$G,Adjustments!$H:$H,"2G",Adjustments!$I:$I,'Schedule 2G Adjustments'!$V$12,Adjustments!$J:$J,'Schedule 2G Adjustments'!$A61)</f>
        <v>0</v>
      </c>
      <c r="X61" s="305">
        <f t="shared" si="6"/>
        <v>0</v>
      </c>
      <c r="Y61" s="119">
        <f>'As-Filed Schedule 2G'!O61</f>
        <v>0</v>
      </c>
      <c r="Z61" s="309">
        <f>SUMIFS(Adjustments!$G:$G,Adjustments!$H:$H,"2G",Adjustments!$I:$I,'Schedule 2G Adjustments'!$Y$12,Adjustments!$J:$J,'Schedule 2G Adjustments'!$A61)</f>
        <v>0</v>
      </c>
      <c r="AA61" s="305">
        <f t="shared" si="7"/>
        <v>0</v>
      </c>
    </row>
    <row r="62" spans="1:27" x14ac:dyDescent="0.35">
      <c r="A62" s="24">
        <v>48</v>
      </c>
      <c r="B62" s="514" t="str">
        <f>IF('As-Filed Schedule 2G'!B62:D62=0,"",'As-Filed Schedule 2G'!B62:D62)</f>
        <v/>
      </c>
      <c r="C62" s="514"/>
      <c r="D62" s="514"/>
      <c r="F62" s="117">
        <f>'As-Filed Schedule 2G'!F62</f>
        <v>0</v>
      </c>
      <c r="G62" s="309">
        <f>SUMIFS(Adjustments!$G:$G,Adjustments!$H:$H,"2G",Adjustments!$I:$I,'Schedule 2G Adjustments'!$F$12,Adjustments!$J:$J,'Schedule 2G Adjustments'!$A62)</f>
        <v>0</v>
      </c>
      <c r="H62" s="305">
        <f t="shared" si="0"/>
        <v>0</v>
      </c>
      <c r="I62" s="68">
        <f>IFERROR(F62*'As-Filed Schedule 1'!$E$103,0)</f>
        <v>0</v>
      </c>
      <c r="J62" s="306">
        <f>IFERROR(H62*'Adjusted Schedule 1'!$E$104,0)</f>
        <v>0</v>
      </c>
      <c r="K62" s="68">
        <f t="shared" si="1"/>
        <v>0</v>
      </c>
      <c r="L62" s="306">
        <f t="shared" si="2"/>
        <v>0</v>
      </c>
      <c r="N62" s="117">
        <f>'As-Filed Schedule 2G'!J62</f>
        <v>0</v>
      </c>
      <c r="O62" s="309">
        <f>SUMIFS(Adjustments!$G:$G,Adjustments!$H:$H,"2G",Adjustments!$I:$I,'Schedule 2G Adjustments'!$N$12,Adjustments!$J:$J,'Schedule 2G Adjustments'!$A62)</f>
        <v>0</v>
      </c>
      <c r="P62" s="305">
        <f t="shared" si="3"/>
        <v>0</v>
      </c>
      <c r="Q62" s="68">
        <f>IFERROR(N62*'As-Filed Schedule 1'!$E$103,0)</f>
        <v>0</v>
      </c>
      <c r="R62" s="68">
        <f>IFERROR(P62*'Adjusted Schedule 1'!$E$104,0)</f>
        <v>0</v>
      </c>
      <c r="S62" s="68">
        <f t="shared" si="4"/>
        <v>0</v>
      </c>
      <c r="T62" s="306">
        <f t="shared" si="5"/>
        <v>0</v>
      </c>
      <c r="V62" s="119">
        <f>'As-Filed Schedule 2G'!N62</f>
        <v>0</v>
      </c>
      <c r="W62" s="309">
        <f>SUMIFS(Adjustments!$G:$G,Adjustments!$H:$H,"2G",Adjustments!$I:$I,'Schedule 2G Adjustments'!$V$12,Adjustments!$J:$J,'Schedule 2G Adjustments'!$A62)</f>
        <v>0</v>
      </c>
      <c r="X62" s="305">
        <f t="shared" si="6"/>
        <v>0</v>
      </c>
      <c r="Y62" s="119">
        <f>'As-Filed Schedule 2G'!O62</f>
        <v>0</v>
      </c>
      <c r="Z62" s="309">
        <f>SUMIFS(Adjustments!$G:$G,Adjustments!$H:$H,"2G",Adjustments!$I:$I,'Schedule 2G Adjustments'!$Y$12,Adjustments!$J:$J,'Schedule 2G Adjustments'!$A62)</f>
        <v>0</v>
      </c>
      <c r="AA62" s="305">
        <f t="shared" si="7"/>
        <v>0</v>
      </c>
    </row>
    <row r="63" spans="1:27" x14ac:dyDescent="0.35">
      <c r="A63" s="24">
        <v>49</v>
      </c>
      <c r="B63" s="514" t="str">
        <f>IF('As-Filed Schedule 2G'!B63:D63=0,"",'As-Filed Schedule 2G'!B63:D63)</f>
        <v/>
      </c>
      <c r="C63" s="514"/>
      <c r="D63" s="514"/>
      <c r="F63" s="117">
        <f>'As-Filed Schedule 2G'!F63</f>
        <v>0</v>
      </c>
      <c r="G63" s="309">
        <f>SUMIFS(Adjustments!$G:$G,Adjustments!$H:$H,"2G",Adjustments!$I:$I,'Schedule 2G Adjustments'!$F$12,Adjustments!$J:$J,'Schedule 2G Adjustments'!$A63)</f>
        <v>0</v>
      </c>
      <c r="H63" s="305">
        <f t="shared" si="0"/>
        <v>0</v>
      </c>
      <c r="I63" s="68">
        <f>IFERROR(F63*'As-Filed Schedule 1'!$E$103,0)</f>
        <v>0</v>
      </c>
      <c r="J63" s="306">
        <f>IFERROR(H63*'Adjusted Schedule 1'!$E$104,0)</f>
        <v>0</v>
      </c>
      <c r="K63" s="68">
        <f t="shared" si="1"/>
        <v>0</v>
      </c>
      <c r="L63" s="306">
        <f t="shared" si="2"/>
        <v>0</v>
      </c>
      <c r="N63" s="117">
        <f>'As-Filed Schedule 2G'!J63</f>
        <v>0</v>
      </c>
      <c r="O63" s="309">
        <f>SUMIFS(Adjustments!$G:$G,Adjustments!$H:$H,"2G",Adjustments!$I:$I,'Schedule 2G Adjustments'!$N$12,Adjustments!$J:$J,'Schedule 2G Adjustments'!$A63)</f>
        <v>0</v>
      </c>
      <c r="P63" s="305">
        <f t="shared" si="3"/>
        <v>0</v>
      </c>
      <c r="Q63" s="68">
        <f>IFERROR(N63*'As-Filed Schedule 1'!$E$103,0)</f>
        <v>0</v>
      </c>
      <c r="R63" s="68">
        <f>IFERROR(P63*'Adjusted Schedule 1'!$E$104,0)</f>
        <v>0</v>
      </c>
      <c r="S63" s="68">
        <f t="shared" si="4"/>
        <v>0</v>
      </c>
      <c r="T63" s="306">
        <f t="shared" si="5"/>
        <v>0</v>
      </c>
      <c r="V63" s="119">
        <f>'As-Filed Schedule 2G'!N63</f>
        <v>0</v>
      </c>
      <c r="W63" s="309">
        <f>SUMIFS(Adjustments!$G:$G,Adjustments!$H:$H,"2G",Adjustments!$I:$I,'Schedule 2G Adjustments'!$V$12,Adjustments!$J:$J,'Schedule 2G Adjustments'!$A63)</f>
        <v>0</v>
      </c>
      <c r="X63" s="305">
        <f t="shared" si="6"/>
        <v>0</v>
      </c>
      <c r="Y63" s="119">
        <f>'As-Filed Schedule 2G'!O63</f>
        <v>0</v>
      </c>
      <c r="Z63" s="309">
        <f>SUMIFS(Adjustments!$G:$G,Adjustments!$H:$H,"2G",Adjustments!$I:$I,'Schedule 2G Adjustments'!$Y$12,Adjustments!$J:$J,'Schedule 2G Adjustments'!$A63)</f>
        <v>0</v>
      </c>
      <c r="AA63" s="305">
        <f t="shared" si="7"/>
        <v>0</v>
      </c>
    </row>
    <row r="64" spans="1:27" x14ac:dyDescent="0.35">
      <c r="A64" s="24">
        <v>50</v>
      </c>
      <c r="B64" s="514" t="str">
        <f>IF('As-Filed Schedule 2G'!B64:D64=0,"",'As-Filed Schedule 2G'!B64:D64)</f>
        <v/>
      </c>
      <c r="C64" s="514"/>
      <c r="D64" s="514"/>
      <c r="F64" s="117">
        <f>'As-Filed Schedule 2G'!F64</f>
        <v>0</v>
      </c>
      <c r="G64" s="309">
        <f>SUMIFS(Adjustments!$G:$G,Adjustments!$H:$H,"2G",Adjustments!$I:$I,'Schedule 2G Adjustments'!$F$12,Adjustments!$J:$J,'Schedule 2G Adjustments'!$A64)</f>
        <v>0</v>
      </c>
      <c r="H64" s="305">
        <f t="shared" si="0"/>
        <v>0</v>
      </c>
      <c r="I64" s="68">
        <f>IFERROR(F64*'As-Filed Schedule 1'!$E$103,0)</f>
        <v>0</v>
      </c>
      <c r="J64" s="306">
        <f>IFERROR(H64*'Adjusted Schedule 1'!$E$104,0)</f>
        <v>0</v>
      </c>
      <c r="K64" s="68">
        <f t="shared" si="1"/>
        <v>0</v>
      </c>
      <c r="L64" s="306">
        <f t="shared" si="2"/>
        <v>0</v>
      </c>
      <c r="N64" s="117">
        <f>'As-Filed Schedule 2G'!J64</f>
        <v>0</v>
      </c>
      <c r="O64" s="309">
        <f>SUMIFS(Adjustments!$G:$G,Adjustments!$H:$H,"2G",Adjustments!$I:$I,'Schedule 2G Adjustments'!$N$12,Adjustments!$J:$J,'Schedule 2G Adjustments'!$A64)</f>
        <v>0</v>
      </c>
      <c r="P64" s="305">
        <f t="shared" si="3"/>
        <v>0</v>
      </c>
      <c r="Q64" s="68">
        <f>IFERROR(N64*'As-Filed Schedule 1'!$E$103,0)</f>
        <v>0</v>
      </c>
      <c r="R64" s="68">
        <f>IFERROR(P64*'Adjusted Schedule 1'!$E$104,0)</f>
        <v>0</v>
      </c>
      <c r="S64" s="68">
        <f t="shared" si="4"/>
        <v>0</v>
      </c>
      <c r="T64" s="306">
        <f t="shared" si="5"/>
        <v>0</v>
      </c>
      <c r="V64" s="119">
        <f>'As-Filed Schedule 2G'!N64</f>
        <v>0</v>
      </c>
      <c r="W64" s="309">
        <f>SUMIFS(Adjustments!$G:$G,Adjustments!$H:$H,"2G",Adjustments!$I:$I,'Schedule 2G Adjustments'!$V$12,Adjustments!$J:$J,'Schedule 2G Adjustments'!$A64)</f>
        <v>0</v>
      </c>
      <c r="X64" s="305">
        <f t="shared" si="6"/>
        <v>0</v>
      </c>
      <c r="Y64" s="119">
        <f>'As-Filed Schedule 2G'!O64</f>
        <v>0</v>
      </c>
      <c r="Z64" s="309">
        <f>SUMIFS(Adjustments!$G:$G,Adjustments!$H:$H,"2G",Adjustments!$I:$I,'Schedule 2G Adjustments'!$Y$12,Adjustments!$J:$J,'Schedule 2G Adjustments'!$A64)</f>
        <v>0</v>
      </c>
      <c r="AA64" s="305">
        <f t="shared" si="7"/>
        <v>0</v>
      </c>
    </row>
    <row r="65" spans="1:27" x14ac:dyDescent="0.35">
      <c r="A65" s="24">
        <v>51</v>
      </c>
      <c r="B65" s="514" t="str">
        <f>IF('As-Filed Schedule 2G'!B65:D65=0,"",'As-Filed Schedule 2G'!B65:D65)</f>
        <v/>
      </c>
      <c r="C65" s="514"/>
      <c r="D65" s="514"/>
      <c r="F65" s="117">
        <f>'As-Filed Schedule 2G'!F65</f>
        <v>0</v>
      </c>
      <c r="G65" s="309">
        <f>SUMIFS(Adjustments!$G:$G,Adjustments!$H:$H,"2G",Adjustments!$I:$I,'Schedule 2G Adjustments'!$F$12,Adjustments!$J:$J,'Schedule 2G Adjustments'!$A65)</f>
        <v>0</v>
      </c>
      <c r="H65" s="305">
        <f t="shared" si="0"/>
        <v>0</v>
      </c>
      <c r="I65" s="68">
        <f>IFERROR(F65*'As-Filed Schedule 1'!$E$103,0)</f>
        <v>0</v>
      </c>
      <c r="J65" s="306">
        <f>IFERROR(H65*'Adjusted Schedule 1'!$E$104,0)</f>
        <v>0</v>
      </c>
      <c r="K65" s="68">
        <f t="shared" si="1"/>
        <v>0</v>
      </c>
      <c r="L65" s="306">
        <f t="shared" si="2"/>
        <v>0</v>
      </c>
      <c r="N65" s="117">
        <f>'As-Filed Schedule 2G'!J65</f>
        <v>0</v>
      </c>
      <c r="O65" s="309">
        <f>SUMIFS(Adjustments!$G:$G,Adjustments!$H:$H,"2G",Adjustments!$I:$I,'Schedule 2G Adjustments'!$N$12,Adjustments!$J:$J,'Schedule 2G Adjustments'!$A65)</f>
        <v>0</v>
      </c>
      <c r="P65" s="305">
        <f t="shared" si="3"/>
        <v>0</v>
      </c>
      <c r="Q65" s="68">
        <f>IFERROR(N65*'As-Filed Schedule 1'!$E$103,0)</f>
        <v>0</v>
      </c>
      <c r="R65" s="68">
        <f>IFERROR(P65*'Adjusted Schedule 1'!$E$104,0)</f>
        <v>0</v>
      </c>
      <c r="S65" s="68">
        <f t="shared" si="4"/>
        <v>0</v>
      </c>
      <c r="T65" s="306">
        <f t="shared" si="5"/>
        <v>0</v>
      </c>
      <c r="V65" s="119">
        <f>'As-Filed Schedule 2G'!N65</f>
        <v>0</v>
      </c>
      <c r="W65" s="309">
        <f>SUMIFS(Adjustments!$G:$G,Adjustments!$H:$H,"2G",Adjustments!$I:$I,'Schedule 2G Adjustments'!$V$12,Adjustments!$J:$J,'Schedule 2G Adjustments'!$A65)</f>
        <v>0</v>
      </c>
      <c r="X65" s="305">
        <f t="shared" si="6"/>
        <v>0</v>
      </c>
      <c r="Y65" s="119">
        <f>'As-Filed Schedule 2G'!O65</f>
        <v>0</v>
      </c>
      <c r="Z65" s="309">
        <f>SUMIFS(Adjustments!$G:$G,Adjustments!$H:$H,"2G",Adjustments!$I:$I,'Schedule 2G Adjustments'!$Y$12,Adjustments!$J:$J,'Schedule 2G Adjustments'!$A65)</f>
        <v>0</v>
      </c>
      <c r="AA65" s="305">
        <f t="shared" si="7"/>
        <v>0</v>
      </c>
    </row>
    <row r="66" spans="1:27" x14ac:dyDescent="0.35">
      <c r="A66" s="24">
        <v>52</v>
      </c>
      <c r="B66" s="514" t="str">
        <f>IF('As-Filed Schedule 2G'!B66:D66=0,"",'As-Filed Schedule 2G'!B66:D66)</f>
        <v/>
      </c>
      <c r="C66" s="514"/>
      <c r="D66" s="514"/>
      <c r="F66" s="117">
        <f>'As-Filed Schedule 2G'!F66</f>
        <v>0</v>
      </c>
      <c r="G66" s="309">
        <f>SUMIFS(Adjustments!$G:$G,Adjustments!$H:$H,"2G",Adjustments!$I:$I,'Schedule 2G Adjustments'!$F$12,Adjustments!$J:$J,'Schedule 2G Adjustments'!$A66)</f>
        <v>0</v>
      </c>
      <c r="H66" s="305">
        <f t="shared" si="0"/>
        <v>0</v>
      </c>
      <c r="I66" s="68">
        <f>IFERROR(F66*'As-Filed Schedule 1'!$E$103,0)</f>
        <v>0</v>
      </c>
      <c r="J66" s="306">
        <f>IFERROR(H66*'Adjusted Schedule 1'!$E$104,0)</f>
        <v>0</v>
      </c>
      <c r="K66" s="68">
        <f t="shared" si="1"/>
        <v>0</v>
      </c>
      <c r="L66" s="306">
        <f t="shared" si="2"/>
        <v>0</v>
      </c>
      <c r="N66" s="117">
        <f>'As-Filed Schedule 2G'!J66</f>
        <v>0</v>
      </c>
      <c r="O66" s="309">
        <f>SUMIFS(Adjustments!$G:$G,Adjustments!$H:$H,"2G",Adjustments!$I:$I,'Schedule 2G Adjustments'!$N$12,Adjustments!$J:$J,'Schedule 2G Adjustments'!$A66)</f>
        <v>0</v>
      </c>
      <c r="P66" s="305">
        <f t="shared" si="3"/>
        <v>0</v>
      </c>
      <c r="Q66" s="68">
        <f>IFERROR(N66*'As-Filed Schedule 1'!$E$103,0)</f>
        <v>0</v>
      </c>
      <c r="R66" s="68">
        <f>IFERROR(P66*'Adjusted Schedule 1'!$E$104,0)</f>
        <v>0</v>
      </c>
      <c r="S66" s="68">
        <f t="shared" si="4"/>
        <v>0</v>
      </c>
      <c r="T66" s="306">
        <f t="shared" si="5"/>
        <v>0</v>
      </c>
      <c r="V66" s="119">
        <f>'As-Filed Schedule 2G'!N66</f>
        <v>0</v>
      </c>
      <c r="W66" s="309">
        <f>SUMIFS(Adjustments!$G:$G,Adjustments!$H:$H,"2G",Adjustments!$I:$I,'Schedule 2G Adjustments'!$V$12,Adjustments!$J:$J,'Schedule 2G Adjustments'!$A66)</f>
        <v>0</v>
      </c>
      <c r="X66" s="305">
        <f t="shared" si="6"/>
        <v>0</v>
      </c>
      <c r="Y66" s="119">
        <f>'As-Filed Schedule 2G'!O66</f>
        <v>0</v>
      </c>
      <c r="Z66" s="309">
        <f>SUMIFS(Adjustments!$G:$G,Adjustments!$H:$H,"2G",Adjustments!$I:$I,'Schedule 2G Adjustments'!$Y$12,Adjustments!$J:$J,'Schedule 2G Adjustments'!$A66)</f>
        <v>0</v>
      </c>
      <c r="AA66" s="305">
        <f t="shared" si="7"/>
        <v>0</v>
      </c>
    </row>
    <row r="67" spans="1:27" x14ac:dyDescent="0.35">
      <c r="A67" s="24">
        <v>53</v>
      </c>
      <c r="B67" s="514" t="str">
        <f>IF('As-Filed Schedule 2G'!B67:D67=0,"",'As-Filed Schedule 2G'!B67:D67)</f>
        <v/>
      </c>
      <c r="C67" s="514"/>
      <c r="D67" s="514"/>
      <c r="F67" s="117">
        <f>'As-Filed Schedule 2G'!F67</f>
        <v>0</v>
      </c>
      <c r="G67" s="309">
        <f>SUMIFS(Adjustments!$G:$G,Adjustments!$H:$H,"2G",Adjustments!$I:$I,'Schedule 2G Adjustments'!$F$12,Adjustments!$J:$J,'Schedule 2G Adjustments'!$A67)</f>
        <v>0</v>
      </c>
      <c r="H67" s="305">
        <f t="shared" si="0"/>
        <v>0</v>
      </c>
      <c r="I67" s="68">
        <f>IFERROR(F67*'As-Filed Schedule 1'!$E$103,0)</f>
        <v>0</v>
      </c>
      <c r="J67" s="306">
        <f>IFERROR(H67*'Adjusted Schedule 1'!$E$104,0)</f>
        <v>0</v>
      </c>
      <c r="K67" s="68">
        <f t="shared" si="1"/>
        <v>0</v>
      </c>
      <c r="L67" s="306">
        <f t="shared" si="2"/>
        <v>0</v>
      </c>
      <c r="N67" s="117">
        <f>'As-Filed Schedule 2G'!J67</f>
        <v>0</v>
      </c>
      <c r="O67" s="309">
        <f>SUMIFS(Adjustments!$G:$G,Adjustments!$H:$H,"2G",Adjustments!$I:$I,'Schedule 2G Adjustments'!$N$12,Adjustments!$J:$J,'Schedule 2G Adjustments'!$A67)</f>
        <v>0</v>
      </c>
      <c r="P67" s="305">
        <f t="shared" si="3"/>
        <v>0</v>
      </c>
      <c r="Q67" s="68">
        <f>IFERROR(N67*'As-Filed Schedule 1'!$E$103,0)</f>
        <v>0</v>
      </c>
      <c r="R67" s="68">
        <f>IFERROR(P67*'Adjusted Schedule 1'!$E$104,0)</f>
        <v>0</v>
      </c>
      <c r="S67" s="68">
        <f t="shared" si="4"/>
        <v>0</v>
      </c>
      <c r="T67" s="306">
        <f t="shared" si="5"/>
        <v>0</v>
      </c>
      <c r="V67" s="119">
        <f>'As-Filed Schedule 2G'!N67</f>
        <v>0</v>
      </c>
      <c r="W67" s="309">
        <f>SUMIFS(Adjustments!$G:$G,Adjustments!$H:$H,"2G",Adjustments!$I:$I,'Schedule 2G Adjustments'!$V$12,Adjustments!$J:$J,'Schedule 2G Adjustments'!$A67)</f>
        <v>0</v>
      </c>
      <c r="X67" s="305">
        <f t="shared" si="6"/>
        <v>0</v>
      </c>
      <c r="Y67" s="119">
        <f>'As-Filed Schedule 2G'!O67</f>
        <v>0</v>
      </c>
      <c r="Z67" s="309">
        <f>SUMIFS(Adjustments!$G:$G,Adjustments!$H:$H,"2G",Adjustments!$I:$I,'Schedule 2G Adjustments'!$Y$12,Adjustments!$J:$J,'Schedule 2G Adjustments'!$A67)</f>
        <v>0</v>
      </c>
      <c r="AA67" s="305">
        <f t="shared" si="7"/>
        <v>0</v>
      </c>
    </row>
    <row r="68" spans="1:27" x14ac:dyDescent="0.35">
      <c r="A68" s="24">
        <v>54</v>
      </c>
      <c r="B68" s="514" t="str">
        <f>IF('As-Filed Schedule 2G'!B68:D68=0,"",'As-Filed Schedule 2G'!B68:D68)</f>
        <v/>
      </c>
      <c r="C68" s="514"/>
      <c r="D68" s="514"/>
      <c r="F68" s="117">
        <f>'As-Filed Schedule 2G'!F68</f>
        <v>0</v>
      </c>
      <c r="G68" s="309">
        <f>SUMIFS(Adjustments!$G:$G,Adjustments!$H:$H,"2G",Adjustments!$I:$I,'Schedule 2G Adjustments'!$F$12,Adjustments!$J:$J,'Schedule 2G Adjustments'!$A68)</f>
        <v>0</v>
      </c>
      <c r="H68" s="305">
        <f t="shared" si="0"/>
        <v>0</v>
      </c>
      <c r="I68" s="68">
        <f>IFERROR(F68*'As-Filed Schedule 1'!$E$103,0)</f>
        <v>0</v>
      </c>
      <c r="J68" s="306">
        <f>IFERROR(H68*'Adjusted Schedule 1'!$E$104,0)</f>
        <v>0</v>
      </c>
      <c r="K68" s="68">
        <f t="shared" si="1"/>
        <v>0</v>
      </c>
      <c r="L68" s="306">
        <f t="shared" si="2"/>
        <v>0</v>
      </c>
      <c r="N68" s="117">
        <f>'As-Filed Schedule 2G'!J68</f>
        <v>0</v>
      </c>
      <c r="O68" s="309">
        <f>SUMIFS(Adjustments!$G:$G,Adjustments!$H:$H,"2G",Adjustments!$I:$I,'Schedule 2G Adjustments'!$N$12,Adjustments!$J:$J,'Schedule 2G Adjustments'!$A68)</f>
        <v>0</v>
      </c>
      <c r="P68" s="305">
        <f t="shared" si="3"/>
        <v>0</v>
      </c>
      <c r="Q68" s="68">
        <f>IFERROR(N68*'As-Filed Schedule 1'!$E$103,0)</f>
        <v>0</v>
      </c>
      <c r="R68" s="68">
        <f>IFERROR(P68*'Adjusted Schedule 1'!$E$104,0)</f>
        <v>0</v>
      </c>
      <c r="S68" s="68">
        <f t="shared" si="4"/>
        <v>0</v>
      </c>
      <c r="T68" s="306">
        <f t="shared" si="5"/>
        <v>0</v>
      </c>
      <c r="V68" s="119">
        <f>'As-Filed Schedule 2G'!N68</f>
        <v>0</v>
      </c>
      <c r="W68" s="309">
        <f>SUMIFS(Adjustments!$G:$G,Adjustments!$H:$H,"2G",Adjustments!$I:$I,'Schedule 2G Adjustments'!$V$12,Adjustments!$J:$J,'Schedule 2G Adjustments'!$A68)</f>
        <v>0</v>
      </c>
      <c r="X68" s="305">
        <f t="shared" si="6"/>
        <v>0</v>
      </c>
      <c r="Y68" s="119">
        <f>'As-Filed Schedule 2G'!O68</f>
        <v>0</v>
      </c>
      <c r="Z68" s="309">
        <f>SUMIFS(Adjustments!$G:$G,Adjustments!$H:$H,"2G",Adjustments!$I:$I,'Schedule 2G Adjustments'!$Y$12,Adjustments!$J:$J,'Schedule 2G Adjustments'!$A68)</f>
        <v>0</v>
      </c>
      <c r="AA68" s="305">
        <f t="shared" si="7"/>
        <v>0</v>
      </c>
    </row>
    <row r="69" spans="1:27" x14ac:dyDescent="0.35">
      <c r="A69" s="24">
        <v>55</v>
      </c>
      <c r="B69" s="514" t="str">
        <f>IF('As-Filed Schedule 2G'!B69:D69=0,"",'As-Filed Schedule 2G'!B69:D69)</f>
        <v/>
      </c>
      <c r="C69" s="514"/>
      <c r="D69" s="514"/>
      <c r="F69" s="117">
        <f>'As-Filed Schedule 2G'!F69</f>
        <v>0</v>
      </c>
      <c r="G69" s="309">
        <f>SUMIFS(Adjustments!$G:$G,Adjustments!$H:$H,"2G",Adjustments!$I:$I,'Schedule 2G Adjustments'!$F$12,Adjustments!$J:$J,'Schedule 2G Adjustments'!$A69)</f>
        <v>0</v>
      </c>
      <c r="H69" s="305">
        <f t="shared" si="0"/>
        <v>0</v>
      </c>
      <c r="I69" s="68">
        <f>IFERROR(F69*'As-Filed Schedule 1'!$E$103,0)</f>
        <v>0</v>
      </c>
      <c r="J69" s="306">
        <f>IFERROR(H69*'Adjusted Schedule 1'!$E$104,0)</f>
        <v>0</v>
      </c>
      <c r="K69" s="68">
        <f t="shared" si="1"/>
        <v>0</v>
      </c>
      <c r="L69" s="306">
        <f t="shared" si="2"/>
        <v>0</v>
      </c>
      <c r="N69" s="117">
        <f>'As-Filed Schedule 2G'!J69</f>
        <v>0</v>
      </c>
      <c r="O69" s="309">
        <f>SUMIFS(Adjustments!$G:$G,Adjustments!$H:$H,"2G",Adjustments!$I:$I,'Schedule 2G Adjustments'!$N$12,Adjustments!$J:$J,'Schedule 2G Adjustments'!$A69)</f>
        <v>0</v>
      </c>
      <c r="P69" s="305">
        <f t="shared" si="3"/>
        <v>0</v>
      </c>
      <c r="Q69" s="68">
        <f>IFERROR(N69*'As-Filed Schedule 1'!$E$103,0)</f>
        <v>0</v>
      </c>
      <c r="R69" s="68">
        <f>IFERROR(P69*'Adjusted Schedule 1'!$E$104,0)</f>
        <v>0</v>
      </c>
      <c r="S69" s="68">
        <f t="shared" si="4"/>
        <v>0</v>
      </c>
      <c r="T69" s="306">
        <f t="shared" si="5"/>
        <v>0</v>
      </c>
      <c r="V69" s="119">
        <f>'As-Filed Schedule 2G'!N69</f>
        <v>0</v>
      </c>
      <c r="W69" s="309">
        <f>SUMIFS(Adjustments!$G:$G,Adjustments!$H:$H,"2G",Adjustments!$I:$I,'Schedule 2G Adjustments'!$V$12,Adjustments!$J:$J,'Schedule 2G Adjustments'!$A69)</f>
        <v>0</v>
      </c>
      <c r="X69" s="305">
        <f t="shared" si="6"/>
        <v>0</v>
      </c>
      <c r="Y69" s="119">
        <f>'As-Filed Schedule 2G'!O69</f>
        <v>0</v>
      </c>
      <c r="Z69" s="309">
        <f>SUMIFS(Adjustments!$G:$G,Adjustments!$H:$H,"2G",Adjustments!$I:$I,'Schedule 2G Adjustments'!$Y$12,Adjustments!$J:$J,'Schedule 2G Adjustments'!$A69)</f>
        <v>0</v>
      </c>
      <c r="AA69" s="305">
        <f t="shared" si="7"/>
        <v>0</v>
      </c>
    </row>
    <row r="70" spans="1:27" x14ac:dyDescent="0.35">
      <c r="A70" s="24">
        <v>56</v>
      </c>
      <c r="B70" s="514" t="str">
        <f>IF('As-Filed Schedule 2G'!B70:D70=0,"",'As-Filed Schedule 2G'!B70:D70)</f>
        <v/>
      </c>
      <c r="C70" s="514"/>
      <c r="D70" s="514"/>
      <c r="F70" s="117">
        <f>'As-Filed Schedule 2G'!F70</f>
        <v>0</v>
      </c>
      <c r="G70" s="309">
        <f>SUMIFS(Adjustments!$G:$G,Adjustments!$H:$H,"2G",Adjustments!$I:$I,'Schedule 2G Adjustments'!$F$12,Adjustments!$J:$J,'Schedule 2G Adjustments'!$A70)</f>
        <v>0</v>
      </c>
      <c r="H70" s="305">
        <f t="shared" si="0"/>
        <v>0</v>
      </c>
      <c r="I70" s="68">
        <f>IFERROR(F70*'As-Filed Schedule 1'!$E$103,0)</f>
        <v>0</v>
      </c>
      <c r="J70" s="306">
        <f>IFERROR(H70*'Adjusted Schedule 1'!$E$104,0)</f>
        <v>0</v>
      </c>
      <c r="K70" s="68">
        <f t="shared" si="1"/>
        <v>0</v>
      </c>
      <c r="L70" s="306">
        <f t="shared" si="2"/>
        <v>0</v>
      </c>
      <c r="N70" s="117">
        <f>'As-Filed Schedule 2G'!J70</f>
        <v>0</v>
      </c>
      <c r="O70" s="309">
        <f>SUMIFS(Adjustments!$G:$G,Adjustments!$H:$H,"2G",Adjustments!$I:$I,'Schedule 2G Adjustments'!$N$12,Adjustments!$J:$J,'Schedule 2G Adjustments'!$A70)</f>
        <v>0</v>
      </c>
      <c r="P70" s="305">
        <f t="shared" si="3"/>
        <v>0</v>
      </c>
      <c r="Q70" s="68">
        <f>IFERROR(N70*'As-Filed Schedule 1'!$E$103,0)</f>
        <v>0</v>
      </c>
      <c r="R70" s="68">
        <f>IFERROR(P70*'Adjusted Schedule 1'!$E$104,0)</f>
        <v>0</v>
      </c>
      <c r="S70" s="68">
        <f t="shared" si="4"/>
        <v>0</v>
      </c>
      <c r="T70" s="306">
        <f t="shared" si="5"/>
        <v>0</v>
      </c>
      <c r="V70" s="119">
        <f>'As-Filed Schedule 2G'!N70</f>
        <v>0</v>
      </c>
      <c r="W70" s="309">
        <f>SUMIFS(Adjustments!$G:$G,Adjustments!$H:$H,"2G",Adjustments!$I:$I,'Schedule 2G Adjustments'!$V$12,Adjustments!$J:$J,'Schedule 2G Adjustments'!$A70)</f>
        <v>0</v>
      </c>
      <c r="X70" s="305">
        <f t="shared" si="6"/>
        <v>0</v>
      </c>
      <c r="Y70" s="119">
        <f>'As-Filed Schedule 2G'!O70</f>
        <v>0</v>
      </c>
      <c r="Z70" s="309">
        <f>SUMIFS(Adjustments!$G:$G,Adjustments!$H:$H,"2G",Adjustments!$I:$I,'Schedule 2G Adjustments'!$Y$12,Adjustments!$J:$J,'Schedule 2G Adjustments'!$A70)</f>
        <v>0</v>
      </c>
      <c r="AA70" s="305">
        <f t="shared" si="7"/>
        <v>0</v>
      </c>
    </row>
    <row r="71" spans="1:27" x14ac:dyDescent="0.35">
      <c r="A71" s="24">
        <v>57</v>
      </c>
      <c r="B71" s="514" t="str">
        <f>IF('As-Filed Schedule 2G'!B71:D71=0,"",'As-Filed Schedule 2G'!B71:D71)</f>
        <v/>
      </c>
      <c r="C71" s="514"/>
      <c r="D71" s="514"/>
      <c r="F71" s="117">
        <f>'As-Filed Schedule 2G'!F71</f>
        <v>0</v>
      </c>
      <c r="G71" s="309">
        <f>SUMIFS(Adjustments!$G:$G,Adjustments!$H:$H,"2G",Adjustments!$I:$I,'Schedule 2G Adjustments'!$F$12,Adjustments!$J:$J,'Schedule 2G Adjustments'!$A71)</f>
        <v>0</v>
      </c>
      <c r="H71" s="305">
        <f t="shared" si="0"/>
        <v>0</v>
      </c>
      <c r="I71" s="68">
        <f>IFERROR(F71*'As-Filed Schedule 1'!$E$103,0)</f>
        <v>0</v>
      </c>
      <c r="J71" s="306">
        <f>IFERROR(H71*'Adjusted Schedule 1'!$E$104,0)</f>
        <v>0</v>
      </c>
      <c r="K71" s="68">
        <f t="shared" si="1"/>
        <v>0</v>
      </c>
      <c r="L71" s="306">
        <f t="shared" si="2"/>
        <v>0</v>
      </c>
      <c r="N71" s="117">
        <f>'As-Filed Schedule 2G'!J71</f>
        <v>0</v>
      </c>
      <c r="O71" s="309">
        <f>SUMIFS(Adjustments!$G:$G,Adjustments!$H:$H,"2G",Adjustments!$I:$I,'Schedule 2G Adjustments'!$N$12,Adjustments!$J:$J,'Schedule 2G Adjustments'!$A71)</f>
        <v>0</v>
      </c>
      <c r="P71" s="305">
        <f t="shared" si="3"/>
        <v>0</v>
      </c>
      <c r="Q71" s="68">
        <f>IFERROR(N71*'As-Filed Schedule 1'!$E$103,0)</f>
        <v>0</v>
      </c>
      <c r="R71" s="68">
        <f>IFERROR(P71*'Adjusted Schedule 1'!$E$104,0)</f>
        <v>0</v>
      </c>
      <c r="S71" s="68">
        <f t="shared" si="4"/>
        <v>0</v>
      </c>
      <c r="T71" s="306">
        <f t="shared" si="5"/>
        <v>0</v>
      </c>
      <c r="V71" s="119">
        <f>'As-Filed Schedule 2G'!N71</f>
        <v>0</v>
      </c>
      <c r="W71" s="309">
        <f>SUMIFS(Adjustments!$G:$G,Adjustments!$H:$H,"2G",Adjustments!$I:$I,'Schedule 2G Adjustments'!$V$12,Adjustments!$J:$J,'Schedule 2G Adjustments'!$A71)</f>
        <v>0</v>
      </c>
      <c r="X71" s="305">
        <f t="shared" si="6"/>
        <v>0</v>
      </c>
      <c r="Y71" s="119">
        <f>'As-Filed Schedule 2G'!O71</f>
        <v>0</v>
      </c>
      <c r="Z71" s="309">
        <f>SUMIFS(Adjustments!$G:$G,Adjustments!$H:$H,"2G",Adjustments!$I:$I,'Schedule 2G Adjustments'!$Y$12,Adjustments!$J:$J,'Schedule 2G Adjustments'!$A71)</f>
        <v>0</v>
      </c>
      <c r="AA71" s="305">
        <f t="shared" si="7"/>
        <v>0</v>
      </c>
    </row>
    <row r="72" spans="1:27" x14ac:dyDescent="0.35">
      <c r="A72" s="24">
        <v>58</v>
      </c>
      <c r="B72" s="514" t="str">
        <f>IF('As-Filed Schedule 2G'!B72:D72=0,"",'As-Filed Schedule 2G'!B72:D72)</f>
        <v/>
      </c>
      <c r="C72" s="514"/>
      <c r="D72" s="514"/>
      <c r="F72" s="117">
        <f>'As-Filed Schedule 2G'!F72</f>
        <v>0</v>
      </c>
      <c r="G72" s="309">
        <f>SUMIFS(Adjustments!$G:$G,Adjustments!$H:$H,"2G",Adjustments!$I:$I,'Schedule 2G Adjustments'!$F$12,Adjustments!$J:$J,'Schedule 2G Adjustments'!$A72)</f>
        <v>0</v>
      </c>
      <c r="H72" s="305">
        <f t="shared" si="0"/>
        <v>0</v>
      </c>
      <c r="I72" s="68">
        <f>IFERROR(F72*'As-Filed Schedule 1'!$E$103,0)</f>
        <v>0</v>
      </c>
      <c r="J72" s="306">
        <f>IFERROR(H72*'Adjusted Schedule 1'!$E$104,0)</f>
        <v>0</v>
      </c>
      <c r="K72" s="68">
        <f t="shared" si="1"/>
        <v>0</v>
      </c>
      <c r="L72" s="306">
        <f t="shared" si="2"/>
        <v>0</v>
      </c>
      <c r="N72" s="117">
        <f>'As-Filed Schedule 2G'!J72</f>
        <v>0</v>
      </c>
      <c r="O72" s="309">
        <f>SUMIFS(Adjustments!$G:$G,Adjustments!$H:$H,"2G",Adjustments!$I:$I,'Schedule 2G Adjustments'!$N$12,Adjustments!$J:$J,'Schedule 2G Adjustments'!$A72)</f>
        <v>0</v>
      </c>
      <c r="P72" s="305">
        <f t="shared" si="3"/>
        <v>0</v>
      </c>
      <c r="Q72" s="68">
        <f>IFERROR(N72*'As-Filed Schedule 1'!$E$103,0)</f>
        <v>0</v>
      </c>
      <c r="R72" s="68">
        <f>IFERROR(P72*'Adjusted Schedule 1'!$E$104,0)</f>
        <v>0</v>
      </c>
      <c r="S72" s="68">
        <f t="shared" si="4"/>
        <v>0</v>
      </c>
      <c r="T72" s="306">
        <f t="shared" si="5"/>
        <v>0</v>
      </c>
      <c r="V72" s="119">
        <f>'As-Filed Schedule 2G'!N72</f>
        <v>0</v>
      </c>
      <c r="W72" s="309">
        <f>SUMIFS(Adjustments!$G:$G,Adjustments!$H:$H,"2G",Adjustments!$I:$I,'Schedule 2G Adjustments'!$V$12,Adjustments!$J:$J,'Schedule 2G Adjustments'!$A72)</f>
        <v>0</v>
      </c>
      <c r="X72" s="305">
        <f t="shared" si="6"/>
        <v>0</v>
      </c>
      <c r="Y72" s="119">
        <f>'As-Filed Schedule 2G'!O72</f>
        <v>0</v>
      </c>
      <c r="Z72" s="309">
        <f>SUMIFS(Adjustments!$G:$G,Adjustments!$H:$H,"2G",Adjustments!$I:$I,'Schedule 2G Adjustments'!$Y$12,Adjustments!$J:$J,'Schedule 2G Adjustments'!$A72)</f>
        <v>0</v>
      </c>
      <c r="AA72" s="305">
        <f t="shared" si="7"/>
        <v>0</v>
      </c>
    </row>
    <row r="73" spans="1:27" x14ac:dyDescent="0.35">
      <c r="A73" s="24">
        <v>59</v>
      </c>
      <c r="F73" s="18">
        <f>SUM(F15:F72)</f>
        <v>0</v>
      </c>
      <c r="G73" s="18">
        <f>SUM(G15:G72)</f>
        <v>0</v>
      </c>
      <c r="H73" s="18">
        <f t="shared" ref="H73:K73" si="8">SUM(H15:H72)</f>
        <v>0</v>
      </c>
      <c r="I73" s="18">
        <f t="shared" si="8"/>
        <v>0</v>
      </c>
      <c r="J73" s="306">
        <f>IFERROR(H73*'Adjusted Schedule 1'!$E$104,0)</f>
        <v>0</v>
      </c>
      <c r="K73" s="18">
        <f t="shared" si="8"/>
        <v>0</v>
      </c>
      <c r="L73" s="307">
        <f t="shared" ref="L73" si="9">SUM(L15:L72)</f>
        <v>0</v>
      </c>
      <c r="N73" s="18">
        <f>SUM(N15:N72)</f>
        <v>0</v>
      </c>
      <c r="O73" s="18">
        <f t="shared" ref="O73:S73" si="10">SUM(O15:O72)</f>
        <v>0</v>
      </c>
      <c r="P73" s="18">
        <f t="shared" si="10"/>
        <v>0</v>
      </c>
      <c r="Q73" s="18">
        <f t="shared" si="10"/>
        <v>0</v>
      </c>
      <c r="R73" s="18">
        <f t="shared" si="10"/>
        <v>0</v>
      </c>
      <c r="S73" s="18">
        <f t="shared" si="10"/>
        <v>0</v>
      </c>
      <c r="T73" s="307">
        <f>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814</v>
      </c>
      <c r="F75" s="75">
        <f>K73+S73</f>
        <v>0</v>
      </c>
      <c r="G75"/>
      <c r="H75" s="75">
        <f>L73+T73</f>
        <v>0</v>
      </c>
      <c r="I75" s="74"/>
      <c r="J75" s="321"/>
      <c r="K75" s="74"/>
      <c r="L75" s="321"/>
      <c r="N75" s="74"/>
      <c r="O75" s="328"/>
      <c r="P75" s="321"/>
      <c r="Q75" s="74"/>
      <c r="R75" s="321"/>
      <c r="T75" s="323"/>
      <c r="W75" s="326"/>
      <c r="X75" s="323"/>
      <c r="Z75" s="326"/>
      <c r="AA75" s="323"/>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40:D40"/>
    <mergeCell ref="B41:D41"/>
    <mergeCell ref="B42:D42"/>
    <mergeCell ref="B43:D43"/>
    <mergeCell ref="B44:D44"/>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V13:V14"/>
    <mergeCell ref="W13:W14"/>
    <mergeCell ref="X13:X14"/>
    <mergeCell ref="Y13:Y14"/>
    <mergeCell ref="Z13:Z1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842</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819</v>
      </c>
      <c r="C8" s="1"/>
      <c r="F8" s="118" t="str">
        <f>'As-Filed Schedule 2H'!F8</f>
        <v>Yes/No</v>
      </c>
      <c r="G8" s="41" t="s">
        <v>259</v>
      </c>
    </row>
    <row r="10" spans="1:27" x14ac:dyDescent="0.35">
      <c r="A10" s="1" t="s">
        <v>254</v>
      </c>
      <c r="B10" s="1" t="s">
        <v>256</v>
      </c>
      <c r="C10" s="1"/>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ht="15" customHeight="1"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48"/>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2H'!B15:D15=0,"",'As-Filed Schedule 2H'!B15:D15)</f>
        <v/>
      </c>
      <c r="C15" s="514"/>
      <c r="D15" s="514"/>
      <c r="F15" s="117">
        <f>'As-Filed Schedule 2H'!F15</f>
        <v>0</v>
      </c>
      <c r="G15" s="309">
        <f>SUMIFS(Adjustments!$G:$G,Adjustments!$H:$H,"2H",Adjustments!$I:$I,'Schedule 2H Adjustments'!$F$12,Adjustments!$J:$J,'Schedule 2H Adjustments'!$A15)</f>
        <v>0</v>
      </c>
      <c r="H15" s="305">
        <f>SUM(F15:G15)</f>
        <v>0</v>
      </c>
      <c r="I15" s="68">
        <f>IFERROR(F15*'As-Filed Schedule 1'!$E$103,0)</f>
        <v>0</v>
      </c>
      <c r="J15" s="306">
        <f>IFERROR(H15*'Adjusted Schedule 1'!$E$104,0)</f>
        <v>0</v>
      </c>
      <c r="K15" s="68">
        <f>SUM(F15,I15)</f>
        <v>0</v>
      </c>
      <c r="L15" s="306">
        <f>SUM(H15,J15)</f>
        <v>0</v>
      </c>
      <c r="N15" s="117">
        <f>'As-Filed Schedule 2H'!J15</f>
        <v>0</v>
      </c>
      <c r="O15" s="309">
        <f>SUMIFS(Adjustments!$G:$G,Adjustments!$H:$H,"2H",Adjustments!$I:$I,'Schedule 2H Adjustments'!$N$12,Adjustments!$J:$J,'Schedule 2H Adjustments'!$A15)</f>
        <v>0</v>
      </c>
      <c r="P15" s="305">
        <f>SUM(N15:O15)</f>
        <v>0</v>
      </c>
      <c r="Q15" s="68">
        <f>IFERROR(N15*'As-Filed Schedule 1'!$E$103,0)</f>
        <v>0</v>
      </c>
      <c r="R15" s="68">
        <f>IFERROR(P15*'Adjusted Schedule 1'!$E$104,0)</f>
        <v>0</v>
      </c>
      <c r="S15" s="68">
        <f>SUM(N15,Q15)</f>
        <v>0</v>
      </c>
      <c r="T15" s="306">
        <f>SUM(P15,R15)</f>
        <v>0</v>
      </c>
      <c r="V15" s="119">
        <f>'As-Filed Schedule 2H'!N15</f>
        <v>0</v>
      </c>
      <c r="W15" s="309">
        <f>SUMIFS(Adjustments!$G:$G,Adjustments!$H:$H,"2H",Adjustments!$I:$I,'Schedule 2H Adjustments'!$V$12,Adjustments!$J:$J,'Schedule 2H Adjustments'!$A15)</f>
        <v>0</v>
      </c>
      <c r="X15" s="305">
        <f>SUM(V15:W15)</f>
        <v>0</v>
      </c>
      <c r="Y15" s="119">
        <f>'As-Filed Schedule 2H'!O15</f>
        <v>0</v>
      </c>
      <c r="Z15" s="309">
        <f>SUMIFS(Adjustments!$G:$G,Adjustments!$H:$H,"2H",Adjustments!$I:$I,'Schedule 2H Adjustments'!$Y$12,Adjustments!$J:$J,'Schedule 2H Adjustments'!$A15)</f>
        <v>0</v>
      </c>
      <c r="AA15" s="305">
        <f>SUM(Y15:Z15)</f>
        <v>0</v>
      </c>
    </row>
    <row r="16" spans="1:27" x14ac:dyDescent="0.35">
      <c r="A16" s="24">
        <v>2</v>
      </c>
      <c r="B16" s="514" t="str">
        <f>IF('As-Filed Schedule 2H'!B16:D16=0,"",'As-Filed Schedule 2H'!B16:D16)</f>
        <v/>
      </c>
      <c r="C16" s="514"/>
      <c r="D16" s="514"/>
      <c r="F16" s="117">
        <f>'As-Filed Schedule 2H'!F16</f>
        <v>0</v>
      </c>
      <c r="G16" s="309">
        <f>SUMIFS(Adjustments!$G:$G,Adjustments!$H:$H,"2H",Adjustments!$I:$I,'Schedule 2H Adjustments'!$F$12,Adjustments!$J:$J,'Schedule 2H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2H'!J16</f>
        <v>0</v>
      </c>
      <c r="O16" s="309">
        <f>SUMIFS(Adjustments!$G:$G,Adjustments!$H:$H,"2H",Adjustments!$I:$I,'Schedule 2H Adjustments'!$N$12,Adjustments!$J:$J,'Schedule 2H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2H'!N16</f>
        <v>0</v>
      </c>
      <c r="W16" s="309">
        <f>SUMIFS(Adjustments!$G:$G,Adjustments!$H:$H,"2H",Adjustments!$I:$I,'Schedule 2H Adjustments'!$V$12,Adjustments!$J:$J,'Schedule 2H Adjustments'!$A16)</f>
        <v>0</v>
      </c>
      <c r="X16" s="305">
        <f t="shared" ref="X16:X72" si="6">SUM(V16:W16)</f>
        <v>0</v>
      </c>
      <c r="Y16" s="119">
        <f>'As-Filed Schedule 2H'!O16</f>
        <v>0</v>
      </c>
      <c r="Z16" s="309">
        <f>SUMIFS(Adjustments!$G:$G,Adjustments!$H:$H,"2H",Adjustments!$I:$I,'Schedule 2H Adjustments'!$Y$12,Adjustments!$J:$J,'Schedule 2H Adjustments'!$A16)</f>
        <v>0</v>
      </c>
      <c r="AA16" s="305">
        <f t="shared" ref="AA16:AA72" si="7">SUM(Y16:Z16)</f>
        <v>0</v>
      </c>
    </row>
    <row r="17" spans="1:27" x14ac:dyDescent="0.35">
      <c r="A17" s="24">
        <v>3</v>
      </c>
      <c r="B17" s="514" t="str">
        <f>IF('As-Filed Schedule 2H'!B17:D17=0,"",'As-Filed Schedule 2H'!B17:D17)</f>
        <v/>
      </c>
      <c r="C17" s="514"/>
      <c r="D17" s="514"/>
      <c r="F17" s="117">
        <f>'As-Filed Schedule 2H'!F17</f>
        <v>0</v>
      </c>
      <c r="G17" s="309">
        <f>SUMIFS(Adjustments!$G:$G,Adjustments!$H:$H,"2H",Adjustments!$I:$I,'Schedule 2H Adjustments'!$F$12,Adjustments!$J:$J,'Schedule 2H Adjustments'!$A17)</f>
        <v>0</v>
      </c>
      <c r="H17" s="305">
        <f t="shared" si="0"/>
        <v>0</v>
      </c>
      <c r="I17" s="68">
        <f>IFERROR(F17*'As-Filed Schedule 1'!$E$103,0)</f>
        <v>0</v>
      </c>
      <c r="J17" s="306">
        <f>IFERROR(H17*'Adjusted Schedule 1'!$E$104,0)</f>
        <v>0</v>
      </c>
      <c r="K17" s="68">
        <f t="shared" si="1"/>
        <v>0</v>
      </c>
      <c r="L17" s="306">
        <f t="shared" si="2"/>
        <v>0</v>
      </c>
      <c r="N17" s="117">
        <f>'As-Filed Schedule 2H'!J17</f>
        <v>0</v>
      </c>
      <c r="O17" s="309">
        <f>SUMIFS(Adjustments!$G:$G,Adjustments!$H:$H,"2H",Adjustments!$I:$I,'Schedule 2H Adjustments'!$N$12,Adjustments!$J:$J,'Schedule 2H Adjustments'!$A17)</f>
        <v>0</v>
      </c>
      <c r="P17" s="305">
        <f t="shared" si="3"/>
        <v>0</v>
      </c>
      <c r="Q17" s="68">
        <f>IFERROR(N17*'As-Filed Schedule 1'!$E$103,0)</f>
        <v>0</v>
      </c>
      <c r="R17" s="68">
        <f>IFERROR(P17*'Adjusted Schedule 1'!$E$104,0)</f>
        <v>0</v>
      </c>
      <c r="S17" s="68">
        <f t="shared" si="4"/>
        <v>0</v>
      </c>
      <c r="T17" s="306">
        <f t="shared" si="5"/>
        <v>0</v>
      </c>
      <c r="V17" s="119">
        <f>'As-Filed Schedule 2H'!N17</f>
        <v>0</v>
      </c>
      <c r="W17" s="309">
        <f>SUMIFS(Adjustments!$G:$G,Adjustments!$H:$H,"2H",Adjustments!$I:$I,'Schedule 2H Adjustments'!$V$12,Adjustments!$J:$J,'Schedule 2H Adjustments'!$A17)</f>
        <v>0</v>
      </c>
      <c r="X17" s="305">
        <f t="shared" si="6"/>
        <v>0</v>
      </c>
      <c r="Y17" s="119">
        <f>'As-Filed Schedule 2H'!O17</f>
        <v>0</v>
      </c>
      <c r="Z17" s="309">
        <f>SUMIFS(Adjustments!$G:$G,Adjustments!$H:$H,"2H",Adjustments!$I:$I,'Schedule 2H Adjustments'!$Y$12,Adjustments!$J:$J,'Schedule 2H Adjustments'!$A17)</f>
        <v>0</v>
      </c>
      <c r="AA17" s="305">
        <f t="shared" si="7"/>
        <v>0</v>
      </c>
    </row>
    <row r="18" spans="1:27" x14ac:dyDescent="0.35">
      <c r="A18" s="24">
        <v>4</v>
      </c>
      <c r="B18" s="514" t="str">
        <f>IF('As-Filed Schedule 2H'!B18:D18=0,"",'As-Filed Schedule 2H'!B18:D18)</f>
        <v/>
      </c>
      <c r="C18" s="514"/>
      <c r="D18" s="514"/>
      <c r="F18" s="117">
        <f>'As-Filed Schedule 2H'!F18</f>
        <v>0</v>
      </c>
      <c r="G18" s="309">
        <f>SUMIFS(Adjustments!$G:$G,Adjustments!$H:$H,"2H",Adjustments!$I:$I,'Schedule 2H Adjustments'!$F$12,Adjustments!$J:$J,'Schedule 2H Adjustments'!$A18)</f>
        <v>0</v>
      </c>
      <c r="H18" s="305">
        <f t="shared" si="0"/>
        <v>0</v>
      </c>
      <c r="I18" s="68">
        <f>IFERROR(F18*'As-Filed Schedule 1'!$E$103,0)</f>
        <v>0</v>
      </c>
      <c r="J18" s="306">
        <f>IFERROR(H18*'Adjusted Schedule 1'!$E$104,0)</f>
        <v>0</v>
      </c>
      <c r="K18" s="68">
        <f>SUM(F18,I18)</f>
        <v>0</v>
      </c>
      <c r="L18" s="306">
        <f>SUM(H18,J18)</f>
        <v>0</v>
      </c>
      <c r="N18" s="117">
        <f>'As-Filed Schedule 2H'!J18</f>
        <v>0</v>
      </c>
      <c r="O18" s="309">
        <f>SUMIFS(Adjustments!$G:$G,Adjustments!$H:$H,"2H",Adjustments!$I:$I,'Schedule 2H Adjustments'!$N$12,Adjustments!$J:$J,'Schedule 2H Adjustments'!$A18)</f>
        <v>0</v>
      </c>
      <c r="P18" s="305">
        <f t="shared" si="3"/>
        <v>0</v>
      </c>
      <c r="Q18" s="68">
        <f>IFERROR(N18*'As-Filed Schedule 1'!$E$103,0)</f>
        <v>0</v>
      </c>
      <c r="R18" s="68">
        <f>IFERROR(P18*'Adjusted Schedule 1'!$E$104,0)</f>
        <v>0</v>
      </c>
      <c r="S18" s="68">
        <f t="shared" si="4"/>
        <v>0</v>
      </c>
      <c r="T18" s="306">
        <f t="shared" si="5"/>
        <v>0</v>
      </c>
      <c r="V18" s="119">
        <f>'As-Filed Schedule 2H'!N18</f>
        <v>0</v>
      </c>
      <c r="W18" s="309">
        <f>SUMIFS(Adjustments!$G:$G,Adjustments!$H:$H,"2H",Adjustments!$I:$I,'Schedule 2H Adjustments'!$V$12,Adjustments!$J:$J,'Schedule 2H Adjustments'!$A18)</f>
        <v>0</v>
      </c>
      <c r="X18" s="305">
        <f t="shared" si="6"/>
        <v>0</v>
      </c>
      <c r="Y18" s="119">
        <f>'As-Filed Schedule 2H'!O18</f>
        <v>0</v>
      </c>
      <c r="Z18" s="309">
        <f>SUMIFS(Adjustments!$G:$G,Adjustments!$H:$H,"2H",Adjustments!$I:$I,'Schedule 2H Adjustments'!$Y$12,Adjustments!$J:$J,'Schedule 2H Adjustments'!$A18)</f>
        <v>0</v>
      </c>
      <c r="AA18" s="305">
        <f t="shared" si="7"/>
        <v>0</v>
      </c>
    </row>
    <row r="19" spans="1:27" x14ac:dyDescent="0.35">
      <c r="A19" s="24">
        <v>5</v>
      </c>
      <c r="B19" s="514" t="str">
        <f>IF('As-Filed Schedule 2H'!B19:D19=0,"",'As-Filed Schedule 2H'!B19:D19)</f>
        <v/>
      </c>
      <c r="C19" s="514"/>
      <c r="D19" s="514"/>
      <c r="F19" s="117">
        <f>'As-Filed Schedule 2H'!F19</f>
        <v>0</v>
      </c>
      <c r="G19" s="309">
        <f>SUMIFS(Adjustments!$G:$G,Adjustments!$H:$H,"2H",Adjustments!$I:$I,'Schedule 2H Adjustments'!$F$12,Adjustments!$J:$J,'Schedule 2H Adjustments'!$A19)</f>
        <v>0</v>
      </c>
      <c r="H19" s="305">
        <f t="shared" si="0"/>
        <v>0</v>
      </c>
      <c r="I19" s="68">
        <f>IFERROR(F19*'As-Filed Schedule 1'!$E$103,0)</f>
        <v>0</v>
      </c>
      <c r="J19" s="306">
        <f>IFERROR(H19*'Adjusted Schedule 1'!$E$104,0)</f>
        <v>0</v>
      </c>
      <c r="K19" s="68">
        <f t="shared" si="1"/>
        <v>0</v>
      </c>
      <c r="L19" s="306">
        <f>SUM(H19,J19)</f>
        <v>0</v>
      </c>
      <c r="N19" s="117">
        <f>'As-Filed Schedule 2H'!J19</f>
        <v>0</v>
      </c>
      <c r="O19" s="309">
        <f>SUMIFS(Adjustments!$G:$G,Adjustments!$H:$H,"2H",Adjustments!$I:$I,'Schedule 2H Adjustments'!$N$12,Adjustments!$J:$J,'Schedule 2H Adjustments'!$A19)</f>
        <v>0</v>
      </c>
      <c r="P19" s="305">
        <f t="shared" si="3"/>
        <v>0</v>
      </c>
      <c r="Q19" s="68">
        <f>IFERROR(N19*'As-Filed Schedule 1'!$E$103,0)</f>
        <v>0</v>
      </c>
      <c r="R19" s="68">
        <f>IFERROR(P19*'Adjusted Schedule 1'!$E$104,0)</f>
        <v>0</v>
      </c>
      <c r="S19" s="68">
        <f t="shared" si="4"/>
        <v>0</v>
      </c>
      <c r="T19" s="306">
        <f t="shared" si="5"/>
        <v>0</v>
      </c>
      <c r="V19" s="119">
        <f>'As-Filed Schedule 2H'!N19</f>
        <v>0</v>
      </c>
      <c r="W19" s="309">
        <f>SUMIFS(Adjustments!$G:$G,Adjustments!$H:$H,"2H",Adjustments!$I:$I,'Schedule 2H Adjustments'!$V$12,Adjustments!$J:$J,'Schedule 2H Adjustments'!$A19)</f>
        <v>0</v>
      </c>
      <c r="X19" s="305">
        <f t="shared" si="6"/>
        <v>0</v>
      </c>
      <c r="Y19" s="119">
        <f>'As-Filed Schedule 2H'!O19</f>
        <v>0</v>
      </c>
      <c r="Z19" s="309">
        <f>SUMIFS(Adjustments!$G:$G,Adjustments!$H:$H,"2H",Adjustments!$I:$I,'Schedule 2H Adjustments'!$Y$12,Adjustments!$J:$J,'Schedule 2H Adjustments'!$A19)</f>
        <v>0</v>
      </c>
      <c r="AA19" s="305">
        <f t="shared" si="7"/>
        <v>0</v>
      </c>
    </row>
    <row r="20" spans="1:27" x14ac:dyDescent="0.35">
      <c r="A20" s="24">
        <v>6</v>
      </c>
      <c r="B20" s="514" t="str">
        <f>IF('As-Filed Schedule 2H'!B20:D20=0,"",'As-Filed Schedule 2H'!B20:D20)</f>
        <v/>
      </c>
      <c r="C20" s="514"/>
      <c r="D20" s="514"/>
      <c r="F20" s="117">
        <f>'As-Filed Schedule 2H'!F20</f>
        <v>0</v>
      </c>
      <c r="G20" s="309">
        <f>SUMIFS(Adjustments!$G:$G,Adjustments!$H:$H,"2H",Adjustments!$I:$I,'Schedule 2H Adjustments'!$F$12,Adjustments!$J:$J,'Schedule 2H Adjustments'!$A20)</f>
        <v>0</v>
      </c>
      <c r="H20" s="305">
        <f t="shared" si="0"/>
        <v>0</v>
      </c>
      <c r="I20" s="68">
        <f>IFERROR(F20*'As-Filed Schedule 1'!$E$103,0)</f>
        <v>0</v>
      </c>
      <c r="J20" s="306">
        <f>IFERROR(H20*'Adjusted Schedule 1'!$E$104,0)</f>
        <v>0</v>
      </c>
      <c r="K20" s="68">
        <f>SUM(F20,I20)</f>
        <v>0</v>
      </c>
      <c r="L20" s="306">
        <f t="shared" si="2"/>
        <v>0</v>
      </c>
      <c r="N20" s="117">
        <f>'As-Filed Schedule 2H'!J20</f>
        <v>0</v>
      </c>
      <c r="O20" s="309">
        <f>SUMIFS(Adjustments!$G:$G,Adjustments!$H:$H,"2H",Adjustments!$I:$I,'Schedule 2H Adjustments'!$N$12,Adjustments!$J:$J,'Schedule 2H Adjustments'!$A20)</f>
        <v>0</v>
      </c>
      <c r="P20" s="305">
        <f t="shared" si="3"/>
        <v>0</v>
      </c>
      <c r="Q20" s="68">
        <f>IFERROR(N20*'As-Filed Schedule 1'!$E$103,0)</f>
        <v>0</v>
      </c>
      <c r="R20" s="68">
        <f>IFERROR(P20*'Adjusted Schedule 1'!$E$104,0)</f>
        <v>0</v>
      </c>
      <c r="S20" s="68">
        <f t="shared" si="4"/>
        <v>0</v>
      </c>
      <c r="T20" s="306">
        <f t="shared" si="5"/>
        <v>0</v>
      </c>
      <c r="V20" s="119">
        <f>'As-Filed Schedule 2H'!N20</f>
        <v>0</v>
      </c>
      <c r="W20" s="309">
        <f>SUMIFS(Adjustments!$G:$G,Adjustments!$H:$H,"2H",Adjustments!$I:$I,'Schedule 2H Adjustments'!$V$12,Adjustments!$J:$J,'Schedule 2H Adjustments'!$A20)</f>
        <v>0</v>
      </c>
      <c r="X20" s="305">
        <f t="shared" si="6"/>
        <v>0</v>
      </c>
      <c r="Y20" s="119">
        <f>'As-Filed Schedule 2H'!O20</f>
        <v>0</v>
      </c>
      <c r="Z20" s="309">
        <f>SUMIFS(Adjustments!$G:$G,Adjustments!$H:$H,"2H",Adjustments!$I:$I,'Schedule 2H Adjustments'!$Y$12,Adjustments!$J:$J,'Schedule 2H Adjustments'!$A20)</f>
        <v>0</v>
      </c>
      <c r="AA20" s="305">
        <f t="shared" si="7"/>
        <v>0</v>
      </c>
    </row>
    <row r="21" spans="1:27" x14ac:dyDescent="0.35">
      <c r="A21" s="24">
        <v>7</v>
      </c>
      <c r="B21" s="514" t="str">
        <f>IF('As-Filed Schedule 2H'!B21:D21=0,"",'As-Filed Schedule 2H'!B21:D21)</f>
        <v/>
      </c>
      <c r="C21" s="514"/>
      <c r="D21" s="514"/>
      <c r="F21" s="117">
        <f>'As-Filed Schedule 2H'!F21</f>
        <v>0</v>
      </c>
      <c r="G21" s="309">
        <f>SUMIFS(Adjustments!$G:$G,Adjustments!$H:$H,"2H",Adjustments!$I:$I,'Schedule 2H Adjustments'!$F$12,Adjustments!$J:$J,'Schedule 2H Adjustments'!$A21)</f>
        <v>0</v>
      </c>
      <c r="H21" s="305">
        <f t="shared" si="0"/>
        <v>0</v>
      </c>
      <c r="I21" s="68">
        <f>IFERROR(F21*'As-Filed Schedule 1'!$E$103,0)</f>
        <v>0</v>
      </c>
      <c r="J21" s="306">
        <f>IFERROR(H21*'Adjusted Schedule 1'!$E$104,0)</f>
        <v>0</v>
      </c>
      <c r="K21" s="68">
        <f t="shared" si="1"/>
        <v>0</v>
      </c>
      <c r="L21" s="306">
        <f t="shared" si="2"/>
        <v>0</v>
      </c>
      <c r="N21" s="117">
        <f>'As-Filed Schedule 2H'!J21</f>
        <v>0</v>
      </c>
      <c r="O21" s="309">
        <f>SUMIFS(Adjustments!$G:$G,Adjustments!$H:$H,"2H",Adjustments!$I:$I,'Schedule 2H Adjustments'!$N$12,Adjustments!$J:$J,'Schedule 2H Adjustments'!$A21)</f>
        <v>0</v>
      </c>
      <c r="P21" s="305">
        <f t="shared" si="3"/>
        <v>0</v>
      </c>
      <c r="Q21" s="68">
        <f>IFERROR(N21*'As-Filed Schedule 1'!$E$103,0)</f>
        <v>0</v>
      </c>
      <c r="R21" s="68">
        <f>IFERROR(P21*'Adjusted Schedule 1'!$E$104,0)</f>
        <v>0</v>
      </c>
      <c r="S21" s="68">
        <f>SUM(N21,Q21)</f>
        <v>0</v>
      </c>
      <c r="T21" s="306">
        <f>SUM(P21,R21)</f>
        <v>0</v>
      </c>
      <c r="V21" s="119">
        <f>'As-Filed Schedule 2H'!N21</f>
        <v>0</v>
      </c>
      <c r="W21" s="309">
        <f>SUMIFS(Adjustments!$G:$G,Adjustments!$H:$H,"2H",Adjustments!$I:$I,'Schedule 2H Adjustments'!$V$12,Adjustments!$J:$J,'Schedule 2H Adjustments'!$A21)</f>
        <v>0</v>
      </c>
      <c r="X21" s="305">
        <f t="shared" si="6"/>
        <v>0</v>
      </c>
      <c r="Y21" s="119">
        <f>'As-Filed Schedule 2H'!O21</f>
        <v>0</v>
      </c>
      <c r="Z21" s="309">
        <f>SUMIFS(Adjustments!$G:$G,Adjustments!$H:$H,"2H",Adjustments!$I:$I,'Schedule 2H Adjustments'!$Y$12,Adjustments!$J:$J,'Schedule 2H Adjustments'!$A21)</f>
        <v>0</v>
      </c>
      <c r="AA21" s="305">
        <f t="shared" si="7"/>
        <v>0</v>
      </c>
    </row>
    <row r="22" spans="1:27" x14ac:dyDescent="0.35">
      <c r="A22" s="24">
        <v>8</v>
      </c>
      <c r="B22" s="514" t="str">
        <f>IF('As-Filed Schedule 2H'!B22:D22=0,"",'As-Filed Schedule 2H'!B22:D22)</f>
        <v/>
      </c>
      <c r="C22" s="514"/>
      <c r="D22" s="514"/>
      <c r="F22" s="117">
        <f>'As-Filed Schedule 2H'!F22</f>
        <v>0</v>
      </c>
      <c r="G22" s="309">
        <f>SUMIFS(Adjustments!$G:$G,Adjustments!$H:$H,"2H",Adjustments!$I:$I,'Schedule 2H Adjustments'!$F$12,Adjustments!$J:$J,'Schedule 2H Adjustments'!$A22)</f>
        <v>0</v>
      </c>
      <c r="H22" s="305">
        <f t="shared" si="0"/>
        <v>0</v>
      </c>
      <c r="I22" s="68">
        <f>IFERROR(F22*'As-Filed Schedule 1'!$E$103,0)</f>
        <v>0</v>
      </c>
      <c r="J22" s="306">
        <f>IFERROR(H22*'Adjusted Schedule 1'!$E$104,0)</f>
        <v>0</v>
      </c>
      <c r="K22" s="68">
        <f t="shared" si="1"/>
        <v>0</v>
      </c>
      <c r="L22" s="306">
        <f t="shared" si="2"/>
        <v>0</v>
      </c>
      <c r="N22" s="117">
        <f>'As-Filed Schedule 2H'!J22</f>
        <v>0</v>
      </c>
      <c r="O22" s="309">
        <f>SUMIFS(Adjustments!$G:$G,Adjustments!$H:$H,"2H",Adjustments!$I:$I,'Schedule 2H Adjustments'!$N$12,Adjustments!$J:$J,'Schedule 2H Adjustments'!$A22)</f>
        <v>0</v>
      </c>
      <c r="P22" s="305">
        <f t="shared" si="3"/>
        <v>0</v>
      </c>
      <c r="Q22" s="68">
        <f>IFERROR(N22*'As-Filed Schedule 1'!$E$103,0)</f>
        <v>0</v>
      </c>
      <c r="R22" s="68">
        <f>IFERROR(P22*'Adjusted Schedule 1'!$E$104,0)</f>
        <v>0</v>
      </c>
      <c r="S22" s="68">
        <f t="shared" si="4"/>
        <v>0</v>
      </c>
      <c r="T22" s="306">
        <f t="shared" si="5"/>
        <v>0</v>
      </c>
      <c r="V22" s="119">
        <f>'As-Filed Schedule 2H'!N22</f>
        <v>0</v>
      </c>
      <c r="W22" s="309">
        <f>SUMIFS(Adjustments!$G:$G,Adjustments!$H:$H,"2H",Adjustments!$I:$I,'Schedule 2H Adjustments'!$V$12,Adjustments!$J:$J,'Schedule 2H Adjustments'!$A22)</f>
        <v>0</v>
      </c>
      <c r="X22" s="305">
        <f t="shared" si="6"/>
        <v>0</v>
      </c>
      <c r="Y22" s="119">
        <f>'As-Filed Schedule 2H'!O22</f>
        <v>0</v>
      </c>
      <c r="Z22" s="309">
        <f>SUMIFS(Adjustments!$G:$G,Adjustments!$H:$H,"2H",Adjustments!$I:$I,'Schedule 2H Adjustments'!$Y$12,Adjustments!$J:$J,'Schedule 2H Adjustments'!$A22)</f>
        <v>0</v>
      </c>
      <c r="AA22" s="305">
        <f t="shared" si="7"/>
        <v>0</v>
      </c>
    </row>
    <row r="23" spans="1:27" x14ac:dyDescent="0.35">
      <c r="A23" s="24">
        <v>9</v>
      </c>
      <c r="B23" s="514" t="str">
        <f>IF('As-Filed Schedule 2H'!B23:D23=0,"",'As-Filed Schedule 2H'!B23:D23)</f>
        <v/>
      </c>
      <c r="C23" s="514"/>
      <c r="D23" s="514"/>
      <c r="F23" s="117">
        <f>'As-Filed Schedule 2H'!F23</f>
        <v>0</v>
      </c>
      <c r="G23" s="309">
        <f>SUMIFS(Adjustments!$G:$G,Adjustments!$H:$H,"2H",Adjustments!$I:$I,'Schedule 2H Adjustments'!$F$12,Adjustments!$J:$J,'Schedule 2H Adjustments'!$A23)</f>
        <v>0</v>
      </c>
      <c r="H23" s="305">
        <f t="shared" si="0"/>
        <v>0</v>
      </c>
      <c r="I23" s="68">
        <f>IFERROR(F23*'As-Filed Schedule 1'!$E$103,0)</f>
        <v>0</v>
      </c>
      <c r="J23" s="306">
        <f>IFERROR(H23*'Adjusted Schedule 1'!$E$104,0)</f>
        <v>0</v>
      </c>
      <c r="K23" s="68">
        <f t="shared" si="1"/>
        <v>0</v>
      </c>
      <c r="L23" s="306">
        <f t="shared" si="2"/>
        <v>0</v>
      </c>
      <c r="N23" s="117">
        <f>'As-Filed Schedule 2H'!J23</f>
        <v>0</v>
      </c>
      <c r="O23" s="309">
        <f>SUMIFS(Adjustments!$G:$G,Adjustments!$H:$H,"2H",Adjustments!$I:$I,'Schedule 2H Adjustments'!$N$12,Adjustments!$J:$J,'Schedule 2H Adjustments'!$A23)</f>
        <v>0</v>
      </c>
      <c r="P23" s="305">
        <f t="shared" si="3"/>
        <v>0</v>
      </c>
      <c r="Q23" s="68">
        <f>IFERROR(N23*'As-Filed Schedule 1'!$E$103,0)</f>
        <v>0</v>
      </c>
      <c r="R23" s="68">
        <f>IFERROR(P23*'Adjusted Schedule 1'!$E$104,0)</f>
        <v>0</v>
      </c>
      <c r="S23" s="68">
        <f t="shared" si="4"/>
        <v>0</v>
      </c>
      <c r="T23" s="306">
        <f t="shared" si="5"/>
        <v>0</v>
      </c>
      <c r="V23" s="119">
        <f>'As-Filed Schedule 2H'!N23</f>
        <v>0</v>
      </c>
      <c r="W23" s="309">
        <f>SUMIFS(Adjustments!$G:$G,Adjustments!$H:$H,"2H",Adjustments!$I:$I,'Schedule 2H Adjustments'!$V$12,Adjustments!$J:$J,'Schedule 2H Adjustments'!$A23)</f>
        <v>0</v>
      </c>
      <c r="X23" s="305">
        <f t="shared" si="6"/>
        <v>0</v>
      </c>
      <c r="Y23" s="119">
        <f>'As-Filed Schedule 2H'!O23</f>
        <v>0</v>
      </c>
      <c r="Z23" s="309">
        <f>SUMIFS(Adjustments!$G:$G,Adjustments!$H:$H,"2H",Adjustments!$I:$I,'Schedule 2H Adjustments'!$Y$12,Adjustments!$J:$J,'Schedule 2H Adjustments'!$A23)</f>
        <v>0</v>
      </c>
      <c r="AA23" s="305">
        <f t="shared" si="7"/>
        <v>0</v>
      </c>
    </row>
    <row r="24" spans="1:27" x14ac:dyDescent="0.35">
      <c r="A24" s="24">
        <v>10</v>
      </c>
      <c r="B24" s="514" t="str">
        <f>IF('As-Filed Schedule 2H'!B24:D24=0,"",'As-Filed Schedule 2H'!B24:D24)</f>
        <v/>
      </c>
      <c r="C24" s="514"/>
      <c r="D24" s="514"/>
      <c r="F24" s="117">
        <f>'As-Filed Schedule 2H'!F24</f>
        <v>0</v>
      </c>
      <c r="G24" s="309">
        <f>SUMIFS(Adjustments!$G:$G,Adjustments!$H:$H,"2H",Adjustments!$I:$I,'Schedule 2H Adjustments'!$F$12,Adjustments!$J:$J,'Schedule 2H Adjustments'!$A24)</f>
        <v>0</v>
      </c>
      <c r="H24" s="305">
        <f t="shared" si="0"/>
        <v>0</v>
      </c>
      <c r="I24" s="68">
        <f>IFERROR(F24*'As-Filed Schedule 1'!$E$103,0)</f>
        <v>0</v>
      </c>
      <c r="J24" s="306">
        <f>IFERROR(H24*'Adjusted Schedule 1'!$E$104,0)</f>
        <v>0</v>
      </c>
      <c r="K24" s="68">
        <f t="shared" si="1"/>
        <v>0</v>
      </c>
      <c r="L24" s="306">
        <f t="shared" si="2"/>
        <v>0</v>
      </c>
      <c r="N24" s="117">
        <f>'As-Filed Schedule 2H'!J24</f>
        <v>0</v>
      </c>
      <c r="O24" s="309">
        <f>SUMIFS(Adjustments!$G:$G,Adjustments!$H:$H,"2H",Adjustments!$I:$I,'Schedule 2H Adjustments'!$N$12,Adjustments!$J:$J,'Schedule 2H Adjustments'!$A24)</f>
        <v>0</v>
      </c>
      <c r="P24" s="305">
        <f t="shared" si="3"/>
        <v>0</v>
      </c>
      <c r="Q24" s="68">
        <f>IFERROR(N24*'As-Filed Schedule 1'!$E$103,0)</f>
        <v>0</v>
      </c>
      <c r="R24" s="68">
        <f>IFERROR(P24*'Adjusted Schedule 1'!$E$104,0)</f>
        <v>0</v>
      </c>
      <c r="S24" s="68">
        <f t="shared" si="4"/>
        <v>0</v>
      </c>
      <c r="T24" s="306">
        <f t="shared" si="5"/>
        <v>0</v>
      </c>
      <c r="V24" s="119">
        <f>'As-Filed Schedule 2H'!N24</f>
        <v>0</v>
      </c>
      <c r="W24" s="309">
        <f>SUMIFS(Adjustments!$G:$G,Adjustments!$H:$H,"2H",Adjustments!$I:$I,'Schedule 2H Adjustments'!$V$12,Adjustments!$J:$J,'Schedule 2H Adjustments'!$A24)</f>
        <v>0</v>
      </c>
      <c r="X24" s="305">
        <f t="shared" si="6"/>
        <v>0</v>
      </c>
      <c r="Y24" s="119">
        <f>'As-Filed Schedule 2H'!O24</f>
        <v>0</v>
      </c>
      <c r="Z24" s="309">
        <f>SUMIFS(Adjustments!$G:$G,Adjustments!$H:$H,"2H",Adjustments!$I:$I,'Schedule 2H Adjustments'!$Y$12,Adjustments!$J:$J,'Schedule 2H Adjustments'!$A24)</f>
        <v>0</v>
      </c>
      <c r="AA24" s="305">
        <f t="shared" si="7"/>
        <v>0</v>
      </c>
    </row>
    <row r="25" spans="1:27" x14ac:dyDescent="0.35">
      <c r="A25" s="24">
        <v>11</v>
      </c>
      <c r="B25" s="514" t="str">
        <f>IF('As-Filed Schedule 2H'!B25:D25=0,"",'As-Filed Schedule 2H'!B25:D25)</f>
        <v/>
      </c>
      <c r="C25" s="514"/>
      <c r="D25" s="514"/>
      <c r="F25" s="117">
        <f>'As-Filed Schedule 2H'!F25</f>
        <v>0</v>
      </c>
      <c r="G25" s="309">
        <f>SUMIFS(Adjustments!$G:$G,Adjustments!$H:$H,"2H",Adjustments!$I:$I,'Schedule 2H Adjustments'!$F$12,Adjustments!$J:$J,'Schedule 2H Adjustments'!$A25)</f>
        <v>0</v>
      </c>
      <c r="H25" s="305">
        <f t="shared" si="0"/>
        <v>0</v>
      </c>
      <c r="I25" s="68">
        <f>IFERROR(F25*'As-Filed Schedule 1'!$E$103,0)</f>
        <v>0</v>
      </c>
      <c r="J25" s="306">
        <f>IFERROR(H25*'Adjusted Schedule 1'!$E$104,0)</f>
        <v>0</v>
      </c>
      <c r="K25" s="68">
        <f t="shared" si="1"/>
        <v>0</v>
      </c>
      <c r="L25" s="306">
        <f t="shared" si="2"/>
        <v>0</v>
      </c>
      <c r="N25" s="117">
        <f>'As-Filed Schedule 2H'!J25</f>
        <v>0</v>
      </c>
      <c r="O25" s="309">
        <f>SUMIFS(Adjustments!$G:$G,Adjustments!$H:$H,"2H",Adjustments!$I:$I,'Schedule 2H Adjustments'!$N$12,Adjustments!$J:$J,'Schedule 2H Adjustments'!$A25)</f>
        <v>0</v>
      </c>
      <c r="P25" s="305">
        <f t="shared" si="3"/>
        <v>0</v>
      </c>
      <c r="Q25" s="68">
        <f>IFERROR(N25*'As-Filed Schedule 1'!$E$103,0)</f>
        <v>0</v>
      </c>
      <c r="R25" s="68">
        <f>IFERROR(P25*'Adjusted Schedule 1'!$E$104,0)</f>
        <v>0</v>
      </c>
      <c r="S25" s="68">
        <f t="shared" si="4"/>
        <v>0</v>
      </c>
      <c r="T25" s="306">
        <f t="shared" si="5"/>
        <v>0</v>
      </c>
      <c r="V25" s="119">
        <f>'As-Filed Schedule 2H'!N25</f>
        <v>0</v>
      </c>
      <c r="W25" s="309">
        <f>SUMIFS(Adjustments!$G:$G,Adjustments!$H:$H,"2H",Adjustments!$I:$I,'Schedule 2H Adjustments'!$V$12,Adjustments!$J:$J,'Schedule 2H Adjustments'!$A25)</f>
        <v>0</v>
      </c>
      <c r="X25" s="305">
        <f t="shared" si="6"/>
        <v>0</v>
      </c>
      <c r="Y25" s="119">
        <f>'As-Filed Schedule 2H'!O25</f>
        <v>0</v>
      </c>
      <c r="Z25" s="309">
        <f>SUMIFS(Adjustments!$G:$G,Adjustments!$H:$H,"2H",Adjustments!$I:$I,'Schedule 2H Adjustments'!$Y$12,Adjustments!$J:$J,'Schedule 2H Adjustments'!$A25)</f>
        <v>0</v>
      </c>
      <c r="AA25" s="305">
        <f t="shared" si="7"/>
        <v>0</v>
      </c>
    </row>
    <row r="26" spans="1:27" x14ac:dyDescent="0.35">
      <c r="A26" s="24">
        <v>12</v>
      </c>
      <c r="B26" s="514" t="str">
        <f>IF('As-Filed Schedule 2H'!B26:D26=0,"",'As-Filed Schedule 2H'!B26:D26)</f>
        <v/>
      </c>
      <c r="C26" s="514"/>
      <c r="D26" s="514"/>
      <c r="F26" s="117">
        <f>'As-Filed Schedule 2H'!F26</f>
        <v>0</v>
      </c>
      <c r="G26" s="309">
        <f>SUMIFS(Adjustments!$G:$G,Adjustments!$H:$H,"2H",Adjustments!$I:$I,'Schedule 2H Adjustments'!$F$12,Adjustments!$J:$J,'Schedule 2H Adjustments'!$A26)</f>
        <v>0</v>
      </c>
      <c r="H26" s="305">
        <f t="shared" si="0"/>
        <v>0</v>
      </c>
      <c r="I26" s="68">
        <f>IFERROR(F26*'As-Filed Schedule 1'!$E$103,0)</f>
        <v>0</v>
      </c>
      <c r="J26" s="306">
        <f>IFERROR(H26*'Adjusted Schedule 1'!$E$104,0)</f>
        <v>0</v>
      </c>
      <c r="K26" s="68">
        <f t="shared" si="1"/>
        <v>0</v>
      </c>
      <c r="L26" s="306">
        <f t="shared" si="2"/>
        <v>0</v>
      </c>
      <c r="N26" s="117">
        <f>'As-Filed Schedule 2H'!J26</f>
        <v>0</v>
      </c>
      <c r="O26" s="309">
        <f>SUMIFS(Adjustments!$G:$G,Adjustments!$H:$H,"2H",Adjustments!$I:$I,'Schedule 2H Adjustments'!$N$12,Adjustments!$J:$J,'Schedule 2H Adjustments'!$A26)</f>
        <v>0</v>
      </c>
      <c r="P26" s="305">
        <f t="shared" si="3"/>
        <v>0</v>
      </c>
      <c r="Q26" s="68">
        <f>IFERROR(N26*'As-Filed Schedule 1'!$E$103,0)</f>
        <v>0</v>
      </c>
      <c r="R26" s="68">
        <f>IFERROR(P26*'Adjusted Schedule 1'!$E$104,0)</f>
        <v>0</v>
      </c>
      <c r="S26" s="68">
        <f t="shared" si="4"/>
        <v>0</v>
      </c>
      <c r="T26" s="306">
        <f t="shared" si="5"/>
        <v>0</v>
      </c>
      <c r="V26" s="119">
        <f>'As-Filed Schedule 2H'!N26</f>
        <v>0</v>
      </c>
      <c r="W26" s="309">
        <f>SUMIFS(Adjustments!$G:$G,Adjustments!$H:$H,"2H",Adjustments!$I:$I,'Schedule 2H Adjustments'!$V$12,Adjustments!$J:$J,'Schedule 2H Adjustments'!$A26)</f>
        <v>0</v>
      </c>
      <c r="X26" s="305">
        <f t="shared" si="6"/>
        <v>0</v>
      </c>
      <c r="Y26" s="119">
        <f>'As-Filed Schedule 2H'!O26</f>
        <v>0</v>
      </c>
      <c r="Z26" s="309">
        <f>SUMIFS(Adjustments!$G:$G,Adjustments!$H:$H,"2H",Adjustments!$I:$I,'Schedule 2H Adjustments'!$Y$12,Adjustments!$J:$J,'Schedule 2H Adjustments'!$A26)</f>
        <v>0</v>
      </c>
      <c r="AA26" s="305">
        <f t="shared" si="7"/>
        <v>0</v>
      </c>
    </row>
    <row r="27" spans="1:27" x14ac:dyDescent="0.35">
      <c r="A27" s="24">
        <v>13</v>
      </c>
      <c r="B27" s="514" t="str">
        <f>IF('As-Filed Schedule 2H'!B27:D27=0,"",'As-Filed Schedule 2H'!B27:D27)</f>
        <v/>
      </c>
      <c r="C27" s="514"/>
      <c r="D27" s="514"/>
      <c r="F27" s="117">
        <f>'As-Filed Schedule 2H'!F27</f>
        <v>0</v>
      </c>
      <c r="G27" s="309">
        <f>SUMIFS(Adjustments!$G:$G,Adjustments!$H:$H,"2H",Adjustments!$I:$I,'Schedule 2H Adjustments'!$F$12,Adjustments!$J:$J,'Schedule 2H Adjustments'!$A27)</f>
        <v>0</v>
      </c>
      <c r="H27" s="305">
        <f t="shared" si="0"/>
        <v>0</v>
      </c>
      <c r="I27" s="68">
        <f>IFERROR(F27*'As-Filed Schedule 1'!$E$103,0)</f>
        <v>0</v>
      </c>
      <c r="J27" s="306">
        <f>IFERROR(H27*'Adjusted Schedule 1'!$E$104,0)</f>
        <v>0</v>
      </c>
      <c r="K27" s="68">
        <f t="shared" si="1"/>
        <v>0</v>
      </c>
      <c r="L27" s="306">
        <f t="shared" si="2"/>
        <v>0</v>
      </c>
      <c r="N27" s="117">
        <f>'As-Filed Schedule 2H'!J27</f>
        <v>0</v>
      </c>
      <c r="O27" s="309">
        <f>SUMIFS(Adjustments!$G:$G,Adjustments!$H:$H,"2H",Adjustments!$I:$I,'Schedule 2H Adjustments'!$N$12,Adjustments!$J:$J,'Schedule 2H Adjustments'!$A27)</f>
        <v>0</v>
      </c>
      <c r="P27" s="305">
        <f t="shared" si="3"/>
        <v>0</v>
      </c>
      <c r="Q27" s="68">
        <f>IFERROR(N27*'As-Filed Schedule 1'!$E$103,0)</f>
        <v>0</v>
      </c>
      <c r="R27" s="68">
        <f>IFERROR(P27*'Adjusted Schedule 1'!$E$104,0)</f>
        <v>0</v>
      </c>
      <c r="S27" s="68">
        <f t="shared" si="4"/>
        <v>0</v>
      </c>
      <c r="T27" s="306">
        <f t="shared" si="5"/>
        <v>0</v>
      </c>
      <c r="V27" s="119">
        <f>'As-Filed Schedule 2H'!N27</f>
        <v>0</v>
      </c>
      <c r="W27" s="309">
        <f>SUMIFS(Adjustments!$G:$G,Adjustments!$H:$H,"2H",Adjustments!$I:$I,'Schedule 2H Adjustments'!$V$12,Adjustments!$J:$J,'Schedule 2H Adjustments'!$A27)</f>
        <v>0</v>
      </c>
      <c r="X27" s="305">
        <f t="shared" si="6"/>
        <v>0</v>
      </c>
      <c r="Y27" s="119">
        <f>'As-Filed Schedule 2H'!O27</f>
        <v>0</v>
      </c>
      <c r="Z27" s="309">
        <f>SUMIFS(Adjustments!$G:$G,Adjustments!$H:$H,"2H",Adjustments!$I:$I,'Schedule 2H Adjustments'!$Y$12,Adjustments!$J:$J,'Schedule 2H Adjustments'!$A27)</f>
        <v>0</v>
      </c>
      <c r="AA27" s="305">
        <f t="shared" si="7"/>
        <v>0</v>
      </c>
    </row>
    <row r="28" spans="1:27" x14ac:dyDescent="0.35">
      <c r="A28" s="24">
        <v>14</v>
      </c>
      <c r="B28" s="514" t="str">
        <f>IF('As-Filed Schedule 2H'!B28:D28=0,"",'As-Filed Schedule 2H'!B28:D28)</f>
        <v/>
      </c>
      <c r="C28" s="514"/>
      <c r="D28" s="514"/>
      <c r="F28" s="117">
        <f>'As-Filed Schedule 2H'!F28</f>
        <v>0</v>
      </c>
      <c r="G28" s="309">
        <f>SUMIFS(Adjustments!$G:$G,Adjustments!$H:$H,"2H",Adjustments!$I:$I,'Schedule 2H Adjustments'!$F$12,Adjustments!$J:$J,'Schedule 2H Adjustments'!$A28)</f>
        <v>0</v>
      </c>
      <c r="H28" s="305">
        <f t="shared" si="0"/>
        <v>0</v>
      </c>
      <c r="I28" s="68">
        <f>IFERROR(F28*'As-Filed Schedule 1'!$E$103,0)</f>
        <v>0</v>
      </c>
      <c r="J28" s="306">
        <f>IFERROR(H28*'Adjusted Schedule 1'!$E$104,0)</f>
        <v>0</v>
      </c>
      <c r="K28" s="68">
        <f t="shared" si="1"/>
        <v>0</v>
      </c>
      <c r="L28" s="306">
        <f t="shared" si="2"/>
        <v>0</v>
      </c>
      <c r="N28" s="117">
        <f>'As-Filed Schedule 2H'!J28</f>
        <v>0</v>
      </c>
      <c r="O28" s="309">
        <f>SUMIFS(Adjustments!$G:$G,Adjustments!$H:$H,"2H",Adjustments!$I:$I,'Schedule 2H Adjustments'!$N$12,Adjustments!$J:$J,'Schedule 2H Adjustments'!$A28)</f>
        <v>0</v>
      </c>
      <c r="P28" s="305">
        <f t="shared" si="3"/>
        <v>0</v>
      </c>
      <c r="Q28" s="68">
        <f>IFERROR(N28*'As-Filed Schedule 1'!$E$103,0)</f>
        <v>0</v>
      </c>
      <c r="R28" s="68">
        <f>IFERROR(P28*'Adjusted Schedule 1'!$E$104,0)</f>
        <v>0</v>
      </c>
      <c r="S28" s="68">
        <f t="shared" si="4"/>
        <v>0</v>
      </c>
      <c r="T28" s="306">
        <f t="shared" si="5"/>
        <v>0</v>
      </c>
      <c r="V28" s="119">
        <f>'As-Filed Schedule 2H'!N28</f>
        <v>0</v>
      </c>
      <c r="W28" s="309">
        <f>SUMIFS(Adjustments!$G:$G,Adjustments!$H:$H,"2H",Adjustments!$I:$I,'Schedule 2H Adjustments'!$V$12,Adjustments!$J:$J,'Schedule 2H Adjustments'!$A28)</f>
        <v>0</v>
      </c>
      <c r="X28" s="305">
        <f t="shared" si="6"/>
        <v>0</v>
      </c>
      <c r="Y28" s="119">
        <f>'As-Filed Schedule 2H'!O28</f>
        <v>0</v>
      </c>
      <c r="Z28" s="309">
        <f>SUMIFS(Adjustments!$G:$G,Adjustments!$H:$H,"2H",Adjustments!$I:$I,'Schedule 2H Adjustments'!$Y$12,Adjustments!$J:$J,'Schedule 2H Adjustments'!$A28)</f>
        <v>0</v>
      </c>
      <c r="AA28" s="305">
        <f t="shared" si="7"/>
        <v>0</v>
      </c>
    </row>
    <row r="29" spans="1:27" x14ac:dyDescent="0.35">
      <c r="A29" s="24">
        <v>15</v>
      </c>
      <c r="B29" s="514" t="str">
        <f>IF('As-Filed Schedule 2H'!B29:D29=0,"",'As-Filed Schedule 2H'!B29:D29)</f>
        <v/>
      </c>
      <c r="C29" s="514"/>
      <c r="D29" s="514"/>
      <c r="F29" s="117">
        <f>'As-Filed Schedule 2H'!F29</f>
        <v>0</v>
      </c>
      <c r="G29" s="309">
        <f>SUMIFS(Adjustments!$G:$G,Adjustments!$H:$H,"2H",Adjustments!$I:$I,'Schedule 2H Adjustments'!$F$12,Adjustments!$J:$J,'Schedule 2H Adjustments'!$A29)</f>
        <v>0</v>
      </c>
      <c r="H29" s="305">
        <f t="shared" si="0"/>
        <v>0</v>
      </c>
      <c r="I29" s="68">
        <f>IFERROR(F29*'As-Filed Schedule 1'!$E$103,0)</f>
        <v>0</v>
      </c>
      <c r="J29" s="306">
        <f>IFERROR(H29*'Adjusted Schedule 1'!$E$104,0)</f>
        <v>0</v>
      </c>
      <c r="K29" s="68">
        <f t="shared" si="1"/>
        <v>0</v>
      </c>
      <c r="L29" s="306">
        <f t="shared" si="2"/>
        <v>0</v>
      </c>
      <c r="N29" s="117">
        <f>'As-Filed Schedule 2H'!J29</f>
        <v>0</v>
      </c>
      <c r="O29" s="309">
        <f>SUMIFS(Adjustments!$G:$G,Adjustments!$H:$H,"2H",Adjustments!$I:$I,'Schedule 2H Adjustments'!$N$12,Adjustments!$J:$J,'Schedule 2H Adjustments'!$A29)</f>
        <v>0</v>
      </c>
      <c r="P29" s="305">
        <f t="shared" si="3"/>
        <v>0</v>
      </c>
      <c r="Q29" s="68">
        <f>IFERROR(N29*'As-Filed Schedule 1'!$E$103,0)</f>
        <v>0</v>
      </c>
      <c r="R29" s="68">
        <f>IFERROR(P29*'Adjusted Schedule 1'!$E$104,0)</f>
        <v>0</v>
      </c>
      <c r="S29" s="68">
        <f t="shared" si="4"/>
        <v>0</v>
      </c>
      <c r="T29" s="306">
        <f t="shared" si="5"/>
        <v>0</v>
      </c>
      <c r="V29" s="119">
        <f>'As-Filed Schedule 2H'!N29</f>
        <v>0</v>
      </c>
      <c r="W29" s="309">
        <f>SUMIFS(Adjustments!$G:$G,Adjustments!$H:$H,"2H",Adjustments!$I:$I,'Schedule 2H Adjustments'!$V$12,Adjustments!$J:$J,'Schedule 2H Adjustments'!$A29)</f>
        <v>0</v>
      </c>
      <c r="X29" s="305">
        <f t="shared" si="6"/>
        <v>0</v>
      </c>
      <c r="Y29" s="119">
        <f>'As-Filed Schedule 2H'!O29</f>
        <v>0</v>
      </c>
      <c r="Z29" s="309">
        <f>SUMIFS(Adjustments!$G:$G,Adjustments!$H:$H,"2H",Adjustments!$I:$I,'Schedule 2H Adjustments'!$Y$12,Adjustments!$J:$J,'Schedule 2H Adjustments'!$A29)</f>
        <v>0</v>
      </c>
      <c r="AA29" s="305">
        <f t="shared" si="7"/>
        <v>0</v>
      </c>
    </row>
    <row r="30" spans="1:27" x14ac:dyDescent="0.35">
      <c r="A30" s="24">
        <v>16</v>
      </c>
      <c r="B30" s="514" t="str">
        <f>IF('As-Filed Schedule 2H'!B30:D30=0,"",'As-Filed Schedule 2H'!B30:D30)</f>
        <v/>
      </c>
      <c r="C30" s="514"/>
      <c r="D30" s="514"/>
      <c r="F30" s="117">
        <f>'As-Filed Schedule 2H'!F30</f>
        <v>0</v>
      </c>
      <c r="G30" s="309">
        <f>SUMIFS(Adjustments!$G:$G,Adjustments!$H:$H,"2H",Adjustments!$I:$I,'Schedule 2H Adjustments'!$F$12,Adjustments!$J:$J,'Schedule 2H Adjustments'!$A30)</f>
        <v>0</v>
      </c>
      <c r="H30" s="305">
        <f t="shared" si="0"/>
        <v>0</v>
      </c>
      <c r="I30" s="68">
        <f>IFERROR(F30*'As-Filed Schedule 1'!$E$103,0)</f>
        <v>0</v>
      </c>
      <c r="J30" s="306">
        <f>IFERROR(H30*'Adjusted Schedule 1'!$E$104,0)</f>
        <v>0</v>
      </c>
      <c r="K30" s="68">
        <f t="shared" si="1"/>
        <v>0</v>
      </c>
      <c r="L30" s="306">
        <f t="shared" si="2"/>
        <v>0</v>
      </c>
      <c r="N30" s="117">
        <f>'As-Filed Schedule 2H'!J30</f>
        <v>0</v>
      </c>
      <c r="O30" s="309">
        <f>SUMIFS(Adjustments!$G:$G,Adjustments!$H:$H,"2H",Adjustments!$I:$I,'Schedule 2H Adjustments'!$N$12,Adjustments!$J:$J,'Schedule 2H Adjustments'!$A30)</f>
        <v>0</v>
      </c>
      <c r="P30" s="305">
        <f t="shared" si="3"/>
        <v>0</v>
      </c>
      <c r="Q30" s="68">
        <f>IFERROR(N30*'As-Filed Schedule 1'!$E$103,0)</f>
        <v>0</v>
      </c>
      <c r="R30" s="68">
        <f>IFERROR(P30*'Adjusted Schedule 1'!$E$104,0)</f>
        <v>0</v>
      </c>
      <c r="S30" s="68">
        <f t="shared" si="4"/>
        <v>0</v>
      </c>
      <c r="T30" s="306">
        <f t="shared" si="5"/>
        <v>0</v>
      </c>
      <c r="V30" s="119">
        <f>'As-Filed Schedule 2H'!N30</f>
        <v>0</v>
      </c>
      <c r="W30" s="309">
        <f>SUMIFS(Adjustments!$G:$G,Adjustments!$H:$H,"2H",Adjustments!$I:$I,'Schedule 2H Adjustments'!$V$12,Adjustments!$J:$J,'Schedule 2H Adjustments'!$A30)</f>
        <v>0</v>
      </c>
      <c r="X30" s="305">
        <f t="shared" si="6"/>
        <v>0</v>
      </c>
      <c r="Y30" s="119">
        <f>'As-Filed Schedule 2H'!O30</f>
        <v>0</v>
      </c>
      <c r="Z30" s="309">
        <f>SUMIFS(Adjustments!$G:$G,Adjustments!$H:$H,"2H",Adjustments!$I:$I,'Schedule 2H Adjustments'!$Y$12,Adjustments!$J:$J,'Schedule 2H Adjustments'!$A30)</f>
        <v>0</v>
      </c>
      <c r="AA30" s="305">
        <f t="shared" si="7"/>
        <v>0</v>
      </c>
    </row>
    <row r="31" spans="1:27" x14ac:dyDescent="0.35">
      <c r="A31" s="24">
        <v>17</v>
      </c>
      <c r="B31" s="514" t="str">
        <f>IF('As-Filed Schedule 2H'!B31:D31=0,"",'As-Filed Schedule 2H'!B31:D31)</f>
        <v/>
      </c>
      <c r="C31" s="514"/>
      <c r="D31" s="514"/>
      <c r="F31" s="117">
        <f>'As-Filed Schedule 2H'!F31</f>
        <v>0</v>
      </c>
      <c r="G31" s="309">
        <f>SUMIFS(Adjustments!$G:$G,Adjustments!$H:$H,"2H",Adjustments!$I:$I,'Schedule 2H Adjustments'!$F$12,Adjustments!$J:$J,'Schedule 2H Adjustments'!$A31)</f>
        <v>0</v>
      </c>
      <c r="H31" s="305">
        <f t="shared" si="0"/>
        <v>0</v>
      </c>
      <c r="I31" s="68">
        <f>IFERROR(F31*'As-Filed Schedule 1'!$E$103,0)</f>
        <v>0</v>
      </c>
      <c r="J31" s="306">
        <f>IFERROR(H31*'Adjusted Schedule 1'!$E$104,0)</f>
        <v>0</v>
      </c>
      <c r="K31" s="68">
        <f t="shared" si="1"/>
        <v>0</v>
      </c>
      <c r="L31" s="306">
        <f t="shared" si="2"/>
        <v>0</v>
      </c>
      <c r="N31" s="117">
        <f>'As-Filed Schedule 2H'!J31</f>
        <v>0</v>
      </c>
      <c r="O31" s="309">
        <f>SUMIFS(Adjustments!$G:$G,Adjustments!$H:$H,"2H",Adjustments!$I:$I,'Schedule 2H Adjustments'!$N$12,Adjustments!$J:$J,'Schedule 2H Adjustments'!$A31)</f>
        <v>0</v>
      </c>
      <c r="P31" s="305">
        <f t="shared" si="3"/>
        <v>0</v>
      </c>
      <c r="Q31" s="68">
        <f>IFERROR(N31*'As-Filed Schedule 1'!$E$103,0)</f>
        <v>0</v>
      </c>
      <c r="R31" s="68">
        <f>IFERROR(P31*'Adjusted Schedule 1'!$E$104,0)</f>
        <v>0</v>
      </c>
      <c r="S31" s="68">
        <f t="shared" si="4"/>
        <v>0</v>
      </c>
      <c r="T31" s="306">
        <f t="shared" si="5"/>
        <v>0</v>
      </c>
      <c r="V31" s="119">
        <f>'As-Filed Schedule 2H'!N31</f>
        <v>0</v>
      </c>
      <c r="W31" s="309">
        <f>SUMIFS(Adjustments!$G:$G,Adjustments!$H:$H,"2H",Adjustments!$I:$I,'Schedule 2H Adjustments'!$V$12,Adjustments!$J:$J,'Schedule 2H Adjustments'!$A31)</f>
        <v>0</v>
      </c>
      <c r="X31" s="305">
        <f t="shared" si="6"/>
        <v>0</v>
      </c>
      <c r="Y31" s="119">
        <f>'As-Filed Schedule 2H'!O31</f>
        <v>0</v>
      </c>
      <c r="Z31" s="309">
        <f>SUMIFS(Adjustments!$G:$G,Adjustments!$H:$H,"2H",Adjustments!$I:$I,'Schedule 2H Adjustments'!$Y$12,Adjustments!$J:$J,'Schedule 2H Adjustments'!$A31)</f>
        <v>0</v>
      </c>
      <c r="AA31" s="305">
        <f t="shared" si="7"/>
        <v>0</v>
      </c>
    </row>
    <row r="32" spans="1:27" x14ac:dyDescent="0.35">
      <c r="A32" s="24">
        <v>18</v>
      </c>
      <c r="B32" s="514" t="str">
        <f>IF('As-Filed Schedule 2H'!B32:D32=0,"",'As-Filed Schedule 2H'!B32:D32)</f>
        <v/>
      </c>
      <c r="C32" s="514"/>
      <c r="D32" s="514"/>
      <c r="F32" s="117">
        <f>'As-Filed Schedule 2H'!F32</f>
        <v>0</v>
      </c>
      <c r="G32" s="309">
        <f>SUMIFS(Adjustments!$G:$G,Adjustments!$H:$H,"2H",Adjustments!$I:$I,'Schedule 2H Adjustments'!$F$12,Adjustments!$J:$J,'Schedule 2H Adjustments'!$A32)</f>
        <v>0</v>
      </c>
      <c r="H32" s="305">
        <f t="shared" si="0"/>
        <v>0</v>
      </c>
      <c r="I32" s="68">
        <f>IFERROR(F32*'As-Filed Schedule 1'!$E$103,0)</f>
        <v>0</v>
      </c>
      <c r="J32" s="306">
        <f>IFERROR(H32*'Adjusted Schedule 1'!$E$104,0)</f>
        <v>0</v>
      </c>
      <c r="K32" s="68">
        <f t="shared" si="1"/>
        <v>0</v>
      </c>
      <c r="L32" s="306">
        <f t="shared" si="2"/>
        <v>0</v>
      </c>
      <c r="N32" s="117">
        <f>'As-Filed Schedule 2H'!J32</f>
        <v>0</v>
      </c>
      <c r="O32" s="309">
        <f>SUMIFS(Adjustments!$G:$G,Adjustments!$H:$H,"2H",Adjustments!$I:$I,'Schedule 2H Adjustments'!$N$12,Adjustments!$J:$J,'Schedule 2H Adjustments'!$A32)</f>
        <v>0</v>
      </c>
      <c r="P32" s="305">
        <f t="shared" si="3"/>
        <v>0</v>
      </c>
      <c r="Q32" s="68">
        <f>IFERROR(N32*'As-Filed Schedule 1'!$E$103,0)</f>
        <v>0</v>
      </c>
      <c r="R32" s="68">
        <f>IFERROR(P32*'Adjusted Schedule 1'!$E$104,0)</f>
        <v>0</v>
      </c>
      <c r="S32" s="68">
        <f t="shared" si="4"/>
        <v>0</v>
      </c>
      <c r="T32" s="306">
        <f t="shared" si="5"/>
        <v>0</v>
      </c>
      <c r="V32" s="119">
        <f>'As-Filed Schedule 2H'!N32</f>
        <v>0</v>
      </c>
      <c r="W32" s="309">
        <f>SUMIFS(Adjustments!$G:$G,Adjustments!$H:$H,"2H",Adjustments!$I:$I,'Schedule 2H Adjustments'!$V$12,Adjustments!$J:$J,'Schedule 2H Adjustments'!$A32)</f>
        <v>0</v>
      </c>
      <c r="X32" s="305">
        <f t="shared" si="6"/>
        <v>0</v>
      </c>
      <c r="Y32" s="119">
        <f>'As-Filed Schedule 2H'!O32</f>
        <v>0</v>
      </c>
      <c r="Z32" s="309">
        <f>SUMIFS(Adjustments!$G:$G,Adjustments!$H:$H,"2H",Adjustments!$I:$I,'Schedule 2H Adjustments'!$Y$12,Adjustments!$J:$J,'Schedule 2H Adjustments'!$A32)</f>
        <v>0</v>
      </c>
      <c r="AA32" s="305">
        <f t="shared" si="7"/>
        <v>0</v>
      </c>
    </row>
    <row r="33" spans="1:27" x14ac:dyDescent="0.35">
      <c r="A33" s="24">
        <v>19</v>
      </c>
      <c r="B33" s="514" t="str">
        <f>IF('As-Filed Schedule 2H'!B33:D33=0,"",'As-Filed Schedule 2H'!B33:D33)</f>
        <v/>
      </c>
      <c r="C33" s="514"/>
      <c r="D33" s="514"/>
      <c r="F33" s="117">
        <f>'As-Filed Schedule 2H'!F33</f>
        <v>0</v>
      </c>
      <c r="G33" s="309">
        <f>SUMIFS(Adjustments!$G:$G,Adjustments!$H:$H,"2H",Adjustments!$I:$I,'Schedule 2H Adjustments'!$F$12,Adjustments!$J:$J,'Schedule 2H Adjustments'!$A33)</f>
        <v>0</v>
      </c>
      <c r="H33" s="305">
        <f t="shared" si="0"/>
        <v>0</v>
      </c>
      <c r="I33" s="68">
        <f>IFERROR(F33*'As-Filed Schedule 1'!$E$103,0)</f>
        <v>0</v>
      </c>
      <c r="J33" s="306">
        <f>IFERROR(H33*'Adjusted Schedule 1'!$E$104,0)</f>
        <v>0</v>
      </c>
      <c r="K33" s="68">
        <f t="shared" si="1"/>
        <v>0</v>
      </c>
      <c r="L33" s="306">
        <f t="shared" si="2"/>
        <v>0</v>
      </c>
      <c r="N33" s="117">
        <f>'As-Filed Schedule 2H'!J33</f>
        <v>0</v>
      </c>
      <c r="O33" s="309">
        <f>SUMIFS(Adjustments!$G:$G,Adjustments!$H:$H,"2H",Adjustments!$I:$I,'Schedule 2H Adjustments'!$N$12,Adjustments!$J:$J,'Schedule 2H Adjustments'!$A33)</f>
        <v>0</v>
      </c>
      <c r="P33" s="305">
        <f t="shared" si="3"/>
        <v>0</v>
      </c>
      <c r="Q33" s="68">
        <f>IFERROR(N33*'As-Filed Schedule 1'!$E$103,0)</f>
        <v>0</v>
      </c>
      <c r="R33" s="68">
        <f>IFERROR(P33*'Adjusted Schedule 1'!$E$104,0)</f>
        <v>0</v>
      </c>
      <c r="S33" s="68">
        <f t="shared" si="4"/>
        <v>0</v>
      </c>
      <c r="T33" s="306">
        <f t="shared" si="5"/>
        <v>0</v>
      </c>
      <c r="V33" s="119">
        <f>'As-Filed Schedule 2H'!N33</f>
        <v>0</v>
      </c>
      <c r="W33" s="309">
        <f>SUMIFS(Adjustments!$G:$G,Adjustments!$H:$H,"2H",Adjustments!$I:$I,'Schedule 2H Adjustments'!$V$12,Adjustments!$J:$J,'Schedule 2H Adjustments'!$A33)</f>
        <v>0</v>
      </c>
      <c r="X33" s="305">
        <f t="shared" si="6"/>
        <v>0</v>
      </c>
      <c r="Y33" s="119">
        <f>'As-Filed Schedule 2H'!O33</f>
        <v>0</v>
      </c>
      <c r="Z33" s="309">
        <f>SUMIFS(Adjustments!$G:$G,Adjustments!$H:$H,"2H",Adjustments!$I:$I,'Schedule 2H Adjustments'!$Y$12,Adjustments!$J:$J,'Schedule 2H Adjustments'!$A33)</f>
        <v>0</v>
      </c>
      <c r="AA33" s="305">
        <f t="shared" si="7"/>
        <v>0</v>
      </c>
    </row>
    <row r="34" spans="1:27" x14ac:dyDescent="0.35">
      <c r="A34" s="24">
        <v>20</v>
      </c>
      <c r="B34" s="514" t="str">
        <f>IF('As-Filed Schedule 2H'!B34:D34=0,"",'As-Filed Schedule 2H'!B34:D34)</f>
        <v/>
      </c>
      <c r="C34" s="514"/>
      <c r="D34" s="514"/>
      <c r="F34" s="117">
        <f>'As-Filed Schedule 2H'!F34</f>
        <v>0</v>
      </c>
      <c r="G34" s="309">
        <f>SUMIFS(Adjustments!$G:$G,Adjustments!$H:$H,"2H",Adjustments!$I:$I,'Schedule 2H Adjustments'!$F$12,Adjustments!$J:$J,'Schedule 2H Adjustments'!$A34)</f>
        <v>0</v>
      </c>
      <c r="H34" s="305">
        <f t="shared" si="0"/>
        <v>0</v>
      </c>
      <c r="I34" s="68">
        <f>IFERROR(F34*'As-Filed Schedule 1'!$E$103,0)</f>
        <v>0</v>
      </c>
      <c r="J34" s="306">
        <f>IFERROR(H34*'Adjusted Schedule 1'!$E$104,0)</f>
        <v>0</v>
      </c>
      <c r="K34" s="68">
        <f t="shared" si="1"/>
        <v>0</v>
      </c>
      <c r="L34" s="306">
        <f t="shared" si="2"/>
        <v>0</v>
      </c>
      <c r="N34" s="117">
        <f>'As-Filed Schedule 2H'!J34</f>
        <v>0</v>
      </c>
      <c r="O34" s="309">
        <f>SUMIFS(Adjustments!$G:$G,Adjustments!$H:$H,"2H",Adjustments!$I:$I,'Schedule 2H Adjustments'!$N$12,Adjustments!$J:$J,'Schedule 2H Adjustments'!$A34)</f>
        <v>0</v>
      </c>
      <c r="P34" s="305">
        <f t="shared" si="3"/>
        <v>0</v>
      </c>
      <c r="Q34" s="68">
        <f>IFERROR(N34*'As-Filed Schedule 1'!$E$103,0)</f>
        <v>0</v>
      </c>
      <c r="R34" s="68">
        <f>IFERROR(P34*'Adjusted Schedule 1'!$E$104,0)</f>
        <v>0</v>
      </c>
      <c r="S34" s="68">
        <f t="shared" si="4"/>
        <v>0</v>
      </c>
      <c r="T34" s="306">
        <f t="shared" si="5"/>
        <v>0</v>
      </c>
      <c r="V34" s="119">
        <f>'As-Filed Schedule 2H'!N34</f>
        <v>0</v>
      </c>
      <c r="W34" s="309">
        <f>SUMIFS(Adjustments!$G:$G,Adjustments!$H:$H,"2H",Adjustments!$I:$I,'Schedule 2H Adjustments'!$V$12,Adjustments!$J:$J,'Schedule 2H Adjustments'!$A34)</f>
        <v>0</v>
      </c>
      <c r="X34" s="305">
        <f t="shared" si="6"/>
        <v>0</v>
      </c>
      <c r="Y34" s="119">
        <f>'As-Filed Schedule 2H'!O34</f>
        <v>0</v>
      </c>
      <c r="Z34" s="309">
        <f>SUMIFS(Adjustments!$G:$G,Adjustments!$H:$H,"2H",Adjustments!$I:$I,'Schedule 2H Adjustments'!$Y$12,Adjustments!$J:$J,'Schedule 2H Adjustments'!$A34)</f>
        <v>0</v>
      </c>
      <c r="AA34" s="305">
        <f t="shared" si="7"/>
        <v>0</v>
      </c>
    </row>
    <row r="35" spans="1:27" x14ac:dyDescent="0.35">
      <c r="A35" s="24">
        <v>21</v>
      </c>
      <c r="B35" s="514" t="str">
        <f>IF('As-Filed Schedule 2H'!B35:D35=0,"",'As-Filed Schedule 2H'!B35:D35)</f>
        <v/>
      </c>
      <c r="C35" s="514"/>
      <c r="D35" s="514"/>
      <c r="F35" s="117">
        <f>'As-Filed Schedule 2H'!F35</f>
        <v>0</v>
      </c>
      <c r="G35" s="309">
        <f>SUMIFS(Adjustments!$G:$G,Adjustments!$H:$H,"2H",Adjustments!$I:$I,'Schedule 2H Adjustments'!$F$12,Adjustments!$J:$J,'Schedule 2H Adjustments'!$A35)</f>
        <v>0</v>
      </c>
      <c r="H35" s="305">
        <f t="shared" si="0"/>
        <v>0</v>
      </c>
      <c r="I35" s="68">
        <f>IFERROR(F35*'As-Filed Schedule 1'!$E$103,0)</f>
        <v>0</v>
      </c>
      <c r="J35" s="306">
        <f>IFERROR(H35*'Adjusted Schedule 1'!$E$104,0)</f>
        <v>0</v>
      </c>
      <c r="K35" s="68">
        <f t="shared" si="1"/>
        <v>0</v>
      </c>
      <c r="L35" s="306">
        <f t="shared" si="2"/>
        <v>0</v>
      </c>
      <c r="N35" s="117">
        <f>'As-Filed Schedule 2H'!J35</f>
        <v>0</v>
      </c>
      <c r="O35" s="309">
        <f>SUMIFS(Adjustments!$G:$G,Adjustments!$H:$H,"2H",Adjustments!$I:$I,'Schedule 2H Adjustments'!$N$12,Adjustments!$J:$J,'Schedule 2H Adjustments'!$A35)</f>
        <v>0</v>
      </c>
      <c r="P35" s="305">
        <f t="shared" si="3"/>
        <v>0</v>
      </c>
      <c r="Q35" s="68">
        <f>IFERROR(N35*'As-Filed Schedule 1'!$E$103,0)</f>
        <v>0</v>
      </c>
      <c r="R35" s="68">
        <f>IFERROR(P35*'Adjusted Schedule 1'!$E$104,0)</f>
        <v>0</v>
      </c>
      <c r="S35" s="68">
        <f t="shared" si="4"/>
        <v>0</v>
      </c>
      <c r="T35" s="306">
        <f t="shared" si="5"/>
        <v>0</v>
      </c>
      <c r="V35" s="119">
        <f>'As-Filed Schedule 2H'!N35</f>
        <v>0</v>
      </c>
      <c r="W35" s="309">
        <f>SUMIFS(Adjustments!$G:$G,Adjustments!$H:$H,"2H",Adjustments!$I:$I,'Schedule 2H Adjustments'!$V$12,Adjustments!$J:$J,'Schedule 2H Adjustments'!$A35)</f>
        <v>0</v>
      </c>
      <c r="X35" s="305">
        <f t="shared" si="6"/>
        <v>0</v>
      </c>
      <c r="Y35" s="119">
        <f>'As-Filed Schedule 2H'!O35</f>
        <v>0</v>
      </c>
      <c r="Z35" s="309">
        <f>SUMIFS(Adjustments!$G:$G,Adjustments!$H:$H,"2H",Adjustments!$I:$I,'Schedule 2H Adjustments'!$Y$12,Adjustments!$J:$J,'Schedule 2H Adjustments'!$A35)</f>
        <v>0</v>
      </c>
      <c r="AA35" s="305">
        <f t="shared" si="7"/>
        <v>0</v>
      </c>
    </row>
    <row r="36" spans="1:27" x14ac:dyDescent="0.35">
      <c r="A36" s="24">
        <v>22</v>
      </c>
      <c r="B36" s="514" t="str">
        <f>IF('As-Filed Schedule 2H'!B36:D36=0,"",'As-Filed Schedule 2H'!B36:D36)</f>
        <v/>
      </c>
      <c r="C36" s="514"/>
      <c r="D36" s="514"/>
      <c r="F36" s="117">
        <f>'As-Filed Schedule 2H'!F36</f>
        <v>0</v>
      </c>
      <c r="G36" s="309">
        <f>SUMIFS(Adjustments!$G:$G,Adjustments!$H:$H,"2H",Adjustments!$I:$I,'Schedule 2H Adjustments'!$F$12,Adjustments!$J:$J,'Schedule 2H Adjustments'!$A36)</f>
        <v>0</v>
      </c>
      <c r="H36" s="305">
        <f t="shared" si="0"/>
        <v>0</v>
      </c>
      <c r="I36" s="68">
        <f>IFERROR(F36*'As-Filed Schedule 1'!$E$103,0)</f>
        <v>0</v>
      </c>
      <c r="J36" s="306">
        <f>IFERROR(H36*'Adjusted Schedule 1'!$E$104,0)</f>
        <v>0</v>
      </c>
      <c r="K36" s="68">
        <f t="shared" si="1"/>
        <v>0</v>
      </c>
      <c r="L36" s="306">
        <f t="shared" si="2"/>
        <v>0</v>
      </c>
      <c r="N36" s="117">
        <f>'As-Filed Schedule 2H'!J36</f>
        <v>0</v>
      </c>
      <c r="O36" s="309">
        <f>SUMIFS(Adjustments!$G:$G,Adjustments!$H:$H,"2H",Adjustments!$I:$I,'Schedule 2H Adjustments'!$N$12,Adjustments!$J:$J,'Schedule 2H Adjustments'!$A36)</f>
        <v>0</v>
      </c>
      <c r="P36" s="305">
        <f t="shared" si="3"/>
        <v>0</v>
      </c>
      <c r="Q36" s="68">
        <f>IFERROR(N36*'As-Filed Schedule 1'!$E$103,0)</f>
        <v>0</v>
      </c>
      <c r="R36" s="68">
        <f>IFERROR(P36*'Adjusted Schedule 1'!$E$104,0)</f>
        <v>0</v>
      </c>
      <c r="S36" s="68">
        <f t="shared" si="4"/>
        <v>0</v>
      </c>
      <c r="T36" s="306">
        <f t="shared" si="5"/>
        <v>0</v>
      </c>
      <c r="V36" s="119">
        <f>'As-Filed Schedule 2H'!N36</f>
        <v>0</v>
      </c>
      <c r="W36" s="309">
        <f>SUMIFS(Adjustments!$G:$G,Adjustments!$H:$H,"2H",Adjustments!$I:$I,'Schedule 2H Adjustments'!$V$12,Adjustments!$J:$J,'Schedule 2H Adjustments'!$A36)</f>
        <v>0</v>
      </c>
      <c r="X36" s="305">
        <f t="shared" si="6"/>
        <v>0</v>
      </c>
      <c r="Y36" s="119">
        <f>'As-Filed Schedule 2H'!O36</f>
        <v>0</v>
      </c>
      <c r="Z36" s="309">
        <f>SUMIFS(Adjustments!$G:$G,Adjustments!$H:$H,"2H",Adjustments!$I:$I,'Schedule 2H Adjustments'!$Y$12,Adjustments!$J:$J,'Schedule 2H Adjustments'!$A36)</f>
        <v>0</v>
      </c>
      <c r="AA36" s="305">
        <f t="shared" si="7"/>
        <v>0</v>
      </c>
    </row>
    <row r="37" spans="1:27" x14ac:dyDescent="0.35">
      <c r="A37" s="24">
        <v>23</v>
      </c>
      <c r="B37" s="514" t="str">
        <f>IF('As-Filed Schedule 2H'!B37:D37=0,"",'As-Filed Schedule 2H'!B37:D37)</f>
        <v/>
      </c>
      <c r="C37" s="514"/>
      <c r="D37" s="514"/>
      <c r="F37" s="117">
        <f>'As-Filed Schedule 2H'!F37</f>
        <v>0</v>
      </c>
      <c r="G37" s="309">
        <f>SUMIFS(Adjustments!$G:$G,Adjustments!$H:$H,"2H",Adjustments!$I:$I,'Schedule 2H Adjustments'!$F$12,Adjustments!$J:$J,'Schedule 2H Adjustments'!$A37)</f>
        <v>0</v>
      </c>
      <c r="H37" s="305">
        <f t="shared" si="0"/>
        <v>0</v>
      </c>
      <c r="I37" s="68">
        <f>IFERROR(F37*'As-Filed Schedule 1'!$E$103,0)</f>
        <v>0</v>
      </c>
      <c r="J37" s="306">
        <f>IFERROR(H37*'Adjusted Schedule 1'!$E$104,0)</f>
        <v>0</v>
      </c>
      <c r="K37" s="68">
        <f t="shared" si="1"/>
        <v>0</v>
      </c>
      <c r="L37" s="306">
        <f t="shared" si="2"/>
        <v>0</v>
      </c>
      <c r="N37" s="117">
        <f>'As-Filed Schedule 2H'!J37</f>
        <v>0</v>
      </c>
      <c r="O37" s="309">
        <f>SUMIFS(Adjustments!$G:$G,Adjustments!$H:$H,"2H",Adjustments!$I:$I,'Schedule 2H Adjustments'!$N$12,Adjustments!$J:$J,'Schedule 2H Adjustments'!$A37)</f>
        <v>0</v>
      </c>
      <c r="P37" s="305">
        <f t="shared" si="3"/>
        <v>0</v>
      </c>
      <c r="Q37" s="68">
        <f>IFERROR(N37*'As-Filed Schedule 1'!$E$103,0)</f>
        <v>0</v>
      </c>
      <c r="R37" s="68">
        <f>IFERROR(P37*'Adjusted Schedule 1'!$E$104,0)</f>
        <v>0</v>
      </c>
      <c r="S37" s="68">
        <f t="shared" si="4"/>
        <v>0</v>
      </c>
      <c r="T37" s="306">
        <f t="shared" si="5"/>
        <v>0</v>
      </c>
      <c r="V37" s="119">
        <f>'As-Filed Schedule 2H'!N37</f>
        <v>0</v>
      </c>
      <c r="W37" s="309">
        <f>SUMIFS(Adjustments!$G:$G,Adjustments!$H:$H,"2H",Adjustments!$I:$I,'Schedule 2H Adjustments'!$V$12,Adjustments!$J:$J,'Schedule 2H Adjustments'!$A37)</f>
        <v>0</v>
      </c>
      <c r="X37" s="305">
        <f t="shared" si="6"/>
        <v>0</v>
      </c>
      <c r="Y37" s="119">
        <f>'As-Filed Schedule 2H'!O37</f>
        <v>0</v>
      </c>
      <c r="Z37" s="309">
        <f>SUMIFS(Adjustments!$G:$G,Adjustments!$H:$H,"2H",Adjustments!$I:$I,'Schedule 2H Adjustments'!$Y$12,Adjustments!$J:$J,'Schedule 2H Adjustments'!$A37)</f>
        <v>0</v>
      </c>
      <c r="AA37" s="305">
        <f t="shared" si="7"/>
        <v>0</v>
      </c>
    </row>
    <row r="38" spans="1:27" x14ac:dyDescent="0.35">
      <c r="A38" s="24">
        <v>24</v>
      </c>
      <c r="B38" s="514" t="str">
        <f>IF('As-Filed Schedule 2H'!B38:D38=0,"",'As-Filed Schedule 2H'!B38:D38)</f>
        <v/>
      </c>
      <c r="C38" s="514"/>
      <c r="D38" s="514"/>
      <c r="F38" s="117">
        <f>'As-Filed Schedule 2H'!F38</f>
        <v>0</v>
      </c>
      <c r="G38" s="309">
        <f>SUMIFS(Adjustments!$G:$G,Adjustments!$H:$H,"2H",Adjustments!$I:$I,'Schedule 2H Adjustments'!$F$12,Adjustments!$J:$J,'Schedule 2H Adjustments'!$A38)</f>
        <v>0</v>
      </c>
      <c r="H38" s="305">
        <f t="shared" si="0"/>
        <v>0</v>
      </c>
      <c r="I38" s="68">
        <f>IFERROR(F38*'As-Filed Schedule 1'!$E$103,0)</f>
        <v>0</v>
      </c>
      <c r="J38" s="306">
        <f>IFERROR(H38*'Adjusted Schedule 1'!$E$104,0)</f>
        <v>0</v>
      </c>
      <c r="K38" s="68">
        <f t="shared" si="1"/>
        <v>0</v>
      </c>
      <c r="L38" s="306">
        <f t="shared" si="2"/>
        <v>0</v>
      </c>
      <c r="N38" s="117">
        <f>'As-Filed Schedule 2H'!J38</f>
        <v>0</v>
      </c>
      <c r="O38" s="309">
        <f>SUMIFS(Adjustments!$G:$G,Adjustments!$H:$H,"2H",Adjustments!$I:$I,'Schedule 2H Adjustments'!$N$12,Adjustments!$J:$J,'Schedule 2H Adjustments'!$A38)</f>
        <v>0</v>
      </c>
      <c r="P38" s="305">
        <f t="shared" si="3"/>
        <v>0</v>
      </c>
      <c r="Q38" s="68">
        <f>IFERROR(N38*'As-Filed Schedule 1'!$E$103,0)</f>
        <v>0</v>
      </c>
      <c r="R38" s="68">
        <f>IFERROR(P38*'Adjusted Schedule 1'!$E$104,0)</f>
        <v>0</v>
      </c>
      <c r="S38" s="68">
        <f t="shared" si="4"/>
        <v>0</v>
      </c>
      <c r="T38" s="306">
        <f t="shared" si="5"/>
        <v>0</v>
      </c>
      <c r="V38" s="119">
        <f>'As-Filed Schedule 2H'!N38</f>
        <v>0</v>
      </c>
      <c r="W38" s="309">
        <f>SUMIFS(Adjustments!$G:$G,Adjustments!$H:$H,"2H",Adjustments!$I:$I,'Schedule 2H Adjustments'!$V$12,Adjustments!$J:$J,'Schedule 2H Adjustments'!$A38)</f>
        <v>0</v>
      </c>
      <c r="X38" s="305">
        <f t="shared" si="6"/>
        <v>0</v>
      </c>
      <c r="Y38" s="119">
        <f>'As-Filed Schedule 2H'!O38</f>
        <v>0</v>
      </c>
      <c r="Z38" s="309">
        <f>SUMIFS(Adjustments!$G:$G,Adjustments!$H:$H,"2H",Adjustments!$I:$I,'Schedule 2H Adjustments'!$Y$12,Adjustments!$J:$J,'Schedule 2H Adjustments'!$A38)</f>
        <v>0</v>
      </c>
      <c r="AA38" s="305">
        <f t="shared" si="7"/>
        <v>0</v>
      </c>
    </row>
    <row r="39" spans="1:27" x14ac:dyDescent="0.35">
      <c r="A39" s="24">
        <v>25</v>
      </c>
      <c r="B39" s="514" t="str">
        <f>IF('As-Filed Schedule 2H'!B39:D39=0,"",'As-Filed Schedule 2H'!B39:D39)</f>
        <v/>
      </c>
      <c r="C39" s="514"/>
      <c r="D39" s="514"/>
      <c r="F39" s="117">
        <f>'As-Filed Schedule 2H'!F39</f>
        <v>0</v>
      </c>
      <c r="G39" s="309">
        <f>SUMIFS(Adjustments!$G:$G,Adjustments!$H:$H,"2H",Adjustments!$I:$I,'Schedule 2H Adjustments'!$F$12,Adjustments!$J:$J,'Schedule 2H Adjustments'!$A39)</f>
        <v>0</v>
      </c>
      <c r="H39" s="305">
        <f t="shared" si="0"/>
        <v>0</v>
      </c>
      <c r="I39" s="68">
        <f>IFERROR(F39*'As-Filed Schedule 1'!$E$103,0)</f>
        <v>0</v>
      </c>
      <c r="J39" s="306">
        <f>IFERROR(H39*'Adjusted Schedule 1'!$E$104,0)</f>
        <v>0</v>
      </c>
      <c r="K39" s="68">
        <f t="shared" si="1"/>
        <v>0</v>
      </c>
      <c r="L39" s="306">
        <f t="shared" si="2"/>
        <v>0</v>
      </c>
      <c r="N39" s="117">
        <f>'As-Filed Schedule 2H'!J39</f>
        <v>0</v>
      </c>
      <c r="O39" s="309">
        <f>SUMIFS(Adjustments!$G:$G,Adjustments!$H:$H,"2H",Adjustments!$I:$I,'Schedule 2H Adjustments'!$N$12,Adjustments!$J:$J,'Schedule 2H Adjustments'!$A39)</f>
        <v>0</v>
      </c>
      <c r="P39" s="305">
        <f t="shared" si="3"/>
        <v>0</v>
      </c>
      <c r="Q39" s="68">
        <f>IFERROR(N39*'As-Filed Schedule 1'!$E$103,0)</f>
        <v>0</v>
      </c>
      <c r="R39" s="68">
        <f>IFERROR(P39*'Adjusted Schedule 1'!$E$104,0)</f>
        <v>0</v>
      </c>
      <c r="S39" s="68">
        <f t="shared" si="4"/>
        <v>0</v>
      </c>
      <c r="T39" s="306">
        <f t="shared" si="5"/>
        <v>0</v>
      </c>
      <c r="V39" s="119">
        <f>'As-Filed Schedule 2H'!N39</f>
        <v>0</v>
      </c>
      <c r="W39" s="309">
        <f>SUMIFS(Adjustments!$G:$G,Adjustments!$H:$H,"2H",Adjustments!$I:$I,'Schedule 2H Adjustments'!$V$12,Adjustments!$J:$J,'Schedule 2H Adjustments'!$A39)</f>
        <v>0</v>
      </c>
      <c r="X39" s="305">
        <f t="shared" si="6"/>
        <v>0</v>
      </c>
      <c r="Y39" s="119">
        <f>'As-Filed Schedule 2H'!O39</f>
        <v>0</v>
      </c>
      <c r="Z39" s="309">
        <f>SUMIFS(Adjustments!$G:$G,Adjustments!$H:$H,"2H",Adjustments!$I:$I,'Schedule 2H Adjustments'!$Y$12,Adjustments!$J:$J,'Schedule 2H Adjustments'!$A39)</f>
        <v>0</v>
      </c>
      <c r="AA39" s="305">
        <f t="shared" si="7"/>
        <v>0</v>
      </c>
    </row>
    <row r="40" spans="1:27" x14ac:dyDescent="0.35">
      <c r="A40" s="24">
        <v>26</v>
      </c>
      <c r="B40" s="514" t="str">
        <f>IF('As-Filed Schedule 2H'!B40:D40=0,"",'As-Filed Schedule 2H'!B40:D40)</f>
        <v/>
      </c>
      <c r="C40" s="514"/>
      <c r="D40" s="514"/>
      <c r="F40" s="117">
        <f>'As-Filed Schedule 2H'!F40</f>
        <v>0</v>
      </c>
      <c r="G40" s="309">
        <f>SUMIFS(Adjustments!$G:$G,Adjustments!$H:$H,"2H",Adjustments!$I:$I,'Schedule 2H Adjustments'!$F$12,Adjustments!$J:$J,'Schedule 2H Adjustments'!$A40)</f>
        <v>0</v>
      </c>
      <c r="H40" s="305">
        <f t="shared" si="0"/>
        <v>0</v>
      </c>
      <c r="I40" s="68">
        <f>IFERROR(F40*'As-Filed Schedule 1'!$E$103,0)</f>
        <v>0</v>
      </c>
      <c r="J40" s="306">
        <f>IFERROR(H40*'Adjusted Schedule 1'!$E$104,0)</f>
        <v>0</v>
      </c>
      <c r="K40" s="68">
        <f t="shared" si="1"/>
        <v>0</v>
      </c>
      <c r="L40" s="306">
        <f t="shared" si="2"/>
        <v>0</v>
      </c>
      <c r="N40" s="117">
        <f>'As-Filed Schedule 2H'!J40</f>
        <v>0</v>
      </c>
      <c r="O40" s="309">
        <f>SUMIFS(Adjustments!$G:$G,Adjustments!$H:$H,"2H",Adjustments!$I:$I,'Schedule 2H Adjustments'!$N$12,Adjustments!$J:$J,'Schedule 2H Adjustments'!$A40)</f>
        <v>0</v>
      </c>
      <c r="P40" s="305">
        <f t="shared" si="3"/>
        <v>0</v>
      </c>
      <c r="Q40" s="68">
        <f>IFERROR(N40*'As-Filed Schedule 1'!$E$103,0)</f>
        <v>0</v>
      </c>
      <c r="R40" s="68">
        <f>IFERROR(P40*'Adjusted Schedule 1'!$E$104,0)</f>
        <v>0</v>
      </c>
      <c r="S40" s="68">
        <f t="shared" si="4"/>
        <v>0</v>
      </c>
      <c r="T40" s="306">
        <f t="shared" si="5"/>
        <v>0</v>
      </c>
      <c r="V40" s="119">
        <f>'As-Filed Schedule 2H'!N40</f>
        <v>0</v>
      </c>
      <c r="W40" s="309">
        <f>SUMIFS(Adjustments!$G:$G,Adjustments!$H:$H,"2H",Adjustments!$I:$I,'Schedule 2H Adjustments'!$V$12,Adjustments!$J:$J,'Schedule 2H Adjustments'!$A40)</f>
        <v>0</v>
      </c>
      <c r="X40" s="305">
        <f t="shared" si="6"/>
        <v>0</v>
      </c>
      <c r="Y40" s="119">
        <f>'As-Filed Schedule 2H'!O40</f>
        <v>0</v>
      </c>
      <c r="Z40" s="309">
        <f>SUMIFS(Adjustments!$G:$G,Adjustments!$H:$H,"2H",Adjustments!$I:$I,'Schedule 2H Adjustments'!$Y$12,Adjustments!$J:$J,'Schedule 2H Adjustments'!$A40)</f>
        <v>0</v>
      </c>
      <c r="AA40" s="305">
        <f t="shared" si="7"/>
        <v>0</v>
      </c>
    </row>
    <row r="41" spans="1:27" x14ac:dyDescent="0.35">
      <c r="A41" s="24">
        <v>27</v>
      </c>
      <c r="B41" s="514" t="str">
        <f>IF('As-Filed Schedule 2H'!B41:D41=0,"",'As-Filed Schedule 2H'!B41:D41)</f>
        <v/>
      </c>
      <c r="C41" s="514"/>
      <c r="D41" s="514"/>
      <c r="F41" s="117">
        <f>'As-Filed Schedule 2H'!F41</f>
        <v>0</v>
      </c>
      <c r="G41" s="309">
        <f>SUMIFS(Adjustments!$G:$G,Adjustments!$H:$H,"2H",Adjustments!$I:$I,'Schedule 2H Adjustments'!$F$12,Adjustments!$J:$J,'Schedule 2H Adjustments'!$A41)</f>
        <v>0</v>
      </c>
      <c r="H41" s="305">
        <f t="shared" si="0"/>
        <v>0</v>
      </c>
      <c r="I41" s="68">
        <f>IFERROR(F41*'As-Filed Schedule 1'!$E$103,0)</f>
        <v>0</v>
      </c>
      <c r="J41" s="306">
        <f>IFERROR(H41*'Adjusted Schedule 1'!$E$104,0)</f>
        <v>0</v>
      </c>
      <c r="K41" s="68">
        <f t="shared" si="1"/>
        <v>0</v>
      </c>
      <c r="L41" s="306">
        <f t="shared" si="2"/>
        <v>0</v>
      </c>
      <c r="N41" s="117">
        <f>'As-Filed Schedule 2H'!J41</f>
        <v>0</v>
      </c>
      <c r="O41" s="309">
        <f>SUMIFS(Adjustments!$G:$G,Adjustments!$H:$H,"2H",Adjustments!$I:$I,'Schedule 2H Adjustments'!$N$12,Adjustments!$J:$J,'Schedule 2H Adjustments'!$A41)</f>
        <v>0</v>
      </c>
      <c r="P41" s="305">
        <f t="shared" si="3"/>
        <v>0</v>
      </c>
      <c r="Q41" s="68">
        <f>IFERROR(N41*'As-Filed Schedule 1'!$E$103,0)</f>
        <v>0</v>
      </c>
      <c r="R41" s="68">
        <f>IFERROR(P41*'Adjusted Schedule 1'!$E$104,0)</f>
        <v>0</v>
      </c>
      <c r="S41" s="68">
        <f t="shared" si="4"/>
        <v>0</v>
      </c>
      <c r="T41" s="306">
        <f t="shared" si="5"/>
        <v>0</v>
      </c>
      <c r="V41" s="119">
        <f>'As-Filed Schedule 2H'!N41</f>
        <v>0</v>
      </c>
      <c r="W41" s="309">
        <f>SUMIFS(Adjustments!$G:$G,Adjustments!$H:$H,"2H",Adjustments!$I:$I,'Schedule 2H Adjustments'!$V$12,Adjustments!$J:$J,'Schedule 2H Adjustments'!$A41)</f>
        <v>0</v>
      </c>
      <c r="X41" s="305">
        <f t="shared" si="6"/>
        <v>0</v>
      </c>
      <c r="Y41" s="119">
        <f>'As-Filed Schedule 2H'!O41</f>
        <v>0</v>
      </c>
      <c r="Z41" s="309">
        <f>SUMIFS(Adjustments!$G:$G,Adjustments!$H:$H,"2H",Adjustments!$I:$I,'Schedule 2H Adjustments'!$Y$12,Adjustments!$J:$J,'Schedule 2H Adjustments'!$A41)</f>
        <v>0</v>
      </c>
      <c r="AA41" s="305">
        <f t="shared" si="7"/>
        <v>0</v>
      </c>
    </row>
    <row r="42" spans="1:27" x14ac:dyDescent="0.35">
      <c r="A42" s="24">
        <v>28</v>
      </c>
      <c r="B42" s="514" t="str">
        <f>IF('As-Filed Schedule 2H'!B42:D42=0,"",'As-Filed Schedule 2H'!B42:D42)</f>
        <v/>
      </c>
      <c r="C42" s="514"/>
      <c r="D42" s="514"/>
      <c r="F42" s="117">
        <f>'As-Filed Schedule 2H'!F42</f>
        <v>0</v>
      </c>
      <c r="G42" s="309">
        <f>SUMIFS(Adjustments!$G:$G,Adjustments!$H:$H,"2H",Adjustments!$I:$I,'Schedule 2H Adjustments'!$F$12,Adjustments!$J:$J,'Schedule 2H Adjustments'!$A42)</f>
        <v>0</v>
      </c>
      <c r="H42" s="305">
        <f t="shared" si="0"/>
        <v>0</v>
      </c>
      <c r="I42" s="68">
        <f>IFERROR(F42*'As-Filed Schedule 1'!$E$103,0)</f>
        <v>0</v>
      </c>
      <c r="J42" s="306">
        <f>IFERROR(H42*'Adjusted Schedule 1'!$E$104,0)</f>
        <v>0</v>
      </c>
      <c r="K42" s="68">
        <f t="shared" si="1"/>
        <v>0</v>
      </c>
      <c r="L42" s="306">
        <f t="shared" si="2"/>
        <v>0</v>
      </c>
      <c r="N42" s="117">
        <f>'As-Filed Schedule 2H'!J42</f>
        <v>0</v>
      </c>
      <c r="O42" s="309">
        <f>SUMIFS(Adjustments!$G:$G,Adjustments!$H:$H,"2H",Adjustments!$I:$I,'Schedule 2H Adjustments'!$N$12,Adjustments!$J:$J,'Schedule 2H Adjustments'!$A42)</f>
        <v>0</v>
      </c>
      <c r="P42" s="305">
        <f t="shared" si="3"/>
        <v>0</v>
      </c>
      <c r="Q42" s="68">
        <f>IFERROR(N42*'As-Filed Schedule 1'!$E$103,0)</f>
        <v>0</v>
      </c>
      <c r="R42" s="68">
        <f>IFERROR(P42*'Adjusted Schedule 1'!$E$104,0)</f>
        <v>0</v>
      </c>
      <c r="S42" s="68">
        <f t="shared" si="4"/>
        <v>0</v>
      </c>
      <c r="T42" s="306">
        <f t="shared" si="5"/>
        <v>0</v>
      </c>
      <c r="V42" s="119">
        <f>'As-Filed Schedule 2H'!N42</f>
        <v>0</v>
      </c>
      <c r="W42" s="309">
        <f>SUMIFS(Adjustments!$G:$G,Adjustments!$H:$H,"2H",Adjustments!$I:$I,'Schedule 2H Adjustments'!$V$12,Adjustments!$J:$J,'Schedule 2H Adjustments'!$A42)</f>
        <v>0</v>
      </c>
      <c r="X42" s="305">
        <f t="shared" si="6"/>
        <v>0</v>
      </c>
      <c r="Y42" s="119">
        <f>'As-Filed Schedule 2H'!O42</f>
        <v>0</v>
      </c>
      <c r="Z42" s="309">
        <f>SUMIFS(Adjustments!$G:$G,Adjustments!$H:$H,"2H",Adjustments!$I:$I,'Schedule 2H Adjustments'!$Y$12,Adjustments!$J:$J,'Schedule 2H Adjustments'!$A42)</f>
        <v>0</v>
      </c>
      <c r="AA42" s="305">
        <f t="shared" si="7"/>
        <v>0</v>
      </c>
    </row>
    <row r="43" spans="1:27" x14ac:dyDescent="0.35">
      <c r="A43" s="24">
        <v>29</v>
      </c>
      <c r="B43" s="514" t="str">
        <f>IF('As-Filed Schedule 2H'!B43:D43=0,"",'As-Filed Schedule 2H'!B43:D43)</f>
        <v/>
      </c>
      <c r="C43" s="514"/>
      <c r="D43" s="514"/>
      <c r="F43" s="117">
        <f>'As-Filed Schedule 2H'!F43</f>
        <v>0</v>
      </c>
      <c r="G43" s="309">
        <f>SUMIFS(Adjustments!$G:$G,Adjustments!$H:$H,"2H",Adjustments!$I:$I,'Schedule 2H Adjustments'!$F$12,Adjustments!$J:$J,'Schedule 2H Adjustments'!$A43)</f>
        <v>0</v>
      </c>
      <c r="H43" s="305">
        <f t="shared" si="0"/>
        <v>0</v>
      </c>
      <c r="I43" s="68">
        <f>IFERROR(F43*'As-Filed Schedule 1'!$E$103,0)</f>
        <v>0</v>
      </c>
      <c r="J43" s="306">
        <f>IFERROR(H43*'Adjusted Schedule 1'!$E$104,0)</f>
        <v>0</v>
      </c>
      <c r="K43" s="68">
        <f t="shared" si="1"/>
        <v>0</v>
      </c>
      <c r="L43" s="306">
        <f t="shared" si="2"/>
        <v>0</v>
      </c>
      <c r="N43" s="117">
        <f>'As-Filed Schedule 2H'!J43</f>
        <v>0</v>
      </c>
      <c r="O43" s="309">
        <f>SUMIFS(Adjustments!$G:$G,Adjustments!$H:$H,"2H",Adjustments!$I:$I,'Schedule 2H Adjustments'!$N$12,Adjustments!$J:$J,'Schedule 2H Adjustments'!$A43)</f>
        <v>0</v>
      </c>
      <c r="P43" s="305">
        <f t="shared" si="3"/>
        <v>0</v>
      </c>
      <c r="Q43" s="68">
        <f>IFERROR(N43*'As-Filed Schedule 1'!$E$103,0)</f>
        <v>0</v>
      </c>
      <c r="R43" s="68">
        <f>IFERROR(P43*'Adjusted Schedule 1'!$E$104,0)</f>
        <v>0</v>
      </c>
      <c r="S43" s="68">
        <f t="shared" si="4"/>
        <v>0</v>
      </c>
      <c r="T43" s="306">
        <f t="shared" si="5"/>
        <v>0</v>
      </c>
      <c r="V43" s="119">
        <f>'As-Filed Schedule 2H'!N43</f>
        <v>0</v>
      </c>
      <c r="W43" s="309">
        <f>SUMIFS(Adjustments!$G:$G,Adjustments!$H:$H,"2H",Adjustments!$I:$I,'Schedule 2H Adjustments'!$V$12,Adjustments!$J:$J,'Schedule 2H Adjustments'!$A43)</f>
        <v>0</v>
      </c>
      <c r="X43" s="305">
        <f t="shared" si="6"/>
        <v>0</v>
      </c>
      <c r="Y43" s="119">
        <f>'As-Filed Schedule 2H'!O43</f>
        <v>0</v>
      </c>
      <c r="Z43" s="309">
        <f>SUMIFS(Adjustments!$G:$G,Adjustments!$H:$H,"2H",Adjustments!$I:$I,'Schedule 2H Adjustments'!$Y$12,Adjustments!$J:$J,'Schedule 2H Adjustments'!$A43)</f>
        <v>0</v>
      </c>
      <c r="AA43" s="305">
        <f t="shared" si="7"/>
        <v>0</v>
      </c>
    </row>
    <row r="44" spans="1:27" x14ac:dyDescent="0.35">
      <c r="A44" s="24">
        <v>30</v>
      </c>
      <c r="B44" s="514" t="str">
        <f>IF('As-Filed Schedule 2H'!B44:D44=0,"",'As-Filed Schedule 2H'!B44:D44)</f>
        <v/>
      </c>
      <c r="C44" s="514"/>
      <c r="D44" s="514"/>
      <c r="F44" s="117">
        <f>'As-Filed Schedule 2H'!F44</f>
        <v>0</v>
      </c>
      <c r="G44" s="309">
        <f>SUMIFS(Adjustments!$G:$G,Adjustments!$H:$H,"2H",Adjustments!$I:$I,'Schedule 2H Adjustments'!$F$12,Adjustments!$J:$J,'Schedule 2H Adjustments'!$A44)</f>
        <v>0</v>
      </c>
      <c r="H44" s="305">
        <f t="shared" si="0"/>
        <v>0</v>
      </c>
      <c r="I44" s="68">
        <f>IFERROR(F44*'As-Filed Schedule 1'!$E$103,0)</f>
        <v>0</v>
      </c>
      <c r="J44" s="306">
        <f>IFERROR(H44*'Adjusted Schedule 1'!$E$104,0)</f>
        <v>0</v>
      </c>
      <c r="K44" s="68">
        <f t="shared" si="1"/>
        <v>0</v>
      </c>
      <c r="L44" s="306">
        <f t="shared" si="2"/>
        <v>0</v>
      </c>
      <c r="N44" s="117">
        <f>'As-Filed Schedule 2H'!J44</f>
        <v>0</v>
      </c>
      <c r="O44" s="309">
        <f>SUMIFS(Adjustments!$G:$G,Adjustments!$H:$H,"2H",Adjustments!$I:$I,'Schedule 2H Adjustments'!$N$12,Adjustments!$J:$J,'Schedule 2H Adjustments'!$A44)</f>
        <v>0</v>
      </c>
      <c r="P44" s="305">
        <f t="shared" si="3"/>
        <v>0</v>
      </c>
      <c r="Q44" s="68">
        <f>IFERROR(N44*'As-Filed Schedule 1'!$E$103,0)</f>
        <v>0</v>
      </c>
      <c r="R44" s="68">
        <f>IFERROR(P44*'Adjusted Schedule 1'!$E$104,0)</f>
        <v>0</v>
      </c>
      <c r="S44" s="68">
        <f t="shared" si="4"/>
        <v>0</v>
      </c>
      <c r="T44" s="306">
        <f t="shared" si="5"/>
        <v>0</v>
      </c>
      <c r="V44" s="119">
        <f>'As-Filed Schedule 2H'!N44</f>
        <v>0</v>
      </c>
      <c r="W44" s="309">
        <f>SUMIFS(Adjustments!$G:$G,Adjustments!$H:$H,"2H",Adjustments!$I:$I,'Schedule 2H Adjustments'!$V$12,Adjustments!$J:$J,'Schedule 2H Adjustments'!$A44)</f>
        <v>0</v>
      </c>
      <c r="X44" s="305">
        <f t="shared" si="6"/>
        <v>0</v>
      </c>
      <c r="Y44" s="119">
        <f>'As-Filed Schedule 2H'!O44</f>
        <v>0</v>
      </c>
      <c r="Z44" s="309">
        <f>SUMIFS(Adjustments!$G:$G,Adjustments!$H:$H,"2H",Adjustments!$I:$I,'Schedule 2H Adjustments'!$Y$12,Adjustments!$J:$J,'Schedule 2H Adjustments'!$A44)</f>
        <v>0</v>
      </c>
      <c r="AA44" s="305">
        <f t="shared" si="7"/>
        <v>0</v>
      </c>
    </row>
    <row r="45" spans="1:27" x14ac:dyDescent="0.35">
      <c r="A45" s="24">
        <v>31</v>
      </c>
      <c r="B45" s="514" t="str">
        <f>IF('As-Filed Schedule 2H'!B45:D45=0,"",'As-Filed Schedule 2H'!B45:D45)</f>
        <v/>
      </c>
      <c r="C45" s="514"/>
      <c r="D45" s="514"/>
      <c r="F45" s="117">
        <f>'As-Filed Schedule 2H'!F45</f>
        <v>0</v>
      </c>
      <c r="G45" s="309">
        <f>SUMIFS(Adjustments!$G:$G,Adjustments!$H:$H,"2H",Adjustments!$I:$I,'Schedule 2H Adjustments'!$F$12,Adjustments!$J:$J,'Schedule 2H Adjustments'!$A45)</f>
        <v>0</v>
      </c>
      <c r="H45" s="305">
        <f t="shared" si="0"/>
        <v>0</v>
      </c>
      <c r="I45" s="68">
        <f>IFERROR(F45*'As-Filed Schedule 1'!$E$103,0)</f>
        <v>0</v>
      </c>
      <c r="J45" s="306">
        <f>IFERROR(H45*'Adjusted Schedule 1'!$E$104,0)</f>
        <v>0</v>
      </c>
      <c r="K45" s="68">
        <f t="shared" si="1"/>
        <v>0</v>
      </c>
      <c r="L45" s="306">
        <f t="shared" si="2"/>
        <v>0</v>
      </c>
      <c r="N45" s="117">
        <f>'As-Filed Schedule 2H'!J45</f>
        <v>0</v>
      </c>
      <c r="O45" s="309">
        <f>SUMIFS(Adjustments!$G:$G,Adjustments!$H:$H,"2H",Adjustments!$I:$I,'Schedule 2H Adjustments'!$N$12,Adjustments!$J:$J,'Schedule 2H Adjustments'!$A45)</f>
        <v>0</v>
      </c>
      <c r="P45" s="305">
        <f t="shared" si="3"/>
        <v>0</v>
      </c>
      <c r="Q45" s="68">
        <f>IFERROR(N45*'As-Filed Schedule 1'!$E$103,0)</f>
        <v>0</v>
      </c>
      <c r="R45" s="68">
        <f>IFERROR(P45*'Adjusted Schedule 1'!$E$104,0)</f>
        <v>0</v>
      </c>
      <c r="S45" s="68">
        <f t="shared" si="4"/>
        <v>0</v>
      </c>
      <c r="T45" s="306">
        <f t="shared" si="5"/>
        <v>0</v>
      </c>
      <c r="V45" s="119">
        <f>'As-Filed Schedule 2H'!N45</f>
        <v>0</v>
      </c>
      <c r="W45" s="309">
        <f>SUMIFS(Adjustments!$G:$G,Adjustments!$H:$H,"2H",Adjustments!$I:$I,'Schedule 2H Adjustments'!$V$12,Adjustments!$J:$J,'Schedule 2H Adjustments'!$A45)</f>
        <v>0</v>
      </c>
      <c r="X45" s="305">
        <f t="shared" si="6"/>
        <v>0</v>
      </c>
      <c r="Y45" s="119">
        <f>'As-Filed Schedule 2H'!O45</f>
        <v>0</v>
      </c>
      <c r="Z45" s="309">
        <f>SUMIFS(Adjustments!$G:$G,Adjustments!$H:$H,"2H",Adjustments!$I:$I,'Schedule 2H Adjustments'!$Y$12,Adjustments!$J:$J,'Schedule 2H Adjustments'!$A45)</f>
        <v>0</v>
      </c>
      <c r="AA45" s="305">
        <f t="shared" si="7"/>
        <v>0</v>
      </c>
    </row>
    <row r="46" spans="1:27" x14ac:dyDescent="0.35">
      <c r="A46" s="24">
        <v>32</v>
      </c>
      <c r="B46" s="514" t="str">
        <f>IF('As-Filed Schedule 2H'!B46:D46=0,"",'As-Filed Schedule 2H'!B46:D46)</f>
        <v/>
      </c>
      <c r="C46" s="514"/>
      <c r="D46" s="514"/>
      <c r="F46" s="117">
        <f>'As-Filed Schedule 2H'!F46</f>
        <v>0</v>
      </c>
      <c r="G46" s="309">
        <f>SUMIFS(Adjustments!$G:$G,Adjustments!$H:$H,"2H",Adjustments!$I:$I,'Schedule 2H Adjustments'!$F$12,Adjustments!$J:$J,'Schedule 2H Adjustments'!$A46)</f>
        <v>0</v>
      </c>
      <c r="H46" s="305">
        <f t="shared" si="0"/>
        <v>0</v>
      </c>
      <c r="I46" s="68">
        <f>IFERROR(F46*'As-Filed Schedule 1'!$E$103,0)</f>
        <v>0</v>
      </c>
      <c r="J46" s="306">
        <f>IFERROR(H46*'Adjusted Schedule 1'!$E$104,0)</f>
        <v>0</v>
      </c>
      <c r="K46" s="68">
        <f t="shared" si="1"/>
        <v>0</v>
      </c>
      <c r="L46" s="306">
        <f t="shared" si="2"/>
        <v>0</v>
      </c>
      <c r="N46" s="117">
        <f>'As-Filed Schedule 2H'!J46</f>
        <v>0</v>
      </c>
      <c r="O46" s="309">
        <f>SUMIFS(Adjustments!$G:$G,Adjustments!$H:$H,"2H",Adjustments!$I:$I,'Schedule 2H Adjustments'!$N$12,Adjustments!$J:$J,'Schedule 2H Adjustments'!$A46)</f>
        <v>0</v>
      </c>
      <c r="P46" s="305">
        <f t="shared" si="3"/>
        <v>0</v>
      </c>
      <c r="Q46" s="68">
        <f>IFERROR(N46*'As-Filed Schedule 1'!$E$103,0)</f>
        <v>0</v>
      </c>
      <c r="R46" s="68">
        <f>IFERROR(P46*'Adjusted Schedule 1'!$E$104,0)</f>
        <v>0</v>
      </c>
      <c r="S46" s="68">
        <f t="shared" si="4"/>
        <v>0</v>
      </c>
      <c r="T46" s="306">
        <f t="shared" si="5"/>
        <v>0</v>
      </c>
      <c r="V46" s="119">
        <f>'As-Filed Schedule 2H'!N46</f>
        <v>0</v>
      </c>
      <c r="W46" s="309">
        <f>SUMIFS(Adjustments!$G:$G,Adjustments!$H:$H,"2H",Adjustments!$I:$I,'Schedule 2H Adjustments'!$V$12,Adjustments!$J:$J,'Schedule 2H Adjustments'!$A46)</f>
        <v>0</v>
      </c>
      <c r="X46" s="305">
        <f t="shared" si="6"/>
        <v>0</v>
      </c>
      <c r="Y46" s="119">
        <f>'As-Filed Schedule 2H'!O46</f>
        <v>0</v>
      </c>
      <c r="Z46" s="309">
        <f>SUMIFS(Adjustments!$G:$G,Adjustments!$H:$H,"2H",Adjustments!$I:$I,'Schedule 2H Adjustments'!$Y$12,Adjustments!$J:$J,'Schedule 2H Adjustments'!$A46)</f>
        <v>0</v>
      </c>
      <c r="AA46" s="305">
        <f t="shared" si="7"/>
        <v>0</v>
      </c>
    </row>
    <row r="47" spans="1:27" x14ac:dyDescent="0.35">
      <c r="A47" s="24">
        <v>33</v>
      </c>
      <c r="B47" s="514" t="str">
        <f>IF('As-Filed Schedule 2H'!B47:D47=0,"",'As-Filed Schedule 2H'!B47:D47)</f>
        <v/>
      </c>
      <c r="C47" s="514"/>
      <c r="D47" s="514"/>
      <c r="F47" s="117">
        <f>'As-Filed Schedule 2H'!F47</f>
        <v>0</v>
      </c>
      <c r="G47" s="309">
        <f>SUMIFS(Adjustments!$G:$G,Adjustments!$H:$H,"2H",Adjustments!$I:$I,'Schedule 2H Adjustments'!$F$12,Adjustments!$J:$J,'Schedule 2H Adjustments'!$A47)</f>
        <v>0</v>
      </c>
      <c r="H47" s="305">
        <f t="shared" si="0"/>
        <v>0</v>
      </c>
      <c r="I47" s="68">
        <f>IFERROR(F47*'As-Filed Schedule 1'!$E$103,0)</f>
        <v>0</v>
      </c>
      <c r="J47" s="306">
        <f>IFERROR(H47*'Adjusted Schedule 1'!$E$104,0)</f>
        <v>0</v>
      </c>
      <c r="K47" s="68">
        <f t="shared" si="1"/>
        <v>0</v>
      </c>
      <c r="L47" s="306">
        <f t="shared" si="2"/>
        <v>0</v>
      </c>
      <c r="N47" s="117">
        <f>'As-Filed Schedule 2H'!J47</f>
        <v>0</v>
      </c>
      <c r="O47" s="309">
        <f>SUMIFS(Adjustments!$G:$G,Adjustments!$H:$H,"2H",Adjustments!$I:$I,'Schedule 2H Adjustments'!$N$12,Adjustments!$J:$J,'Schedule 2H Adjustments'!$A47)</f>
        <v>0</v>
      </c>
      <c r="P47" s="305">
        <f t="shared" si="3"/>
        <v>0</v>
      </c>
      <c r="Q47" s="68">
        <f>IFERROR(N47*'As-Filed Schedule 1'!$E$103,0)</f>
        <v>0</v>
      </c>
      <c r="R47" s="68">
        <f>IFERROR(P47*'Adjusted Schedule 1'!$E$104,0)</f>
        <v>0</v>
      </c>
      <c r="S47" s="68">
        <f t="shared" si="4"/>
        <v>0</v>
      </c>
      <c r="T47" s="306">
        <f t="shared" si="5"/>
        <v>0</v>
      </c>
      <c r="V47" s="119">
        <f>'As-Filed Schedule 2H'!N47</f>
        <v>0</v>
      </c>
      <c r="W47" s="309">
        <f>SUMIFS(Adjustments!$G:$G,Adjustments!$H:$H,"2H",Adjustments!$I:$I,'Schedule 2H Adjustments'!$V$12,Adjustments!$J:$J,'Schedule 2H Adjustments'!$A47)</f>
        <v>0</v>
      </c>
      <c r="X47" s="305">
        <f t="shared" si="6"/>
        <v>0</v>
      </c>
      <c r="Y47" s="119">
        <f>'As-Filed Schedule 2H'!O47</f>
        <v>0</v>
      </c>
      <c r="Z47" s="309">
        <f>SUMIFS(Adjustments!$G:$G,Adjustments!$H:$H,"2H",Adjustments!$I:$I,'Schedule 2H Adjustments'!$Y$12,Adjustments!$J:$J,'Schedule 2H Adjustments'!$A47)</f>
        <v>0</v>
      </c>
      <c r="AA47" s="305">
        <f t="shared" si="7"/>
        <v>0</v>
      </c>
    </row>
    <row r="48" spans="1:27" x14ac:dyDescent="0.35">
      <c r="A48" s="24">
        <v>34</v>
      </c>
      <c r="B48" s="514" t="str">
        <f>IF('As-Filed Schedule 2H'!B48:D48=0,"",'As-Filed Schedule 2H'!B48:D48)</f>
        <v/>
      </c>
      <c r="C48" s="514"/>
      <c r="D48" s="514"/>
      <c r="F48" s="117">
        <f>'As-Filed Schedule 2H'!F48</f>
        <v>0</v>
      </c>
      <c r="G48" s="309">
        <f>SUMIFS(Adjustments!$G:$G,Adjustments!$H:$H,"2H",Adjustments!$I:$I,'Schedule 2H Adjustments'!$F$12,Adjustments!$J:$J,'Schedule 2H Adjustments'!$A48)</f>
        <v>0</v>
      </c>
      <c r="H48" s="305">
        <f t="shared" si="0"/>
        <v>0</v>
      </c>
      <c r="I48" s="68">
        <f>IFERROR(F48*'As-Filed Schedule 1'!$E$103,0)</f>
        <v>0</v>
      </c>
      <c r="J48" s="306">
        <f>IFERROR(H48*'Adjusted Schedule 1'!$E$104,0)</f>
        <v>0</v>
      </c>
      <c r="K48" s="68">
        <f t="shared" si="1"/>
        <v>0</v>
      </c>
      <c r="L48" s="306">
        <f t="shared" si="2"/>
        <v>0</v>
      </c>
      <c r="N48" s="117">
        <f>'As-Filed Schedule 2H'!J48</f>
        <v>0</v>
      </c>
      <c r="O48" s="309">
        <f>SUMIFS(Adjustments!$G:$G,Adjustments!$H:$H,"2H",Adjustments!$I:$I,'Schedule 2H Adjustments'!$N$12,Adjustments!$J:$J,'Schedule 2H Adjustments'!$A48)</f>
        <v>0</v>
      </c>
      <c r="P48" s="305">
        <f t="shared" si="3"/>
        <v>0</v>
      </c>
      <c r="Q48" s="68">
        <f>IFERROR(N48*'As-Filed Schedule 1'!$E$103,0)</f>
        <v>0</v>
      </c>
      <c r="R48" s="68">
        <f>IFERROR(P48*'Adjusted Schedule 1'!$E$104,0)</f>
        <v>0</v>
      </c>
      <c r="S48" s="68">
        <f t="shared" si="4"/>
        <v>0</v>
      </c>
      <c r="T48" s="306">
        <f t="shared" si="5"/>
        <v>0</v>
      </c>
      <c r="V48" s="119">
        <f>'As-Filed Schedule 2H'!N48</f>
        <v>0</v>
      </c>
      <c r="W48" s="309">
        <f>SUMIFS(Adjustments!$G:$G,Adjustments!$H:$H,"2H",Adjustments!$I:$I,'Schedule 2H Adjustments'!$V$12,Adjustments!$J:$J,'Schedule 2H Adjustments'!$A48)</f>
        <v>0</v>
      </c>
      <c r="X48" s="305">
        <f t="shared" si="6"/>
        <v>0</v>
      </c>
      <c r="Y48" s="119">
        <f>'As-Filed Schedule 2H'!O48</f>
        <v>0</v>
      </c>
      <c r="Z48" s="309">
        <f>SUMIFS(Adjustments!$G:$G,Adjustments!$H:$H,"2H",Adjustments!$I:$I,'Schedule 2H Adjustments'!$Y$12,Adjustments!$J:$J,'Schedule 2H Adjustments'!$A48)</f>
        <v>0</v>
      </c>
      <c r="AA48" s="305">
        <f t="shared" si="7"/>
        <v>0</v>
      </c>
    </row>
    <row r="49" spans="1:27" x14ac:dyDescent="0.35">
      <c r="A49" s="24">
        <v>35</v>
      </c>
      <c r="B49" s="514" t="str">
        <f>IF('As-Filed Schedule 2H'!B49:D49=0,"",'As-Filed Schedule 2H'!B49:D49)</f>
        <v/>
      </c>
      <c r="C49" s="514"/>
      <c r="D49" s="514"/>
      <c r="F49" s="117">
        <f>'As-Filed Schedule 2H'!F49</f>
        <v>0</v>
      </c>
      <c r="G49" s="309">
        <f>SUMIFS(Adjustments!$G:$G,Adjustments!$H:$H,"2H",Adjustments!$I:$I,'Schedule 2H Adjustments'!$F$12,Adjustments!$J:$J,'Schedule 2H Adjustments'!$A49)</f>
        <v>0</v>
      </c>
      <c r="H49" s="305">
        <f t="shared" si="0"/>
        <v>0</v>
      </c>
      <c r="I49" s="68">
        <f>IFERROR(F49*'As-Filed Schedule 1'!$E$103,0)</f>
        <v>0</v>
      </c>
      <c r="J49" s="306">
        <f>IFERROR(H49*'Adjusted Schedule 1'!$E$104,0)</f>
        <v>0</v>
      </c>
      <c r="K49" s="68">
        <f t="shared" si="1"/>
        <v>0</v>
      </c>
      <c r="L49" s="306">
        <f t="shared" si="2"/>
        <v>0</v>
      </c>
      <c r="N49" s="117">
        <f>'As-Filed Schedule 2H'!J49</f>
        <v>0</v>
      </c>
      <c r="O49" s="309">
        <f>SUMIFS(Adjustments!$G:$G,Adjustments!$H:$H,"2H",Adjustments!$I:$I,'Schedule 2H Adjustments'!$N$12,Adjustments!$J:$J,'Schedule 2H Adjustments'!$A49)</f>
        <v>0</v>
      </c>
      <c r="P49" s="305">
        <f t="shared" si="3"/>
        <v>0</v>
      </c>
      <c r="Q49" s="68">
        <f>IFERROR(N49*'As-Filed Schedule 1'!$E$103,0)</f>
        <v>0</v>
      </c>
      <c r="R49" s="68">
        <f>IFERROR(P49*'Adjusted Schedule 1'!$E$104,0)</f>
        <v>0</v>
      </c>
      <c r="S49" s="68">
        <f t="shared" si="4"/>
        <v>0</v>
      </c>
      <c r="T49" s="306">
        <f t="shared" si="5"/>
        <v>0</v>
      </c>
      <c r="V49" s="119">
        <f>'As-Filed Schedule 2H'!N49</f>
        <v>0</v>
      </c>
      <c r="W49" s="309">
        <f>SUMIFS(Adjustments!$G:$G,Adjustments!$H:$H,"2H",Adjustments!$I:$I,'Schedule 2H Adjustments'!$V$12,Adjustments!$J:$J,'Schedule 2H Adjustments'!$A49)</f>
        <v>0</v>
      </c>
      <c r="X49" s="305">
        <f t="shared" si="6"/>
        <v>0</v>
      </c>
      <c r="Y49" s="119">
        <f>'As-Filed Schedule 2H'!O49</f>
        <v>0</v>
      </c>
      <c r="Z49" s="309">
        <f>SUMIFS(Adjustments!$G:$G,Adjustments!$H:$H,"2H",Adjustments!$I:$I,'Schedule 2H Adjustments'!$Y$12,Adjustments!$J:$J,'Schedule 2H Adjustments'!$A49)</f>
        <v>0</v>
      </c>
      <c r="AA49" s="305">
        <f t="shared" si="7"/>
        <v>0</v>
      </c>
    </row>
    <row r="50" spans="1:27" x14ac:dyDescent="0.35">
      <c r="A50" s="24">
        <v>36</v>
      </c>
      <c r="B50" s="514" t="str">
        <f>IF('As-Filed Schedule 2H'!B50:D50=0,"",'As-Filed Schedule 2H'!B50:D50)</f>
        <v/>
      </c>
      <c r="C50" s="514"/>
      <c r="D50" s="514"/>
      <c r="F50" s="117">
        <f>'As-Filed Schedule 2H'!F50</f>
        <v>0</v>
      </c>
      <c r="G50" s="309">
        <f>SUMIFS(Adjustments!$G:$G,Adjustments!$H:$H,"2H",Adjustments!$I:$I,'Schedule 2H Adjustments'!$F$12,Adjustments!$J:$J,'Schedule 2H Adjustments'!$A50)</f>
        <v>0</v>
      </c>
      <c r="H50" s="305">
        <f t="shared" si="0"/>
        <v>0</v>
      </c>
      <c r="I50" s="68">
        <f>IFERROR(F50*'As-Filed Schedule 1'!$E$103,0)</f>
        <v>0</v>
      </c>
      <c r="J50" s="306">
        <f>IFERROR(H50*'Adjusted Schedule 1'!$E$104,0)</f>
        <v>0</v>
      </c>
      <c r="K50" s="68">
        <f t="shared" si="1"/>
        <v>0</v>
      </c>
      <c r="L50" s="306">
        <f t="shared" si="2"/>
        <v>0</v>
      </c>
      <c r="N50" s="117">
        <f>'As-Filed Schedule 2H'!J50</f>
        <v>0</v>
      </c>
      <c r="O50" s="309">
        <f>SUMIFS(Adjustments!$G:$G,Adjustments!$H:$H,"2H",Adjustments!$I:$I,'Schedule 2H Adjustments'!$N$12,Adjustments!$J:$J,'Schedule 2H Adjustments'!$A50)</f>
        <v>0</v>
      </c>
      <c r="P50" s="305">
        <f t="shared" si="3"/>
        <v>0</v>
      </c>
      <c r="Q50" s="68">
        <f>IFERROR(N50*'As-Filed Schedule 1'!$E$103,0)</f>
        <v>0</v>
      </c>
      <c r="R50" s="68">
        <f>IFERROR(P50*'Adjusted Schedule 1'!$E$104,0)</f>
        <v>0</v>
      </c>
      <c r="S50" s="68">
        <f t="shared" si="4"/>
        <v>0</v>
      </c>
      <c r="T50" s="306">
        <f t="shared" si="5"/>
        <v>0</v>
      </c>
      <c r="V50" s="119">
        <f>'As-Filed Schedule 2H'!N50</f>
        <v>0</v>
      </c>
      <c r="W50" s="309">
        <f>SUMIFS(Adjustments!$G:$G,Adjustments!$H:$H,"2H",Adjustments!$I:$I,'Schedule 2H Adjustments'!$V$12,Adjustments!$J:$J,'Schedule 2H Adjustments'!$A50)</f>
        <v>0</v>
      </c>
      <c r="X50" s="305">
        <f t="shared" si="6"/>
        <v>0</v>
      </c>
      <c r="Y50" s="119">
        <f>'As-Filed Schedule 2H'!O50</f>
        <v>0</v>
      </c>
      <c r="Z50" s="309">
        <f>SUMIFS(Adjustments!$G:$G,Adjustments!$H:$H,"2H",Adjustments!$I:$I,'Schedule 2H Adjustments'!$Y$12,Adjustments!$J:$J,'Schedule 2H Adjustments'!$A50)</f>
        <v>0</v>
      </c>
      <c r="AA50" s="305">
        <f t="shared" si="7"/>
        <v>0</v>
      </c>
    </row>
    <row r="51" spans="1:27" x14ac:dyDescent="0.35">
      <c r="A51" s="24">
        <v>37</v>
      </c>
      <c r="B51" s="514" t="str">
        <f>IF('As-Filed Schedule 2H'!B51:D51=0,"",'As-Filed Schedule 2H'!B51:D51)</f>
        <v/>
      </c>
      <c r="C51" s="514"/>
      <c r="D51" s="514"/>
      <c r="F51" s="117">
        <f>'As-Filed Schedule 2H'!F51</f>
        <v>0</v>
      </c>
      <c r="G51" s="309">
        <f>SUMIFS(Adjustments!$G:$G,Adjustments!$H:$H,"2H",Adjustments!$I:$I,'Schedule 2H Adjustments'!$F$12,Adjustments!$J:$J,'Schedule 2H Adjustments'!$A51)</f>
        <v>0</v>
      </c>
      <c r="H51" s="305">
        <f t="shared" si="0"/>
        <v>0</v>
      </c>
      <c r="I51" s="68">
        <f>IFERROR(F51*'As-Filed Schedule 1'!$E$103,0)</f>
        <v>0</v>
      </c>
      <c r="J51" s="306">
        <f>IFERROR(H51*'Adjusted Schedule 1'!$E$104,0)</f>
        <v>0</v>
      </c>
      <c r="K51" s="68">
        <f t="shared" si="1"/>
        <v>0</v>
      </c>
      <c r="L51" s="306">
        <f t="shared" si="2"/>
        <v>0</v>
      </c>
      <c r="N51" s="117">
        <f>'As-Filed Schedule 2H'!J51</f>
        <v>0</v>
      </c>
      <c r="O51" s="309">
        <f>SUMIFS(Adjustments!$G:$G,Adjustments!$H:$H,"2H",Adjustments!$I:$I,'Schedule 2H Adjustments'!$N$12,Adjustments!$J:$J,'Schedule 2H Adjustments'!$A51)</f>
        <v>0</v>
      </c>
      <c r="P51" s="305">
        <f t="shared" si="3"/>
        <v>0</v>
      </c>
      <c r="Q51" s="68">
        <f>IFERROR(N51*'As-Filed Schedule 1'!$E$103,0)</f>
        <v>0</v>
      </c>
      <c r="R51" s="68">
        <f>IFERROR(P51*'Adjusted Schedule 1'!$E$104,0)</f>
        <v>0</v>
      </c>
      <c r="S51" s="68">
        <f t="shared" si="4"/>
        <v>0</v>
      </c>
      <c r="T51" s="306">
        <f t="shared" si="5"/>
        <v>0</v>
      </c>
      <c r="V51" s="119">
        <f>'As-Filed Schedule 2H'!N51</f>
        <v>0</v>
      </c>
      <c r="W51" s="309">
        <f>SUMIFS(Adjustments!$G:$G,Adjustments!$H:$H,"2H",Adjustments!$I:$I,'Schedule 2H Adjustments'!$V$12,Adjustments!$J:$J,'Schedule 2H Adjustments'!$A51)</f>
        <v>0</v>
      </c>
      <c r="X51" s="305">
        <f t="shared" si="6"/>
        <v>0</v>
      </c>
      <c r="Y51" s="119">
        <f>'As-Filed Schedule 2H'!O51</f>
        <v>0</v>
      </c>
      <c r="Z51" s="309">
        <f>SUMIFS(Adjustments!$G:$G,Adjustments!$H:$H,"2H",Adjustments!$I:$I,'Schedule 2H Adjustments'!$Y$12,Adjustments!$J:$J,'Schedule 2H Adjustments'!$A51)</f>
        <v>0</v>
      </c>
      <c r="AA51" s="305">
        <f t="shared" si="7"/>
        <v>0</v>
      </c>
    </row>
    <row r="52" spans="1:27" x14ac:dyDescent="0.35">
      <c r="A52" s="24">
        <v>38</v>
      </c>
      <c r="B52" s="514" t="str">
        <f>IF('As-Filed Schedule 2H'!B52:D52=0,"",'As-Filed Schedule 2H'!B52:D52)</f>
        <v/>
      </c>
      <c r="C52" s="514"/>
      <c r="D52" s="514"/>
      <c r="F52" s="117">
        <f>'As-Filed Schedule 2H'!F52</f>
        <v>0</v>
      </c>
      <c r="G52" s="309">
        <f>SUMIFS(Adjustments!$G:$G,Adjustments!$H:$H,"2H",Adjustments!$I:$I,'Schedule 2H Adjustments'!$F$12,Adjustments!$J:$J,'Schedule 2H Adjustments'!$A52)</f>
        <v>0</v>
      </c>
      <c r="H52" s="305">
        <f t="shared" si="0"/>
        <v>0</v>
      </c>
      <c r="I52" s="68">
        <f>IFERROR(F52*'As-Filed Schedule 1'!$E$103,0)</f>
        <v>0</v>
      </c>
      <c r="J52" s="306">
        <f>IFERROR(H52*'Adjusted Schedule 1'!$E$104,0)</f>
        <v>0</v>
      </c>
      <c r="K52" s="68">
        <f t="shared" si="1"/>
        <v>0</v>
      </c>
      <c r="L52" s="306">
        <f t="shared" si="2"/>
        <v>0</v>
      </c>
      <c r="N52" s="117">
        <f>'As-Filed Schedule 2H'!J52</f>
        <v>0</v>
      </c>
      <c r="O52" s="309">
        <f>SUMIFS(Adjustments!$G:$G,Adjustments!$H:$H,"2H",Adjustments!$I:$I,'Schedule 2H Adjustments'!$N$12,Adjustments!$J:$J,'Schedule 2H Adjustments'!$A52)</f>
        <v>0</v>
      </c>
      <c r="P52" s="305">
        <f t="shared" si="3"/>
        <v>0</v>
      </c>
      <c r="Q52" s="68">
        <f>IFERROR(N52*'As-Filed Schedule 1'!$E$103,0)</f>
        <v>0</v>
      </c>
      <c r="R52" s="68">
        <f>IFERROR(P52*'Adjusted Schedule 1'!$E$104,0)</f>
        <v>0</v>
      </c>
      <c r="S52" s="68">
        <f t="shared" si="4"/>
        <v>0</v>
      </c>
      <c r="T52" s="306">
        <f t="shared" si="5"/>
        <v>0</v>
      </c>
      <c r="V52" s="119">
        <f>'As-Filed Schedule 2H'!N52</f>
        <v>0</v>
      </c>
      <c r="W52" s="309">
        <f>SUMIFS(Adjustments!$G:$G,Adjustments!$H:$H,"2H",Adjustments!$I:$I,'Schedule 2H Adjustments'!$V$12,Adjustments!$J:$J,'Schedule 2H Adjustments'!$A52)</f>
        <v>0</v>
      </c>
      <c r="X52" s="305">
        <f t="shared" si="6"/>
        <v>0</v>
      </c>
      <c r="Y52" s="119">
        <f>'As-Filed Schedule 2H'!O52</f>
        <v>0</v>
      </c>
      <c r="Z52" s="309">
        <f>SUMIFS(Adjustments!$G:$G,Adjustments!$H:$H,"2H",Adjustments!$I:$I,'Schedule 2H Adjustments'!$Y$12,Adjustments!$J:$J,'Schedule 2H Adjustments'!$A52)</f>
        <v>0</v>
      </c>
      <c r="AA52" s="305">
        <f t="shared" si="7"/>
        <v>0</v>
      </c>
    </row>
    <row r="53" spans="1:27" x14ac:dyDescent="0.35">
      <c r="A53" s="24">
        <v>39</v>
      </c>
      <c r="B53" s="514" t="str">
        <f>IF('As-Filed Schedule 2H'!B53:D53=0,"",'As-Filed Schedule 2H'!B53:D53)</f>
        <v/>
      </c>
      <c r="C53" s="514"/>
      <c r="D53" s="514"/>
      <c r="F53" s="117">
        <f>'As-Filed Schedule 2H'!F53</f>
        <v>0</v>
      </c>
      <c r="G53" s="309">
        <f>SUMIFS(Adjustments!$G:$G,Adjustments!$H:$H,"2H",Adjustments!$I:$I,'Schedule 2H Adjustments'!$F$12,Adjustments!$J:$J,'Schedule 2H Adjustments'!$A53)</f>
        <v>0</v>
      </c>
      <c r="H53" s="305">
        <f t="shared" si="0"/>
        <v>0</v>
      </c>
      <c r="I53" s="68">
        <f>IFERROR(F53*'As-Filed Schedule 1'!$E$103,0)</f>
        <v>0</v>
      </c>
      <c r="J53" s="306">
        <f>IFERROR(H53*'Adjusted Schedule 1'!$E$104,0)</f>
        <v>0</v>
      </c>
      <c r="K53" s="68">
        <f t="shared" si="1"/>
        <v>0</v>
      </c>
      <c r="L53" s="306">
        <f t="shared" si="2"/>
        <v>0</v>
      </c>
      <c r="N53" s="117">
        <f>'As-Filed Schedule 2H'!J53</f>
        <v>0</v>
      </c>
      <c r="O53" s="309">
        <f>SUMIFS(Adjustments!$G:$G,Adjustments!$H:$H,"2H",Adjustments!$I:$I,'Schedule 2H Adjustments'!$N$12,Adjustments!$J:$J,'Schedule 2H Adjustments'!$A53)</f>
        <v>0</v>
      </c>
      <c r="P53" s="305">
        <f t="shared" si="3"/>
        <v>0</v>
      </c>
      <c r="Q53" s="68">
        <f>IFERROR(N53*'As-Filed Schedule 1'!$E$103,0)</f>
        <v>0</v>
      </c>
      <c r="R53" s="68">
        <f>IFERROR(P53*'Adjusted Schedule 1'!$E$104,0)</f>
        <v>0</v>
      </c>
      <c r="S53" s="68">
        <f t="shared" si="4"/>
        <v>0</v>
      </c>
      <c r="T53" s="306">
        <f t="shared" si="5"/>
        <v>0</v>
      </c>
      <c r="V53" s="119">
        <f>'As-Filed Schedule 2H'!N53</f>
        <v>0</v>
      </c>
      <c r="W53" s="309">
        <f>SUMIFS(Adjustments!$G:$G,Adjustments!$H:$H,"2H",Adjustments!$I:$I,'Schedule 2H Adjustments'!$V$12,Adjustments!$J:$J,'Schedule 2H Adjustments'!$A53)</f>
        <v>0</v>
      </c>
      <c r="X53" s="305">
        <f t="shared" si="6"/>
        <v>0</v>
      </c>
      <c r="Y53" s="119">
        <f>'As-Filed Schedule 2H'!O53</f>
        <v>0</v>
      </c>
      <c r="Z53" s="309">
        <f>SUMIFS(Adjustments!$G:$G,Adjustments!$H:$H,"2H",Adjustments!$I:$I,'Schedule 2H Adjustments'!$Y$12,Adjustments!$J:$J,'Schedule 2H Adjustments'!$A53)</f>
        <v>0</v>
      </c>
      <c r="AA53" s="305">
        <f t="shared" si="7"/>
        <v>0</v>
      </c>
    </row>
    <row r="54" spans="1:27" x14ac:dyDescent="0.35">
      <c r="A54" s="24">
        <v>40</v>
      </c>
      <c r="B54" s="514" t="str">
        <f>IF('As-Filed Schedule 2H'!B54:D54=0,"",'As-Filed Schedule 2H'!B54:D54)</f>
        <v/>
      </c>
      <c r="C54" s="514"/>
      <c r="D54" s="514"/>
      <c r="F54" s="117">
        <f>'As-Filed Schedule 2H'!F54</f>
        <v>0</v>
      </c>
      <c r="G54" s="309">
        <f>SUMIFS(Adjustments!$G:$G,Adjustments!$H:$H,"2H",Adjustments!$I:$I,'Schedule 2H Adjustments'!$F$12,Adjustments!$J:$J,'Schedule 2H Adjustments'!$A54)</f>
        <v>0</v>
      </c>
      <c r="H54" s="305">
        <f t="shared" si="0"/>
        <v>0</v>
      </c>
      <c r="I54" s="68">
        <f>IFERROR(F54*'As-Filed Schedule 1'!$E$103,0)</f>
        <v>0</v>
      </c>
      <c r="J54" s="306">
        <f>IFERROR(H54*'Adjusted Schedule 1'!$E$104,0)</f>
        <v>0</v>
      </c>
      <c r="K54" s="68">
        <f t="shared" si="1"/>
        <v>0</v>
      </c>
      <c r="L54" s="306">
        <f t="shared" si="2"/>
        <v>0</v>
      </c>
      <c r="N54" s="117">
        <f>'As-Filed Schedule 2H'!J54</f>
        <v>0</v>
      </c>
      <c r="O54" s="309">
        <f>SUMIFS(Adjustments!$G:$G,Adjustments!$H:$H,"2H",Adjustments!$I:$I,'Schedule 2H Adjustments'!$N$12,Adjustments!$J:$J,'Schedule 2H Adjustments'!$A54)</f>
        <v>0</v>
      </c>
      <c r="P54" s="305">
        <f t="shared" si="3"/>
        <v>0</v>
      </c>
      <c r="Q54" s="68">
        <f>IFERROR(N54*'As-Filed Schedule 1'!$E$103,0)</f>
        <v>0</v>
      </c>
      <c r="R54" s="68">
        <f>IFERROR(P54*'Adjusted Schedule 1'!$E$104,0)</f>
        <v>0</v>
      </c>
      <c r="S54" s="68">
        <f t="shared" si="4"/>
        <v>0</v>
      </c>
      <c r="T54" s="306">
        <f t="shared" si="5"/>
        <v>0</v>
      </c>
      <c r="V54" s="119">
        <f>'As-Filed Schedule 2H'!N54</f>
        <v>0</v>
      </c>
      <c r="W54" s="309">
        <f>SUMIFS(Adjustments!$G:$G,Adjustments!$H:$H,"2H",Adjustments!$I:$I,'Schedule 2H Adjustments'!$V$12,Adjustments!$J:$J,'Schedule 2H Adjustments'!$A54)</f>
        <v>0</v>
      </c>
      <c r="X54" s="305">
        <f t="shared" si="6"/>
        <v>0</v>
      </c>
      <c r="Y54" s="119">
        <f>'As-Filed Schedule 2H'!O54</f>
        <v>0</v>
      </c>
      <c r="Z54" s="309">
        <f>SUMIFS(Adjustments!$G:$G,Adjustments!$H:$H,"2H",Adjustments!$I:$I,'Schedule 2H Adjustments'!$Y$12,Adjustments!$J:$J,'Schedule 2H Adjustments'!$A54)</f>
        <v>0</v>
      </c>
      <c r="AA54" s="305">
        <f t="shared" si="7"/>
        <v>0</v>
      </c>
    </row>
    <row r="55" spans="1:27" x14ac:dyDescent="0.35">
      <c r="A55" s="24">
        <v>41</v>
      </c>
      <c r="B55" s="514" t="str">
        <f>IF('As-Filed Schedule 2H'!B55:D55=0,"",'As-Filed Schedule 2H'!B55:D55)</f>
        <v/>
      </c>
      <c r="C55" s="514"/>
      <c r="D55" s="514"/>
      <c r="F55" s="117">
        <f>'As-Filed Schedule 2H'!F55</f>
        <v>0</v>
      </c>
      <c r="G55" s="309">
        <f>SUMIFS(Adjustments!$G:$G,Adjustments!$H:$H,"2H",Adjustments!$I:$I,'Schedule 2H Adjustments'!$F$12,Adjustments!$J:$J,'Schedule 2H Adjustments'!$A55)</f>
        <v>0</v>
      </c>
      <c r="H55" s="305">
        <f t="shared" si="0"/>
        <v>0</v>
      </c>
      <c r="I55" s="68">
        <f>IFERROR(F55*'As-Filed Schedule 1'!$E$103,0)</f>
        <v>0</v>
      </c>
      <c r="J55" s="306">
        <f>IFERROR(H55*'Adjusted Schedule 1'!$E$104,0)</f>
        <v>0</v>
      </c>
      <c r="K55" s="68">
        <f t="shared" si="1"/>
        <v>0</v>
      </c>
      <c r="L55" s="306">
        <f t="shared" si="2"/>
        <v>0</v>
      </c>
      <c r="N55" s="117">
        <f>'As-Filed Schedule 2H'!J55</f>
        <v>0</v>
      </c>
      <c r="O55" s="309">
        <f>SUMIFS(Adjustments!$G:$G,Adjustments!$H:$H,"2H",Adjustments!$I:$I,'Schedule 2H Adjustments'!$N$12,Adjustments!$J:$J,'Schedule 2H Adjustments'!$A55)</f>
        <v>0</v>
      </c>
      <c r="P55" s="305">
        <f t="shared" si="3"/>
        <v>0</v>
      </c>
      <c r="Q55" s="68">
        <f>IFERROR(N55*'As-Filed Schedule 1'!$E$103,0)</f>
        <v>0</v>
      </c>
      <c r="R55" s="68">
        <f>IFERROR(P55*'Adjusted Schedule 1'!$E$104,0)</f>
        <v>0</v>
      </c>
      <c r="S55" s="68">
        <f t="shared" si="4"/>
        <v>0</v>
      </c>
      <c r="T55" s="306">
        <f t="shared" si="5"/>
        <v>0</v>
      </c>
      <c r="V55" s="119">
        <f>'As-Filed Schedule 2H'!N55</f>
        <v>0</v>
      </c>
      <c r="W55" s="309">
        <f>SUMIFS(Adjustments!$G:$G,Adjustments!$H:$H,"2H",Adjustments!$I:$I,'Schedule 2H Adjustments'!$V$12,Adjustments!$J:$J,'Schedule 2H Adjustments'!$A55)</f>
        <v>0</v>
      </c>
      <c r="X55" s="305">
        <f t="shared" si="6"/>
        <v>0</v>
      </c>
      <c r="Y55" s="119">
        <f>'As-Filed Schedule 2H'!O55</f>
        <v>0</v>
      </c>
      <c r="Z55" s="309">
        <f>SUMIFS(Adjustments!$G:$G,Adjustments!$H:$H,"2H",Adjustments!$I:$I,'Schedule 2H Adjustments'!$Y$12,Adjustments!$J:$J,'Schedule 2H Adjustments'!$A55)</f>
        <v>0</v>
      </c>
      <c r="AA55" s="305">
        <f t="shared" si="7"/>
        <v>0</v>
      </c>
    </row>
    <row r="56" spans="1:27" x14ac:dyDescent="0.35">
      <c r="A56" s="24">
        <v>42</v>
      </c>
      <c r="B56" s="514" t="str">
        <f>IF('As-Filed Schedule 2H'!B56:D56=0,"",'As-Filed Schedule 2H'!B56:D56)</f>
        <v/>
      </c>
      <c r="C56" s="514"/>
      <c r="D56" s="514"/>
      <c r="F56" s="117">
        <f>'As-Filed Schedule 2H'!F56</f>
        <v>0</v>
      </c>
      <c r="G56" s="309">
        <f>SUMIFS(Adjustments!$G:$G,Adjustments!$H:$H,"2H",Adjustments!$I:$I,'Schedule 2H Adjustments'!$F$12,Adjustments!$J:$J,'Schedule 2H Adjustments'!$A56)</f>
        <v>0</v>
      </c>
      <c r="H56" s="305">
        <f t="shared" si="0"/>
        <v>0</v>
      </c>
      <c r="I56" s="68">
        <f>IFERROR(F56*'As-Filed Schedule 1'!$E$103,0)</f>
        <v>0</v>
      </c>
      <c r="J56" s="306">
        <f>IFERROR(H56*'Adjusted Schedule 1'!$E$104,0)</f>
        <v>0</v>
      </c>
      <c r="K56" s="68">
        <f t="shared" si="1"/>
        <v>0</v>
      </c>
      <c r="L56" s="306">
        <f t="shared" si="2"/>
        <v>0</v>
      </c>
      <c r="N56" s="117">
        <f>'As-Filed Schedule 2H'!J56</f>
        <v>0</v>
      </c>
      <c r="O56" s="309">
        <f>SUMIFS(Adjustments!$G:$G,Adjustments!$H:$H,"2H",Adjustments!$I:$I,'Schedule 2H Adjustments'!$N$12,Adjustments!$J:$J,'Schedule 2H Adjustments'!$A56)</f>
        <v>0</v>
      </c>
      <c r="P56" s="305">
        <f t="shared" si="3"/>
        <v>0</v>
      </c>
      <c r="Q56" s="68">
        <f>IFERROR(N56*'As-Filed Schedule 1'!$E$103,0)</f>
        <v>0</v>
      </c>
      <c r="R56" s="68">
        <f>IFERROR(P56*'Adjusted Schedule 1'!$E$104,0)</f>
        <v>0</v>
      </c>
      <c r="S56" s="68">
        <f t="shared" si="4"/>
        <v>0</v>
      </c>
      <c r="T56" s="306">
        <f t="shared" si="5"/>
        <v>0</v>
      </c>
      <c r="V56" s="119">
        <f>'As-Filed Schedule 2H'!N56</f>
        <v>0</v>
      </c>
      <c r="W56" s="309">
        <f>SUMIFS(Adjustments!$G:$G,Adjustments!$H:$H,"2H",Adjustments!$I:$I,'Schedule 2H Adjustments'!$V$12,Adjustments!$J:$J,'Schedule 2H Adjustments'!$A56)</f>
        <v>0</v>
      </c>
      <c r="X56" s="305">
        <f t="shared" si="6"/>
        <v>0</v>
      </c>
      <c r="Y56" s="119">
        <f>'As-Filed Schedule 2H'!O56</f>
        <v>0</v>
      </c>
      <c r="Z56" s="309">
        <f>SUMIFS(Adjustments!$G:$G,Adjustments!$H:$H,"2H",Adjustments!$I:$I,'Schedule 2H Adjustments'!$Y$12,Adjustments!$J:$J,'Schedule 2H Adjustments'!$A56)</f>
        <v>0</v>
      </c>
      <c r="AA56" s="305">
        <f t="shared" si="7"/>
        <v>0</v>
      </c>
    </row>
    <row r="57" spans="1:27" x14ac:dyDescent="0.35">
      <c r="A57" s="24">
        <v>43</v>
      </c>
      <c r="B57" s="514" t="str">
        <f>IF('As-Filed Schedule 2H'!B57:D57=0,"",'As-Filed Schedule 2H'!B57:D57)</f>
        <v/>
      </c>
      <c r="C57" s="514"/>
      <c r="D57" s="514"/>
      <c r="F57" s="117">
        <f>'As-Filed Schedule 2H'!F57</f>
        <v>0</v>
      </c>
      <c r="G57" s="309">
        <f>SUMIFS(Adjustments!$G:$G,Adjustments!$H:$H,"2H",Adjustments!$I:$I,'Schedule 2H Adjustments'!$F$12,Adjustments!$J:$J,'Schedule 2H Adjustments'!$A57)</f>
        <v>0</v>
      </c>
      <c r="H57" s="305">
        <f t="shared" si="0"/>
        <v>0</v>
      </c>
      <c r="I57" s="68">
        <f>IFERROR(F57*'As-Filed Schedule 1'!$E$103,0)</f>
        <v>0</v>
      </c>
      <c r="J57" s="306">
        <f>IFERROR(H57*'Adjusted Schedule 1'!$E$104,0)</f>
        <v>0</v>
      </c>
      <c r="K57" s="68">
        <f t="shared" si="1"/>
        <v>0</v>
      </c>
      <c r="L57" s="306">
        <f t="shared" si="2"/>
        <v>0</v>
      </c>
      <c r="N57" s="117">
        <f>'As-Filed Schedule 2H'!J57</f>
        <v>0</v>
      </c>
      <c r="O57" s="309">
        <f>SUMIFS(Adjustments!$G:$G,Adjustments!$H:$H,"2H",Adjustments!$I:$I,'Schedule 2H Adjustments'!$N$12,Adjustments!$J:$J,'Schedule 2H Adjustments'!$A57)</f>
        <v>0</v>
      </c>
      <c r="P57" s="305">
        <f t="shared" si="3"/>
        <v>0</v>
      </c>
      <c r="Q57" s="68">
        <f>IFERROR(N57*'As-Filed Schedule 1'!$E$103,0)</f>
        <v>0</v>
      </c>
      <c r="R57" s="68">
        <f>IFERROR(P57*'Adjusted Schedule 1'!$E$104,0)</f>
        <v>0</v>
      </c>
      <c r="S57" s="68">
        <f t="shared" si="4"/>
        <v>0</v>
      </c>
      <c r="T57" s="306">
        <f t="shared" si="5"/>
        <v>0</v>
      </c>
      <c r="V57" s="119">
        <f>'As-Filed Schedule 2H'!N57</f>
        <v>0</v>
      </c>
      <c r="W57" s="309">
        <f>SUMIFS(Adjustments!$G:$G,Adjustments!$H:$H,"2H",Adjustments!$I:$I,'Schedule 2H Adjustments'!$V$12,Adjustments!$J:$J,'Schedule 2H Adjustments'!$A57)</f>
        <v>0</v>
      </c>
      <c r="X57" s="305">
        <f t="shared" si="6"/>
        <v>0</v>
      </c>
      <c r="Y57" s="119">
        <f>'As-Filed Schedule 2H'!O57</f>
        <v>0</v>
      </c>
      <c r="Z57" s="309">
        <f>SUMIFS(Adjustments!$G:$G,Adjustments!$H:$H,"2H",Adjustments!$I:$I,'Schedule 2H Adjustments'!$Y$12,Adjustments!$J:$J,'Schedule 2H Adjustments'!$A57)</f>
        <v>0</v>
      </c>
      <c r="AA57" s="305">
        <f t="shared" si="7"/>
        <v>0</v>
      </c>
    </row>
    <row r="58" spans="1:27" x14ac:dyDescent="0.35">
      <c r="A58" s="24">
        <v>44</v>
      </c>
      <c r="B58" s="514" t="str">
        <f>IF('As-Filed Schedule 2H'!B58:D58=0,"",'As-Filed Schedule 2H'!B58:D58)</f>
        <v/>
      </c>
      <c r="C58" s="514"/>
      <c r="D58" s="514"/>
      <c r="F58" s="117">
        <f>'As-Filed Schedule 2H'!F58</f>
        <v>0</v>
      </c>
      <c r="G58" s="309">
        <f>SUMIFS(Adjustments!$G:$G,Adjustments!$H:$H,"2H",Adjustments!$I:$I,'Schedule 2H Adjustments'!$F$12,Adjustments!$J:$J,'Schedule 2H Adjustments'!$A58)</f>
        <v>0</v>
      </c>
      <c r="H58" s="305">
        <f t="shared" si="0"/>
        <v>0</v>
      </c>
      <c r="I58" s="68">
        <f>IFERROR(F58*'As-Filed Schedule 1'!$E$103,0)</f>
        <v>0</v>
      </c>
      <c r="J58" s="306">
        <f>IFERROR(H58*'Adjusted Schedule 1'!$E$104,0)</f>
        <v>0</v>
      </c>
      <c r="K58" s="68">
        <f t="shared" si="1"/>
        <v>0</v>
      </c>
      <c r="L58" s="306">
        <f t="shared" si="2"/>
        <v>0</v>
      </c>
      <c r="N58" s="117">
        <f>'As-Filed Schedule 2H'!J58</f>
        <v>0</v>
      </c>
      <c r="O58" s="309">
        <f>SUMIFS(Adjustments!$G:$G,Adjustments!$H:$H,"2H",Adjustments!$I:$I,'Schedule 2H Adjustments'!$N$12,Adjustments!$J:$J,'Schedule 2H Adjustments'!$A58)</f>
        <v>0</v>
      </c>
      <c r="P58" s="305">
        <f t="shared" si="3"/>
        <v>0</v>
      </c>
      <c r="Q58" s="68">
        <f>IFERROR(N58*'As-Filed Schedule 1'!$E$103,0)</f>
        <v>0</v>
      </c>
      <c r="R58" s="68">
        <f>IFERROR(P58*'Adjusted Schedule 1'!$E$104,0)</f>
        <v>0</v>
      </c>
      <c r="S58" s="68">
        <f t="shared" si="4"/>
        <v>0</v>
      </c>
      <c r="T58" s="306">
        <f t="shared" si="5"/>
        <v>0</v>
      </c>
      <c r="V58" s="119">
        <f>'As-Filed Schedule 2H'!N58</f>
        <v>0</v>
      </c>
      <c r="W58" s="309">
        <f>SUMIFS(Adjustments!$G:$G,Adjustments!$H:$H,"2H",Adjustments!$I:$I,'Schedule 2H Adjustments'!$V$12,Adjustments!$J:$J,'Schedule 2H Adjustments'!$A58)</f>
        <v>0</v>
      </c>
      <c r="X58" s="305">
        <f t="shared" si="6"/>
        <v>0</v>
      </c>
      <c r="Y58" s="119">
        <f>'As-Filed Schedule 2H'!O58</f>
        <v>0</v>
      </c>
      <c r="Z58" s="309">
        <f>SUMIFS(Adjustments!$G:$G,Adjustments!$H:$H,"2H",Adjustments!$I:$I,'Schedule 2H Adjustments'!$Y$12,Adjustments!$J:$J,'Schedule 2H Adjustments'!$A58)</f>
        <v>0</v>
      </c>
      <c r="AA58" s="305">
        <f t="shared" si="7"/>
        <v>0</v>
      </c>
    </row>
    <row r="59" spans="1:27" x14ac:dyDescent="0.35">
      <c r="A59" s="24">
        <v>45</v>
      </c>
      <c r="B59" s="514" t="str">
        <f>IF('As-Filed Schedule 2H'!B59:D59=0,"",'As-Filed Schedule 2H'!B59:D59)</f>
        <v/>
      </c>
      <c r="C59" s="514"/>
      <c r="D59" s="514"/>
      <c r="F59" s="117">
        <f>'As-Filed Schedule 2H'!F59</f>
        <v>0</v>
      </c>
      <c r="G59" s="309">
        <f>SUMIFS(Adjustments!$G:$G,Adjustments!$H:$H,"2H",Adjustments!$I:$I,'Schedule 2H Adjustments'!$F$12,Adjustments!$J:$J,'Schedule 2H Adjustments'!$A59)</f>
        <v>0</v>
      </c>
      <c r="H59" s="305">
        <f t="shared" si="0"/>
        <v>0</v>
      </c>
      <c r="I59" s="68">
        <f>IFERROR(F59*'As-Filed Schedule 1'!$E$103,0)</f>
        <v>0</v>
      </c>
      <c r="J59" s="306">
        <f>IFERROR(H59*'Adjusted Schedule 1'!$E$104,0)</f>
        <v>0</v>
      </c>
      <c r="K59" s="68">
        <f t="shared" si="1"/>
        <v>0</v>
      </c>
      <c r="L59" s="306">
        <f t="shared" si="2"/>
        <v>0</v>
      </c>
      <c r="N59" s="117">
        <f>'As-Filed Schedule 2H'!J59</f>
        <v>0</v>
      </c>
      <c r="O59" s="309">
        <f>SUMIFS(Adjustments!$G:$G,Adjustments!$H:$H,"2H",Adjustments!$I:$I,'Schedule 2H Adjustments'!$N$12,Adjustments!$J:$J,'Schedule 2H Adjustments'!$A59)</f>
        <v>0</v>
      </c>
      <c r="P59" s="305">
        <f t="shared" si="3"/>
        <v>0</v>
      </c>
      <c r="Q59" s="68">
        <f>IFERROR(N59*'As-Filed Schedule 1'!$E$103,0)</f>
        <v>0</v>
      </c>
      <c r="R59" s="68">
        <f>IFERROR(P59*'Adjusted Schedule 1'!$E$104,0)</f>
        <v>0</v>
      </c>
      <c r="S59" s="68">
        <f t="shared" si="4"/>
        <v>0</v>
      </c>
      <c r="T59" s="306">
        <f t="shared" si="5"/>
        <v>0</v>
      </c>
      <c r="V59" s="119">
        <f>'As-Filed Schedule 2H'!N59</f>
        <v>0</v>
      </c>
      <c r="W59" s="309">
        <f>SUMIFS(Adjustments!$G:$G,Adjustments!$H:$H,"2H",Adjustments!$I:$I,'Schedule 2H Adjustments'!$V$12,Adjustments!$J:$J,'Schedule 2H Adjustments'!$A59)</f>
        <v>0</v>
      </c>
      <c r="X59" s="305">
        <f t="shared" si="6"/>
        <v>0</v>
      </c>
      <c r="Y59" s="119">
        <f>'As-Filed Schedule 2H'!O59</f>
        <v>0</v>
      </c>
      <c r="Z59" s="309">
        <f>SUMIFS(Adjustments!$G:$G,Adjustments!$H:$H,"2H",Adjustments!$I:$I,'Schedule 2H Adjustments'!$Y$12,Adjustments!$J:$J,'Schedule 2H Adjustments'!$A59)</f>
        <v>0</v>
      </c>
      <c r="AA59" s="305">
        <f t="shared" si="7"/>
        <v>0</v>
      </c>
    </row>
    <row r="60" spans="1:27" x14ac:dyDescent="0.35">
      <c r="A60" s="24">
        <v>46</v>
      </c>
      <c r="B60" s="514" t="str">
        <f>IF('As-Filed Schedule 2H'!B60:D60=0,"",'As-Filed Schedule 2H'!B60:D60)</f>
        <v/>
      </c>
      <c r="C60" s="514"/>
      <c r="D60" s="514"/>
      <c r="F60" s="117">
        <f>'As-Filed Schedule 2H'!F60</f>
        <v>0</v>
      </c>
      <c r="G60" s="309">
        <f>SUMIFS(Adjustments!$G:$G,Adjustments!$H:$H,"2H",Adjustments!$I:$I,'Schedule 2H Adjustments'!$F$12,Adjustments!$J:$J,'Schedule 2H Adjustments'!$A60)</f>
        <v>0</v>
      </c>
      <c r="H60" s="305">
        <f t="shared" si="0"/>
        <v>0</v>
      </c>
      <c r="I60" s="68">
        <f>IFERROR(F60*'As-Filed Schedule 1'!$E$103,0)</f>
        <v>0</v>
      </c>
      <c r="J60" s="306">
        <f>IFERROR(H60*'Adjusted Schedule 1'!$E$104,0)</f>
        <v>0</v>
      </c>
      <c r="K60" s="68">
        <f t="shared" si="1"/>
        <v>0</v>
      </c>
      <c r="L60" s="306">
        <f t="shared" si="2"/>
        <v>0</v>
      </c>
      <c r="N60" s="117">
        <f>'As-Filed Schedule 2H'!J60</f>
        <v>0</v>
      </c>
      <c r="O60" s="309">
        <f>SUMIFS(Adjustments!$G:$G,Adjustments!$H:$H,"2H",Adjustments!$I:$I,'Schedule 2H Adjustments'!$N$12,Adjustments!$J:$J,'Schedule 2H Adjustments'!$A60)</f>
        <v>0</v>
      </c>
      <c r="P60" s="305">
        <f t="shared" si="3"/>
        <v>0</v>
      </c>
      <c r="Q60" s="68">
        <f>IFERROR(N60*'As-Filed Schedule 1'!$E$103,0)</f>
        <v>0</v>
      </c>
      <c r="R60" s="68">
        <f>IFERROR(P60*'Adjusted Schedule 1'!$E$104,0)</f>
        <v>0</v>
      </c>
      <c r="S60" s="68">
        <f t="shared" si="4"/>
        <v>0</v>
      </c>
      <c r="T60" s="306">
        <f t="shared" si="5"/>
        <v>0</v>
      </c>
      <c r="V60" s="119">
        <f>'As-Filed Schedule 2H'!N60</f>
        <v>0</v>
      </c>
      <c r="W60" s="309">
        <f>SUMIFS(Adjustments!$G:$G,Adjustments!$H:$H,"2H",Adjustments!$I:$I,'Schedule 2H Adjustments'!$V$12,Adjustments!$J:$J,'Schedule 2H Adjustments'!$A60)</f>
        <v>0</v>
      </c>
      <c r="X60" s="305">
        <f t="shared" si="6"/>
        <v>0</v>
      </c>
      <c r="Y60" s="119">
        <f>'As-Filed Schedule 2H'!O60</f>
        <v>0</v>
      </c>
      <c r="Z60" s="309">
        <f>SUMIFS(Adjustments!$G:$G,Adjustments!$H:$H,"2H",Adjustments!$I:$I,'Schedule 2H Adjustments'!$Y$12,Adjustments!$J:$J,'Schedule 2H Adjustments'!$A60)</f>
        <v>0</v>
      </c>
      <c r="AA60" s="305">
        <f t="shared" si="7"/>
        <v>0</v>
      </c>
    </row>
    <row r="61" spans="1:27" x14ac:dyDescent="0.35">
      <c r="A61" s="24">
        <v>47</v>
      </c>
      <c r="B61" s="514" t="str">
        <f>IF('As-Filed Schedule 2H'!B61:D61=0,"",'As-Filed Schedule 2H'!B61:D61)</f>
        <v/>
      </c>
      <c r="C61" s="514"/>
      <c r="D61" s="514"/>
      <c r="F61" s="117">
        <f>'As-Filed Schedule 2H'!F61</f>
        <v>0</v>
      </c>
      <c r="G61" s="309">
        <f>SUMIFS(Adjustments!$G:$G,Adjustments!$H:$H,"2H",Adjustments!$I:$I,'Schedule 2H Adjustments'!$F$12,Adjustments!$J:$J,'Schedule 2H Adjustments'!$A61)</f>
        <v>0</v>
      </c>
      <c r="H61" s="305">
        <f t="shared" si="0"/>
        <v>0</v>
      </c>
      <c r="I61" s="68">
        <f>IFERROR(F61*'As-Filed Schedule 1'!$E$103,0)</f>
        <v>0</v>
      </c>
      <c r="J61" s="306">
        <f>IFERROR(H61*'Adjusted Schedule 1'!$E$104,0)</f>
        <v>0</v>
      </c>
      <c r="K61" s="68">
        <f t="shared" si="1"/>
        <v>0</v>
      </c>
      <c r="L61" s="306">
        <f t="shared" si="2"/>
        <v>0</v>
      </c>
      <c r="N61" s="117">
        <f>'As-Filed Schedule 2H'!J61</f>
        <v>0</v>
      </c>
      <c r="O61" s="309">
        <f>SUMIFS(Adjustments!$G:$G,Adjustments!$H:$H,"2H",Adjustments!$I:$I,'Schedule 2H Adjustments'!$N$12,Adjustments!$J:$J,'Schedule 2H Adjustments'!$A61)</f>
        <v>0</v>
      </c>
      <c r="P61" s="305">
        <f t="shared" si="3"/>
        <v>0</v>
      </c>
      <c r="Q61" s="68">
        <f>IFERROR(N61*'As-Filed Schedule 1'!$E$103,0)</f>
        <v>0</v>
      </c>
      <c r="R61" s="68">
        <f>IFERROR(P61*'Adjusted Schedule 1'!$E$104,0)</f>
        <v>0</v>
      </c>
      <c r="S61" s="68">
        <f t="shared" si="4"/>
        <v>0</v>
      </c>
      <c r="T61" s="306">
        <f t="shared" si="5"/>
        <v>0</v>
      </c>
      <c r="V61" s="119">
        <f>'As-Filed Schedule 2H'!N61</f>
        <v>0</v>
      </c>
      <c r="W61" s="309">
        <f>SUMIFS(Adjustments!$G:$G,Adjustments!$H:$H,"2H",Adjustments!$I:$I,'Schedule 2H Adjustments'!$V$12,Adjustments!$J:$J,'Schedule 2H Adjustments'!$A61)</f>
        <v>0</v>
      </c>
      <c r="X61" s="305">
        <f t="shared" si="6"/>
        <v>0</v>
      </c>
      <c r="Y61" s="119">
        <f>'As-Filed Schedule 2H'!O61</f>
        <v>0</v>
      </c>
      <c r="Z61" s="309">
        <f>SUMIFS(Adjustments!$G:$G,Adjustments!$H:$H,"2H",Adjustments!$I:$I,'Schedule 2H Adjustments'!$Y$12,Adjustments!$J:$J,'Schedule 2H Adjustments'!$A61)</f>
        <v>0</v>
      </c>
      <c r="AA61" s="305">
        <f t="shared" si="7"/>
        <v>0</v>
      </c>
    </row>
    <row r="62" spans="1:27" x14ac:dyDescent="0.35">
      <c r="A62" s="24">
        <v>48</v>
      </c>
      <c r="B62" s="514" t="str">
        <f>IF('As-Filed Schedule 2H'!B62:D62=0,"",'As-Filed Schedule 2H'!B62:D62)</f>
        <v/>
      </c>
      <c r="C62" s="514"/>
      <c r="D62" s="514"/>
      <c r="F62" s="117">
        <f>'As-Filed Schedule 2H'!F62</f>
        <v>0</v>
      </c>
      <c r="G62" s="309">
        <f>SUMIFS(Adjustments!$G:$G,Adjustments!$H:$H,"2H",Adjustments!$I:$I,'Schedule 2H Adjustments'!$F$12,Adjustments!$J:$J,'Schedule 2H Adjustments'!$A62)</f>
        <v>0</v>
      </c>
      <c r="H62" s="305">
        <f t="shared" si="0"/>
        <v>0</v>
      </c>
      <c r="I62" s="68">
        <f>IFERROR(F62*'As-Filed Schedule 1'!$E$103,0)</f>
        <v>0</v>
      </c>
      <c r="J62" s="306">
        <f>IFERROR(H62*'Adjusted Schedule 1'!$E$104,0)</f>
        <v>0</v>
      </c>
      <c r="K62" s="68">
        <f t="shared" si="1"/>
        <v>0</v>
      </c>
      <c r="L62" s="306">
        <f t="shared" si="2"/>
        <v>0</v>
      </c>
      <c r="N62" s="117">
        <f>'As-Filed Schedule 2H'!J62</f>
        <v>0</v>
      </c>
      <c r="O62" s="309">
        <f>SUMIFS(Adjustments!$G:$G,Adjustments!$H:$H,"2H",Adjustments!$I:$I,'Schedule 2H Adjustments'!$N$12,Adjustments!$J:$J,'Schedule 2H Adjustments'!$A62)</f>
        <v>0</v>
      </c>
      <c r="P62" s="305">
        <f t="shared" si="3"/>
        <v>0</v>
      </c>
      <c r="Q62" s="68">
        <f>IFERROR(N62*'As-Filed Schedule 1'!$E$103,0)</f>
        <v>0</v>
      </c>
      <c r="R62" s="68">
        <f>IFERROR(P62*'Adjusted Schedule 1'!$E$104,0)</f>
        <v>0</v>
      </c>
      <c r="S62" s="68">
        <f t="shared" si="4"/>
        <v>0</v>
      </c>
      <c r="T62" s="306">
        <f t="shared" si="5"/>
        <v>0</v>
      </c>
      <c r="V62" s="119">
        <f>'As-Filed Schedule 2H'!N62</f>
        <v>0</v>
      </c>
      <c r="W62" s="309">
        <f>SUMIFS(Adjustments!$G:$G,Adjustments!$H:$H,"2H",Adjustments!$I:$I,'Schedule 2H Adjustments'!$V$12,Adjustments!$J:$J,'Schedule 2H Adjustments'!$A62)</f>
        <v>0</v>
      </c>
      <c r="X62" s="305">
        <f t="shared" si="6"/>
        <v>0</v>
      </c>
      <c r="Y62" s="119">
        <f>'As-Filed Schedule 2H'!O62</f>
        <v>0</v>
      </c>
      <c r="Z62" s="309">
        <f>SUMIFS(Adjustments!$G:$G,Adjustments!$H:$H,"2H",Adjustments!$I:$I,'Schedule 2H Adjustments'!$Y$12,Adjustments!$J:$J,'Schedule 2H Adjustments'!$A62)</f>
        <v>0</v>
      </c>
      <c r="AA62" s="305">
        <f t="shared" si="7"/>
        <v>0</v>
      </c>
    </row>
    <row r="63" spans="1:27" x14ac:dyDescent="0.35">
      <c r="A63" s="24">
        <v>49</v>
      </c>
      <c r="B63" s="514" t="str">
        <f>IF('As-Filed Schedule 2H'!B63:D63=0,"",'As-Filed Schedule 2H'!B63:D63)</f>
        <v/>
      </c>
      <c r="C63" s="514"/>
      <c r="D63" s="514"/>
      <c r="F63" s="117">
        <f>'As-Filed Schedule 2H'!F63</f>
        <v>0</v>
      </c>
      <c r="G63" s="309">
        <f>SUMIFS(Adjustments!$G:$G,Adjustments!$H:$H,"2H",Adjustments!$I:$I,'Schedule 2H Adjustments'!$F$12,Adjustments!$J:$J,'Schedule 2H Adjustments'!$A63)</f>
        <v>0</v>
      </c>
      <c r="H63" s="305">
        <f t="shared" si="0"/>
        <v>0</v>
      </c>
      <c r="I63" s="68">
        <f>IFERROR(F63*'As-Filed Schedule 1'!$E$103,0)</f>
        <v>0</v>
      </c>
      <c r="J63" s="306">
        <f>IFERROR(H63*'Adjusted Schedule 1'!$E$104,0)</f>
        <v>0</v>
      </c>
      <c r="K63" s="68">
        <f t="shared" si="1"/>
        <v>0</v>
      </c>
      <c r="L63" s="306">
        <f t="shared" si="2"/>
        <v>0</v>
      </c>
      <c r="N63" s="117">
        <f>'As-Filed Schedule 2H'!J63</f>
        <v>0</v>
      </c>
      <c r="O63" s="309">
        <f>SUMIFS(Adjustments!$G:$G,Adjustments!$H:$H,"2H",Adjustments!$I:$I,'Schedule 2H Adjustments'!$N$12,Adjustments!$J:$J,'Schedule 2H Adjustments'!$A63)</f>
        <v>0</v>
      </c>
      <c r="P63" s="305">
        <f t="shared" si="3"/>
        <v>0</v>
      </c>
      <c r="Q63" s="68">
        <f>IFERROR(N63*'As-Filed Schedule 1'!$E$103,0)</f>
        <v>0</v>
      </c>
      <c r="R63" s="68">
        <f>IFERROR(P63*'Adjusted Schedule 1'!$E$104,0)</f>
        <v>0</v>
      </c>
      <c r="S63" s="68">
        <f t="shared" si="4"/>
        <v>0</v>
      </c>
      <c r="T63" s="306">
        <f t="shared" si="5"/>
        <v>0</v>
      </c>
      <c r="V63" s="119">
        <f>'As-Filed Schedule 2H'!N63</f>
        <v>0</v>
      </c>
      <c r="W63" s="309">
        <f>SUMIFS(Adjustments!$G:$G,Adjustments!$H:$H,"2H",Adjustments!$I:$I,'Schedule 2H Adjustments'!$V$12,Adjustments!$J:$J,'Schedule 2H Adjustments'!$A63)</f>
        <v>0</v>
      </c>
      <c r="X63" s="305">
        <f t="shared" si="6"/>
        <v>0</v>
      </c>
      <c r="Y63" s="119">
        <f>'As-Filed Schedule 2H'!O63</f>
        <v>0</v>
      </c>
      <c r="Z63" s="309">
        <f>SUMIFS(Adjustments!$G:$G,Adjustments!$H:$H,"2H",Adjustments!$I:$I,'Schedule 2H Adjustments'!$Y$12,Adjustments!$J:$J,'Schedule 2H Adjustments'!$A63)</f>
        <v>0</v>
      </c>
      <c r="AA63" s="305">
        <f t="shared" si="7"/>
        <v>0</v>
      </c>
    </row>
    <row r="64" spans="1:27" x14ac:dyDescent="0.35">
      <c r="A64" s="24">
        <v>50</v>
      </c>
      <c r="B64" s="514" t="str">
        <f>IF('As-Filed Schedule 2H'!B64:D64=0,"",'As-Filed Schedule 2H'!B64:D64)</f>
        <v/>
      </c>
      <c r="C64" s="514"/>
      <c r="D64" s="514"/>
      <c r="F64" s="117">
        <f>'As-Filed Schedule 2H'!F64</f>
        <v>0</v>
      </c>
      <c r="G64" s="309">
        <f>SUMIFS(Adjustments!$G:$G,Adjustments!$H:$H,"2H",Adjustments!$I:$I,'Schedule 2H Adjustments'!$F$12,Adjustments!$J:$J,'Schedule 2H Adjustments'!$A64)</f>
        <v>0</v>
      </c>
      <c r="H64" s="305">
        <f t="shared" si="0"/>
        <v>0</v>
      </c>
      <c r="I64" s="68">
        <f>IFERROR(F64*'As-Filed Schedule 1'!$E$103,0)</f>
        <v>0</v>
      </c>
      <c r="J64" s="306">
        <f>IFERROR(H64*'Adjusted Schedule 1'!$E$104,0)</f>
        <v>0</v>
      </c>
      <c r="K64" s="68">
        <f t="shared" si="1"/>
        <v>0</v>
      </c>
      <c r="L64" s="306">
        <f t="shared" si="2"/>
        <v>0</v>
      </c>
      <c r="N64" s="117">
        <f>'As-Filed Schedule 2H'!J64</f>
        <v>0</v>
      </c>
      <c r="O64" s="309">
        <f>SUMIFS(Adjustments!$G:$G,Adjustments!$H:$H,"2H",Adjustments!$I:$I,'Schedule 2H Adjustments'!$N$12,Adjustments!$J:$J,'Schedule 2H Adjustments'!$A64)</f>
        <v>0</v>
      </c>
      <c r="P64" s="305">
        <f t="shared" si="3"/>
        <v>0</v>
      </c>
      <c r="Q64" s="68">
        <f>IFERROR(N64*'As-Filed Schedule 1'!$E$103,0)</f>
        <v>0</v>
      </c>
      <c r="R64" s="68">
        <f>IFERROR(P64*'Adjusted Schedule 1'!$E$104,0)</f>
        <v>0</v>
      </c>
      <c r="S64" s="68">
        <f t="shared" si="4"/>
        <v>0</v>
      </c>
      <c r="T64" s="306">
        <f t="shared" si="5"/>
        <v>0</v>
      </c>
      <c r="V64" s="119">
        <f>'As-Filed Schedule 2H'!N64</f>
        <v>0</v>
      </c>
      <c r="W64" s="309">
        <f>SUMIFS(Adjustments!$G:$G,Adjustments!$H:$H,"2H",Adjustments!$I:$I,'Schedule 2H Adjustments'!$V$12,Adjustments!$J:$J,'Schedule 2H Adjustments'!$A64)</f>
        <v>0</v>
      </c>
      <c r="X64" s="305">
        <f t="shared" si="6"/>
        <v>0</v>
      </c>
      <c r="Y64" s="119">
        <f>'As-Filed Schedule 2H'!O64</f>
        <v>0</v>
      </c>
      <c r="Z64" s="309">
        <f>SUMIFS(Adjustments!$G:$G,Adjustments!$H:$H,"2H",Adjustments!$I:$I,'Schedule 2H Adjustments'!$Y$12,Adjustments!$J:$J,'Schedule 2H Adjustments'!$A64)</f>
        <v>0</v>
      </c>
      <c r="AA64" s="305">
        <f t="shared" si="7"/>
        <v>0</v>
      </c>
    </row>
    <row r="65" spans="1:27" x14ac:dyDescent="0.35">
      <c r="A65" s="24">
        <v>51</v>
      </c>
      <c r="B65" s="514" t="str">
        <f>IF('As-Filed Schedule 2H'!B65:D65=0,"",'As-Filed Schedule 2H'!B65:D65)</f>
        <v/>
      </c>
      <c r="C65" s="514"/>
      <c r="D65" s="514"/>
      <c r="F65" s="117">
        <f>'As-Filed Schedule 2H'!F65</f>
        <v>0</v>
      </c>
      <c r="G65" s="309">
        <f>SUMIFS(Adjustments!$G:$G,Adjustments!$H:$H,"2H",Adjustments!$I:$I,'Schedule 2H Adjustments'!$F$12,Adjustments!$J:$J,'Schedule 2H Adjustments'!$A65)</f>
        <v>0</v>
      </c>
      <c r="H65" s="305">
        <f t="shared" si="0"/>
        <v>0</v>
      </c>
      <c r="I65" s="68">
        <f>IFERROR(F65*'As-Filed Schedule 1'!$E$103,0)</f>
        <v>0</v>
      </c>
      <c r="J65" s="306">
        <f>IFERROR(H65*'Adjusted Schedule 1'!$E$104,0)</f>
        <v>0</v>
      </c>
      <c r="K65" s="68">
        <f t="shared" si="1"/>
        <v>0</v>
      </c>
      <c r="L65" s="306">
        <f t="shared" si="2"/>
        <v>0</v>
      </c>
      <c r="N65" s="117">
        <f>'As-Filed Schedule 2H'!J65</f>
        <v>0</v>
      </c>
      <c r="O65" s="309">
        <f>SUMIFS(Adjustments!$G:$G,Adjustments!$H:$H,"2H",Adjustments!$I:$I,'Schedule 2H Adjustments'!$N$12,Adjustments!$J:$J,'Schedule 2H Adjustments'!$A65)</f>
        <v>0</v>
      </c>
      <c r="P65" s="305">
        <f t="shared" si="3"/>
        <v>0</v>
      </c>
      <c r="Q65" s="68">
        <f>IFERROR(N65*'As-Filed Schedule 1'!$E$103,0)</f>
        <v>0</v>
      </c>
      <c r="R65" s="68">
        <f>IFERROR(P65*'Adjusted Schedule 1'!$E$104,0)</f>
        <v>0</v>
      </c>
      <c r="S65" s="68">
        <f t="shared" si="4"/>
        <v>0</v>
      </c>
      <c r="T65" s="306">
        <f t="shared" si="5"/>
        <v>0</v>
      </c>
      <c r="V65" s="119">
        <f>'As-Filed Schedule 2H'!N65</f>
        <v>0</v>
      </c>
      <c r="W65" s="309">
        <f>SUMIFS(Adjustments!$G:$G,Adjustments!$H:$H,"2H",Adjustments!$I:$I,'Schedule 2H Adjustments'!$V$12,Adjustments!$J:$J,'Schedule 2H Adjustments'!$A65)</f>
        <v>0</v>
      </c>
      <c r="X65" s="305">
        <f t="shared" si="6"/>
        <v>0</v>
      </c>
      <c r="Y65" s="119">
        <f>'As-Filed Schedule 2H'!O65</f>
        <v>0</v>
      </c>
      <c r="Z65" s="309">
        <f>SUMIFS(Adjustments!$G:$G,Adjustments!$H:$H,"2H",Adjustments!$I:$I,'Schedule 2H Adjustments'!$Y$12,Adjustments!$J:$J,'Schedule 2H Adjustments'!$A65)</f>
        <v>0</v>
      </c>
      <c r="AA65" s="305">
        <f t="shared" si="7"/>
        <v>0</v>
      </c>
    </row>
    <row r="66" spans="1:27" x14ac:dyDescent="0.35">
      <c r="A66" s="24">
        <v>52</v>
      </c>
      <c r="B66" s="514" t="str">
        <f>IF('As-Filed Schedule 2H'!B66:D66=0,"",'As-Filed Schedule 2H'!B66:D66)</f>
        <v/>
      </c>
      <c r="C66" s="514"/>
      <c r="D66" s="514"/>
      <c r="F66" s="117">
        <f>'As-Filed Schedule 2H'!F66</f>
        <v>0</v>
      </c>
      <c r="G66" s="309">
        <f>SUMIFS(Adjustments!$G:$G,Adjustments!$H:$H,"2H",Adjustments!$I:$I,'Schedule 2H Adjustments'!$F$12,Adjustments!$J:$J,'Schedule 2H Adjustments'!$A66)</f>
        <v>0</v>
      </c>
      <c r="H66" s="305">
        <f t="shared" si="0"/>
        <v>0</v>
      </c>
      <c r="I66" s="68">
        <f>IFERROR(F66*'As-Filed Schedule 1'!$E$103,0)</f>
        <v>0</v>
      </c>
      <c r="J66" s="306">
        <f>IFERROR(H66*'Adjusted Schedule 1'!$E$104,0)</f>
        <v>0</v>
      </c>
      <c r="K66" s="68">
        <f t="shared" si="1"/>
        <v>0</v>
      </c>
      <c r="L66" s="306">
        <f t="shared" si="2"/>
        <v>0</v>
      </c>
      <c r="N66" s="117">
        <f>'As-Filed Schedule 2H'!J66</f>
        <v>0</v>
      </c>
      <c r="O66" s="309">
        <f>SUMIFS(Adjustments!$G:$G,Adjustments!$H:$H,"2H",Adjustments!$I:$I,'Schedule 2H Adjustments'!$N$12,Adjustments!$J:$J,'Schedule 2H Adjustments'!$A66)</f>
        <v>0</v>
      </c>
      <c r="P66" s="305">
        <f t="shared" si="3"/>
        <v>0</v>
      </c>
      <c r="Q66" s="68">
        <f>IFERROR(N66*'As-Filed Schedule 1'!$E$103,0)</f>
        <v>0</v>
      </c>
      <c r="R66" s="68">
        <f>IFERROR(P66*'Adjusted Schedule 1'!$E$104,0)</f>
        <v>0</v>
      </c>
      <c r="S66" s="68">
        <f t="shared" si="4"/>
        <v>0</v>
      </c>
      <c r="T66" s="306">
        <f t="shared" si="5"/>
        <v>0</v>
      </c>
      <c r="V66" s="119">
        <f>'As-Filed Schedule 2H'!N66</f>
        <v>0</v>
      </c>
      <c r="W66" s="309">
        <f>SUMIFS(Adjustments!$G:$G,Adjustments!$H:$H,"2H",Adjustments!$I:$I,'Schedule 2H Adjustments'!$V$12,Adjustments!$J:$J,'Schedule 2H Adjustments'!$A66)</f>
        <v>0</v>
      </c>
      <c r="X66" s="305">
        <f t="shared" si="6"/>
        <v>0</v>
      </c>
      <c r="Y66" s="119">
        <f>'As-Filed Schedule 2H'!O66</f>
        <v>0</v>
      </c>
      <c r="Z66" s="309">
        <f>SUMIFS(Adjustments!$G:$G,Adjustments!$H:$H,"2H",Adjustments!$I:$I,'Schedule 2H Adjustments'!$Y$12,Adjustments!$J:$J,'Schedule 2H Adjustments'!$A66)</f>
        <v>0</v>
      </c>
      <c r="AA66" s="305">
        <f t="shared" si="7"/>
        <v>0</v>
      </c>
    </row>
    <row r="67" spans="1:27" x14ac:dyDescent="0.35">
      <c r="A67" s="24">
        <v>53</v>
      </c>
      <c r="B67" s="514" t="str">
        <f>IF('As-Filed Schedule 2H'!B67:D67=0,"",'As-Filed Schedule 2H'!B67:D67)</f>
        <v/>
      </c>
      <c r="C67" s="514"/>
      <c r="D67" s="514"/>
      <c r="F67" s="117">
        <f>'As-Filed Schedule 2H'!F67</f>
        <v>0</v>
      </c>
      <c r="G67" s="309">
        <f>SUMIFS(Adjustments!$G:$G,Adjustments!$H:$H,"2H",Adjustments!$I:$I,'Schedule 2H Adjustments'!$F$12,Adjustments!$J:$J,'Schedule 2H Adjustments'!$A67)</f>
        <v>0</v>
      </c>
      <c r="H67" s="305">
        <f t="shared" si="0"/>
        <v>0</v>
      </c>
      <c r="I67" s="68">
        <f>IFERROR(F67*'As-Filed Schedule 1'!$E$103,0)</f>
        <v>0</v>
      </c>
      <c r="J67" s="306">
        <f>IFERROR(H67*'Adjusted Schedule 1'!$E$104,0)</f>
        <v>0</v>
      </c>
      <c r="K67" s="68">
        <f t="shared" si="1"/>
        <v>0</v>
      </c>
      <c r="L67" s="306">
        <f t="shared" si="2"/>
        <v>0</v>
      </c>
      <c r="N67" s="117">
        <f>'As-Filed Schedule 2H'!J67</f>
        <v>0</v>
      </c>
      <c r="O67" s="309">
        <f>SUMIFS(Adjustments!$G:$G,Adjustments!$H:$H,"2H",Adjustments!$I:$I,'Schedule 2H Adjustments'!$N$12,Adjustments!$J:$J,'Schedule 2H Adjustments'!$A67)</f>
        <v>0</v>
      </c>
      <c r="P67" s="305">
        <f t="shared" si="3"/>
        <v>0</v>
      </c>
      <c r="Q67" s="68">
        <f>IFERROR(N67*'As-Filed Schedule 1'!$E$103,0)</f>
        <v>0</v>
      </c>
      <c r="R67" s="68">
        <f>IFERROR(P67*'Adjusted Schedule 1'!$E$104,0)</f>
        <v>0</v>
      </c>
      <c r="S67" s="68">
        <f t="shared" si="4"/>
        <v>0</v>
      </c>
      <c r="T67" s="306">
        <f t="shared" si="5"/>
        <v>0</v>
      </c>
      <c r="V67" s="119">
        <f>'As-Filed Schedule 2H'!N67</f>
        <v>0</v>
      </c>
      <c r="W67" s="309">
        <f>SUMIFS(Adjustments!$G:$G,Adjustments!$H:$H,"2H",Adjustments!$I:$I,'Schedule 2H Adjustments'!$V$12,Adjustments!$J:$J,'Schedule 2H Adjustments'!$A67)</f>
        <v>0</v>
      </c>
      <c r="X67" s="305">
        <f t="shared" si="6"/>
        <v>0</v>
      </c>
      <c r="Y67" s="119">
        <f>'As-Filed Schedule 2H'!O67</f>
        <v>0</v>
      </c>
      <c r="Z67" s="309">
        <f>SUMIFS(Adjustments!$G:$G,Adjustments!$H:$H,"2H",Adjustments!$I:$I,'Schedule 2H Adjustments'!$Y$12,Adjustments!$J:$J,'Schedule 2H Adjustments'!$A67)</f>
        <v>0</v>
      </c>
      <c r="AA67" s="305">
        <f t="shared" si="7"/>
        <v>0</v>
      </c>
    </row>
    <row r="68" spans="1:27" x14ac:dyDescent="0.35">
      <c r="A68" s="24">
        <v>54</v>
      </c>
      <c r="B68" s="514" t="str">
        <f>IF('As-Filed Schedule 2H'!B68:D68=0,"",'As-Filed Schedule 2H'!B68:D68)</f>
        <v/>
      </c>
      <c r="C68" s="514"/>
      <c r="D68" s="514"/>
      <c r="F68" s="117">
        <f>'As-Filed Schedule 2H'!F68</f>
        <v>0</v>
      </c>
      <c r="G68" s="309">
        <f>SUMIFS(Adjustments!$G:$G,Adjustments!$H:$H,"2H",Adjustments!$I:$I,'Schedule 2H Adjustments'!$F$12,Adjustments!$J:$J,'Schedule 2H Adjustments'!$A68)</f>
        <v>0</v>
      </c>
      <c r="H68" s="305">
        <f t="shared" si="0"/>
        <v>0</v>
      </c>
      <c r="I68" s="68">
        <f>IFERROR(F68*'As-Filed Schedule 1'!$E$103,0)</f>
        <v>0</v>
      </c>
      <c r="J68" s="306">
        <f>IFERROR(H68*'Adjusted Schedule 1'!$E$104,0)</f>
        <v>0</v>
      </c>
      <c r="K68" s="68">
        <f t="shared" si="1"/>
        <v>0</v>
      </c>
      <c r="L68" s="306">
        <f t="shared" si="2"/>
        <v>0</v>
      </c>
      <c r="N68" s="117">
        <f>'As-Filed Schedule 2H'!J68</f>
        <v>0</v>
      </c>
      <c r="O68" s="309">
        <f>SUMIFS(Adjustments!$G:$G,Adjustments!$H:$H,"2H",Adjustments!$I:$I,'Schedule 2H Adjustments'!$N$12,Adjustments!$J:$J,'Schedule 2H Adjustments'!$A68)</f>
        <v>0</v>
      </c>
      <c r="P68" s="305">
        <f t="shared" si="3"/>
        <v>0</v>
      </c>
      <c r="Q68" s="68">
        <f>IFERROR(N68*'As-Filed Schedule 1'!$E$103,0)</f>
        <v>0</v>
      </c>
      <c r="R68" s="68">
        <f>IFERROR(P68*'Adjusted Schedule 1'!$E$104,0)</f>
        <v>0</v>
      </c>
      <c r="S68" s="68">
        <f t="shared" si="4"/>
        <v>0</v>
      </c>
      <c r="T68" s="306">
        <f t="shared" si="5"/>
        <v>0</v>
      </c>
      <c r="V68" s="119">
        <f>'As-Filed Schedule 2H'!N68</f>
        <v>0</v>
      </c>
      <c r="W68" s="309">
        <f>SUMIFS(Adjustments!$G:$G,Adjustments!$H:$H,"2H",Adjustments!$I:$I,'Schedule 2H Adjustments'!$V$12,Adjustments!$J:$J,'Schedule 2H Adjustments'!$A68)</f>
        <v>0</v>
      </c>
      <c r="X68" s="305">
        <f t="shared" si="6"/>
        <v>0</v>
      </c>
      <c r="Y68" s="119">
        <f>'As-Filed Schedule 2H'!O68</f>
        <v>0</v>
      </c>
      <c r="Z68" s="309">
        <f>SUMIFS(Adjustments!$G:$G,Adjustments!$H:$H,"2H",Adjustments!$I:$I,'Schedule 2H Adjustments'!$Y$12,Adjustments!$J:$J,'Schedule 2H Adjustments'!$A68)</f>
        <v>0</v>
      </c>
      <c r="AA68" s="305">
        <f t="shared" si="7"/>
        <v>0</v>
      </c>
    </row>
    <row r="69" spans="1:27" x14ac:dyDescent="0.35">
      <c r="A69" s="24">
        <v>55</v>
      </c>
      <c r="B69" s="514" t="str">
        <f>IF('As-Filed Schedule 2H'!B69:D69=0,"",'As-Filed Schedule 2H'!B69:D69)</f>
        <v/>
      </c>
      <c r="C69" s="514"/>
      <c r="D69" s="514"/>
      <c r="F69" s="117">
        <f>'As-Filed Schedule 2H'!F69</f>
        <v>0</v>
      </c>
      <c r="G69" s="309">
        <f>SUMIFS(Adjustments!$G:$G,Adjustments!$H:$H,"2H",Adjustments!$I:$I,'Schedule 2H Adjustments'!$F$12,Adjustments!$J:$J,'Schedule 2H Adjustments'!$A69)</f>
        <v>0</v>
      </c>
      <c r="H69" s="305">
        <f t="shared" si="0"/>
        <v>0</v>
      </c>
      <c r="I69" s="68">
        <f>IFERROR(F69*'As-Filed Schedule 1'!$E$103,0)</f>
        <v>0</v>
      </c>
      <c r="J69" s="306">
        <f>IFERROR(H69*'Adjusted Schedule 1'!$E$104,0)</f>
        <v>0</v>
      </c>
      <c r="K69" s="68">
        <f t="shared" si="1"/>
        <v>0</v>
      </c>
      <c r="L69" s="306">
        <f t="shared" si="2"/>
        <v>0</v>
      </c>
      <c r="N69" s="117">
        <f>'As-Filed Schedule 2H'!J69</f>
        <v>0</v>
      </c>
      <c r="O69" s="309">
        <f>SUMIFS(Adjustments!$G:$G,Adjustments!$H:$H,"2H",Adjustments!$I:$I,'Schedule 2H Adjustments'!$N$12,Adjustments!$J:$J,'Schedule 2H Adjustments'!$A69)</f>
        <v>0</v>
      </c>
      <c r="P69" s="305">
        <f t="shared" si="3"/>
        <v>0</v>
      </c>
      <c r="Q69" s="68">
        <f>IFERROR(N69*'As-Filed Schedule 1'!$E$103,0)</f>
        <v>0</v>
      </c>
      <c r="R69" s="68">
        <f>IFERROR(P69*'Adjusted Schedule 1'!$E$104,0)</f>
        <v>0</v>
      </c>
      <c r="S69" s="68">
        <f t="shared" si="4"/>
        <v>0</v>
      </c>
      <c r="T69" s="306">
        <f t="shared" si="5"/>
        <v>0</v>
      </c>
      <c r="V69" s="119">
        <f>'As-Filed Schedule 2H'!N69</f>
        <v>0</v>
      </c>
      <c r="W69" s="309">
        <f>SUMIFS(Adjustments!$G:$G,Adjustments!$H:$H,"2H",Adjustments!$I:$I,'Schedule 2H Adjustments'!$V$12,Adjustments!$J:$J,'Schedule 2H Adjustments'!$A69)</f>
        <v>0</v>
      </c>
      <c r="X69" s="305">
        <f t="shared" si="6"/>
        <v>0</v>
      </c>
      <c r="Y69" s="119">
        <f>'As-Filed Schedule 2H'!O69</f>
        <v>0</v>
      </c>
      <c r="Z69" s="309">
        <f>SUMIFS(Adjustments!$G:$G,Adjustments!$H:$H,"2H",Adjustments!$I:$I,'Schedule 2H Adjustments'!$Y$12,Adjustments!$J:$J,'Schedule 2H Adjustments'!$A69)</f>
        <v>0</v>
      </c>
      <c r="AA69" s="305">
        <f t="shared" si="7"/>
        <v>0</v>
      </c>
    </row>
    <row r="70" spans="1:27" x14ac:dyDescent="0.35">
      <c r="A70" s="24">
        <v>56</v>
      </c>
      <c r="B70" s="514" t="str">
        <f>IF('As-Filed Schedule 2H'!B70:D70=0,"",'As-Filed Schedule 2H'!B70:D70)</f>
        <v/>
      </c>
      <c r="C70" s="514"/>
      <c r="D70" s="514"/>
      <c r="F70" s="117">
        <f>'As-Filed Schedule 2H'!F70</f>
        <v>0</v>
      </c>
      <c r="G70" s="309">
        <f>SUMIFS(Adjustments!$G:$G,Adjustments!$H:$H,"2H",Adjustments!$I:$I,'Schedule 2H Adjustments'!$F$12,Adjustments!$J:$J,'Schedule 2H Adjustments'!$A70)</f>
        <v>0</v>
      </c>
      <c r="H70" s="305">
        <f t="shared" si="0"/>
        <v>0</v>
      </c>
      <c r="I70" s="68">
        <f>IFERROR(F70*'As-Filed Schedule 1'!$E$103,0)</f>
        <v>0</v>
      </c>
      <c r="J70" s="306">
        <f>IFERROR(H70*'Adjusted Schedule 1'!$E$104,0)</f>
        <v>0</v>
      </c>
      <c r="K70" s="68">
        <f t="shared" si="1"/>
        <v>0</v>
      </c>
      <c r="L70" s="306">
        <f t="shared" si="2"/>
        <v>0</v>
      </c>
      <c r="N70" s="117">
        <f>'As-Filed Schedule 2H'!J70</f>
        <v>0</v>
      </c>
      <c r="O70" s="309">
        <f>SUMIFS(Adjustments!$G:$G,Adjustments!$H:$H,"2H",Adjustments!$I:$I,'Schedule 2H Adjustments'!$N$12,Adjustments!$J:$J,'Schedule 2H Adjustments'!$A70)</f>
        <v>0</v>
      </c>
      <c r="P70" s="305">
        <f t="shared" si="3"/>
        <v>0</v>
      </c>
      <c r="Q70" s="68">
        <f>IFERROR(N70*'As-Filed Schedule 1'!$E$103,0)</f>
        <v>0</v>
      </c>
      <c r="R70" s="68">
        <f>IFERROR(P70*'Adjusted Schedule 1'!$E$104,0)</f>
        <v>0</v>
      </c>
      <c r="S70" s="68">
        <f t="shared" si="4"/>
        <v>0</v>
      </c>
      <c r="T70" s="306">
        <f t="shared" si="5"/>
        <v>0</v>
      </c>
      <c r="V70" s="119">
        <f>'As-Filed Schedule 2H'!N70</f>
        <v>0</v>
      </c>
      <c r="W70" s="309">
        <f>SUMIFS(Adjustments!$G:$G,Adjustments!$H:$H,"2H",Adjustments!$I:$I,'Schedule 2H Adjustments'!$V$12,Adjustments!$J:$J,'Schedule 2H Adjustments'!$A70)</f>
        <v>0</v>
      </c>
      <c r="X70" s="305">
        <f t="shared" si="6"/>
        <v>0</v>
      </c>
      <c r="Y70" s="119">
        <f>'As-Filed Schedule 2H'!O70</f>
        <v>0</v>
      </c>
      <c r="Z70" s="309">
        <f>SUMIFS(Adjustments!$G:$G,Adjustments!$H:$H,"2H",Adjustments!$I:$I,'Schedule 2H Adjustments'!$Y$12,Adjustments!$J:$J,'Schedule 2H Adjustments'!$A70)</f>
        <v>0</v>
      </c>
      <c r="AA70" s="305">
        <f t="shared" si="7"/>
        <v>0</v>
      </c>
    </row>
    <row r="71" spans="1:27" x14ac:dyDescent="0.35">
      <c r="A71" s="24">
        <v>57</v>
      </c>
      <c r="B71" s="514" t="str">
        <f>IF('As-Filed Schedule 2H'!B71:D71=0,"",'As-Filed Schedule 2H'!B71:D71)</f>
        <v/>
      </c>
      <c r="C71" s="514"/>
      <c r="D71" s="514"/>
      <c r="F71" s="117">
        <f>'As-Filed Schedule 2H'!F71</f>
        <v>0</v>
      </c>
      <c r="G71" s="309">
        <f>SUMIFS(Adjustments!$G:$G,Adjustments!$H:$H,"2H",Adjustments!$I:$I,'Schedule 2H Adjustments'!$F$12,Adjustments!$J:$J,'Schedule 2H Adjustments'!$A71)</f>
        <v>0</v>
      </c>
      <c r="H71" s="305">
        <f t="shared" si="0"/>
        <v>0</v>
      </c>
      <c r="I71" s="68">
        <f>IFERROR(F71*'As-Filed Schedule 1'!$E$103,0)</f>
        <v>0</v>
      </c>
      <c r="J71" s="306">
        <f>IFERROR(H71*'Adjusted Schedule 1'!$E$104,0)</f>
        <v>0</v>
      </c>
      <c r="K71" s="68">
        <f t="shared" si="1"/>
        <v>0</v>
      </c>
      <c r="L71" s="306">
        <f t="shared" si="2"/>
        <v>0</v>
      </c>
      <c r="N71" s="117">
        <f>'As-Filed Schedule 2H'!J71</f>
        <v>0</v>
      </c>
      <c r="O71" s="309">
        <f>SUMIFS(Adjustments!$G:$G,Adjustments!$H:$H,"2H",Adjustments!$I:$I,'Schedule 2H Adjustments'!$N$12,Adjustments!$J:$J,'Schedule 2H Adjustments'!$A71)</f>
        <v>0</v>
      </c>
      <c r="P71" s="305">
        <f t="shared" si="3"/>
        <v>0</v>
      </c>
      <c r="Q71" s="68">
        <f>IFERROR(N71*'As-Filed Schedule 1'!$E$103,0)</f>
        <v>0</v>
      </c>
      <c r="R71" s="68">
        <f>IFERROR(P71*'Adjusted Schedule 1'!$E$104,0)</f>
        <v>0</v>
      </c>
      <c r="S71" s="68">
        <f t="shared" si="4"/>
        <v>0</v>
      </c>
      <c r="T71" s="306">
        <f t="shared" si="5"/>
        <v>0</v>
      </c>
      <c r="V71" s="119">
        <f>'As-Filed Schedule 2H'!N71</f>
        <v>0</v>
      </c>
      <c r="W71" s="309">
        <f>SUMIFS(Adjustments!$G:$G,Adjustments!$H:$H,"2H",Adjustments!$I:$I,'Schedule 2H Adjustments'!$V$12,Adjustments!$J:$J,'Schedule 2H Adjustments'!$A71)</f>
        <v>0</v>
      </c>
      <c r="X71" s="305">
        <f t="shared" si="6"/>
        <v>0</v>
      </c>
      <c r="Y71" s="119">
        <f>'As-Filed Schedule 2H'!O71</f>
        <v>0</v>
      </c>
      <c r="Z71" s="309">
        <f>SUMIFS(Adjustments!$G:$G,Adjustments!$H:$H,"2H",Adjustments!$I:$I,'Schedule 2H Adjustments'!$Y$12,Adjustments!$J:$J,'Schedule 2H Adjustments'!$A71)</f>
        <v>0</v>
      </c>
      <c r="AA71" s="305">
        <f t="shared" si="7"/>
        <v>0</v>
      </c>
    </row>
    <row r="72" spans="1:27" x14ac:dyDescent="0.35">
      <c r="A72" s="24">
        <v>58</v>
      </c>
      <c r="B72" s="514" t="str">
        <f>IF('As-Filed Schedule 2H'!B72:D72=0,"",'As-Filed Schedule 2H'!B72:D72)</f>
        <v/>
      </c>
      <c r="C72" s="514"/>
      <c r="D72" s="514"/>
      <c r="F72" s="117">
        <f>'As-Filed Schedule 2H'!F72</f>
        <v>0</v>
      </c>
      <c r="G72" s="309">
        <f>SUMIFS(Adjustments!$G:$G,Adjustments!$H:$H,"2H",Adjustments!$I:$I,'Schedule 2H Adjustments'!$F$12,Adjustments!$J:$J,'Schedule 2H Adjustments'!$A72)</f>
        <v>0</v>
      </c>
      <c r="H72" s="305">
        <f t="shared" si="0"/>
        <v>0</v>
      </c>
      <c r="I72" s="68">
        <f>IFERROR(F72*'As-Filed Schedule 1'!$E$103,0)</f>
        <v>0</v>
      </c>
      <c r="J72" s="306">
        <f>IFERROR(H72*'Adjusted Schedule 1'!$E$104,0)</f>
        <v>0</v>
      </c>
      <c r="K72" s="68">
        <f t="shared" si="1"/>
        <v>0</v>
      </c>
      <c r="L72" s="306">
        <f t="shared" si="2"/>
        <v>0</v>
      </c>
      <c r="N72" s="117">
        <f>'As-Filed Schedule 2H'!J72</f>
        <v>0</v>
      </c>
      <c r="O72" s="309">
        <f>SUMIFS(Adjustments!$G:$G,Adjustments!$H:$H,"2H",Adjustments!$I:$I,'Schedule 2H Adjustments'!$N$12,Adjustments!$J:$J,'Schedule 2H Adjustments'!$A72)</f>
        <v>0</v>
      </c>
      <c r="P72" s="305">
        <f t="shared" si="3"/>
        <v>0</v>
      </c>
      <c r="Q72" s="68">
        <f>IFERROR(N72*'As-Filed Schedule 1'!$E$103,0)</f>
        <v>0</v>
      </c>
      <c r="R72" s="68">
        <f>IFERROR(P72*'Adjusted Schedule 1'!$E$104,0)</f>
        <v>0</v>
      </c>
      <c r="S72" s="68">
        <f t="shared" si="4"/>
        <v>0</v>
      </c>
      <c r="T72" s="306">
        <f t="shared" si="5"/>
        <v>0</v>
      </c>
      <c r="V72" s="119">
        <f>'As-Filed Schedule 2H'!N72</f>
        <v>0</v>
      </c>
      <c r="W72" s="309">
        <f>SUMIFS(Adjustments!$G:$G,Adjustments!$H:$H,"2H",Adjustments!$I:$I,'Schedule 2H Adjustments'!$V$12,Adjustments!$J:$J,'Schedule 2H Adjustments'!$A72)</f>
        <v>0</v>
      </c>
      <c r="X72" s="305">
        <f t="shared" si="6"/>
        <v>0</v>
      </c>
      <c r="Y72" s="119">
        <f>'As-Filed Schedule 2H'!O72</f>
        <v>0</v>
      </c>
      <c r="Z72" s="309">
        <f>SUMIFS(Adjustments!$G:$G,Adjustments!$H:$H,"2H",Adjustments!$I:$I,'Schedule 2H Adjustments'!$Y$12,Adjustments!$J:$J,'Schedule 2H Adjustments'!$A72)</f>
        <v>0</v>
      </c>
      <c r="AA72" s="305">
        <f t="shared" si="7"/>
        <v>0</v>
      </c>
    </row>
    <row r="73" spans="1:27" x14ac:dyDescent="0.35">
      <c r="A73" s="24">
        <v>59</v>
      </c>
      <c r="F73" s="18">
        <f>SUM(F15:F72)</f>
        <v>0</v>
      </c>
      <c r="G73" s="18">
        <f>SUM(G15:G72)</f>
        <v>0</v>
      </c>
      <c r="H73" s="18">
        <f t="shared" ref="H73:K73" si="8">SUM(H15:H72)</f>
        <v>0</v>
      </c>
      <c r="I73" s="18">
        <f t="shared" si="8"/>
        <v>0</v>
      </c>
      <c r="J73" s="306">
        <f>IFERROR(H73*'Adjusted Schedule 1'!$E$104,0)</f>
        <v>0</v>
      </c>
      <c r="K73" s="18">
        <f t="shared" si="8"/>
        <v>0</v>
      </c>
      <c r="L73" s="307">
        <f t="shared" ref="L73" si="9">SUM(L15:L72)</f>
        <v>0</v>
      </c>
      <c r="N73" s="18">
        <f>SUM(N15:N72)</f>
        <v>0</v>
      </c>
      <c r="O73" s="18">
        <f t="shared" ref="O73:S73" si="10">SUM(O15:O72)</f>
        <v>0</v>
      </c>
      <c r="P73" s="18">
        <f t="shared" si="10"/>
        <v>0</v>
      </c>
      <c r="Q73" s="18">
        <f t="shared" si="10"/>
        <v>0</v>
      </c>
      <c r="R73" s="18">
        <f t="shared" si="10"/>
        <v>0</v>
      </c>
      <c r="S73" s="18">
        <f t="shared" si="10"/>
        <v>0</v>
      </c>
      <c r="T73" s="307">
        <f>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814</v>
      </c>
      <c r="F75" s="75">
        <f>K73+S73</f>
        <v>0</v>
      </c>
      <c r="G75"/>
      <c r="H75" s="75">
        <f>L73+T73</f>
        <v>0</v>
      </c>
      <c r="I75" s="74"/>
      <c r="J75" s="321"/>
      <c r="K75" s="74"/>
      <c r="L75" s="321"/>
      <c r="N75" s="74"/>
      <c r="O75" s="328"/>
      <c r="P75" s="321"/>
      <c r="Q75" s="74"/>
      <c r="R75" s="321"/>
      <c r="T75" s="323"/>
      <c r="W75" s="326"/>
      <c r="X75" s="323"/>
      <c r="Z75" s="326"/>
      <c r="AA75" s="323"/>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843</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822</v>
      </c>
      <c r="C8" s="1"/>
      <c r="F8" s="118" t="str">
        <f>'As-Filed Schedule 2I'!F8</f>
        <v>Yes/No</v>
      </c>
      <c r="G8" s="41" t="s">
        <v>259</v>
      </c>
    </row>
    <row r="10" spans="1:27" x14ac:dyDescent="0.35">
      <c r="A10" s="1" t="s">
        <v>254</v>
      </c>
      <c r="B10" s="1" t="s">
        <v>256</v>
      </c>
      <c r="C10" s="1"/>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ht="15" customHeight="1"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48"/>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2I'!B15:D15=0,"",'As-Filed Schedule 2I'!B15:D15)</f>
        <v/>
      </c>
      <c r="C15" s="514"/>
      <c r="D15" s="514"/>
      <c r="F15" s="117">
        <f>'As-Filed Schedule 2I'!F15</f>
        <v>0</v>
      </c>
      <c r="G15" s="309">
        <f>SUMIFS(Adjustments!$G:$G,Adjustments!$H:$H,"2I",Adjustments!$I:$I,'Schedule 2I Adjustments'!$F$12,Adjustments!$J:$J,'Schedule 2I Adjustments'!$A15)</f>
        <v>0</v>
      </c>
      <c r="H15" s="305">
        <f>SUM(F15:G15)</f>
        <v>0</v>
      </c>
      <c r="I15" s="68">
        <f>IFERROR(F15*'As-Filed Schedule 1'!$E$103,0)</f>
        <v>0</v>
      </c>
      <c r="J15" s="306">
        <f>IFERROR(H15*'Adjusted Schedule 1'!$E$104,0)</f>
        <v>0</v>
      </c>
      <c r="K15" s="68">
        <f>SUM(F15,I15)</f>
        <v>0</v>
      </c>
      <c r="L15" s="306">
        <f>SUM(H15,J15)</f>
        <v>0</v>
      </c>
      <c r="N15" s="117">
        <f>'As-Filed Schedule 2I'!J15</f>
        <v>0</v>
      </c>
      <c r="O15" s="309">
        <f>SUMIFS(Adjustments!$G:$G,Adjustments!$H:$H,"2I",Adjustments!$I:$I,'Schedule 2I Adjustments'!$N$12,Adjustments!$J:$J,'Schedule 2I Adjustments'!$A15)</f>
        <v>0</v>
      </c>
      <c r="P15" s="305">
        <f>SUM(N15:O15)</f>
        <v>0</v>
      </c>
      <c r="Q15" s="68">
        <f>IFERROR(N15*'As-Filed Schedule 1'!$E$103,0)</f>
        <v>0</v>
      </c>
      <c r="R15" s="68">
        <f>IFERROR(P15*'Adjusted Schedule 1'!$E$104,0)</f>
        <v>0</v>
      </c>
      <c r="S15" s="68">
        <f>SUM(N15,Q15)</f>
        <v>0</v>
      </c>
      <c r="T15" s="306">
        <f>SUM(P15,R15)</f>
        <v>0</v>
      </c>
      <c r="V15" s="119">
        <f>'As-Filed Schedule 2I'!N15</f>
        <v>0</v>
      </c>
      <c r="W15" s="309">
        <f>SUMIFS(Adjustments!$G:$G,Adjustments!$H:$H,"2I",Adjustments!$I:$I,'Schedule 2I Adjustments'!$V$12,Adjustments!$J:$J,'Schedule 2I Adjustments'!$A15)</f>
        <v>0</v>
      </c>
      <c r="X15" s="305">
        <f>SUM(V15:W15)</f>
        <v>0</v>
      </c>
      <c r="Y15" s="119">
        <f>'As-Filed Schedule 2I'!O15</f>
        <v>0</v>
      </c>
      <c r="Z15" s="309">
        <f>SUMIFS(Adjustments!$G:$G,Adjustments!$H:$H,"2I",Adjustments!$I:$I,'Schedule 2I Adjustments'!$Y$12,Adjustments!$J:$J,'Schedule 2I Adjustments'!$A15)</f>
        <v>0</v>
      </c>
      <c r="AA15" s="305">
        <f>SUM(Y15:Z15)</f>
        <v>0</v>
      </c>
    </row>
    <row r="16" spans="1:27" x14ac:dyDescent="0.35">
      <c r="A16" s="24">
        <v>2</v>
      </c>
      <c r="B16" s="514" t="str">
        <f>IF('As-Filed Schedule 2I'!B16:D16=0,"",'As-Filed Schedule 2I'!B16:D16)</f>
        <v/>
      </c>
      <c r="C16" s="514"/>
      <c r="D16" s="514"/>
      <c r="F16" s="117">
        <f>'As-Filed Schedule 2I'!F16</f>
        <v>0</v>
      </c>
      <c r="G16" s="309">
        <f>SUMIFS(Adjustments!$G:$G,Adjustments!$H:$H,"2I",Adjustments!$I:$I,'Schedule 2I Adjustments'!$F$12,Adjustments!$J:$J,'Schedule 2I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2I'!J16</f>
        <v>0</v>
      </c>
      <c r="O16" s="309">
        <f>SUMIFS(Adjustments!$G:$G,Adjustments!$H:$H,"2I",Adjustments!$I:$I,'Schedule 2I Adjustments'!$N$12,Adjustments!$J:$J,'Schedule 2I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2I'!N16</f>
        <v>0</v>
      </c>
      <c r="W16" s="309">
        <f>SUMIFS(Adjustments!$G:$G,Adjustments!$H:$H,"2I",Adjustments!$I:$I,'Schedule 2I Adjustments'!$V$12,Adjustments!$J:$J,'Schedule 2I Adjustments'!$A16)</f>
        <v>0</v>
      </c>
      <c r="X16" s="305">
        <f t="shared" ref="X16:X72" si="6">SUM(V16:W16)</f>
        <v>0</v>
      </c>
      <c r="Y16" s="119">
        <f>'As-Filed Schedule 2I'!O16</f>
        <v>0</v>
      </c>
      <c r="Z16" s="309">
        <f>SUMIFS(Adjustments!$G:$G,Adjustments!$H:$H,"2I",Adjustments!$I:$I,'Schedule 2I Adjustments'!$Y$12,Adjustments!$J:$J,'Schedule 2I Adjustments'!$A16)</f>
        <v>0</v>
      </c>
      <c r="AA16" s="305">
        <f t="shared" ref="AA16:AA72" si="7">SUM(Y16:Z16)</f>
        <v>0</v>
      </c>
    </row>
    <row r="17" spans="1:27" x14ac:dyDescent="0.35">
      <c r="A17" s="24">
        <v>3</v>
      </c>
      <c r="B17" s="514" t="str">
        <f>IF('As-Filed Schedule 2I'!B17:D17=0,"",'As-Filed Schedule 2I'!B17:D17)</f>
        <v/>
      </c>
      <c r="C17" s="514"/>
      <c r="D17" s="514"/>
      <c r="F17" s="117">
        <f>'As-Filed Schedule 2I'!F17</f>
        <v>0</v>
      </c>
      <c r="G17" s="309">
        <f>SUMIFS(Adjustments!$G:$G,Adjustments!$H:$H,"2I",Adjustments!$I:$I,'Schedule 2I Adjustments'!$F$12,Adjustments!$J:$J,'Schedule 2I Adjustments'!$A17)</f>
        <v>0</v>
      </c>
      <c r="H17" s="305">
        <f t="shared" si="0"/>
        <v>0</v>
      </c>
      <c r="I17" s="68">
        <f>IFERROR(F17*'As-Filed Schedule 1'!$E$103,0)</f>
        <v>0</v>
      </c>
      <c r="J17" s="306">
        <f>IFERROR(H17*'Adjusted Schedule 1'!$E$104,0)</f>
        <v>0</v>
      </c>
      <c r="K17" s="68">
        <f t="shared" si="1"/>
        <v>0</v>
      </c>
      <c r="L17" s="306">
        <f t="shared" si="2"/>
        <v>0</v>
      </c>
      <c r="N17" s="117">
        <f>'As-Filed Schedule 2I'!J17</f>
        <v>0</v>
      </c>
      <c r="O17" s="309">
        <f>SUMIFS(Adjustments!$G:$G,Adjustments!$H:$H,"2I",Adjustments!$I:$I,'Schedule 2I Adjustments'!$N$12,Adjustments!$J:$J,'Schedule 2I Adjustments'!$A17)</f>
        <v>0</v>
      </c>
      <c r="P17" s="305">
        <f t="shared" si="3"/>
        <v>0</v>
      </c>
      <c r="Q17" s="68">
        <f>IFERROR(N17*'As-Filed Schedule 1'!$E$103,0)</f>
        <v>0</v>
      </c>
      <c r="R17" s="68">
        <f>IFERROR(P17*'Adjusted Schedule 1'!$E$104,0)</f>
        <v>0</v>
      </c>
      <c r="S17" s="68">
        <f t="shared" si="4"/>
        <v>0</v>
      </c>
      <c r="T17" s="306">
        <f t="shared" si="5"/>
        <v>0</v>
      </c>
      <c r="V17" s="119">
        <f>'As-Filed Schedule 2I'!N17</f>
        <v>0</v>
      </c>
      <c r="W17" s="309">
        <f>SUMIFS(Adjustments!$G:$G,Adjustments!$H:$H,"2I",Adjustments!$I:$I,'Schedule 2I Adjustments'!$V$12,Adjustments!$J:$J,'Schedule 2I Adjustments'!$A17)</f>
        <v>0</v>
      </c>
      <c r="X17" s="305">
        <f t="shared" si="6"/>
        <v>0</v>
      </c>
      <c r="Y17" s="119">
        <f>'As-Filed Schedule 2I'!O17</f>
        <v>0</v>
      </c>
      <c r="Z17" s="309">
        <f>SUMIFS(Adjustments!$G:$G,Adjustments!$H:$H,"2I",Adjustments!$I:$I,'Schedule 2I Adjustments'!$Y$12,Adjustments!$J:$J,'Schedule 2I Adjustments'!$A17)</f>
        <v>0</v>
      </c>
      <c r="AA17" s="305">
        <f t="shared" si="7"/>
        <v>0</v>
      </c>
    </row>
    <row r="18" spans="1:27" x14ac:dyDescent="0.35">
      <c r="A18" s="24">
        <v>4</v>
      </c>
      <c r="B18" s="514" t="str">
        <f>IF('As-Filed Schedule 2I'!B18:D18=0,"",'As-Filed Schedule 2I'!B18:D18)</f>
        <v/>
      </c>
      <c r="C18" s="514"/>
      <c r="D18" s="514"/>
      <c r="F18" s="117">
        <f>'As-Filed Schedule 2I'!F18</f>
        <v>0</v>
      </c>
      <c r="G18" s="309">
        <f>SUMIFS(Adjustments!$G:$G,Adjustments!$H:$H,"2I",Adjustments!$I:$I,'Schedule 2I Adjustments'!$F$12,Adjustments!$J:$J,'Schedule 2I Adjustments'!$A18)</f>
        <v>0</v>
      </c>
      <c r="H18" s="305">
        <f t="shared" si="0"/>
        <v>0</v>
      </c>
      <c r="I18" s="68">
        <f>IFERROR(F18*'As-Filed Schedule 1'!$E$103,0)</f>
        <v>0</v>
      </c>
      <c r="J18" s="306">
        <f>IFERROR(H18*'Adjusted Schedule 1'!$E$104,0)</f>
        <v>0</v>
      </c>
      <c r="K18" s="68">
        <f>SUM(F18,I18)</f>
        <v>0</v>
      </c>
      <c r="L18" s="306">
        <f>SUM(H18,J18)</f>
        <v>0</v>
      </c>
      <c r="N18" s="117">
        <f>'As-Filed Schedule 2I'!J18</f>
        <v>0</v>
      </c>
      <c r="O18" s="309">
        <f>SUMIFS(Adjustments!$G:$G,Adjustments!$H:$H,"2I",Adjustments!$I:$I,'Schedule 2I Adjustments'!$N$12,Adjustments!$J:$J,'Schedule 2I Adjustments'!$A18)</f>
        <v>0</v>
      </c>
      <c r="P18" s="305">
        <f t="shared" si="3"/>
        <v>0</v>
      </c>
      <c r="Q18" s="68">
        <f>IFERROR(N18*'As-Filed Schedule 1'!$E$103,0)</f>
        <v>0</v>
      </c>
      <c r="R18" s="68">
        <f>IFERROR(P18*'Adjusted Schedule 1'!$E$104,0)</f>
        <v>0</v>
      </c>
      <c r="S18" s="68">
        <f t="shared" si="4"/>
        <v>0</v>
      </c>
      <c r="T18" s="306">
        <f t="shared" si="5"/>
        <v>0</v>
      </c>
      <c r="V18" s="119">
        <f>'As-Filed Schedule 2I'!N18</f>
        <v>0</v>
      </c>
      <c r="W18" s="309">
        <f>SUMIFS(Adjustments!$G:$G,Adjustments!$H:$H,"2I",Adjustments!$I:$I,'Schedule 2I Adjustments'!$V$12,Adjustments!$J:$J,'Schedule 2I Adjustments'!$A18)</f>
        <v>0</v>
      </c>
      <c r="X18" s="305">
        <f t="shared" si="6"/>
        <v>0</v>
      </c>
      <c r="Y18" s="119">
        <f>'As-Filed Schedule 2I'!O18</f>
        <v>0</v>
      </c>
      <c r="Z18" s="309">
        <f>SUMIFS(Adjustments!$G:$G,Adjustments!$H:$H,"2I",Adjustments!$I:$I,'Schedule 2I Adjustments'!$Y$12,Adjustments!$J:$J,'Schedule 2I Adjustments'!$A18)</f>
        <v>0</v>
      </c>
      <c r="AA18" s="305">
        <f t="shared" si="7"/>
        <v>0</v>
      </c>
    </row>
    <row r="19" spans="1:27" x14ac:dyDescent="0.35">
      <c r="A19" s="24">
        <v>5</v>
      </c>
      <c r="B19" s="514" t="str">
        <f>IF('As-Filed Schedule 2I'!B19:D19=0,"",'As-Filed Schedule 2I'!B19:D19)</f>
        <v/>
      </c>
      <c r="C19" s="514"/>
      <c r="D19" s="514"/>
      <c r="F19" s="117">
        <f>'As-Filed Schedule 2I'!F19</f>
        <v>0</v>
      </c>
      <c r="G19" s="309">
        <f>SUMIFS(Adjustments!$G:$G,Adjustments!$H:$H,"2I",Adjustments!$I:$I,'Schedule 2I Adjustments'!$F$12,Adjustments!$J:$J,'Schedule 2I Adjustments'!$A19)</f>
        <v>0</v>
      </c>
      <c r="H19" s="305">
        <f t="shared" si="0"/>
        <v>0</v>
      </c>
      <c r="I19" s="68">
        <f>IFERROR(F19*'As-Filed Schedule 1'!$E$103,0)</f>
        <v>0</v>
      </c>
      <c r="J19" s="306">
        <f>IFERROR(H19*'Adjusted Schedule 1'!$E$104,0)</f>
        <v>0</v>
      </c>
      <c r="K19" s="68">
        <f t="shared" si="1"/>
        <v>0</v>
      </c>
      <c r="L19" s="306">
        <f>SUM(H19,J19)</f>
        <v>0</v>
      </c>
      <c r="N19" s="117">
        <f>'As-Filed Schedule 2I'!J19</f>
        <v>0</v>
      </c>
      <c r="O19" s="309">
        <f>SUMIFS(Adjustments!$G:$G,Adjustments!$H:$H,"2I",Adjustments!$I:$I,'Schedule 2I Adjustments'!$N$12,Adjustments!$J:$J,'Schedule 2I Adjustments'!$A19)</f>
        <v>0</v>
      </c>
      <c r="P19" s="305">
        <f t="shared" si="3"/>
        <v>0</v>
      </c>
      <c r="Q19" s="68">
        <f>IFERROR(N19*'As-Filed Schedule 1'!$E$103,0)</f>
        <v>0</v>
      </c>
      <c r="R19" s="68">
        <f>IFERROR(P19*'Adjusted Schedule 1'!$E$104,0)</f>
        <v>0</v>
      </c>
      <c r="S19" s="68">
        <f t="shared" si="4"/>
        <v>0</v>
      </c>
      <c r="T19" s="306">
        <f t="shared" si="5"/>
        <v>0</v>
      </c>
      <c r="V19" s="119">
        <f>'As-Filed Schedule 2I'!N19</f>
        <v>0</v>
      </c>
      <c r="W19" s="309">
        <f>SUMIFS(Adjustments!$G:$G,Adjustments!$H:$H,"2I",Adjustments!$I:$I,'Schedule 2I Adjustments'!$V$12,Adjustments!$J:$J,'Schedule 2I Adjustments'!$A19)</f>
        <v>0</v>
      </c>
      <c r="X19" s="305">
        <f t="shared" si="6"/>
        <v>0</v>
      </c>
      <c r="Y19" s="119">
        <f>'As-Filed Schedule 2I'!O19</f>
        <v>0</v>
      </c>
      <c r="Z19" s="309">
        <f>SUMIFS(Adjustments!$G:$G,Adjustments!$H:$H,"2I",Adjustments!$I:$I,'Schedule 2I Adjustments'!$Y$12,Adjustments!$J:$J,'Schedule 2I Adjustments'!$A19)</f>
        <v>0</v>
      </c>
      <c r="AA19" s="305">
        <f t="shared" si="7"/>
        <v>0</v>
      </c>
    </row>
    <row r="20" spans="1:27" x14ac:dyDescent="0.35">
      <c r="A20" s="24">
        <v>6</v>
      </c>
      <c r="B20" s="514" t="str">
        <f>IF('As-Filed Schedule 2I'!B20:D20=0,"",'As-Filed Schedule 2I'!B20:D20)</f>
        <v/>
      </c>
      <c r="C20" s="514"/>
      <c r="D20" s="514"/>
      <c r="F20" s="117">
        <f>'As-Filed Schedule 2I'!F20</f>
        <v>0</v>
      </c>
      <c r="G20" s="309">
        <f>SUMIFS(Adjustments!$G:$G,Adjustments!$H:$H,"2I",Adjustments!$I:$I,'Schedule 2I Adjustments'!$F$12,Adjustments!$J:$J,'Schedule 2I Adjustments'!$A20)</f>
        <v>0</v>
      </c>
      <c r="H20" s="305">
        <f t="shared" si="0"/>
        <v>0</v>
      </c>
      <c r="I20" s="68">
        <f>IFERROR(F20*'As-Filed Schedule 1'!$E$103,0)</f>
        <v>0</v>
      </c>
      <c r="J20" s="306">
        <f>IFERROR(H20*'Adjusted Schedule 1'!$E$104,0)</f>
        <v>0</v>
      </c>
      <c r="K20" s="68">
        <f>SUM(F20,I20)</f>
        <v>0</v>
      </c>
      <c r="L20" s="306">
        <f t="shared" si="2"/>
        <v>0</v>
      </c>
      <c r="N20" s="117">
        <f>'As-Filed Schedule 2I'!J20</f>
        <v>0</v>
      </c>
      <c r="O20" s="309">
        <f>SUMIFS(Adjustments!$G:$G,Adjustments!$H:$H,"2I",Adjustments!$I:$I,'Schedule 2I Adjustments'!$N$12,Adjustments!$J:$J,'Schedule 2I Adjustments'!$A20)</f>
        <v>0</v>
      </c>
      <c r="P20" s="305">
        <f t="shared" si="3"/>
        <v>0</v>
      </c>
      <c r="Q20" s="68">
        <f>IFERROR(N20*'As-Filed Schedule 1'!$E$103,0)</f>
        <v>0</v>
      </c>
      <c r="R20" s="68">
        <f>IFERROR(P20*'Adjusted Schedule 1'!$E$104,0)</f>
        <v>0</v>
      </c>
      <c r="S20" s="68">
        <f t="shared" si="4"/>
        <v>0</v>
      </c>
      <c r="T20" s="306">
        <f t="shared" si="5"/>
        <v>0</v>
      </c>
      <c r="V20" s="119">
        <f>'As-Filed Schedule 2I'!N20</f>
        <v>0</v>
      </c>
      <c r="W20" s="309">
        <f>SUMIFS(Adjustments!$G:$G,Adjustments!$H:$H,"2I",Adjustments!$I:$I,'Schedule 2I Adjustments'!$V$12,Adjustments!$J:$J,'Schedule 2I Adjustments'!$A20)</f>
        <v>0</v>
      </c>
      <c r="X20" s="305">
        <f t="shared" si="6"/>
        <v>0</v>
      </c>
      <c r="Y20" s="119">
        <f>'As-Filed Schedule 2I'!O20</f>
        <v>0</v>
      </c>
      <c r="Z20" s="309">
        <f>SUMIFS(Adjustments!$G:$G,Adjustments!$H:$H,"2I",Adjustments!$I:$I,'Schedule 2I Adjustments'!$Y$12,Adjustments!$J:$J,'Schedule 2I Adjustments'!$A20)</f>
        <v>0</v>
      </c>
      <c r="AA20" s="305">
        <f t="shared" si="7"/>
        <v>0</v>
      </c>
    </row>
    <row r="21" spans="1:27" x14ac:dyDescent="0.35">
      <c r="A21" s="24">
        <v>7</v>
      </c>
      <c r="B21" s="514" t="str">
        <f>IF('As-Filed Schedule 2I'!B21:D21=0,"",'As-Filed Schedule 2I'!B21:D21)</f>
        <v/>
      </c>
      <c r="C21" s="514"/>
      <c r="D21" s="514"/>
      <c r="F21" s="117">
        <f>'As-Filed Schedule 2I'!F21</f>
        <v>0</v>
      </c>
      <c r="G21" s="309">
        <f>SUMIFS(Adjustments!$G:$G,Adjustments!$H:$H,"2I",Adjustments!$I:$I,'Schedule 2I Adjustments'!$F$12,Adjustments!$J:$J,'Schedule 2I Adjustments'!$A21)</f>
        <v>0</v>
      </c>
      <c r="H21" s="305">
        <f t="shared" si="0"/>
        <v>0</v>
      </c>
      <c r="I21" s="68">
        <f>IFERROR(F21*'As-Filed Schedule 1'!$E$103,0)</f>
        <v>0</v>
      </c>
      <c r="J21" s="306">
        <f>IFERROR(H21*'Adjusted Schedule 1'!$E$104,0)</f>
        <v>0</v>
      </c>
      <c r="K21" s="68">
        <f t="shared" si="1"/>
        <v>0</v>
      </c>
      <c r="L21" s="306">
        <f t="shared" si="2"/>
        <v>0</v>
      </c>
      <c r="N21" s="117">
        <f>'As-Filed Schedule 2I'!J21</f>
        <v>0</v>
      </c>
      <c r="O21" s="309">
        <f>SUMIFS(Adjustments!$G:$G,Adjustments!$H:$H,"2I",Adjustments!$I:$I,'Schedule 2I Adjustments'!$N$12,Adjustments!$J:$J,'Schedule 2I Adjustments'!$A21)</f>
        <v>0</v>
      </c>
      <c r="P21" s="305">
        <f t="shared" si="3"/>
        <v>0</v>
      </c>
      <c r="Q21" s="68">
        <f>IFERROR(N21*'As-Filed Schedule 1'!$E$103,0)</f>
        <v>0</v>
      </c>
      <c r="R21" s="68">
        <f>IFERROR(P21*'Adjusted Schedule 1'!$E$104,0)</f>
        <v>0</v>
      </c>
      <c r="S21" s="68">
        <f>SUM(N21,Q21)</f>
        <v>0</v>
      </c>
      <c r="T21" s="306">
        <f>SUM(P21,R21)</f>
        <v>0</v>
      </c>
      <c r="V21" s="119">
        <f>'As-Filed Schedule 2I'!N21</f>
        <v>0</v>
      </c>
      <c r="W21" s="309">
        <f>SUMIFS(Adjustments!$G:$G,Adjustments!$H:$H,"2I",Adjustments!$I:$I,'Schedule 2I Adjustments'!$V$12,Adjustments!$J:$J,'Schedule 2I Adjustments'!$A21)</f>
        <v>0</v>
      </c>
      <c r="X21" s="305">
        <f t="shared" si="6"/>
        <v>0</v>
      </c>
      <c r="Y21" s="119">
        <f>'As-Filed Schedule 2I'!O21</f>
        <v>0</v>
      </c>
      <c r="Z21" s="309">
        <f>SUMIFS(Adjustments!$G:$G,Adjustments!$H:$H,"2I",Adjustments!$I:$I,'Schedule 2I Adjustments'!$Y$12,Adjustments!$J:$J,'Schedule 2I Adjustments'!$A21)</f>
        <v>0</v>
      </c>
      <c r="AA21" s="305">
        <f t="shared" si="7"/>
        <v>0</v>
      </c>
    </row>
    <row r="22" spans="1:27" x14ac:dyDescent="0.35">
      <c r="A22" s="24">
        <v>8</v>
      </c>
      <c r="B22" s="514" t="str">
        <f>IF('As-Filed Schedule 2I'!B22:D22=0,"",'As-Filed Schedule 2I'!B22:D22)</f>
        <v/>
      </c>
      <c r="C22" s="514"/>
      <c r="D22" s="514"/>
      <c r="F22" s="117">
        <f>'As-Filed Schedule 2I'!F22</f>
        <v>0</v>
      </c>
      <c r="G22" s="309">
        <f>SUMIFS(Adjustments!$G:$G,Adjustments!$H:$H,"2I",Adjustments!$I:$I,'Schedule 2I Adjustments'!$F$12,Adjustments!$J:$J,'Schedule 2I Adjustments'!$A22)</f>
        <v>0</v>
      </c>
      <c r="H22" s="305">
        <f t="shared" si="0"/>
        <v>0</v>
      </c>
      <c r="I22" s="68">
        <f>IFERROR(F22*'As-Filed Schedule 1'!$E$103,0)</f>
        <v>0</v>
      </c>
      <c r="J22" s="306">
        <f>IFERROR(H22*'Adjusted Schedule 1'!$E$104,0)</f>
        <v>0</v>
      </c>
      <c r="K22" s="68">
        <f t="shared" si="1"/>
        <v>0</v>
      </c>
      <c r="L22" s="306">
        <f t="shared" si="2"/>
        <v>0</v>
      </c>
      <c r="N22" s="117">
        <f>'As-Filed Schedule 2I'!J22</f>
        <v>0</v>
      </c>
      <c r="O22" s="309">
        <f>SUMIFS(Adjustments!$G:$G,Adjustments!$H:$H,"2I",Adjustments!$I:$I,'Schedule 2I Adjustments'!$N$12,Adjustments!$J:$J,'Schedule 2I Adjustments'!$A22)</f>
        <v>0</v>
      </c>
      <c r="P22" s="305">
        <f t="shared" si="3"/>
        <v>0</v>
      </c>
      <c r="Q22" s="68">
        <f>IFERROR(N22*'As-Filed Schedule 1'!$E$103,0)</f>
        <v>0</v>
      </c>
      <c r="R22" s="68">
        <f>IFERROR(P22*'Adjusted Schedule 1'!$E$104,0)</f>
        <v>0</v>
      </c>
      <c r="S22" s="68">
        <f t="shared" si="4"/>
        <v>0</v>
      </c>
      <c r="T22" s="306">
        <f t="shared" si="5"/>
        <v>0</v>
      </c>
      <c r="V22" s="119">
        <f>'As-Filed Schedule 2I'!N22</f>
        <v>0</v>
      </c>
      <c r="W22" s="309">
        <f>SUMIFS(Adjustments!$G:$G,Adjustments!$H:$H,"2I",Adjustments!$I:$I,'Schedule 2I Adjustments'!$V$12,Adjustments!$J:$J,'Schedule 2I Adjustments'!$A22)</f>
        <v>0</v>
      </c>
      <c r="X22" s="305">
        <f t="shared" si="6"/>
        <v>0</v>
      </c>
      <c r="Y22" s="119">
        <f>'As-Filed Schedule 2I'!O22</f>
        <v>0</v>
      </c>
      <c r="Z22" s="309">
        <f>SUMIFS(Adjustments!$G:$G,Adjustments!$H:$H,"2I",Adjustments!$I:$I,'Schedule 2I Adjustments'!$Y$12,Adjustments!$J:$J,'Schedule 2I Adjustments'!$A22)</f>
        <v>0</v>
      </c>
      <c r="AA22" s="305">
        <f t="shared" si="7"/>
        <v>0</v>
      </c>
    </row>
    <row r="23" spans="1:27" x14ac:dyDescent="0.35">
      <c r="A23" s="24">
        <v>9</v>
      </c>
      <c r="B23" s="514" t="str">
        <f>IF('As-Filed Schedule 2I'!B23:D23=0,"",'As-Filed Schedule 2I'!B23:D23)</f>
        <v/>
      </c>
      <c r="C23" s="514"/>
      <c r="D23" s="514"/>
      <c r="F23" s="117">
        <f>'As-Filed Schedule 2I'!F23</f>
        <v>0</v>
      </c>
      <c r="G23" s="309">
        <f>SUMIFS(Adjustments!$G:$G,Adjustments!$H:$H,"2I",Adjustments!$I:$I,'Schedule 2I Adjustments'!$F$12,Adjustments!$J:$J,'Schedule 2I Adjustments'!$A23)</f>
        <v>0</v>
      </c>
      <c r="H23" s="305">
        <f t="shared" si="0"/>
        <v>0</v>
      </c>
      <c r="I23" s="68">
        <f>IFERROR(F23*'As-Filed Schedule 1'!$E$103,0)</f>
        <v>0</v>
      </c>
      <c r="J23" s="306">
        <f>IFERROR(H23*'Adjusted Schedule 1'!$E$104,0)</f>
        <v>0</v>
      </c>
      <c r="K23" s="68">
        <f t="shared" si="1"/>
        <v>0</v>
      </c>
      <c r="L23" s="306">
        <f t="shared" si="2"/>
        <v>0</v>
      </c>
      <c r="N23" s="117">
        <f>'As-Filed Schedule 2I'!J23</f>
        <v>0</v>
      </c>
      <c r="O23" s="309">
        <f>SUMIFS(Adjustments!$G:$G,Adjustments!$H:$H,"2I",Adjustments!$I:$I,'Schedule 2I Adjustments'!$N$12,Adjustments!$J:$J,'Schedule 2I Adjustments'!$A23)</f>
        <v>0</v>
      </c>
      <c r="P23" s="305">
        <f t="shared" si="3"/>
        <v>0</v>
      </c>
      <c r="Q23" s="68">
        <f>IFERROR(N23*'As-Filed Schedule 1'!$E$103,0)</f>
        <v>0</v>
      </c>
      <c r="R23" s="68">
        <f>IFERROR(P23*'Adjusted Schedule 1'!$E$104,0)</f>
        <v>0</v>
      </c>
      <c r="S23" s="68">
        <f t="shared" si="4"/>
        <v>0</v>
      </c>
      <c r="T23" s="306">
        <f t="shared" si="5"/>
        <v>0</v>
      </c>
      <c r="V23" s="119">
        <f>'As-Filed Schedule 2I'!N23</f>
        <v>0</v>
      </c>
      <c r="W23" s="309">
        <f>SUMIFS(Adjustments!$G:$G,Adjustments!$H:$H,"2I",Adjustments!$I:$I,'Schedule 2I Adjustments'!$V$12,Adjustments!$J:$J,'Schedule 2I Adjustments'!$A23)</f>
        <v>0</v>
      </c>
      <c r="X23" s="305">
        <f t="shared" si="6"/>
        <v>0</v>
      </c>
      <c r="Y23" s="119">
        <f>'As-Filed Schedule 2I'!O23</f>
        <v>0</v>
      </c>
      <c r="Z23" s="309">
        <f>SUMIFS(Adjustments!$G:$G,Adjustments!$H:$H,"2I",Adjustments!$I:$I,'Schedule 2I Adjustments'!$Y$12,Adjustments!$J:$J,'Schedule 2I Adjustments'!$A23)</f>
        <v>0</v>
      </c>
      <c r="AA23" s="305">
        <f t="shared" si="7"/>
        <v>0</v>
      </c>
    </row>
    <row r="24" spans="1:27" x14ac:dyDescent="0.35">
      <c r="A24" s="24">
        <v>10</v>
      </c>
      <c r="B24" s="514" t="str">
        <f>IF('As-Filed Schedule 2I'!B24:D24=0,"",'As-Filed Schedule 2I'!B24:D24)</f>
        <v/>
      </c>
      <c r="C24" s="514"/>
      <c r="D24" s="514"/>
      <c r="F24" s="117">
        <f>'As-Filed Schedule 2I'!F24</f>
        <v>0</v>
      </c>
      <c r="G24" s="309">
        <f>SUMIFS(Adjustments!$G:$G,Adjustments!$H:$H,"2I",Adjustments!$I:$I,'Schedule 2I Adjustments'!$F$12,Adjustments!$J:$J,'Schedule 2I Adjustments'!$A24)</f>
        <v>0</v>
      </c>
      <c r="H24" s="305">
        <f t="shared" si="0"/>
        <v>0</v>
      </c>
      <c r="I24" s="68">
        <f>IFERROR(F24*'As-Filed Schedule 1'!$E$103,0)</f>
        <v>0</v>
      </c>
      <c r="J24" s="306">
        <f>IFERROR(H24*'Adjusted Schedule 1'!$E$104,0)</f>
        <v>0</v>
      </c>
      <c r="K24" s="68">
        <f t="shared" si="1"/>
        <v>0</v>
      </c>
      <c r="L24" s="306">
        <f t="shared" si="2"/>
        <v>0</v>
      </c>
      <c r="N24" s="117">
        <f>'As-Filed Schedule 2I'!J24</f>
        <v>0</v>
      </c>
      <c r="O24" s="309">
        <f>SUMIFS(Adjustments!$G:$G,Adjustments!$H:$H,"2I",Adjustments!$I:$I,'Schedule 2I Adjustments'!$N$12,Adjustments!$J:$J,'Schedule 2I Adjustments'!$A24)</f>
        <v>0</v>
      </c>
      <c r="P24" s="305">
        <f t="shared" si="3"/>
        <v>0</v>
      </c>
      <c r="Q24" s="68">
        <f>IFERROR(N24*'As-Filed Schedule 1'!$E$103,0)</f>
        <v>0</v>
      </c>
      <c r="R24" s="68">
        <f>IFERROR(P24*'Adjusted Schedule 1'!$E$104,0)</f>
        <v>0</v>
      </c>
      <c r="S24" s="68">
        <f t="shared" si="4"/>
        <v>0</v>
      </c>
      <c r="T24" s="306">
        <f t="shared" si="5"/>
        <v>0</v>
      </c>
      <c r="V24" s="119">
        <f>'As-Filed Schedule 2I'!N24</f>
        <v>0</v>
      </c>
      <c r="W24" s="309">
        <f>SUMIFS(Adjustments!$G:$G,Adjustments!$H:$H,"2I",Adjustments!$I:$I,'Schedule 2I Adjustments'!$V$12,Adjustments!$J:$J,'Schedule 2I Adjustments'!$A24)</f>
        <v>0</v>
      </c>
      <c r="X24" s="305">
        <f t="shared" si="6"/>
        <v>0</v>
      </c>
      <c r="Y24" s="119">
        <f>'As-Filed Schedule 2I'!O24</f>
        <v>0</v>
      </c>
      <c r="Z24" s="309">
        <f>SUMIFS(Adjustments!$G:$G,Adjustments!$H:$H,"2I",Adjustments!$I:$I,'Schedule 2I Adjustments'!$Y$12,Adjustments!$J:$J,'Schedule 2I Adjustments'!$A24)</f>
        <v>0</v>
      </c>
      <c r="AA24" s="305">
        <f t="shared" si="7"/>
        <v>0</v>
      </c>
    </row>
    <row r="25" spans="1:27" x14ac:dyDescent="0.35">
      <c r="A25" s="24">
        <v>11</v>
      </c>
      <c r="B25" s="514" t="str">
        <f>IF('As-Filed Schedule 2I'!B25:D25=0,"",'As-Filed Schedule 2I'!B25:D25)</f>
        <v/>
      </c>
      <c r="C25" s="514"/>
      <c r="D25" s="514"/>
      <c r="F25" s="117">
        <f>'As-Filed Schedule 2I'!F25</f>
        <v>0</v>
      </c>
      <c r="G25" s="309">
        <f>SUMIFS(Adjustments!$G:$G,Adjustments!$H:$H,"2I",Adjustments!$I:$I,'Schedule 2I Adjustments'!$F$12,Adjustments!$J:$J,'Schedule 2I Adjustments'!$A25)</f>
        <v>0</v>
      </c>
      <c r="H25" s="305">
        <f t="shared" si="0"/>
        <v>0</v>
      </c>
      <c r="I25" s="68">
        <f>IFERROR(F25*'As-Filed Schedule 1'!$E$103,0)</f>
        <v>0</v>
      </c>
      <c r="J25" s="306">
        <f>IFERROR(H25*'Adjusted Schedule 1'!$E$104,0)</f>
        <v>0</v>
      </c>
      <c r="K25" s="68">
        <f t="shared" si="1"/>
        <v>0</v>
      </c>
      <c r="L25" s="306">
        <f t="shared" si="2"/>
        <v>0</v>
      </c>
      <c r="N25" s="117">
        <f>'As-Filed Schedule 2I'!J25</f>
        <v>0</v>
      </c>
      <c r="O25" s="309">
        <f>SUMIFS(Adjustments!$G:$G,Adjustments!$H:$H,"2I",Adjustments!$I:$I,'Schedule 2I Adjustments'!$N$12,Adjustments!$J:$J,'Schedule 2I Adjustments'!$A25)</f>
        <v>0</v>
      </c>
      <c r="P25" s="305">
        <f t="shared" si="3"/>
        <v>0</v>
      </c>
      <c r="Q25" s="68">
        <f>IFERROR(N25*'As-Filed Schedule 1'!$E$103,0)</f>
        <v>0</v>
      </c>
      <c r="R25" s="68">
        <f>IFERROR(P25*'Adjusted Schedule 1'!$E$104,0)</f>
        <v>0</v>
      </c>
      <c r="S25" s="68">
        <f t="shared" si="4"/>
        <v>0</v>
      </c>
      <c r="T25" s="306">
        <f t="shared" si="5"/>
        <v>0</v>
      </c>
      <c r="V25" s="119">
        <f>'As-Filed Schedule 2I'!N25</f>
        <v>0</v>
      </c>
      <c r="W25" s="309">
        <f>SUMIFS(Adjustments!$G:$G,Adjustments!$H:$H,"2I",Adjustments!$I:$I,'Schedule 2I Adjustments'!$V$12,Adjustments!$J:$J,'Schedule 2I Adjustments'!$A25)</f>
        <v>0</v>
      </c>
      <c r="X25" s="305">
        <f t="shared" si="6"/>
        <v>0</v>
      </c>
      <c r="Y25" s="119">
        <f>'As-Filed Schedule 2I'!O25</f>
        <v>0</v>
      </c>
      <c r="Z25" s="309">
        <f>SUMIFS(Adjustments!$G:$G,Adjustments!$H:$H,"2I",Adjustments!$I:$I,'Schedule 2I Adjustments'!$Y$12,Adjustments!$J:$J,'Schedule 2I Adjustments'!$A25)</f>
        <v>0</v>
      </c>
      <c r="AA25" s="305">
        <f t="shared" si="7"/>
        <v>0</v>
      </c>
    </row>
    <row r="26" spans="1:27" x14ac:dyDescent="0.35">
      <c r="A26" s="24">
        <v>12</v>
      </c>
      <c r="B26" s="514" t="str">
        <f>IF('As-Filed Schedule 2I'!B26:D26=0,"",'As-Filed Schedule 2I'!B26:D26)</f>
        <v/>
      </c>
      <c r="C26" s="514"/>
      <c r="D26" s="514"/>
      <c r="F26" s="117">
        <f>'As-Filed Schedule 2I'!F26</f>
        <v>0</v>
      </c>
      <c r="G26" s="309">
        <f>SUMIFS(Adjustments!$G:$G,Adjustments!$H:$H,"2I",Adjustments!$I:$I,'Schedule 2I Adjustments'!$F$12,Adjustments!$J:$J,'Schedule 2I Adjustments'!$A26)</f>
        <v>0</v>
      </c>
      <c r="H26" s="305">
        <f t="shared" si="0"/>
        <v>0</v>
      </c>
      <c r="I26" s="68">
        <f>IFERROR(F26*'As-Filed Schedule 1'!$E$103,0)</f>
        <v>0</v>
      </c>
      <c r="J26" s="306">
        <f>IFERROR(H26*'Adjusted Schedule 1'!$E$104,0)</f>
        <v>0</v>
      </c>
      <c r="K26" s="68">
        <f t="shared" si="1"/>
        <v>0</v>
      </c>
      <c r="L26" s="306">
        <f t="shared" si="2"/>
        <v>0</v>
      </c>
      <c r="N26" s="117">
        <f>'As-Filed Schedule 2I'!J26</f>
        <v>0</v>
      </c>
      <c r="O26" s="309">
        <f>SUMIFS(Adjustments!$G:$G,Adjustments!$H:$H,"2I",Adjustments!$I:$I,'Schedule 2I Adjustments'!$N$12,Adjustments!$J:$J,'Schedule 2I Adjustments'!$A26)</f>
        <v>0</v>
      </c>
      <c r="P26" s="305">
        <f t="shared" si="3"/>
        <v>0</v>
      </c>
      <c r="Q26" s="68">
        <f>IFERROR(N26*'As-Filed Schedule 1'!$E$103,0)</f>
        <v>0</v>
      </c>
      <c r="R26" s="68">
        <f>IFERROR(P26*'Adjusted Schedule 1'!$E$104,0)</f>
        <v>0</v>
      </c>
      <c r="S26" s="68">
        <f t="shared" si="4"/>
        <v>0</v>
      </c>
      <c r="T26" s="306">
        <f t="shared" si="5"/>
        <v>0</v>
      </c>
      <c r="V26" s="119">
        <f>'As-Filed Schedule 2I'!N26</f>
        <v>0</v>
      </c>
      <c r="W26" s="309">
        <f>SUMIFS(Adjustments!$G:$G,Adjustments!$H:$H,"2I",Adjustments!$I:$I,'Schedule 2I Adjustments'!$V$12,Adjustments!$J:$J,'Schedule 2I Adjustments'!$A26)</f>
        <v>0</v>
      </c>
      <c r="X26" s="305">
        <f t="shared" si="6"/>
        <v>0</v>
      </c>
      <c r="Y26" s="119">
        <f>'As-Filed Schedule 2I'!O26</f>
        <v>0</v>
      </c>
      <c r="Z26" s="309">
        <f>SUMIFS(Adjustments!$G:$G,Adjustments!$H:$H,"2I",Adjustments!$I:$I,'Schedule 2I Adjustments'!$Y$12,Adjustments!$J:$J,'Schedule 2I Adjustments'!$A26)</f>
        <v>0</v>
      </c>
      <c r="AA26" s="305">
        <f t="shared" si="7"/>
        <v>0</v>
      </c>
    </row>
    <row r="27" spans="1:27" x14ac:dyDescent="0.35">
      <c r="A27" s="24">
        <v>13</v>
      </c>
      <c r="B27" s="514" t="str">
        <f>IF('As-Filed Schedule 2I'!B27:D27=0,"",'As-Filed Schedule 2I'!B27:D27)</f>
        <v/>
      </c>
      <c r="C27" s="514"/>
      <c r="D27" s="514"/>
      <c r="F27" s="117">
        <f>'As-Filed Schedule 2I'!F27</f>
        <v>0</v>
      </c>
      <c r="G27" s="309">
        <f>SUMIFS(Adjustments!$G:$G,Adjustments!$H:$H,"2I",Adjustments!$I:$I,'Schedule 2I Adjustments'!$F$12,Adjustments!$J:$J,'Schedule 2I Adjustments'!$A27)</f>
        <v>0</v>
      </c>
      <c r="H27" s="305">
        <f t="shared" si="0"/>
        <v>0</v>
      </c>
      <c r="I27" s="68">
        <f>IFERROR(F27*'As-Filed Schedule 1'!$E$103,0)</f>
        <v>0</v>
      </c>
      <c r="J27" s="306">
        <f>IFERROR(H27*'Adjusted Schedule 1'!$E$104,0)</f>
        <v>0</v>
      </c>
      <c r="K27" s="68">
        <f t="shared" si="1"/>
        <v>0</v>
      </c>
      <c r="L27" s="306">
        <f t="shared" si="2"/>
        <v>0</v>
      </c>
      <c r="N27" s="117">
        <f>'As-Filed Schedule 2I'!J27</f>
        <v>0</v>
      </c>
      <c r="O27" s="309">
        <f>SUMIFS(Adjustments!$G:$G,Adjustments!$H:$H,"2I",Adjustments!$I:$I,'Schedule 2I Adjustments'!$N$12,Adjustments!$J:$J,'Schedule 2I Adjustments'!$A27)</f>
        <v>0</v>
      </c>
      <c r="P27" s="305">
        <f t="shared" si="3"/>
        <v>0</v>
      </c>
      <c r="Q27" s="68">
        <f>IFERROR(N27*'As-Filed Schedule 1'!$E$103,0)</f>
        <v>0</v>
      </c>
      <c r="R27" s="68">
        <f>IFERROR(P27*'Adjusted Schedule 1'!$E$104,0)</f>
        <v>0</v>
      </c>
      <c r="S27" s="68">
        <f t="shared" si="4"/>
        <v>0</v>
      </c>
      <c r="T27" s="306">
        <f t="shared" si="5"/>
        <v>0</v>
      </c>
      <c r="V27" s="119">
        <f>'As-Filed Schedule 2I'!N27</f>
        <v>0</v>
      </c>
      <c r="W27" s="309">
        <f>SUMIFS(Adjustments!$G:$G,Adjustments!$H:$H,"2I",Adjustments!$I:$I,'Schedule 2I Adjustments'!$V$12,Adjustments!$J:$J,'Schedule 2I Adjustments'!$A27)</f>
        <v>0</v>
      </c>
      <c r="X27" s="305">
        <f t="shared" si="6"/>
        <v>0</v>
      </c>
      <c r="Y27" s="119">
        <f>'As-Filed Schedule 2I'!O27</f>
        <v>0</v>
      </c>
      <c r="Z27" s="309">
        <f>SUMIFS(Adjustments!$G:$G,Adjustments!$H:$H,"2I",Adjustments!$I:$I,'Schedule 2I Adjustments'!$Y$12,Adjustments!$J:$J,'Schedule 2I Adjustments'!$A27)</f>
        <v>0</v>
      </c>
      <c r="AA27" s="305">
        <f t="shared" si="7"/>
        <v>0</v>
      </c>
    </row>
    <row r="28" spans="1:27" x14ac:dyDescent="0.35">
      <c r="A28" s="24">
        <v>14</v>
      </c>
      <c r="B28" s="514" t="str">
        <f>IF('As-Filed Schedule 2I'!B28:D28=0,"",'As-Filed Schedule 2I'!B28:D28)</f>
        <v/>
      </c>
      <c r="C28" s="514"/>
      <c r="D28" s="514"/>
      <c r="F28" s="117">
        <f>'As-Filed Schedule 2I'!F28</f>
        <v>0</v>
      </c>
      <c r="G28" s="309">
        <f>SUMIFS(Adjustments!$G:$G,Adjustments!$H:$H,"2I",Adjustments!$I:$I,'Schedule 2I Adjustments'!$F$12,Adjustments!$J:$J,'Schedule 2I Adjustments'!$A28)</f>
        <v>0</v>
      </c>
      <c r="H28" s="305">
        <f t="shared" si="0"/>
        <v>0</v>
      </c>
      <c r="I28" s="68">
        <f>IFERROR(F28*'As-Filed Schedule 1'!$E$103,0)</f>
        <v>0</v>
      </c>
      <c r="J28" s="306">
        <f>IFERROR(H28*'Adjusted Schedule 1'!$E$104,0)</f>
        <v>0</v>
      </c>
      <c r="K28" s="68">
        <f t="shared" si="1"/>
        <v>0</v>
      </c>
      <c r="L28" s="306">
        <f t="shared" si="2"/>
        <v>0</v>
      </c>
      <c r="N28" s="117">
        <f>'As-Filed Schedule 2I'!J28</f>
        <v>0</v>
      </c>
      <c r="O28" s="309">
        <f>SUMIFS(Adjustments!$G:$G,Adjustments!$H:$H,"2I",Adjustments!$I:$I,'Schedule 2I Adjustments'!$N$12,Adjustments!$J:$J,'Schedule 2I Adjustments'!$A28)</f>
        <v>0</v>
      </c>
      <c r="P28" s="305">
        <f t="shared" si="3"/>
        <v>0</v>
      </c>
      <c r="Q28" s="68">
        <f>IFERROR(N28*'As-Filed Schedule 1'!$E$103,0)</f>
        <v>0</v>
      </c>
      <c r="R28" s="68">
        <f>IFERROR(P28*'Adjusted Schedule 1'!$E$104,0)</f>
        <v>0</v>
      </c>
      <c r="S28" s="68">
        <f t="shared" si="4"/>
        <v>0</v>
      </c>
      <c r="T28" s="306">
        <f t="shared" si="5"/>
        <v>0</v>
      </c>
      <c r="V28" s="119">
        <f>'As-Filed Schedule 2I'!N28</f>
        <v>0</v>
      </c>
      <c r="W28" s="309">
        <f>SUMIFS(Adjustments!$G:$G,Adjustments!$H:$H,"2I",Adjustments!$I:$I,'Schedule 2I Adjustments'!$V$12,Adjustments!$J:$J,'Schedule 2I Adjustments'!$A28)</f>
        <v>0</v>
      </c>
      <c r="X28" s="305">
        <f t="shared" si="6"/>
        <v>0</v>
      </c>
      <c r="Y28" s="119">
        <f>'As-Filed Schedule 2I'!O28</f>
        <v>0</v>
      </c>
      <c r="Z28" s="309">
        <f>SUMIFS(Adjustments!$G:$G,Adjustments!$H:$H,"2I",Adjustments!$I:$I,'Schedule 2I Adjustments'!$Y$12,Adjustments!$J:$J,'Schedule 2I Adjustments'!$A28)</f>
        <v>0</v>
      </c>
      <c r="AA28" s="305">
        <f t="shared" si="7"/>
        <v>0</v>
      </c>
    </row>
    <row r="29" spans="1:27" x14ac:dyDescent="0.35">
      <c r="A29" s="24">
        <v>15</v>
      </c>
      <c r="B29" s="514" t="str">
        <f>IF('As-Filed Schedule 2I'!B29:D29=0,"",'As-Filed Schedule 2I'!B29:D29)</f>
        <v/>
      </c>
      <c r="C29" s="514"/>
      <c r="D29" s="514"/>
      <c r="F29" s="117">
        <f>'As-Filed Schedule 2I'!F29</f>
        <v>0</v>
      </c>
      <c r="G29" s="309">
        <f>SUMIFS(Adjustments!$G:$G,Adjustments!$H:$H,"2I",Adjustments!$I:$I,'Schedule 2I Adjustments'!$F$12,Adjustments!$J:$J,'Schedule 2I Adjustments'!$A29)</f>
        <v>0</v>
      </c>
      <c r="H29" s="305">
        <f t="shared" si="0"/>
        <v>0</v>
      </c>
      <c r="I29" s="68">
        <f>IFERROR(F29*'As-Filed Schedule 1'!$E$103,0)</f>
        <v>0</v>
      </c>
      <c r="J29" s="306">
        <f>IFERROR(H29*'Adjusted Schedule 1'!$E$104,0)</f>
        <v>0</v>
      </c>
      <c r="K29" s="68">
        <f t="shared" si="1"/>
        <v>0</v>
      </c>
      <c r="L29" s="306">
        <f t="shared" si="2"/>
        <v>0</v>
      </c>
      <c r="N29" s="117">
        <f>'As-Filed Schedule 2I'!J29</f>
        <v>0</v>
      </c>
      <c r="O29" s="309">
        <f>SUMIFS(Adjustments!$G:$G,Adjustments!$H:$H,"2I",Adjustments!$I:$I,'Schedule 2I Adjustments'!$N$12,Adjustments!$J:$J,'Schedule 2I Adjustments'!$A29)</f>
        <v>0</v>
      </c>
      <c r="P29" s="305">
        <f t="shared" si="3"/>
        <v>0</v>
      </c>
      <c r="Q29" s="68">
        <f>IFERROR(N29*'As-Filed Schedule 1'!$E$103,0)</f>
        <v>0</v>
      </c>
      <c r="R29" s="68">
        <f>IFERROR(P29*'Adjusted Schedule 1'!$E$104,0)</f>
        <v>0</v>
      </c>
      <c r="S29" s="68">
        <f t="shared" si="4"/>
        <v>0</v>
      </c>
      <c r="T29" s="306">
        <f t="shared" si="5"/>
        <v>0</v>
      </c>
      <c r="V29" s="119">
        <f>'As-Filed Schedule 2I'!N29</f>
        <v>0</v>
      </c>
      <c r="W29" s="309">
        <f>SUMIFS(Adjustments!$G:$G,Adjustments!$H:$H,"2I",Adjustments!$I:$I,'Schedule 2I Adjustments'!$V$12,Adjustments!$J:$J,'Schedule 2I Adjustments'!$A29)</f>
        <v>0</v>
      </c>
      <c r="X29" s="305">
        <f t="shared" si="6"/>
        <v>0</v>
      </c>
      <c r="Y29" s="119">
        <f>'As-Filed Schedule 2I'!O29</f>
        <v>0</v>
      </c>
      <c r="Z29" s="309">
        <f>SUMIFS(Adjustments!$G:$G,Adjustments!$H:$H,"2I",Adjustments!$I:$I,'Schedule 2I Adjustments'!$Y$12,Adjustments!$J:$J,'Schedule 2I Adjustments'!$A29)</f>
        <v>0</v>
      </c>
      <c r="AA29" s="305">
        <f t="shared" si="7"/>
        <v>0</v>
      </c>
    </row>
    <row r="30" spans="1:27" x14ac:dyDescent="0.35">
      <c r="A30" s="24">
        <v>16</v>
      </c>
      <c r="B30" s="514" t="str">
        <f>IF('As-Filed Schedule 2I'!B30:D30=0,"",'As-Filed Schedule 2I'!B30:D30)</f>
        <v/>
      </c>
      <c r="C30" s="514"/>
      <c r="D30" s="514"/>
      <c r="F30" s="117">
        <f>'As-Filed Schedule 2I'!F30</f>
        <v>0</v>
      </c>
      <c r="G30" s="309">
        <f>SUMIFS(Adjustments!$G:$G,Adjustments!$H:$H,"2I",Adjustments!$I:$I,'Schedule 2I Adjustments'!$F$12,Adjustments!$J:$J,'Schedule 2I Adjustments'!$A30)</f>
        <v>0</v>
      </c>
      <c r="H30" s="305">
        <f t="shared" si="0"/>
        <v>0</v>
      </c>
      <c r="I30" s="68">
        <f>IFERROR(F30*'As-Filed Schedule 1'!$E$103,0)</f>
        <v>0</v>
      </c>
      <c r="J30" s="306">
        <f>IFERROR(H30*'Adjusted Schedule 1'!$E$104,0)</f>
        <v>0</v>
      </c>
      <c r="K30" s="68">
        <f t="shared" si="1"/>
        <v>0</v>
      </c>
      <c r="L30" s="306">
        <f t="shared" si="2"/>
        <v>0</v>
      </c>
      <c r="N30" s="117">
        <f>'As-Filed Schedule 2I'!J30</f>
        <v>0</v>
      </c>
      <c r="O30" s="309">
        <f>SUMIFS(Adjustments!$G:$G,Adjustments!$H:$H,"2I",Adjustments!$I:$I,'Schedule 2I Adjustments'!$N$12,Adjustments!$J:$J,'Schedule 2I Adjustments'!$A30)</f>
        <v>0</v>
      </c>
      <c r="P30" s="305">
        <f t="shared" si="3"/>
        <v>0</v>
      </c>
      <c r="Q30" s="68">
        <f>IFERROR(N30*'As-Filed Schedule 1'!$E$103,0)</f>
        <v>0</v>
      </c>
      <c r="R30" s="68">
        <f>IFERROR(P30*'Adjusted Schedule 1'!$E$104,0)</f>
        <v>0</v>
      </c>
      <c r="S30" s="68">
        <f t="shared" si="4"/>
        <v>0</v>
      </c>
      <c r="T30" s="306">
        <f t="shared" si="5"/>
        <v>0</v>
      </c>
      <c r="V30" s="119">
        <f>'As-Filed Schedule 2I'!N30</f>
        <v>0</v>
      </c>
      <c r="W30" s="309">
        <f>SUMIFS(Adjustments!$G:$G,Adjustments!$H:$H,"2I",Adjustments!$I:$I,'Schedule 2I Adjustments'!$V$12,Adjustments!$J:$J,'Schedule 2I Adjustments'!$A30)</f>
        <v>0</v>
      </c>
      <c r="X30" s="305">
        <f t="shared" si="6"/>
        <v>0</v>
      </c>
      <c r="Y30" s="119">
        <f>'As-Filed Schedule 2I'!O30</f>
        <v>0</v>
      </c>
      <c r="Z30" s="309">
        <f>SUMIFS(Adjustments!$G:$G,Adjustments!$H:$H,"2I",Adjustments!$I:$I,'Schedule 2I Adjustments'!$Y$12,Adjustments!$J:$J,'Schedule 2I Adjustments'!$A30)</f>
        <v>0</v>
      </c>
      <c r="AA30" s="305">
        <f t="shared" si="7"/>
        <v>0</v>
      </c>
    </row>
    <row r="31" spans="1:27" x14ac:dyDescent="0.35">
      <c r="A31" s="24">
        <v>17</v>
      </c>
      <c r="B31" s="514" t="str">
        <f>IF('As-Filed Schedule 2I'!B31:D31=0,"",'As-Filed Schedule 2I'!B31:D31)</f>
        <v/>
      </c>
      <c r="C31" s="514"/>
      <c r="D31" s="514"/>
      <c r="F31" s="117">
        <f>'As-Filed Schedule 2I'!F31</f>
        <v>0</v>
      </c>
      <c r="G31" s="309">
        <f>SUMIFS(Adjustments!$G:$G,Adjustments!$H:$H,"2I",Adjustments!$I:$I,'Schedule 2I Adjustments'!$F$12,Adjustments!$J:$J,'Schedule 2I Adjustments'!$A31)</f>
        <v>0</v>
      </c>
      <c r="H31" s="305">
        <f t="shared" si="0"/>
        <v>0</v>
      </c>
      <c r="I31" s="68">
        <f>IFERROR(F31*'As-Filed Schedule 1'!$E$103,0)</f>
        <v>0</v>
      </c>
      <c r="J31" s="306">
        <f>IFERROR(H31*'Adjusted Schedule 1'!$E$104,0)</f>
        <v>0</v>
      </c>
      <c r="K31" s="68">
        <f t="shared" si="1"/>
        <v>0</v>
      </c>
      <c r="L31" s="306">
        <f t="shared" si="2"/>
        <v>0</v>
      </c>
      <c r="N31" s="117">
        <f>'As-Filed Schedule 2I'!J31</f>
        <v>0</v>
      </c>
      <c r="O31" s="309">
        <f>SUMIFS(Adjustments!$G:$G,Adjustments!$H:$H,"2I",Adjustments!$I:$I,'Schedule 2I Adjustments'!$N$12,Adjustments!$J:$J,'Schedule 2I Adjustments'!$A31)</f>
        <v>0</v>
      </c>
      <c r="P31" s="305">
        <f t="shared" si="3"/>
        <v>0</v>
      </c>
      <c r="Q31" s="68">
        <f>IFERROR(N31*'As-Filed Schedule 1'!$E$103,0)</f>
        <v>0</v>
      </c>
      <c r="R31" s="68">
        <f>IFERROR(P31*'Adjusted Schedule 1'!$E$104,0)</f>
        <v>0</v>
      </c>
      <c r="S31" s="68">
        <f t="shared" si="4"/>
        <v>0</v>
      </c>
      <c r="T31" s="306">
        <f t="shared" si="5"/>
        <v>0</v>
      </c>
      <c r="V31" s="119">
        <f>'As-Filed Schedule 2I'!N31</f>
        <v>0</v>
      </c>
      <c r="W31" s="309">
        <f>SUMIFS(Adjustments!$G:$G,Adjustments!$H:$H,"2I",Adjustments!$I:$I,'Schedule 2I Adjustments'!$V$12,Adjustments!$J:$J,'Schedule 2I Adjustments'!$A31)</f>
        <v>0</v>
      </c>
      <c r="X31" s="305">
        <f t="shared" si="6"/>
        <v>0</v>
      </c>
      <c r="Y31" s="119">
        <f>'As-Filed Schedule 2I'!O31</f>
        <v>0</v>
      </c>
      <c r="Z31" s="309">
        <f>SUMIFS(Adjustments!$G:$G,Adjustments!$H:$H,"2I",Adjustments!$I:$I,'Schedule 2I Adjustments'!$Y$12,Adjustments!$J:$J,'Schedule 2I Adjustments'!$A31)</f>
        <v>0</v>
      </c>
      <c r="AA31" s="305">
        <f t="shared" si="7"/>
        <v>0</v>
      </c>
    </row>
    <row r="32" spans="1:27" x14ac:dyDescent="0.35">
      <c r="A32" s="24">
        <v>18</v>
      </c>
      <c r="B32" s="514" t="str">
        <f>IF('As-Filed Schedule 2I'!B32:D32=0,"",'As-Filed Schedule 2I'!B32:D32)</f>
        <v/>
      </c>
      <c r="C32" s="514"/>
      <c r="D32" s="514"/>
      <c r="F32" s="117">
        <f>'As-Filed Schedule 2I'!F32</f>
        <v>0</v>
      </c>
      <c r="G32" s="309">
        <f>SUMIFS(Adjustments!$G:$G,Adjustments!$H:$H,"2I",Adjustments!$I:$I,'Schedule 2I Adjustments'!$F$12,Adjustments!$J:$J,'Schedule 2I Adjustments'!$A32)</f>
        <v>0</v>
      </c>
      <c r="H32" s="305">
        <f t="shared" si="0"/>
        <v>0</v>
      </c>
      <c r="I32" s="68">
        <f>IFERROR(F32*'As-Filed Schedule 1'!$E$103,0)</f>
        <v>0</v>
      </c>
      <c r="J32" s="306">
        <f>IFERROR(H32*'Adjusted Schedule 1'!$E$104,0)</f>
        <v>0</v>
      </c>
      <c r="K32" s="68">
        <f t="shared" si="1"/>
        <v>0</v>
      </c>
      <c r="L32" s="306">
        <f t="shared" si="2"/>
        <v>0</v>
      </c>
      <c r="N32" s="117">
        <f>'As-Filed Schedule 2I'!J32</f>
        <v>0</v>
      </c>
      <c r="O32" s="309">
        <f>SUMIFS(Adjustments!$G:$G,Adjustments!$H:$H,"2I",Adjustments!$I:$I,'Schedule 2I Adjustments'!$N$12,Adjustments!$J:$J,'Schedule 2I Adjustments'!$A32)</f>
        <v>0</v>
      </c>
      <c r="P32" s="305">
        <f t="shared" si="3"/>
        <v>0</v>
      </c>
      <c r="Q32" s="68">
        <f>IFERROR(N32*'As-Filed Schedule 1'!$E$103,0)</f>
        <v>0</v>
      </c>
      <c r="R32" s="68">
        <f>IFERROR(P32*'Adjusted Schedule 1'!$E$104,0)</f>
        <v>0</v>
      </c>
      <c r="S32" s="68">
        <f t="shared" si="4"/>
        <v>0</v>
      </c>
      <c r="T32" s="306">
        <f t="shared" si="5"/>
        <v>0</v>
      </c>
      <c r="V32" s="119">
        <f>'As-Filed Schedule 2I'!N32</f>
        <v>0</v>
      </c>
      <c r="W32" s="309">
        <f>SUMIFS(Adjustments!$G:$G,Adjustments!$H:$H,"2I",Adjustments!$I:$I,'Schedule 2I Adjustments'!$V$12,Adjustments!$J:$J,'Schedule 2I Adjustments'!$A32)</f>
        <v>0</v>
      </c>
      <c r="X32" s="305">
        <f t="shared" si="6"/>
        <v>0</v>
      </c>
      <c r="Y32" s="119">
        <f>'As-Filed Schedule 2I'!O32</f>
        <v>0</v>
      </c>
      <c r="Z32" s="309">
        <f>SUMIFS(Adjustments!$G:$G,Adjustments!$H:$H,"2I",Adjustments!$I:$I,'Schedule 2I Adjustments'!$Y$12,Adjustments!$J:$J,'Schedule 2I Adjustments'!$A32)</f>
        <v>0</v>
      </c>
      <c r="AA32" s="305">
        <f t="shared" si="7"/>
        <v>0</v>
      </c>
    </row>
    <row r="33" spans="1:27" x14ac:dyDescent="0.35">
      <c r="A33" s="24">
        <v>19</v>
      </c>
      <c r="B33" s="514" t="str">
        <f>IF('As-Filed Schedule 2I'!B33:D33=0,"",'As-Filed Schedule 2I'!B33:D33)</f>
        <v/>
      </c>
      <c r="C33" s="514"/>
      <c r="D33" s="514"/>
      <c r="F33" s="117">
        <f>'As-Filed Schedule 2I'!F33</f>
        <v>0</v>
      </c>
      <c r="G33" s="309">
        <f>SUMIFS(Adjustments!$G:$G,Adjustments!$H:$H,"2I",Adjustments!$I:$I,'Schedule 2I Adjustments'!$F$12,Adjustments!$J:$J,'Schedule 2I Adjustments'!$A33)</f>
        <v>0</v>
      </c>
      <c r="H33" s="305">
        <f t="shared" si="0"/>
        <v>0</v>
      </c>
      <c r="I33" s="68">
        <f>IFERROR(F33*'As-Filed Schedule 1'!$E$103,0)</f>
        <v>0</v>
      </c>
      <c r="J33" s="306">
        <f>IFERROR(H33*'Adjusted Schedule 1'!$E$104,0)</f>
        <v>0</v>
      </c>
      <c r="K33" s="68">
        <f t="shared" si="1"/>
        <v>0</v>
      </c>
      <c r="L33" s="306">
        <f t="shared" si="2"/>
        <v>0</v>
      </c>
      <c r="N33" s="117">
        <f>'As-Filed Schedule 2I'!J33</f>
        <v>0</v>
      </c>
      <c r="O33" s="309">
        <f>SUMIFS(Adjustments!$G:$G,Adjustments!$H:$H,"2I",Adjustments!$I:$I,'Schedule 2I Adjustments'!$N$12,Adjustments!$J:$J,'Schedule 2I Adjustments'!$A33)</f>
        <v>0</v>
      </c>
      <c r="P33" s="305">
        <f t="shared" si="3"/>
        <v>0</v>
      </c>
      <c r="Q33" s="68">
        <f>IFERROR(N33*'As-Filed Schedule 1'!$E$103,0)</f>
        <v>0</v>
      </c>
      <c r="R33" s="68">
        <f>IFERROR(P33*'Adjusted Schedule 1'!$E$104,0)</f>
        <v>0</v>
      </c>
      <c r="S33" s="68">
        <f t="shared" si="4"/>
        <v>0</v>
      </c>
      <c r="T33" s="306">
        <f t="shared" si="5"/>
        <v>0</v>
      </c>
      <c r="V33" s="119">
        <f>'As-Filed Schedule 2I'!N33</f>
        <v>0</v>
      </c>
      <c r="W33" s="309">
        <f>SUMIFS(Adjustments!$G:$G,Adjustments!$H:$H,"2I",Adjustments!$I:$I,'Schedule 2I Adjustments'!$V$12,Adjustments!$J:$J,'Schedule 2I Adjustments'!$A33)</f>
        <v>0</v>
      </c>
      <c r="X33" s="305">
        <f t="shared" si="6"/>
        <v>0</v>
      </c>
      <c r="Y33" s="119">
        <f>'As-Filed Schedule 2I'!O33</f>
        <v>0</v>
      </c>
      <c r="Z33" s="309">
        <f>SUMIFS(Adjustments!$G:$G,Adjustments!$H:$H,"2I",Adjustments!$I:$I,'Schedule 2I Adjustments'!$Y$12,Adjustments!$J:$J,'Schedule 2I Adjustments'!$A33)</f>
        <v>0</v>
      </c>
      <c r="AA33" s="305">
        <f t="shared" si="7"/>
        <v>0</v>
      </c>
    </row>
    <row r="34" spans="1:27" x14ac:dyDescent="0.35">
      <c r="A34" s="24">
        <v>20</v>
      </c>
      <c r="B34" s="514" t="str">
        <f>IF('As-Filed Schedule 2I'!B34:D34=0,"",'As-Filed Schedule 2I'!B34:D34)</f>
        <v/>
      </c>
      <c r="C34" s="514"/>
      <c r="D34" s="514"/>
      <c r="F34" s="117">
        <f>'As-Filed Schedule 2I'!F34</f>
        <v>0</v>
      </c>
      <c r="G34" s="309">
        <f>SUMIFS(Adjustments!$G:$G,Adjustments!$H:$H,"2I",Adjustments!$I:$I,'Schedule 2I Adjustments'!$F$12,Adjustments!$J:$J,'Schedule 2I Adjustments'!$A34)</f>
        <v>0</v>
      </c>
      <c r="H34" s="305">
        <f t="shared" si="0"/>
        <v>0</v>
      </c>
      <c r="I34" s="68">
        <f>IFERROR(F34*'As-Filed Schedule 1'!$E$103,0)</f>
        <v>0</v>
      </c>
      <c r="J34" s="306">
        <f>IFERROR(H34*'Adjusted Schedule 1'!$E$104,0)</f>
        <v>0</v>
      </c>
      <c r="K34" s="68">
        <f t="shared" si="1"/>
        <v>0</v>
      </c>
      <c r="L34" s="306">
        <f t="shared" si="2"/>
        <v>0</v>
      </c>
      <c r="N34" s="117">
        <f>'As-Filed Schedule 2I'!J34</f>
        <v>0</v>
      </c>
      <c r="O34" s="309">
        <f>SUMIFS(Adjustments!$G:$G,Adjustments!$H:$H,"2I",Adjustments!$I:$I,'Schedule 2I Adjustments'!$N$12,Adjustments!$J:$J,'Schedule 2I Adjustments'!$A34)</f>
        <v>0</v>
      </c>
      <c r="P34" s="305">
        <f t="shared" si="3"/>
        <v>0</v>
      </c>
      <c r="Q34" s="68">
        <f>IFERROR(N34*'As-Filed Schedule 1'!$E$103,0)</f>
        <v>0</v>
      </c>
      <c r="R34" s="68">
        <f>IFERROR(P34*'Adjusted Schedule 1'!$E$104,0)</f>
        <v>0</v>
      </c>
      <c r="S34" s="68">
        <f t="shared" si="4"/>
        <v>0</v>
      </c>
      <c r="T34" s="306">
        <f t="shared" si="5"/>
        <v>0</v>
      </c>
      <c r="V34" s="119">
        <f>'As-Filed Schedule 2I'!N34</f>
        <v>0</v>
      </c>
      <c r="W34" s="309">
        <f>SUMIFS(Adjustments!$G:$G,Adjustments!$H:$H,"2I",Adjustments!$I:$I,'Schedule 2I Adjustments'!$V$12,Adjustments!$J:$J,'Schedule 2I Adjustments'!$A34)</f>
        <v>0</v>
      </c>
      <c r="X34" s="305">
        <f t="shared" si="6"/>
        <v>0</v>
      </c>
      <c r="Y34" s="119">
        <f>'As-Filed Schedule 2I'!O34</f>
        <v>0</v>
      </c>
      <c r="Z34" s="309">
        <f>SUMIFS(Adjustments!$G:$G,Adjustments!$H:$H,"2I",Adjustments!$I:$I,'Schedule 2I Adjustments'!$Y$12,Adjustments!$J:$J,'Schedule 2I Adjustments'!$A34)</f>
        <v>0</v>
      </c>
      <c r="AA34" s="305">
        <f t="shared" si="7"/>
        <v>0</v>
      </c>
    </row>
    <row r="35" spans="1:27" x14ac:dyDescent="0.35">
      <c r="A35" s="24">
        <v>21</v>
      </c>
      <c r="B35" s="514" t="str">
        <f>IF('As-Filed Schedule 2I'!B35:D35=0,"",'As-Filed Schedule 2I'!B35:D35)</f>
        <v/>
      </c>
      <c r="C35" s="514"/>
      <c r="D35" s="514"/>
      <c r="F35" s="117">
        <f>'As-Filed Schedule 2I'!F35</f>
        <v>0</v>
      </c>
      <c r="G35" s="309">
        <f>SUMIFS(Adjustments!$G:$G,Adjustments!$H:$H,"2I",Adjustments!$I:$I,'Schedule 2I Adjustments'!$F$12,Adjustments!$J:$J,'Schedule 2I Adjustments'!$A35)</f>
        <v>0</v>
      </c>
      <c r="H35" s="305">
        <f t="shared" si="0"/>
        <v>0</v>
      </c>
      <c r="I35" s="68">
        <f>IFERROR(F35*'As-Filed Schedule 1'!$E$103,0)</f>
        <v>0</v>
      </c>
      <c r="J35" s="306">
        <f>IFERROR(H35*'Adjusted Schedule 1'!$E$104,0)</f>
        <v>0</v>
      </c>
      <c r="K35" s="68">
        <f t="shared" si="1"/>
        <v>0</v>
      </c>
      <c r="L35" s="306">
        <f t="shared" si="2"/>
        <v>0</v>
      </c>
      <c r="N35" s="117">
        <f>'As-Filed Schedule 2I'!J35</f>
        <v>0</v>
      </c>
      <c r="O35" s="309">
        <f>SUMIFS(Adjustments!$G:$G,Adjustments!$H:$H,"2I",Adjustments!$I:$I,'Schedule 2I Adjustments'!$N$12,Adjustments!$J:$J,'Schedule 2I Adjustments'!$A35)</f>
        <v>0</v>
      </c>
      <c r="P35" s="305">
        <f t="shared" si="3"/>
        <v>0</v>
      </c>
      <c r="Q35" s="68">
        <f>IFERROR(N35*'As-Filed Schedule 1'!$E$103,0)</f>
        <v>0</v>
      </c>
      <c r="R35" s="68">
        <f>IFERROR(P35*'Adjusted Schedule 1'!$E$104,0)</f>
        <v>0</v>
      </c>
      <c r="S35" s="68">
        <f t="shared" si="4"/>
        <v>0</v>
      </c>
      <c r="T35" s="306">
        <f t="shared" si="5"/>
        <v>0</v>
      </c>
      <c r="V35" s="119">
        <f>'As-Filed Schedule 2I'!N35</f>
        <v>0</v>
      </c>
      <c r="W35" s="309">
        <f>SUMIFS(Adjustments!$G:$G,Adjustments!$H:$H,"2I",Adjustments!$I:$I,'Schedule 2I Adjustments'!$V$12,Adjustments!$J:$J,'Schedule 2I Adjustments'!$A35)</f>
        <v>0</v>
      </c>
      <c r="X35" s="305">
        <f t="shared" si="6"/>
        <v>0</v>
      </c>
      <c r="Y35" s="119">
        <f>'As-Filed Schedule 2I'!O35</f>
        <v>0</v>
      </c>
      <c r="Z35" s="309">
        <f>SUMIFS(Adjustments!$G:$G,Adjustments!$H:$H,"2I",Adjustments!$I:$I,'Schedule 2I Adjustments'!$Y$12,Adjustments!$J:$J,'Schedule 2I Adjustments'!$A35)</f>
        <v>0</v>
      </c>
      <c r="AA35" s="305">
        <f t="shared" si="7"/>
        <v>0</v>
      </c>
    </row>
    <row r="36" spans="1:27" x14ac:dyDescent="0.35">
      <c r="A36" s="24">
        <v>22</v>
      </c>
      <c r="B36" s="514" t="str">
        <f>IF('As-Filed Schedule 2I'!B36:D36=0,"",'As-Filed Schedule 2I'!B36:D36)</f>
        <v/>
      </c>
      <c r="C36" s="514"/>
      <c r="D36" s="514"/>
      <c r="F36" s="117">
        <f>'As-Filed Schedule 2I'!F36</f>
        <v>0</v>
      </c>
      <c r="G36" s="309">
        <f>SUMIFS(Adjustments!$G:$G,Adjustments!$H:$H,"2I",Adjustments!$I:$I,'Schedule 2I Adjustments'!$F$12,Adjustments!$J:$J,'Schedule 2I Adjustments'!$A36)</f>
        <v>0</v>
      </c>
      <c r="H36" s="305">
        <f t="shared" si="0"/>
        <v>0</v>
      </c>
      <c r="I36" s="68">
        <f>IFERROR(F36*'As-Filed Schedule 1'!$E$103,0)</f>
        <v>0</v>
      </c>
      <c r="J36" s="306">
        <f>IFERROR(H36*'Adjusted Schedule 1'!$E$104,0)</f>
        <v>0</v>
      </c>
      <c r="K36" s="68">
        <f t="shared" si="1"/>
        <v>0</v>
      </c>
      <c r="L36" s="306">
        <f t="shared" si="2"/>
        <v>0</v>
      </c>
      <c r="N36" s="117">
        <f>'As-Filed Schedule 2I'!J36</f>
        <v>0</v>
      </c>
      <c r="O36" s="309">
        <f>SUMIFS(Adjustments!$G:$G,Adjustments!$H:$H,"2I",Adjustments!$I:$I,'Schedule 2I Adjustments'!$N$12,Adjustments!$J:$J,'Schedule 2I Adjustments'!$A36)</f>
        <v>0</v>
      </c>
      <c r="P36" s="305">
        <f t="shared" si="3"/>
        <v>0</v>
      </c>
      <c r="Q36" s="68">
        <f>IFERROR(N36*'As-Filed Schedule 1'!$E$103,0)</f>
        <v>0</v>
      </c>
      <c r="R36" s="68">
        <f>IFERROR(P36*'Adjusted Schedule 1'!$E$104,0)</f>
        <v>0</v>
      </c>
      <c r="S36" s="68">
        <f t="shared" si="4"/>
        <v>0</v>
      </c>
      <c r="T36" s="306">
        <f t="shared" si="5"/>
        <v>0</v>
      </c>
      <c r="V36" s="119">
        <f>'As-Filed Schedule 2I'!N36</f>
        <v>0</v>
      </c>
      <c r="W36" s="309">
        <f>SUMIFS(Adjustments!$G:$G,Adjustments!$H:$H,"2I",Adjustments!$I:$I,'Schedule 2I Adjustments'!$V$12,Adjustments!$J:$J,'Schedule 2I Adjustments'!$A36)</f>
        <v>0</v>
      </c>
      <c r="X36" s="305">
        <f t="shared" si="6"/>
        <v>0</v>
      </c>
      <c r="Y36" s="119">
        <f>'As-Filed Schedule 2I'!O36</f>
        <v>0</v>
      </c>
      <c r="Z36" s="309">
        <f>SUMIFS(Adjustments!$G:$G,Adjustments!$H:$H,"2I",Adjustments!$I:$I,'Schedule 2I Adjustments'!$Y$12,Adjustments!$J:$J,'Schedule 2I Adjustments'!$A36)</f>
        <v>0</v>
      </c>
      <c r="AA36" s="305">
        <f t="shared" si="7"/>
        <v>0</v>
      </c>
    </row>
    <row r="37" spans="1:27" x14ac:dyDescent="0.35">
      <c r="A37" s="24">
        <v>23</v>
      </c>
      <c r="B37" s="514" t="str">
        <f>IF('As-Filed Schedule 2I'!B37:D37=0,"",'As-Filed Schedule 2I'!B37:D37)</f>
        <v/>
      </c>
      <c r="C37" s="514"/>
      <c r="D37" s="514"/>
      <c r="F37" s="117">
        <f>'As-Filed Schedule 2I'!F37</f>
        <v>0</v>
      </c>
      <c r="G37" s="309">
        <f>SUMIFS(Adjustments!$G:$G,Adjustments!$H:$H,"2I",Adjustments!$I:$I,'Schedule 2I Adjustments'!$F$12,Adjustments!$J:$J,'Schedule 2I Adjustments'!$A37)</f>
        <v>0</v>
      </c>
      <c r="H37" s="305">
        <f t="shared" si="0"/>
        <v>0</v>
      </c>
      <c r="I37" s="68">
        <f>IFERROR(F37*'As-Filed Schedule 1'!$E$103,0)</f>
        <v>0</v>
      </c>
      <c r="J37" s="306">
        <f>IFERROR(H37*'Adjusted Schedule 1'!$E$104,0)</f>
        <v>0</v>
      </c>
      <c r="K37" s="68">
        <f t="shared" si="1"/>
        <v>0</v>
      </c>
      <c r="L37" s="306">
        <f t="shared" si="2"/>
        <v>0</v>
      </c>
      <c r="N37" s="117">
        <f>'As-Filed Schedule 2I'!J37</f>
        <v>0</v>
      </c>
      <c r="O37" s="309">
        <f>SUMIFS(Adjustments!$G:$G,Adjustments!$H:$H,"2I",Adjustments!$I:$I,'Schedule 2I Adjustments'!$N$12,Adjustments!$J:$J,'Schedule 2I Adjustments'!$A37)</f>
        <v>0</v>
      </c>
      <c r="P37" s="305">
        <f t="shared" si="3"/>
        <v>0</v>
      </c>
      <c r="Q37" s="68">
        <f>IFERROR(N37*'As-Filed Schedule 1'!$E$103,0)</f>
        <v>0</v>
      </c>
      <c r="R37" s="68">
        <f>IFERROR(P37*'Adjusted Schedule 1'!$E$104,0)</f>
        <v>0</v>
      </c>
      <c r="S37" s="68">
        <f t="shared" si="4"/>
        <v>0</v>
      </c>
      <c r="T37" s="306">
        <f t="shared" si="5"/>
        <v>0</v>
      </c>
      <c r="V37" s="119">
        <f>'As-Filed Schedule 2I'!N37</f>
        <v>0</v>
      </c>
      <c r="W37" s="309">
        <f>SUMIFS(Adjustments!$G:$G,Adjustments!$H:$H,"2I",Adjustments!$I:$I,'Schedule 2I Adjustments'!$V$12,Adjustments!$J:$J,'Schedule 2I Adjustments'!$A37)</f>
        <v>0</v>
      </c>
      <c r="X37" s="305">
        <f t="shared" si="6"/>
        <v>0</v>
      </c>
      <c r="Y37" s="119">
        <f>'As-Filed Schedule 2I'!O37</f>
        <v>0</v>
      </c>
      <c r="Z37" s="309">
        <f>SUMIFS(Adjustments!$G:$G,Adjustments!$H:$H,"2I",Adjustments!$I:$I,'Schedule 2I Adjustments'!$Y$12,Adjustments!$J:$J,'Schedule 2I Adjustments'!$A37)</f>
        <v>0</v>
      </c>
      <c r="AA37" s="305">
        <f t="shared" si="7"/>
        <v>0</v>
      </c>
    </row>
    <row r="38" spans="1:27" x14ac:dyDescent="0.35">
      <c r="A38" s="24">
        <v>24</v>
      </c>
      <c r="B38" s="514" t="str">
        <f>IF('As-Filed Schedule 2I'!B38:D38=0,"",'As-Filed Schedule 2I'!B38:D38)</f>
        <v/>
      </c>
      <c r="C38" s="514"/>
      <c r="D38" s="514"/>
      <c r="F38" s="117">
        <f>'As-Filed Schedule 2I'!F38</f>
        <v>0</v>
      </c>
      <c r="G38" s="309">
        <f>SUMIFS(Adjustments!$G:$G,Adjustments!$H:$H,"2I",Adjustments!$I:$I,'Schedule 2I Adjustments'!$F$12,Adjustments!$J:$J,'Schedule 2I Adjustments'!$A38)</f>
        <v>0</v>
      </c>
      <c r="H38" s="305">
        <f t="shared" si="0"/>
        <v>0</v>
      </c>
      <c r="I38" s="68">
        <f>IFERROR(F38*'As-Filed Schedule 1'!$E$103,0)</f>
        <v>0</v>
      </c>
      <c r="J38" s="306">
        <f>IFERROR(H38*'Adjusted Schedule 1'!$E$104,0)</f>
        <v>0</v>
      </c>
      <c r="K38" s="68">
        <f t="shared" si="1"/>
        <v>0</v>
      </c>
      <c r="L38" s="306">
        <f t="shared" si="2"/>
        <v>0</v>
      </c>
      <c r="N38" s="117">
        <f>'As-Filed Schedule 2I'!J38</f>
        <v>0</v>
      </c>
      <c r="O38" s="309">
        <f>SUMIFS(Adjustments!$G:$G,Adjustments!$H:$H,"2I",Adjustments!$I:$I,'Schedule 2I Adjustments'!$N$12,Adjustments!$J:$J,'Schedule 2I Adjustments'!$A38)</f>
        <v>0</v>
      </c>
      <c r="P38" s="305">
        <f t="shared" si="3"/>
        <v>0</v>
      </c>
      <c r="Q38" s="68">
        <f>IFERROR(N38*'As-Filed Schedule 1'!$E$103,0)</f>
        <v>0</v>
      </c>
      <c r="R38" s="68">
        <f>IFERROR(P38*'Adjusted Schedule 1'!$E$104,0)</f>
        <v>0</v>
      </c>
      <c r="S38" s="68">
        <f t="shared" si="4"/>
        <v>0</v>
      </c>
      <c r="T38" s="306">
        <f t="shared" si="5"/>
        <v>0</v>
      </c>
      <c r="V38" s="119">
        <f>'As-Filed Schedule 2I'!N38</f>
        <v>0</v>
      </c>
      <c r="W38" s="309">
        <f>SUMIFS(Adjustments!$G:$G,Adjustments!$H:$H,"2I",Adjustments!$I:$I,'Schedule 2I Adjustments'!$V$12,Adjustments!$J:$J,'Schedule 2I Adjustments'!$A38)</f>
        <v>0</v>
      </c>
      <c r="X38" s="305">
        <f t="shared" si="6"/>
        <v>0</v>
      </c>
      <c r="Y38" s="119">
        <f>'As-Filed Schedule 2I'!O38</f>
        <v>0</v>
      </c>
      <c r="Z38" s="309">
        <f>SUMIFS(Adjustments!$G:$G,Adjustments!$H:$H,"2I",Adjustments!$I:$I,'Schedule 2I Adjustments'!$Y$12,Adjustments!$J:$J,'Schedule 2I Adjustments'!$A38)</f>
        <v>0</v>
      </c>
      <c r="AA38" s="305">
        <f t="shared" si="7"/>
        <v>0</v>
      </c>
    </row>
    <row r="39" spans="1:27" x14ac:dyDescent="0.35">
      <c r="A39" s="24">
        <v>25</v>
      </c>
      <c r="B39" s="514" t="str">
        <f>IF('As-Filed Schedule 2I'!B39:D39=0,"",'As-Filed Schedule 2I'!B39:D39)</f>
        <v/>
      </c>
      <c r="C39" s="514"/>
      <c r="D39" s="514"/>
      <c r="F39" s="117">
        <f>'As-Filed Schedule 2I'!F39</f>
        <v>0</v>
      </c>
      <c r="G39" s="309">
        <f>SUMIFS(Adjustments!$G:$G,Adjustments!$H:$H,"2I",Adjustments!$I:$I,'Schedule 2I Adjustments'!$F$12,Adjustments!$J:$J,'Schedule 2I Adjustments'!$A39)</f>
        <v>0</v>
      </c>
      <c r="H39" s="305">
        <f t="shared" si="0"/>
        <v>0</v>
      </c>
      <c r="I39" s="68">
        <f>IFERROR(F39*'As-Filed Schedule 1'!$E$103,0)</f>
        <v>0</v>
      </c>
      <c r="J39" s="306">
        <f>IFERROR(H39*'Adjusted Schedule 1'!$E$104,0)</f>
        <v>0</v>
      </c>
      <c r="K39" s="68">
        <f t="shared" si="1"/>
        <v>0</v>
      </c>
      <c r="L39" s="306">
        <f t="shared" si="2"/>
        <v>0</v>
      </c>
      <c r="N39" s="117">
        <f>'As-Filed Schedule 2I'!J39</f>
        <v>0</v>
      </c>
      <c r="O39" s="309">
        <f>SUMIFS(Adjustments!$G:$G,Adjustments!$H:$H,"2I",Adjustments!$I:$I,'Schedule 2I Adjustments'!$N$12,Adjustments!$J:$J,'Schedule 2I Adjustments'!$A39)</f>
        <v>0</v>
      </c>
      <c r="P39" s="305">
        <f t="shared" si="3"/>
        <v>0</v>
      </c>
      <c r="Q39" s="68">
        <f>IFERROR(N39*'As-Filed Schedule 1'!$E$103,0)</f>
        <v>0</v>
      </c>
      <c r="R39" s="68">
        <f>IFERROR(P39*'Adjusted Schedule 1'!$E$104,0)</f>
        <v>0</v>
      </c>
      <c r="S39" s="68">
        <f t="shared" si="4"/>
        <v>0</v>
      </c>
      <c r="T39" s="306">
        <f t="shared" si="5"/>
        <v>0</v>
      </c>
      <c r="V39" s="119">
        <f>'As-Filed Schedule 2I'!N39</f>
        <v>0</v>
      </c>
      <c r="W39" s="309">
        <f>SUMIFS(Adjustments!$G:$G,Adjustments!$H:$H,"2I",Adjustments!$I:$I,'Schedule 2I Adjustments'!$V$12,Adjustments!$J:$J,'Schedule 2I Adjustments'!$A39)</f>
        <v>0</v>
      </c>
      <c r="X39" s="305">
        <f t="shared" si="6"/>
        <v>0</v>
      </c>
      <c r="Y39" s="119">
        <f>'As-Filed Schedule 2I'!O39</f>
        <v>0</v>
      </c>
      <c r="Z39" s="309">
        <f>SUMIFS(Adjustments!$G:$G,Adjustments!$H:$H,"2I",Adjustments!$I:$I,'Schedule 2I Adjustments'!$Y$12,Adjustments!$J:$J,'Schedule 2I Adjustments'!$A39)</f>
        <v>0</v>
      </c>
      <c r="AA39" s="305">
        <f t="shared" si="7"/>
        <v>0</v>
      </c>
    </row>
    <row r="40" spans="1:27" x14ac:dyDescent="0.35">
      <c r="A40" s="24">
        <v>26</v>
      </c>
      <c r="B40" s="514" t="str">
        <f>IF('As-Filed Schedule 2I'!B40:D40=0,"",'As-Filed Schedule 2I'!B40:D40)</f>
        <v/>
      </c>
      <c r="C40" s="514"/>
      <c r="D40" s="514"/>
      <c r="F40" s="117">
        <f>'As-Filed Schedule 2I'!F40</f>
        <v>0</v>
      </c>
      <c r="G40" s="309">
        <f>SUMIFS(Adjustments!$G:$G,Adjustments!$H:$H,"2I",Adjustments!$I:$I,'Schedule 2I Adjustments'!$F$12,Adjustments!$J:$J,'Schedule 2I Adjustments'!$A40)</f>
        <v>0</v>
      </c>
      <c r="H40" s="305">
        <f t="shared" si="0"/>
        <v>0</v>
      </c>
      <c r="I40" s="68">
        <f>IFERROR(F40*'As-Filed Schedule 1'!$E$103,0)</f>
        <v>0</v>
      </c>
      <c r="J40" s="306">
        <f>IFERROR(H40*'Adjusted Schedule 1'!$E$104,0)</f>
        <v>0</v>
      </c>
      <c r="K40" s="68">
        <f t="shared" si="1"/>
        <v>0</v>
      </c>
      <c r="L40" s="306">
        <f t="shared" si="2"/>
        <v>0</v>
      </c>
      <c r="N40" s="117">
        <f>'As-Filed Schedule 2I'!J40</f>
        <v>0</v>
      </c>
      <c r="O40" s="309">
        <f>SUMIFS(Adjustments!$G:$G,Adjustments!$H:$H,"2I",Adjustments!$I:$I,'Schedule 2I Adjustments'!$N$12,Adjustments!$J:$J,'Schedule 2I Adjustments'!$A40)</f>
        <v>0</v>
      </c>
      <c r="P40" s="305">
        <f t="shared" si="3"/>
        <v>0</v>
      </c>
      <c r="Q40" s="68">
        <f>IFERROR(N40*'As-Filed Schedule 1'!$E$103,0)</f>
        <v>0</v>
      </c>
      <c r="R40" s="68">
        <f>IFERROR(P40*'Adjusted Schedule 1'!$E$104,0)</f>
        <v>0</v>
      </c>
      <c r="S40" s="68">
        <f t="shared" si="4"/>
        <v>0</v>
      </c>
      <c r="T40" s="306">
        <f t="shared" si="5"/>
        <v>0</v>
      </c>
      <c r="V40" s="119">
        <f>'As-Filed Schedule 2I'!N40</f>
        <v>0</v>
      </c>
      <c r="W40" s="309">
        <f>SUMIFS(Adjustments!$G:$G,Adjustments!$H:$H,"2I",Adjustments!$I:$I,'Schedule 2I Adjustments'!$V$12,Adjustments!$J:$J,'Schedule 2I Adjustments'!$A40)</f>
        <v>0</v>
      </c>
      <c r="X40" s="305">
        <f t="shared" si="6"/>
        <v>0</v>
      </c>
      <c r="Y40" s="119">
        <f>'As-Filed Schedule 2I'!O40</f>
        <v>0</v>
      </c>
      <c r="Z40" s="309">
        <f>SUMIFS(Adjustments!$G:$G,Adjustments!$H:$H,"2I",Adjustments!$I:$I,'Schedule 2I Adjustments'!$Y$12,Adjustments!$J:$J,'Schedule 2I Adjustments'!$A40)</f>
        <v>0</v>
      </c>
      <c r="AA40" s="305">
        <f t="shared" si="7"/>
        <v>0</v>
      </c>
    </row>
    <row r="41" spans="1:27" x14ac:dyDescent="0.35">
      <c r="A41" s="24">
        <v>27</v>
      </c>
      <c r="B41" s="514" t="str">
        <f>IF('As-Filed Schedule 2I'!B41:D41=0,"",'As-Filed Schedule 2I'!B41:D41)</f>
        <v/>
      </c>
      <c r="C41" s="514"/>
      <c r="D41" s="514"/>
      <c r="F41" s="117">
        <f>'As-Filed Schedule 2I'!F41</f>
        <v>0</v>
      </c>
      <c r="G41" s="309">
        <f>SUMIFS(Adjustments!$G:$G,Adjustments!$H:$H,"2I",Adjustments!$I:$I,'Schedule 2I Adjustments'!$F$12,Adjustments!$J:$J,'Schedule 2I Adjustments'!$A41)</f>
        <v>0</v>
      </c>
      <c r="H41" s="305">
        <f t="shared" si="0"/>
        <v>0</v>
      </c>
      <c r="I41" s="68">
        <f>IFERROR(F41*'As-Filed Schedule 1'!$E$103,0)</f>
        <v>0</v>
      </c>
      <c r="J41" s="306">
        <f>IFERROR(H41*'Adjusted Schedule 1'!$E$104,0)</f>
        <v>0</v>
      </c>
      <c r="K41" s="68">
        <f t="shared" si="1"/>
        <v>0</v>
      </c>
      <c r="L41" s="306">
        <f t="shared" si="2"/>
        <v>0</v>
      </c>
      <c r="N41" s="117">
        <f>'As-Filed Schedule 2I'!J41</f>
        <v>0</v>
      </c>
      <c r="O41" s="309">
        <f>SUMIFS(Adjustments!$G:$G,Adjustments!$H:$H,"2I",Adjustments!$I:$I,'Schedule 2I Adjustments'!$N$12,Adjustments!$J:$J,'Schedule 2I Adjustments'!$A41)</f>
        <v>0</v>
      </c>
      <c r="P41" s="305">
        <f t="shared" si="3"/>
        <v>0</v>
      </c>
      <c r="Q41" s="68">
        <f>IFERROR(N41*'As-Filed Schedule 1'!$E$103,0)</f>
        <v>0</v>
      </c>
      <c r="R41" s="68">
        <f>IFERROR(P41*'Adjusted Schedule 1'!$E$104,0)</f>
        <v>0</v>
      </c>
      <c r="S41" s="68">
        <f t="shared" si="4"/>
        <v>0</v>
      </c>
      <c r="T41" s="306">
        <f t="shared" si="5"/>
        <v>0</v>
      </c>
      <c r="V41" s="119">
        <f>'As-Filed Schedule 2I'!N41</f>
        <v>0</v>
      </c>
      <c r="W41" s="309">
        <f>SUMIFS(Adjustments!$G:$G,Adjustments!$H:$H,"2I",Adjustments!$I:$I,'Schedule 2I Adjustments'!$V$12,Adjustments!$J:$J,'Schedule 2I Adjustments'!$A41)</f>
        <v>0</v>
      </c>
      <c r="X41" s="305">
        <f t="shared" si="6"/>
        <v>0</v>
      </c>
      <c r="Y41" s="119">
        <f>'As-Filed Schedule 2I'!O41</f>
        <v>0</v>
      </c>
      <c r="Z41" s="309">
        <f>SUMIFS(Adjustments!$G:$G,Adjustments!$H:$H,"2I",Adjustments!$I:$I,'Schedule 2I Adjustments'!$Y$12,Adjustments!$J:$J,'Schedule 2I Adjustments'!$A41)</f>
        <v>0</v>
      </c>
      <c r="AA41" s="305">
        <f t="shared" si="7"/>
        <v>0</v>
      </c>
    </row>
    <row r="42" spans="1:27" x14ac:dyDescent="0.35">
      <c r="A42" s="24">
        <v>28</v>
      </c>
      <c r="B42" s="514" t="str">
        <f>IF('As-Filed Schedule 2I'!B42:D42=0,"",'As-Filed Schedule 2I'!B42:D42)</f>
        <v/>
      </c>
      <c r="C42" s="514"/>
      <c r="D42" s="514"/>
      <c r="F42" s="117">
        <f>'As-Filed Schedule 2I'!F42</f>
        <v>0</v>
      </c>
      <c r="G42" s="309">
        <f>SUMIFS(Adjustments!$G:$G,Adjustments!$H:$H,"2I",Adjustments!$I:$I,'Schedule 2I Adjustments'!$F$12,Adjustments!$J:$J,'Schedule 2I Adjustments'!$A42)</f>
        <v>0</v>
      </c>
      <c r="H42" s="305">
        <f t="shared" si="0"/>
        <v>0</v>
      </c>
      <c r="I42" s="68">
        <f>IFERROR(F42*'As-Filed Schedule 1'!$E$103,0)</f>
        <v>0</v>
      </c>
      <c r="J42" s="306">
        <f>IFERROR(H42*'Adjusted Schedule 1'!$E$104,0)</f>
        <v>0</v>
      </c>
      <c r="K42" s="68">
        <f t="shared" si="1"/>
        <v>0</v>
      </c>
      <c r="L42" s="306">
        <f t="shared" si="2"/>
        <v>0</v>
      </c>
      <c r="N42" s="117">
        <f>'As-Filed Schedule 2I'!J42</f>
        <v>0</v>
      </c>
      <c r="O42" s="309">
        <f>SUMIFS(Adjustments!$G:$G,Adjustments!$H:$H,"2I",Adjustments!$I:$I,'Schedule 2I Adjustments'!$N$12,Adjustments!$J:$J,'Schedule 2I Adjustments'!$A42)</f>
        <v>0</v>
      </c>
      <c r="P42" s="305">
        <f t="shared" si="3"/>
        <v>0</v>
      </c>
      <c r="Q42" s="68">
        <f>IFERROR(N42*'As-Filed Schedule 1'!$E$103,0)</f>
        <v>0</v>
      </c>
      <c r="R42" s="68">
        <f>IFERROR(P42*'Adjusted Schedule 1'!$E$104,0)</f>
        <v>0</v>
      </c>
      <c r="S42" s="68">
        <f t="shared" si="4"/>
        <v>0</v>
      </c>
      <c r="T42" s="306">
        <f t="shared" si="5"/>
        <v>0</v>
      </c>
      <c r="V42" s="119">
        <f>'As-Filed Schedule 2I'!N42</f>
        <v>0</v>
      </c>
      <c r="W42" s="309">
        <f>SUMIFS(Adjustments!$G:$G,Adjustments!$H:$H,"2I",Adjustments!$I:$I,'Schedule 2I Adjustments'!$V$12,Adjustments!$J:$J,'Schedule 2I Adjustments'!$A42)</f>
        <v>0</v>
      </c>
      <c r="X42" s="305">
        <f t="shared" si="6"/>
        <v>0</v>
      </c>
      <c r="Y42" s="119">
        <f>'As-Filed Schedule 2I'!O42</f>
        <v>0</v>
      </c>
      <c r="Z42" s="309">
        <f>SUMIFS(Adjustments!$G:$G,Adjustments!$H:$H,"2I",Adjustments!$I:$I,'Schedule 2I Adjustments'!$Y$12,Adjustments!$J:$J,'Schedule 2I Adjustments'!$A42)</f>
        <v>0</v>
      </c>
      <c r="AA42" s="305">
        <f t="shared" si="7"/>
        <v>0</v>
      </c>
    </row>
    <row r="43" spans="1:27" x14ac:dyDescent="0.35">
      <c r="A43" s="24">
        <v>29</v>
      </c>
      <c r="B43" s="514" t="str">
        <f>IF('As-Filed Schedule 2I'!B43:D43=0,"",'As-Filed Schedule 2I'!B43:D43)</f>
        <v/>
      </c>
      <c r="C43" s="514"/>
      <c r="D43" s="514"/>
      <c r="F43" s="117">
        <f>'As-Filed Schedule 2I'!F43</f>
        <v>0</v>
      </c>
      <c r="G43" s="309">
        <f>SUMIFS(Adjustments!$G:$G,Adjustments!$H:$H,"2I",Adjustments!$I:$I,'Schedule 2I Adjustments'!$F$12,Adjustments!$J:$J,'Schedule 2I Adjustments'!$A43)</f>
        <v>0</v>
      </c>
      <c r="H43" s="305">
        <f t="shared" si="0"/>
        <v>0</v>
      </c>
      <c r="I43" s="68">
        <f>IFERROR(F43*'As-Filed Schedule 1'!$E$103,0)</f>
        <v>0</v>
      </c>
      <c r="J43" s="306">
        <f>IFERROR(H43*'Adjusted Schedule 1'!$E$104,0)</f>
        <v>0</v>
      </c>
      <c r="K43" s="68">
        <f t="shared" si="1"/>
        <v>0</v>
      </c>
      <c r="L43" s="306">
        <f t="shared" si="2"/>
        <v>0</v>
      </c>
      <c r="N43" s="117">
        <f>'As-Filed Schedule 2I'!J43</f>
        <v>0</v>
      </c>
      <c r="O43" s="309">
        <f>SUMIFS(Adjustments!$G:$G,Adjustments!$H:$H,"2I",Adjustments!$I:$I,'Schedule 2I Adjustments'!$N$12,Adjustments!$J:$J,'Schedule 2I Adjustments'!$A43)</f>
        <v>0</v>
      </c>
      <c r="P43" s="305">
        <f t="shared" si="3"/>
        <v>0</v>
      </c>
      <c r="Q43" s="68">
        <f>IFERROR(N43*'As-Filed Schedule 1'!$E$103,0)</f>
        <v>0</v>
      </c>
      <c r="R43" s="68">
        <f>IFERROR(P43*'Adjusted Schedule 1'!$E$104,0)</f>
        <v>0</v>
      </c>
      <c r="S43" s="68">
        <f t="shared" si="4"/>
        <v>0</v>
      </c>
      <c r="T43" s="306">
        <f t="shared" si="5"/>
        <v>0</v>
      </c>
      <c r="V43" s="119">
        <f>'As-Filed Schedule 2I'!N43</f>
        <v>0</v>
      </c>
      <c r="W43" s="309">
        <f>SUMIFS(Adjustments!$G:$G,Adjustments!$H:$H,"2I",Adjustments!$I:$I,'Schedule 2I Adjustments'!$V$12,Adjustments!$J:$J,'Schedule 2I Adjustments'!$A43)</f>
        <v>0</v>
      </c>
      <c r="X43" s="305">
        <f t="shared" si="6"/>
        <v>0</v>
      </c>
      <c r="Y43" s="119">
        <f>'As-Filed Schedule 2I'!O43</f>
        <v>0</v>
      </c>
      <c r="Z43" s="309">
        <f>SUMIFS(Adjustments!$G:$G,Adjustments!$H:$H,"2I",Adjustments!$I:$I,'Schedule 2I Adjustments'!$Y$12,Adjustments!$J:$J,'Schedule 2I Adjustments'!$A43)</f>
        <v>0</v>
      </c>
      <c r="AA43" s="305">
        <f t="shared" si="7"/>
        <v>0</v>
      </c>
    </row>
    <row r="44" spans="1:27" x14ac:dyDescent="0.35">
      <c r="A44" s="24">
        <v>30</v>
      </c>
      <c r="B44" s="514" t="str">
        <f>IF('As-Filed Schedule 2I'!B44:D44=0,"",'As-Filed Schedule 2I'!B44:D44)</f>
        <v/>
      </c>
      <c r="C44" s="514"/>
      <c r="D44" s="514"/>
      <c r="F44" s="117">
        <f>'As-Filed Schedule 2I'!F44</f>
        <v>0</v>
      </c>
      <c r="G44" s="309">
        <f>SUMIFS(Adjustments!$G:$G,Adjustments!$H:$H,"2I",Adjustments!$I:$I,'Schedule 2I Adjustments'!$F$12,Adjustments!$J:$J,'Schedule 2I Adjustments'!$A44)</f>
        <v>0</v>
      </c>
      <c r="H44" s="305">
        <f t="shared" si="0"/>
        <v>0</v>
      </c>
      <c r="I44" s="68">
        <f>IFERROR(F44*'As-Filed Schedule 1'!$E$103,0)</f>
        <v>0</v>
      </c>
      <c r="J44" s="306">
        <f>IFERROR(H44*'Adjusted Schedule 1'!$E$104,0)</f>
        <v>0</v>
      </c>
      <c r="K44" s="68">
        <f t="shared" si="1"/>
        <v>0</v>
      </c>
      <c r="L44" s="306">
        <f t="shared" si="2"/>
        <v>0</v>
      </c>
      <c r="N44" s="117">
        <f>'As-Filed Schedule 2I'!J44</f>
        <v>0</v>
      </c>
      <c r="O44" s="309">
        <f>SUMIFS(Adjustments!$G:$G,Adjustments!$H:$H,"2I",Adjustments!$I:$I,'Schedule 2I Adjustments'!$N$12,Adjustments!$J:$J,'Schedule 2I Adjustments'!$A44)</f>
        <v>0</v>
      </c>
      <c r="P44" s="305">
        <f t="shared" si="3"/>
        <v>0</v>
      </c>
      <c r="Q44" s="68">
        <f>IFERROR(N44*'As-Filed Schedule 1'!$E$103,0)</f>
        <v>0</v>
      </c>
      <c r="R44" s="68">
        <f>IFERROR(P44*'Adjusted Schedule 1'!$E$104,0)</f>
        <v>0</v>
      </c>
      <c r="S44" s="68">
        <f t="shared" si="4"/>
        <v>0</v>
      </c>
      <c r="T44" s="306">
        <f t="shared" si="5"/>
        <v>0</v>
      </c>
      <c r="V44" s="119">
        <f>'As-Filed Schedule 2I'!N44</f>
        <v>0</v>
      </c>
      <c r="W44" s="309">
        <f>SUMIFS(Adjustments!$G:$G,Adjustments!$H:$H,"2I",Adjustments!$I:$I,'Schedule 2I Adjustments'!$V$12,Adjustments!$J:$J,'Schedule 2I Adjustments'!$A44)</f>
        <v>0</v>
      </c>
      <c r="X44" s="305">
        <f t="shared" si="6"/>
        <v>0</v>
      </c>
      <c r="Y44" s="119">
        <f>'As-Filed Schedule 2I'!O44</f>
        <v>0</v>
      </c>
      <c r="Z44" s="309">
        <f>SUMIFS(Adjustments!$G:$G,Adjustments!$H:$H,"2I",Adjustments!$I:$I,'Schedule 2I Adjustments'!$Y$12,Adjustments!$J:$J,'Schedule 2I Adjustments'!$A44)</f>
        <v>0</v>
      </c>
      <c r="AA44" s="305">
        <f t="shared" si="7"/>
        <v>0</v>
      </c>
    </row>
    <row r="45" spans="1:27" x14ac:dyDescent="0.35">
      <c r="A45" s="24">
        <v>31</v>
      </c>
      <c r="B45" s="514" t="str">
        <f>IF('As-Filed Schedule 2I'!B45:D45=0,"",'As-Filed Schedule 2I'!B45:D45)</f>
        <v/>
      </c>
      <c r="C45" s="514"/>
      <c r="D45" s="514"/>
      <c r="F45" s="117">
        <f>'As-Filed Schedule 2I'!F45</f>
        <v>0</v>
      </c>
      <c r="G45" s="309">
        <f>SUMIFS(Adjustments!$G:$G,Adjustments!$H:$H,"2I",Adjustments!$I:$I,'Schedule 2I Adjustments'!$F$12,Adjustments!$J:$J,'Schedule 2I Adjustments'!$A45)</f>
        <v>0</v>
      </c>
      <c r="H45" s="305">
        <f t="shared" si="0"/>
        <v>0</v>
      </c>
      <c r="I45" s="68">
        <f>IFERROR(F45*'As-Filed Schedule 1'!$E$103,0)</f>
        <v>0</v>
      </c>
      <c r="J45" s="306">
        <f>IFERROR(H45*'Adjusted Schedule 1'!$E$104,0)</f>
        <v>0</v>
      </c>
      <c r="K45" s="68">
        <f t="shared" si="1"/>
        <v>0</v>
      </c>
      <c r="L45" s="306">
        <f t="shared" si="2"/>
        <v>0</v>
      </c>
      <c r="N45" s="117">
        <f>'As-Filed Schedule 2I'!J45</f>
        <v>0</v>
      </c>
      <c r="O45" s="309">
        <f>SUMIFS(Adjustments!$G:$G,Adjustments!$H:$H,"2I",Adjustments!$I:$I,'Schedule 2I Adjustments'!$N$12,Adjustments!$J:$J,'Schedule 2I Adjustments'!$A45)</f>
        <v>0</v>
      </c>
      <c r="P45" s="305">
        <f t="shared" si="3"/>
        <v>0</v>
      </c>
      <c r="Q45" s="68">
        <f>IFERROR(N45*'As-Filed Schedule 1'!$E$103,0)</f>
        <v>0</v>
      </c>
      <c r="R45" s="68">
        <f>IFERROR(P45*'Adjusted Schedule 1'!$E$104,0)</f>
        <v>0</v>
      </c>
      <c r="S45" s="68">
        <f t="shared" si="4"/>
        <v>0</v>
      </c>
      <c r="T45" s="306">
        <f t="shared" si="5"/>
        <v>0</v>
      </c>
      <c r="V45" s="119">
        <f>'As-Filed Schedule 2I'!N45</f>
        <v>0</v>
      </c>
      <c r="W45" s="309">
        <f>SUMIFS(Adjustments!$G:$G,Adjustments!$H:$H,"2I",Adjustments!$I:$I,'Schedule 2I Adjustments'!$V$12,Adjustments!$J:$J,'Schedule 2I Adjustments'!$A45)</f>
        <v>0</v>
      </c>
      <c r="X45" s="305">
        <f t="shared" si="6"/>
        <v>0</v>
      </c>
      <c r="Y45" s="119">
        <f>'As-Filed Schedule 2I'!O45</f>
        <v>0</v>
      </c>
      <c r="Z45" s="309">
        <f>SUMIFS(Adjustments!$G:$G,Adjustments!$H:$H,"2I",Adjustments!$I:$I,'Schedule 2I Adjustments'!$Y$12,Adjustments!$J:$J,'Schedule 2I Adjustments'!$A45)</f>
        <v>0</v>
      </c>
      <c r="AA45" s="305">
        <f t="shared" si="7"/>
        <v>0</v>
      </c>
    </row>
    <row r="46" spans="1:27" x14ac:dyDescent="0.35">
      <c r="A46" s="24">
        <v>32</v>
      </c>
      <c r="B46" s="514" t="str">
        <f>IF('As-Filed Schedule 2I'!B46:D46=0,"",'As-Filed Schedule 2I'!B46:D46)</f>
        <v/>
      </c>
      <c r="C46" s="514"/>
      <c r="D46" s="514"/>
      <c r="F46" s="117">
        <f>'As-Filed Schedule 2I'!F46</f>
        <v>0</v>
      </c>
      <c r="G46" s="309">
        <f>SUMIFS(Adjustments!$G:$G,Adjustments!$H:$H,"2I",Adjustments!$I:$I,'Schedule 2I Adjustments'!$F$12,Adjustments!$J:$J,'Schedule 2I Adjustments'!$A46)</f>
        <v>0</v>
      </c>
      <c r="H46" s="305">
        <f t="shared" si="0"/>
        <v>0</v>
      </c>
      <c r="I46" s="68">
        <f>IFERROR(F46*'As-Filed Schedule 1'!$E$103,0)</f>
        <v>0</v>
      </c>
      <c r="J46" s="306">
        <f>IFERROR(H46*'Adjusted Schedule 1'!$E$104,0)</f>
        <v>0</v>
      </c>
      <c r="K46" s="68">
        <f t="shared" si="1"/>
        <v>0</v>
      </c>
      <c r="L46" s="306">
        <f t="shared" si="2"/>
        <v>0</v>
      </c>
      <c r="N46" s="117">
        <f>'As-Filed Schedule 2I'!J46</f>
        <v>0</v>
      </c>
      <c r="O46" s="309">
        <f>SUMIFS(Adjustments!$G:$G,Adjustments!$H:$H,"2I",Adjustments!$I:$I,'Schedule 2I Adjustments'!$N$12,Adjustments!$J:$J,'Schedule 2I Adjustments'!$A46)</f>
        <v>0</v>
      </c>
      <c r="P46" s="305">
        <f t="shared" si="3"/>
        <v>0</v>
      </c>
      <c r="Q46" s="68">
        <f>IFERROR(N46*'As-Filed Schedule 1'!$E$103,0)</f>
        <v>0</v>
      </c>
      <c r="R46" s="68">
        <f>IFERROR(P46*'Adjusted Schedule 1'!$E$104,0)</f>
        <v>0</v>
      </c>
      <c r="S46" s="68">
        <f t="shared" si="4"/>
        <v>0</v>
      </c>
      <c r="T46" s="306">
        <f t="shared" si="5"/>
        <v>0</v>
      </c>
      <c r="V46" s="119">
        <f>'As-Filed Schedule 2I'!N46</f>
        <v>0</v>
      </c>
      <c r="W46" s="309">
        <f>SUMIFS(Adjustments!$G:$G,Adjustments!$H:$H,"2I",Adjustments!$I:$I,'Schedule 2I Adjustments'!$V$12,Adjustments!$J:$J,'Schedule 2I Adjustments'!$A46)</f>
        <v>0</v>
      </c>
      <c r="X46" s="305">
        <f t="shared" si="6"/>
        <v>0</v>
      </c>
      <c r="Y46" s="119">
        <f>'As-Filed Schedule 2I'!O46</f>
        <v>0</v>
      </c>
      <c r="Z46" s="309">
        <f>SUMIFS(Adjustments!$G:$G,Adjustments!$H:$H,"2I",Adjustments!$I:$I,'Schedule 2I Adjustments'!$Y$12,Adjustments!$J:$J,'Schedule 2I Adjustments'!$A46)</f>
        <v>0</v>
      </c>
      <c r="AA46" s="305">
        <f t="shared" si="7"/>
        <v>0</v>
      </c>
    </row>
    <row r="47" spans="1:27" x14ac:dyDescent="0.35">
      <c r="A47" s="24">
        <v>33</v>
      </c>
      <c r="B47" s="514" t="str">
        <f>IF('As-Filed Schedule 2I'!B47:D47=0,"",'As-Filed Schedule 2I'!B47:D47)</f>
        <v/>
      </c>
      <c r="C47" s="514"/>
      <c r="D47" s="514"/>
      <c r="F47" s="117">
        <f>'As-Filed Schedule 2I'!F47</f>
        <v>0</v>
      </c>
      <c r="G47" s="309">
        <f>SUMIFS(Adjustments!$G:$G,Adjustments!$H:$H,"2I",Adjustments!$I:$I,'Schedule 2I Adjustments'!$F$12,Adjustments!$J:$J,'Schedule 2I Adjustments'!$A47)</f>
        <v>0</v>
      </c>
      <c r="H47" s="305">
        <f t="shared" si="0"/>
        <v>0</v>
      </c>
      <c r="I47" s="68">
        <f>IFERROR(F47*'As-Filed Schedule 1'!$E$103,0)</f>
        <v>0</v>
      </c>
      <c r="J47" s="306">
        <f>IFERROR(H47*'Adjusted Schedule 1'!$E$104,0)</f>
        <v>0</v>
      </c>
      <c r="K47" s="68">
        <f t="shared" si="1"/>
        <v>0</v>
      </c>
      <c r="L47" s="306">
        <f t="shared" si="2"/>
        <v>0</v>
      </c>
      <c r="N47" s="117">
        <f>'As-Filed Schedule 2I'!J47</f>
        <v>0</v>
      </c>
      <c r="O47" s="309">
        <f>SUMIFS(Adjustments!$G:$G,Adjustments!$H:$H,"2I",Adjustments!$I:$I,'Schedule 2I Adjustments'!$N$12,Adjustments!$J:$J,'Schedule 2I Adjustments'!$A47)</f>
        <v>0</v>
      </c>
      <c r="P47" s="305">
        <f t="shared" si="3"/>
        <v>0</v>
      </c>
      <c r="Q47" s="68">
        <f>IFERROR(N47*'As-Filed Schedule 1'!$E$103,0)</f>
        <v>0</v>
      </c>
      <c r="R47" s="68">
        <f>IFERROR(P47*'Adjusted Schedule 1'!$E$104,0)</f>
        <v>0</v>
      </c>
      <c r="S47" s="68">
        <f t="shared" si="4"/>
        <v>0</v>
      </c>
      <c r="T47" s="306">
        <f t="shared" si="5"/>
        <v>0</v>
      </c>
      <c r="V47" s="119">
        <f>'As-Filed Schedule 2I'!N47</f>
        <v>0</v>
      </c>
      <c r="W47" s="309">
        <f>SUMIFS(Adjustments!$G:$G,Adjustments!$H:$H,"2I",Adjustments!$I:$I,'Schedule 2I Adjustments'!$V$12,Adjustments!$J:$J,'Schedule 2I Adjustments'!$A47)</f>
        <v>0</v>
      </c>
      <c r="X47" s="305">
        <f t="shared" si="6"/>
        <v>0</v>
      </c>
      <c r="Y47" s="119">
        <f>'As-Filed Schedule 2I'!O47</f>
        <v>0</v>
      </c>
      <c r="Z47" s="309">
        <f>SUMIFS(Adjustments!$G:$G,Adjustments!$H:$H,"2I",Adjustments!$I:$I,'Schedule 2I Adjustments'!$Y$12,Adjustments!$J:$J,'Schedule 2I Adjustments'!$A47)</f>
        <v>0</v>
      </c>
      <c r="AA47" s="305">
        <f t="shared" si="7"/>
        <v>0</v>
      </c>
    </row>
    <row r="48" spans="1:27" x14ac:dyDescent="0.35">
      <c r="A48" s="24">
        <v>34</v>
      </c>
      <c r="B48" s="514" t="str">
        <f>IF('As-Filed Schedule 2I'!B48:D48=0,"",'As-Filed Schedule 2I'!B48:D48)</f>
        <v/>
      </c>
      <c r="C48" s="514"/>
      <c r="D48" s="514"/>
      <c r="F48" s="117">
        <f>'As-Filed Schedule 2I'!F48</f>
        <v>0</v>
      </c>
      <c r="G48" s="309">
        <f>SUMIFS(Adjustments!$G:$G,Adjustments!$H:$H,"2I",Adjustments!$I:$I,'Schedule 2I Adjustments'!$F$12,Adjustments!$J:$J,'Schedule 2I Adjustments'!$A48)</f>
        <v>0</v>
      </c>
      <c r="H48" s="305">
        <f t="shared" si="0"/>
        <v>0</v>
      </c>
      <c r="I48" s="68">
        <f>IFERROR(F48*'As-Filed Schedule 1'!$E$103,0)</f>
        <v>0</v>
      </c>
      <c r="J48" s="306">
        <f>IFERROR(H48*'Adjusted Schedule 1'!$E$104,0)</f>
        <v>0</v>
      </c>
      <c r="K48" s="68">
        <f t="shared" si="1"/>
        <v>0</v>
      </c>
      <c r="L48" s="306">
        <f t="shared" si="2"/>
        <v>0</v>
      </c>
      <c r="N48" s="117">
        <f>'As-Filed Schedule 2I'!J48</f>
        <v>0</v>
      </c>
      <c r="O48" s="309">
        <f>SUMIFS(Adjustments!$G:$G,Adjustments!$H:$H,"2I",Adjustments!$I:$I,'Schedule 2I Adjustments'!$N$12,Adjustments!$J:$J,'Schedule 2I Adjustments'!$A48)</f>
        <v>0</v>
      </c>
      <c r="P48" s="305">
        <f t="shared" si="3"/>
        <v>0</v>
      </c>
      <c r="Q48" s="68">
        <f>IFERROR(N48*'As-Filed Schedule 1'!$E$103,0)</f>
        <v>0</v>
      </c>
      <c r="R48" s="68">
        <f>IFERROR(P48*'Adjusted Schedule 1'!$E$104,0)</f>
        <v>0</v>
      </c>
      <c r="S48" s="68">
        <f t="shared" si="4"/>
        <v>0</v>
      </c>
      <c r="T48" s="306">
        <f t="shared" si="5"/>
        <v>0</v>
      </c>
      <c r="V48" s="119">
        <f>'As-Filed Schedule 2I'!N48</f>
        <v>0</v>
      </c>
      <c r="W48" s="309">
        <f>SUMIFS(Adjustments!$G:$G,Adjustments!$H:$H,"2I",Adjustments!$I:$I,'Schedule 2I Adjustments'!$V$12,Adjustments!$J:$J,'Schedule 2I Adjustments'!$A48)</f>
        <v>0</v>
      </c>
      <c r="X48" s="305">
        <f t="shared" si="6"/>
        <v>0</v>
      </c>
      <c r="Y48" s="119">
        <f>'As-Filed Schedule 2I'!O48</f>
        <v>0</v>
      </c>
      <c r="Z48" s="309">
        <f>SUMIFS(Adjustments!$G:$G,Adjustments!$H:$H,"2I",Adjustments!$I:$I,'Schedule 2I Adjustments'!$Y$12,Adjustments!$J:$J,'Schedule 2I Adjustments'!$A48)</f>
        <v>0</v>
      </c>
      <c r="AA48" s="305">
        <f t="shared" si="7"/>
        <v>0</v>
      </c>
    </row>
    <row r="49" spans="1:27" x14ac:dyDescent="0.35">
      <c r="A49" s="24">
        <v>35</v>
      </c>
      <c r="B49" s="514" t="str">
        <f>IF('As-Filed Schedule 2I'!B49:D49=0,"",'As-Filed Schedule 2I'!B49:D49)</f>
        <v/>
      </c>
      <c r="C49" s="514"/>
      <c r="D49" s="514"/>
      <c r="F49" s="117">
        <f>'As-Filed Schedule 2I'!F49</f>
        <v>0</v>
      </c>
      <c r="G49" s="309">
        <f>SUMIFS(Adjustments!$G:$G,Adjustments!$H:$H,"2I",Adjustments!$I:$I,'Schedule 2I Adjustments'!$F$12,Adjustments!$J:$J,'Schedule 2I Adjustments'!$A49)</f>
        <v>0</v>
      </c>
      <c r="H49" s="305">
        <f t="shared" si="0"/>
        <v>0</v>
      </c>
      <c r="I49" s="68">
        <f>IFERROR(F49*'As-Filed Schedule 1'!$E$103,0)</f>
        <v>0</v>
      </c>
      <c r="J49" s="306">
        <f>IFERROR(H49*'Adjusted Schedule 1'!$E$104,0)</f>
        <v>0</v>
      </c>
      <c r="K49" s="68">
        <f t="shared" si="1"/>
        <v>0</v>
      </c>
      <c r="L49" s="306">
        <f t="shared" si="2"/>
        <v>0</v>
      </c>
      <c r="N49" s="117">
        <f>'As-Filed Schedule 2I'!J49</f>
        <v>0</v>
      </c>
      <c r="O49" s="309">
        <f>SUMIFS(Adjustments!$G:$G,Adjustments!$H:$H,"2I",Adjustments!$I:$I,'Schedule 2I Adjustments'!$N$12,Adjustments!$J:$J,'Schedule 2I Adjustments'!$A49)</f>
        <v>0</v>
      </c>
      <c r="P49" s="305">
        <f t="shared" si="3"/>
        <v>0</v>
      </c>
      <c r="Q49" s="68">
        <f>IFERROR(N49*'As-Filed Schedule 1'!$E$103,0)</f>
        <v>0</v>
      </c>
      <c r="R49" s="68">
        <f>IFERROR(P49*'Adjusted Schedule 1'!$E$104,0)</f>
        <v>0</v>
      </c>
      <c r="S49" s="68">
        <f t="shared" si="4"/>
        <v>0</v>
      </c>
      <c r="T49" s="306">
        <f t="shared" si="5"/>
        <v>0</v>
      </c>
      <c r="V49" s="119">
        <f>'As-Filed Schedule 2I'!N49</f>
        <v>0</v>
      </c>
      <c r="W49" s="309">
        <f>SUMIFS(Adjustments!$G:$G,Adjustments!$H:$H,"2I",Adjustments!$I:$I,'Schedule 2I Adjustments'!$V$12,Adjustments!$J:$J,'Schedule 2I Adjustments'!$A49)</f>
        <v>0</v>
      </c>
      <c r="X49" s="305">
        <f t="shared" si="6"/>
        <v>0</v>
      </c>
      <c r="Y49" s="119">
        <f>'As-Filed Schedule 2I'!O49</f>
        <v>0</v>
      </c>
      <c r="Z49" s="309">
        <f>SUMIFS(Adjustments!$G:$G,Adjustments!$H:$H,"2I",Adjustments!$I:$I,'Schedule 2I Adjustments'!$Y$12,Adjustments!$J:$J,'Schedule 2I Adjustments'!$A49)</f>
        <v>0</v>
      </c>
      <c r="AA49" s="305">
        <f t="shared" si="7"/>
        <v>0</v>
      </c>
    </row>
    <row r="50" spans="1:27" x14ac:dyDescent="0.35">
      <c r="A50" s="24">
        <v>36</v>
      </c>
      <c r="B50" s="514" t="str">
        <f>IF('As-Filed Schedule 2I'!B50:D50=0,"",'As-Filed Schedule 2I'!B50:D50)</f>
        <v/>
      </c>
      <c r="C50" s="514"/>
      <c r="D50" s="514"/>
      <c r="F50" s="117">
        <f>'As-Filed Schedule 2I'!F50</f>
        <v>0</v>
      </c>
      <c r="G50" s="309">
        <f>SUMIFS(Adjustments!$G:$G,Adjustments!$H:$H,"2I",Adjustments!$I:$I,'Schedule 2I Adjustments'!$F$12,Adjustments!$J:$J,'Schedule 2I Adjustments'!$A50)</f>
        <v>0</v>
      </c>
      <c r="H50" s="305">
        <f t="shared" si="0"/>
        <v>0</v>
      </c>
      <c r="I50" s="68">
        <f>IFERROR(F50*'As-Filed Schedule 1'!$E$103,0)</f>
        <v>0</v>
      </c>
      <c r="J50" s="306">
        <f>IFERROR(H50*'Adjusted Schedule 1'!$E$104,0)</f>
        <v>0</v>
      </c>
      <c r="K50" s="68">
        <f t="shared" si="1"/>
        <v>0</v>
      </c>
      <c r="L50" s="306">
        <f t="shared" si="2"/>
        <v>0</v>
      </c>
      <c r="N50" s="117">
        <f>'As-Filed Schedule 2I'!J50</f>
        <v>0</v>
      </c>
      <c r="O50" s="309">
        <f>SUMIFS(Adjustments!$G:$G,Adjustments!$H:$H,"2I",Adjustments!$I:$I,'Schedule 2I Adjustments'!$N$12,Adjustments!$J:$J,'Schedule 2I Adjustments'!$A50)</f>
        <v>0</v>
      </c>
      <c r="P50" s="305">
        <f t="shared" si="3"/>
        <v>0</v>
      </c>
      <c r="Q50" s="68">
        <f>IFERROR(N50*'As-Filed Schedule 1'!$E$103,0)</f>
        <v>0</v>
      </c>
      <c r="R50" s="68">
        <f>IFERROR(P50*'Adjusted Schedule 1'!$E$104,0)</f>
        <v>0</v>
      </c>
      <c r="S50" s="68">
        <f t="shared" si="4"/>
        <v>0</v>
      </c>
      <c r="T50" s="306">
        <f t="shared" si="5"/>
        <v>0</v>
      </c>
      <c r="V50" s="119">
        <f>'As-Filed Schedule 2I'!N50</f>
        <v>0</v>
      </c>
      <c r="W50" s="309">
        <f>SUMIFS(Adjustments!$G:$G,Adjustments!$H:$H,"2I",Adjustments!$I:$I,'Schedule 2I Adjustments'!$V$12,Adjustments!$J:$J,'Schedule 2I Adjustments'!$A50)</f>
        <v>0</v>
      </c>
      <c r="X50" s="305">
        <f t="shared" si="6"/>
        <v>0</v>
      </c>
      <c r="Y50" s="119">
        <f>'As-Filed Schedule 2I'!O50</f>
        <v>0</v>
      </c>
      <c r="Z50" s="309">
        <f>SUMIFS(Adjustments!$G:$G,Adjustments!$H:$H,"2I",Adjustments!$I:$I,'Schedule 2I Adjustments'!$Y$12,Adjustments!$J:$J,'Schedule 2I Adjustments'!$A50)</f>
        <v>0</v>
      </c>
      <c r="AA50" s="305">
        <f t="shared" si="7"/>
        <v>0</v>
      </c>
    </row>
    <row r="51" spans="1:27" x14ac:dyDescent="0.35">
      <c r="A51" s="24">
        <v>37</v>
      </c>
      <c r="B51" s="514" t="str">
        <f>IF('As-Filed Schedule 2I'!B51:D51=0,"",'As-Filed Schedule 2I'!B51:D51)</f>
        <v/>
      </c>
      <c r="C51" s="514"/>
      <c r="D51" s="514"/>
      <c r="F51" s="117">
        <f>'As-Filed Schedule 2I'!F51</f>
        <v>0</v>
      </c>
      <c r="G51" s="309">
        <f>SUMIFS(Adjustments!$G:$G,Adjustments!$H:$H,"2I",Adjustments!$I:$I,'Schedule 2I Adjustments'!$F$12,Adjustments!$J:$J,'Schedule 2I Adjustments'!$A51)</f>
        <v>0</v>
      </c>
      <c r="H51" s="305">
        <f t="shared" si="0"/>
        <v>0</v>
      </c>
      <c r="I51" s="68">
        <f>IFERROR(F51*'As-Filed Schedule 1'!$E$103,0)</f>
        <v>0</v>
      </c>
      <c r="J51" s="306">
        <f>IFERROR(H51*'Adjusted Schedule 1'!$E$104,0)</f>
        <v>0</v>
      </c>
      <c r="K51" s="68">
        <f t="shared" si="1"/>
        <v>0</v>
      </c>
      <c r="L51" s="306">
        <f t="shared" si="2"/>
        <v>0</v>
      </c>
      <c r="N51" s="117">
        <f>'As-Filed Schedule 2I'!J51</f>
        <v>0</v>
      </c>
      <c r="O51" s="309">
        <f>SUMIFS(Adjustments!$G:$G,Adjustments!$H:$H,"2I",Adjustments!$I:$I,'Schedule 2I Adjustments'!$N$12,Adjustments!$J:$J,'Schedule 2I Adjustments'!$A51)</f>
        <v>0</v>
      </c>
      <c r="P51" s="305">
        <f t="shared" si="3"/>
        <v>0</v>
      </c>
      <c r="Q51" s="68">
        <f>IFERROR(N51*'As-Filed Schedule 1'!$E$103,0)</f>
        <v>0</v>
      </c>
      <c r="R51" s="68">
        <f>IFERROR(P51*'Adjusted Schedule 1'!$E$104,0)</f>
        <v>0</v>
      </c>
      <c r="S51" s="68">
        <f t="shared" si="4"/>
        <v>0</v>
      </c>
      <c r="T51" s="306">
        <f t="shared" si="5"/>
        <v>0</v>
      </c>
      <c r="V51" s="119">
        <f>'As-Filed Schedule 2I'!N51</f>
        <v>0</v>
      </c>
      <c r="W51" s="309">
        <f>SUMIFS(Adjustments!$G:$G,Adjustments!$H:$H,"2I",Adjustments!$I:$I,'Schedule 2I Adjustments'!$V$12,Adjustments!$J:$J,'Schedule 2I Adjustments'!$A51)</f>
        <v>0</v>
      </c>
      <c r="X51" s="305">
        <f t="shared" si="6"/>
        <v>0</v>
      </c>
      <c r="Y51" s="119">
        <f>'As-Filed Schedule 2I'!O51</f>
        <v>0</v>
      </c>
      <c r="Z51" s="309">
        <f>SUMIFS(Adjustments!$G:$G,Adjustments!$H:$H,"2I",Adjustments!$I:$I,'Schedule 2I Adjustments'!$Y$12,Adjustments!$J:$J,'Schedule 2I Adjustments'!$A51)</f>
        <v>0</v>
      </c>
      <c r="AA51" s="305">
        <f t="shared" si="7"/>
        <v>0</v>
      </c>
    </row>
    <row r="52" spans="1:27" x14ac:dyDescent="0.35">
      <c r="A52" s="24">
        <v>38</v>
      </c>
      <c r="B52" s="514" t="str">
        <f>IF('As-Filed Schedule 2I'!B52:D52=0,"",'As-Filed Schedule 2I'!B52:D52)</f>
        <v/>
      </c>
      <c r="C52" s="514"/>
      <c r="D52" s="514"/>
      <c r="F52" s="117">
        <f>'As-Filed Schedule 2I'!F52</f>
        <v>0</v>
      </c>
      <c r="G52" s="309">
        <f>SUMIFS(Adjustments!$G:$G,Adjustments!$H:$H,"2I",Adjustments!$I:$I,'Schedule 2I Adjustments'!$F$12,Adjustments!$J:$J,'Schedule 2I Adjustments'!$A52)</f>
        <v>0</v>
      </c>
      <c r="H52" s="305">
        <f t="shared" si="0"/>
        <v>0</v>
      </c>
      <c r="I52" s="68">
        <f>IFERROR(F52*'As-Filed Schedule 1'!$E$103,0)</f>
        <v>0</v>
      </c>
      <c r="J52" s="306">
        <f>IFERROR(H52*'Adjusted Schedule 1'!$E$104,0)</f>
        <v>0</v>
      </c>
      <c r="K52" s="68">
        <f t="shared" si="1"/>
        <v>0</v>
      </c>
      <c r="L52" s="306">
        <f t="shared" si="2"/>
        <v>0</v>
      </c>
      <c r="N52" s="117">
        <f>'As-Filed Schedule 2I'!J52</f>
        <v>0</v>
      </c>
      <c r="O52" s="309">
        <f>SUMIFS(Adjustments!$G:$G,Adjustments!$H:$H,"2I",Adjustments!$I:$I,'Schedule 2I Adjustments'!$N$12,Adjustments!$J:$J,'Schedule 2I Adjustments'!$A52)</f>
        <v>0</v>
      </c>
      <c r="P52" s="305">
        <f t="shared" si="3"/>
        <v>0</v>
      </c>
      <c r="Q52" s="68">
        <f>IFERROR(N52*'As-Filed Schedule 1'!$E$103,0)</f>
        <v>0</v>
      </c>
      <c r="R52" s="68">
        <f>IFERROR(P52*'Adjusted Schedule 1'!$E$104,0)</f>
        <v>0</v>
      </c>
      <c r="S52" s="68">
        <f t="shared" si="4"/>
        <v>0</v>
      </c>
      <c r="T52" s="306">
        <f t="shared" si="5"/>
        <v>0</v>
      </c>
      <c r="V52" s="119">
        <f>'As-Filed Schedule 2I'!N52</f>
        <v>0</v>
      </c>
      <c r="W52" s="309">
        <f>SUMIFS(Adjustments!$G:$G,Adjustments!$H:$H,"2I",Adjustments!$I:$I,'Schedule 2I Adjustments'!$V$12,Adjustments!$J:$J,'Schedule 2I Adjustments'!$A52)</f>
        <v>0</v>
      </c>
      <c r="X52" s="305">
        <f t="shared" si="6"/>
        <v>0</v>
      </c>
      <c r="Y52" s="119">
        <f>'As-Filed Schedule 2I'!O52</f>
        <v>0</v>
      </c>
      <c r="Z52" s="309">
        <f>SUMIFS(Adjustments!$G:$G,Adjustments!$H:$H,"2I",Adjustments!$I:$I,'Schedule 2I Adjustments'!$Y$12,Adjustments!$J:$J,'Schedule 2I Adjustments'!$A52)</f>
        <v>0</v>
      </c>
      <c r="AA52" s="305">
        <f t="shared" si="7"/>
        <v>0</v>
      </c>
    </row>
    <row r="53" spans="1:27" x14ac:dyDescent="0.35">
      <c r="A53" s="24">
        <v>39</v>
      </c>
      <c r="B53" s="514" t="str">
        <f>IF('As-Filed Schedule 2I'!B53:D53=0,"",'As-Filed Schedule 2I'!B53:D53)</f>
        <v/>
      </c>
      <c r="C53" s="514"/>
      <c r="D53" s="514"/>
      <c r="F53" s="117">
        <f>'As-Filed Schedule 2I'!F53</f>
        <v>0</v>
      </c>
      <c r="G53" s="309">
        <f>SUMIFS(Adjustments!$G:$G,Adjustments!$H:$H,"2I",Adjustments!$I:$I,'Schedule 2I Adjustments'!$F$12,Adjustments!$J:$J,'Schedule 2I Adjustments'!$A53)</f>
        <v>0</v>
      </c>
      <c r="H53" s="305">
        <f t="shared" si="0"/>
        <v>0</v>
      </c>
      <c r="I53" s="68">
        <f>IFERROR(F53*'As-Filed Schedule 1'!$E$103,0)</f>
        <v>0</v>
      </c>
      <c r="J53" s="306">
        <f>IFERROR(H53*'Adjusted Schedule 1'!$E$104,0)</f>
        <v>0</v>
      </c>
      <c r="K53" s="68">
        <f t="shared" si="1"/>
        <v>0</v>
      </c>
      <c r="L53" s="306">
        <f t="shared" si="2"/>
        <v>0</v>
      </c>
      <c r="N53" s="117">
        <f>'As-Filed Schedule 2I'!J53</f>
        <v>0</v>
      </c>
      <c r="O53" s="309">
        <f>SUMIFS(Adjustments!$G:$G,Adjustments!$H:$H,"2I",Adjustments!$I:$I,'Schedule 2I Adjustments'!$N$12,Adjustments!$J:$J,'Schedule 2I Adjustments'!$A53)</f>
        <v>0</v>
      </c>
      <c r="P53" s="305">
        <f t="shared" si="3"/>
        <v>0</v>
      </c>
      <c r="Q53" s="68">
        <f>IFERROR(N53*'As-Filed Schedule 1'!$E$103,0)</f>
        <v>0</v>
      </c>
      <c r="R53" s="68">
        <f>IFERROR(P53*'Adjusted Schedule 1'!$E$104,0)</f>
        <v>0</v>
      </c>
      <c r="S53" s="68">
        <f t="shared" si="4"/>
        <v>0</v>
      </c>
      <c r="T53" s="306">
        <f t="shared" si="5"/>
        <v>0</v>
      </c>
      <c r="V53" s="119">
        <f>'As-Filed Schedule 2I'!N53</f>
        <v>0</v>
      </c>
      <c r="W53" s="309">
        <f>SUMIFS(Adjustments!$G:$G,Adjustments!$H:$H,"2I",Adjustments!$I:$I,'Schedule 2I Adjustments'!$V$12,Adjustments!$J:$J,'Schedule 2I Adjustments'!$A53)</f>
        <v>0</v>
      </c>
      <c r="X53" s="305">
        <f t="shared" si="6"/>
        <v>0</v>
      </c>
      <c r="Y53" s="119">
        <f>'As-Filed Schedule 2I'!O53</f>
        <v>0</v>
      </c>
      <c r="Z53" s="309">
        <f>SUMIFS(Adjustments!$G:$G,Adjustments!$H:$H,"2I",Adjustments!$I:$I,'Schedule 2I Adjustments'!$Y$12,Adjustments!$J:$J,'Schedule 2I Adjustments'!$A53)</f>
        <v>0</v>
      </c>
      <c r="AA53" s="305">
        <f t="shared" si="7"/>
        <v>0</v>
      </c>
    </row>
    <row r="54" spans="1:27" x14ac:dyDescent="0.35">
      <c r="A54" s="24">
        <v>40</v>
      </c>
      <c r="B54" s="514" t="str">
        <f>IF('As-Filed Schedule 2I'!B54:D54=0,"",'As-Filed Schedule 2I'!B54:D54)</f>
        <v/>
      </c>
      <c r="C54" s="514"/>
      <c r="D54" s="514"/>
      <c r="F54" s="117">
        <f>'As-Filed Schedule 2I'!F54</f>
        <v>0</v>
      </c>
      <c r="G54" s="309">
        <f>SUMIFS(Adjustments!$G:$G,Adjustments!$H:$H,"2I",Adjustments!$I:$I,'Schedule 2I Adjustments'!$F$12,Adjustments!$J:$J,'Schedule 2I Adjustments'!$A54)</f>
        <v>0</v>
      </c>
      <c r="H54" s="305">
        <f t="shared" si="0"/>
        <v>0</v>
      </c>
      <c r="I54" s="68">
        <f>IFERROR(F54*'As-Filed Schedule 1'!$E$103,0)</f>
        <v>0</v>
      </c>
      <c r="J54" s="306">
        <f>IFERROR(H54*'Adjusted Schedule 1'!$E$104,0)</f>
        <v>0</v>
      </c>
      <c r="K54" s="68">
        <f t="shared" si="1"/>
        <v>0</v>
      </c>
      <c r="L54" s="306">
        <f t="shared" si="2"/>
        <v>0</v>
      </c>
      <c r="N54" s="117">
        <f>'As-Filed Schedule 2I'!J54</f>
        <v>0</v>
      </c>
      <c r="O54" s="309">
        <f>SUMIFS(Adjustments!$G:$G,Adjustments!$H:$H,"2I",Adjustments!$I:$I,'Schedule 2I Adjustments'!$N$12,Adjustments!$J:$J,'Schedule 2I Adjustments'!$A54)</f>
        <v>0</v>
      </c>
      <c r="P54" s="305">
        <f t="shared" si="3"/>
        <v>0</v>
      </c>
      <c r="Q54" s="68">
        <f>IFERROR(N54*'As-Filed Schedule 1'!$E$103,0)</f>
        <v>0</v>
      </c>
      <c r="R54" s="68">
        <f>IFERROR(P54*'Adjusted Schedule 1'!$E$104,0)</f>
        <v>0</v>
      </c>
      <c r="S54" s="68">
        <f t="shared" si="4"/>
        <v>0</v>
      </c>
      <c r="T54" s="306">
        <f t="shared" si="5"/>
        <v>0</v>
      </c>
      <c r="V54" s="119">
        <f>'As-Filed Schedule 2I'!N54</f>
        <v>0</v>
      </c>
      <c r="W54" s="309">
        <f>SUMIFS(Adjustments!$G:$G,Adjustments!$H:$H,"2I",Adjustments!$I:$I,'Schedule 2I Adjustments'!$V$12,Adjustments!$J:$J,'Schedule 2I Adjustments'!$A54)</f>
        <v>0</v>
      </c>
      <c r="X54" s="305">
        <f t="shared" si="6"/>
        <v>0</v>
      </c>
      <c r="Y54" s="119">
        <f>'As-Filed Schedule 2I'!O54</f>
        <v>0</v>
      </c>
      <c r="Z54" s="309">
        <f>SUMIFS(Adjustments!$G:$G,Adjustments!$H:$H,"2I",Adjustments!$I:$I,'Schedule 2I Adjustments'!$Y$12,Adjustments!$J:$J,'Schedule 2I Adjustments'!$A54)</f>
        <v>0</v>
      </c>
      <c r="AA54" s="305">
        <f t="shared" si="7"/>
        <v>0</v>
      </c>
    </row>
    <row r="55" spans="1:27" x14ac:dyDescent="0.35">
      <c r="A55" s="24">
        <v>41</v>
      </c>
      <c r="B55" s="514" t="str">
        <f>IF('As-Filed Schedule 2I'!B55:D55=0,"",'As-Filed Schedule 2I'!B55:D55)</f>
        <v/>
      </c>
      <c r="C55" s="514"/>
      <c r="D55" s="514"/>
      <c r="F55" s="117">
        <f>'As-Filed Schedule 2I'!F55</f>
        <v>0</v>
      </c>
      <c r="G55" s="309">
        <f>SUMIFS(Adjustments!$G:$G,Adjustments!$H:$H,"2I",Adjustments!$I:$I,'Schedule 2I Adjustments'!$F$12,Adjustments!$J:$J,'Schedule 2I Adjustments'!$A55)</f>
        <v>0</v>
      </c>
      <c r="H55" s="305">
        <f t="shared" si="0"/>
        <v>0</v>
      </c>
      <c r="I55" s="68">
        <f>IFERROR(F55*'As-Filed Schedule 1'!$E$103,0)</f>
        <v>0</v>
      </c>
      <c r="J55" s="306">
        <f>IFERROR(H55*'Adjusted Schedule 1'!$E$104,0)</f>
        <v>0</v>
      </c>
      <c r="K55" s="68">
        <f t="shared" si="1"/>
        <v>0</v>
      </c>
      <c r="L55" s="306">
        <f t="shared" si="2"/>
        <v>0</v>
      </c>
      <c r="N55" s="117">
        <f>'As-Filed Schedule 2I'!J55</f>
        <v>0</v>
      </c>
      <c r="O55" s="309">
        <f>SUMIFS(Adjustments!$G:$G,Adjustments!$H:$H,"2I",Adjustments!$I:$I,'Schedule 2I Adjustments'!$N$12,Adjustments!$J:$J,'Schedule 2I Adjustments'!$A55)</f>
        <v>0</v>
      </c>
      <c r="P55" s="305">
        <f t="shared" si="3"/>
        <v>0</v>
      </c>
      <c r="Q55" s="68">
        <f>IFERROR(N55*'As-Filed Schedule 1'!$E$103,0)</f>
        <v>0</v>
      </c>
      <c r="R55" s="68">
        <f>IFERROR(P55*'Adjusted Schedule 1'!$E$104,0)</f>
        <v>0</v>
      </c>
      <c r="S55" s="68">
        <f t="shared" si="4"/>
        <v>0</v>
      </c>
      <c r="T55" s="306">
        <f t="shared" si="5"/>
        <v>0</v>
      </c>
      <c r="V55" s="119">
        <f>'As-Filed Schedule 2I'!N55</f>
        <v>0</v>
      </c>
      <c r="W55" s="309">
        <f>SUMIFS(Adjustments!$G:$G,Adjustments!$H:$H,"2I",Adjustments!$I:$I,'Schedule 2I Adjustments'!$V$12,Adjustments!$J:$J,'Schedule 2I Adjustments'!$A55)</f>
        <v>0</v>
      </c>
      <c r="X55" s="305">
        <f t="shared" si="6"/>
        <v>0</v>
      </c>
      <c r="Y55" s="119">
        <f>'As-Filed Schedule 2I'!O55</f>
        <v>0</v>
      </c>
      <c r="Z55" s="309">
        <f>SUMIFS(Adjustments!$G:$G,Adjustments!$H:$H,"2I",Adjustments!$I:$I,'Schedule 2I Adjustments'!$Y$12,Adjustments!$J:$J,'Schedule 2I Adjustments'!$A55)</f>
        <v>0</v>
      </c>
      <c r="AA55" s="305">
        <f t="shared" si="7"/>
        <v>0</v>
      </c>
    </row>
    <row r="56" spans="1:27" x14ac:dyDescent="0.35">
      <c r="A56" s="24">
        <v>42</v>
      </c>
      <c r="B56" s="514" t="str">
        <f>IF('As-Filed Schedule 2I'!B56:D56=0,"",'As-Filed Schedule 2I'!B56:D56)</f>
        <v/>
      </c>
      <c r="C56" s="514"/>
      <c r="D56" s="514"/>
      <c r="F56" s="117">
        <f>'As-Filed Schedule 2I'!F56</f>
        <v>0</v>
      </c>
      <c r="G56" s="309">
        <f>SUMIFS(Adjustments!$G:$G,Adjustments!$H:$H,"2I",Adjustments!$I:$I,'Schedule 2I Adjustments'!$F$12,Adjustments!$J:$J,'Schedule 2I Adjustments'!$A56)</f>
        <v>0</v>
      </c>
      <c r="H56" s="305">
        <f t="shared" si="0"/>
        <v>0</v>
      </c>
      <c r="I56" s="68">
        <f>IFERROR(F56*'As-Filed Schedule 1'!$E$103,0)</f>
        <v>0</v>
      </c>
      <c r="J56" s="306">
        <f>IFERROR(H56*'Adjusted Schedule 1'!$E$104,0)</f>
        <v>0</v>
      </c>
      <c r="K56" s="68">
        <f t="shared" si="1"/>
        <v>0</v>
      </c>
      <c r="L56" s="306">
        <f t="shared" si="2"/>
        <v>0</v>
      </c>
      <c r="N56" s="117">
        <f>'As-Filed Schedule 2I'!J56</f>
        <v>0</v>
      </c>
      <c r="O56" s="309">
        <f>SUMIFS(Adjustments!$G:$G,Adjustments!$H:$H,"2I",Adjustments!$I:$I,'Schedule 2I Adjustments'!$N$12,Adjustments!$J:$J,'Schedule 2I Adjustments'!$A56)</f>
        <v>0</v>
      </c>
      <c r="P56" s="305">
        <f t="shared" si="3"/>
        <v>0</v>
      </c>
      <c r="Q56" s="68">
        <f>IFERROR(N56*'As-Filed Schedule 1'!$E$103,0)</f>
        <v>0</v>
      </c>
      <c r="R56" s="68">
        <f>IFERROR(P56*'Adjusted Schedule 1'!$E$104,0)</f>
        <v>0</v>
      </c>
      <c r="S56" s="68">
        <f t="shared" si="4"/>
        <v>0</v>
      </c>
      <c r="T56" s="306">
        <f t="shared" si="5"/>
        <v>0</v>
      </c>
      <c r="V56" s="119">
        <f>'As-Filed Schedule 2I'!N56</f>
        <v>0</v>
      </c>
      <c r="W56" s="309">
        <f>SUMIFS(Adjustments!$G:$G,Adjustments!$H:$H,"2I",Adjustments!$I:$I,'Schedule 2I Adjustments'!$V$12,Adjustments!$J:$J,'Schedule 2I Adjustments'!$A56)</f>
        <v>0</v>
      </c>
      <c r="X56" s="305">
        <f t="shared" si="6"/>
        <v>0</v>
      </c>
      <c r="Y56" s="119">
        <f>'As-Filed Schedule 2I'!O56</f>
        <v>0</v>
      </c>
      <c r="Z56" s="309">
        <f>SUMIFS(Adjustments!$G:$G,Adjustments!$H:$H,"2I",Adjustments!$I:$I,'Schedule 2I Adjustments'!$Y$12,Adjustments!$J:$J,'Schedule 2I Adjustments'!$A56)</f>
        <v>0</v>
      </c>
      <c r="AA56" s="305">
        <f t="shared" si="7"/>
        <v>0</v>
      </c>
    </row>
    <row r="57" spans="1:27" x14ac:dyDescent="0.35">
      <c r="A57" s="24">
        <v>43</v>
      </c>
      <c r="B57" s="514" t="str">
        <f>IF('As-Filed Schedule 2I'!B57:D57=0,"",'As-Filed Schedule 2I'!B57:D57)</f>
        <v/>
      </c>
      <c r="C57" s="514"/>
      <c r="D57" s="514"/>
      <c r="F57" s="117">
        <f>'As-Filed Schedule 2I'!F57</f>
        <v>0</v>
      </c>
      <c r="G57" s="309">
        <f>SUMIFS(Adjustments!$G:$G,Adjustments!$H:$H,"2I",Adjustments!$I:$I,'Schedule 2I Adjustments'!$F$12,Adjustments!$J:$J,'Schedule 2I Adjustments'!$A57)</f>
        <v>0</v>
      </c>
      <c r="H57" s="305">
        <f t="shared" si="0"/>
        <v>0</v>
      </c>
      <c r="I57" s="68">
        <f>IFERROR(F57*'As-Filed Schedule 1'!$E$103,0)</f>
        <v>0</v>
      </c>
      <c r="J57" s="306">
        <f>IFERROR(H57*'Adjusted Schedule 1'!$E$104,0)</f>
        <v>0</v>
      </c>
      <c r="K57" s="68">
        <f t="shared" si="1"/>
        <v>0</v>
      </c>
      <c r="L57" s="306">
        <f t="shared" si="2"/>
        <v>0</v>
      </c>
      <c r="N57" s="117">
        <f>'As-Filed Schedule 2I'!J57</f>
        <v>0</v>
      </c>
      <c r="O57" s="309">
        <f>SUMIFS(Adjustments!$G:$G,Adjustments!$H:$H,"2I",Adjustments!$I:$I,'Schedule 2I Adjustments'!$N$12,Adjustments!$J:$J,'Schedule 2I Adjustments'!$A57)</f>
        <v>0</v>
      </c>
      <c r="P57" s="305">
        <f t="shared" si="3"/>
        <v>0</v>
      </c>
      <c r="Q57" s="68">
        <f>IFERROR(N57*'As-Filed Schedule 1'!$E$103,0)</f>
        <v>0</v>
      </c>
      <c r="R57" s="68">
        <f>IFERROR(P57*'Adjusted Schedule 1'!$E$104,0)</f>
        <v>0</v>
      </c>
      <c r="S57" s="68">
        <f t="shared" si="4"/>
        <v>0</v>
      </c>
      <c r="T57" s="306">
        <f t="shared" si="5"/>
        <v>0</v>
      </c>
      <c r="V57" s="119">
        <f>'As-Filed Schedule 2I'!N57</f>
        <v>0</v>
      </c>
      <c r="W57" s="309">
        <f>SUMIFS(Adjustments!$G:$G,Adjustments!$H:$H,"2I",Adjustments!$I:$I,'Schedule 2I Adjustments'!$V$12,Adjustments!$J:$J,'Schedule 2I Adjustments'!$A57)</f>
        <v>0</v>
      </c>
      <c r="X57" s="305">
        <f t="shared" si="6"/>
        <v>0</v>
      </c>
      <c r="Y57" s="119">
        <f>'As-Filed Schedule 2I'!O57</f>
        <v>0</v>
      </c>
      <c r="Z57" s="309">
        <f>SUMIFS(Adjustments!$G:$G,Adjustments!$H:$H,"2I",Adjustments!$I:$I,'Schedule 2I Adjustments'!$Y$12,Adjustments!$J:$J,'Schedule 2I Adjustments'!$A57)</f>
        <v>0</v>
      </c>
      <c r="AA57" s="305">
        <f t="shared" si="7"/>
        <v>0</v>
      </c>
    </row>
    <row r="58" spans="1:27" x14ac:dyDescent="0.35">
      <c r="A58" s="24">
        <v>44</v>
      </c>
      <c r="B58" s="514" t="str">
        <f>IF('As-Filed Schedule 2I'!B58:D58=0,"",'As-Filed Schedule 2I'!B58:D58)</f>
        <v/>
      </c>
      <c r="C58" s="514"/>
      <c r="D58" s="514"/>
      <c r="F58" s="117">
        <f>'As-Filed Schedule 2I'!F58</f>
        <v>0</v>
      </c>
      <c r="G58" s="309">
        <f>SUMIFS(Adjustments!$G:$G,Adjustments!$H:$H,"2I",Adjustments!$I:$I,'Schedule 2I Adjustments'!$F$12,Adjustments!$J:$J,'Schedule 2I Adjustments'!$A58)</f>
        <v>0</v>
      </c>
      <c r="H58" s="305">
        <f t="shared" si="0"/>
        <v>0</v>
      </c>
      <c r="I58" s="68">
        <f>IFERROR(F58*'As-Filed Schedule 1'!$E$103,0)</f>
        <v>0</v>
      </c>
      <c r="J58" s="306">
        <f>IFERROR(H58*'Adjusted Schedule 1'!$E$104,0)</f>
        <v>0</v>
      </c>
      <c r="K58" s="68">
        <f t="shared" si="1"/>
        <v>0</v>
      </c>
      <c r="L58" s="306">
        <f t="shared" si="2"/>
        <v>0</v>
      </c>
      <c r="N58" s="117">
        <f>'As-Filed Schedule 2I'!J58</f>
        <v>0</v>
      </c>
      <c r="O58" s="309">
        <f>SUMIFS(Adjustments!$G:$G,Adjustments!$H:$H,"2I",Adjustments!$I:$I,'Schedule 2I Adjustments'!$N$12,Adjustments!$J:$J,'Schedule 2I Adjustments'!$A58)</f>
        <v>0</v>
      </c>
      <c r="P58" s="305">
        <f t="shared" si="3"/>
        <v>0</v>
      </c>
      <c r="Q58" s="68">
        <f>IFERROR(N58*'As-Filed Schedule 1'!$E$103,0)</f>
        <v>0</v>
      </c>
      <c r="R58" s="68">
        <f>IFERROR(P58*'Adjusted Schedule 1'!$E$104,0)</f>
        <v>0</v>
      </c>
      <c r="S58" s="68">
        <f t="shared" si="4"/>
        <v>0</v>
      </c>
      <c r="T58" s="306">
        <f t="shared" si="5"/>
        <v>0</v>
      </c>
      <c r="V58" s="119">
        <f>'As-Filed Schedule 2I'!N58</f>
        <v>0</v>
      </c>
      <c r="W58" s="309">
        <f>SUMIFS(Adjustments!$G:$G,Adjustments!$H:$H,"2I",Adjustments!$I:$I,'Schedule 2I Adjustments'!$V$12,Adjustments!$J:$J,'Schedule 2I Adjustments'!$A58)</f>
        <v>0</v>
      </c>
      <c r="X58" s="305">
        <f t="shared" si="6"/>
        <v>0</v>
      </c>
      <c r="Y58" s="119">
        <f>'As-Filed Schedule 2I'!O58</f>
        <v>0</v>
      </c>
      <c r="Z58" s="309">
        <f>SUMIFS(Adjustments!$G:$G,Adjustments!$H:$H,"2I",Adjustments!$I:$I,'Schedule 2I Adjustments'!$Y$12,Adjustments!$J:$J,'Schedule 2I Adjustments'!$A58)</f>
        <v>0</v>
      </c>
      <c r="AA58" s="305">
        <f t="shared" si="7"/>
        <v>0</v>
      </c>
    </row>
    <row r="59" spans="1:27" x14ac:dyDescent="0.35">
      <c r="A59" s="24">
        <v>45</v>
      </c>
      <c r="B59" s="514" t="str">
        <f>IF('As-Filed Schedule 2I'!B59:D59=0,"",'As-Filed Schedule 2I'!B59:D59)</f>
        <v/>
      </c>
      <c r="C59" s="514"/>
      <c r="D59" s="514"/>
      <c r="F59" s="117">
        <f>'As-Filed Schedule 2I'!F59</f>
        <v>0</v>
      </c>
      <c r="G59" s="309">
        <f>SUMIFS(Adjustments!$G:$G,Adjustments!$H:$H,"2I",Adjustments!$I:$I,'Schedule 2I Adjustments'!$F$12,Adjustments!$J:$J,'Schedule 2I Adjustments'!$A59)</f>
        <v>0</v>
      </c>
      <c r="H59" s="305">
        <f t="shared" si="0"/>
        <v>0</v>
      </c>
      <c r="I59" s="68">
        <f>IFERROR(F59*'As-Filed Schedule 1'!$E$103,0)</f>
        <v>0</v>
      </c>
      <c r="J59" s="306">
        <f>IFERROR(H59*'Adjusted Schedule 1'!$E$104,0)</f>
        <v>0</v>
      </c>
      <c r="K59" s="68">
        <f t="shared" si="1"/>
        <v>0</v>
      </c>
      <c r="L59" s="306">
        <f t="shared" si="2"/>
        <v>0</v>
      </c>
      <c r="N59" s="117">
        <f>'As-Filed Schedule 2I'!J59</f>
        <v>0</v>
      </c>
      <c r="O59" s="309">
        <f>SUMIFS(Adjustments!$G:$G,Adjustments!$H:$H,"2I",Adjustments!$I:$I,'Schedule 2I Adjustments'!$N$12,Adjustments!$J:$J,'Schedule 2I Adjustments'!$A59)</f>
        <v>0</v>
      </c>
      <c r="P59" s="305">
        <f t="shared" si="3"/>
        <v>0</v>
      </c>
      <c r="Q59" s="68">
        <f>IFERROR(N59*'As-Filed Schedule 1'!$E$103,0)</f>
        <v>0</v>
      </c>
      <c r="R59" s="68">
        <f>IFERROR(P59*'Adjusted Schedule 1'!$E$104,0)</f>
        <v>0</v>
      </c>
      <c r="S59" s="68">
        <f t="shared" si="4"/>
        <v>0</v>
      </c>
      <c r="T59" s="306">
        <f t="shared" si="5"/>
        <v>0</v>
      </c>
      <c r="V59" s="119">
        <f>'As-Filed Schedule 2I'!N59</f>
        <v>0</v>
      </c>
      <c r="W59" s="309">
        <f>SUMIFS(Adjustments!$G:$G,Adjustments!$H:$H,"2I",Adjustments!$I:$I,'Schedule 2I Adjustments'!$V$12,Adjustments!$J:$J,'Schedule 2I Adjustments'!$A59)</f>
        <v>0</v>
      </c>
      <c r="X59" s="305">
        <f t="shared" si="6"/>
        <v>0</v>
      </c>
      <c r="Y59" s="119">
        <f>'As-Filed Schedule 2I'!O59</f>
        <v>0</v>
      </c>
      <c r="Z59" s="309">
        <f>SUMIFS(Adjustments!$G:$G,Adjustments!$H:$H,"2I",Adjustments!$I:$I,'Schedule 2I Adjustments'!$Y$12,Adjustments!$J:$J,'Schedule 2I Adjustments'!$A59)</f>
        <v>0</v>
      </c>
      <c r="AA59" s="305">
        <f t="shared" si="7"/>
        <v>0</v>
      </c>
    </row>
    <row r="60" spans="1:27" x14ac:dyDescent="0.35">
      <c r="A60" s="24">
        <v>46</v>
      </c>
      <c r="B60" s="514" t="str">
        <f>IF('As-Filed Schedule 2I'!B60:D60=0,"",'As-Filed Schedule 2I'!B60:D60)</f>
        <v/>
      </c>
      <c r="C60" s="514"/>
      <c r="D60" s="514"/>
      <c r="F60" s="117">
        <f>'As-Filed Schedule 2I'!F60</f>
        <v>0</v>
      </c>
      <c r="G60" s="309">
        <f>SUMIFS(Adjustments!$G:$G,Adjustments!$H:$H,"2I",Adjustments!$I:$I,'Schedule 2I Adjustments'!$F$12,Adjustments!$J:$J,'Schedule 2I Adjustments'!$A60)</f>
        <v>0</v>
      </c>
      <c r="H60" s="305">
        <f t="shared" si="0"/>
        <v>0</v>
      </c>
      <c r="I60" s="68">
        <f>IFERROR(F60*'As-Filed Schedule 1'!$E$103,0)</f>
        <v>0</v>
      </c>
      <c r="J60" s="306">
        <f>IFERROR(H60*'Adjusted Schedule 1'!$E$104,0)</f>
        <v>0</v>
      </c>
      <c r="K60" s="68">
        <f t="shared" si="1"/>
        <v>0</v>
      </c>
      <c r="L60" s="306">
        <f t="shared" si="2"/>
        <v>0</v>
      </c>
      <c r="N60" s="117">
        <f>'As-Filed Schedule 2I'!J60</f>
        <v>0</v>
      </c>
      <c r="O60" s="309">
        <f>SUMIFS(Adjustments!$G:$G,Adjustments!$H:$H,"2I",Adjustments!$I:$I,'Schedule 2I Adjustments'!$N$12,Adjustments!$J:$J,'Schedule 2I Adjustments'!$A60)</f>
        <v>0</v>
      </c>
      <c r="P60" s="305">
        <f t="shared" si="3"/>
        <v>0</v>
      </c>
      <c r="Q60" s="68">
        <f>IFERROR(N60*'As-Filed Schedule 1'!$E$103,0)</f>
        <v>0</v>
      </c>
      <c r="R60" s="68">
        <f>IFERROR(P60*'Adjusted Schedule 1'!$E$104,0)</f>
        <v>0</v>
      </c>
      <c r="S60" s="68">
        <f t="shared" si="4"/>
        <v>0</v>
      </c>
      <c r="T60" s="306">
        <f t="shared" si="5"/>
        <v>0</v>
      </c>
      <c r="V60" s="119">
        <f>'As-Filed Schedule 2I'!N60</f>
        <v>0</v>
      </c>
      <c r="W60" s="309">
        <f>SUMIFS(Adjustments!$G:$G,Adjustments!$H:$H,"2I",Adjustments!$I:$I,'Schedule 2I Adjustments'!$V$12,Adjustments!$J:$J,'Schedule 2I Adjustments'!$A60)</f>
        <v>0</v>
      </c>
      <c r="X60" s="305">
        <f t="shared" si="6"/>
        <v>0</v>
      </c>
      <c r="Y60" s="119">
        <f>'As-Filed Schedule 2I'!O60</f>
        <v>0</v>
      </c>
      <c r="Z60" s="309">
        <f>SUMIFS(Adjustments!$G:$G,Adjustments!$H:$H,"2I",Adjustments!$I:$I,'Schedule 2I Adjustments'!$Y$12,Adjustments!$J:$J,'Schedule 2I Adjustments'!$A60)</f>
        <v>0</v>
      </c>
      <c r="AA60" s="305">
        <f t="shared" si="7"/>
        <v>0</v>
      </c>
    </row>
    <row r="61" spans="1:27" x14ac:dyDescent="0.35">
      <c r="A61" s="24">
        <v>47</v>
      </c>
      <c r="B61" s="514" t="str">
        <f>IF('As-Filed Schedule 2I'!B61:D61=0,"",'As-Filed Schedule 2I'!B61:D61)</f>
        <v/>
      </c>
      <c r="C61" s="514"/>
      <c r="D61" s="514"/>
      <c r="F61" s="117">
        <f>'As-Filed Schedule 2I'!F61</f>
        <v>0</v>
      </c>
      <c r="G61" s="309">
        <f>SUMIFS(Adjustments!$G:$G,Adjustments!$H:$H,"2I",Adjustments!$I:$I,'Schedule 2I Adjustments'!$F$12,Adjustments!$J:$J,'Schedule 2I Adjustments'!$A61)</f>
        <v>0</v>
      </c>
      <c r="H61" s="305">
        <f t="shared" si="0"/>
        <v>0</v>
      </c>
      <c r="I61" s="68">
        <f>IFERROR(F61*'As-Filed Schedule 1'!$E$103,0)</f>
        <v>0</v>
      </c>
      <c r="J61" s="306">
        <f>IFERROR(H61*'Adjusted Schedule 1'!$E$104,0)</f>
        <v>0</v>
      </c>
      <c r="K61" s="68">
        <f t="shared" si="1"/>
        <v>0</v>
      </c>
      <c r="L61" s="306">
        <f t="shared" si="2"/>
        <v>0</v>
      </c>
      <c r="N61" s="117">
        <f>'As-Filed Schedule 2I'!J61</f>
        <v>0</v>
      </c>
      <c r="O61" s="309">
        <f>SUMIFS(Adjustments!$G:$G,Adjustments!$H:$H,"2I",Adjustments!$I:$I,'Schedule 2I Adjustments'!$N$12,Adjustments!$J:$J,'Schedule 2I Adjustments'!$A61)</f>
        <v>0</v>
      </c>
      <c r="P61" s="305">
        <f t="shared" si="3"/>
        <v>0</v>
      </c>
      <c r="Q61" s="68">
        <f>IFERROR(N61*'As-Filed Schedule 1'!$E$103,0)</f>
        <v>0</v>
      </c>
      <c r="R61" s="68">
        <f>IFERROR(P61*'Adjusted Schedule 1'!$E$104,0)</f>
        <v>0</v>
      </c>
      <c r="S61" s="68">
        <f t="shared" si="4"/>
        <v>0</v>
      </c>
      <c r="T61" s="306">
        <f t="shared" si="5"/>
        <v>0</v>
      </c>
      <c r="V61" s="119">
        <f>'As-Filed Schedule 2I'!N61</f>
        <v>0</v>
      </c>
      <c r="W61" s="309">
        <f>SUMIFS(Adjustments!$G:$G,Adjustments!$H:$H,"2I",Adjustments!$I:$I,'Schedule 2I Adjustments'!$V$12,Adjustments!$J:$J,'Schedule 2I Adjustments'!$A61)</f>
        <v>0</v>
      </c>
      <c r="X61" s="305">
        <f t="shared" si="6"/>
        <v>0</v>
      </c>
      <c r="Y61" s="119">
        <f>'As-Filed Schedule 2I'!O61</f>
        <v>0</v>
      </c>
      <c r="Z61" s="309">
        <f>SUMIFS(Adjustments!$G:$G,Adjustments!$H:$H,"2I",Adjustments!$I:$I,'Schedule 2I Adjustments'!$Y$12,Adjustments!$J:$J,'Schedule 2I Adjustments'!$A61)</f>
        <v>0</v>
      </c>
      <c r="AA61" s="305">
        <f t="shared" si="7"/>
        <v>0</v>
      </c>
    </row>
    <row r="62" spans="1:27" x14ac:dyDescent="0.35">
      <c r="A62" s="24">
        <v>48</v>
      </c>
      <c r="B62" s="514" t="str">
        <f>IF('As-Filed Schedule 2I'!B62:D62=0,"",'As-Filed Schedule 2I'!B62:D62)</f>
        <v/>
      </c>
      <c r="C62" s="514"/>
      <c r="D62" s="514"/>
      <c r="F62" s="117">
        <f>'As-Filed Schedule 2I'!F62</f>
        <v>0</v>
      </c>
      <c r="G62" s="309">
        <f>SUMIFS(Adjustments!$G:$G,Adjustments!$H:$H,"2I",Adjustments!$I:$I,'Schedule 2I Adjustments'!$F$12,Adjustments!$J:$J,'Schedule 2I Adjustments'!$A62)</f>
        <v>0</v>
      </c>
      <c r="H62" s="305">
        <f t="shared" si="0"/>
        <v>0</v>
      </c>
      <c r="I62" s="68">
        <f>IFERROR(F62*'As-Filed Schedule 1'!$E$103,0)</f>
        <v>0</v>
      </c>
      <c r="J62" s="306">
        <f>IFERROR(H62*'Adjusted Schedule 1'!$E$104,0)</f>
        <v>0</v>
      </c>
      <c r="K62" s="68">
        <f t="shared" si="1"/>
        <v>0</v>
      </c>
      <c r="L62" s="306">
        <f t="shared" si="2"/>
        <v>0</v>
      </c>
      <c r="N62" s="117">
        <f>'As-Filed Schedule 2I'!J62</f>
        <v>0</v>
      </c>
      <c r="O62" s="309">
        <f>SUMIFS(Adjustments!$G:$G,Adjustments!$H:$H,"2I",Adjustments!$I:$I,'Schedule 2I Adjustments'!$N$12,Adjustments!$J:$J,'Schedule 2I Adjustments'!$A62)</f>
        <v>0</v>
      </c>
      <c r="P62" s="305">
        <f t="shared" si="3"/>
        <v>0</v>
      </c>
      <c r="Q62" s="68">
        <f>IFERROR(N62*'As-Filed Schedule 1'!$E$103,0)</f>
        <v>0</v>
      </c>
      <c r="R62" s="68">
        <f>IFERROR(P62*'Adjusted Schedule 1'!$E$104,0)</f>
        <v>0</v>
      </c>
      <c r="S62" s="68">
        <f t="shared" si="4"/>
        <v>0</v>
      </c>
      <c r="T62" s="306">
        <f t="shared" si="5"/>
        <v>0</v>
      </c>
      <c r="V62" s="119">
        <f>'As-Filed Schedule 2I'!N62</f>
        <v>0</v>
      </c>
      <c r="W62" s="309">
        <f>SUMIFS(Adjustments!$G:$G,Adjustments!$H:$H,"2I",Adjustments!$I:$I,'Schedule 2I Adjustments'!$V$12,Adjustments!$J:$J,'Schedule 2I Adjustments'!$A62)</f>
        <v>0</v>
      </c>
      <c r="X62" s="305">
        <f t="shared" si="6"/>
        <v>0</v>
      </c>
      <c r="Y62" s="119">
        <f>'As-Filed Schedule 2I'!O62</f>
        <v>0</v>
      </c>
      <c r="Z62" s="309">
        <f>SUMIFS(Adjustments!$G:$G,Adjustments!$H:$H,"2I",Adjustments!$I:$I,'Schedule 2I Adjustments'!$Y$12,Adjustments!$J:$J,'Schedule 2I Adjustments'!$A62)</f>
        <v>0</v>
      </c>
      <c r="AA62" s="305">
        <f t="shared" si="7"/>
        <v>0</v>
      </c>
    </row>
    <row r="63" spans="1:27" x14ac:dyDescent="0.35">
      <c r="A63" s="24">
        <v>49</v>
      </c>
      <c r="B63" s="514" t="str">
        <f>IF('As-Filed Schedule 2I'!B63:D63=0,"",'As-Filed Schedule 2I'!B63:D63)</f>
        <v/>
      </c>
      <c r="C63" s="514"/>
      <c r="D63" s="514"/>
      <c r="F63" s="117">
        <f>'As-Filed Schedule 2I'!F63</f>
        <v>0</v>
      </c>
      <c r="G63" s="309">
        <f>SUMIFS(Adjustments!$G:$G,Adjustments!$H:$H,"2I",Adjustments!$I:$I,'Schedule 2I Adjustments'!$F$12,Adjustments!$J:$J,'Schedule 2I Adjustments'!$A63)</f>
        <v>0</v>
      </c>
      <c r="H63" s="305">
        <f t="shared" si="0"/>
        <v>0</v>
      </c>
      <c r="I63" s="68">
        <f>IFERROR(F63*'As-Filed Schedule 1'!$E$103,0)</f>
        <v>0</v>
      </c>
      <c r="J63" s="306">
        <f>IFERROR(H63*'Adjusted Schedule 1'!$E$104,0)</f>
        <v>0</v>
      </c>
      <c r="K63" s="68">
        <f t="shared" si="1"/>
        <v>0</v>
      </c>
      <c r="L63" s="306">
        <f t="shared" si="2"/>
        <v>0</v>
      </c>
      <c r="N63" s="117">
        <f>'As-Filed Schedule 2I'!J63</f>
        <v>0</v>
      </c>
      <c r="O63" s="309">
        <f>SUMIFS(Adjustments!$G:$G,Adjustments!$H:$H,"2I",Adjustments!$I:$I,'Schedule 2I Adjustments'!$N$12,Adjustments!$J:$J,'Schedule 2I Adjustments'!$A63)</f>
        <v>0</v>
      </c>
      <c r="P63" s="305">
        <f t="shared" si="3"/>
        <v>0</v>
      </c>
      <c r="Q63" s="68">
        <f>IFERROR(N63*'As-Filed Schedule 1'!$E$103,0)</f>
        <v>0</v>
      </c>
      <c r="R63" s="68">
        <f>IFERROR(P63*'Adjusted Schedule 1'!$E$104,0)</f>
        <v>0</v>
      </c>
      <c r="S63" s="68">
        <f t="shared" si="4"/>
        <v>0</v>
      </c>
      <c r="T63" s="306">
        <f t="shared" si="5"/>
        <v>0</v>
      </c>
      <c r="V63" s="119">
        <f>'As-Filed Schedule 2I'!N63</f>
        <v>0</v>
      </c>
      <c r="W63" s="309">
        <f>SUMIFS(Adjustments!$G:$G,Adjustments!$H:$H,"2I",Adjustments!$I:$I,'Schedule 2I Adjustments'!$V$12,Adjustments!$J:$J,'Schedule 2I Adjustments'!$A63)</f>
        <v>0</v>
      </c>
      <c r="X63" s="305">
        <f t="shared" si="6"/>
        <v>0</v>
      </c>
      <c r="Y63" s="119">
        <f>'As-Filed Schedule 2I'!O63</f>
        <v>0</v>
      </c>
      <c r="Z63" s="309">
        <f>SUMIFS(Adjustments!$G:$G,Adjustments!$H:$H,"2I",Adjustments!$I:$I,'Schedule 2I Adjustments'!$Y$12,Adjustments!$J:$J,'Schedule 2I Adjustments'!$A63)</f>
        <v>0</v>
      </c>
      <c r="AA63" s="305">
        <f t="shared" si="7"/>
        <v>0</v>
      </c>
    </row>
    <row r="64" spans="1:27" x14ac:dyDescent="0.35">
      <c r="A64" s="24">
        <v>50</v>
      </c>
      <c r="B64" s="514" t="str">
        <f>IF('As-Filed Schedule 2I'!B64:D64=0,"",'As-Filed Schedule 2I'!B64:D64)</f>
        <v/>
      </c>
      <c r="C64" s="514"/>
      <c r="D64" s="514"/>
      <c r="F64" s="117">
        <f>'As-Filed Schedule 2I'!F64</f>
        <v>0</v>
      </c>
      <c r="G64" s="309">
        <f>SUMIFS(Adjustments!$G:$G,Adjustments!$H:$H,"2I",Adjustments!$I:$I,'Schedule 2I Adjustments'!$F$12,Adjustments!$J:$J,'Schedule 2I Adjustments'!$A64)</f>
        <v>0</v>
      </c>
      <c r="H64" s="305">
        <f t="shared" si="0"/>
        <v>0</v>
      </c>
      <c r="I64" s="68">
        <f>IFERROR(F64*'As-Filed Schedule 1'!$E$103,0)</f>
        <v>0</v>
      </c>
      <c r="J64" s="306">
        <f>IFERROR(H64*'Adjusted Schedule 1'!$E$104,0)</f>
        <v>0</v>
      </c>
      <c r="K64" s="68">
        <f t="shared" si="1"/>
        <v>0</v>
      </c>
      <c r="L64" s="306">
        <f t="shared" si="2"/>
        <v>0</v>
      </c>
      <c r="N64" s="117">
        <f>'As-Filed Schedule 2I'!J64</f>
        <v>0</v>
      </c>
      <c r="O64" s="309">
        <f>SUMIFS(Adjustments!$G:$G,Adjustments!$H:$H,"2I",Adjustments!$I:$I,'Schedule 2I Adjustments'!$N$12,Adjustments!$J:$J,'Schedule 2I Adjustments'!$A64)</f>
        <v>0</v>
      </c>
      <c r="P64" s="305">
        <f t="shared" si="3"/>
        <v>0</v>
      </c>
      <c r="Q64" s="68">
        <f>IFERROR(N64*'As-Filed Schedule 1'!$E$103,0)</f>
        <v>0</v>
      </c>
      <c r="R64" s="68">
        <f>IFERROR(P64*'Adjusted Schedule 1'!$E$104,0)</f>
        <v>0</v>
      </c>
      <c r="S64" s="68">
        <f t="shared" si="4"/>
        <v>0</v>
      </c>
      <c r="T64" s="306">
        <f t="shared" si="5"/>
        <v>0</v>
      </c>
      <c r="V64" s="119">
        <f>'As-Filed Schedule 2I'!N64</f>
        <v>0</v>
      </c>
      <c r="W64" s="309">
        <f>SUMIFS(Adjustments!$G:$G,Adjustments!$H:$H,"2I",Adjustments!$I:$I,'Schedule 2I Adjustments'!$V$12,Adjustments!$J:$J,'Schedule 2I Adjustments'!$A64)</f>
        <v>0</v>
      </c>
      <c r="X64" s="305">
        <f t="shared" si="6"/>
        <v>0</v>
      </c>
      <c r="Y64" s="119">
        <f>'As-Filed Schedule 2I'!O64</f>
        <v>0</v>
      </c>
      <c r="Z64" s="309">
        <f>SUMIFS(Adjustments!$G:$G,Adjustments!$H:$H,"2I",Adjustments!$I:$I,'Schedule 2I Adjustments'!$Y$12,Adjustments!$J:$J,'Schedule 2I Adjustments'!$A64)</f>
        <v>0</v>
      </c>
      <c r="AA64" s="305">
        <f t="shared" si="7"/>
        <v>0</v>
      </c>
    </row>
    <row r="65" spans="1:27" x14ac:dyDescent="0.35">
      <c r="A65" s="24">
        <v>51</v>
      </c>
      <c r="B65" s="514" t="str">
        <f>IF('As-Filed Schedule 2I'!B65:D65=0,"",'As-Filed Schedule 2I'!B65:D65)</f>
        <v/>
      </c>
      <c r="C65" s="514"/>
      <c r="D65" s="514"/>
      <c r="F65" s="117">
        <f>'As-Filed Schedule 2I'!F65</f>
        <v>0</v>
      </c>
      <c r="G65" s="309">
        <f>SUMIFS(Adjustments!$G:$G,Adjustments!$H:$H,"2I",Adjustments!$I:$I,'Schedule 2I Adjustments'!$F$12,Adjustments!$J:$J,'Schedule 2I Adjustments'!$A65)</f>
        <v>0</v>
      </c>
      <c r="H65" s="305">
        <f t="shared" si="0"/>
        <v>0</v>
      </c>
      <c r="I65" s="68">
        <f>IFERROR(F65*'As-Filed Schedule 1'!$E$103,0)</f>
        <v>0</v>
      </c>
      <c r="J65" s="306">
        <f>IFERROR(H65*'Adjusted Schedule 1'!$E$104,0)</f>
        <v>0</v>
      </c>
      <c r="K65" s="68">
        <f t="shared" si="1"/>
        <v>0</v>
      </c>
      <c r="L65" s="306">
        <f t="shared" si="2"/>
        <v>0</v>
      </c>
      <c r="N65" s="117">
        <f>'As-Filed Schedule 2I'!J65</f>
        <v>0</v>
      </c>
      <c r="O65" s="309">
        <f>SUMIFS(Adjustments!$G:$G,Adjustments!$H:$H,"2I",Adjustments!$I:$I,'Schedule 2I Adjustments'!$N$12,Adjustments!$J:$J,'Schedule 2I Adjustments'!$A65)</f>
        <v>0</v>
      </c>
      <c r="P65" s="305">
        <f t="shared" si="3"/>
        <v>0</v>
      </c>
      <c r="Q65" s="68">
        <f>IFERROR(N65*'As-Filed Schedule 1'!$E$103,0)</f>
        <v>0</v>
      </c>
      <c r="R65" s="68">
        <f>IFERROR(P65*'Adjusted Schedule 1'!$E$104,0)</f>
        <v>0</v>
      </c>
      <c r="S65" s="68">
        <f t="shared" si="4"/>
        <v>0</v>
      </c>
      <c r="T65" s="306">
        <f t="shared" si="5"/>
        <v>0</v>
      </c>
      <c r="V65" s="119">
        <f>'As-Filed Schedule 2I'!N65</f>
        <v>0</v>
      </c>
      <c r="W65" s="309">
        <f>SUMIFS(Adjustments!$G:$G,Adjustments!$H:$H,"2I",Adjustments!$I:$I,'Schedule 2I Adjustments'!$V$12,Adjustments!$J:$J,'Schedule 2I Adjustments'!$A65)</f>
        <v>0</v>
      </c>
      <c r="X65" s="305">
        <f t="shared" si="6"/>
        <v>0</v>
      </c>
      <c r="Y65" s="119">
        <f>'As-Filed Schedule 2I'!O65</f>
        <v>0</v>
      </c>
      <c r="Z65" s="309">
        <f>SUMIFS(Adjustments!$G:$G,Adjustments!$H:$H,"2I",Adjustments!$I:$I,'Schedule 2I Adjustments'!$Y$12,Adjustments!$J:$J,'Schedule 2I Adjustments'!$A65)</f>
        <v>0</v>
      </c>
      <c r="AA65" s="305">
        <f t="shared" si="7"/>
        <v>0</v>
      </c>
    </row>
    <row r="66" spans="1:27" x14ac:dyDescent="0.35">
      <c r="A66" s="24">
        <v>52</v>
      </c>
      <c r="B66" s="514" t="str">
        <f>IF('As-Filed Schedule 2I'!B66:D66=0,"",'As-Filed Schedule 2I'!B66:D66)</f>
        <v/>
      </c>
      <c r="C66" s="514"/>
      <c r="D66" s="514"/>
      <c r="F66" s="117">
        <f>'As-Filed Schedule 2I'!F66</f>
        <v>0</v>
      </c>
      <c r="G66" s="309">
        <f>SUMIFS(Adjustments!$G:$G,Adjustments!$H:$H,"2I",Adjustments!$I:$I,'Schedule 2I Adjustments'!$F$12,Adjustments!$J:$J,'Schedule 2I Adjustments'!$A66)</f>
        <v>0</v>
      </c>
      <c r="H66" s="305">
        <f t="shared" si="0"/>
        <v>0</v>
      </c>
      <c r="I66" s="68">
        <f>IFERROR(F66*'As-Filed Schedule 1'!$E$103,0)</f>
        <v>0</v>
      </c>
      <c r="J66" s="306">
        <f>IFERROR(H66*'Adjusted Schedule 1'!$E$104,0)</f>
        <v>0</v>
      </c>
      <c r="K66" s="68">
        <f t="shared" si="1"/>
        <v>0</v>
      </c>
      <c r="L66" s="306">
        <f t="shared" si="2"/>
        <v>0</v>
      </c>
      <c r="N66" s="117">
        <f>'As-Filed Schedule 2I'!J66</f>
        <v>0</v>
      </c>
      <c r="O66" s="309">
        <f>SUMIFS(Adjustments!$G:$G,Adjustments!$H:$H,"2I",Adjustments!$I:$I,'Schedule 2I Adjustments'!$N$12,Adjustments!$J:$J,'Schedule 2I Adjustments'!$A66)</f>
        <v>0</v>
      </c>
      <c r="P66" s="305">
        <f t="shared" si="3"/>
        <v>0</v>
      </c>
      <c r="Q66" s="68">
        <f>IFERROR(N66*'As-Filed Schedule 1'!$E$103,0)</f>
        <v>0</v>
      </c>
      <c r="R66" s="68">
        <f>IFERROR(P66*'Adjusted Schedule 1'!$E$104,0)</f>
        <v>0</v>
      </c>
      <c r="S66" s="68">
        <f t="shared" si="4"/>
        <v>0</v>
      </c>
      <c r="T66" s="306">
        <f t="shared" si="5"/>
        <v>0</v>
      </c>
      <c r="V66" s="119">
        <f>'As-Filed Schedule 2I'!N66</f>
        <v>0</v>
      </c>
      <c r="W66" s="309">
        <f>SUMIFS(Adjustments!$G:$G,Adjustments!$H:$H,"2I",Adjustments!$I:$I,'Schedule 2I Adjustments'!$V$12,Adjustments!$J:$J,'Schedule 2I Adjustments'!$A66)</f>
        <v>0</v>
      </c>
      <c r="X66" s="305">
        <f t="shared" si="6"/>
        <v>0</v>
      </c>
      <c r="Y66" s="119">
        <f>'As-Filed Schedule 2I'!O66</f>
        <v>0</v>
      </c>
      <c r="Z66" s="309">
        <f>SUMIFS(Adjustments!$G:$G,Adjustments!$H:$H,"2I",Adjustments!$I:$I,'Schedule 2I Adjustments'!$Y$12,Adjustments!$J:$J,'Schedule 2I Adjustments'!$A66)</f>
        <v>0</v>
      </c>
      <c r="AA66" s="305">
        <f t="shared" si="7"/>
        <v>0</v>
      </c>
    </row>
    <row r="67" spans="1:27" x14ac:dyDescent="0.35">
      <c r="A67" s="24">
        <v>53</v>
      </c>
      <c r="B67" s="514" t="str">
        <f>IF('As-Filed Schedule 2I'!B67:D67=0,"",'As-Filed Schedule 2I'!B67:D67)</f>
        <v/>
      </c>
      <c r="C67" s="514"/>
      <c r="D67" s="514"/>
      <c r="F67" s="117">
        <f>'As-Filed Schedule 2I'!F67</f>
        <v>0</v>
      </c>
      <c r="G67" s="309">
        <f>SUMIFS(Adjustments!$G:$G,Adjustments!$H:$H,"2I",Adjustments!$I:$I,'Schedule 2I Adjustments'!$F$12,Adjustments!$J:$J,'Schedule 2I Adjustments'!$A67)</f>
        <v>0</v>
      </c>
      <c r="H67" s="305">
        <f t="shared" si="0"/>
        <v>0</v>
      </c>
      <c r="I67" s="68">
        <f>IFERROR(F67*'As-Filed Schedule 1'!$E$103,0)</f>
        <v>0</v>
      </c>
      <c r="J67" s="306">
        <f>IFERROR(H67*'Adjusted Schedule 1'!$E$104,0)</f>
        <v>0</v>
      </c>
      <c r="K67" s="68">
        <f t="shared" si="1"/>
        <v>0</v>
      </c>
      <c r="L67" s="306">
        <f t="shared" si="2"/>
        <v>0</v>
      </c>
      <c r="N67" s="117">
        <f>'As-Filed Schedule 2I'!J67</f>
        <v>0</v>
      </c>
      <c r="O67" s="309">
        <f>SUMIFS(Adjustments!$G:$G,Adjustments!$H:$H,"2I",Adjustments!$I:$I,'Schedule 2I Adjustments'!$N$12,Adjustments!$J:$J,'Schedule 2I Adjustments'!$A67)</f>
        <v>0</v>
      </c>
      <c r="P67" s="305">
        <f t="shared" si="3"/>
        <v>0</v>
      </c>
      <c r="Q67" s="68">
        <f>IFERROR(N67*'As-Filed Schedule 1'!$E$103,0)</f>
        <v>0</v>
      </c>
      <c r="R67" s="68">
        <f>IFERROR(P67*'Adjusted Schedule 1'!$E$104,0)</f>
        <v>0</v>
      </c>
      <c r="S67" s="68">
        <f t="shared" si="4"/>
        <v>0</v>
      </c>
      <c r="T67" s="306">
        <f t="shared" si="5"/>
        <v>0</v>
      </c>
      <c r="V67" s="119">
        <f>'As-Filed Schedule 2I'!N67</f>
        <v>0</v>
      </c>
      <c r="W67" s="309">
        <f>SUMIFS(Adjustments!$G:$G,Adjustments!$H:$H,"2I",Adjustments!$I:$I,'Schedule 2I Adjustments'!$V$12,Adjustments!$J:$J,'Schedule 2I Adjustments'!$A67)</f>
        <v>0</v>
      </c>
      <c r="X67" s="305">
        <f t="shared" si="6"/>
        <v>0</v>
      </c>
      <c r="Y67" s="119">
        <f>'As-Filed Schedule 2I'!O67</f>
        <v>0</v>
      </c>
      <c r="Z67" s="309">
        <f>SUMIFS(Adjustments!$G:$G,Adjustments!$H:$H,"2I",Adjustments!$I:$I,'Schedule 2I Adjustments'!$Y$12,Adjustments!$J:$J,'Schedule 2I Adjustments'!$A67)</f>
        <v>0</v>
      </c>
      <c r="AA67" s="305">
        <f t="shared" si="7"/>
        <v>0</v>
      </c>
    </row>
    <row r="68" spans="1:27" x14ac:dyDescent="0.35">
      <c r="A68" s="24">
        <v>54</v>
      </c>
      <c r="B68" s="514" t="str">
        <f>IF('As-Filed Schedule 2I'!B68:D68=0,"",'As-Filed Schedule 2I'!B68:D68)</f>
        <v/>
      </c>
      <c r="C68" s="514"/>
      <c r="D68" s="514"/>
      <c r="F68" s="117">
        <f>'As-Filed Schedule 2I'!F68</f>
        <v>0</v>
      </c>
      <c r="G68" s="309">
        <f>SUMIFS(Adjustments!$G:$G,Adjustments!$H:$H,"2I",Adjustments!$I:$I,'Schedule 2I Adjustments'!$F$12,Adjustments!$J:$J,'Schedule 2I Adjustments'!$A68)</f>
        <v>0</v>
      </c>
      <c r="H68" s="305">
        <f t="shared" si="0"/>
        <v>0</v>
      </c>
      <c r="I68" s="68">
        <f>IFERROR(F68*'As-Filed Schedule 1'!$E$103,0)</f>
        <v>0</v>
      </c>
      <c r="J68" s="306">
        <f>IFERROR(H68*'Adjusted Schedule 1'!$E$104,0)</f>
        <v>0</v>
      </c>
      <c r="K68" s="68">
        <f t="shared" si="1"/>
        <v>0</v>
      </c>
      <c r="L68" s="306">
        <f t="shared" si="2"/>
        <v>0</v>
      </c>
      <c r="N68" s="117">
        <f>'As-Filed Schedule 2I'!J68</f>
        <v>0</v>
      </c>
      <c r="O68" s="309">
        <f>SUMIFS(Adjustments!$G:$G,Adjustments!$H:$H,"2I",Adjustments!$I:$I,'Schedule 2I Adjustments'!$N$12,Adjustments!$J:$J,'Schedule 2I Adjustments'!$A68)</f>
        <v>0</v>
      </c>
      <c r="P68" s="305">
        <f t="shared" si="3"/>
        <v>0</v>
      </c>
      <c r="Q68" s="68">
        <f>IFERROR(N68*'As-Filed Schedule 1'!$E$103,0)</f>
        <v>0</v>
      </c>
      <c r="R68" s="68">
        <f>IFERROR(P68*'Adjusted Schedule 1'!$E$104,0)</f>
        <v>0</v>
      </c>
      <c r="S68" s="68">
        <f t="shared" si="4"/>
        <v>0</v>
      </c>
      <c r="T68" s="306">
        <f t="shared" si="5"/>
        <v>0</v>
      </c>
      <c r="V68" s="119">
        <f>'As-Filed Schedule 2I'!N68</f>
        <v>0</v>
      </c>
      <c r="W68" s="309">
        <f>SUMIFS(Adjustments!$G:$G,Adjustments!$H:$H,"2I",Adjustments!$I:$I,'Schedule 2I Adjustments'!$V$12,Adjustments!$J:$J,'Schedule 2I Adjustments'!$A68)</f>
        <v>0</v>
      </c>
      <c r="X68" s="305">
        <f t="shared" si="6"/>
        <v>0</v>
      </c>
      <c r="Y68" s="119">
        <f>'As-Filed Schedule 2I'!O68</f>
        <v>0</v>
      </c>
      <c r="Z68" s="309">
        <f>SUMIFS(Adjustments!$G:$G,Adjustments!$H:$H,"2I",Adjustments!$I:$I,'Schedule 2I Adjustments'!$Y$12,Adjustments!$J:$J,'Schedule 2I Adjustments'!$A68)</f>
        <v>0</v>
      </c>
      <c r="AA68" s="305">
        <f t="shared" si="7"/>
        <v>0</v>
      </c>
    </row>
    <row r="69" spans="1:27" x14ac:dyDescent="0.35">
      <c r="A69" s="24">
        <v>55</v>
      </c>
      <c r="B69" s="514" t="str">
        <f>IF('As-Filed Schedule 2I'!B69:D69=0,"",'As-Filed Schedule 2I'!B69:D69)</f>
        <v/>
      </c>
      <c r="C69" s="514"/>
      <c r="D69" s="514"/>
      <c r="F69" s="117">
        <f>'As-Filed Schedule 2I'!F69</f>
        <v>0</v>
      </c>
      <c r="G69" s="309">
        <f>SUMIFS(Adjustments!$G:$G,Adjustments!$H:$H,"2I",Adjustments!$I:$I,'Schedule 2I Adjustments'!$F$12,Adjustments!$J:$J,'Schedule 2I Adjustments'!$A69)</f>
        <v>0</v>
      </c>
      <c r="H69" s="305">
        <f t="shared" si="0"/>
        <v>0</v>
      </c>
      <c r="I69" s="68">
        <f>IFERROR(F69*'As-Filed Schedule 1'!$E$103,0)</f>
        <v>0</v>
      </c>
      <c r="J69" s="306">
        <f>IFERROR(H69*'Adjusted Schedule 1'!$E$104,0)</f>
        <v>0</v>
      </c>
      <c r="K69" s="68">
        <f t="shared" si="1"/>
        <v>0</v>
      </c>
      <c r="L69" s="306">
        <f t="shared" si="2"/>
        <v>0</v>
      </c>
      <c r="N69" s="117">
        <f>'As-Filed Schedule 2I'!J69</f>
        <v>0</v>
      </c>
      <c r="O69" s="309">
        <f>SUMIFS(Adjustments!$G:$G,Adjustments!$H:$H,"2I",Adjustments!$I:$I,'Schedule 2I Adjustments'!$N$12,Adjustments!$J:$J,'Schedule 2I Adjustments'!$A69)</f>
        <v>0</v>
      </c>
      <c r="P69" s="305">
        <f t="shared" si="3"/>
        <v>0</v>
      </c>
      <c r="Q69" s="68">
        <f>IFERROR(N69*'As-Filed Schedule 1'!$E$103,0)</f>
        <v>0</v>
      </c>
      <c r="R69" s="68">
        <f>IFERROR(P69*'Adjusted Schedule 1'!$E$104,0)</f>
        <v>0</v>
      </c>
      <c r="S69" s="68">
        <f t="shared" si="4"/>
        <v>0</v>
      </c>
      <c r="T69" s="306">
        <f t="shared" si="5"/>
        <v>0</v>
      </c>
      <c r="V69" s="119">
        <f>'As-Filed Schedule 2I'!N69</f>
        <v>0</v>
      </c>
      <c r="W69" s="309">
        <f>SUMIFS(Adjustments!$G:$G,Adjustments!$H:$H,"2I",Adjustments!$I:$I,'Schedule 2I Adjustments'!$V$12,Adjustments!$J:$J,'Schedule 2I Adjustments'!$A69)</f>
        <v>0</v>
      </c>
      <c r="X69" s="305">
        <f t="shared" si="6"/>
        <v>0</v>
      </c>
      <c r="Y69" s="119">
        <f>'As-Filed Schedule 2I'!O69</f>
        <v>0</v>
      </c>
      <c r="Z69" s="309">
        <f>SUMIFS(Adjustments!$G:$G,Adjustments!$H:$H,"2I",Adjustments!$I:$I,'Schedule 2I Adjustments'!$Y$12,Adjustments!$J:$J,'Schedule 2I Adjustments'!$A69)</f>
        <v>0</v>
      </c>
      <c r="AA69" s="305">
        <f t="shared" si="7"/>
        <v>0</v>
      </c>
    </row>
    <row r="70" spans="1:27" x14ac:dyDescent="0.35">
      <c r="A70" s="24">
        <v>56</v>
      </c>
      <c r="B70" s="514" t="str">
        <f>IF('As-Filed Schedule 2I'!B70:D70=0,"",'As-Filed Schedule 2I'!B70:D70)</f>
        <v/>
      </c>
      <c r="C70" s="514"/>
      <c r="D70" s="514"/>
      <c r="F70" s="117">
        <f>'As-Filed Schedule 2I'!F70</f>
        <v>0</v>
      </c>
      <c r="G70" s="309">
        <f>SUMIFS(Adjustments!$G:$G,Adjustments!$H:$H,"2I",Adjustments!$I:$I,'Schedule 2I Adjustments'!$F$12,Adjustments!$J:$J,'Schedule 2I Adjustments'!$A70)</f>
        <v>0</v>
      </c>
      <c r="H70" s="305">
        <f t="shared" si="0"/>
        <v>0</v>
      </c>
      <c r="I70" s="68">
        <f>IFERROR(F70*'As-Filed Schedule 1'!$E$103,0)</f>
        <v>0</v>
      </c>
      <c r="J70" s="306">
        <f>IFERROR(H70*'Adjusted Schedule 1'!$E$104,0)</f>
        <v>0</v>
      </c>
      <c r="K70" s="68">
        <f t="shared" si="1"/>
        <v>0</v>
      </c>
      <c r="L70" s="306">
        <f t="shared" si="2"/>
        <v>0</v>
      </c>
      <c r="N70" s="117">
        <f>'As-Filed Schedule 2I'!J70</f>
        <v>0</v>
      </c>
      <c r="O70" s="309">
        <f>SUMIFS(Adjustments!$G:$G,Adjustments!$H:$H,"2I",Adjustments!$I:$I,'Schedule 2I Adjustments'!$N$12,Adjustments!$J:$J,'Schedule 2I Adjustments'!$A70)</f>
        <v>0</v>
      </c>
      <c r="P70" s="305">
        <f t="shared" si="3"/>
        <v>0</v>
      </c>
      <c r="Q70" s="68">
        <f>IFERROR(N70*'As-Filed Schedule 1'!$E$103,0)</f>
        <v>0</v>
      </c>
      <c r="R70" s="68">
        <f>IFERROR(P70*'Adjusted Schedule 1'!$E$104,0)</f>
        <v>0</v>
      </c>
      <c r="S70" s="68">
        <f t="shared" si="4"/>
        <v>0</v>
      </c>
      <c r="T70" s="306">
        <f t="shared" si="5"/>
        <v>0</v>
      </c>
      <c r="V70" s="119">
        <f>'As-Filed Schedule 2I'!N70</f>
        <v>0</v>
      </c>
      <c r="W70" s="309">
        <f>SUMIFS(Adjustments!$G:$G,Adjustments!$H:$H,"2I",Adjustments!$I:$I,'Schedule 2I Adjustments'!$V$12,Adjustments!$J:$J,'Schedule 2I Adjustments'!$A70)</f>
        <v>0</v>
      </c>
      <c r="X70" s="305">
        <f t="shared" si="6"/>
        <v>0</v>
      </c>
      <c r="Y70" s="119">
        <f>'As-Filed Schedule 2I'!O70</f>
        <v>0</v>
      </c>
      <c r="Z70" s="309">
        <f>SUMIFS(Adjustments!$G:$G,Adjustments!$H:$H,"2I",Adjustments!$I:$I,'Schedule 2I Adjustments'!$Y$12,Adjustments!$J:$J,'Schedule 2I Adjustments'!$A70)</f>
        <v>0</v>
      </c>
      <c r="AA70" s="305">
        <f t="shared" si="7"/>
        <v>0</v>
      </c>
    </row>
    <row r="71" spans="1:27" x14ac:dyDescent="0.35">
      <c r="A71" s="24">
        <v>57</v>
      </c>
      <c r="B71" s="514" t="str">
        <f>IF('As-Filed Schedule 2I'!B71:D71=0,"",'As-Filed Schedule 2I'!B71:D71)</f>
        <v/>
      </c>
      <c r="C71" s="514"/>
      <c r="D71" s="514"/>
      <c r="F71" s="117">
        <f>'As-Filed Schedule 2I'!F71</f>
        <v>0</v>
      </c>
      <c r="G71" s="309">
        <f>SUMIFS(Adjustments!$G:$G,Adjustments!$H:$H,"2I",Adjustments!$I:$I,'Schedule 2I Adjustments'!$F$12,Adjustments!$J:$J,'Schedule 2I Adjustments'!$A71)</f>
        <v>0</v>
      </c>
      <c r="H71" s="305">
        <f t="shared" si="0"/>
        <v>0</v>
      </c>
      <c r="I71" s="68">
        <f>IFERROR(F71*'As-Filed Schedule 1'!$E$103,0)</f>
        <v>0</v>
      </c>
      <c r="J71" s="306">
        <f>IFERROR(H71*'Adjusted Schedule 1'!$E$104,0)</f>
        <v>0</v>
      </c>
      <c r="K71" s="68">
        <f t="shared" si="1"/>
        <v>0</v>
      </c>
      <c r="L71" s="306">
        <f t="shared" si="2"/>
        <v>0</v>
      </c>
      <c r="N71" s="117">
        <f>'As-Filed Schedule 2I'!J71</f>
        <v>0</v>
      </c>
      <c r="O71" s="309">
        <f>SUMIFS(Adjustments!$G:$G,Adjustments!$H:$H,"2I",Adjustments!$I:$I,'Schedule 2I Adjustments'!$N$12,Adjustments!$J:$J,'Schedule 2I Adjustments'!$A71)</f>
        <v>0</v>
      </c>
      <c r="P71" s="305">
        <f t="shared" si="3"/>
        <v>0</v>
      </c>
      <c r="Q71" s="68">
        <f>IFERROR(N71*'As-Filed Schedule 1'!$E$103,0)</f>
        <v>0</v>
      </c>
      <c r="R71" s="68">
        <f>IFERROR(P71*'Adjusted Schedule 1'!$E$104,0)</f>
        <v>0</v>
      </c>
      <c r="S71" s="68">
        <f t="shared" si="4"/>
        <v>0</v>
      </c>
      <c r="T71" s="306">
        <f t="shared" si="5"/>
        <v>0</v>
      </c>
      <c r="V71" s="119">
        <f>'As-Filed Schedule 2I'!N71</f>
        <v>0</v>
      </c>
      <c r="W71" s="309">
        <f>SUMIFS(Adjustments!$G:$G,Adjustments!$H:$H,"2I",Adjustments!$I:$I,'Schedule 2I Adjustments'!$V$12,Adjustments!$J:$J,'Schedule 2I Adjustments'!$A71)</f>
        <v>0</v>
      </c>
      <c r="X71" s="305">
        <f t="shared" si="6"/>
        <v>0</v>
      </c>
      <c r="Y71" s="119">
        <f>'As-Filed Schedule 2I'!O71</f>
        <v>0</v>
      </c>
      <c r="Z71" s="309">
        <f>SUMIFS(Adjustments!$G:$G,Adjustments!$H:$H,"2I",Adjustments!$I:$I,'Schedule 2I Adjustments'!$Y$12,Adjustments!$J:$J,'Schedule 2I Adjustments'!$A71)</f>
        <v>0</v>
      </c>
      <c r="AA71" s="305">
        <f t="shared" si="7"/>
        <v>0</v>
      </c>
    </row>
    <row r="72" spans="1:27" x14ac:dyDescent="0.35">
      <c r="A72" s="24">
        <v>58</v>
      </c>
      <c r="B72" s="514" t="str">
        <f>IF('As-Filed Schedule 2I'!B72:D72=0,"",'As-Filed Schedule 2I'!B72:D72)</f>
        <v/>
      </c>
      <c r="C72" s="514"/>
      <c r="D72" s="514"/>
      <c r="F72" s="117">
        <f>'As-Filed Schedule 2I'!F72</f>
        <v>0</v>
      </c>
      <c r="G72" s="309">
        <f>SUMIFS(Adjustments!$G:$G,Adjustments!$H:$H,"2I",Adjustments!$I:$I,'Schedule 2I Adjustments'!$F$12,Adjustments!$J:$J,'Schedule 2I Adjustments'!$A72)</f>
        <v>0</v>
      </c>
      <c r="H72" s="305">
        <f t="shared" si="0"/>
        <v>0</v>
      </c>
      <c r="I72" s="68">
        <f>IFERROR(F72*'As-Filed Schedule 1'!$E$103,0)</f>
        <v>0</v>
      </c>
      <c r="J72" s="306">
        <f>IFERROR(H72*'Adjusted Schedule 1'!$E$104,0)</f>
        <v>0</v>
      </c>
      <c r="K72" s="68">
        <f t="shared" si="1"/>
        <v>0</v>
      </c>
      <c r="L72" s="306">
        <f t="shared" si="2"/>
        <v>0</v>
      </c>
      <c r="N72" s="117">
        <f>'As-Filed Schedule 2I'!J72</f>
        <v>0</v>
      </c>
      <c r="O72" s="309">
        <f>SUMIFS(Adjustments!$G:$G,Adjustments!$H:$H,"2I",Adjustments!$I:$I,'Schedule 2I Adjustments'!$N$12,Adjustments!$J:$J,'Schedule 2I Adjustments'!$A72)</f>
        <v>0</v>
      </c>
      <c r="P72" s="305">
        <f t="shared" si="3"/>
        <v>0</v>
      </c>
      <c r="Q72" s="68">
        <f>IFERROR(N72*'As-Filed Schedule 1'!$E$103,0)</f>
        <v>0</v>
      </c>
      <c r="R72" s="68">
        <f>IFERROR(P72*'Adjusted Schedule 1'!$E$104,0)</f>
        <v>0</v>
      </c>
      <c r="S72" s="68">
        <f t="shared" si="4"/>
        <v>0</v>
      </c>
      <c r="T72" s="306">
        <f t="shared" si="5"/>
        <v>0</v>
      </c>
      <c r="V72" s="119">
        <f>'As-Filed Schedule 2I'!N72</f>
        <v>0</v>
      </c>
      <c r="W72" s="309">
        <f>SUMIFS(Adjustments!$G:$G,Adjustments!$H:$H,"2I",Adjustments!$I:$I,'Schedule 2I Adjustments'!$V$12,Adjustments!$J:$J,'Schedule 2I Adjustments'!$A72)</f>
        <v>0</v>
      </c>
      <c r="X72" s="305">
        <f t="shared" si="6"/>
        <v>0</v>
      </c>
      <c r="Y72" s="119">
        <f>'As-Filed Schedule 2I'!O72</f>
        <v>0</v>
      </c>
      <c r="Z72" s="309">
        <f>SUMIFS(Adjustments!$G:$G,Adjustments!$H:$H,"2I",Adjustments!$I:$I,'Schedule 2I Adjustments'!$Y$12,Adjustments!$J:$J,'Schedule 2I Adjustments'!$A72)</f>
        <v>0</v>
      </c>
      <c r="AA72" s="305">
        <f t="shared" si="7"/>
        <v>0</v>
      </c>
    </row>
    <row r="73" spans="1:27" x14ac:dyDescent="0.35">
      <c r="A73" s="24">
        <v>59</v>
      </c>
      <c r="F73" s="18">
        <f>SUM(F15:F72)</f>
        <v>0</v>
      </c>
      <c r="G73" s="18">
        <f>SUM(G15:G72)</f>
        <v>0</v>
      </c>
      <c r="H73" s="18">
        <f t="shared" ref="H73:K73" si="8">SUM(H15:H72)</f>
        <v>0</v>
      </c>
      <c r="I73" s="18">
        <f t="shared" si="8"/>
        <v>0</v>
      </c>
      <c r="J73" s="306">
        <f>IFERROR(H73*'Adjusted Schedule 1'!$E$104,0)</f>
        <v>0</v>
      </c>
      <c r="K73" s="18">
        <f t="shared" si="8"/>
        <v>0</v>
      </c>
      <c r="L73" s="307">
        <f t="shared" ref="L73" si="9">SUM(L15:L72)</f>
        <v>0</v>
      </c>
      <c r="N73" s="18">
        <f>SUM(N15:N72)</f>
        <v>0</v>
      </c>
      <c r="O73" s="18">
        <f t="shared" ref="O73:S73" si="10">SUM(O15:O72)</f>
        <v>0</v>
      </c>
      <c r="P73" s="18">
        <f t="shared" si="10"/>
        <v>0</v>
      </c>
      <c r="Q73" s="18">
        <f t="shared" si="10"/>
        <v>0</v>
      </c>
      <c r="R73" s="18">
        <f t="shared" si="10"/>
        <v>0</v>
      </c>
      <c r="S73" s="18">
        <f t="shared" si="10"/>
        <v>0</v>
      </c>
      <c r="T73" s="307">
        <f>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814</v>
      </c>
      <c r="F75" s="75">
        <f>K73+S73</f>
        <v>0</v>
      </c>
      <c r="G75"/>
      <c r="H75" s="75">
        <f>L73+T73</f>
        <v>0</v>
      </c>
      <c r="I75" s="74"/>
      <c r="J75" s="321"/>
      <c r="K75" s="74"/>
      <c r="L75" s="321"/>
      <c r="N75" s="74"/>
      <c r="O75" s="328"/>
      <c r="P75" s="321"/>
      <c r="Q75" s="74"/>
      <c r="R75" s="321"/>
      <c r="T75" s="323"/>
      <c r="W75" s="326"/>
      <c r="X75" s="323"/>
      <c r="Z75" s="326"/>
      <c r="AA75" s="323"/>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844</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825</v>
      </c>
      <c r="C8" s="1"/>
      <c r="F8" s="118" t="str">
        <f>'As-Filed Schedule 2J'!F8</f>
        <v>Yes/No</v>
      </c>
      <c r="G8" s="41" t="s">
        <v>259</v>
      </c>
    </row>
    <row r="10" spans="1:27" x14ac:dyDescent="0.35">
      <c r="A10" s="1" t="s">
        <v>254</v>
      </c>
      <c r="B10" s="1" t="s">
        <v>256</v>
      </c>
      <c r="C10" s="1"/>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ht="15" customHeight="1"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48"/>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2J'!B15:D15=0,"",'As-Filed Schedule 2J'!B15:D15)</f>
        <v/>
      </c>
      <c r="C15" s="514"/>
      <c r="D15" s="514"/>
      <c r="F15" s="117">
        <f>'As-Filed Schedule 2J'!F15</f>
        <v>0</v>
      </c>
      <c r="G15" s="309">
        <f>SUMIFS(Adjustments!$G:$G,Adjustments!$H:$H,"2J",Adjustments!$I:$I,'Schedule 2J Adjustments'!$F$12,Adjustments!$J:$J,'Schedule 2J Adjustments'!$A15)</f>
        <v>0</v>
      </c>
      <c r="H15" s="305">
        <f>SUM(F15:G15)</f>
        <v>0</v>
      </c>
      <c r="I15" s="68">
        <f>IFERROR(F15*'As-Filed Schedule 1'!$E$103,0)</f>
        <v>0</v>
      </c>
      <c r="J15" s="306">
        <f>IFERROR(H15*'Adjusted Schedule 1'!$E$104,0)</f>
        <v>0</v>
      </c>
      <c r="K15" s="68">
        <f>SUM(F15,I15)</f>
        <v>0</v>
      </c>
      <c r="L15" s="306">
        <f>SUM(H15,J15)</f>
        <v>0</v>
      </c>
      <c r="N15" s="117">
        <f>'As-Filed Schedule 2J'!J15</f>
        <v>0</v>
      </c>
      <c r="O15" s="309">
        <f>SUMIFS(Adjustments!$G:$G,Adjustments!$H:$H,"2J",Adjustments!$I:$I,'Schedule 2J Adjustments'!$N$12,Adjustments!$J:$J,'Schedule 2J Adjustments'!$A15)</f>
        <v>0</v>
      </c>
      <c r="P15" s="305">
        <f>SUM(N15:O15)</f>
        <v>0</v>
      </c>
      <c r="Q15" s="68">
        <f>IFERROR(N15*'As-Filed Schedule 1'!$E$103,0)</f>
        <v>0</v>
      </c>
      <c r="R15" s="68">
        <f>IFERROR(P15*'Adjusted Schedule 1'!$E$104,0)</f>
        <v>0</v>
      </c>
      <c r="S15" s="68">
        <f>SUM(N15,Q15)</f>
        <v>0</v>
      </c>
      <c r="T15" s="306">
        <f>SUM(P15,R15)</f>
        <v>0</v>
      </c>
      <c r="V15" s="119">
        <f>'As-Filed Schedule 2J'!N15</f>
        <v>0</v>
      </c>
      <c r="W15" s="309">
        <f>SUMIFS(Adjustments!$G:$G,Adjustments!$H:$H,"2J",Adjustments!$I:$I,'Schedule 2J Adjustments'!$V$12,Adjustments!$J:$J,'Schedule 2J Adjustments'!$A15)</f>
        <v>0</v>
      </c>
      <c r="X15" s="305">
        <f>SUM(V15:W15)</f>
        <v>0</v>
      </c>
      <c r="Y15" s="119">
        <f>'As-Filed Schedule 2J'!O15</f>
        <v>0</v>
      </c>
      <c r="Z15" s="309">
        <f>SUMIFS(Adjustments!$G:$G,Adjustments!$H:$H,"2J",Adjustments!$I:$I,'Schedule 2J Adjustments'!$Y$12,Adjustments!$J:$J,'Schedule 2J Adjustments'!$A15)</f>
        <v>0</v>
      </c>
      <c r="AA15" s="305">
        <f>SUM(Y15:Z15)</f>
        <v>0</v>
      </c>
    </row>
    <row r="16" spans="1:27" x14ac:dyDescent="0.35">
      <c r="A16" s="24">
        <v>2</v>
      </c>
      <c r="B16" s="514" t="str">
        <f>IF('As-Filed Schedule 2J'!B16:D16=0,"",'As-Filed Schedule 2J'!B16:D16)</f>
        <v/>
      </c>
      <c r="C16" s="514"/>
      <c r="D16" s="514"/>
      <c r="F16" s="117">
        <f>'As-Filed Schedule 2J'!F16</f>
        <v>0</v>
      </c>
      <c r="G16" s="309">
        <f>SUMIFS(Adjustments!$G:$G,Adjustments!$H:$H,"2J",Adjustments!$I:$I,'Schedule 2J Adjustments'!$F$12,Adjustments!$J:$J,'Schedule 2J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2J'!J16</f>
        <v>0</v>
      </c>
      <c r="O16" s="309">
        <f>SUMIFS(Adjustments!$G:$G,Adjustments!$H:$H,"2J",Adjustments!$I:$I,'Schedule 2J Adjustments'!$N$12,Adjustments!$J:$J,'Schedule 2J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2J'!N16</f>
        <v>0</v>
      </c>
      <c r="W16" s="309">
        <f>SUMIFS(Adjustments!$G:$G,Adjustments!$H:$H,"2J",Adjustments!$I:$I,'Schedule 2J Adjustments'!$V$12,Adjustments!$J:$J,'Schedule 2J Adjustments'!$A16)</f>
        <v>0</v>
      </c>
      <c r="X16" s="305">
        <f t="shared" ref="X16:X72" si="6">SUM(V16:W16)</f>
        <v>0</v>
      </c>
      <c r="Y16" s="119">
        <f>'As-Filed Schedule 2J'!O16</f>
        <v>0</v>
      </c>
      <c r="Z16" s="309">
        <f>SUMIFS(Adjustments!$G:$G,Adjustments!$H:$H,"2J",Adjustments!$I:$I,'Schedule 2J Adjustments'!$Y$12,Adjustments!$J:$J,'Schedule 2J Adjustments'!$A16)</f>
        <v>0</v>
      </c>
      <c r="AA16" s="305">
        <f t="shared" ref="AA16:AA72" si="7">SUM(Y16:Z16)</f>
        <v>0</v>
      </c>
    </row>
    <row r="17" spans="1:27" x14ac:dyDescent="0.35">
      <c r="A17" s="24">
        <v>3</v>
      </c>
      <c r="B17" s="514" t="str">
        <f>IF('As-Filed Schedule 2J'!B17:D17=0,"",'As-Filed Schedule 2J'!B17:D17)</f>
        <v/>
      </c>
      <c r="C17" s="514"/>
      <c r="D17" s="514"/>
      <c r="F17" s="117">
        <f>'As-Filed Schedule 2J'!F17</f>
        <v>0</v>
      </c>
      <c r="G17" s="309">
        <f>SUMIFS(Adjustments!$G:$G,Adjustments!$H:$H,"2J",Adjustments!$I:$I,'Schedule 2J Adjustments'!$F$12,Adjustments!$J:$J,'Schedule 2J Adjustments'!$A17)</f>
        <v>0</v>
      </c>
      <c r="H17" s="305">
        <f t="shared" si="0"/>
        <v>0</v>
      </c>
      <c r="I17" s="68">
        <f>IFERROR(F17*'As-Filed Schedule 1'!$E$103,0)</f>
        <v>0</v>
      </c>
      <c r="J17" s="306">
        <f>IFERROR(H17*'Adjusted Schedule 1'!$E$104,0)</f>
        <v>0</v>
      </c>
      <c r="K17" s="68">
        <f t="shared" si="1"/>
        <v>0</v>
      </c>
      <c r="L17" s="306">
        <f t="shared" si="2"/>
        <v>0</v>
      </c>
      <c r="N17" s="117">
        <f>'As-Filed Schedule 2J'!J17</f>
        <v>0</v>
      </c>
      <c r="O17" s="309">
        <f>SUMIFS(Adjustments!$G:$G,Adjustments!$H:$H,"2J",Adjustments!$I:$I,'Schedule 2J Adjustments'!$N$12,Adjustments!$J:$J,'Schedule 2J Adjustments'!$A17)</f>
        <v>0</v>
      </c>
      <c r="P17" s="305">
        <f t="shared" si="3"/>
        <v>0</v>
      </c>
      <c r="Q17" s="68">
        <f>IFERROR(N17*'As-Filed Schedule 1'!$E$103,0)</f>
        <v>0</v>
      </c>
      <c r="R17" s="68">
        <f>IFERROR(P17*'Adjusted Schedule 1'!$E$104,0)</f>
        <v>0</v>
      </c>
      <c r="S17" s="68">
        <f t="shared" si="4"/>
        <v>0</v>
      </c>
      <c r="T17" s="306">
        <f t="shared" si="5"/>
        <v>0</v>
      </c>
      <c r="V17" s="119">
        <f>'As-Filed Schedule 2J'!N17</f>
        <v>0</v>
      </c>
      <c r="W17" s="309">
        <f>SUMIFS(Adjustments!$G:$G,Adjustments!$H:$H,"2J",Adjustments!$I:$I,'Schedule 2J Adjustments'!$V$12,Adjustments!$J:$J,'Schedule 2J Adjustments'!$A17)</f>
        <v>0</v>
      </c>
      <c r="X17" s="305">
        <f t="shared" si="6"/>
        <v>0</v>
      </c>
      <c r="Y17" s="119">
        <f>'As-Filed Schedule 2J'!O17</f>
        <v>0</v>
      </c>
      <c r="Z17" s="309">
        <f>SUMIFS(Adjustments!$G:$G,Adjustments!$H:$H,"2J",Adjustments!$I:$I,'Schedule 2J Adjustments'!$Y$12,Adjustments!$J:$J,'Schedule 2J Adjustments'!$A17)</f>
        <v>0</v>
      </c>
      <c r="AA17" s="305">
        <f t="shared" si="7"/>
        <v>0</v>
      </c>
    </row>
    <row r="18" spans="1:27" x14ac:dyDescent="0.35">
      <c r="A18" s="24">
        <v>4</v>
      </c>
      <c r="B18" s="514" t="str">
        <f>IF('As-Filed Schedule 2J'!B18:D18=0,"",'As-Filed Schedule 2J'!B18:D18)</f>
        <v/>
      </c>
      <c r="C18" s="514"/>
      <c r="D18" s="514"/>
      <c r="F18" s="117">
        <f>'As-Filed Schedule 2J'!F18</f>
        <v>0</v>
      </c>
      <c r="G18" s="309">
        <f>SUMIFS(Adjustments!$G:$G,Adjustments!$H:$H,"2J",Adjustments!$I:$I,'Schedule 2J Adjustments'!$F$12,Adjustments!$J:$J,'Schedule 2J Adjustments'!$A18)</f>
        <v>0</v>
      </c>
      <c r="H18" s="305">
        <f t="shared" si="0"/>
        <v>0</v>
      </c>
      <c r="I18" s="68">
        <f>IFERROR(F18*'As-Filed Schedule 1'!$E$103,0)</f>
        <v>0</v>
      </c>
      <c r="J18" s="306">
        <f>IFERROR(H18*'Adjusted Schedule 1'!$E$104,0)</f>
        <v>0</v>
      </c>
      <c r="K18" s="68">
        <f>SUM(F18,I18)</f>
        <v>0</v>
      </c>
      <c r="L18" s="306">
        <f>SUM(H18,J18)</f>
        <v>0</v>
      </c>
      <c r="N18" s="117">
        <f>'As-Filed Schedule 2J'!J18</f>
        <v>0</v>
      </c>
      <c r="O18" s="309">
        <f>SUMIFS(Adjustments!$G:$G,Adjustments!$H:$H,"2J",Adjustments!$I:$I,'Schedule 2J Adjustments'!$N$12,Adjustments!$J:$J,'Schedule 2J Adjustments'!$A18)</f>
        <v>0</v>
      </c>
      <c r="P18" s="305">
        <f t="shared" si="3"/>
        <v>0</v>
      </c>
      <c r="Q18" s="68">
        <f>IFERROR(N18*'As-Filed Schedule 1'!$E$103,0)</f>
        <v>0</v>
      </c>
      <c r="R18" s="68">
        <f>IFERROR(P18*'Adjusted Schedule 1'!$E$104,0)</f>
        <v>0</v>
      </c>
      <c r="S18" s="68">
        <f t="shared" si="4"/>
        <v>0</v>
      </c>
      <c r="T18" s="306">
        <f t="shared" si="5"/>
        <v>0</v>
      </c>
      <c r="V18" s="119">
        <f>'As-Filed Schedule 2J'!N18</f>
        <v>0</v>
      </c>
      <c r="W18" s="309">
        <f>SUMIFS(Adjustments!$G:$G,Adjustments!$H:$H,"2J",Adjustments!$I:$I,'Schedule 2J Adjustments'!$V$12,Adjustments!$J:$J,'Schedule 2J Adjustments'!$A18)</f>
        <v>0</v>
      </c>
      <c r="X18" s="305">
        <f t="shared" si="6"/>
        <v>0</v>
      </c>
      <c r="Y18" s="119">
        <f>'As-Filed Schedule 2J'!O18</f>
        <v>0</v>
      </c>
      <c r="Z18" s="309">
        <f>SUMIFS(Adjustments!$G:$G,Adjustments!$H:$H,"2J",Adjustments!$I:$I,'Schedule 2J Adjustments'!$Y$12,Adjustments!$J:$J,'Schedule 2J Adjustments'!$A18)</f>
        <v>0</v>
      </c>
      <c r="AA18" s="305">
        <f t="shared" si="7"/>
        <v>0</v>
      </c>
    </row>
    <row r="19" spans="1:27" x14ac:dyDescent="0.35">
      <c r="A19" s="24">
        <v>5</v>
      </c>
      <c r="B19" s="514" t="str">
        <f>IF('As-Filed Schedule 2J'!B19:D19=0,"",'As-Filed Schedule 2J'!B19:D19)</f>
        <v/>
      </c>
      <c r="C19" s="514"/>
      <c r="D19" s="514"/>
      <c r="F19" s="117">
        <f>'As-Filed Schedule 2J'!F19</f>
        <v>0</v>
      </c>
      <c r="G19" s="309">
        <f>SUMIFS(Adjustments!$G:$G,Adjustments!$H:$H,"2J",Adjustments!$I:$I,'Schedule 2J Adjustments'!$F$12,Adjustments!$J:$J,'Schedule 2J Adjustments'!$A19)</f>
        <v>0</v>
      </c>
      <c r="H19" s="305">
        <f t="shared" si="0"/>
        <v>0</v>
      </c>
      <c r="I19" s="68">
        <f>IFERROR(F19*'As-Filed Schedule 1'!$E$103,0)</f>
        <v>0</v>
      </c>
      <c r="J19" s="306">
        <f>IFERROR(H19*'Adjusted Schedule 1'!$E$104,0)</f>
        <v>0</v>
      </c>
      <c r="K19" s="68">
        <f t="shared" si="1"/>
        <v>0</v>
      </c>
      <c r="L19" s="306">
        <f>SUM(H19,J19)</f>
        <v>0</v>
      </c>
      <c r="N19" s="117">
        <f>'As-Filed Schedule 2J'!J19</f>
        <v>0</v>
      </c>
      <c r="O19" s="309">
        <f>SUMIFS(Adjustments!$G:$G,Adjustments!$H:$H,"2J",Adjustments!$I:$I,'Schedule 2J Adjustments'!$N$12,Adjustments!$J:$J,'Schedule 2J Adjustments'!$A19)</f>
        <v>0</v>
      </c>
      <c r="P19" s="305">
        <f t="shared" si="3"/>
        <v>0</v>
      </c>
      <c r="Q19" s="68">
        <f>IFERROR(N19*'As-Filed Schedule 1'!$E$103,0)</f>
        <v>0</v>
      </c>
      <c r="R19" s="68">
        <f>IFERROR(P19*'Adjusted Schedule 1'!$E$104,0)</f>
        <v>0</v>
      </c>
      <c r="S19" s="68">
        <f t="shared" si="4"/>
        <v>0</v>
      </c>
      <c r="T19" s="306">
        <f t="shared" si="5"/>
        <v>0</v>
      </c>
      <c r="V19" s="119">
        <f>'As-Filed Schedule 2J'!N19</f>
        <v>0</v>
      </c>
      <c r="W19" s="309">
        <f>SUMIFS(Adjustments!$G:$G,Adjustments!$H:$H,"2J",Adjustments!$I:$I,'Schedule 2J Adjustments'!$V$12,Adjustments!$J:$J,'Schedule 2J Adjustments'!$A19)</f>
        <v>0</v>
      </c>
      <c r="X19" s="305">
        <f t="shared" si="6"/>
        <v>0</v>
      </c>
      <c r="Y19" s="119">
        <f>'As-Filed Schedule 2J'!O19</f>
        <v>0</v>
      </c>
      <c r="Z19" s="309">
        <f>SUMIFS(Adjustments!$G:$G,Adjustments!$H:$H,"2J",Adjustments!$I:$I,'Schedule 2J Adjustments'!$Y$12,Adjustments!$J:$J,'Schedule 2J Adjustments'!$A19)</f>
        <v>0</v>
      </c>
      <c r="AA19" s="305">
        <f t="shared" si="7"/>
        <v>0</v>
      </c>
    </row>
    <row r="20" spans="1:27" x14ac:dyDescent="0.35">
      <c r="A20" s="24">
        <v>6</v>
      </c>
      <c r="B20" s="514" t="str">
        <f>IF('As-Filed Schedule 2J'!B20:D20=0,"",'As-Filed Schedule 2J'!B20:D20)</f>
        <v/>
      </c>
      <c r="C20" s="514"/>
      <c r="D20" s="514"/>
      <c r="F20" s="117">
        <f>'As-Filed Schedule 2J'!F20</f>
        <v>0</v>
      </c>
      <c r="G20" s="309">
        <f>SUMIFS(Adjustments!$G:$G,Adjustments!$H:$H,"2J",Adjustments!$I:$I,'Schedule 2J Adjustments'!$F$12,Adjustments!$J:$J,'Schedule 2J Adjustments'!$A20)</f>
        <v>0</v>
      </c>
      <c r="H20" s="305">
        <f t="shared" si="0"/>
        <v>0</v>
      </c>
      <c r="I20" s="68">
        <f>IFERROR(F20*'As-Filed Schedule 1'!$E$103,0)</f>
        <v>0</v>
      </c>
      <c r="J20" s="306">
        <f>IFERROR(H20*'Adjusted Schedule 1'!$E$104,0)</f>
        <v>0</v>
      </c>
      <c r="K20" s="68">
        <f>SUM(F20,I20)</f>
        <v>0</v>
      </c>
      <c r="L20" s="306">
        <f t="shared" si="2"/>
        <v>0</v>
      </c>
      <c r="N20" s="117">
        <f>'As-Filed Schedule 2J'!J20</f>
        <v>0</v>
      </c>
      <c r="O20" s="309">
        <f>SUMIFS(Adjustments!$G:$G,Adjustments!$H:$H,"2J",Adjustments!$I:$I,'Schedule 2J Adjustments'!$N$12,Adjustments!$J:$J,'Schedule 2J Adjustments'!$A20)</f>
        <v>0</v>
      </c>
      <c r="P20" s="305">
        <f t="shared" si="3"/>
        <v>0</v>
      </c>
      <c r="Q20" s="68">
        <f>IFERROR(N20*'As-Filed Schedule 1'!$E$103,0)</f>
        <v>0</v>
      </c>
      <c r="R20" s="68">
        <f>IFERROR(P20*'Adjusted Schedule 1'!$E$104,0)</f>
        <v>0</v>
      </c>
      <c r="S20" s="68">
        <f t="shared" si="4"/>
        <v>0</v>
      </c>
      <c r="T20" s="306">
        <f t="shared" si="5"/>
        <v>0</v>
      </c>
      <c r="V20" s="119">
        <f>'As-Filed Schedule 2J'!N20</f>
        <v>0</v>
      </c>
      <c r="W20" s="309">
        <f>SUMIFS(Adjustments!$G:$G,Adjustments!$H:$H,"2J",Adjustments!$I:$I,'Schedule 2J Adjustments'!$V$12,Adjustments!$J:$J,'Schedule 2J Adjustments'!$A20)</f>
        <v>0</v>
      </c>
      <c r="X20" s="305">
        <f t="shared" si="6"/>
        <v>0</v>
      </c>
      <c r="Y20" s="119">
        <f>'As-Filed Schedule 2J'!O20</f>
        <v>0</v>
      </c>
      <c r="Z20" s="309">
        <f>SUMIFS(Adjustments!$G:$G,Adjustments!$H:$H,"2J",Adjustments!$I:$I,'Schedule 2J Adjustments'!$Y$12,Adjustments!$J:$J,'Schedule 2J Adjustments'!$A20)</f>
        <v>0</v>
      </c>
      <c r="AA20" s="305">
        <f t="shared" si="7"/>
        <v>0</v>
      </c>
    </row>
    <row r="21" spans="1:27" x14ac:dyDescent="0.35">
      <c r="A21" s="24">
        <v>7</v>
      </c>
      <c r="B21" s="514" t="str">
        <f>IF('As-Filed Schedule 2J'!B21:D21=0,"",'As-Filed Schedule 2J'!B21:D21)</f>
        <v/>
      </c>
      <c r="C21" s="514"/>
      <c r="D21" s="514"/>
      <c r="F21" s="117">
        <f>'As-Filed Schedule 2J'!F21</f>
        <v>0</v>
      </c>
      <c r="G21" s="309">
        <f>SUMIFS(Adjustments!$G:$G,Adjustments!$H:$H,"2J",Adjustments!$I:$I,'Schedule 2J Adjustments'!$F$12,Adjustments!$J:$J,'Schedule 2J Adjustments'!$A21)</f>
        <v>0</v>
      </c>
      <c r="H21" s="305">
        <f t="shared" si="0"/>
        <v>0</v>
      </c>
      <c r="I21" s="68">
        <f>IFERROR(F21*'As-Filed Schedule 1'!$E$103,0)</f>
        <v>0</v>
      </c>
      <c r="J21" s="306">
        <f>IFERROR(H21*'Adjusted Schedule 1'!$E$104,0)</f>
        <v>0</v>
      </c>
      <c r="K21" s="68">
        <f t="shared" si="1"/>
        <v>0</v>
      </c>
      <c r="L21" s="306">
        <f t="shared" si="2"/>
        <v>0</v>
      </c>
      <c r="N21" s="117">
        <f>'As-Filed Schedule 2J'!J21</f>
        <v>0</v>
      </c>
      <c r="O21" s="309">
        <f>SUMIFS(Adjustments!$G:$G,Adjustments!$H:$H,"2J",Adjustments!$I:$I,'Schedule 2J Adjustments'!$N$12,Adjustments!$J:$J,'Schedule 2J Adjustments'!$A21)</f>
        <v>0</v>
      </c>
      <c r="P21" s="305">
        <f t="shared" si="3"/>
        <v>0</v>
      </c>
      <c r="Q21" s="68">
        <f>IFERROR(N21*'As-Filed Schedule 1'!$E$103,0)</f>
        <v>0</v>
      </c>
      <c r="R21" s="68">
        <f>IFERROR(P21*'Adjusted Schedule 1'!$E$104,0)</f>
        <v>0</v>
      </c>
      <c r="S21" s="68">
        <f>SUM(N21,Q21)</f>
        <v>0</v>
      </c>
      <c r="T21" s="306">
        <f>SUM(P21,R21)</f>
        <v>0</v>
      </c>
      <c r="V21" s="119">
        <f>'As-Filed Schedule 2J'!N21</f>
        <v>0</v>
      </c>
      <c r="W21" s="309">
        <f>SUMIFS(Adjustments!$G:$G,Adjustments!$H:$H,"2J",Adjustments!$I:$I,'Schedule 2J Adjustments'!$V$12,Adjustments!$J:$J,'Schedule 2J Adjustments'!$A21)</f>
        <v>0</v>
      </c>
      <c r="X21" s="305">
        <f t="shared" si="6"/>
        <v>0</v>
      </c>
      <c r="Y21" s="119">
        <f>'As-Filed Schedule 2J'!O21</f>
        <v>0</v>
      </c>
      <c r="Z21" s="309">
        <f>SUMIFS(Adjustments!$G:$G,Adjustments!$H:$H,"2J",Adjustments!$I:$I,'Schedule 2J Adjustments'!$Y$12,Adjustments!$J:$J,'Schedule 2J Adjustments'!$A21)</f>
        <v>0</v>
      </c>
      <c r="AA21" s="305">
        <f t="shared" si="7"/>
        <v>0</v>
      </c>
    </row>
    <row r="22" spans="1:27" x14ac:dyDescent="0.35">
      <c r="A22" s="24">
        <v>8</v>
      </c>
      <c r="B22" s="514" t="str">
        <f>IF('As-Filed Schedule 2J'!B22:D22=0,"",'As-Filed Schedule 2J'!B22:D22)</f>
        <v/>
      </c>
      <c r="C22" s="514"/>
      <c r="D22" s="514"/>
      <c r="F22" s="117">
        <f>'As-Filed Schedule 2J'!F22</f>
        <v>0</v>
      </c>
      <c r="G22" s="309">
        <f>SUMIFS(Adjustments!$G:$G,Adjustments!$H:$H,"2J",Adjustments!$I:$I,'Schedule 2J Adjustments'!$F$12,Adjustments!$J:$J,'Schedule 2J Adjustments'!$A22)</f>
        <v>0</v>
      </c>
      <c r="H22" s="305">
        <f t="shared" si="0"/>
        <v>0</v>
      </c>
      <c r="I22" s="68">
        <f>IFERROR(F22*'As-Filed Schedule 1'!$E$103,0)</f>
        <v>0</v>
      </c>
      <c r="J22" s="306">
        <f>IFERROR(H22*'Adjusted Schedule 1'!$E$104,0)</f>
        <v>0</v>
      </c>
      <c r="K22" s="68">
        <f t="shared" si="1"/>
        <v>0</v>
      </c>
      <c r="L22" s="306">
        <f t="shared" si="2"/>
        <v>0</v>
      </c>
      <c r="N22" s="117">
        <f>'As-Filed Schedule 2J'!J22</f>
        <v>0</v>
      </c>
      <c r="O22" s="309">
        <f>SUMIFS(Adjustments!$G:$G,Adjustments!$H:$H,"2J",Adjustments!$I:$I,'Schedule 2J Adjustments'!$N$12,Adjustments!$J:$J,'Schedule 2J Adjustments'!$A22)</f>
        <v>0</v>
      </c>
      <c r="P22" s="305">
        <f t="shared" si="3"/>
        <v>0</v>
      </c>
      <c r="Q22" s="68">
        <f>IFERROR(N22*'As-Filed Schedule 1'!$E$103,0)</f>
        <v>0</v>
      </c>
      <c r="R22" s="68">
        <f>IFERROR(P22*'Adjusted Schedule 1'!$E$104,0)</f>
        <v>0</v>
      </c>
      <c r="S22" s="68">
        <f t="shared" si="4"/>
        <v>0</v>
      </c>
      <c r="T22" s="306">
        <f t="shared" si="5"/>
        <v>0</v>
      </c>
      <c r="V22" s="119">
        <f>'As-Filed Schedule 2J'!N22</f>
        <v>0</v>
      </c>
      <c r="W22" s="309">
        <f>SUMIFS(Adjustments!$G:$G,Adjustments!$H:$H,"2J",Adjustments!$I:$I,'Schedule 2J Adjustments'!$V$12,Adjustments!$J:$J,'Schedule 2J Adjustments'!$A22)</f>
        <v>0</v>
      </c>
      <c r="X22" s="305">
        <f t="shared" si="6"/>
        <v>0</v>
      </c>
      <c r="Y22" s="119">
        <f>'As-Filed Schedule 2J'!O22</f>
        <v>0</v>
      </c>
      <c r="Z22" s="309">
        <f>SUMIFS(Adjustments!$G:$G,Adjustments!$H:$H,"2J",Adjustments!$I:$I,'Schedule 2J Adjustments'!$Y$12,Adjustments!$J:$J,'Schedule 2J Adjustments'!$A22)</f>
        <v>0</v>
      </c>
      <c r="AA22" s="305">
        <f t="shared" si="7"/>
        <v>0</v>
      </c>
    </row>
    <row r="23" spans="1:27" x14ac:dyDescent="0.35">
      <c r="A23" s="24">
        <v>9</v>
      </c>
      <c r="B23" s="514" t="str">
        <f>IF('As-Filed Schedule 2J'!B23:D23=0,"",'As-Filed Schedule 2J'!B23:D23)</f>
        <v/>
      </c>
      <c r="C23" s="514"/>
      <c r="D23" s="514"/>
      <c r="F23" s="117">
        <f>'As-Filed Schedule 2J'!F23</f>
        <v>0</v>
      </c>
      <c r="G23" s="309">
        <f>SUMIFS(Adjustments!$G:$G,Adjustments!$H:$H,"2J",Adjustments!$I:$I,'Schedule 2J Adjustments'!$F$12,Adjustments!$J:$J,'Schedule 2J Adjustments'!$A23)</f>
        <v>0</v>
      </c>
      <c r="H23" s="305">
        <f t="shared" si="0"/>
        <v>0</v>
      </c>
      <c r="I23" s="68">
        <f>IFERROR(F23*'As-Filed Schedule 1'!$E$103,0)</f>
        <v>0</v>
      </c>
      <c r="J23" s="306">
        <f>IFERROR(H23*'Adjusted Schedule 1'!$E$104,0)</f>
        <v>0</v>
      </c>
      <c r="K23" s="68">
        <f t="shared" si="1"/>
        <v>0</v>
      </c>
      <c r="L23" s="306">
        <f t="shared" si="2"/>
        <v>0</v>
      </c>
      <c r="N23" s="117">
        <f>'As-Filed Schedule 2J'!J23</f>
        <v>0</v>
      </c>
      <c r="O23" s="309">
        <f>SUMIFS(Adjustments!$G:$G,Adjustments!$H:$H,"2J",Adjustments!$I:$I,'Schedule 2J Adjustments'!$N$12,Adjustments!$J:$J,'Schedule 2J Adjustments'!$A23)</f>
        <v>0</v>
      </c>
      <c r="P23" s="305">
        <f t="shared" si="3"/>
        <v>0</v>
      </c>
      <c r="Q23" s="68">
        <f>IFERROR(N23*'As-Filed Schedule 1'!$E$103,0)</f>
        <v>0</v>
      </c>
      <c r="R23" s="68">
        <f>IFERROR(P23*'Adjusted Schedule 1'!$E$104,0)</f>
        <v>0</v>
      </c>
      <c r="S23" s="68">
        <f t="shared" si="4"/>
        <v>0</v>
      </c>
      <c r="T23" s="306">
        <f t="shared" si="5"/>
        <v>0</v>
      </c>
      <c r="V23" s="119">
        <f>'As-Filed Schedule 2J'!N23</f>
        <v>0</v>
      </c>
      <c r="W23" s="309">
        <f>SUMIFS(Adjustments!$G:$G,Adjustments!$H:$H,"2J",Adjustments!$I:$I,'Schedule 2J Adjustments'!$V$12,Adjustments!$J:$J,'Schedule 2J Adjustments'!$A23)</f>
        <v>0</v>
      </c>
      <c r="X23" s="305">
        <f t="shared" si="6"/>
        <v>0</v>
      </c>
      <c r="Y23" s="119">
        <f>'As-Filed Schedule 2J'!O23</f>
        <v>0</v>
      </c>
      <c r="Z23" s="309">
        <f>SUMIFS(Adjustments!$G:$G,Adjustments!$H:$H,"2J",Adjustments!$I:$I,'Schedule 2J Adjustments'!$Y$12,Adjustments!$J:$J,'Schedule 2J Adjustments'!$A23)</f>
        <v>0</v>
      </c>
      <c r="AA23" s="305">
        <f t="shared" si="7"/>
        <v>0</v>
      </c>
    </row>
    <row r="24" spans="1:27" x14ac:dyDescent="0.35">
      <c r="A24" s="24">
        <v>10</v>
      </c>
      <c r="B24" s="514" t="str">
        <f>IF('As-Filed Schedule 2J'!B24:D24=0,"",'As-Filed Schedule 2J'!B24:D24)</f>
        <v/>
      </c>
      <c r="C24" s="514"/>
      <c r="D24" s="514"/>
      <c r="F24" s="117">
        <f>'As-Filed Schedule 2J'!F24</f>
        <v>0</v>
      </c>
      <c r="G24" s="309">
        <f>SUMIFS(Adjustments!$G:$G,Adjustments!$H:$H,"2J",Adjustments!$I:$I,'Schedule 2J Adjustments'!$F$12,Adjustments!$J:$J,'Schedule 2J Adjustments'!$A24)</f>
        <v>0</v>
      </c>
      <c r="H24" s="305">
        <f t="shared" si="0"/>
        <v>0</v>
      </c>
      <c r="I24" s="68">
        <f>IFERROR(F24*'As-Filed Schedule 1'!$E$103,0)</f>
        <v>0</v>
      </c>
      <c r="J24" s="306">
        <f>IFERROR(H24*'Adjusted Schedule 1'!$E$104,0)</f>
        <v>0</v>
      </c>
      <c r="K24" s="68">
        <f t="shared" si="1"/>
        <v>0</v>
      </c>
      <c r="L24" s="306">
        <f t="shared" si="2"/>
        <v>0</v>
      </c>
      <c r="N24" s="117">
        <f>'As-Filed Schedule 2J'!J24</f>
        <v>0</v>
      </c>
      <c r="O24" s="309">
        <f>SUMIFS(Adjustments!$G:$G,Adjustments!$H:$H,"2J",Adjustments!$I:$I,'Schedule 2J Adjustments'!$N$12,Adjustments!$J:$J,'Schedule 2J Adjustments'!$A24)</f>
        <v>0</v>
      </c>
      <c r="P24" s="305">
        <f t="shared" si="3"/>
        <v>0</v>
      </c>
      <c r="Q24" s="68">
        <f>IFERROR(N24*'As-Filed Schedule 1'!$E$103,0)</f>
        <v>0</v>
      </c>
      <c r="R24" s="68">
        <f>IFERROR(P24*'Adjusted Schedule 1'!$E$104,0)</f>
        <v>0</v>
      </c>
      <c r="S24" s="68">
        <f t="shared" si="4"/>
        <v>0</v>
      </c>
      <c r="T24" s="306">
        <f t="shared" si="5"/>
        <v>0</v>
      </c>
      <c r="V24" s="119">
        <f>'As-Filed Schedule 2J'!N24</f>
        <v>0</v>
      </c>
      <c r="W24" s="309">
        <f>SUMIFS(Adjustments!$G:$G,Adjustments!$H:$H,"2J",Adjustments!$I:$I,'Schedule 2J Adjustments'!$V$12,Adjustments!$J:$J,'Schedule 2J Adjustments'!$A24)</f>
        <v>0</v>
      </c>
      <c r="X24" s="305">
        <f t="shared" si="6"/>
        <v>0</v>
      </c>
      <c r="Y24" s="119">
        <f>'As-Filed Schedule 2J'!O24</f>
        <v>0</v>
      </c>
      <c r="Z24" s="309">
        <f>SUMIFS(Adjustments!$G:$G,Adjustments!$H:$H,"2J",Adjustments!$I:$I,'Schedule 2J Adjustments'!$Y$12,Adjustments!$J:$J,'Schedule 2J Adjustments'!$A24)</f>
        <v>0</v>
      </c>
      <c r="AA24" s="305">
        <f t="shared" si="7"/>
        <v>0</v>
      </c>
    </row>
    <row r="25" spans="1:27" x14ac:dyDescent="0.35">
      <c r="A25" s="24">
        <v>11</v>
      </c>
      <c r="B25" s="514" t="str">
        <f>IF('As-Filed Schedule 2J'!B25:D25=0,"",'As-Filed Schedule 2J'!B25:D25)</f>
        <v/>
      </c>
      <c r="C25" s="514"/>
      <c r="D25" s="514"/>
      <c r="F25" s="117">
        <f>'As-Filed Schedule 2J'!F25</f>
        <v>0</v>
      </c>
      <c r="G25" s="309">
        <f>SUMIFS(Adjustments!$G:$G,Adjustments!$H:$H,"2J",Adjustments!$I:$I,'Schedule 2J Adjustments'!$F$12,Adjustments!$J:$J,'Schedule 2J Adjustments'!$A25)</f>
        <v>0</v>
      </c>
      <c r="H25" s="305">
        <f t="shared" si="0"/>
        <v>0</v>
      </c>
      <c r="I25" s="68">
        <f>IFERROR(F25*'As-Filed Schedule 1'!$E$103,0)</f>
        <v>0</v>
      </c>
      <c r="J25" s="306">
        <f>IFERROR(H25*'Adjusted Schedule 1'!$E$104,0)</f>
        <v>0</v>
      </c>
      <c r="K25" s="68">
        <f t="shared" si="1"/>
        <v>0</v>
      </c>
      <c r="L25" s="306">
        <f t="shared" si="2"/>
        <v>0</v>
      </c>
      <c r="N25" s="117">
        <f>'As-Filed Schedule 2J'!J25</f>
        <v>0</v>
      </c>
      <c r="O25" s="309">
        <f>SUMIFS(Adjustments!$G:$G,Adjustments!$H:$H,"2J",Adjustments!$I:$I,'Schedule 2J Adjustments'!$N$12,Adjustments!$J:$J,'Schedule 2J Adjustments'!$A25)</f>
        <v>0</v>
      </c>
      <c r="P25" s="305">
        <f t="shared" si="3"/>
        <v>0</v>
      </c>
      <c r="Q25" s="68">
        <f>IFERROR(N25*'As-Filed Schedule 1'!$E$103,0)</f>
        <v>0</v>
      </c>
      <c r="R25" s="68">
        <f>IFERROR(P25*'Adjusted Schedule 1'!$E$104,0)</f>
        <v>0</v>
      </c>
      <c r="S25" s="68">
        <f t="shared" si="4"/>
        <v>0</v>
      </c>
      <c r="T25" s="306">
        <f t="shared" si="5"/>
        <v>0</v>
      </c>
      <c r="V25" s="119">
        <f>'As-Filed Schedule 2J'!N25</f>
        <v>0</v>
      </c>
      <c r="W25" s="309">
        <f>SUMIFS(Adjustments!$G:$G,Adjustments!$H:$H,"2J",Adjustments!$I:$I,'Schedule 2J Adjustments'!$V$12,Adjustments!$J:$J,'Schedule 2J Adjustments'!$A25)</f>
        <v>0</v>
      </c>
      <c r="X25" s="305">
        <f t="shared" si="6"/>
        <v>0</v>
      </c>
      <c r="Y25" s="119">
        <f>'As-Filed Schedule 2J'!O25</f>
        <v>0</v>
      </c>
      <c r="Z25" s="309">
        <f>SUMIFS(Adjustments!$G:$G,Adjustments!$H:$H,"2J",Adjustments!$I:$I,'Schedule 2J Adjustments'!$Y$12,Adjustments!$J:$J,'Schedule 2J Adjustments'!$A25)</f>
        <v>0</v>
      </c>
      <c r="AA25" s="305">
        <f t="shared" si="7"/>
        <v>0</v>
      </c>
    </row>
    <row r="26" spans="1:27" x14ac:dyDescent="0.35">
      <c r="A26" s="24">
        <v>12</v>
      </c>
      <c r="B26" s="514" t="str">
        <f>IF('As-Filed Schedule 2J'!B26:D26=0,"",'As-Filed Schedule 2J'!B26:D26)</f>
        <v/>
      </c>
      <c r="C26" s="514"/>
      <c r="D26" s="514"/>
      <c r="F26" s="117">
        <f>'As-Filed Schedule 2J'!F26</f>
        <v>0</v>
      </c>
      <c r="G26" s="309">
        <f>SUMIFS(Adjustments!$G:$G,Adjustments!$H:$H,"2J",Adjustments!$I:$I,'Schedule 2J Adjustments'!$F$12,Adjustments!$J:$J,'Schedule 2J Adjustments'!$A26)</f>
        <v>0</v>
      </c>
      <c r="H26" s="305">
        <f t="shared" si="0"/>
        <v>0</v>
      </c>
      <c r="I26" s="68">
        <f>IFERROR(F26*'As-Filed Schedule 1'!$E$103,0)</f>
        <v>0</v>
      </c>
      <c r="J26" s="306">
        <f>IFERROR(H26*'Adjusted Schedule 1'!$E$104,0)</f>
        <v>0</v>
      </c>
      <c r="K26" s="68">
        <f t="shared" si="1"/>
        <v>0</v>
      </c>
      <c r="L26" s="306">
        <f t="shared" si="2"/>
        <v>0</v>
      </c>
      <c r="N26" s="117">
        <f>'As-Filed Schedule 2J'!J26</f>
        <v>0</v>
      </c>
      <c r="O26" s="309">
        <f>SUMIFS(Adjustments!$G:$G,Adjustments!$H:$H,"2J",Adjustments!$I:$I,'Schedule 2J Adjustments'!$N$12,Adjustments!$J:$J,'Schedule 2J Adjustments'!$A26)</f>
        <v>0</v>
      </c>
      <c r="P26" s="305">
        <f t="shared" si="3"/>
        <v>0</v>
      </c>
      <c r="Q26" s="68">
        <f>IFERROR(N26*'As-Filed Schedule 1'!$E$103,0)</f>
        <v>0</v>
      </c>
      <c r="R26" s="68">
        <f>IFERROR(P26*'Adjusted Schedule 1'!$E$104,0)</f>
        <v>0</v>
      </c>
      <c r="S26" s="68">
        <f t="shared" si="4"/>
        <v>0</v>
      </c>
      <c r="T26" s="306">
        <f t="shared" si="5"/>
        <v>0</v>
      </c>
      <c r="V26" s="119">
        <f>'As-Filed Schedule 2J'!N26</f>
        <v>0</v>
      </c>
      <c r="W26" s="309">
        <f>SUMIFS(Adjustments!$G:$G,Adjustments!$H:$H,"2J",Adjustments!$I:$I,'Schedule 2J Adjustments'!$V$12,Adjustments!$J:$J,'Schedule 2J Adjustments'!$A26)</f>
        <v>0</v>
      </c>
      <c r="X26" s="305">
        <f t="shared" si="6"/>
        <v>0</v>
      </c>
      <c r="Y26" s="119">
        <f>'As-Filed Schedule 2J'!O26</f>
        <v>0</v>
      </c>
      <c r="Z26" s="309">
        <f>SUMIFS(Adjustments!$G:$G,Adjustments!$H:$H,"2J",Adjustments!$I:$I,'Schedule 2J Adjustments'!$Y$12,Adjustments!$J:$J,'Schedule 2J Adjustments'!$A26)</f>
        <v>0</v>
      </c>
      <c r="AA26" s="305">
        <f t="shared" si="7"/>
        <v>0</v>
      </c>
    </row>
    <row r="27" spans="1:27" x14ac:dyDescent="0.35">
      <c r="A27" s="24">
        <v>13</v>
      </c>
      <c r="B27" s="514" t="str">
        <f>IF('As-Filed Schedule 2J'!B27:D27=0,"",'As-Filed Schedule 2J'!B27:D27)</f>
        <v/>
      </c>
      <c r="C27" s="514"/>
      <c r="D27" s="514"/>
      <c r="F27" s="117">
        <f>'As-Filed Schedule 2J'!F27</f>
        <v>0</v>
      </c>
      <c r="G27" s="309">
        <f>SUMIFS(Adjustments!$G:$G,Adjustments!$H:$H,"2J",Adjustments!$I:$I,'Schedule 2J Adjustments'!$F$12,Adjustments!$J:$J,'Schedule 2J Adjustments'!$A27)</f>
        <v>0</v>
      </c>
      <c r="H27" s="305">
        <f t="shared" si="0"/>
        <v>0</v>
      </c>
      <c r="I27" s="68">
        <f>IFERROR(F27*'As-Filed Schedule 1'!$E$103,0)</f>
        <v>0</v>
      </c>
      <c r="J27" s="306">
        <f>IFERROR(H27*'Adjusted Schedule 1'!$E$104,0)</f>
        <v>0</v>
      </c>
      <c r="K27" s="68">
        <f t="shared" si="1"/>
        <v>0</v>
      </c>
      <c r="L27" s="306">
        <f t="shared" si="2"/>
        <v>0</v>
      </c>
      <c r="N27" s="117">
        <f>'As-Filed Schedule 2J'!J27</f>
        <v>0</v>
      </c>
      <c r="O27" s="309">
        <f>SUMIFS(Adjustments!$G:$G,Adjustments!$H:$H,"2J",Adjustments!$I:$I,'Schedule 2J Adjustments'!$N$12,Adjustments!$J:$J,'Schedule 2J Adjustments'!$A27)</f>
        <v>0</v>
      </c>
      <c r="P27" s="305">
        <f t="shared" si="3"/>
        <v>0</v>
      </c>
      <c r="Q27" s="68">
        <f>IFERROR(N27*'As-Filed Schedule 1'!$E$103,0)</f>
        <v>0</v>
      </c>
      <c r="R27" s="68">
        <f>IFERROR(P27*'Adjusted Schedule 1'!$E$104,0)</f>
        <v>0</v>
      </c>
      <c r="S27" s="68">
        <f t="shared" si="4"/>
        <v>0</v>
      </c>
      <c r="T27" s="306">
        <f t="shared" si="5"/>
        <v>0</v>
      </c>
      <c r="V27" s="119">
        <f>'As-Filed Schedule 2J'!N27</f>
        <v>0</v>
      </c>
      <c r="W27" s="309">
        <f>SUMIFS(Adjustments!$G:$G,Adjustments!$H:$H,"2J",Adjustments!$I:$I,'Schedule 2J Adjustments'!$V$12,Adjustments!$J:$J,'Schedule 2J Adjustments'!$A27)</f>
        <v>0</v>
      </c>
      <c r="X27" s="305">
        <f t="shared" si="6"/>
        <v>0</v>
      </c>
      <c r="Y27" s="119">
        <f>'As-Filed Schedule 2J'!O27</f>
        <v>0</v>
      </c>
      <c r="Z27" s="309">
        <f>SUMIFS(Adjustments!$G:$G,Adjustments!$H:$H,"2J",Adjustments!$I:$I,'Schedule 2J Adjustments'!$Y$12,Adjustments!$J:$J,'Schedule 2J Adjustments'!$A27)</f>
        <v>0</v>
      </c>
      <c r="AA27" s="305">
        <f t="shared" si="7"/>
        <v>0</v>
      </c>
    </row>
    <row r="28" spans="1:27" x14ac:dyDescent="0.35">
      <c r="A28" s="24">
        <v>14</v>
      </c>
      <c r="B28" s="514" t="str">
        <f>IF('As-Filed Schedule 2J'!B28:D28=0,"",'As-Filed Schedule 2J'!B28:D28)</f>
        <v/>
      </c>
      <c r="C28" s="514"/>
      <c r="D28" s="514"/>
      <c r="F28" s="117">
        <f>'As-Filed Schedule 2J'!F28</f>
        <v>0</v>
      </c>
      <c r="G28" s="309">
        <f>SUMIFS(Adjustments!$G:$G,Adjustments!$H:$H,"2J",Adjustments!$I:$I,'Schedule 2J Adjustments'!$F$12,Adjustments!$J:$J,'Schedule 2J Adjustments'!$A28)</f>
        <v>0</v>
      </c>
      <c r="H28" s="305">
        <f t="shared" si="0"/>
        <v>0</v>
      </c>
      <c r="I28" s="68">
        <f>IFERROR(F28*'As-Filed Schedule 1'!$E$103,0)</f>
        <v>0</v>
      </c>
      <c r="J28" s="306">
        <f>IFERROR(H28*'Adjusted Schedule 1'!$E$104,0)</f>
        <v>0</v>
      </c>
      <c r="K28" s="68">
        <f t="shared" si="1"/>
        <v>0</v>
      </c>
      <c r="L28" s="306">
        <f t="shared" si="2"/>
        <v>0</v>
      </c>
      <c r="N28" s="117">
        <f>'As-Filed Schedule 2J'!J28</f>
        <v>0</v>
      </c>
      <c r="O28" s="309">
        <f>SUMIFS(Adjustments!$G:$G,Adjustments!$H:$H,"2J",Adjustments!$I:$I,'Schedule 2J Adjustments'!$N$12,Adjustments!$J:$J,'Schedule 2J Adjustments'!$A28)</f>
        <v>0</v>
      </c>
      <c r="P28" s="305">
        <f t="shared" si="3"/>
        <v>0</v>
      </c>
      <c r="Q28" s="68">
        <f>IFERROR(N28*'As-Filed Schedule 1'!$E$103,0)</f>
        <v>0</v>
      </c>
      <c r="R28" s="68">
        <f>IFERROR(P28*'Adjusted Schedule 1'!$E$104,0)</f>
        <v>0</v>
      </c>
      <c r="S28" s="68">
        <f t="shared" si="4"/>
        <v>0</v>
      </c>
      <c r="T28" s="306">
        <f t="shared" si="5"/>
        <v>0</v>
      </c>
      <c r="V28" s="119">
        <f>'As-Filed Schedule 2J'!N28</f>
        <v>0</v>
      </c>
      <c r="W28" s="309">
        <f>SUMIFS(Adjustments!$G:$G,Adjustments!$H:$H,"2J",Adjustments!$I:$I,'Schedule 2J Adjustments'!$V$12,Adjustments!$J:$J,'Schedule 2J Adjustments'!$A28)</f>
        <v>0</v>
      </c>
      <c r="X28" s="305">
        <f t="shared" si="6"/>
        <v>0</v>
      </c>
      <c r="Y28" s="119">
        <f>'As-Filed Schedule 2J'!O28</f>
        <v>0</v>
      </c>
      <c r="Z28" s="309">
        <f>SUMIFS(Adjustments!$G:$G,Adjustments!$H:$H,"2J",Adjustments!$I:$I,'Schedule 2J Adjustments'!$Y$12,Adjustments!$J:$J,'Schedule 2J Adjustments'!$A28)</f>
        <v>0</v>
      </c>
      <c r="AA28" s="305">
        <f t="shared" si="7"/>
        <v>0</v>
      </c>
    </row>
    <row r="29" spans="1:27" x14ac:dyDescent="0.35">
      <c r="A29" s="24">
        <v>15</v>
      </c>
      <c r="B29" s="514" t="str">
        <f>IF('As-Filed Schedule 2J'!B29:D29=0,"",'As-Filed Schedule 2J'!B29:D29)</f>
        <v/>
      </c>
      <c r="C29" s="514"/>
      <c r="D29" s="514"/>
      <c r="F29" s="117">
        <f>'As-Filed Schedule 2J'!F29</f>
        <v>0</v>
      </c>
      <c r="G29" s="309">
        <f>SUMIFS(Adjustments!$G:$G,Adjustments!$H:$H,"2J",Adjustments!$I:$I,'Schedule 2J Adjustments'!$F$12,Adjustments!$J:$J,'Schedule 2J Adjustments'!$A29)</f>
        <v>0</v>
      </c>
      <c r="H29" s="305">
        <f t="shared" si="0"/>
        <v>0</v>
      </c>
      <c r="I29" s="68">
        <f>IFERROR(F29*'As-Filed Schedule 1'!$E$103,0)</f>
        <v>0</v>
      </c>
      <c r="J29" s="306">
        <f>IFERROR(H29*'Adjusted Schedule 1'!$E$104,0)</f>
        <v>0</v>
      </c>
      <c r="K29" s="68">
        <f t="shared" si="1"/>
        <v>0</v>
      </c>
      <c r="L29" s="306">
        <f t="shared" si="2"/>
        <v>0</v>
      </c>
      <c r="N29" s="117">
        <f>'As-Filed Schedule 2J'!J29</f>
        <v>0</v>
      </c>
      <c r="O29" s="309">
        <f>SUMIFS(Adjustments!$G:$G,Adjustments!$H:$H,"2J",Adjustments!$I:$I,'Schedule 2J Adjustments'!$N$12,Adjustments!$J:$J,'Schedule 2J Adjustments'!$A29)</f>
        <v>0</v>
      </c>
      <c r="P29" s="305">
        <f t="shared" si="3"/>
        <v>0</v>
      </c>
      <c r="Q29" s="68">
        <f>IFERROR(N29*'As-Filed Schedule 1'!$E$103,0)</f>
        <v>0</v>
      </c>
      <c r="R29" s="68">
        <f>IFERROR(P29*'Adjusted Schedule 1'!$E$104,0)</f>
        <v>0</v>
      </c>
      <c r="S29" s="68">
        <f t="shared" si="4"/>
        <v>0</v>
      </c>
      <c r="T29" s="306">
        <f t="shared" si="5"/>
        <v>0</v>
      </c>
      <c r="V29" s="119">
        <f>'As-Filed Schedule 2J'!N29</f>
        <v>0</v>
      </c>
      <c r="W29" s="309">
        <f>SUMIFS(Adjustments!$G:$G,Adjustments!$H:$H,"2J",Adjustments!$I:$I,'Schedule 2J Adjustments'!$V$12,Adjustments!$J:$J,'Schedule 2J Adjustments'!$A29)</f>
        <v>0</v>
      </c>
      <c r="X29" s="305">
        <f t="shared" si="6"/>
        <v>0</v>
      </c>
      <c r="Y29" s="119">
        <f>'As-Filed Schedule 2J'!O29</f>
        <v>0</v>
      </c>
      <c r="Z29" s="309">
        <f>SUMIFS(Adjustments!$G:$G,Adjustments!$H:$H,"2J",Adjustments!$I:$I,'Schedule 2J Adjustments'!$Y$12,Adjustments!$J:$J,'Schedule 2J Adjustments'!$A29)</f>
        <v>0</v>
      </c>
      <c r="AA29" s="305">
        <f t="shared" si="7"/>
        <v>0</v>
      </c>
    </row>
    <row r="30" spans="1:27" x14ac:dyDescent="0.35">
      <c r="A30" s="24">
        <v>16</v>
      </c>
      <c r="B30" s="514" t="str">
        <f>IF('As-Filed Schedule 2J'!B30:D30=0,"",'As-Filed Schedule 2J'!B30:D30)</f>
        <v/>
      </c>
      <c r="C30" s="514"/>
      <c r="D30" s="514"/>
      <c r="F30" s="117">
        <f>'As-Filed Schedule 2J'!F30</f>
        <v>0</v>
      </c>
      <c r="G30" s="309">
        <f>SUMIFS(Adjustments!$G:$G,Adjustments!$H:$H,"2J",Adjustments!$I:$I,'Schedule 2J Adjustments'!$F$12,Adjustments!$J:$J,'Schedule 2J Adjustments'!$A30)</f>
        <v>0</v>
      </c>
      <c r="H30" s="305">
        <f t="shared" si="0"/>
        <v>0</v>
      </c>
      <c r="I30" s="68">
        <f>IFERROR(F30*'As-Filed Schedule 1'!$E$103,0)</f>
        <v>0</v>
      </c>
      <c r="J30" s="306">
        <f>IFERROR(H30*'Adjusted Schedule 1'!$E$104,0)</f>
        <v>0</v>
      </c>
      <c r="K30" s="68">
        <f t="shared" si="1"/>
        <v>0</v>
      </c>
      <c r="L30" s="306">
        <f t="shared" si="2"/>
        <v>0</v>
      </c>
      <c r="N30" s="117">
        <f>'As-Filed Schedule 2J'!J30</f>
        <v>0</v>
      </c>
      <c r="O30" s="309">
        <f>SUMIFS(Adjustments!$G:$G,Adjustments!$H:$H,"2J",Adjustments!$I:$I,'Schedule 2J Adjustments'!$N$12,Adjustments!$J:$J,'Schedule 2J Adjustments'!$A30)</f>
        <v>0</v>
      </c>
      <c r="P30" s="305">
        <f t="shared" si="3"/>
        <v>0</v>
      </c>
      <c r="Q30" s="68">
        <f>IFERROR(N30*'As-Filed Schedule 1'!$E$103,0)</f>
        <v>0</v>
      </c>
      <c r="R30" s="68">
        <f>IFERROR(P30*'Adjusted Schedule 1'!$E$104,0)</f>
        <v>0</v>
      </c>
      <c r="S30" s="68">
        <f t="shared" si="4"/>
        <v>0</v>
      </c>
      <c r="T30" s="306">
        <f t="shared" si="5"/>
        <v>0</v>
      </c>
      <c r="V30" s="119">
        <f>'As-Filed Schedule 2J'!N30</f>
        <v>0</v>
      </c>
      <c r="W30" s="309">
        <f>SUMIFS(Adjustments!$G:$G,Adjustments!$H:$H,"2J",Adjustments!$I:$I,'Schedule 2J Adjustments'!$V$12,Adjustments!$J:$J,'Schedule 2J Adjustments'!$A30)</f>
        <v>0</v>
      </c>
      <c r="X30" s="305">
        <f t="shared" si="6"/>
        <v>0</v>
      </c>
      <c r="Y30" s="119">
        <f>'As-Filed Schedule 2J'!O30</f>
        <v>0</v>
      </c>
      <c r="Z30" s="309">
        <f>SUMIFS(Adjustments!$G:$G,Adjustments!$H:$H,"2J",Adjustments!$I:$I,'Schedule 2J Adjustments'!$Y$12,Adjustments!$J:$J,'Schedule 2J Adjustments'!$A30)</f>
        <v>0</v>
      </c>
      <c r="AA30" s="305">
        <f t="shared" si="7"/>
        <v>0</v>
      </c>
    </row>
    <row r="31" spans="1:27" x14ac:dyDescent="0.35">
      <c r="A31" s="24">
        <v>17</v>
      </c>
      <c r="B31" s="514" t="str">
        <f>IF('As-Filed Schedule 2J'!B31:D31=0,"",'As-Filed Schedule 2J'!B31:D31)</f>
        <v/>
      </c>
      <c r="C31" s="514"/>
      <c r="D31" s="514"/>
      <c r="F31" s="117">
        <f>'As-Filed Schedule 2J'!F31</f>
        <v>0</v>
      </c>
      <c r="G31" s="309">
        <f>SUMIFS(Adjustments!$G:$G,Adjustments!$H:$H,"2J",Adjustments!$I:$I,'Schedule 2J Adjustments'!$F$12,Adjustments!$J:$J,'Schedule 2J Adjustments'!$A31)</f>
        <v>0</v>
      </c>
      <c r="H31" s="305">
        <f t="shared" si="0"/>
        <v>0</v>
      </c>
      <c r="I31" s="68">
        <f>IFERROR(F31*'As-Filed Schedule 1'!$E$103,0)</f>
        <v>0</v>
      </c>
      <c r="J31" s="306">
        <f>IFERROR(H31*'Adjusted Schedule 1'!$E$104,0)</f>
        <v>0</v>
      </c>
      <c r="K31" s="68">
        <f t="shared" si="1"/>
        <v>0</v>
      </c>
      <c r="L31" s="306">
        <f t="shared" si="2"/>
        <v>0</v>
      </c>
      <c r="N31" s="117">
        <f>'As-Filed Schedule 2J'!J31</f>
        <v>0</v>
      </c>
      <c r="O31" s="309">
        <f>SUMIFS(Adjustments!$G:$G,Adjustments!$H:$H,"2J",Adjustments!$I:$I,'Schedule 2J Adjustments'!$N$12,Adjustments!$J:$J,'Schedule 2J Adjustments'!$A31)</f>
        <v>0</v>
      </c>
      <c r="P31" s="305">
        <f t="shared" si="3"/>
        <v>0</v>
      </c>
      <c r="Q31" s="68">
        <f>IFERROR(N31*'As-Filed Schedule 1'!$E$103,0)</f>
        <v>0</v>
      </c>
      <c r="R31" s="68">
        <f>IFERROR(P31*'Adjusted Schedule 1'!$E$104,0)</f>
        <v>0</v>
      </c>
      <c r="S31" s="68">
        <f t="shared" si="4"/>
        <v>0</v>
      </c>
      <c r="T31" s="306">
        <f t="shared" si="5"/>
        <v>0</v>
      </c>
      <c r="V31" s="119">
        <f>'As-Filed Schedule 2J'!N31</f>
        <v>0</v>
      </c>
      <c r="W31" s="309">
        <f>SUMIFS(Adjustments!$G:$G,Adjustments!$H:$H,"2J",Adjustments!$I:$I,'Schedule 2J Adjustments'!$V$12,Adjustments!$J:$J,'Schedule 2J Adjustments'!$A31)</f>
        <v>0</v>
      </c>
      <c r="X31" s="305">
        <f t="shared" si="6"/>
        <v>0</v>
      </c>
      <c r="Y31" s="119">
        <f>'As-Filed Schedule 2J'!O31</f>
        <v>0</v>
      </c>
      <c r="Z31" s="309">
        <f>SUMIFS(Adjustments!$G:$G,Adjustments!$H:$H,"2J",Adjustments!$I:$I,'Schedule 2J Adjustments'!$Y$12,Adjustments!$J:$J,'Schedule 2J Adjustments'!$A31)</f>
        <v>0</v>
      </c>
      <c r="AA31" s="305">
        <f t="shared" si="7"/>
        <v>0</v>
      </c>
    </row>
    <row r="32" spans="1:27" x14ac:dyDescent="0.35">
      <c r="A32" s="24">
        <v>18</v>
      </c>
      <c r="B32" s="514" t="str">
        <f>IF('As-Filed Schedule 2J'!B32:D32=0,"",'As-Filed Schedule 2J'!B32:D32)</f>
        <v/>
      </c>
      <c r="C32" s="514"/>
      <c r="D32" s="514"/>
      <c r="F32" s="117">
        <f>'As-Filed Schedule 2J'!F32</f>
        <v>0</v>
      </c>
      <c r="G32" s="309">
        <f>SUMIFS(Adjustments!$G:$G,Adjustments!$H:$H,"2J",Adjustments!$I:$I,'Schedule 2J Adjustments'!$F$12,Adjustments!$J:$J,'Schedule 2J Adjustments'!$A32)</f>
        <v>0</v>
      </c>
      <c r="H32" s="305">
        <f t="shared" si="0"/>
        <v>0</v>
      </c>
      <c r="I32" s="68">
        <f>IFERROR(F32*'As-Filed Schedule 1'!$E$103,0)</f>
        <v>0</v>
      </c>
      <c r="J32" s="306">
        <f>IFERROR(H32*'Adjusted Schedule 1'!$E$104,0)</f>
        <v>0</v>
      </c>
      <c r="K32" s="68">
        <f t="shared" si="1"/>
        <v>0</v>
      </c>
      <c r="L32" s="306">
        <f t="shared" si="2"/>
        <v>0</v>
      </c>
      <c r="N32" s="117">
        <f>'As-Filed Schedule 2J'!J32</f>
        <v>0</v>
      </c>
      <c r="O32" s="309">
        <f>SUMIFS(Adjustments!$G:$G,Adjustments!$H:$H,"2J",Adjustments!$I:$I,'Schedule 2J Adjustments'!$N$12,Adjustments!$J:$J,'Schedule 2J Adjustments'!$A32)</f>
        <v>0</v>
      </c>
      <c r="P32" s="305">
        <f t="shared" si="3"/>
        <v>0</v>
      </c>
      <c r="Q32" s="68">
        <f>IFERROR(N32*'As-Filed Schedule 1'!$E$103,0)</f>
        <v>0</v>
      </c>
      <c r="R32" s="68">
        <f>IFERROR(P32*'Adjusted Schedule 1'!$E$104,0)</f>
        <v>0</v>
      </c>
      <c r="S32" s="68">
        <f t="shared" si="4"/>
        <v>0</v>
      </c>
      <c r="T32" s="306">
        <f t="shared" si="5"/>
        <v>0</v>
      </c>
      <c r="V32" s="119">
        <f>'As-Filed Schedule 2J'!N32</f>
        <v>0</v>
      </c>
      <c r="W32" s="309">
        <f>SUMIFS(Adjustments!$G:$G,Adjustments!$H:$H,"2J",Adjustments!$I:$I,'Schedule 2J Adjustments'!$V$12,Adjustments!$J:$J,'Schedule 2J Adjustments'!$A32)</f>
        <v>0</v>
      </c>
      <c r="X32" s="305">
        <f t="shared" si="6"/>
        <v>0</v>
      </c>
      <c r="Y32" s="119">
        <f>'As-Filed Schedule 2J'!O32</f>
        <v>0</v>
      </c>
      <c r="Z32" s="309">
        <f>SUMIFS(Adjustments!$G:$G,Adjustments!$H:$H,"2J",Adjustments!$I:$I,'Schedule 2J Adjustments'!$Y$12,Adjustments!$J:$J,'Schedule 2J Adjustments'!$A32)</f>
        <v>0</v>
      </c>
      <c r="AA32" s="305">
        <f t="shared" si="7"/>
        <v>0</v>
      </c>
    </row>
    <row r="33" spans="1:27" x14ac:dyDescent="0.35">
      <c r="A33" s="24">
        <v>19</v>
      </c>
      <c r="B33" s="514" t="str">
        <f>IF('As-Filed Schedule 2J'!B33:D33=0,"",'As-Filed Schedule 2J'!B33:D33)</f>
        <v/>
      </c>
      <c r="C33" s="514"/>
      <c r="D33" s="514"/>
      <c r="F33" s="117">
        <f>'As-Filed Schedule 2J'!F33</f>
        <v>0</v>
      </c>
      <c r="G33" s="309">
        <f>SUMIFS(Adjustments!$G:$G,Adjustments!$H:$H,"2J",Adjustments!$I:$I,'Schedule 2J Adjustments'!$F$12,Adjustments!$J:$J,'Schedule 2J Adjustments'!$A33)</f>
        <v>0</v>
      </c>
      <c r="H33" s="305">
        <f t="shared" si="0"/>
        <v>0</v>
      </c>
      <c r="I33" s="68">
        <f>IFERROR(F33*'As-Filed Schedule 1'!$E$103,0)</f>
        <v>0</v>
      </c>
      <c r="J33" s="306">
        <f>IFERROR(H33*'Adjusted Schedule 1'!$E$104,0)</f>
        <v>0</v>
      </c>
      <c r="K33" s="68">
        <f t="shared" si="1"/>
        <v>0</v>
      </c>
      <c r="L33" s="306">
        <f t="shared" si="2"/>
        <v>0</v>
      </c>
      <c r="N33" s="117">
        <f>'As-Filed Schedule 2J'!J33</f>
        <v>0</v>
      </c>
      <c r="O33" s="309">
        <f>SUMIFS(Adjustments!$G:$G,Adjustments!$H:$H,"2J",Adjustments!$I:$I,'Schedule 2J Adjustments'!$N$12,Adjustments!$J:$J,'Schedule 2J Adjustments'!$A33)</f>
        <v>0</v>
      </c>
      <c r="P33" s="305">
        <f t="shared" si="3"/>
        <v>0</v>
      </c>
      <c r="Q33" s="68">
        <f>IFERROR(N33*'As-Filed Schedule 1'!$E$103,0)</f>
        <v>0</v>
      </c>
      <c r="R33" s="68">
        <f>IFERROR(P33*'Adjusted Schedule 1'!$E$104,0)</f>
        <v>0</v>
      </c>
      <c r="S33" s="68">
        <f t="shared" si="4"/>
        <v>0</v>
      </c>
      <c r="T33" s="306">
        <f t="shared" si="5"/>
        <v>0</v>
      </c>
      <c r="V33" s="119">
        <f>'As-Filed Schedule 2J'!N33</f>
        <v>0</v>
      </c>
      <c r="W33" s="309">
        <f>SUMIFS(Adjustments!$G:$G,Adjustments!$H:$H,"2J",Adjustments!$I:$I,'Schedule 2J Adjustments'!$V$12,Adjustments!$J:$J,'Schedule 2J Adjustments'!$A33)</f>
        <v>0</v>
      </c>
      <c r="X33" s="305">
        <f t="shared" si="6"/>
        <v>0</v>
      </c>
      <c r="Y33" s="119">
        <f>'As-Filed Schedule 2J'!O33</f>
        <v>0</v>
      </c>
      <c r="Z33" s="309">
        <f>SUMIFS(Adjustments!$G:$G,Adjustments!$H:$H,"2J",Adjustments!$I:$I,'Schedule 2J Adjustments'!$Y$12,Adjustments!$J:$J,'Schedule 2J Adjustments'!$A33)</f>
        <v>0</v>
      </c>
      <c r="AA33" s="305">
        <f t="shared" si="7"/>
        <v>0</v>
      </c>
    </row>
    <row r="34" spans="1:27" x14ac:dyDescent="0.35">
      <c r="A34" s="24">
        <v>20</v>
      </c>
      <c r="B34" s="514" t="str">
        <f>IF('As-Filed Schedule 2J'!B34:D34=0,"",'As-Filed Schedule 2J'!B34:D34)</f>
        <v/>
      </c>
      <c r="C34" s="514"/>
      <c r="D34" s="514"/>
      <c r="F34" s="117">
        <f>'As-Filed Schedule 2J'!F34</f>
        <v>0</v>
      </c>
      <c r="G34" s="309">
        <f>SUMIFS(Adjustments!$G:$G,Adjustments!$H:$H,"2J",Adjustments!$I:$I,'Schedule 2J Adjustments'!$F$12,Adjustments!$J:$J,'Schedule 2J Adjustments'!$A34)</f>
        <v>0</v>
      </c>
      <c r="H34" s="305">
        <f t="shared" si="0"/>
        <v>0</v>
      </c>
      <c r="I34" s="68">
        <f>IFERROR(F34*'As-Filed Schedule 1'!$E$103,0)</f>
        <v>0</v>
      </c>
      <c r="J34" s="306">
        <f>IFERROR(H34*'Adjusted Schedule 1'!$E$104,0)</f>
        <v>0</v>
      </c>
      <c r="K34" s="68">
        <f t="shared" si="1"/>
        <v>0</v>
      </c>
      <c r="L34" s="306">
        <f t="shared" si="2"/>
        <v>0</v>
      </c>
      <c r="N34" s="117">
        <f>'As-Filed Schedule 2J'!J34</f>
        <v>0</v>
      </c>
      <c r="O34" s="309">
        <f>SUMIFS(Adjustments!$G:$G,Adjustments!$H:$H,"2J",Adjustments!$I:$I,'Schedule 2J Adjustments'!$N$12,Adjustments!$J:$J,'Schedule 2J Adjustments'!$A34)</f>
        <v>0</v>
      </c>
      <c r="P34" s="305">
        <f t="shared" si="3"/>
        <v>0</v>
      </c>
      <c r="Q34" s="68">
        <f>IFERROR(N34*'As-Filed Schedule 1'!$E$103,0)</f>
        <v>0</v>
      </c>
      <c r="R34" s="68">
        <f>IFERROR(P34*'Adjusted Schedule 1'!$E$104,0)</f>
        <v>0</v>
      </c>
      <c r="S34" s="68">
        <f t="shared" si="4"/>
        <v>0</v>
      </c>
      <c r="T34" s="306">
        <f t="shared" si="5"/>
        <v>0</v>
      </c>
      <c r="V34" s="119">
        <f>'As-Filed Schedule 2J'!N34</f>
        <v>0</v>
      </c>
      <c r="W34" s="309">
        <f>SUMIFS(Adjustments!$G:$G,Adjustments!$H:$H,"2J",Adjustments!$I:$I,'Schedule 2J Adjustments'!$V$12,Adjustments!$J:$J,'Schedule 2J Adjustments'!$A34)</f>
        <v>0</v>
      </c>
      <c r="X34" s="305">
        <f t="shared" si="6"/>
        <v>0</v>
      </c>
      <c r="Y34" s="119">
        <f>'As-Filed Schedule 2J'!O34</f>
        <v>0</v>
      </c>
      <c r="Z34" s="309">
        <f>SUMIFS(Adjustments!$G:$G,Adjustments!$H:$H,"2J",Adjustments!$I:$I,'Schedule 2J Adjustments'!$Y$12,Adjustments!$J:$J,'Schedule 2J Adjustments'!$A34)</f>
        <v>0</v>
      </c>
      <c r="AA34" s="305">
        <f t="shared" si="7"/>
        <v>0</v>
      </c>
    </row>
    <row r="35" spans="1:27" x14ac:dyDescent="0.35">
      <c r="A35" s="24">
        <v>21</v>
      </c>
      <c r="B35" s="514" t="str">
        <f>IF('As-Filed Schedule 2J'!B35:D35=0,"",'As-Filed Schedule 2J'!B35:D35)</f>
        <v/>
      </c>
      <c r="C35" s="514"/>
      <c r="D35" s="514"/>
      <c r="F35" s="117">
        <f>'As-Filed Schedule 2J'!F35</f>
        <v>0</v>
      </c>
      <c r="G35" s="309">
        <f>SUMIFS(Adjustments!$G:$G,Adjustments!$H:$H,"2J",Adjustments!$I:$I,'Schedule 2J Adjustments'!$F$12,Adjustments!$J:$J,'Schedule 2J Adjustments'!$A35)</f>
        <v>0</v>
      </c>
      <c r="H35" s="305">
        <f t="shared" si="0"/>
        <v>0</v>
      </c>
      <c r="I35" s="68">
        <f>IFERROR(F35*'As-Filed Schedule 1'!$E$103,0)</f>
        <v>0</v>
      </c>
      <c r="J35" s="306">
        <f>IFERROR(H35*'Adjusted Schedule 1'!$E$104,0)</f>
        <v>0</v>
      </c>
      <c r="K35" s="68">
        <f t="shared" si="1"/>
        <v>0</v>
      </c>
      <c r="L35" s="306">
        <f t="shared" si="2"/>
        <v>0</v>
      </c>
      <c r="N35" s="117">
        <f>'As-Filed Schedule 2J'!J35</f>
        <v>0</v>
      </c>
      <c r="O35" s="309">
        <f>SUMIFS(Adjustments!$G:$G,Adjustments!$H:$H,"2J",Adjustments!$I:$I,'Schedule 2J Adjustments'!$N$12,Adjustments!$J:$J,'Schedule 2J Adjustments'!$A35)</f>
        <v>0</v>
      </c>
      <c r="P35" s="305">
        <f t="shared" si="3"/>
        <v>0</v>
      </c>
      <c r="Q35" s="68">
        <f>IFERROR(N35*'As-Filed Schedule 1'!$E$103,0)</f>
        <v>0</v>
      </c>
      <c r="R35" s="68">
        <f>IFERROR(P35*'Adjusted Schedule 1'!$E$104,0)</f>
        <v>0</v>
      </c>
      <c r="S35" s="68">
        <f t="shared" si="4"/>
        <v>0</v>
      </c>
      <c r="T35" s="306">
        <f t="shared" si="5"/>
        <v>0</v>
      </c>
      <c r="V35" s="119">
        <f>'As-Filed Schedule 2J'!N35</f>
        <v>0</v>
      </c>
      <c r="W35" s="309">
        <f>SUMIFS(Adjustments!$G:$G,Adjustments!$H:$H,"2J",Adjustments!$I:$I,'Schedule 2J Adjustments'!$V$12,Adjustments!$J:$J,'Schedule 2J Adjustments'!$A35)</f>
        <v>0</v>
      </c>
      <c r="X35" s="305">
        <f t="shared" si="6"/>
        <v>0</v>
      </c>
      <c r="Y35" s="119">
        <f>'As-Filed Schedule 2J'!O35</f>
        <v>0</v>
      </c>
      <c r="Z35" s="309">
        <f>SUMIFS(Adjustments!$G:$G,Adjustments!$H:$H,"2J",Adjustments!$I:$I,'Schedule 2J Adjustments'!$Y$12,Adjustments!$J:$J,'Schedule 2J Adjustments'!$A35)</f>
        <v>0</v>
      </c>
      <c r="AA35" s="305">
        <f t="shared" si="7"/>
        <v>0</v>
      </c>
    </row>
    <row r="36" spans="1:27" x14ac:dyDescent="0.35">
      <c r="A36" s="24">
        <v>22</v>
      </c>
      <c r="B36" s="514" t="str">
        <f>IF('As-Filed Schedule 2J'!B36:D36=0,"",'As-Filed Schedule 2J'!B36:D36)</f>
        <v/>
      </c>
      <c r="C36" s="514"/>
      <c r="D36" s="514"/>
      <c r="F36" s="117">
        <f>'As-Filed Schedule 2J'!F36</f>
        <v>0</v>
      </c>
      <c r="G36" s="309">
        <f>SUMIFS(Adjustments!$G:$G,Adjustments!$H:$H,"2J",Adjustments!$I:$I,'Schedule 2J Adjustments'!$F$12,Adjustments!$J:$J,'Schedule 2J Adjustments'!$A36)</f>
        <v>0</v>
      </c>
      <c r="H36" s="305">
        <f t="shared" si="0"/>
        <v>0</v>
      </c>
      <c r="I36" s="68">
        <f>IFERROR(F36*'As-Filed Schedule 1'!$E$103,0)</f>
        <v>0</v>
      </c>
      <c r="J36" s="306">
        <f>IFERROR(H36*'Adjusted Schedule 1'!$E$104,0)</f>
        <v>0</v>
      </c>
      <c r="K36" s="68">
        <f t="shared" si="1"/>
        <v>0</v>
      </c>
      <c r="L36" s="306">
        <f t="shared" si="2"/>
        <v>0</v>
      </c>
      <c r="N36" s="117">
        <f>'As-Filed Schedule 2J'!J36</f>
        <v>0</v>
      </c>
      <c r="O36" s="309">
        <f>SUMIFS(Adjustments!$G:$G,Adjustments!$H:$H,"2J",Adjustments!$I:$I,'Schedule 2J Adjustments'!$N$12,Adjustments!$J:$J,'Schedule 2J Adjustments'!$A36)</f>
        <v>0</v>
      </c>
      <c r="P36" s="305">
        <f t="shared" si="3"/>
        <v>0</v>
      </c>
      <c r="Q36" s="68">
        <f>IFERROR(N36*'As-Filed Schedule 1'!$E$103,0)</f>
        <v>0</v>
      </c>
      <c r="R36" s="68">
        <f>IFERROR(P36*'Adjusted Schedule 1'!$E$104,0)</f>
        <v>0</v>
      </c>
      <c r="S36" s="68">
        <f t="shared" si="4"/>
        <v>0</v>
      </c>
      <c r="T36" s="306">
        <f t="shared" si="5"/>
        <v>0</v>
      </c>
      <c r="V36" s="119">
        <f>'As-Filed Schedule 2J'!N36</f>
        <v>0</v>
      </c>
      <c r="W36" s="309">
        <f>SUMIFS(Adjustments!$G:$G,Adjustments!$H:$H,"2J",Adjustments!$I:$I,'Schedule 2J Adjustments'!$V$12,Adjustments!$J:$J,'Schedule 2J Adjustments'!$A36)</f>
        <v>0</v>
      </c>
      <c r="X36" s="305">
        <f t="shared" si="6"/>
        <v>0</v>
      </c>
      <c r="Y36" s="119">
        <f>'As-Filed Schedule 2J'!O36</f>
        <v>0</v>
      </c>
      <c r="Z36" s="309">
        <f>SUMIFS(Adjustments!$G:$G,Adjustments!$H:$H,"2J",Adjustments!$I:$I,'Schedule 2J Adjustments'!$Y$12,Adjustments!$J:$J,'Schedule 2J Adjustments'!$A36)</f>
        <v>0</v>
      </c>
      <c r="AA36" s="305">
        <f t="shared" si="7"/>
        <v>0</v>
      </c>
    </row>
    <row r="37" spans="1:27" x14ac:dyDescent="0.35">
      <c r="A37" s="24">
        <v>23</v>
      </c>
      <c r="B37" s="514" t="str">
        <f>IF('As-Filed Schedule 2J'!B37:D37=0,"",'As-Filed Schedule 2J'!B37:D37)</f>
        <v/>
      </c>
      <c r="C37" s="514"/>
      <c r="D37" s="514"/>
      <c r="F37" s="117">
        <f>'As-Filed Schedule 2J'!F37</f>
        <v>0</v>
      </c>
      <c r="G37" s="309">
        <f>SUMIFS(Adjustments!$G:$G,Adjustments!$H:$H,"2J",Adjustments!$I:$I,'Schedule 2J Adjustments'!$F$12,Adjustments!$J:$J,'Schedule 2J Adjustments'!$A37)</f>
        <v>0</v>
      </c>
      <c r="H37" s="305">
        <f t="shared" si="0"/>
        <v>0</v>
      </c>
      <c r="I37" s="68">
        <f>IFERROR(F37*'As-Filed Schedule 1'!$E$103,0)</f>
        <v>0</v>
      </c>
      <c r="J37" s="306">
        <f>IFERROR(H37*'Adjusted Schedule 1'!$E$104,0)</f>
        <v>0</v>
      </c>
      <c r="K37" s="68">
        <f t="shared" si="1"/>
        <v>0</v>
      </c>
      <c r="L37" s="306">
        <f t="shared" si="2"/>
        <v>0</v>
      </c>
      <c r="N37" s="117">
        <f>'As-Filed Schedule 2J'!J37</f>
        <v>0</v>
      </c>
      <c r="O37" s="309">
        <f>SUMIFS(Adjustments!$G:$G,Adjustments!$H:$H,"2J",Adjustments!$I:$I,'Schedule 2J Adjustments'!$N$12,Adjustments!$J:$J,'Schedule 2J Adjustments'!$A37)</f>
        <v>0</v>
      </c>
      <c r="P37" s="305">
        <f t="shared" si="3"/>
        <v>0</v>
      </c>
      <c r="Q37" s="68">
        <f>IFERROR(N37*'As-Filed Schedule 1'!$E$103,0)</f>
        <v>0</v>
      </c>
      <c r="R37" s="68">
        <f>IFERROR(P37*'Adjusted Schedule 1'!$E$104,0)</f>
        <v>0</v>
      </c>
      <c r="S37" s="68">
        <f t="shared" si="4"/>
        <v>0</v>
      </c>
      <c r="T37" s="306">
        <f t="shared" si="5"/>
        <v>0</v>
      </c>
      <c r="V37" s="119">
        <f>'As-Filed Schedule 2J'!N37</f>
        <v>0</v>
      </c>
      <c r="W37" s="309">
        <f>SUMIFS(Adjustments!$G:$G,Adjustments!$H:$H,"2J",Adjustments!$I:$I,'Schedule 2J Adjustments'!$V$12,Adjustments!$J:$J,'Schedule 2J Adjustments'!$A37)</f>
        <v>0</v>
      </c>
      <c r="X37" s="305">
        <f t="shared" si="6"/>
        <v>0</v>
      </c>
      <c r="Y37" s="119">
        <f>'As-Filed Schedule 2J'!O37</f>
        <v>0</v>
      </c>
      <c r="Z37" s="309">
        <f>SUMIFS(Adjustments!$G:$G,Adjustments!$H:$H,"2J",Adjustments!$I:$I,'Schedule 2J Adjustments'!$Y$12,Adjustments!$J:$J,'Schedule 2J Adjustments'!$A37)</f>
        <v>0</v>
      </c>
      <c r="AA37" s="305">
        <f t="shared" si="7"/>
        <v>0</v>
      </c>
    </row>
    <row r="38" spans="1:27" x14ac:dyDescent="0.35">
      <c r="A38" s="24">
        <v>24</v>
      </c>
      <c r="B38" s="514" t="str">
        <f>IF('As-Filed Schedule 2J'!B38:D38=0,"",'As-Filed Schedule 2J'!B38:D38)</f>
        <v/>
      </c>
      <c r="C38" s="514"/>
      <c r="D38" s="514"/>
      <c r="F38" s="117">
        <f>'As-Filed Schedule 2J'!F38</f>
        <v>0</v>
      </c>
      <c r="G38" s="309">
        <f>SUMIFS(Adjustments!$G:$G,Adjustments!$H:$H,"2J",Adjustments!$I:$I,'Schedule 2J Adjustments'!$F$12,Adjustments!$J:$J,'Schedule 2J Adjustments'!$A38)</f>
        <v>0</v>
      </c>
      <c r="H38" s="305">
        <f t="shared" si="0"/>
        <v>0</v>
      </c>
      <c r="I38" s="68">
        <f>IFERROR(F38*'As-Filed Schedule 1'!$E$103,0)</f>
        <v>0</v>
      </c>
      <c r="J38" s="306">
        <f>IFERROR(H38*'Adjusted Schedule 1'!$E$104,0)</f>
        <v>0</v>
      </c>
      <c r="K38" s="68">
        <f t="shared" si="1"/>
        <v>0</v>
      </c>
      <c r="L38" s="306">
        <f t="shared" si="2"/>
        <v>0</v>
      </c>
      <c r="N38" s="117">
        <f>'As-Filed Schedule 2J'!J38</f>
        <v>0</v>
      </c>
      <c r="O38" s="309">
        <f>SUMIFS(Adjustments!$G:$G,Adjustments!$H:$H,"2J",Adjustments!$I:$I,'Schedule 2J Adjustments'!$N$12,Adjustments!$J:$J,'Schedule 2J Adjustments'!$A38)</f>
        <v>0</v>
      </c>
      <c r="P38" s="305">
        <f t="shared" si="3"/>
        <v>0</v>
      </c>
      <c r="Q38" s="68">
        <f>IFERROR(N38*'As-Filed Schedule 1'!$E$103,0)</f>
        <v>0</v>
      </c>
      <c r="R38" s="68">
        <f>IFERROR(P38*'Adjusted Schedule 1'!$E$104,0)</f>
        <v>0</v>
      </c>
      <c r="S38" s="68">
        <f t="shared" si="4"/>
        <v>0</v>
      </c>
      <c r="T38" s="306">
        <f t="shared" si="5"/>
        <v>0</v>
      </c>
      <c r="V38" s="119">
        <f>'As-Filed Schedule 2J'!N38</f>
        <v>0</v>
      </c>
      <c r="W38" s="309">
        <f>SUMIFS(Adjustments!$G:$G,Adjustments!$H:$H,"2J",Adjustments!$I:$I,'Schedule 2J Adjustments'!$V$12,Adjustments!$J:$J,'Schedule 2J Adjustments'!$A38)</f>
        <v>0</v>
      </c>
      <c r="X38" s="305">
        <f t="shared" si="6"/>
        <v>0</v>
      </c>
      <c r="Y38" s="119">
        <f>'As-Filed Schedule 2J'!O38</f>
        <v>0</v>
      </c>
      <c r="Z38" s="309">
        <f>SUMIFS(Adjustments!$G:$G,Adjustments!$H:$H,"2J",Adjustments!$I:$I,'Schedule 2J Adjustments'!$Y$12,Adjustments!$J:$J,'Schedule 2J Adjustments'!$A38)</f>
        <v>0</v>
      </c>
      <c r="AA38" s="305">
        <f t="shared" si="7"/>
        <v>0</v>
      </c>
    </row>
    <row r="39" spans="1:27" x14ac:dyDescent="0.35">
      <c r="A39" s="24">
        <v>25</v>
      </c>
      <c r="B39" s="514" t="str">
        <f>IF('As-Filed Schedule 2J'!B39:D39=0,"",'As-Filed Schedule 2J'!B39:D39)</f>
        <v/>
      </c>
      <c r="C39" s="514"/>
      <c r="D39" s="514"/>
      <c r="F39" s="117">
        <f>'As-Filed Schedule 2J'!F39</f>
        <v>0</v>
      </c>
      <c r="G39" s="309">
        <f>SUMIFS(Adjustments!$G:$G,Adjustments!$H:$H,"2J",Adjustments!$I:$I,'Schedule 2J Adjustments'!$F$12,Adjustments!$J:$J,'Schedule 2J Adjustments'!$A39)</f>
        <v>0</v>
      </c>
      <c r="H39" s="305">
        <f t="shared" si="0"/>
        <v>0</v>
      </c>
      <c r="I39" s="68">
        <f>IFERROR(F39*'As-Filed Schedule 1'!$E$103,0)</f>
        <v>0</v>
      </c>
      <c r="J39" s="306">
        <f>IFERROR(H39*'Adjusted Schedule 1'!$E$104,0)</f>
        <v>0</v>
      </c>
      <c r="K39" s="68">
        <f t="shared" si="1"/>
        <v>0</v>
      </c>
      <c r="L39" s="306">
        <f t="shared" si="2"/>
        <v>0</v>
      </c>
      <c r="N39" s="117">
        <f>'As-Filed Schedule 2J'!J39</f>
        <v>0</v>
      </c>
      <c r="O39" s="309">
        <f>SUMIFS(Adjustments!$G:$G,Adjustments!$H:$H,"2J",Adjustments!$I:$I,'Schedule 2J Adjustments'!$N$12,Adjustments!$J:$J,'Schedule 2J Adjustments'!$A39)</f>
        <v>0</v>
      </c>
      <c r="P39" s="305">
        <f t="shared" si="3"/>
        <v>0</v>
      </c>
      <c r="Q39" s="68">
        <f>IFERROR(N39*'As-Filed Schedule 1'!$E$103,0)</f>
        <v>0</v>
      </c>
      <c r="R39" s="68">
        <f>IFERROR(P39*'Adjusted Schedule 1'!$E$104,0)</f>
        <v>0</v>
      </c>
      <c r="S39" s="68">
        <f t="shared" si="4"/>
        <v>0</v>
      </c>
      <c r="T39" s="306">
        <f t="shared" si="5"/>
        <v>0</v>
      </c>
      <c r="V39" s="119">
        <f>'As-Filed Schedule 2J'!N39</f>
        <v>0</v>
      </c>
      <c r="W39" s="309">
        <f>SUMIFS(Adjustments!$G:$G,Adjustments!$H:$H,"2J",Adjustments!$I:$I,'Schedule 2J Adjustments'!$V$12,Adjustments!$J:$J,'Schedule 2J Adjustments'!$A39)</f>
        <v>0</v>
      </c>
      <c r="X39" s="305">
        <f t="shared" si="6"/>
        <v>0</v>
      </c>
      <c r="Y39" s="119">
        <f>'As-Filed Schedule 2J'!O39</f>
        <v>0</v>
      </c>
      <c r="Z39" s="309">
        <f>SUMIFS(Adjustments!$G:$G,Adjustments!$H:$H,"2J",Adjustments!$I:$I,'Schedule 2J Adjustments'!$Y$12,Adjustments!$J:$J,'Schedule 2J Adjustments'!$A39)</f>
        <v>0</v>
      </c>
      <c r="AA39" s="305">
        <f t="shared" si="7"/>
        <v>0</v>
      </c>
    </row>
    <row r="40" spans="1:27" x14ac:dyDescent="0.35">
      <c r="A40" s="24">
        <v>26</v>
      </c>
      <c r="B40" s="514" t="str">
        <f>IF('As-Filed Schedule 2J'!B40:D40=0,"",'As-Filed Schedule 2J'!B40:D40)</f>
        <v/>
      </c>
      <c r="C40" s="514"/>
      <c r="D40" s="514"/>
      <c r="F40" s="117">
        <f>'As-Filed Schedule 2J'!F40</f>
        <v>0</v>
      </c>
      <c r="G40" s="309">
        <f>SUMIFS(Adjustments!$G:$G,Adjustments!$H:$H,"2J",Adjustments!$I:$I,'Schedule 2J Adjustments'!$F$12,Adjustments!$J:$J,'Schedule 2J Adjustments'!$A40)</f>
        <v>0</v>
      </c>
      <c r="H40" s="305">
        <f t="shared" si="0"/>
        <v>0</v>
      </c>
      <c r="I40" s="68">
        <f>IFERROR(F40*'As-Filed Schedule 1'!$E$103,0)</f>
        <v>0</v>
      </c>
      <c r="J40" s="306">
        <f>IFERROR(H40*'Adjusted Schedule 1'!$E$104,0)</f>
        <v>0</v>
      </c>
      <c r="K40" s="68">
        <f t="shared" si="1"/>
        <v>0</v>
      </c>
      <c r="L40" s="306">
        <f t="shared" si="2"/>
        <v>0</v>
      </c>
      <c r="N40" s="117">
        <f>'As-Filed Schedule 2J'!J40</f>
        <v>0</v>
      </c>
      <c r="O40" s="309">
        <f>SUMIFS(Adjustments!$G:$G,Adjustments!$H:$H,"2J",Adjustments!$I:$I,'Schedule 2J Adjustments'!$N$12,Adjustments!$J:$J,'Schedule 2J Adjustments'!$A40)</f>
        <v>0</v>
      </c>
      <c r="P40" s="305">
        <f t="shared" si="3"/>
        <v>0</v>
      </c>
      <c r="Q40" s="68">
        <f>IFERROR(N40*'As-Filed Schedule 1'!$E$103,0)</f>
        <v>0</v>
      </c>
      <c r="R40" s="68">
        <f>IFERROR(P40*'Adjusted Schedule 1'!$E$104,0)</f>
        <v>0</v>
      </c>
      <c r="S40" s="68">
        <f t="shared" si="4"/>
        <v>0</v>
      </c>
      <c r="T40" s="306">
        <f t="shared" si="5"/>
        <v>0</v>
      </c>
      <c r="V40" s="119">
        <f>'As-Filed Schedule 2J'!N40</f>
        <v>0</v>
      </c>
      <c r="W40" s="309">
        <f>SUMIFS(Adjustments!$G:$G,Adjustments!$H:$H,"2J",Adjustments!$I:$I,'Schedule 2J Adjustments'!$V$12,Adjustments!$J:$J,'Schedule 2J Adjustments'!$A40)</f>
        <v>0</v>
      </c>
      <c r="X40" s="305">
        <f t="shared" si="6"/>
        <v>0</v>
      </c>
      <c r="Y40" s="119">
        <f>'As-Filed Schedule 2J'!O40</f>
        <v>0</v>
      </c>
      <c r="Z40" s="309">
        <f>SUMIFS(Adjustments!$G:$G,Adjustments!$H:$H,"2J",Adjustments!$I:$I,'Schedule 2J Adjustments'!$Y$12,Adjustments!$J:$J,'Schedule 2J Adjustments'!$A40)</f>
        <v>0</v>
      </c>
      <c r="AA40" s="305">
        <f t="shared" si="7"/>
        <v>0</v>
      </c>
    </row>
    <row r="41" spans="1:27" x14ac:dyDescent="0.35">
      <c r="A41" s="24">
        <v>27</v>
      </c>
      <c r="B41" s="514" t="str">
        <f>IF('As-Filed Schedule 2J'!B41:D41=0,"",'As-Filed Schedule 2J'!B41:D41)</f>
        <v/>
      </c>
      <c r="C41" s="514"/>
      <c r="D41" s="514"/>
      <c r="F41" s="117">
        <f>'As-Filed Schedule 2J'!F41</f>
        <v>0</v>
      </c>
      <c r="G41" s="309">
        <f>SUMIFS(Adjustments!$G:$G,Adjustments!$H:$H,"2J",Adjustments!$I:$I,'Schedule 2J Adjustments'!$F$12,Adjustments!$J:$J,'Schedule 2J Adjustments'!$A41)</f>
        <v>0</v>
      </c>
      <c r="H41" s="305">
        <f t="shared" si="0"/>
        <v>0</v>
      </c>
      <c r="I41" s="68">
        <f>IFERROR(F41*'As-Filed Schedule 1'!$E$103,0)</f>
        <v>0</v>
      </c>
      <c r="J41" s="306">
        <f>IFERROR(H41*'Adjusted Schedule 1'!$E$104,0)</f>
        <v>0</v>
      </c>
      <c r="K41" s="68">
        <f t="shared" si="1"/>
        <v>0</v>
      </c>
      <c r="L41" s="306">
        <f t="shared" si="2"/>
        <v>0</v>
      </c>
      <c r="N41" s="117">
        <f>'As-Filed Schedule 2J'!J41</f>
        <v>0</v>
      </c>
      <c r="O41" s="309">
        <f>SUMIFS(Adjustments!$G:$G,Adjustments!$H:$H,"2J",Adjustments!$I:$I,'Schedule 2J Adjustments'!$N$12,Adjustments!$J:$J,'Schedule 2J Adjustments'!$A41)</f>
        <v>0</v>
      </c>
      <c r="P41" s="305">
        <f t="shared" si="3"/>
        <v>0</v>
      </c>
      <c r="Q41" s="68">
        <f>IFERROR(N41*'As-Filed Schedule 1'!$E$103,0)</f>
        <v>0</v>
      </c>
      <c r="R41" s="68">
        <f>IFERROR(P41*'Adjusted Schedule 1'!$E$104,0)</f>
        <v>0</v>
      </c>
      <c r="S41" s="68">
        <f t="shared" si="4"/>
        <v>0</v>
      </c>
      <c r="T41" s="306">
        <f t="shared" si="5"/>
        <v>0</v>
      </c>
      <c r="V41" s="119">
        <f>'As-Filed Schedule 2J'!N41</f>
        <v>0</v>
      </c>
      <c r="W41" s="309">
        <f>SUMIFS(Adjustments!$G:$G,Adjustments!$H:$H,"2J",Adjustments!$I:$I,'Schedule 2J Adjustments'!$V$12,Adjustments!$J:$J,'Schedule 2J Adjustments'!$A41)</f>
        <v>0</v>
      </c>
      <c r="X41" s="305">
        <f t="shared" si="6"/>
        <v>0</v>
      </c>
      <c r="Y41" s="119">
        <f>'As-Filed Schedule 2J'!O41</f>
        <v>0</v>
      </c>
      <c r="Z41" s="309">
        <f>SUMIFS(Adjustments!$G:$G,Adjustments!$H:$H,"2J",Adjustments!$I:$I,'Schedule 2J Adjustments'!$Y$12,Adjustments!$J:$J,'Schedule 2J Adjustments'!$A41)</f>
        <v>0</v>
      </c>
      <c r="AA41" s="305">
        <f t="shared" si="7"/>
        <v>0</v>
      </c>
    </row>
    <row r="42" spans="1:27" x14ac:dyDescent="0.35">
      <c r="A42" s="24">
        <v>28</v>
      </c>
      <c r="B42" s="514" t="str">
        <f>IF('As-Filed Schedule 2J'!B42:D42=0,"",'As-Filed Schedule 2J'!B42:D42)</f>
        <v/>
      </c>
      <c r="C42" s="514"/>
      <c r="D42" s="514"/>
      <c r="F42" s="117">
        <f>'As-Filed Schedule 2J'!F42</f>
        <v>0</v>
      </c>
      <c r="G42" s="309">
        <f>SUMIFS(Adjustments!$G:$G,Adjustments!$H:$H,"2J",Adjustments!$I:$I,'Schedule 2J Adjustments'!$F$12,Adjustments!$J:$J,'Schedule 2J Adjustments'!$A42)</f>
        <v>0</v>
      </c>
      <c r="H42" s="305">
        <f t="shared" si="0"/>
        <v>0</v>
      </c>
      <c r="I42" s="68">
        <f>IFERROR(F42*'As-Filed Schedule 1'!$E$103,0)</f>
        <v>0</v>
      </c>
      <c r="J42" s="306">
        <f>IFERROR(H42*'Adjusted Schedule 1'!$E$104,0)</f>
        <v>0</v>
      </c>
      <c r="K42" s="68">
        <f t="shared" si="1"/>
        <v>0</v>
      </c>
      <c r="L42" s="306">
        <f t="shared" si="2"/>
        <v>0</v>
      </c>
      <c r="N42" s="117">
        <f>'As-Filed Schedule 2J'!J42</f>
        <v>0</v>
      </c>
      <c r="O42" s="309">
        <f>SUMIFS(Adjustments!$G:$G,Adjustments!$H:$H,"2J",Adjustments!$I:$I,'Schedule 2J Adjustments'!$N$12,Adjustments!$J:$J,'Schedule 2J Adjustments'!$A42)</f>
        <v>0</v>
      </c>
      <c r="P42" s="305">
        <f t="shared" si="3"/>
        <v>0</v>
      </c>
      <c r="Q42" s="68">
        <f>IFERROR(N42*'As-Filed Schedule 1'!$E$103,0)</f>
        <v>0</v>
      </c>
      <c r="R42" s="68">
        <f>IFERROR(P42*'Adjusted Schedule 1'!$E$104,0)</f>
        <v>0</v>
      </c>
      <c r="S42" s="68">
        <f t="shared" si="4"/>
        <v>0</v>
      </c>
      <c r="T42" s="306">
        <f t="shared" si="5"/>
        <v>0</v>
      </c>
      <c r="V42" s="119">
        <f>'As-Filed Schedule 2J'!N42</f>
        <v>0</v>
      </c>
      <c r="W42" s="309">
        <f>SUMIFS(Adjustments!$G:$G,Adjustments!$H:$H,"2J",Adjustments!$I:$I,'Schedule 2J Adjustments'!$V$12,Adjustments!$J:$J,'Schedule 2J Adjustments'!$A42)</f>
        <v>0</v>
      </c>
      <c r="X42" s="305">
        <f t="shared" si="6"/>
        <v>0</v>
      </c>
      <c r="Y42" s="119">
        <f>'As-Filed Schedule 2J'!O42</f>
        <v>0</v>
      </c>
      <c r="Z42" s="309">
        <f>SUMIFS(Adjustments!$G:$G,Adjustments!$H:$H,"2J",Adjustments!$I:$I,'Schedule 2J Adjustments'!$Y$12,Adjustments!$J:$J,'Schedule 2J Adjustments'!$A42)</f>
        <v>0</v>
      </c>
      <c r="AA42" s="305">
        <f t="shared" si="7"/>
        <v>0</v>
      </c>
    </row>
    <row r="43" spans="1:27" x14ac:dyDescent="0.35">
      <c r="A43" s="24">
        <v>29</v>
      </c>
      <c r="B43" s="514" t="str">
        <f>IF('As-Filed Schedule 2J'!B43:D43=0,"",'As-Filed Schedule 2J'!B43:D43)</f>
        <v/>
      </c>
      <c r="C43" s="514"/>
      <c r="D43" s="514"/>
      <c r="F43" s="117">
        <f>'As-Filed Schedule 2J'!F43</f>
        <v>0</v>
      </c>
      <c r="G43" s="309">
        <f>SUMIFS(Adjustments!$G:$G,Adjustments!$H:$H,"2J",Adjustments!$I:$I,'Schedule 2J Adjustments'!$F$12,Adjustments!$J:$J,'Schedule 2J Adjustments'!$A43)</f>
        <v>0</v>
      </c>
      <c r="H43" s="305">
        <f t="shared" si="0"/>
        <v>0</v>
      </c>
      <c r="I43" s="68">
        <f>IFERROR(F43*'As-Filed Schedule 1'!$E$103,0)</f>
        <v>0</v>
      </c>
      <c r="J43" s="306">
        <f>IFERROR(H43*'Adjusted Schedule 1'!$E$104,0)</f>
        <v>0</v>
      </c>
      <c r="K43" s="68">
        <f t="shared" si="1"/>
        <v>0</v>
      </c>
      <c r="L43" s="306">
        <f t="shared" si="2"/>
        <v>0</v>
      </c>
      <c r="N43" s="117">
        <f>'As-Filed Schedule 2J'!J43</f>
        <v>0</v>
      </c>
      <c r="O43" s="309">
        <f>SUMIFS(Adjustments!$G:$G,Adjustments!$H:$H,"2J",Adjustments!$I:$I,'Schedule 2J Adjustments'!$N$12,Adjustments!$J:$J,'Schedule 2J Adjustments'!$A43)</f>
        <v>0</v>
      </c>
      <c r="P43" s="305">
        <f t="shared" si="3"/>
        <v>0</v>
      </c>
      <c r="Q43" s="68">
        <f>IFERROR(N43*'As-Filed Schedule 1'!$E$103,0)</f>
        <v>0</v>
      </c>
      <c r="R43" s="68">
        <f>IFERROR(P43*'Adjusted Schedule 1'!$E$104,0)</f>
        <v>0</v>
      </c>
      <c r="S43" s="68">
        <f t="shared" si="4"/>
        <v>0</v>
      </c>
      <c r="T43" s="306">
        <f t="shared" si="5"/>
        <v>0</v>
      </c>
      <c r="V43" s="119">
        <f>'As-Filed Schedule 2J'!N43</f>
        <v>0</v>
      </c>
      <c r="W43" s="309">
        <f>SUMIFS(Adjustments!$G:$G,Adjustments!$H:$H,"2J",Adjustments!$I:$I,'Schedule 2J Adjustments'!$V$12,Adjustments!$J:$J,'Schedule 2J Adjustments'!$A43)</f>
        <v>0</v>
      </c>
      <c r="X43" s="305">
        <f t="shared" si="6"/>
        <v>0</v>
      </c>
      <c r="Y43" s="119">
        <f>'As-Filed Schedule 2J'!O43</f>
        <v>0</v>
      </c>
      <c r="Z43" s="309">
        <f>SUMIFS(Adjustments!$G:$G,Adjustments!$H:$H,"2J",Adjustments!$I:$I,'Schedule 2J Adjustments'!$Y$12,Adjustments!$J:$J,'Schedule 2J Adjustments'!$A43)</f>
        <v>0</v>
      </c>
      <c r="AA43" s="305">
        <f t="shared" si="7"/>
        <v>0</v>
      </c>
    </row>
    <row r="44" spans="1:27" x14ac:dyDescent="0.35">
      <c r="A44" s="24">
        <v>30</v>
      </c>
      <c r="B44" s="514" t="str">
        <f>IF('As-Filed Schedule 2J'!B44:D44=0,"",'As-Filed Schedule 2J'!B44:D44)</f>
        <v/>
      </c>
      <c r="C44" s="514"/>
      <c r="D44" s="514"/>
      <c r="F44" s="117">
        <f>'As-Filed Schedule 2J'!F44</f>
        <v>0</v>
      </c>
      <c r="G44" s="309">
        <f>SUMIFS(Adjustments!$G:$G,Adjustments!$H:$H,"2J",Adjustments!$I:$I,'Schedule 2J Adjustments'!$F$12,Adjustments!$J:$J,'Schedule 2J Adjustments'!$A44)</f>
        <v>0</v>
      </c>
      <c r="H44" s="305">
        <f t="shared" si="0"/>
        <v>0</v>
      </c>
      <c r="I44" s="68">
        <f>IFERROR(F44*'As-Filed Schedule 1'!$E$103,0)</f>
        <v>0</v>
      </c>
      <c r="J44" s="306">
        <f>IFERROR(H44*'Adjusted Schedule 1'!$E$104,0)</f>
        <v>0</v>
      </c>
      <c r="K44" s="68">
        <f t="shared" si="1"/>
        <v>0</v>
      </c>
      <c r="L44" s="306">
        <f t="shared" si="2"/>
        <v>0</v>
      </c>
      <c r="N44" s="117">
        <f>'As-Filed Schedule 2J'!J44</f>
        <v>0</v>
      </c>
      <c r="O44" s="309">
        <f>SUMIFS(Adjustments!$G:$G,Adjustments!$H:$H,"2J",Adjustments!$I:$I,'Schedule 2J Adjustments'!$N$12,Adjustments!$J:$J,'Schedule 2J Adjustments'!$A44)</f>
        <v>0</v>
      </c>
      <c r="P44" s="305">
        <f t="shared" si="3"/>
        <v>0</v>
      </c>
      <c r="Q44" s="68">
        <f>IFERROR(N44*'As-Filed Schedule 1'!$E$103,0)</f>
        <v>0</v>
      </c>
      <c r="R44" s="68">
        <f>IFERROR(P44*'Adjusted Schedule 1'!$E$104,0)</f>
        <v>0</v>
      </c>
      <c r="S44" s="68">
        <f t="shared" si="4"/>
        <v>0</v>
      </c>
      <c r="T44" s="306">
        <f t="shared" si="5"/>
        <v>0</v>
      </c>
      <c r="V44" s="119">
        <f>'As-Filed Schedule 2J'!N44</f>
        <v>0</v>
      </c>
      <c r="W44" s="309">
        <f>SUMIFS(Adjustments!$G:$G,Adjustments!$H:$H,"2J",Adjustments!$I:$I,'Schedule 2J Adjustments'!$V$12,Adjustments!$J:$J,'Schedule 2J Adjustments'!$A44)</f>
        <v>0</v>
      </c>
      <c r="X44" s="305">
        <f t="shared" si="6"/>
        <v>0</v>
      </c>
      <c r="Y44" s="119">
        <f>'As-Filed Schedule 2J'!O44</f>
        <v>0</v>
      </c>
      <c r="Z44" s="309">
        <f>SUMIFS(Adjustments!$G:$G,Adjustments!$H:$H,"2J",Adjustments!$I:$I,'Schedule 2J Adjustments'!$Y$12,Adjustments!$J:$J,'Schedule 2J Adjustments'!$A44)</f>
        <v>0</v>
      </c>
      <c r="AA44" s="305">
        <f t="shared" si="7"/>
        <v>0</v>
      </c>
    </row>
    <row r="45" spans="1:27" x14ac:dyDescent="0.35">
      <c r="A45" s="24">
        <v>31</v>
      </c>
      <c r="B45" s="514" t="str">
        <f>IF('As-Filed Schedule 2J'!B45:D45=0,"",'As-Filed Schedule 2J'!B45:D45)</f>
        <v/>
      </c>
      <c r="C45" s="514"/>
      <c r="D45" s="514"/>
      <c r="F45" s="117">
        <f>'As-Filed Schedule 2J'!F45</f>
        <v>0</v>
      </c>
      <c r="G45" s="309">
        <f>SUMIFS(Adjustments!$G:$G,Adjustments!$H:$H,"2J",Adjustments!$I:$I,'Schedule 2J Adjustments'!$F$12,Adjustments!$J:$J,'Schedule 2J Adjustments'!$A45)</f>
        <v>0</v>
      </c>
      <c r="H45" s="305">
        <f t="shared" si="0"/>
        <v>0</v>
      </c>
      <c r="I45" s="68">
        <f>IFERROR(F45*'As-Filed Schedule 1'!$E$103,0)</f>
        <v>0</v>
      </c>
      <c r="J45" s="306">
        <f>IFERROR(H45*'Adjusted Schedule 1'!$E$104,0)</f>
        <v>0</v>
      </c>
      <c r="K45" s="68">
        <f t="shared" si="1"/>
        <v>0</v>
      </c>
      <c r="L45" s="306">
        <f t="shared" si="2"/>
        <v>0</v>
      </c>
      <c r="N45" s="117">
        <f>'As-Filed Schedule 2J'!J45</f>
        <v>0</v>
      </c>
      <c r="O45" s="309">
        <f>SUMIFS(Adjustments!$G:$G,Adjustments!$H:$H,"2J",Adjustments!$I:$I,'Schedule 2J Adjustments'!$N$12,Adjustments!$J:$J,'Schedule 2J Adjustments'!$A45)</f>
        <v>0</v>
      </c>
      <c r="P45" s="305">
        <f t="shared" si="3"/>
        <v>0</v>
      </c>
      <c r="Q45" s="68">
        <f>IFERROR(N45*'As-Filed Schedule 1'!$E$103,0)</f>
        <v>0</v>
      </c>
      <c r="R45" s="68">
        <f>IFERROR(P45*'Adjusted Schedule 1'!$E$104,0)</f>
        <v>0</v>
      </c>
      <c r="S45" s="68">
        <f t="shared" si="4"/>
        <v>0</v>
      </c>
      <c r="T45" s="306">
        <f t="shared" si="5"/>
        <v>0</v>
      </c>
      <c r="V45" s="119">
        <f>'As-Filed Schedule 2J'!N45</f>
        <v>0</v>
      </c>
      <c r="W45" s="309">
        <f>SUMIFS(Adjustments!$G:$G,Adjustments!$H:$H,"2J",Adjustments!$I:$I,'Schedule 2J Adjustments'!$V$12,Adjustments!$J:$J,'Schedule 2J Adjustments'!$A45)</f>
        <v>0</v>
      </c>
      <c r="X45" s="305">
        <f t="shared" si="6"/>
        <v>0</v>
      </c>
      <c r="Y45" s="119">
        <f>'As-Filed Schedule 2J'!O45</f>
        <v>0</v>
      </c>
      <c r="Z45" s="309">
        <f>SUMIFS(Adjustments!$G:$G,Adjustments!$H:$H,"2J",Adjustments!$I:$I,'Schedule 2J Adjustments'!$Y$12,Adjustments!$J:$J,'Schedule 2J Adjustments'!$A45)</f>
        <v>0</v>
      </c>
      <c r="AA45" s="305">
        <f t="shared" si="7"/>
        <v>0</v>
      </c>
    </row>
    <row r="46" spans="1:27" x14ac:dyDescent="0.35">
      <c r="A46" s="24">
        <v>32</v>
      </c>
      <c r="B46" s="514" t="str">
        <f>IF('As-Filed Schedule 2J'!B46:D46=0,"",'As-Filed Schedule 2J'!B46:D46)</f>
        <v/>
      </c>
      <c r="C46" s="514"/>
      <c r="D46" s="514"/>
      <c r="F46" s="117">
        <f>'As-Filed Schedule 2J'!F46</f>
        <v>0</v>
      </c>
      <c r="G46" s="309">
        <f>SUMIFS(Adjustments!$G:$G,Adjustments!$H:$H,"2J",Adjustments!$I:$I,'Schedule 2J Adjustments'!$F$12,Adjustments!$J:$J,'Schedule 2J Adjustments'!$A46)</f>
        <v>0</v>
      </c>
      <c r="H46" s="305">
        <f t="shared" si="0"/>
        <v>0</v>
      </c>
      <c r="I46" s="68">
        <f>IFERROR(F46*'As-Filed Schedule 1'!$E$103,0)</f>
        <v>0</v>
      </c>
      <c r="J46" s="306">
        <f>IFERROR(H46*'Adjusted Schedule 1'!$E$104,0)</f>
        <v>0</v>
      </c>
      <c r="K46" s="68">
        <f t="shared" si="1"/>
        <v>0</v>
      </c>
      <c r="L46" s="306">
        <f t="shared" si="2"/>
        <v>0</v>
      </c>
      <c r="N46" s="117">
        <f>'As-Filed Schedule 2J'!J46</f>
        <v>0</v>
      </c>
      <c r="O46" s="309">
        <f>SUMIFS(Adjustments!$G:$G,Adjustments!$H:$H,"2J",Adjustments!$I:$I,'Schedule 2J Adjustments'!$N$12,Adjustments!$J:$J,'Schedule 2J Adjustments'!$A46)</f>
        <v>0</v>
      </c>
      <c r="P46" s="305">
        <f t="shared" si="3"/>
        <v>0</v>
      </c>
      <c r="Q46" s="68">
        <f>IFERROR(N46*'As-Filed Schedule 1'!$E$103,0)</f>
        <v>0</v>
      </c>
      <c r="R46" s="68">
        <f>IFERROR(P46*'Adjusted Schedule 1'!$E$104,0)</f>
        <v>0</v>
      </c>
      <c r="S46" s="68">
        <f t="shared" si="4"/>
        <v>0</v>
      </c>
      <c r="T46" s="306">
        <f t="shared" si="5"/>
        <v>0</v>
      </c>
      <c r="V46" s="119">
        <f>'As-Filed Schedule 2J'!N46</f>
        <v>0</v>
      </c>
      <c r="W46" s="309">
        <f>SUMIFS(Adjustments!$G:$G,Adjustments!$H:$H,"2J",Adjustments!$I:$I,'Schedule 2J Adjustments'!$V$12,Adjustments!$J:$J,'Schedule 2J Adjustments'!$A46)</f>
        <v>0</v>
      </c>
      <c r="X46" s="305">
        <f t="shared" si="6"/>
        <v>0</v>
      </c>
      <c r="Y46" s="119">
        <f>'As-Filed Schedule 2J'!O46</f>
        <v>0</v>
      </c>
      <c r="Z46" s="309">
        <f>SUMIFS(Adjustments!$G:$G,Adjustments!$H:$H,"2J",Adjustments!$I:$I,'Schedule 2J Adjustments'!$Y$12,Adjustments!$J:$J,'Schedule 2J Adjustments'!$A46)</f>
        <v>0</v>
      </c>
      <c r="AA46" s="305">
        <f t="shared" si="7"/>
        <v>0</v>
      </c>
    </row>
    <row r="47" spans="1:27" x14ac:dyDescent="0.35">
      <c r="A47" s="24">
        <v>33</v>
      </c>
      <c r="B47" s="514" t="str">
        <f>IF('As-Filed Schedule 2J'!B47:D47=0,"",'As-Filed Schedule 2J'!B47:D47)</f>
        <v/>
      </c>
      <c r="C47" s="514"/>
      <c r="D47" s="514"/>
      <c r="F47" s="117">
        <f>'As-Filed Schedule 2J'!F47</f>
        <v>0</v>
      </c>
      <c r="G47" s="309">
        <f>SUMIFS(Adjustments!$G:$G,Adjustments!$H:$H,"2J",Adjustments!$I:$I,'Schedule 2J Adjustments'!$F$12,Adjustments!$J:$J,'Schedule 2J Adjustments'!$A47)</f>
        <v>0</v>
      </c>
      <c r="H47" s="305">
        <f t="shared" si="0"/>
        <v>0</v>
      </c>
      <c r="I47" s="68">
        <f>IFERROR(F47*'As-Filed Schedule 1'!$E$103,0)</f>
        <v>0</v>
      </c>
      <c r="J47" s="306">
        <f>IFERROR(H47*'Adjusted Schedule 1'!$E$104,0)</f>
        <v>0</v>
      </c>
      <c r="K47" s="68">
        <f t="shared" si="1"/>
        <v>0</v>
      </c>
      <c r="L47" s="306">
        <f t="shared" si="2"/>
        <v>0</v>
      </c>
      <c r="N47" s="117">
        <f>'As-Filed Schedule 2J'!J47</f>
        <v>0</v>
      </c>
      <c r="O47" s="309">
        <f>SUMIFS(Adjustments!$G:$G,Adjustments!$H:$H,"2J",Adjustments!$I:$I,'Schedule 2J Adjustments'!$N$12,Adjustments!$J:$J,'Schedule 2J Adjustments'!$A47)</f>
        <v>0</v>
      </c>
      <c r="P47" s="305">
        <f t="shared" si="3"/>
        <v>0</v>
      </c>
      <c r="Q47" s="68">
        <f>IFERROR(N47*'As-Filed Schedule 1'!$E$103,0)</f>
        <v>0</v>
      </c>
      <c r="R47" s="68">
        <f>IFERROR(P47*'Adjusted Schedule 1'!$E$104,0)</f>
        <v>0</v>
      </c>
      <c r="S47" s="68">
        <f t="shared" si="4"/>
        <v>0</v>
      </c>
      <c r="T47" s="306">
        <f t="shared" si="5"/>
        <v>0</v>
      </c>
      <c r="V47" s="119">
        <f>'As-Filed Schedule 2J'!N47</f>
        <v>0</v>
      </c>
      <c r="W47" s="309">
        <f>SUMIFS(Adjustments!$G:$G,Adjustments!$H:$H,"2J",Adjustments!$I:$I,'Schedule 2J Adjustments'!$V$12,Adjustments!$J:$J,'Schedule 2J Adjustments'!$A47)</f>
        <v>0</v>
      </c>
      <c r="X47" s="305">
        <f t="shared" si="6"/>
        <v>0</v>
      </c>
      <c r="Y47" s="119">
        <f>'As-Filed Schedule 2J'!O47</f>
        <v>0</v>
      </c>
      <c r="Z47" s="309">
        <f>SUMIFS(Adjustments!$G:$G,Adjustments!$H:$H,"2J",Adjustments!$I:$I,'Schedule 2J Adjustments'!$Y$12,Adjustments!$J:$J,'Schedule 2J Adjustments'!$A47)</f>
        <v>0</v>
      </c>
      <c r="AA47" s="305">
        <f t="shared" si="7"/>
        <v>0</v>
      </c>
    </row>
    <row r="48" spans="1:27" x14ac:dyDescent="0.35">
      <c r="A48" s="24">
        <v>34</v>
      </c>
      <c r="B48" s="514" t="str">
        <f>IF('As-Filed Schedule 2J'!B48:D48=0,"",'As-Filed Schedule 2J'!B48:D48)</f>
        <v/>
      </c>
      <c r="C48" s="514"/>
      <c r="D48" s="514"/>
      <c r="F48" s="117">
        <f>'As-Filed Schedule 2J'!F48</f>
        <v>0</v>
      </c>
      <c r="G48" s="309">
        <f>SUMIFS(Adjustments!$G:$G,Adjustments!$H:$H,"2J",Adjustments!$I:$I,'Schedule 2J Adjustments'!$F$12,Adjustments!$J:$J,'Schedule 2J Adjustments'!$A48)</f>
        <v>0</v>
      </c>
      <c r="H48" s="305">
        <f t="shared" si="0"/>
        <v>0</v>
      </c>
      <c r="I48" s="68">
        <f>IFERROR(F48*'As-Filed Schedule 1'!$E$103,0)</f>
        <v>0</v>
      </c>
      <c r="J48" s="306">
        <f>IFERROR(H48*'Adjusted Schedule 1'!$E$104,0)</f>
        <v>0</v>
      </c>
      <c r="K48" s="68">
        <f t="shared" si="1"/>
        <v>0</v>
      </c>
      <c r="L48" s="306">
        <f t="shared" si="2"/>
        <v>0</v>
      </c>
      <c r="N48" s="117">
        <f>'As-Filed Schedule 2J'!J48</f>
        <v>0</v>
      </c>
      <c r="O48" s="309">
        <f>SUMIFS(Adjustments!$G:$G,Adjustments!$H:$H,"2J",Adjustments!$I:$I,'Schedule 2J Adjustments'!$N$12,Adjustments!$J:$J,'Schedule 2J Adjustments'!$A48)</f>
        <v>0</v>
      </c>
      <c r="P48" s="305">
        <f t="shared" si="3"/>
        <v>0</v>
      </c>
      <c r="Q48" s="68">
        <f>IFERROR(N48*'As-Filed Schedule 1'!$E$103,0)</f>
        <v>0</v>
      </c>
      <c r="R48" s="68">
        <f>IFERROR(P48*'Adjusted Schedule 1'!$E$104,0)</f>
        <v>0</v>
      </c>
      <c r="S48" s="68">
        <f t="shared" si="4"/>
        <v>0</v>
      </c>
      <c r="T48" s="306">
        <f t="shared" si="5"/>
        <v>0</v>
      </c>
      <c r="V48" s="119">
        <f>'As-Filed Schedule 2J'!N48</f>
        <v>0</v>
      </c>
      <c r="W48" s="309">
        <f>SUMIFS(Adjustments!$G:$G,Adjustments!$H:$H,"2J",Adjustments!$I:$I,'Schedule 2J Adjustments'!$V$12,Adjustments!$J:$J,'Schedule 2J Adjustments'!$A48)</f>
        <v>0</v>
      </c>
      <c r="X48" s="305">
        <f t="shared" si="6"/>
        <v>0</v>
      </c>
      <c r="Y48" s="119">
        <f>'As-Filed Schedule 2J'!O48</f>
        <v>0</v>
      </c>
      <c r="Z48" s="309">
        <f>SUMIFS(Adjustments!$G:$G,Adjustments!$H:$H,"2J",Adjustments!$I:$I,'Schedule 2J Adjustments'!$Y$12,Adjustments!$J:$J,'Schedule 2J Adjustments'!$A48)</f>
        <v>0</v>
      </c>
      <c r="AA48" s="305">
        <f t="shared" si="7"/>
        <v>0</v>
      </c>
    </row>
    <row r="49" spans="1:27" x14ac:dyDescent="0.35">
      <c r="A49" s="24">
        <v>35</v>
      </c>
      <c r="B49" s="514" t="str">
        <f>IF('As-Filed Schedule 2J'!B49:D49=0,"",'As-Filed Schedule 2J'!B49:D49)</f>
        <v/>
      </c>
      <c r="C49" s="514"/>
      <c r="D49" s="514"/>
      <c r="F49" s="117">
        <f>'As-Filed Schedule 2J'!F49</f>
        <v>0</v>
      </c>
      <c r="G49" s="309">
        <f>SUMIFS(Adjustments!$G:$G,Adjustments!$H:$H,"2J",Adjustments!$I:$I,'Schedule 2J Adjustments'!$F$12,Adjustments!$J:$J,'Schedule 2J Adjustments'!$A49)</f>
        <v>0</v>
      </c>
      <c r="H49" s="305">
        <f t="shared" si="0"/>
        <v>0</v>
      </c>
      <c r="I49" s="68">
        <f>IFERROR(F49*'As-Filed Schedule 1'!$E$103,0)</f>
        <v>0</v>
      </c>
      <c r="J49" s="306">
        <f>IFERROR(H49*'Adjusted Schedule 1'!$E$104,0)</f>
        <v>0</v>
      </c>
      <c r="K49" s="68">
        <f t="shared" si="1"/>
        <v>0</v>
      </c>
      <c r="L49" s="306">
        <f t="shared" si="2"/>
        <v>0</v>
      </c>
      <c r="N49" s="117">
        <f>'As-Filed Schedule 2J'!J49</f>
        <v>0</v>
      </c>
      <c r="O49" s="309">
        <f>SUMIFS(Adjustments!$G:$G,Adjustments!$H:$H,"2J",Adjustments!$I:$I,'Schedule 2J Adjustments'!$N$12,Adjustments!$J:$J,'Schedule 2J Adjustments'!$A49)</f>
        <v>0</v>
      </c>
      <c r="P49" s="305">
        <f t="shared" si="3"/>
        <v>0</v>
      </c>
      <c r="Q49" s="68">
        <f>IFERROR(N49*'As-Filed Schedule 1'!$E$103,0)</f>
        <v>0</v>
      </c>
      <c r="R49" s="68">
        <f>IFERROR(P49*'Adjusted Schedule 1'!$E$104,0)</f>
        <v>0</v>
      </c>
      <c r="S49" s="68">
        <f t="shared" si="4"/>
        <v>0</v>
      </c>
      <c r="T49" s="306">
        <f t="shared" si="5"/>
        <v>0</v>
      </c>
      <c r="V49" s="119">
        <f>'As-Filed Schedule 2J'!N49</f>
        <v>0</v>
      </c>
      <c r="W49" s="309">
        <f>SUMIFS(Adjustments!$G:$G,Adjustments!$H:$H,"2J",Adjustments!$I:$I,'Schedule 2J Adjustments'!$V$12,Adjustments!$J:$J,'Schedule 2J Adjustments'!$A49)</f>
        <v>0</v>
      </c>
      <c r="X49" s="305">
        <f t="shared" si="6"/>
        <v>0</v>
      </c>
      <c r="Y49" s="119">
        <f>'As-Filed Schedule 2J'!O49</f>
        <v>0</v>
      </c>
      <c r="Z49" s="309">
        <f>SUMIFS(Adjustments!$G:$G,Adjustments!$H:$H,"2J",Adjustments!$I:$I,'Schedule 2J Adjustments'!$Y$12,Adjustments!$J:$J,'Schedule 2J Adjustments'!$A49)</f>
        <v>0</v>
      </c>
      <c r="AA49" s="305">
        <f t="shared" si="7"/>
        <v>0</v>
      </c>
    </row>
    <row r="50" spans="1:27" x14ac:dyDescent="0.35">
      <c r="A50" s="24">
        <v>36</v>
      </c>
      <c r="B50" s="514" t="str">
        <f>IF('As-Filed Schedule 2J'!B50:D50=0,"",'As-Filed Schedule 2J'!B50:D50)</f>
        <v/>
      </c>
      <c r="C50" s="514"/>
      <c r="D50" s="514"/>
      <c r="F50" s="117">
        <f>'As-Filed Schedule 2J'!F50</f>
        <v>0</v>
      </c>
      <c r="G50" s="309">
        <f>SUMIFS(Adjustments!$G:$G,Adjustments!$H:$H,"2J",Adjustments!$I:$I,'Schedule 2J Adjustments'!$F$12,Adjustments!$J:$J,'Schedule 2J Adjustments'!$A50)</f>
        <v>0</v>
      </c>
      <c r="H50" s="305">
        <f t="shared" si="0"/>
        <v>0</v>
      </c>
      <c r="I50" s="68">
        <f>IFERROR(F50*'As-Filed Schedule 1'!$E$103,0)</f>
        <v>0</v>
      </c>
      <c r="J50" s="306">
        <f>IFERROR(H50*'Adjusted Schedule 1'!$E$104,0)</f>
        <v>0</v>
      </c>
      <c r="K50" s="68">
        <f t="shared" si="1"/>
        <v>0</v>
      </c>
      <c r="L50" s="306">
        <f t="shared" si="2"/>
        <v>0</v>
      </c>
      <c r="N50" s="117">
        <f>'As-Filed Schedule 2J'!J50</f>
        <v>0</v>
      </c>
      <c r="O50" s="309">
        <f>SUMIFS(Adjustments!$G:$G,Adjustments!$H:$H,"2J",Adjustments!$I:$I,'Schedule 2J Adjustments'!$N$12,Adjustments!$J:$J,'Schedule 2J Adjustments'!$A50)</f>
        <v>0</v>
      </c>
      <c r="P50" s="305">
        <f t="shared" si="3"/>
        <v>0</v>
      </c>
      <c r="Q50" s="68">
        <f>IFERROR(N50*'As-Filed Schedule 1'!$E$103,0)</f>
        <v>0</v>
      </c>
      <c r="R50" s="68">
        <f>IFERROR(P50*'Adjusted Schedule 1'!$E$104,0)</f>
        <v>0</v>
      </c>
      <c r="S50" s="68">
        <f t="shared" si="4"/>
        <v>0</v>
      </c>
      <c r="T50" s="306">
        <f t="shared" si="5"/>
        <v>0</v>
      </c>
      <c r="V50" s="119">
        <f>'As-Filed Schedule 2J'!N50</f>
        <v>0</v>
      </c>
      <c r="W50" s="309">
        <f>SUMIFS(Adjustments!$G:$G,Adjustments!$H:$H,"2J",Adjustments!$I:$I,'Schedule 2J Adjustments'!$V$12,Adjustments!$J:$J,'Schedule 2J Adjustments'!$A50)</f>
        <v>0</v>
      </c>
      <c r="X50" s="305">
        <f t="shared" si="6"/>
        <v>0</v>
      </c>
      <c r="Y50" s="119">
        <f>'As-Filed Schedule 2J'!O50</f>
        <v>0</v>
      </c>
      <c r="Z50" s="309">
        <f>SUMIFS(Adjustments!$G:$G,Adjustments!$H:$H,"2J",Adjustments!$I:$I,'Schedule 2J Adjustments'!$Y$12,Adjustments!$J:$J,'Schedule 2J Adjustments'!$A50)</f>
        <v>0</v>
      </c>
      <c r="AA50" s="305">
        <f t="shared" si="7"/>
        <v>0</v>
      </c>
    </row>
    <row r="51" spans="1:27" x14ac:dyDescent="0.35">
      <c r="A51" s="24">
        <v>37</v>
      </c>
      <c r="B51" s="514" t="str">
        <f>IF('As-Filed Schedule 2J'!B51:D51=0,"",'As-Filed Schedule 2J'!B51:D51)</f>
        <v/>
      </c>
      <c r="C51" s="514"/>
      <c r="D51" s="514"/>
      <c r="F51" s="117">
        <f>'As-Filed Schedule 2J'!F51</f>
        <v>0</v>
      </c>
      <c r="G51" s="309">
        <f>SUMIFS(Adjustments!$G:$G,Adjustments!$H:$H,"2J",Adjustments!$I:$I,'Schedule 2J Adjustments'!$F$12,Adjustments!$J:$J,'Schedule 2J Adjustments'!$A51)</f>
        <v>0</v>
      </c>
      <c r="H51" s="305">
        <f t="shared" si="0"/>
        <v>0</v>
      </c>
      <c r="I51" s="68">
        <f>IFERROR(F51*'As-Filed Schedule 1'!$E$103,0)</f>
        <v>0</v>
      </c>
      <c r="J51" s="306">
        <f>IFERROR(H51*'Adjusted Schedule 1'!$E$104,0)</f>
        <v>0</v>
      </c>
      <c r="K51" s="68">
        <f t="shared" si="1"/>
        <v>0</v>
      </c>
      <c r="L51" s="306">
        <f t="shared" si="2"/>
        <v>0</v>
      </c>
      <c r="N51" s="117">
        <f>'As-Filed Schedule 2J'!J51</f>
        <v>0</v>
      </c>
      <c r="O51" s="309">
        <f>SUMIFS(Adjustments!$G:$G,Adjustments!$H:$H,"2J",Adjustments!$I:$I,'Schedule 2J Adjustments'!$N$12,Adjustments!$J:$J,'Schedule 2J Adjustments'!$A51)</f>
        <v>0</v>
      </c>
      <c r="P51" s="305">
        <f t="shared" si="3"/>
        <v>0</v>
      </c>
      <c r="Q51" s="68">
        <f>IFERROR(N51*'As-Filed Schedule 1'!$E$103,0)</f>
        <v>0</v>
      </c>
      <c r="R51" s="68">
        <f>IFERROR(P51*'Adjusted Schedule 1'!$E$104,0)</f>
        <v>0</v>
      </c>
      <c r="S51" s="68">
        <f t="shared" si="4"/>
        <v>0</v>
      </c>
      <c r="T51" s="306">
        <f t="shared" si="5"/>
        <v>0</v>
      </c>
      <c r="V51" s="119">
        <f>'As-Filed Schedule 2J'!N51</f>
        <v>0</v>
      </c>
      <c r="W51" s="309">
        <f>SUMIFS(Adjustments!$G:$G,Adjustments!$H:$H,"2J",Adjustments!$I:$I,'Schedule 2J Adjustments'!$V$12,Adjustments!$J:$J,'Schedule 2J Adjustments'!$A51)</f>
        <v>0</v>
      </c>
      <c r="X51" s="305">
        <f t="shared" si="6"/>
        <v>0</v>
      </c>
      <c r="Y51" s="119">
        <f>'As-Filed Schedule 2J'!O51</f>
        <v>0</v>
      </c>
      <c r="Z51" s="309">
        <f>SUMIFS(Adjustments!$G:$G,Adjustments!$H:$H,"2J",Adjustments!$I:$I,'Schedule 2J Adjustments'!$Y$12,Adjustments!$J:$J,'Schedule 2J Adjustments'!$A51)</f>
        <v>0</v>
      </c>
      <c r="AA51" s="305">
        <f t="shared" si="7"/>
        <v>0</v>
      </c>
    </row>
    <row r="52" spans="1:27" x14ac:dyDescent="0.35">
      <c r="A52" s="24">
        <v>38</v>
      </c>
      <c r="B52" s="514" t="str">
        <f>IF('As-Filed Schedule 2J'!B52:D52=0,"",'As-Filed Schedule 2J'!B52:D52)</f>
        <v/>
      </c>
      <c r="C52" s="514"/>
      <c r="D52" s="514"/>
      <c r="F52" s="117">
        <f>'As-Filed Schedule 2J'!F52</f>
        <v>0</v>
      </c>
      <c r="G52" s="309">
        <f>SUMIFS(Adjustments!$G:$G,Adjustments!$H:$H,"2J",Adjustments!$I:$I,'Schedule 2J Adjustments'!$F$12,Adjustments!$J:$J,'Schedule 2J Adjustments'!$A52)</f>
        <v>0</v>
      </c>
      <c r="H52" s="305">
        <f t="shared" si="0"/>
        <v>0</v>
      </c>
      <c r="I52" s="68">
        <f>IFERROR(F52*'As-Filed Schedule 1'!$E$103,0)</f>
        <v>0</v>
      </c>
      <c r="J52" s="306">
        <f>IFERROR(H52*'Adjusted Schedule 1'!$E$104,0)</f>
        <v>0</v>
      </c>
      <c r="K52" s="68">
        <f t="shared" si="1"/>
        <v>0</v>
      </c>
      <c r="L52" s="306">
        <f t="shared" si="2"/>
        <v>0</v>
      </c>
      <c r="N52" s="117">
        <f>'As-Filed Schedule 2J'!J52</f>
        <v>0</v>
      </c>
      <c r="O52" s="309">
        <f>SUMIFS(Adjustments!$G:$G,Adjustments!$H:$H,"2J",Adjustments!$I:$I,'Schedule 2J Adjustments'!$N$12,Adjustments!$J:$J,'Schedule 2J Adjustments'!$A52)</f>
        <v>0</v>
      </c>
      <c r="P52" s="305">
        <f t="shared" si="3"/>
        <v>0</v>
      </c>
      <c r="Q52" s="68">
        <f>IFERROR(N52*'As-Filed Schedule 1'!$E$103,0)</f>
        <v>0</v>
      </c>
      <c r="R52" s="68">
        <f>IFERROR(P52*'Adjusted Schedule 1'!$E$104,0)</f>
        <v>0</v>
      </c>
      <c r="S52" s="68">
        <f t="shared" si="4"/>
        <v>0</v>
      </c>
      <c r="T52" s="306">
        <f t="shared" si="5"/>
        <v>0</v>
      </c>
      <c r="V52" s="119">
        <f>'As-Filed Schedule 2J'!N52</f>
        <v>0</v>
      </c>
      <c r="W52" s="309">
        <f>SUMIFS(Adjustments!$G:$G,Adjustments!$H:$H,"2J",Adjustments!$I:$I,'Schedule 2J Adjustments'!$V$12,Adjustments!$J:$J,'Schedule 2J Adjustments'!$A52)</f>
        <v>0</v>
      </c>
      <c r="X52" s="305">
        <f t="shared" si="6"/>
        <v>0</v>
      </c>
      <c r="Y52" s="119">
        <f>'As-Filed Schedule 2J'!O52</f>
        <v>0</v>
      </c>
      <c r="Z52" s="309">
        <f>SUMIFS(Adjustments!$G:$G,Adjustments!$H:$H,"2J",Adjustments!$I:$I,'Schedule 2J Adjustments'!$Y$12,Adjustments!$J:$J,'Schedule 2J Adjustments'!$A52)</f>
        <v>0</v>
      </c>
      <c r="AA52" s="305">
        <f t="shared" si="7"/>
        <v>0</v>
      </c>
    </row>
    <row r="53" spans="1:27" x14ac:dyDescent="0.35">
      <c r="A53" s="24">
        <v>39</v>
      </c>
      <c r="B53" s="514" t="str">
        <f>IF('As-Filed Schedule 2J'!B53:D53=0,"",'As-Filed Schedule 2J'!B53:D53)</f>
        <v/>
      </c>
      <c r="C53" s="514"/>
      <c r="D53" s="514"/>
      <c r="F53" s="117">
        <f>'As-Filed Schedule 2J'!F53</f>
        <v>0</v>
      </c>
      <c r="G53" s="309">
        <f>SUMIFS(Adjustments!$G:$G,Adjustments!$H:$H,"2J",Adjustments!$I:$I,'Schedule 2J Adjustments'!$F$12,Adjustments!$J:$J,'Schedule 2J Adjustments'!$A53)</f>
        <v>0</v>
      </c>
      <c r="H53" s="305">
        <f t="shared" si="0"/>
        <v>0</v>
      </c>
      <c r="I53" s="68">
        <f>IFERROR(F53*'As-Filed Schedule 1'!$E$103,0)</f>
        <v>0</v>
      </c>
      <c r="J53" s="306">
        <f>IFERROR(H53*'Adjusted Schedule 1'!$E$104,0)</f>
        <v>0</v>
      </c>
      <c r="K53" s="68">
        <f t="shared" si="1"/>
        <v>0</v>
      </c>
      <c r="L53" s="306">
        <f t="shared" si="2"/>
        <v>0</v>
      </c>
      <c r="N53" s="117">
        <f>'As-Filed Schedule 2J'!J53</f>
        <v>0</v>
      </c>
      <c r="O53" s="309">
        <f>SUMIFS(Adjustments!$G:$G,Adjustments!$H:$H,"2J",Adjustments!$I:$I,'Schedule 2J Adjustments'!$N$12,Adjustments!$J:$J,'Schedule 2J Adjustments'!$A53)</f>
        <v>0</v>
      </c>
      <c r="P53" s="305">
        <f t="shared" si="3"/>
        <v>0</v>
      </c>
      <c r="Q53" s="68">
        <f>IFERROR(N53*'As-Filed Schedule 1'!$E$103,0)</f>
        <v>0</v>
      </c>
      <c r="R53" s="68">
        <f>IFERROR(P53*'Adjusted Schedule 1'!$E$104,0)</f>
        <v>0</v>
      </c>
      <c r="S53" s="68">
        <f t="shared" si="4"/>
        <v>0</v>
      </c>
      <c r="T53" s="306">
        <f t="shared" si="5"/>
        <v>0</v>
      </c>
      <c r="V53" s="119">
        <f>'As-Filed Schedule 2J'!N53</f>
        <v>0</v>
      </c>
      <c r="W53" s="309">
        <f>SUMIFS(Adjustments!$G:$G,Adjustments!$H:$H,"2J",Adjustments!$I:$I,'Schedule 2J Adjustments'!$V$12,Adjustments!$J:$J,'Schedule 2J Adjustments'!$A53)</f>
        <v>0</v>
      </c>
      <c r="X53" s="305">
        <f t="shared" si="6"/>
        <v>0</v>
      </c>
      <c r="Y53" s="119">
        <f>'As-Filed Schedule 2J'!O53</f>
        <v>0</v>
      </c>
      <c r="Z53" s="309">
        <f>SUMIFS(Adjustments!$G:$G,Adjustments!$H:$H,"2J",Adjustments!$I:$I,'Schedule 2J Adjustments'!$Y$12,Adjustments!$J:$J,'Schedule 2J Adjustments'!$A53)</f>
        <v>0</v>
      </c>
      <c r="AA53" s="305">
        <f t="shared" si="7"/>
        <v>0</v>
      </c>
    </row>
    <row r="54" spans="1:27" x14ac:dyDescent="0.35">
      <c r="A54" s="24">
        <v>40</v>
      </c>
      <c r="B54" s="514" t="str">
        <f>IF('As-Filed Schedule 2J'!B54:D54=0,"",'As-Filed Schedule 2J'!B54:D54)</f>
        <v/>
      </c>
      <c r="C54" s="514"/>
      <c r="D54" s="514"/>
      <c r="F54" s="117">
        <f>'As-Filed Schedule 2J'!F54</f>
        <v>0</v>
      </c>
      <c r="G54" s="309">
        <f>SUMIFS(Adjustments!$G:$G,Adjustments!$H:$H,"2J",Adjustments!$I:$I,'Schedule 2J Adjustments'!$F$12,Adjustments!$J:$J,'Schedule 2J Adjustments'!$A54)</f>
        <v>0</v>
      </c>
      <c r="H54" s="305">
        <f t="shared" si="0"/>
        <v>0</v>
      </c>
      <c r="I54" s="68">
        <f>IFERROR(F54*'As-Filed Schedule 1'!$E$103,0)</f>
        <v>0</v>
      </c>
      <c r="J54" s="306">
        <f>IFERROR(H54*'Adjusted Schedule 1'!$E$104,0)</f>
        <v>0</v>
      </c>
      <c r="K54" s="68">
        <f t="shared" si="1"/>
        <v>0</v>
      </c>
      <c r="L54" s="306">
        <f t="shared" si="2"/>
        <v>0</v>
      </c>
      <c r="N54" s="117">
        <f>'As-Filed Schedule 2J'!J54</f>
        <v>0</v>
      </c>
      <c r="O54" s="309">
        <f>SUMIFS(Adjustments!$G:$G,Adjustments!$H:$H,"2J",Adjustments!$I:$I,'Schedule 2J Adjustments'!$N$12,Adjustments!$J:$J,'Schedule 2J Adjustments'!$A54)</f>
        <v>0</v>
      </c>
      <c r="P54" s="305">
        <f t="shared" si="3"/>
        <v>0</v>
      </c>
      <c r="Q54" s="68">
        <f>IFERROR(N54*'As-Filed Schedule 1'!$E$103,0)</f>
        <v>0</v>
      </c>
      <c r="R54" s="68">
        <f>IFERROR(P54*'Adjusted Schedule 1'!$E$104,0)</f>
        <v>0</v>
      </c>
      <c r="S54" s="68">
        <f t="shared" si="4"/>
        <v>0</v>
      </c>
      <c r="T54" s="306">
        <f t="shared" si="5"/>
        <v>0</v>
      </c>
      <c r="V54" s="119">
        <f>'As-Filed Schedule 2J'!N54</f>
        <v>0</v>
      </c>
      <c r="W54" s="309">
        <f>SUMIFS(Adjustments!$G:$G,Adjustments!$H:$H,"2J",Adjustments!$I:$I,'Schedule 2J Adjustments'!$V$12,Adjustments!$J:$J,'Schedule 2J Adjustments'!$A54)</f>
        <v>0</v>
      </c>
      <c r="X54" s="305">
        <f t="shared" si="6"/>
        <v>0</v>
      </c>
      <c r="Y54" s="119">
        <f>'As-Filed Schedule 2J'!O54</f>
        <v>0</v>
      </c>
      <c r="Z54" s="309">
        <f>SUMIFS(Adjustments!$G:$G,Adjustments!$H:$H,"2J",Adjustments!$I:$I,'Schedule 2J Adjustments'!$Y$12,Adjustments!$J:$J,'Schedule 2J Adjustments'!$A54)</f>
        <v>0</v>
      </c>
      <c r="AA54" s="305">
        <f t="shared" si="7"/>
        <v>0</v>
      </c>
    </row>
    <row r="55" spans="1:27" x14ac:dyDescent="0.35">
      <c r="A55" s="24">
        <v>41</v>
      </c>
      <c r="B55" s="514" t="str">
        <f>IF('As-Filed Schedule 2J'!B55:D55=0,"",'As-Filed Schedule 2J'!B55:D55)</f>
        <v/>
      </c>
      <c r="C55" s="514"/>
      <c r="D55" s="514"/>
      <c r="F55" s="117">
        <f>'As-Filed Schedule 2J'!F55</f>
        <v>0</v>
      </c>
      <c r="G55" s="309">
        <f>SUMIFS(Adjustments!$G:$G,Adjustments!$H:$H,"2J",Adjustments!$I:$I,'Schedule 2J Adjustments'!$F$12,Adjustments!$J:$J,'Schedule 2J Adjustments'!$A55)</f>
        <v>0</v>
      </c>
      <c r="H55" s="305">
        <f t="shared" si="0"/>
        <v>0</v>
      </c>
      <c r="I55" s="68">
        <f>IFERROR(F55*'As-Filed Schedule 1'!$E$103,0)</f>
        <v>0</v>
      </c>
      <c r="J55" s="306">
        <f>IFERROR(H55*'Adjusted Schedule 1'!$E$104,0)</f>
        <v>0</v>
      </c>
      <c r="K55" s="68">
        <f t="shared" si="1"/>
        <v>0</v>
      </c>
      <c r="L55" s="306">
        <f t="shared" si="2"/>
        <v>0</v>
      </c>
      <c r="N55" s="117">
        <f>'As-Filed Schedule 2J'!J55</f>
        <v>0</v>
      </c>
      <c r="O55" s="309">
        <f>SUMIFS(Adjustments!$G:$G,Adjustments!$H:$H,"2J",Adjustments!$I:$I,'Schedule 2J Adjustments'!$N$12,Adjustments!$J:$J,'Schedule 2J Adjustments'!$A55)</f>
        <v>0</v>
      </c>
      <c r="P55" s="305">
        <f t="shared" si="3"/>
        <v>0</v>
      </c>
      <c r="Q55" s="68">
        <f>IFERROR(N55*'As-Filed Schedule 1'!$E$103,0)</f>
        <v>0</v>
      </c>
      <c r="R55" s="68">
        <f>IFERROR(P55*'Adjusted Schedule 1'!$E$104,0)</f>
        <v>0</v>
      </c>
      <c r="S55" s="68">
        <f t="shared" si="4"/>
        <v>0</v>
      </c>
      <c r="T55" s="306">
        <f t="shared" si="5"/>
        <v>0</v>
      </c>
      <c r="V55" s="119">
        <f>'As-Filed Schedule 2J'!N55</f>
        <v>0</v>
      </c>
      <c r="W55" s="309">
        <f>SUMIFS(Adjustments!$G:$G,Adjustments!$H:$H,"2J",Adjustments!$I:$I,'Schedule 2J Adjustments'!$V$12,Adjustments!$J:$J,'Schedule 2J Adjustments'!$A55)</f>
        <v>0</v>
      </c>
      <c r="X55" s="305">
        <f t="shared" si="6"/>
        <v>0</v>
      </c>
      <c r="Y55" s="119">
        <f>'As-Filed Schedule 2J'!O55</f>
        <v>0</v>
      </c>
      <c r="Z55" s="309">
        <f>SUMIFS(Adjustments!$G:$G,Adjustments!$H:$H,"2J",Adjustments!$I:$I,'Schedule 2J Adjustments'!$Y$12,Adjustments!$J:$J,'Schedule 2J Adjustments'!$A55)</f>
        <v>0</v>
      </c>
      <c r="AA55" s="305">
        <f t="shared" si="7"/>
        <v>0</v>
      </c>
    </row>
    <row r="56" spans="1:27" x14ac:dyDescent="0.35">
      <c r="A56" s="24">
        <v>42</v>
      </c>
      <c r="B56" s="514" t="str">
        <f>IF('As-Filed Schedule 2J'!B56:D56=0,"",'As-Filed Schedule 2J'!B56:D56)</f>
        <v/>
      </c>
      <c r="C56" s="514"/>
      <c r="D56" s="514"/>
      <c r="F56" s="117">
        <f>'As-Filed Schedule 2J'!F56</f>
        <v>0</v>
      </c>
      <c r="G56" s="309">
        <f>SUMIFS(Adjustments!$G:$G,Adjustments!$H:$H,"2J",Adjustments!$I:$I,'Schedule 2J Adjustments'!$F$12,Adjustments!$J:$J,'Schedule 2J Adjustments'!$A56)</f>
        <v>0</v>
      </c>
      <c r="H56" s="305">
        <f t="shared" si="0"/>
        <v>0</v>
      </c>
      <c r="I56" s="68">
        <f>IFERROR(F56*'As-Filed Schedule 1'!$E$103,0)</f>
        <v>0</v>
      </c>
      <c r="J56" s="306">
        <f>IFERROR(H56*'Adjusted Schedule 1'!$E$104,0)</f>
        <v>0</v>
      </c>
      <c r="K56" s="68">
        <f t="shared" si="1"/>
        <v>0</v>
      </c>
      <c r="L56" s="306">
        <f t="shared" si="2"/>
        <v>0</v>
      </c>
      <c r="N56" s="117">
        <f>'As-Filed Schedule 2J'!J56</f>
        <v>0</v>
      </c>
      <c r="O56" s="309">
        <f>SUMIFS(Adjustments!$G:$G,Adjustments!$H:$H,"2J",Adjustments!$I:$I,'Schedule 2J Adjustments'!$N$12,Adjustments!$J:$J,'Schedule 2J Adjustments'!$A56)</f>
        <v>0</v>
      </c>
      <c r="P56" s="305">
        <f t="shared" si="3"/>
        <v>0</v>
      </c>
      <c r="Q56" s="68">
        <f>IFERROR(N56*'As-Filed Schedule 1'!$E$103,0)</f>
        <v>0</v>
      </c>
      <c r="R56" s="68">
        <f>IFERROR(P56*'Adjusted Schedule 1'!$E$104,0)</f>
        <v>0</v>
      </c>
      <c r="S56" s="68">
        <f t="shared" si="4"/>
        <v>0</v>
      </c>
      <c r="T56" s="306">
        <f t="shared" si="5"/>
        <v>0</v>
      </c>
      <c r="V56" s="119">
        <f>'As-Filed Schedule 2J'!N56</f>
        <v>0</v>
      </c>
      <c r="W56" s="309">
        <f>SUMIFS(Adjustments!$G:$G,Adjustments!$H:$H,"2J",Adjustments!$I:$I,'Schedule 2J Adjustments'!$V$12,Adjustments!$J:$J,'Schedule 2J Adjustments'!$A56)</f>
        <v>0</v>
      </c>
      <c r="X56" s="305">
        <f t="shared" si="6"/>
        <v>0</v>
      </c>
      <c r="Y56" s="119">
        <f>'As-Filed Schedule 2J'!O56</f>
        <v>0</v>
      </c>
      <c r="Z56" s="309">
        <f>SUMIFS(Adjustments!$G:$G,Adjustments!$H:$H,"2J",Adjustments!$I:$I,'Schedule 2J Adjustments'!$Y$12,Adjustments!$J:$J,'Schedule 2J Adjustments'!$A56)</f>
        <v>0</v>
      </c>
      <c r="AA56" s="305">
        <f t="shared" si="7"/>
        <v>0</v>
      </c>
    </row>
    <row r="57" spans="1:27" x14ac:dyDescent="0.35">
      <c r="A57" s="24">
        <v>43</v>
      </c>
      <c r="B57" s="514" t="str">
        <f>IF('As-Filed Schedule 2J'!B57:D57=0,"",'As-Filed Schedule 2J'!B57:D57)</f>
        <v/>
      </c>
      <c r="C57" s="514"/>
      <c r="D57" s="514"/>
      <c r="F57" s="117">
        <f>'As-Filed Schedule 2J'!F57</f>
        <v>0</v>
      </c>
      <c r="G57" s="309">
        <f>SUMIFS(Adjustments!$G:$G,Adjustments!$H:$H,"2J",Adjustments!$I:$I,'Schedule 2J Adjustments'!$F$12,Adjustments!$J:$J,'Schedule 2J Adjustments'!$A57)</f>
        <v>0</v>
      </c>
      <c r="H57" s="305">
        <f t="shared" si="0"/>
        <v>0</v>
      </c>
      <c r="I57" s="68">
        <f>IFERROR(F57*'As-Filed Schedule 1'!$E$103,0)</f>
        <v>0</v>
      </c>
      <c r="J57" s="306">
        <f>IFERROR(H57*'Adjusted Schedule 1'!$E$104,0)</f>
        <v>0</v>
      </c>
      <c r="K57" s="68">
        <f t="shared" si="1"/>
        <v>0</v>
      </c>
      <c r="L57" s="306">
        <f t="shared" si="2"/>
        <v>0</v>
      </c>
      <c r="N57" s="117">
        <f>'As-Filed Schedule 2J'!J57</f>
        <v>0</v>
      </c>
      <c r="O57" s="309">
        <f>SUMIFS(Adjustments!$G:$G,Adjustments!$H:$H,"2J",Adjustments!$I:$I,'Schedule 2J Adjustments'!$N$12,Adjustments!$J:$J,'Schedule 2J Adjustments'!$A57)</f>
        <v>0</v>
      </c>
      <c r="P57" s="305">
        <f t="shared" si="3"/>
        <v>0</v>
      </c>
      <c r="Q57" s="68">
        <f>IFERROR(N57*'As-Filed Schedule 1'!$E$103,0)</f>
        <v>0</v>
      </c>
      <c r="R57" s="68">
        <f>IFERROR(P57*'Adjusted Schedule 1'!$E$104,0)</f>
        <v>0</v>
      </c>
      <c r="S57" s="68">
        <f t="shared" si="4"/>
        <v>0</v>
      </c>
      <c r="T57" s="306">
        <f t="shared" si="5"/>
        <v>0</v>
      </c>
      <c r="V57" s="119">
        <f>'As-Filed Schedule 2J'!N57</f>
        <v>0</v>
      </c>
      <c r="W57" s="309">
        <f>SUMIFS(Adjustments!$G:$G,Adjustments!$H:$H,"2J",Adjustments!$I:$I,'Schedule 2J Adjustments'!$V$12,Adjustments!$J:$J,'Schedule 2J Adjustments'!$A57)</f>
        <v>0</v>
      </c>
      <c r="X57" s="305">
        <f t="shared" si="6"/>
        <v>0</v>
      </c>
      <c r="Y57" s="119">
        <f>'As-Filed Schedule 2J'!O57</f>
        <v>0</v>
      </c>
      <c r="Z57" s="309">
        <f>SUMIFS(Adjustments!$G:$G,Adjustments!$H:$H,"2J",Adjustments!$I:$I,'Schedule 2J Adjustments'!$Y$12,Adjustments!$J:$J,'Schedule 2J Adjustments'!$A57)</f>
        <v>0</v>
      </c>
      <c r="AA57" s="305">
        <f t="shared" si="7"/>
        <v>0</v>
      </c>
    </row>
    <row r="58" spans="1:27" x14ac:dyDescent="0.35">
      <c r="A58" s="24">
        <v>44</v>
      </c>
      <c r="B58" s="514" t="str">
        <f>IF('As-Filed Schedule 2J'!B58:D58=0,"",'As-Filed Schedule 2J'!B58:D58)</f>
        <v/>
      </c>
      <c r="C58" s="514"/>
      <c r="D58" s="514"/>
      <c r="F58" s="117">
        <f>'As-Filed Schedule 2J'!F58</f>
        <v>0</v>
      </c>
      <c r="G58" s="309">
        <f>SUMIFS(Adjustments!$G:$G,Adjustments!$H:$H,"2J",Adjustments!$I:$I,'Schedule 2J Adjustments'!$F$12,Adjustments!$J:$J,'Schedule 2J Adjustments'!$A58)</f>
        <v>0</v>
      </c>
      <c r="H58" s="305">
        <f t="shared" si="0"/>
        <v>0</v>
      </c>
      <c r="I58" s="68">
        <f>IFERROR(F58*'As-Filed Schedule 1'!$E$103,0)</f>
        <v>0</v>
      </c>
      <c r="J58" s="306">
        <f>IFERROR(H58*'Adjusted Schedule 1'!$E$104,0)</f>
        <v>0</v>
      </c>
      <c r="K58" s="68">
        <f t="shared" si="1"/>
        <v>0</v>
      </c>
      <c r="L58" s="306">
        <f t="shared" si="2"/>
        <v>0</v>
      </c>
      <c r="N58" s="117">
        <f>'As-Filed Schedule 2J'!J58</f>
        <v>0</v>
      </c>
      <c r="O58" s="309">
        <f>SUMIFS(Adjustments!$G:$G,Adjustments!$H:$H,"2J",Adjustments!$I:$I,'Schedule 2J Adjustments'!$N$12,Adjustments!$J:$J,'Schedule 2J Adjustments'!$A58)</f>
        <v>0</v>
      </c>
      <c r="P58" s="305">
        <f t="shared" si="3"/>
        <v>0</v>
      </c>
      <c r="Q58" s="68">
        <f>IFERROR(N58*'As-Filed Schedule 1'!$E$103,0)</f>
        <v>0</v>
      </c>
      <c r="R58" s="68">
        <f>IFERROR(P58*'Adjusted Schedule 1'!$E$104,0)</f>
        <v>0</v>
      </c>
      <c r="S58" s="68">
        <f t="shared" si="4"/>
        <v>0</v>
      </c>
      <c r="T58" s="306">
        <f t="shared" si="5"/>
        <v>0</v>
      </c>
      <c r="V58" s="119">
        <f>'As-Filed Schedule 2J'!N58</f>
        <v>0</v>
      </c>
      <c r="W58" s="309">
        <f>SUMIFS(Adjustments!$G:$G,Adjustments!$H:$H,"2J",Adjustments!$I:$I,'Schedule 2J Adjustments'!$V$12,Adjustments!$J:$J,'Schedule 2J Adjustments'!$A58)</f>
        <v>0</v>
      </c>
      <c r="X58" s="305">
        <f t="shared" si="6"/>
        <v>0</v>
      </c>
      <c r="Y58" s="119">
        <f>'As-Filed Schedule 2J'!O58</f>
        <v>0</v>
      </c>
      <c r="Z58" s="309">
        <f>SUMIFS(Adjustments!$G:$G,Adjustments!$H:$H,"2J",Adjustments!$I:$I,'Schedule 2J Adjustments'!$Y$12,Adjustments!$J:$J,'Schedule 2J Adjustments'!$A58)</f>
        <v>0</v>
      </c>
      <c r="AA58" s="305">
        <f t="shared" si="7"/>
        <v>0</v>
      </c>
    </row>
    <row r="59" spans="1:27" x14ac:dyDescent="0.35">
      <c r="A59" s="24">
        <v>45</v>
      </c>
      <c r="B59" s="514" t="str">
        <f>IF('As-Filed Schedule 2J'!B59:D59=0,"",'As-Filed Schedule 2J'!B59:D59)</f>
        <v/>
      </c>
      <c r="C59" s="514"/>
      <c r="D59" s="514"/>
      <c r="F59" s="117">
        <f>'As-Filed Schedule 2J'!F59</f>
        <v>0</v>
      </c>
      <c r="G59" s="309">
        <f>SUMIFS(Adjustments!$G:$G,Adjustments!$H:$H,"2J",Adjustments!$I:$I,'Schedule 2J Adjustments'!$F$12,Adjustments!$J:$J,'Schedule 2J Adjustments'!$A59)</f>
        <v>0</v>
      </c>
      <c r="H59" s="305">
        <f t="shared" si="0"/>
        <v>0</v>
      </c>
      <c r="I59" s="68">
        <f>IFERROR(F59*'As-Filed Schedule 1'!$E$103,0)</f>
        <v>0</v>
      </c>
      <c r="J59" s="306">
        <f>IFERROR(H59*'Adjusted Schedule 1'!$E$104,0)</f>
        <v>0</v>
      </c>
      <c r="K59" s="68">
        <f t="shared" si="1"/>
        <v>0</v>
      </c>
      <c r="L59" s="306">
        <f t="shared" si="2"/>
        <v>0</v>
      </c>
      <c r="N59" s="117">
        <f>'As-Filed Schedule 2J'!J59</f>
        <v>0</v>
      </c>
      <c r="O59" s="309">
        <f>SUMIFS(Adjustments!$G:$G,Adjustments!$H:$H,"2J",Adjustments!$I:$I,'Schedule 2J Adjustments'!$N$12,Adjustments!$J:$J,'Schedule 2J Adjustments'!$A59)</f>
        <v>0</v>
      </c>
      <c r="P59" s="305">
        <f t="shared" si="3"/>
        <v>0</v>
      </c>
      <c r="Q59" s="68">
        <f>IFERROR(N59*'As-Filed Schedule 1'!$E$103,0)</f>
        <v>0</v>
      </c>
      <c r="R59" s="68">
        <f>IFERROR(P59*'Adjusted Schedule 1'!$E$104,0)</f>
        <v>0</v>
      </c>
      <c r="S59" s="68">
        <f t="shared" si="4"/>
        <v>0</v>
      </c>
      <c r="T59" s="306">
        <f t="shared" si="5"/>
        <v>0</v>
      </c>
      <c r="V59" s="119">
        <f>'As-Filed Schedule 2J'!N59</f>
        <v>0</v>
      </c>
      <c r="W59" s="309">
        <f>SUMIFS(Adjustments!$G:$G,Adjustments!$H:$H,"2J",Adjustments!$I:$I,'Schedule 2J Adjustments'!$V$12,Adjustments!$J:$J,'Schedule 2J Adjustments'!$A59)</f>
        <v>0</v>
      </c>
      <c r="X59" s="305">
        <f t="shared" si="6"/>
        <v>0</v>
      </c>
      <c r="Y59" s="119">
        <f>'As-Filed Schedule 2J'!O59</f>
        <v>0</v>
      </c>
      <c r="Z59" s="309">
        <f>SUMIFS(Adjustments!$G:$G,Adjustments!$H:$H,"2J",Adjustments!$I:$I,'Schedule 2J Adjustments'!$Y$12,Adjustments!$J:$J,'Schedule 2J Adjustments'!$A59)</f>
        <v>0</v>
      </c>
      <c r="AA59" s="305">
        <f t="shared" si="7"/>
        <v>0</v>
      </c>
    </row>
    <row r="60" spans="1:27" x14ac:dyDescent="0.35">
      <c r="A60" s="24">
        <v>46</v>
      </c>
      <c r="B60" s="514" t="str">
        <f>IF('As-Filed Schedule 2J'!B60:D60=0,"",'As-Filed Schedule 2J'!B60:D60)</f>
        <v/>
      </c>
      <c r="C60" s="514"/>
      <c r="D60" s="514"/>
      <c r="F60" s="117">
        <f>'As-Filed Schedule 2J'!F60</f>
        <v>0</v>
      </c>
      <c r="G60" s="309">
        <f>SUMIFS(Adjustments!$G:$G,Adjustments!$H:$H,"2J",Adjustments!$I:$I,'Schedule 2J Adjustments'!$F$12,Adjustments!$J:$J,'Schedule 2J Adjustments'!$A60)</f>
        <v>0</v>
      </c>
      <c r="H60" s="305">
        <f t="shared" si="0"/>
        <v>0</v>
      </c>
      <c r="I60" s="68">
        <f>IFERROR(F60*'As-Filed Schedule 1'!$E$103,0)</f>
        <v>0</v>
      </c>
      <c r="J60" s="306">
        <f>IFERROR(H60*'Adjusted Schedule 1'!$E$104,0)</f>
        <v>0</v>
      </c>
      <c r="K60" s="68">
        <f t="shared" si="1"/>
        <v>0</v>
      </c>
      <c r="L60" s="306">
        <f t="shared" si="2"/>
        <v>0</v>
      </c>
      <c r="N60" s="117">
        <f>'As-Filed Schedule 2J'!J60</f>
        <v>0</v>
      </c>
      <c r="O60" s="309">
        <f>SUMIFS(Adjustments!$G:$G,Adjustments!$H:$H,"2J",Adjustments!$I:$I,'Schedule 2J Adjustments'!$N$12,Adjustments!$J:$J,'Schedule 2J Adjustments'!$A60)</f>
        <v>0</v>
      </c>
      <c r="P60" s="305">
        <f t="shared" si="3"/>
        <v>0</v>
      </c>
      <c r="Q60" s="68">
        <f>IFERROR(N60*'As-Filed Schedule 1'!$E$103,0)</f>
        <v>0</v>
      </c>
      <c r="R60" s="68">
        <f>IFERROR(P60*'Adjusted Schedule 1'!$E$104,0)</f>
        <v>0</v>
      </c>
      <c r="S60" s="68">
        <f t="shared" si="4"/>
        <v>0</v>
      </c>
      <c r="T60" s="306">
        <f t="shared" si="5"/>
        <v>0</v>
      </c>
      <c r="V60" s="119">
        <f>'As-Filed Schedule 2J'!N60</f>
        <v>0</v>
      </c>
      <c r="W60" s="309">
        <f>SUMIFS(Adjustments!$G:$G,Adjustments!$H:$H,"2J",Adjustments!$I:$I,'Schedule 2J Adjustments'!$V$12,Adjustments!$J:$J,'Schedule 2J Adjustments'!$A60)</f>
        <v>0</v>
      </c>
      <c r="X60" s="305">
        <f t="shared" si="6"/>
        <v>0</v>
      </c>
      <c r="Y60" s="119">
        <f>'As-Filed Schedule 2J'!O60</f>
        <v>0</v>
      </c>
      <c r="Z60" s="309">
        <f>SUMIFS(Adjustments!$G:$G,Adjustments!$H:$H,"2J",Adjustments!$I:$I,'Schedule 2J Adjustments'!$Y$12,Adjustments!$J:$J,'Schedule 2J Adjustments'!$A60)</f>
        <v>0</v>
      </c>
      <c r="AA60" s="305">
        <f t="shared" si="7"/>
        <v>0</v>
      </c>
    </row>
    <row r="61" spans="1:27" x14ac:dyDescent="0.35">
      <c r="A61" s="24">
        <v>47</v>
      </c>
      <c r="B61" s="514" t="str">
        <f>IF('As-Filed Schedule 2J'!B61:D61=0,"",'As-Filed Schedule 2J'!B61:D61)</f>
        <v/>
      </c>
      <c r="C61" s="514"/>
      <c r="D61" s="514"/>
      <c r="F61" s="117">
        <f>'As-Filed Schedule 2J'!F61</f>
        <v>0</v>
      </c>
      <c r="G61" s="309">
        <f>SUMIFS(Adjustments!$G:$G,Adjustments!$H:$H,"2J",Adjustments!$I:$I,'Schedule 2J Adjustments'!$F$12,Adjustments!$J:$J,'Schedule 2J Adjustments'!$A61)</f>
        <v>0</v>
      </c>
      <c r="H61" s="305">
        <f t="shared" si="0"/>
        <v>0</v>
      </c>
      <c r="I61" s="68">
        <f>IFERROR(F61*'As-Filed Schedule 1'!$E$103,0)</f>
        <v>0</v>
      </c>
      <c r="J61" s="306">
        <f>IFERROR(H61*'Adjusted Schedule 1'!$E$104,0)</f>
        <v>0</v>
      </c>
      <c r="K61" s="68">
        <f t="shared" si="1"/>
        <v>0</v>
      </c>
      <c r="L61" s="306">
        <f t="shared" si="2"/>
        <v>0</v>
      </c>
      <c r="N61" s="117">
        <f>'As-Filed Schedule 2J'!J61</f>
        <v>0</v>
      </c>
      <c r="O61" s="309">
        <f>SUMIFS(Adjustments!$G:$G,Adjustments!$H:$H,"2J",Adjustments!$I:$I,'Schedule 2J Adjustments'!$N$12,Adjustments!$J:$J,'Schedule 2J Adjustments'!$A61)</f>
        <v>0</v>
      </c>
      <c r="P61" s="305">
        <f t="shared" si="3"/>
        <v>0</v>
      </c>
      <c r="Q61" s="68">
        <f>IFERROR(N61*'As-Filed Schedule 1'!$E$103,0)</f>
        <v>0</v>
      </c>
      <c r="R61" s="68">
        <f>IFERROR(P61*'Adjusted Schedule 1'!$E$104,0)</f>
        <v>0</v>
      </c>
      <c r="S61" s="68">
        <f t="shared" si="4"/>
        <v>0</v>
      </c>
      <c r="T61" s="306">
        <f t="shared" si="5"/>
        <v>0</v>
      </c>
      <c r="V61" s="119">
        <f>'As-Filed Schedule 2J'!N61</f>
        <v>0</v>
      </c>
      <c r="W61" s="309">
        <f>SUMIFS(Adjustments!$G:$G,Adjustments!$H:$H,"2J",Adjustments!$I:$I,'Schedule 2J Adjustments'!$V$12,Adjustments!$J:$J,'Schedule 2J Adjustments'!$A61)</f>
        <v>0</v>
      </c>
      <c r="X61" s="305">
        <f t="shared" si="6"/>
        <v>0</v>
      </c>
      <c r="Y61" s="119">
        <f>'As-Filed Schedule 2J'!O61</f>
        <v>0</v>
      </c>
      <c r="Z61" s="309">
        <f>SUMIFS(Adjustments!$G:$G,Adjustments!$H:$H,"2J",Adjustments!$I:$I,'Schedule 2J Adjustments'!$Y$12,Adjustments!$J:$J,'Schedule 2J Adjustments'!$A61)</f>
        <v>0</v>
      </c>
      <c r="AA61" s="305">
        <f t="shared" si="7"/>
        <v>0</v>
      </c>
    </row>
    <row r="62" spans="1:27" x14ac:dyDescent="0.35">
      <c r="A62" s="24">
        <v>48</v>
      </c>
      <c r="B62" s="514" t="str">
        <f>IF('As-Filed Schedule 2J'!B62:D62=0,"",'As-Filed Schedule 2J'!B62:D62)</f>
        <v/>
      </c>
      <c r="C62" s="514"/>
      <c r="D62" s="514"/>
      <c r="F62" s="117">
        <f>'As-Filed Schedule 2J'!F62</f>
        <v>0</v>
      </c>
      <c r="G62" s="309">
        <f>SUMIFS(Adjustments!$G:$G,Adjustments!$H:$H,"2J",Adjustments!$I:$I,'Schedule 2J Adjustments'!$F$12,Adjustments!$J:$J,'Schedule 2J Adjustments'!$A62)</f>
        <v>0</v>
      </c>
      <c r="H62" s="305">
        <f t="shared" si="0"/>
        <v>0</v>
      </c>
      <c r="I62" s="68">
        <f>IFERROR(F62*'As-Filed Schedule 1'!$E$103,0)</f>
        <v>0</v>
      </c>
      <c r="J62" s="306">
        <f>IFERROR(H62*'Adjusted Schedule 1'!$E$104,0)</f>
        <v>0</v>
      </c>
      <c r="K62" s="68">
        <f t="shared" si="1"/>
        <v>0</v>
      </c>
      <c r="L62" s="306">
        <f t="shared" si="2"/>
        <v>0</v>
      </c>
      <c r="N62" s="117">
        <f>'As-Filed Schedule 2J'!J62</f>
        <v>0</v>
      </c>
      <c r="O62" s="309">
        <f>SUMIFS(Adjustments!$G:$G,Adjustments!$H:$H,"2J",Adjustments!$I:$I,'Schedule 2J Adjustments'!$N$12,Adjustments!$J:$J,'Schedule 2J Adjustments'!$A62)</f>
        <v>0</v>
      </c>
      <c r="P62" s="305">
        <f t="shared" si="3"/>
        <v>0</v>
      </c>
      <c r="Q62" s="68">
        <f>IFERROR(N62*'As-Filed Schedule 1'!$E$103,0)</f>
        <v>0</v>
      </c>
      <c r="R62" s="68">
        <f>IFERROR(P62*'Adjusted Schedule 1'!$E$104,0)</f>
        <v>0</v>
      </c>
      <c r="S62" s="68">
        <f t="shared" si="4"/>
        <v>0</v>
      </c>
      <c r="T62" s="306">
        <f t="shared" si="5"/>
        <v>0</v>
      </c>
      <c r="V62" s="119">
        <f>'As-Filed Schedule 2J'!N62</f>
        <v>0</v>
      </c>
      <c r="W62" s="309">
        <f>SUMIFS(Adjustments!$G:$G,Adjustments!$H:$H,"2J",Adjustments!$I:$I,'Schedule 2J Adjustments'!$V$12,Adjustments!$J:$J,'Schedule 2J Adjustments'!$A62)</f>
        <v>0</v>
      </c>
      <c r="X62" s="305">
        <f t="shared" si="6"/>
        <v>0</v>
      </c>
      <c r="Y62" s="119">
        <f>'As-Filed Schedule 2J'!O62</f>
        <v>0</v>
      </c>
      <c r="Z62" s="309">
        <f>SUMIFS(Adjustments!$G:$G,Adjustments!$H:$H,"2J",Adjustments!$I:$I,'Schedule 2J Adjustments'!$Y$12,Adjustments!$J:$J,'Schedule 2J Adjustments'!$A62)</f>
        <v>0</v>
      </c>
      <c r="AA62" s="305">
        <f t="shared" si="7"/>
        <v>0</v>
      </c>
    </row>
    <row r="63" spans="1:27" x14ac:dyDescent="0.35">
      <c r="A63" s="24">
        <v>49</v>
      </c>
      <c r="B63" s="514" t="str">
        <f>IF('As-Filed Schedule 2J'!B63:D63=0,"",'As-Filed Schedule 2J'!B63:D63)</f>
        <v/>
      </c>
      <c r="C63" s="514"/>
      <c r="D63" s="514"/>
      <c r="F63" s="117">
        <f>'As-Filed Schedule 2J'!F63</f>
        <v>0</v>
      </c>
      <c r="G63" s="309">
        <f>SUMIFS(Adjustments!$G:$G,Adjustments!$H:$H,"2J",Adjustments!$I:$I,'Schedule 2J Adjustments'!$F$12,Adjustments!$J:$J,'Schedule 2J Adjustments'!$A63)</f>
        <v>0</v>
      </c>
      <c r="H63" s="305">
        <f t="shared" si="0"/>
        <v>0</v>
      </c>
      <c r="I63" s="68">
        <f>IFERROR(F63*'As-Filed Schedule 1'!$E$103,0)</f>
        <v>0</v>
      </c>
      <c r="J63" s="306">
        <f>IFERROR(H63*'Adjusted Schedule 1'!$E$104,0)</f>
        <v>0</v>
      </c>
      <c r="K63" s="68">
        <f t="shared" si="1"/>
        <v>0</v>
      </c>
      <c r="L63" s="306">
        <f t="shared" si="2"/>
        <v>0</v>
      </c>
      <c r="N63" s="117">
        <f>'As-Filed Schedule 2J'!J63</f>
        <v>0</v>
      </c>
      <c r="O63" s="309">
        <f>SUMIFS(Adjustments!$G:$G,Adjustments!$H:$H,"2J",Adjustments!$I:$I,'Schedule 2J Adjustments'!$N$12,Adjustments!$J:$J,'Schedule 2J Adjustments'!$A63)</f>
        <v>0</v>
      </c>
      <c r="P63" s="305">
        <f t="shared" si="3"/>
        <v>0</v>
      </c>
      <c r="Q63" s="68">
        <f>IFERROR(N63*'As-Filed Schedule 1'!$E$103,0)</f>
        <v>0</v>
      </c>
      <c r="R63" s="68">
        <f>IFERROR(P63*'Adjusted Schedule 1'!$E$104,0)</f>
        <v>0</v>
      </c>
      <c r="S63" s="68">
        <f t="shared" si="4"/>
        <v>0</v>
      </c>
      <c r="T63" s="306">
        <f t="shared" si="5"/>
        <v>0</v>
      </c>
      <c r="V63" s="119">
        <f>'As-Filed Schedule 2J'!N63</f>
        <v>0</v>
      </c>
      <c r="W63" s="309">
        <f>SUMIFS(Adjustments!$G:$G,Adjustments!$H:$H,"2J",Adjustments!$I:$I,'Schedule 2J Adjustments'!$V$12,Adjustments!$J:$J,'Schedule 2J Adjustments'!$A63)</f>
        <v>0</v>
      </c>
      <c r="X63" s="305">
        <f t="shared" si="6"/>
        <v>0</v>
      </c>
      <c r="Y63" s="119">
        <f>'As-Filed Schedule 2J'!O63</f>
        <v>0</v>
      </c>
      <c r="Z63" s="309">
        <f>SUMIFS(Adjustments!$G:$G,Adjustments!$H:$H,"2J",Adjustments!$I:$I,'Schedule 2J Adjustments'!$Y$12,Adjustments!$J:$J,'Schedule 2J Adjustments'!$A63)</f>
        <v>0</v>
      </c>
      <c r="AA63" s="305">
        <f t="shared" si="7"/>
        <v>0</v>
      </c>
    </row>
    <row r="64" spans="1:27" x14ac:dyDescent="0.35">
      <c r="A64" s="24">
        <v>50</v>
      </c>
      <c r="B64" s="514" t="str">
        <f>IF('As-Filed Schedule 2J'!B64:D64=0,"",'As-Filed Schedule 2J'!B64:D64)</f>
        <v/>
      </c>
      <c r="C64" s="514"/>
      <c r="D64" s="514"/>
      <c r="F64" s="117">
        <f>'As-Filed Schedule 2J'!F64</f>
        <v>0</v>
      </c>
      <c r="G64" s="309">
        <f>SUMIFS(Adjustments!$G:$G,Adjustments!$H:$H,"2J",Adjustments!$I:$I,'Schedule 2J Adjustments'!$F$12,Adjustments!$J:$J,'Schedule 2J Adjustments'!$A64)</f>
        <v>0</v>
      </c>
      <c r="H64" s="305">
        <f t="shared" si="0"/>
        <v>0</v>
      </c>
      <c r="I64" s="68">
        <f>IFERROR(F64*'As-Filed Schedule 1'!$E$103,0)</f>
        <v>0</v>
      </c>
      <c r="J64" s="306">
        <f>IFERROR(H64*'Adjusted Schedule 1'!$E$104,0)</f>
        <v>0</v>
      </c>
      <c r="K64" s="68">
        <f t="shared" si="1"/>
        <v>0</v>
      </c>
      <c r="L64" s="306">
        <f t="shared" si="2"/>
        <v>0</v>
      </c>
      <c r="N64" s="117">
        <f>'As-Filed Schedule 2J'!J64</f>
        <v>0</v>
      </c>
      <c r="O64" s="309">
        <f>SUMIFS(Adjustments!$G:$G,Adjustments!$H:$H,"2J",Adjustments!$I:$I,'Schedule 2J Adjustments'!$N$12,Adjustments!$J:$J,'Schedule 2J Adjustments'!$A64)</f>
        <v>0</v>
      </c>
      <c r="P64" s="305">
        <f t="shared" si="3"/>
        <v>0</v>
      </c>
      <c r="Q64" s="68">
        <f>IFERROR(N64*'As-Filed Schedule 1'!$E$103,0)</f>
        <v>0</v>
      </c>
      <c r="R64" s="68">
        <f>IFERROR(P64*'Adjusted Schedule 1'!$E$104,0)</f>
        <v>0</v>
      </c>
      <c r="S64" s="68">
        <f t="shared" si="4"/>
        <v>0</v>
      </c>
      <c r="T64" s="306">
        <f t="shared" si="5"/>
        <v>0</v>
      </c>
      <c r="V64" s="119">
        <f>'As-Filed Schedule 2J'!N64</f>
        <v>0</v>
      </c>
      <c r="W64" s="309">
        <f>SUMIFS(Adjustments!$G:$G,Adjustments!$H:$H,"2J",Adjustments!$I:$I,'Schedule 2J Adjustments'!$V$12,Adjustments!$J:$J,'Schedule 2J Adjustments'!$A64)</f>
        <v>0</v>
      </c>
      <c r="X64" s="305">
        <f t="shared" si="6"/>
        <v>0</v>
      </c>
      <c r="Y64" s="119">
        <f>'As-Filed Schedule 2J'!O64</f>
        <v>0</v>
      </c>
      <c r="Z64" s="309">
        <f>SUMIFS(Adjustments!$G:$G,Adjustments!$H:$H,"2J",Adjustments!$I:$I,'Schedule 2J Adjustments'!$Y$12,Adjustments!$J:$J,'Schedule 2J Adjustments'!$A64)</f>
        <v>0</v>
      </c>
      <c r="AA64" s="305">
        <f t="shared" si="7"/>
        <v>0</v>
      </c>
    </row>
    <row r="65" spans="1:27" x14ac:dyDescent="0.35">
      <c r="A65" s="24">
        <v>51</v>
      </c>
      <c r="B65" s="514" t="str">
        <f>IF('As-Filed Schedule 2J'!B65:D65=0,"",'As-Filed Schedule 2J'!B65:D65)</f>
        <v/>
      </c>
      <c r="C65" s="514"/>
      <c r="D65" s="514"/>
      <c r="F65" s="117">
        <f>'As-Filed Schedule 2J'!F65</f>
        <v>0</v>
      </c>
      <c r="G65" s="309">
        <f>SUMIFS(Adjustments!$G:$G,Adjustments!$H:$H,"2J",Adjustments!$I:$I,'Schedule 2J Adjustments'!$F$12,Adjustments!$J:$J,'Schedule 2J Adjustments'!$A65)</f>
        <v>0</v>
      </c>
      <c r="H65" s="305">
        <f t="shared" si="0"/>
        <v>0</v>
      </c>
      <c r="I65" s="68">
        <f>IFERROR(F65*'As-Filed Schedule 1'!$E$103,0)</f>
        <v>0</v>
      </c>
      <c r="J65" s="306">
        <f>IFERROR(H65*'Adjusted Schedule 1'!$E$104,0)</f>
        <v>0</v>
      </c>
      <c r="K65" s="68">
        <f t="shared" si="1"/>
        <v>0</v>
      </c>
      <c r="L65" s="306">
        <f t="shared" si="2"/>
        <v>0</v>
      </c>
      <c r="N65" s="117">
        <f>'As-Filed Schedule 2J'!J65</f>
        <v>0</v>
      </c>
      <c r="O65" s="309">
        <f>SUMIFS(Adjustments!$G:$G,Adjustments!$H:$H,"2J",Adjustments!$I:$I,'Schedule 2J Adjustments'!$N$12,Adjustments!$J:$J,'Schedule 2J Adjustments'!$A65)</f>
        <v>0</v>
      </c>
      <c r="P65" s="305">
        <f t="shared" si="3"/>
        <v>0</v>
      </c>
      <c r="Q65" s="68">
        <f>IFERROR(N65*'As-Filed Schedule 1'!$E$103,0)</f>
        <v>0</v>
      </c>
      <c r="R65" s="68">
        <f>IFERROR(P65*'Adjusted Schedule 1'!$E$104,0)</f>
        <v>0</v>
      </c>
      <c r="S65" s="68">
        <f t="shared" si="4"/>
        <v>0</v>
      </c>
      <c r="T65" s="306">
        <f t="shared" si="5"/>
        <v>0</v>
      </c>
      <c r="V65" s="119">
        <f>'As-Filed Schedule 2J'!N65</f>
        <v>0</v>
      </c>
      <c r="W65" s="309">
        <f>SUMIFS(Adjustments!$G:$G,Adjustments!$H:$H,"2J",Adjustments!$I:$I,'Schedule 2J Adjustments'!$V$12,Adjustments!$J:$J,'Schedule 2J Adjustments'!$A65)</f>
        <v>0</v>
      </c>
      <c r="X65" s="305">
        <f t="shared" si="6"/>
        <v>0</v>
      </c>
      <c r="Y65" s="119">
        <f>'As-Filed Schedule 2J'!O65</f>
        <v>0</v>
      </c>
      <c r="Z65" s="309">
        <f>SUMIFS(Adjustments!$G:$G,Adjustments!$H:$H,"2J",Adjustments!$I:$I,'Schedule 2J Adjustments'!$Y$12,Adjustments!$J:$J,'Schedule 2J Adjustments'!$A65)</f>
        <v>0</v>
      </c>
      <c r="AA65" s="305">
        <f t="shared" si="7"/>
        <v>0</v>
      </c>
    </row>
    <row r="66" spans="1:27" x14ac:dyDescent="0.35">
      <c r="A66" s="24">
        <v>52</v>
      </c>
      <c r="B66" s="514" t="str">
        <f>IF('As-Filed Schedule 2J'!B66:D66=0,"",'As-Filed Schedule 2J'!B66:D66)</f>
        <v/>
      </c>
      <c r="C66" s="514"/>
      <c r="D66" s="514"/>
      <c r="F66" s="117">
        <f>'As-Filed Schedule 2J'!F66</f>
        <v>0</v>
      </c>
      <c r="G66" s="309">
        <f>SUMIFS(Adjustments!$G:$G,Adjustments!$H:$H,"2J",Adjustments!$I:$I,'Schedule 2J Adjustments'!$F$12,Adjustments!$J:$J,'Schedule 2J Adjustments'!$A66)</f>
        <v>0</v>
      </c>
      <c r="H66" s="305">
        <f t="shared" si="0"/>
        <v>0</v>
      </c>
      <c r="I66" s="68">
        <f>IFERROR(F66*'As-Filed Schedule 1'!$E$103,0)</f>
        <v>0</v>
      </c>
      <c r="J66" s="306">
        <f>IFERROR(H66*'Adjusted Schedule 1'!$E$104,0)</f>
        <v>0</v>
      </c>
      <c r="K66" s="68">
        <f t="shared" si="1"/>
        <v>0</v>
      </c>
      <c r="L66" s="306">
        <f t="shared" si="2"/>
        <v>0</v>
      </c>
      <c r="N66" s="117">
        <f>'As-Filed Schedule 2J'!J66</f>
        <v>0</v>
      </c>
      <c r="O66" s="309">
        <f>SUMIFS(Adjustments!$G:$G,Adjustments!$H:$H,"2J",Adjustments!$I:$I,'Schedule 2J Adjustments'!$N$12,Adjustments!$J:$J,'Schedule 2J Adjustments'!$A66)</f>
        <v>0</v>
      </c>
      <c r="P66" s="305">
        <f t="shared" si="3"/>
        <v>0</v>
      </c>
      <c r="Q66" s="68">
        <f>IFERROR(N66*'As-Filed Schedule 1'!$E$103,0)</f>
        <v>0</v>
      </c>
      <c r="R66" s="68">
        <f>IFERROR(P66*'Adjusted Schedule 1'!$E$104,0)</f>
        <v>0</v>
      </c>
      <c r="S66" s="68">
        <f t="shared" si="4"/>
        <v>0</v>
      </c>
      <c r="T66" s="306">
        <f t="shared" si="5"/>
        <v>0</v>
      </c>
      <c r="V66" s="119">
        <f>'As-Filed Schedule 2J'!N66</f>
        <v>0</v>
      </c>
      <c r="W66" s="309">
        <f>SUMIFS(Adjustments!$G:$G,Adjustments!$H:$H,"2J",Adjustments!$I:$I,'Schedule 2J Adjustments'!$V$12,Adjustments!$J:$J,'Schedule 2J Adjustments'!$A66)</f>
        <v>0</v>
      </c>
      <c r="X66" s="305">
        <f t="shared" si="6"/>
        <v>0</v>
      </c>
      <c r="Y66" s="119">
        <f>'As-Filed Schedule 2J'!O66</f>
        <v>0</v>
      </c>
      <c r="Z66" s="309">
        <f>SUMIFS(Adjustments!$G:$G,Adjustments!$H:$H,"2J",Adjustments!$I:$I,'Schedule 2J Adjustments'!$Y$12,Adjustments!$J:$J,'Schedule 2J Adjustments'!$A66)</f>
        <v>0</v>
      </c>
      <c r="AA66" s="305">
        <f t="shared" si="7"/>
        <v>0</v>
      </c>
    </row>
    <row r="67" spans="1:27" x14ac:dyDescent="0.35">
      <c r="A67" s="24">
        <v>53</v>
      </c>
      <c r="B67" s="514" t="str">
        <f>IF('As-Filed Schedule 2J'!B67:D67=0,"",'As-Filed Schedule 2J'!B67:D67)</f>
        <v/>
      </c>
      <c r="C67" s="514"/>
      <c r="D67" s="514"/>
      <c r="F67" s="117">
        <f>'As-Filed Schedule 2J'!F67</f>
        <v>0</v>
      </c>
      <c r="G67" s="309">
        <f>SUMIFS(Adjustments!$G:$G,Adjustments!$H:$H,"2J",Adjustments!$I:$I,'Schedule 2J Adjustments'!$F$12,Adjustments!$J:$J,'Schedule 2J Adjustments'!$A67)</f>
        <v>0</v>
      </c>
      <c r="H67" s="305">
        <f t="shared" si="0"/>
        <v>0</v>
      </c>
      <c r="I67" s="68">
        <f>IFERROR(F67*'As-Filed Schedule 1'!$E$103,0)</f>
        <v>0</v>
      </c>
      <c r="J67" s="306">
        <f>IFERROR(H67*'Adjusted Schedule 1'!$E$104,0)</f>
        <v>0</v>
      </c>
      <c r="K67" s="68">
        <f t="shared" si="1"/>
        <v>0</v>
      </c>
      <c r="L67" s="306">
        <f t="shared" si="2"/>
        <v>0</v>
      </c>
      <c r="N67" s="117">
        <f>'As-Filed Schedule 2J'!J67</f>
        <v>0</v>
      </c>
      <c r="O67" s="309">
        <f>SUMIFS(Adjustments!$G:$G,Adjustments!$H:$H,"2J",Adjustments!$I:$I,'Schedule 2J Adjustments'!$N$12,Adjustments!$J:$J,'Schedule 2J Adjustments'!$A67)</f>
        <v>0</v>
      </c>
      <c r="P67" s="305">
        <f t="shared" si="3"/>
        <v>0</v>
      </c>
      <c r="Q67" s="68">
        <f>IFERROR(N67*'As-Filed Schedule 1'!$E$103,0)</f>
        <v>0</v>
      </c>
      <c r="R67" s="68">
        <f>IFERROR(P67*'Adjusted Schedule 1'!$E$104,0)</f>
        <v>0</v>
      </c>
      <c r="S67" s="68">
        <f t="shared" si="4"/>
        <v>0</v>
      </c>
      <c r="T67" s="306">
        <f t="shared" si="5"/>
        <v>0</v>
      </c>
      <c r="V67" s="119">
        <f>'As-Filed Schedule 2J'!N67</f>
        <v>0</v>
      </c>
      <c r="W67" s="309">
        <f>SUMIFS(Adjustments!$G:$G,Adjustments!$H:$H,"2J",Adjustments!$I:$I,'Schedule 2J Adjustments'!$V$12,Adjustments!$J:$J,'Schedule 2J Adjustments'!$A67)</f>
        <v>0</v>
      </c>
      <c r="X67" s="305">
        <f t="shared" si="6"/>
        <v>0</v>
      </c>
      <c r="Y67" s="119">
        <f>'As-Filed Schedule 2J'!O67</f>
        <v>0</v>
      </c>
      <c r="Z67" s="309">
        <f>SUMIFS(Adjustments!$G:$G,Adjustments!$H:$H,"2J",Adjustments!$I:$I,'Schedule 2J Adjustments'!$Y$12,Adjustments!$J:$J,'Schedule 2J Adjustments'!$A67)</f>
        <v>0</v>
      </c>
      <c r="AA67" s="305">
        <f t="shared" si="7"/>
        <v>0</v>
      </c>
    </row>
    <row r="68" spans="1:27" x14ac:dyDescent="0.35">
      <c r="A68" s="24">
        <v>54</v>
      </c>
      <c r="B68" s="514" t="str">
        <f>IF('As-Filed Schedule 2J'!B68:D68=0,"",'As-Filed Schedule 2J'!B68:D68)</f>
        <v/>
      </c>
      <c r="C68" s="514"/>
      <c r="D68" s="514"/>
      <c r="F68" s="117">
        <f>'As-Filed Schedule 2J'!F68</f>
        <v>0</v>
      </c>
      <c r="G68" s="309">
        <f>SUMIFS(Adjustments!$G:$G,Adjustments!$H:$H,"2J",Adjustments!$I:$I,'Schedule 2J Adjustments'!$F$12,Adjustments!$J:$J,'Schedule 2J Adjustments'!$A68)</f>
        <v>0</v>
      </c>
      <c r="H68" s="305">
        <f t="shared" si="0"/>
        <v>0</v>
      </c>
      <c r="I68" s="68">
        <f>IFERROR(F68*'As-Filed Schedule 1'!$E$103,0)</f>
        <v>0</v>
      </c>
      <c r="J68" s="306">
        <f>IFERROR(H68*'Adjusted Schedule 1'!$E$104,0)</f>
        <v>0</v>
      </c>
      <c r="K68" s="68">
        <f t="shared" si="1"/>
        <v>0</v>
      </c>
      <c r="L68" s="306">
        <f t="shared" si="2"/>
        <v>0</v>
      </c>
      <c r="N68" s="117">
        <f>'As-Filed Schedule 2J'!J68</f>
        <v>0</v>
      </c>
      <c r="O68" s="309">
        <f>SUMIFS(Adjustments!$G:$G,Adjustments!$H:$H,"2J",Adjustments!$I:$I,'Schedule 2J Adjustments'!$N$12,Adjustments!$J:$J,'Schedule 2J Adjustments'!$A68)</f>
        <v>0</v>
      </c>
      <c r="P68" s="305">
        <f t="shared" si="3"/>
        <v>0</v>
      </c>
      <c r="Q68" s="68">
        <f>IFERROR(N68*'As-Filed Schedule 1'!$E$103,0)</f>
        <v>0</v>
      </c>
      <c r="R68" s="68">
        <f>IFERROR(P68*'Adjusted Schedule 1'!$E$104,0)</f>
        <v>0</v>
      </c>
      <c r="S68" s="68">
        <f t="shared" si="4"/>
        <v>0</v>
      </c>
      <c r="T68" s="306">
        <f t="shared" si="5"/>
        <v>0</v>
      </c>
      <c r="V68" s="119">
        <f>'As-Filed Schedule 2J'!N68</f>
        <v>0</v>
      </c>
      <c r="W68" s="309">
        <f>SUMIFS(Adjustments!$G:$G,Adjustments!$H:$H,"2J",Adjustments!$I:$I,'Schedule 2J Adjustments'!$V$12,Adjustments!$J:$J,'Schedule 2J Adjustments'!$A68)</f>
        <v>0</v>
      </c>
      <c r="X68" s="305">
        <f t="shared" si="6"/>
        <v>0</v>
      </c>
      <c r="Y68" s="119">
        <f>'As-Filed Schedule 2J'!O68</f>
        <v>0</v>
      </c>
      <c r="Z68" s="309">
        <f>SUMIFS(Adjustments!$G:$G,Adjustments!$H:$H,"2J",Adjustments!$I:$I,'Schedule 2J Adjustments'!$Y$12,Adjustments!$J:$J,'Schedule 2J Adjustments'!$A68)</f>
        <v>0</v>
      </c>
      <c r="AA68" s="305">
        <f t="shared" si="7"/>
        <v>0</v>
      </c>
    </row>
    <row r="69" spans="1:27" x14ac:dyDescent="0.35">
      <c r="A69" s="24">
        <v>55</v>
      </c>
      <c r="B69" s="514" t="str">
        <f>IF('As-Filed Schedule 2J'!B69:D69=0,"",'As-Filed Schedule 2J'!B69:D69)</f>
        <v/>
      </c>
      <c r="C69" s="514"/>
      <c r="D69" s="514"/>
      <c r="F69" s="117">
        <f>'As-Filed Schedule 2J'!F69</f>
        <v>0</v>
      </c>
      <c r="G69" s="309">
        <f>SUMIFS(Adjustments!$G:$G,Adjustments!$H:$H,"2J",Adjustments!$I:$I,'Schedule 2J Adjustments'!$F$12,Adjustments!$J:$J,'Schedule 2J Adjustments'!$A69)</f>
        <v>0</v>
      </c>
      <c r="H69" s="305">
        <f t="shared" si="0"/>
        <v>0</v>
      </c>
      <c r="I69" s="68">
        <f>IFERROR(F69*'As-Filed Schedule 1'!$E$103,0)</f>
        <v>0</v>
      </c>
      <c r="J69" s="306">
        <f>IFERROR(H69*'Adjusted Schedule 1'!$E$104,0)</f>
        <v>0</v>
      </c>
      <c r="K69" s="68">
        <f t="shared" si="1"/>
        <v>0</v>
      </c>
      <c r="L69" s="306">
        <f t="shared" si="2"/>
        <v>0</v>
      </c>
      <c r="N69" s="117">
        <f>'As-Filed Schedule 2J'!J69</f>
        <v>0</v>
      </c>
      <c r="O69" s="309">
        <f>SUMIFS(Adjustments!$G:$G,Adjustments!$H:$H,"2J",Adjustments!$I:$I,'Schedule 2J Adjustments'!$N$12,Adjustments!$J:$J,'Schedule 2J Adjustments'!$A69)</f>
        <v>0</v>
      </c>
      <c r="P69" s="305">
        <f t="shared" si="3"/>
        <v>0</v>
      </c>
      <c r="Q69" s="68">
        <f>IFERROR(N69*'As-Filed Schedule 1'!$E$103,0)</f>
        <v>0</v>
      </c>
      <c r="R69" s="68">
        <f>IFERROR(P69*'Adjusted Schedule 1'!$E$104,0)</f>
        <v>0</v>
      </c>
      <c r="S69" s="68">
        <f t="shared" si="4"/>
        <v>0</v>
      </c>
      <c r="T69" s="306">
        <f t="shared" si="5"/>
        <v>0</v>
      </c>
      <c r="V69" s="119">
        <f>'As-Filed Schedule 2J'!N69</f>
        <v>0</v>
      </c>
      <c r="W69" s="309">
        <f>SUMIFS(Adjustments!$G:$G,Adjustments!$H:$H,"2J",Adjustments!$I:$I,'Schedule 2J Adjustments'!$V$12,Adjustments!$J:$J,'Schedule 2J Adjustments'!$A69)</f>
        <v>0</v>
      </c>
      <c r="X69" s="305">
        <f t="shared" si="6"/>
        <v>0</v>
      </c>
      <c r="Y69" s="119">
        <f>'As-Filed Schedule 2J'!O69</f>
        <v>0</v>
      </c>
      <c r="Z69" s="309">
        <f>SUMIFS(Adjustments!$G:$G,Adjustments!$H:$H,"2J",Adjustments!$I:$I,'Schedule 2J Adjustments'!$Y$12,Adjustments!$J:$J,'Schedule 2J Adjustments'!$A69)</f>
        <v>0</v>
      </c>
      <c r="AA69" s="305">
        <f t="shared" si="7"/>
        <v>0</v>
      </c>
    </row>
    <row r="70" spans="1:27" x14ac:dyDescent="0.35">
      <c r="A70" s="24">
        <v>56</v>
      </c>
      <c r="B70" s="514" t="str">
        <f>IF('As-Filed Schedule 2J'!B70:D70=0,"",'As-Filed Schedule 2J'!B70:D70)</f>
        <v/>
      </c>
      <c r="C70" s="514"/>
      <c r="D70" s="514"/>
      <c r="F70" s="117">
        <f>'As-Filed Schedule 2J'!F70</f>
        <v>0</v>
      </c>
      <c r="G70" s="309">
        <f>SUMIFS(Adjustments!$G:$G,Adjustments!$H:$H,"2J",Adjustments!$I:$I,'Schedule 2J Adjustments'!$F$12,Adjustments!$J:$J,'Schedule 2J Adjustments'!$A70)</f>
        <v>0</v>
      </c>
      <c r="H70" s="305">
        <f t="shared" si="0"/>
        <v>0</v>
      </c>
      <c r="I70" s="68">
        <f>IFERROR(F70*'As-Filed Schedule 1'!$E$103,0)</f>
        <v>0</v>
      </c>
      <c r="J70" s="306">
        <f>IFERROR(H70*'Adjusted Schedule 1'!$E$104,0)</f>
        <v>0</v>
      </c>
      <c r="K70" s="68">
        <f t="shared" si="1"/>
        <v>0</v>
      </c>
      <c r="L70" s="306">
        <f t="shared" si="2"/>
        <v>0</v>
      </c>
      <c r="N70" s="117">
        <f>'As-Filed Schedule 2J'!J70</f>
        <v>0</v>
      </c>
      <c r="O70" s="309">
        <f>SUMIFS(Adjustments!$G:$G,Adjustments!$H:$H,"2J",Adjustments!$I:$I,'Schedule 2J Adjustments'!$N$12,Adjustments!$J:$J,'Schedule 2J Adjustments'!$A70)</f>
        <v>0</v>
      </c>
      <c r="P70" s="305">
        <f t="shared" si="3"/>
        <v>0</v>
      </c>
      <c r="Q70" s="68">
        <f>IFERROR(N70*'As-Filed Schedule 1'!$E$103,0)</f>
        <v>0</v>
      </c>
      <c r="R70" s="68">
        <f>IFERROR(P70*'Adjusted Schedule 1'!$E$104,0)</f>
        <v>0</v>
      </c>
      <c r="S70" s="68">
        <f t="shared" si="4"/>
        <v>0</v>
      </c>
      <c r="T70" s="306">
        <f t="shared" si="5"/>
        <v>0</v>
      </c>
      <c r="V70" s="119">
        <f>'As-Filed Schedule 2J'!N70</f>
        <v>0</v>
      </c>
      <c r="W70" s="309">
        <f>SUMIFS(Adjustments!$G:$G,Adjustments!$H:$H,"2J",Adjustments!$I:$I,'Schedule 2J Adjustments'!$V$12,Adjustments!$J:$J,'Schedule 2J Adjustments'!$A70)</f>
        <v>0</v>
      </c>
      <c r="X70" s="305">
        <f t="shared" si="6"/>
        <v>0</v>
      </c>
      <c r="Y70" s="119">
        <f>'As-Filed Schedule 2J'!O70</f>
        <v>0</v>
      </c>
      <c r="Z70" s="309">
        <f>SUMIFS(Adjustments!$G:$G,Adjustments!$H:$H,"2J",Adjustments!$I:$I,'Schedule 2J Adjustments'!$Y$12,Adjustments!$J:$J,'Schedule 2J Adjustments'!$A70)</f>
        <v>0</v>
      </c>
      <c r="AA70" s="305">
        <f t="shared" si="7"/>
        <v>0</v>
      </c>
    </row>
    <row r="71" spans="1:27" x14ac:dyDescent="0.35">
      <c r="A71" s="24">
        <v>57</v>
      </c>
      <c r="B71" s="514" t="str">
        <f>IF('As-Filed Schedule 2J'!B71:D71=0,"",'As-Filed Schedule 2J'!B71:D71)</f>
        <v/>
      </c>
      <c r="C71" s="514"/>
      <c r="D71" s="514"/>
      <c r="F71" s="117">
        <f>'As-Filed Schedule 2J'!F71</f>
        <v>0</v>
      </c>
      <c r="G71" s="309">
        <f>SUMIFS(Adjustments!$G:$G,Adjustments!$H:$H,"2J",Adjustments!$I:$I,'Schedule 2J Adjustments'!$F$12,Adjustments!$J:$J,'Schedule 2J Adjustments'!$A71)</f>
        <v>0</v>
      </c>
      <c r="H71" s="305">
        <f t="shared" si="0"/>
        <v>0</v>
      </c>
      <c r="I71" s="68">
        <f>IFERROR(F71*'As-Filed Schedule 1'!$E$103,0)</f>
        <v>0</v>
      </c>
      <c r="J71" s="306">
        <f>IFERROR(H71*'Adjusted Schedule 1'!$E$104,0)</f>
        <v>0</v>
      </c>
      <c r="K71" s="68">
        <f t="shared" si="1"/>
        <v>0</v>
      </c>
      <c r="L71" s="306">
        <f t="shared" si="2"/>
        <v>0</v>
      </c>
      <c r="N71" s="117">
        <f>'As-Filed Schedule 2J'!J71</f>
        <v>0</v>
      </c>
      <c r="O71" s="309">
        <f>SUMIFS(Adjustments!$G:$G,Adjustments!$H:$H,"2J",Adjustments!$I:$I,'Schedule 2J Adjustments'!$N$12,Adjustments!$J:$J,'Schedule 2J Adjustments'!$A71)</f>
        <v>0</v>
      </c>
      <c r="P71" s="305">
        <f t="shared" si="3"/>
        <v>0</v>
      </c>
      <c r="Q71" s="68">
        <f>IFERROR(N71*'As-Filed Schedule 1'!$E$103,0)</f>
        <v>0</v>
      </c>
      <c r="R71" s="68">
        <f>IFERROR(P71*'Adjusted Schedule 1'!$E$104,0)</f>
        <v>0</v>
      </c>
      <c r="S71" s="68">
        <f t="shared" si="4"/>
        <v>0</v>
      </c>
      <c r="T71" s="306">
        <f t="shared" si="5"/>
        <v>0</v>
      </c>
      <c r="V71" s="119">
        <f>'As-Filed Schedule 2J'!N71</f>
        <v>0</v>
      </c>
      <c r="W71" s="309">
        <f>SUMIFS(Adjustments!$G:$G,Adjustments!$H:$H,"2J",Adjustments!$I:$I,'Schedule 2J Adjustments'!$V$12,Adjustments!$J:$J,'Schedule 2J Adjustments'!$A71)</f>
        <v>0</v>
      </c>
      <c r="X71" s="305">
        <f t="shared" si="6"/>
        <v>0</v>
      </c>
      <c r="Y71" s="119">
        <f>'As-Filed Schedule 2J'!O71</f>
        <v>0</v>
      </c>
      <c r="Z71" s="309">
        <f>SUMIFS(Adjustments!$G:$G,Adjustments!$H:$H,"2J",Adjustments!$I:$I,'Schedule 2J Adjustments'!$Y$12,Adjustments!$J:$J,'Schedule 2J Adjustments'!$A71)</f>
        <v>0</v>
      </c>
      <c r="AA71" s="305">
        <f t="shared" si="7"/>
        <v>0</v>
      </c>
    </row>
    <row r="72" spans="1:27" x14ac:dyDescent="0.35">
      <c r="A72" s="24">
        <v>58</v>
      </c>
      <c r="B72" s="514" t="str">
        <f>IF('As-Filed Schedule 2J'!B72:D72=0,"",'As-Filed Schedule 2J'!B72:D72)</f>
        <v/>
      </c>
      <c r="C72" s="514"/>
      <c r="D72" s="514"/>
      <c r="F72" s="117">
        <f>'As-Filed Schedule 2J'!F72</f>
        <v>0</v>
      </c>
      <c r="G72" s="309">
        <f>SUMIFS(Adjustments!$G:$G,Adjustments!$H:$H,"2J",Adjustments!$I:$I,'Schedule 2J Adjustments'!$F$12,Adjustments!$J:$J,'Schedule 2J Adjustments'!$A72)</f>
        <v>0</v>
      </c>
      <c r="H72" s="305">
        <f t="shared" si="0"/>
        <v>0</v>
      </c>
      <c r="I72" s="68">
        <f>IFERROR(F72*'As-Filed Schedule 1'!$E$103,0)</f>
        <v>0</v>
      </c>
      <c r="J72" s="306">
        <f>IFERROR(H72*'Adjusted Schedule 1'!$E$104,0)</f>
        <v>0</v>
      </c>
      <c r="K72" s="68">
        <f t="shared" si="1"/>
        <v>0</v>
      </c>
      <c r="L72" s="306">
        <f t="shared" si="2"/>
        <v>0</v>
      </c>
      <c r="N72" s="117">
        <f>'As-Filed Schedule 2J'!J72</f>
        <v>0</v>
      </c>
      <c r="O72" s="309">
        <f>SUMIFS(Adjustments!$G:$G,Adjustments!$H:$H,"2J",Adjustments!$I:$I,'Schedule 2J Adjustments'!$N$12,Adjustments!$J:$J,'Schedule 2J Adjustments'!$A72)</f>
        <v>0</v>
      </c>
      <c r="P72" s="305">
        <f t="shared" si="3"/>
        <v>0</v>
      </c>
      <c r="Q72" s="68">
        <f>IFERROR(N72*'As-Filed Schedule 1'!$E$103,0)</f>
        <v>0</v>
      </c>
      <c r="R72" s="68">
        <f>IFERROR(P72*'Adjusted Schedule 1'!$E$104,0)</f>
        <v>0</v>
      </c>
      <c r="S72" s="68">
        <f t="shared" si="4"/>
        <v>0</v>
      </c>
      <c r="T72" s="306">
        <f t="shared" si="5"/>
        <v>0</v>
      </c>
      <c r="V72" s="119">
        <f>'As-Filed Schedule 2J'!N72</f>
        <v>0</v>
      </c>
      <c r="W72" s="309">
        <f>SUMIFS(Adjustments!$G:$G,Adjustments!$H:$H,"2J",Adjustments!$I:$I,'Schedule 2J Adjustments'!$V$12,Adjustments!$J:$J,'Schedule 2J Adjustments'!$A72)</f>
        <v>0</v>
      </c>
      <c r="X72" s="305">
        <f t="shared" si="6"/>
        <v>0</v>
      </c>
      <c r="Y72" s="119">
        <f>'As-Filed Schedule 2J'!O72</f>
        <v>0</v>
      </c>
      <c r="Z72" s="309">
        <f>SUMIFS(Adjustments!$G:$G,Adjustments!$H:$H,"2J",Adjustments!$I:$I,'Schedule 2J Adjustments'!$Y$12,Adjustments!$J:$J,'Schedule 2J Adjustments'!$A72)</f>
        <v>0</v>
      </c>
      <c r="AA72" s="305">
        <f t="shared" si="7"/>
        <v>0</v>
      </c>
    </row>
    <row r="73" spans="1:27" x14ac:dyDescent="0.35">
      <c r="A73" s="24">
        <v>59</v>
      </c>
      <c r="F73" s="18">
        <f>SUM(F15:F72)</f>
        <v>0</v>
      </c>
      <c r="G73" s="18">
        <f>SUM(G15:G72)</f>
        <v>0</v>
      </c>
      <c r="H73" s="18">
        <f t="shared" ref="H73:K73" si="8">SUM(H15:H72)</f>
        <v>0</v>
      </c>
      <c r="I73" s="18">
        <f t="shared" si="8"/>
        <v>0</v>
      </c>
      <c r="J73" s="306">
        <f>IFERROR(H73*'Adjusted Schedule 1'!$E$104,0)</f>
        <v>0</v>
      </c>
      <c r="K73" s="18">
        <f t="shared" si="8"/>
        <v>0</v>
      </c>
      <c r="L73" s="307">
        <f t="shared" ref="L73" si="9">SUM(L15:L72)</f>
        <v>0</v>
      </c>
      <c r="N73" s="18">
        <f>SUM(N15:N72)</f>
        <v>0</v>
      </c>
      <c r="O73" s="18">
        <f t="shared" ref="O73:S73" si="10">SUM(O15:O72)</f>
        <v>0</v>
      </c>
      <c r="P73" s="18">
        <f t="shared" si="10"/>
        <v>0</v>
      </c>
      <c r="Q73" s="18">
        <f t="shared" si="10"/>
        <v>0</v>
      </c>
      <c r="R73" s="18">
        <f t="shared" si="10"/>
        <v>0</v>
      </c>
      <c r="S73" s="18">
        <f t="shared" si="10"/>
        <v>0</v>
      </c>
      <c r="T73" s="307">
        <f>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814</v>
      </c>
      <c r="F75" s="75">
        <f>K73+S73</f>
        <v>0</v>
      </c>
      <c r="G75"/>
      <c r="H75" s="75">
        <f>L73+T73</f>
        <v>0</v>
      </c>
      <c r="I75" s="74"/>
      <c r="J75" s="321"/>
      <c r="K75" s="74"/>
      <c r="L75" s="321"/>
      <c r="N75" s="74"/>
      <c r="O75" s="328"/>
      <c r="P75" s="321"/>
      <c r="Q75" s="74"/>
      <c r="R75" s="321"/>
      <c r="T75" s="323"/>
      <c r="W75" s="326"/>
      <c r="X75" s="323"/>
      <c r="Z75" s="326"/>
      <c r="AA75" s="323"/>
    </row>
  </sheetData>
  <sheetProtection sheet="1" objects="1" scenarios="1"/>
  <dataConsolidate/>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1"/>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845</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828</v>
      </c>
      <c r="C8" s="1"/>
      <c r="F8" s="118" t="str">
        <f>'As-Filed Schedule 2K'!F8</f>
        <v>Yes/No</v>
      </c>
      <c r="G8" s="41" t="s">
        <v>259</v>
      </c>
    </row>
    <row r="10" spans="1:27" x14ac:dyDescent="0.35">
      <c r="A10" s="1" t="s">
        <v>254</v>
      </c>
      <c r="B10" s="1" t="s">
        <v>256</v>
      </c>
      <c r="C10" s="1"/>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ht="15" customHeight="1"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48"/>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2K'!B15:D15=0,"",'As-Filed Schedule 2K'!B15:D15)</f>
        <v/>
      </c>
      <c r="C15" s="514"/>
      <c r="D15" s="514"/>
      <c r="F15" s="117">
        <f>'As-Filed Schedule 2K'!F15</f>
        <v>0</v>
      </c>
      <c r="G15" s="309">
        <f>SUMIFS(Adjustments!$G:$G,Adjustments!$H:$H,"2K",Adjustments!$I:$I,'Schedule 2K Adjustments'!$F$12,Adjustments!$J:$J,'Schedule 2K Adjustments'!$A15)</f>
        <v>0</v>
      </c>
      <c r="H15" s="305">
        <f>SUM(F15:G15)</f>
        <v>0</v>
      </c>
      <c r="I15" s="68">
        <f>IFERROR(F15*'As-Filed Schedule 1'!$E$103,0)</f>
        <v>0</v>
      </c>
      <c r="J15" s="306">
        <f>IFERROR(H15*'Adjusted Schedule 1'!$E$104,0)</f>
        <v>0</v>
      </c>
      <c r="K15" s="68">
        <f>SUM(F15,I15)</f>
        <v>0</v>
      </c>
      <c r="L15" s="306">
        <f>SUM(H15,J15)</f>
        <v>0</v>
      </c>
      <c r="N15" s="117">
        <f>'As-Filed Schedule 2K'!J15</f>
        <v>0</v>
      </c>
      <c r="O15" s="309">
        <f>SUMIFS(Adjustments!$G:$G,Adjustments!$H:$H,"2K",Adjustments!$I:$I,'Schedule 2K Adjustments'!$N$12,Adjustments!$J:$J,'Schedule 2K Adjustments'!$A15)</f>
        <v>0</v>
      </c>
      <c r="P15" s="305">
        <f>SUM(N15:O15)</f>
        <v>0</v>
      </c>
      <c r="Q15" s="68">
        <f>IFERROR(N15*'As-Filed Schedule 1'!$E$103,0)</f>
        <v>0</v>
      </c>
      <c r="R15" s="68">
        <f>IFERROR(P15*'Adjusted Schedule 1'!$E$104,0)</f>
        <v>0</v>
      </c>
      <c r="S15" s="68">
        <f>SUM(N15,Q15)</f>
        <v>0</v>
      </c>
      <c r="T15" s="306">
        <f>SUM(P15,R15)</f>
        <v>0</v>
      </c>
      <c r="V15" s="119">
        <f>'As-Filed Schedule 2K'!N15</f>
        <v>0</v>
      </c>
      <c r="W15" s="309">
        <f>SUMIFS(Adjustments!$G:$G,Adjustments!$H:$H,"2K",Adjustments!$I:$I,'Schedule 2K Adjustments'!$V$12,Adjustments!$J:$J,'Schedule 2K Adjustments'!$A15)</f>
        <v>0</v>
      </c>
      <c r="X15" s="305">
        <f>SUM(V15:W15)</f>
        <v>0</v>
      </c>
      <c r="Y15" s="119">
        <f>'As-Filed Schedule 2K'!O15</f>
        <v>0</v>
      </c>
      <c r="Z15" s="309">
        <f>SUMIFS(Adjustments!$G:$G,Adjustments!$H:$H,"2K",Adjustments!$I:$I,'Schedule 2K Adjustments'!$Y$12,Adjustments!$J:$J,'Schedule 2K Adjustments'!$A15)</f>
        <v>0</v>
      </c>
      <c r="AA15" s="305">
        <f>SUM(Y15:Z15)</f>
        <v>0</v>
      </c>
    </row>
    <row r="16" spans="1:27" x14ac:dyDescent="0.35">
      <c r="A16" s="24">
        <v>2</v>
      </c>
      <c r="B16" s="514" t="str">
        <f>IF('As-Filed Schedule 2K'!B16:D16=0,"",'As-Filed Schedule 2K'!B16:D16)</f>
        <v/>
      </c>
      <c r="C16" s="514"/>
      <c r="D16" s="514"/>
      <c r="F16" s="117">
        <f>'As-Filed Schedule 2K'!F16</f>
        <v>0</v>
      </c>
      <c r="G16" s="309">
        <f>SUMIFS(Adjustments!$G:$G,Adjustments!$H:$H,"2K",Adjustments!$I:$I,'Schedule 2K Adjustments'!$F$12,Adjustments!$J:$J,'Schedule 2K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2K'!J16</f>
        <v>0</v>
      </c>
      <c r="O16" s="309">
        <f>SUMIFS(Adjustments!$G:$G,Adjustments!$H:$H,"2K",Adjustments!$I:$I,'Schedule 2K Adjustments'!$N$12,Adjustments!$J:$J,'Schedule 2K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2K'!N16</f>
        <v>0</v>
      </c>
      <c r="W16" s="309">
        <f>SUMIFS(Adjustments!$G:$G,Adjustments!$H:$H,"2K",Adjustments!$I:$I,'Schedule 2K Adjustments'!$V$12,Adjustments!$J:$J,'Schedule 2K Adjustments'!$A16)</f>
        <v>0</v>
      </c>
      <c r="X16" s="305">
        <f t="shared" ref="X16:X72" si="6">SUM(V16:W16)</f>
        <v>0</v>
      </c>
      <c r="Y16" s="119">
        <f>'As-Filed Schedule 2K'!O16</f>
        <v>0</v>
      </c>
      <c r="Z16" s="309">
        <f>SUMIFS(Adjustments!$G:$G,Adjustments!$H:$H,"2K",Adjustments!$I:$I,'Schedule 2K Adjustments'!$Y$12,Adjustments!$J:$J,'Schedule 2K Adjustments'!$A16)</f>
        <v>0</v>
      </c>
      <c r="AA16" s="305">
        <f t="shared" ref="AA16:AA72" si="7">SUM(Y16:Z16)</f>
        <v>0</v>
      </c>
    </row>
    <row r="17" spans="1:27" x14ac:dyDescent="0.35">
      <c r="A17" s="24">
        <v>3</v>
      </c>
      <c r="B17" s="514" t="str">
        <f>IF('As-Filed Schedule 2K'!B17:D17=0,"",'As-Filed Schedule 2K'!B17:D17)</f>
        <v/>
      </c>
      <c r="C17" s="514"/>
      <c r="D17" s="514"/>
      <c r="F17" s="117">
        <f>'As-Filed Schedule 2K'!F17</f>
        <v>0</v>
      </c>
      <c r="G17" s="309">
        <f>SUMIFS(Adjustments!$G:$G,Adjustments!$H:$H,"2K",Adjustments!$I:$I,'Schedule 2K Adjustments'!$F$12,Adjustments!$J:$J,'Schedule 2K Adjustments'!$A17)</f>
        <v>0</v>
      </c>
      <c r="H17" s="305">
        <f t="shared" si="0"/>
        <v>0</v>
      </c>
      <c r="I17" s="68">
        <f>IFERROR(F17*'As-Filed Schedule 1'!$E$103,0)</f>
        <v>0</v>
      </c>
      <c r="J17" s="306">
        <f>IFERROR(H17*'Adjusted Schedule 1'!$E$104,0)</f>
        <v>0</v>
      </c>
      <c r="K17" s="68">
        <f t="shared" si="1"/>
        <v>0</v>
      </c>
      <c r="L17" s="306">
        <f t="shared" si="2"/>
        <v>0</v>
      </c>
      <c r="N17" s="117">
        <f>'As-Filed Schedule 2K'!J17</f>
        <v>0</v>
      </c>
      <c r="O17" s="309">
        <f>SUMIFS(Adjustments!$G:$G,Adjustments!$H:$H,"2K",Adjustments!$I:$I,'Schedule 2K Adjustments'!$N$12,Adjustments!$J:$J,'Schedule 2K Adjustments'!$A17)</f>
        <v>0</v>
      </c>
      <c r="P17" s="305">
        <f t="shared" si="3"/>
        <v>0</v>
      </c>
      <c r="Q17" s="68">
        <f>IFERROR(N17*'As-Filed Schedule 1'!$E$103,0)</f>
        <v>0</v>
      </c>
      <c r="R17" s="68">
        <f>IFERROR(P17*'Adjusted Schedule 1'!$E$104,0)</f>
        <v>0</v>
      </c>
      <c r="S17" s="68">
        <f t="shared" si="4"/>
        <v>0</v>
      </c>
      <c r="T17" s="306">
        <f t="shared" si="5"/>
        <v>0</v>
      </c>
      <c r="V17" s="119">
        <f>'As-Filed Schedule 2K'!N17</f>
        <v>0</v>
      </c>
      <c r="W17" s="309">
        <f>SUMIFS(Adjustments!$G:$G,Adjustments!$H:$H,"2K",Adjustments!$I:$I,'Schedule 2K Adjustments'!$V$12,Adjustments!$J:$J,'Schedule 2K Adjustments'!$A17)</f>
        <v>0</v>
      </c>
      <c r="X17" s="305">
        <f t="shared" si="6"/>
        <v>0</v>
      </c>
      <c r="Y17" s="119">
        <f>'As-Filed Schedule 2K'!O17</f>
        <v>0</v>
      </c>
      <c r="Z17" s="309">
        <f>SUMIFS(Adjustments!$G:$G,Adjustments!$H:$H,"2K",Adjustments!$I:$I,'Schedule 2K Adjustments'!$Y$12,Adjustments!$J:$J,'Schedule 2K Adjustments'!$A17)</f>
        <v>0</v>
      </c>
      <c r="AA17" s="305">
        <f t="shared" si="7"/>
        <v>0</v>
      </c>
    </row>
    <row r="18" spans="1:27" x14ac:dyDescent="0.35">
      <c r="A18" s="24">
        <v>4</v>
      </c>
      <c r="B18" s="514" t="str">
        <f>IF('As-Filed Schedule 2K'!B18:D18=0,"",'As-Filed Schedule 2K'!B18:D18)</f>
        <v/>
      </c>
      <c r="C18" s="514"/>
      <c r="D18" s="514"/>
      <c r="F18" s="117">
        <f>'As-Filed Schedule 2K'!F18</f>
        <v>0</v>
      </c>
      <c r="G18" s="309">
        <f>SUMIFS(Adjustments!$G:$G,Adjustments!$H:$H,"2K",Adjustments!$I:$I,'Schedule 2K Adjustments'!$F$12,Adjustments!$J:$J,'Schedule 2K Adjustments'!$A18)</f>
        <v>0</v>
      </c>
      <c r="H18" s="305">
        <f t="shared" si="0"/>
        <v>0</v>
      </c>
      <c r="I18" s="68">
        <f>IFERROR(F18*'As-Filed Schedule 1'!$E$103,0)</f>
        <v>0</v>
      </c>
      <c r="J18" s="306">
        <f>IFERROR(H18*'Adjusted Schedule 1'!$E$104,0)</f>
        <v>0</v>
      </c>
      <c r="K18" s="68">
        <f>SUM(F18,I18)</f>
        <v>0</v>
      </c>
      <c r="L18" s="306">
        <f>SUM(H18,J18)</f>
        <v>0</v>
      </c>
      <c r="N18" s="117">
        <f>'As-Filed Schedule 2K'!J18</f>
        <v>0</v>
      </c>
      <c r="O18" s="309">
        <f>SUMIFS(Adjustments!$G:$G,Adjustments!$H:$H,"2K",Adjustments!$I:$I,'Schedule 2K Adjustments'!$N$12,Adjustments!$J:$J,'Schedule 2K Adjustments'!$A18)</f>
        <v>0</v>
      </c>
      <c r="P18" s="305">
        <f t="shared" si="3"/>
        <v>0</v>
      </c>
      <c r="Q18" s="68">
        <f>IFERROR(N18*'As-Filed Schedule 1'!$E$103,0)</f>
        <v>0</v>
      </c>
      <c r="R18" s="68">
        <f>IFERROR(P18*'Adjusted Schedule 1'!$E$104,0)</f>
        <v>0</v>
      </c>
      <c r="S18" s="68">
        <f t="shared" si="4"/>
        <v>0</v>
      </c>
      <c r="T18" s="306">
        <f t="shared" si="5"/>
        <v>0</v>
      </c>
      <c r="V18" s="119">
        <f>'As-Filed Schedule 2K'!N18</f>
        <v>0</v>
      </c>
      <c r="W18" s="309">
        <f>SUMIFS(Adjustments!$G:$G,Adjustments!$H:$H,"2K",Adjustments!$I:$I,'Schedule 2K Adjustments'!$V$12,Adjustments!$J:$J,'Schedule 2K Adjustments'!$A18)</f>
        <v>0</v>
      </c>
      <c r="X18" s="305">
        <f t="shared" si="6"/>
        <v>0</v>
      </c>
      <c r="Y18" s="119">
        <f>'As-Filed Schedule 2K'!O18</f>
        <v>0</v>
      </c>
      <c r="Z18" s="309">
        <f>SUMIFS(Adjustments!$G:$G,Adjustments!$H:$H,"2K",Adjustments!$I:$I,'Schedule 2K Adjustments'!$Y$12,Adjustments!$J:$J,'Schedule 2K Adjustments'!$A18)</f>
        <v>0</v>
      </c>
      <c r="AA18" s="305">
        <f t="shared" si="7"/>
        <v>0</v>
      </c>
    </row>
    <row r="19" spans="1:27" x14ac:dyDescent="0.35">
      <c r="A19" s="24">
        <v>5</v>
      </c>
      <c r="B19" s="514" t="str">
        <f>IF('As-Filed Schedule 2K'!B19:D19=0,"",'As-Filed Schedule 2K'!B19:D19)</f>
        <v/>
      </c>
      <c r="C19" s="514"/>
      <c r="D19" s="514"/>
      <c r="F19" s="117">
        <f>'As-Filed Schedule 2K'!F19</f>
        <v>0</v>
      </c>
      <c r="G19" s="309">
        <f>SUMIFS(Adjustments!$G:$G,Adjustments!$H:$H,"2K",Adjustments!$I:$I,'Schedule 2K Adjustments'!$F$12,Adjustments!$J:$J,'Schedule 2K Adjustments'!$A19)</f>
        <v>0</v>
      </c>
      <c r="H19" s="305">
        <f t="shared" si="0"/>
        <v>0</v>
      </c>
      <c r="I19" s="68">
        <f>IFERROR(F19*'As-Filed Schedule 1'!$E$103,0)</f>
        <v>0</v>
      </c>
      <c r="J19" s="306">
        <f>IFERROR(H19*'Adjusted Schedule 1'!$E$104,0)</f>
        <v>0</v>
      </c>
      <c r="K19" s="68">
        <f t="shared" si="1"/>
        <v>0</v>
      </c>
      <c r="L19" s="306">
        <f>SUM(H19,J19)</f>
        <v>0</v>
      </c>
      <c r="N19" s="117">
        <f>'As-Filed Schedule 2K'!J19</f>
        <v>0</v>
      </c>
      <c r="O19" s="309">
        <f>SUMIFS(Adjustments!$G:$G,Adjustments!$H:$H,"2K",Adjustments!$I:$I,'Schedule 2K Adjustments'!$N$12,Adjustments!$J:$J,'Schedule 2K Adjustments'!$A19)</f>
        <v>0</v>
      </c>
      <c r="P19" s="305">
        <f t="shared" si="3"/>
        <v>0</v>
      </c>
      <c r="Q19" s="68">
        <f>IFERROR(N19*'As-Filed Schedule 1'!$E$103,0)</f>
        <v>0</v>
      </c>
      <c r="R19" s="68">
        <f>IFERROR(P19*'Adjusted Schedule 1'!$E$104,0)</f>
        <v>0</v>
      </c>
      <c r="S19" s="68">
        <f t="shared" si="4"/>
        <v>0</v>
      </c>
      <c r="T19" s="306">
        <f t="shared" si="5"/>
        <v>0</v>
      </c>
      <c r="V19" s="119">
        <f>'As-Filed Schedule 2K'!N19</f>
        <v>0</v>
      </c>
      <c r="W19" s="309">
        <f>SUMIFS(Adjustments!$G:$G,Adjustments!$H:$H,"2K",Adjustments!$I:$I,'Schedule 2K Adjustments'!$V$12,Adjustments!$J:$J,'Schedule 2K Adjustments'!$A19)</f>
        <v>0</v>
      </c>
      <c r="X19" s="305">
        <f t="shared" si="6"/>
        <v>0</v>
      </c>
      <c r="Y19" s="119">
        <f>'As-Filed Schedule 2K'!O19</f>
        <v>0</v>
      </c>
      <c r="Z19" s="309">
        <f>SUMIFS(Adjustments!$G:$G,Adjustments!$H:$H,"2K",Adjustments!$I:$I,'Schedule 2K Adjustments'!$Y$12,Adjustments!$J:$J,'Schedule 2K Adjustments'!$A19)</f>
        <v>0</v>
      </c>
      <c r="AA19" s="305">
        <f t="shared" si="7"/>
        <v>0</v>
      </c>
    </row>
    <row r="20" spans="1:27" x14ac:dyDescent="0.35">
      <c r="A20" s="24">
        <v>6</v>
      </c>
      <c r="B20" s="514" t="str">
        <f>IF('As-Filed Schedule 2K'!B20:D20=0,"",'As-Filed Schedule 2K'!B20:D20)</f>
        <v/>
      </c>
      <c r="C20" s="514"/>
      <c r="D20" s="514"/>
      <c r="F20" s="117">
        <f>'As-Filed Schedule 2K'!F20</f>
        <v>0</v>
      </c>
      <c r="G20" s="309">
        <f>SUMIFS(Adjustments!$G:$G,Adjustments!$H:$H,"2K",Adjustments!$I:$I,'Schedule 2K Adjustments'!$F$12,Adjustments!$J:$J,'Schedule 2K Adjustments'!$A20)</f>
        <v>0</v>
      </c>
      <c r="H20" s="305">
        <f t="shared" si="0"/>
        <v>0</v>
      </c>
      <c r="I20" s="68">
        <f>IFERROR(F20*'As-Filed Schedule 1'!$E$103,0)</f>
        <v>0</v>
      </c>
      <c r="J20" s="306">
        <f>IFERROR(H20*'Adjusted Schedule 1'!$E$104,0)</f>
        <v>0</v>
      </c>
      <c r="K20" s="68">
        <f>SUM(F20,I20)</f>
        <v>0</v>
      </c>
      <c r="L20" s="306">
        <f t="shared" si="2"/>
        <v>0</v>
      </c>
      <c r="N20" s="117">
        <f>'As-Filed Schedule 2K'!J20</f>
        <v>0</v>
      </c>
      <c r="O20" s="309">
        <f>SUMIFS(Adjustments!$G:$G,Adjustments!$H:$H,"2K",Adjustments!$I:$I,'Schedule 2K Adjustments'!$N$12,Adjustments!$J:$J,'Schedule 2K Adjustments'!$A20)</f>
        <v>0</v>
      </c>
      <c r="P20" s="305">
        <f t="shared" si="3"/>
        <v>0</v>
      </c>
      <c r="Q20" s="68">
        <f>IFERROR(N20*'As-Filed Schedule 1'!$E$103,0)</f>
        <v>0</v>
      </c>
      <c r="R20" s="68">
        <f>IFERROR(P20*'Adjusted Schedule 1'!$E$104,0)</f>
        <v>0</v>
      </c>
      <c r="S20" s="68">
        <f t="shared" si="4"/>
        <v>0</v>
      </c>
      <c r="T20" s="306">
        <f t="shared" si="5"/>
        <v>0</v>
      </c>
      <c r="V20" s="119">
        <f>'As-Filed Schedule 2K'!N20</f>
        <v>0</v>
      </c>
      <c r="W20" s="309">
        <f>SUMIFS(Adjustments!$G:$G,Adjustments!$H:$H,"2K",Adjustments!$I:$I,'Schedule 2K Adjustments'!$V$12,Adjustments!$J:$J,'Schedule 2K Adjustments'!$A20)</f>
        <v>0</v>
      </c>
      <c r="X20" s="305">
        <f t="shared" si="6"/>
        <v>0</v>
      </c>
      <c r="Y20" s="119">
        <f>'As-Filed Schedule 2K'!O20</f>
        <v>0</v>
      </c>
      <c r="Z20" s="309">
        <f>SUMIFS(Adjustments!$G:$G,Adjustments!$H:$H,"2K",Adjustments!$I:$I,'Schedule 2K Adjustments'!$Y$12,Adjustments!$J:$J,'Schedule 2K Adjustments'!$A20)</f>
        <v>0</v>
      </c>
      <c r="AA20" s="305">
        <f t="shared" si="7"/>
        <v>0</v>
      </c>
    </row>
    <row r="21" spans="1:27" x14ac:dyDescent="0.35">
      <c r="A21" s="24">
        <v>7</v>
      </c>
      <c r="B21" s="514" t="str">
        <f>IF('As-Filed Schedule 2K'!B21:D21=0,"",'As-Filed Schedule 2K'!B21:D21)</f>
        <v/>
      </c>
      <c r="C21" s="514"/>
      <c r="D21" s="514"/>
      <c r="F21" s="117">
        <f>'As-Filed Schedule 2K'!F21</f>
        <v>0</v>
      </c>
      <c r="G21" s="309">
        <f>SUMIFS(Adjustments!$G:$G,Adjustments!$H:$H,"2K",Adjustments!$I:$I,'Schedule 2K Adjustments'!$F$12,Adjustments!$J:$J,'Schedule 2K Adjustments'!$A21)</f>
        <v>0</v>
      </c>
      <c r="H21" s="305">
        <f t="shared" si="0"/>
        <v>0</v>
      </c>
      <c r="I21" s="68">
        <f>IFERROR(F21*'As-Filed Schedule 1'!$E$103,0)</f>
        <v>0</v>
      </c>
      <c r="J21" s="306">
        <f>IFERROR(H21*'Adjusted Schedule 1'!$E$104,0)</f>
        <v>0</v>
      </c>
      <c r="K21" s="68">
        <f t="shared" si="1"/>
        <v>0</v>
      </c>
      <c r="L21" s="306">
        <f t="shared" si="2"/>
        <v>0</v>
      </c>
      <c r="N21" s="117">
        <f>'As-Filed Schedule 2K'!J21</f>
        <v>0</v>
      </c>
      <c r="O21" s="309">
        <f>SUMIFS(Adjustments!$G:$G,Adjustments!$H:$H,"2K",Adjustments!$I:$I,'Schedule 2K Adjustments'!$N$12,Adjustments!$J:$J,'Schedule 2K Adjustments'!$A21)</f>
        <v>0</v>
      </c>
      <c r="P21" s="305">
        <f t="shared" si="3"/>
        <v>0</v>
      </c>
      <c r="Q21" s="68">
        <f>IFERROR(N21*'As-Filed Schedule 1'!$E$103,0)</f>
        <v>0</v>
      </c>
      <c r="R21" s="68">
        <f>IFERROR(P21*'Adjusted Schedule 1'!$E$104,0)</f>
        <v>0</v>
      </c>
      <c r="S21" s="68">
        <f>SUM(N21,Q21)</f>
        <v>0</v>
      </c>
      <c r="T21" s="306">
        <f>SUM(P21,R21)</f>
        <v>0</v>
      </c>
      <c r="V21" s="119">
        <f>'As-Filed Schedule 2K'!N21</f>
        <v>0</v>
      </c>
      <c r="W21" s="309">
        <f>SUMIFS(Adjustments!$G:$G,Adjustments!$H:$H,"2K",Adjustments!$I:$I,'Schedule 2K Adjustments'!$V$12,Adjustments!$J:$J,'Schedule 2K Adjustments'!$A21)</f>
        <v>0</v>
      </c>
      <c r="X21" s="305">
        <f t="shared" si="6"/>
        <v>0</v>
      </c>
      <c r="Y21" s="119">
        <f>'As-Filed Schedule 2K'!O21</f>
        <v>0</v>
      </c>
      <c r="Z21" s="309">
        <f>SUMIFS(Adjustments!$G:$G,Adjustments!$H:$H,"2K",Adjustments!$I:$I,'Schedule 2K Adjustments'!$Y$12,Adjustments!$J:$J,'Schedule 2K Adjustments'!$A21)</f>
        <v>0</v>
      </c>
      <c r="AA21" s="305">
        <f t="shared" si="7"/>
        <v>0</v>
      </c>
    </row>
    <row r="22" spans="1:27" x14ac:dyDescent="0.35">
      <c r="A22" s="24">
        <v>8</v>
      </c>
      <c r="B22" s="514" t="str">
        <f>IF('As-Filed Schedule 2K'!B22:D22=0,"",'As-Filed Schedule 2K'!B22:D22)</f>
        <v/>
      </c>
      <c r="C22" s="514"/>
      <c r="D22" s="514"/>
      <c r="F22" s="117">
        <f>'As-Filed Schedule 2K'!F22</f>
        <v>0</v>
      </c>
      <c r="G22" s="309">
        <f>SUMIFS(Adjustments!$G:$G,Adjustments!$H:$H,"2K",Adjustments!$I:$I,'Schedule 2K Adjustments'!$F$12,Adjustments!$J:$J,'Schedule 2K Adjustments'!$A22)</f>
        <v>0</v>
      </c>
      <c r="H22" s="305">
        <f t="shared" si="0"/>
        <v>0</v>
      </c>
      <c r="I22" s="68">
        <f>IFERROR(F22*'As-Filed Schedule 1'!$E$103,0)</f>
        <v>0</v>
      </c>
      <c r="J22" s="306">
        <f>IFERROR(H22*'Adjusted Schedule 1'!$E$104,0)</f>
        <v>0</v>
      </c>
      <c r="K22" s="68">
        <f t="shared" si="1"/>
        <v>0</v>
      </c>
      <c r="L22" s="306">
        <f t="shared" si="2"/>
        <v>0</v>
      </c>
      <c r="N22" s="117">
        <f>'As-Filed Schedule 2K'!J22</f>
        <v>0</v>
      </c>
      <c r="O22" s="309">
        <f>SUMIFS(Adjustments!$G:$G,Adjustments!$H:$H,"2K",Adjustments!$I:$I,'Schedule 2K Adjustments'!$N$12,Adjustments!$J:$J,'Schedule 2K Adjustments'!$A22)</f>
        <v>0</v>
      </c>
      <c r="P22" s="305">
        <f t="shared" si="3"/>
        <v>0</v>
      </c>
      <c r="Q22" s="68">
        <f>IFERROR(N22*'As-Filed Schedule 1'!$E$103,0)</f>
        <v>0</v>
      </c>
      <c r="R22" s="68">
        <f>IFERROR(P22*'Adjusted Schedule 1'!$E$104,0)</f>
        <v>0</v>
      </c>
      <c r="S22" s="68">
        <f t="shared" si="4"/>
        <v>0</v>
      </c>
      <c r="T22" s="306">
        <f t="shared" si="5"/>
        <v>0</v>
      </c>
      <c r="V22" s="119">
        <f>'As-Filed Schedule 2K'!N22</f>
        <v>0</v>
      </c>
      <c r="W22" s="309">
        <f>SUMIFS(Adjustments!$G:$G,Adjustments!$H:$H,"2K",Adjustments!$I:$I,'Schedule 2K Adjustments'!$V$12,Adjustments!$J:$J,'Schedule 2K Adjustments'!$A22)</f>
        <v>0</v>
      </c>
      <c r="X22" s="305">
        <f t="shared" si="6"/>
        <v>0</v>
      </c>
      <c r="Y22" s="119">
        <f>'As-Filed Schedule 2K'!O22</f>
        <v>0</v>
      </c>
      <c r="Z22" s="309">
        <f>SUMIFS(Adjustments!$G:$G,Adjustments!$H:$H,"2K",Adjustments!$I:$I,'Schedule 2K Adjustments'!$Y$12,Adjustments!$J:$J,'Schedule 2K Adjustments'!$A22)</f>
        <v>0</v>
      </c>
      <c r="AA22" s="305">
        <f t="shared" si="7"/>
        <v>0</v>
      </c>
    </row>
    <row r="23" spans="1:27" x14ac:dyDescent="0.35">
      <c r="A23" s="24">
        <v>9</v>
      </c>
      <c r="B23" s="514" t="str">
        <f>IF('As-Filed Schedule 2K'!B23:D23=0,"",'As-Filed Schedule 2K'!B23:D23)</f>
        <v/>
      </c>
      <c r="C23" s="514"/>
      <c r="D23" s="514"/>
      <c r="F23" s="117">
        <f>'As-Filed Schedule 2K'!F23</f>
        <v>0</v>
      </c>
      <c r="G23" s="309">
        <f>SUMIFS(Adjustments!$G:$G,Adjustments!$H:$H,"2K",Adjustments!$I:$I,'Schedule 2K Adjustments'!$F$12,Adjustments!$J:$J,'Schedule 2K Adjustments'!$A23)</f>
        <v>0</v>
      </c>
      <c r="H23" s="305">
        <f t="shared" si="0"/>
        <v>0</v>
      </c>
      <c r="I23" s="68">
        <f>IFERROR(F23*'As-Filed Schedule 1'!$E$103,0)</f>
        <v>0</v>
      </c>
      <c r="J23" s="306">
        <f>IFERROR(H23*'Adjusted Schedule 1'!$E$104,0)</f>
        <v>0</v>
      </c>
      <c r="K23" s="68">
        <f t="shared" si="1"/>
        <v>0</v>
      </c>
      <c r="L23" s="306">
        <f t="shared" si="2"/>
        <v>0</v>
      </c>
      <c r="N23" s="117">
        <f>'As-Filed Schedule 2K'!J23</f>
        <v>0</v>
      </c>
      <c r="O23" s="309">
        <f>SUMIFS(Adjustments!$G:$G,Adjustments!$H:$H,"2K",Adjustments!$I:$I,'Schedule 2K Adjustments'!$N$12,Adjustments!$J:$J,'Schedule 2K Adjustments'!$A23)</f>
        <v>0</v>
      </c>
      <c r="P23" s="305">
        <f t="shared" si="3"/>
        <v>0</v>
      </c>
      <c r="Q23" s="68">
        <f>IFERROR(N23*'As-Filed Schedule 1'!$E$103,0)</f>
        <v>0</v>
      </c>
      <c r="R23" s="68">
        <f>IFERROR(P23*'Adjusted Schedule 1'!$E$104,0)</f>
        <v>0</v>
      </c>
      <c r="S23" s="68">
        <f t="shared" si="4"/>
        <v>0</v>
      </c>
      <c r="T23" s="306">
        <f t="shared" si="5"/>
        <v>0</v>
      </c>
      <c r="V23" s="119">
        <f>'As-Filed Schedule 2K'!N23</f>
        <v>0</v>
      </c>
      <c r="W23" s="309">
        <f>SUMIFS(Adjustments!$G:$G,Adjustments!$H:$H,"2K",Adjustments!$I:$I,'Schedule 2K Adjustments'!$V$12,Adjustments!$J:$J,'Schedule 2K Adjustments'!$A23)</f>
        <v>0</v>
      </c>
      <c r="X23" s="305">
        <f t="shared" si="6"/>
        <v>0</v>
      </c>
      <c r="Y23" s="119">
        <f>'As-Filed Schedule 2K'!O23</f>
        <v>0</v>
      </c>
      <c r="Z23" s="309">
        <f>SUMIFS(Adjustments!$G:$G,Adjustments!$H:$H,"2K",Adjustments!$I:$I,'Schedule 2K Adjustments'!$Y$12,Adjustments!$J:$J,'Schedule 2K Adjustments'!$A23)</f>
        <v>0</v>
      </c>
      <c r="AA23" s="305">
        <f t="shared" si="7"/>
        <v>0</v>
      </c>
    </row>
    <row r="24" spans="1:27" x14ac:dyDescent="0.35">
      <c r="A24" s="24">
        <v>10</v>
      </c>
      <c r="B24" s="514" t="str">
        <f>IF('As-Filed Schedule 2K'!B24:D24=0,"",'As-Filed Schedule 2K'!B24:D24)</f>
        <v/>
      </c>
      <c r="C24" s="514"/>
      <c r="D24" s="514"/>
      <c r="F24" s="117">
        <f>'As-Filed Schedule 2K'!F24</f>
        <v>0</v>
      </c>
      <c r="G24" s="309">
        <f>SUMIFS(Adjustments!$G:$G,Adjustments!$H:$H,"2K",Adjustments!$I:$I,'Schedule 2K Adjustments'!$F$12,Adjustments!$J:$J,'Schedule 2K Adjustments'!$A24)</f>
        <v>0</v>
      </c>
      <c r="H24" s="305">
        <f t="shared" si="0"/>
        <v>0</v>
      </c>
      <c r="I24" s="68">
        <f>IFERROR(F24*'As-Filed Schedule 1'!$E$103,0)</f>
        <v>0</v>
      </c>
      <c r="J24" s="306">
        <f>IFERROR(H24*'Adjusted Schedule 1'!$E$104,0)</f>
        <v>0</v>
      </c>
      <c r="K24" s="68">
        <f t="shared" si="1"/>
        <v>0</v>
      </c>
      <c r="L24" s="306">
        <f t="shared" si="2"/>
        <v>0</v>
      </c>
      <c r="N24" s="117">
        <f>'As-Filed Schedule 2K'!J24</f>
        <v>0</v>
      </c>
      <c r="O24" s="309">
        <f>SUMIFS(Adjustments!$G:$G,Adjustments!$H:$H,"2K",Adjustments!$I:$I,'Schedule 2K Adjustments'!$N$12,Adjustments!$J:$J,'Schedule 2K Adjustments'!$A24)</f>
        <v>0</v>
      </c>
      <c r="P24" s="305">
        <f t="shared" si="3"/>
        <v>0</v>
      </c>
      <c r="Q24" s="68">
        <f>IFERROR(N24*'As-Filed Schedule 1'!$E$103,0)</f>
        <v>0</v>
      </c>
      <c r="R24" s="68">
        <f>IFERROR(P24*'Adjusted Schedule 1'!$E$104,0)</f>
        <v>0</v>
      </c>
      <c r="S24" s="68">
        <f t="shared" si="4"/>
        <v>0</v>
      </c>
      <c r="T24" s="306">
        <f t="shared" si="5"/>
        <v>0</v>
      </c>
      <c r="V24" s="119">
        <f>'As-Filed Schedule 2K'!N24</f>
        <v>0</v>
      </c>
      <c r="W24" s="309">
        <f>SUMIFS(Adjustments!$G:$G,Adjustments!$H:$H,"2K",Adjustments!$I:$I,'Schedule 2K Adjustments'!$V$12,Adjustments!$J:$J,'Schedule 2K Adjustments'!$A24)</f>
        <v>0</v>
      </c>
      <c r="X24" s="305">
        <f t="shared" si="6"/>
        <v>0</v>
      </c>
      <c r="Y24" s="119">
        <f>'As-Filed Schedule 2K'!O24</f>
        <v>0</v>
      </c>
      <c r="Z24" s="309">
        <f>SUMIFS(Adjustments!$G:$G,Adjustments!$H:$H,"2K",Adjustments!$I:$I,'Schedule 2K Adjustments'!$Y$12,Adjustments!$J:$J,'Schedule 2K Adjustments'!$A24)</f>
        <v>0</v>
      </c>
      <c r="AA24" s="305">
        <f t="shared" si="7"/>
        <v>0</v>
      </c>
    </row>
    <row r="25" spans="1:27" x14ac:dyDescent="0.35">
      <c r="A25" s="24">
        <v>11</v>
      </c>
      <c r="B25" s="514" t="str">
        <f>IF('As-Filed Schedule 2K'!B25:D25=0,"",'As-Filed Schedule 2K'!B25:D25)</f>
        <v/>
      </c>
      <c r="C25" s="514"/>
      <c r="D25" s="514"/>
      <c r="F25" s="117">
        <f>'As-Filed Schedule 2K'!F25</f>
        <v>0</v>
      </c>
      <c r="G25" s="309">
        <f>SUMIFS(Adjustments!$G:$G,Adjustments!$H:$H,"2K",Adjustments!$I:$I,'Schedule 2K Adjustments'!$F$12,Adjustments!$J:$J,'Schedule 2K Adjustments'!$A25)</f>
        <v>0</v>
      </c>
      <c r="H25" s="305">
        <f t="shared" si="0"/>
        <v>0</v>
      </c>
      <c r="I25" s="68">
        <f>IFERROR(F25*'As-Filed Schedule 1'!$E$103,0)</f>
        <v>0</v>
      </c>
      <c r="J25" s="306">
        <f>IFERROR(H25*'Adjusted Schedule 1'!$E$104,0)</f>
        <v>0</v>
      </c>
      <c r="K25" s="68">
        <f t="shared" si="1"/>
        <v>0</v>
      </c>
      <c r="L25" s="306">
        <f t="shared" si="2"/>
        <v>0</v>
      </c>
      <c r="N25" s="117">
        <f>'As-Filed Schedule 2K'!J25</f>
        <v>0</v>
      </c>
      <c r="O25" s="309">
        <f>SUMIFS(Adjustments!$G:$G,Adjustments!$H:$H,"2K",Adjustments!$I:$I,'Schedule 2K Adjustments'!$N$12,Adjustments!$J:$J,'Schedule 2K Adjustments'!$A25)</f>
        <v>0</v>
      </c>
      <c r="P25" s="305">
        <f t="shared" si="3"/>
        <v>0</v>
      </c>
      <c r="Q25" s="68">
        <f>IFERROR(N25*'As-Filed Schedule 1'!$E$103,0)</f>
        <v>0</v>
      </c>
      <c r="R25" s="68">
        <f>IFERROR(P25*'Adjusted Schedule 1'!$E$104,0)</f>
        <v>0</v>
      </c>
      <c r="S25" s="68">
        <f t="shared" si="4"/>
        <v>0</v>
      </c>
      <c r="T25" s="306">
        <f t="shared" si="5"/>
        <v>0</v>
      </c>
      <c r="V25" s="119">
        <f>'As-Filed Schedule 2K'!N25</f>
        <v>0</v>
      </c>
      <c r="W25" s="309">
        <f>SUMIFS(Adjustments!$G:$G,Adjustments!$H:$H,"2K",Adjustments!$I:$I,'Schedule 2K Adjustments'!$V$12,Adjustments!$J:$J,'Schedule 2K Adjustments'!$A25)</f>
        <v>0</v>
      </c>
      <c r="X25" s="305">
        <f t="shared" si="6"/>
        <v>0</v>
      </c>
      <c r="Y25" s="119">
        <f>'As-Filed Schedule 2K'!O25</f>
        <v>0</v>
      </c>
      <c r="Z25" s="309">
        <f>SUMIFS(Adjustments!$G:$G,Adjustments!$H:$H,"2K",Adjustments!$I:$I,'Schedule 2K Adjustments'!$Y$12,Adjustments!$J:$J,'Schedule 2K Adjustments'!$A25)</f>
        <v>0</v>
      </c>
      <c r="AA25" s="305">
        <f t="shared" si="7"/>
        <v>0</v>
      </c>
    </row>
    <row r="26" spans="1:27" x14ac:dyDescent="0.35">
      <c r="A26" s="24">
        <v>12</v>
      </c>
      <c r="B26" s="514" t="str">
        <f>IF('As-Filed Schedule 2K'!B26:D26=0,"",'As-Filed Schedule 2K'!B26:D26)</f>
        <v/>
      </c>
      <c r="C26" s="514"/>
      <c r="D26" s="514"/>
      <c r="F26" s="117">
        <f>'As-Filed Schedule 2K'!F26</f>
        <v>0</v>
      </c>
      <c r="G26" s="309">
        <f>SUMIFS(Adjustments!$G:$G,Adjustments!$H:$H,"2K",Adjustments!$I:$I,'Schedule 2K Adjustments'!$F$12,Adjustments!$J:$J,'Schedule 2K Adjustments'!$A26)</f>
        <v>0</v>
      </c>
      <c r="H26" s="305">
        <f t="shared" si="0"/>
        <v>0</v>
      </c>
      <c r="I26" s="68">
        <f>IFERROR(F26*'As-Filed Schedule 1'!$E$103,0)</f>
        <v>0</v>
      </c>
      <c r="J26" s="306">
        <f>IFERROR(H26*'Adjusted Schedule 1'!$E$104,0)</f>
        <v>0</v>
      </c>
      <c r="K26" s="68">
        <f t="shared" si="1"/>
        <v>0</v>
      </c>
      <c r="L26" s="306">
        <f t="shared" si="2"/>
        <v>0</v>
      </c>
      <c r="N26" s="117">
        <f>'As-Filed Schedule 2K'!J26</f>
        <v>0</v>
      </c>
      <c r="O26" s="309">
        <f>SUMIFS(Adjustments!$G:$G,Adjustments!$H:$H,"2K",Adjustments!$I:$I,'Schedule 2K Adjustments'!$N$12,Adjustments!$J:$J,'Schedule 2K Adjustments'!$A26)</f>
        <v>0</v>
      </c>
      <c r="P26" s="305">
        <f t="shared" si="3"/>
        <v>0</v>
      </c>
      <c r="Q26" s="68">
        <f>IFERROR(N26*'As-Filed Schedule 1'!$E$103,0)</f>
        <v>0</v>
      </c>
      <c r="R26" s="68">
        <f>IFERROR(P26*'Adjusted Schedule 1'!$E$104,0)</f>
        <v>0</v>
      </c>
      <c r="S26" s="68">
        <f t="shared" si="4"/>
        <v>0</v>
      </c>
      <c r="T26" s="306">
        <f t="shared" si="5"/>
        <v>0</v>
      </c>
      <c r="V26" s="119">
        <f>'As-Filed Schedule 2K'!N26</f>
        <v>0</v>
      </c>
      <c r="W26" s="309">
        <f>SUMIFS(Adjustments!$G:$G,Adjustments!$H:$H,"2K",Adjustments!$I:$I,'Schedule 2K Adjustments'!$V$12,Adjustments!$J:$J,'Schedule 2K Adjustments'!$A26)</f>
        <v>0</v>
      </c>
      <c r="X26" s="305">
        <f t="shared" si="6"/>
        <v>0</v>
      </c>
      <c r="Y26" s="119">
        <f>'As-Filed Schedule 2K'!O26</f>
        <v>0</v>
      </c>
      <c r="Z26" s="309">
        <f>SUMIFS(Adjustments!$G:$G,Adjustments!$H:$H,"2K",Adjustments!$I:$I,'Schedule 2K Adjustments'!$Y$12,Adjustments!$J:$J,'Schedule 2K Adjustments'!$A26)</f>
        <v>0</v>
      </c>
      <c r="AA26" s="305">
        <f t="shared" si="7"/>
        <v>0</v>
      </c>
    </row>
    <row r="27" spans="1:27" x14ac:dyDescent="0.35">
      <c r="A27" s="24">
        <v>13</v>
      </c>
      <c r="B27" s="514" t="str">
        <f>IF('As-Filed Schedule 2K'!B27:D27=0,"",'As-Filed Schedule 2K'!B27:D27)</f>
        <v/>
      </c>
      <c r="C27" s="514"/>
      <c r="D27" s="514"/>
      <c r="F27" s="117">
        <f>'As-Filed Schedule 2K'!F27</f>
        <v>0</v>
      </c>
      <c r="G27" s="309">
        <f>SUMIFS(Adjustments!$G:$G,Adjustments!$H:$H,"2K",Adjustments!$I:$I,'Schedule 2K Adjustments'!$F$12,Adjustments!$J:$J,'Schedule 2K Adjustments'!$A27)</f>
        <v>0</v>
      </c>
      <c r="H27" s="305">
        <f t="shared" si="0"/>
        <v>0</v>
      </c>
      <c r="I27" s="68">
        <f>IFERROR(F27*'As-Filed Schedule 1'!$E$103,0)</f>
        <v>0</v>
      </c>
      <c r="J27" s="306">
        <f>IFERROR(H27*'Adjusted Schedule 1'!$E$104,0)</f>
        <v>0</v>
      </c>
      <c r="K27" s="68">
        <f t="shared" si="1"/>
        <v>0</v>
      </c>
      <c r="L27" s="306">
        <f t="shared" si="2"/>
        <v>0</v>
      </c>
      <c r="N27" s="117">
        <f>'As-Filed Schedule 2K'!J27</f>
        <v>0</v>
      </c>
      <c r="O27" s="309">
        <f>SUMIFS(Adjustments!$G:$G,Adjustments!$H:$H,"2K",Adjustments!$I:$I,'Schedule 2K Adjustments'!$N$12,Adjustments!$J:$J,'Schedule 2K Adjustments'!$A27)</f>
        <v>0</v>
      </c>
      <c r="P27" s="305">
        <f t="shared" si="3"/>
        <v>0</v>
      </c>
      <c r="Q27" s="68">
        <f>IFERROR(N27*'As-Filed Schedule 1'!$E$103,0)</f>
        <v>0</v>
      </c>
      <c r="R27" s="68">
        <f>IFERROR(P27*'Adjusted Schedule 1'!$E$104,0)</f>
        <v>0</v>
      </c>
      <c r="S27" s="68">
        <f t="shared" si="4"/>
        <v>0</v>
      </c>
      <c r="T27" s="306">
        <f t="shared" si="5"/>
        <v>0</v>
      </c>
      <c r="V27" s="119">
        <f>'As-Filed Schedule 2K'!N27</f>
        <v>0</v>
      </c>
      <c r="W27" s="309">
        <f>SUMIFS(Adjustments!$G:$G,Adjustments!$H:$H,"2K",Adjustments!$I:$I,'Schedule 2K Adjustments'!$V$12,Adjustments!$J:$J,'Schedule 2K Adjustments'!$A27)</f>
        <v>0</v>
      </c>
      <c r="X27" s="305">
        <f t="shared" si="6"/>
        <v>0</v>
      </c>
      <c r="Y27" s="119">
        <f>'As-Filed Schedule 2K'!O27</f>
        <v>0</v>
      </c>
      <c r="Z27" s="309">
        <f>SUMIFS(Adjustments!$G:$G,Adjustments!$H:$H,"2K",Adjustments!$I:$I,'Schedule 2K Adjustments'!$Y$12,Adjustments!$J:$J,'Schedule 2K Adjustments'!$A27)</f>
        <v>0</v>
      </c>
      <c r="AA27" s="305">
        <f t="shared" si="7"/>
        <v>0</v>
      </c>
    </row>
    <row r="28" spans="1:27" x14ac:dyDescent="0.35">
      <c r="A28" s="24">
        <v>14</v>
      </c>
      <c r="B28" s="514" t="str">
        <f>IF('As-Filed Schedule 2K'!B28:D28=0,"",'As-Filed Schedule 2K'!B28:D28)</f>
        <v/>
      </c>
      <c r="C28" s="514"/>
      <c r="D28" s="514"/>
      <c r="F28" s="117">
        <f>'As-Filed Schedule 2K'!F28</f>
        <v>0</v>
      </c>
      <c r="G28" s="309">
        <f>SUMIFS(Adjustments!$G:$G,Adjustments!$H:$H,"2K",Adjustments!$I:$I,'Schedule 2K Adjustments'!$F$12,Adjustments!$J:$J,'Schedule 2K Adjustments'!$A28)</f>
        <v>0</v>
      </c>
      <c r="H28" s="305">
        <f t="shared" si="0"/>
        <v>0</v>
      </c>
      <c r="I28" s="68">
        <f>IFERROR(F28*'As-Filed Schedule 1'!$E$103,0)</f>
        <v>0</v>
      </c>
      <c r="J28" s="306">
        <f>IFERROR(H28*'Adjusted Schedule 1'!$E$104,0)</f>
        <v>0</v>
      </c>
      <c r="K28" s="68">
        <f t="shared" si="1"/>
        <v>0</v>
      </c>
      <c r="L28" s="306">
        <f t="shared" si="2"/>
        <v>0</v>
      </c>
      <c r="N28" s="117">
        <f>'As-Filed Schedule 2K'!J28</f>
        <v>0</v>
      </c>
      <c r="O28" s="309">
        <f>SUMIFS(Adjustments!$G:$G,Adjustments!$H:$H,"2K",Adjustments!$I:$I,'Schedule 2K Adjustments'!$N$12,Adjustments!$J:$J,'Schedule 2K Adjustments'!$A28)</f>
        <v>0</v>
      </c>
      <c r="P28" s="305">
        <f t="shared" si="3"/>
        <v>0</v>
      </c>
      <c r="Q28" s="68">
        <f>IFERROR(N28*'As-Filed Schedule 1'!$E$103,0)</f>
        <v>0</v>
      </c>
      <c r="R28" s="68">
        <f>IFERROR(P28*'Adjusted Schedule 1'!$E$104,0)</f>
        <v>0</v>
      </c>
      <c r="S28" s="68">
        <f t="shared" si="4"/>
        <v>0</v>
      </c>
      <c r="T28" s="306">
        <f t="shared" si="5"/>
        <v>0</v>
      </c>
      <c r="V28" s="119">
        <f>'As-Filed Schedule 2K'!N28</f>
        <v>0</v>
      </c>
      <c r="W28" s="309">
        <f>SUMIFS(Adjustments!$G:$G,Adjustments!$H:$H,"2K",Adjustments!$I:$I,'Schedule 2K Adjustments'!$V$12,Adjustments!$J:$J,'Schedule 2K Adjustments'!$A28)</f>
        <v>0</v>
      </c>
      <c r="X28" s="305">
        <f t="shared" si="6"/>
        <v>0</v>
      </c>
      <c r="Y28" s="119">
        <f>'As-Filed Schedule 2K'!O28</f>
        <v>0</v>
      </c>
      <c r="Z28" s="309">
        <f>SUMIFS(Adjustments!$G:$G,Adjustments!$H:$H,"2K",Adjustments!$I:$I,'Schedule 2K Adjustments'!$Y$12,Adjustments!$J:$J,'Schedule 2K Adjustments'!$A28)</f>
        <v>0</v>
      </c>
      <c r="AA28" s="305">
        <f t="shared" si="7"/>
        <v>0</v>
      </c>
    </row>
    <row r="29" spans="1:27" x14ac:dyDescent="0.35">
      <c r="A29" s="24">
        <v>15</v>
      </c>
      <c r="B29" s="514" t="str">
        <f>IF('As-Filed Schedule 2K'!B29:D29=0,"",'As-Filed Schedule 2K'!B29:D29)</f>
        <v/>
      </c>
      <c r="C29" s="514"/>
      <c r="D29" s="514"/>
      <c r="F29" s="117">
        <f>'As-Filed Schedule 2K'!F29</f>
        <v>0</v>
      </c>
      <c r="G29" s="309">
        <f>SUMIFS(Adjustments!$G:$G,Adjustments!$H:$H,"2K",Adjustments!$I:$I,'Schedule 2K Adjustments'!$F$12,Adjustments!$J:$J,'Schedule 2K Adjustments'!$A29)</f>
        <v>0</v>
      </c>
      <c r="H29" s="305">
        <f t="shared" si="0"/>
        <v>0</v>
      </c>
      <c r="I29" s="68">
        <f>IFERROR(F29*'As-Filed Schedule 1'!$E$103,0)</f>
        <v>0</v>
      </c>
      <c r="J29" s="306">
        <f>IFERROR(H29*'Adjusted Schedule 1'!$E$104,0)</f>
        <v>0</v>
      </c>
      <c r="K29" s="68">
        <f t="shared" si="1"/>
        <v>0</v>
      </c>
      <c r="L29" s="306">
        <f t="shared" si="2"/>
        <v>0</v>
      </c>
      <c r="N29" s="117">
        <f>'As-Filed Schedule 2K'!J29</f>
        <v>0</v>
      </c>
      <c r="O29" s="309">
        <f>SUMIFS(Adjustments!$G:$G,Adjustments!$H:$H,"2K",Adjustments!$I:$I,'Schedule 2K Adjustments'!$N$12,Adjustments!$J:$J,'Schedule 2K Adjustments'!$A29)</f>
        <v>0</v>
      </c>
      <c r="P29" s="305">
        <f t="shared" si="3"/>
        <v>0</v>
      </c>
      <c r="Q29" s="68">
        <f>IFERROR(N29*'As-Filed Schedule 1'!$E$103,0)</f>
        <v>0</v>
      </c>
      <c r="R29" s="68">
        <f>IFERROR(P29*'Adjusted Schedule 1'!$E$104,0)</f>
        <v>0</v>
      </c>
      <c r="S29" s="68">
        <f t="shared" si="4"/>
        <v>0</v>
      </c>
      <c r="T29" s="306">
        <f t="shared" si="5"/>
        <v>0</v>
      </c>
      <c r="V29" s="119">
        <f>'As-Filed Schedule 2K'!N29</f>
        <v>0</v>
      </c>
      <c r="W29" s="309">
        <f>SUMIFS(Adjustments!$G:$G,Adjustments!$H:$H,"2K",Adjustments!$I:$I,'Schedule 2K Adjustments'!$V$12,Adjustments!$J:$J,'Schedule 2K Adjustments'!$A29)</f>
        <v>0</v>
      </c>
      <c r="X29" s="305">
        <f t="shared" si="6"/>
        <v>0</v>
      </c>
      <c r="Y29" s="119">
        <f>'As-Filed Schedule 2K'!O29</f>
        <v>0</v>
      </c>
      <c r="Z29" s="309">
        <f>SUMIFS(Adjustments!$G:$G,Adjustments!$H:$H,"2K",Adjustments!$I:$I,'Schedule 2K Adjustments'!$Y$12,Adjustments!$J:$J,'Schedule 2K Adjustments'!$A29)</f>
        <v>0</v>
      </c>
      <c r="AA29" s="305">
        <f t="shared" si="7"/>
        <v>0</v>
      </c>
    </row>
    <row r="30" spans="1:27" x14ac:dyDescent="0.35">
      <c r="A30" s="24">
        <v>16</v>
      </c>
      <c r="B30" s="514" t="str">
        <f>IF('As-Filed Schedule 2K'!B30:D30=0,"",'As-Filed Schedule 2K'!B30:D30)</f>
        <v/>
      </c>
      <c r="C30" s="514"/>
      <c r="D30" s="514"/>
      <c r="F30" s="117">
        <f>'As-Filed Schedule 2K'!F30</f>
        <v>0</v>
      </c>
      <c r="G30" s="309">
        <f>SUMIFS(Adjustments!$G:$G,Adjustments!$H:$H,"2K",Adjustments!$I:$I,'Schedule 2K Adjustments'!$F$12,Adjustments!$J:$J,'Schedule 2K Adjustments'!$A30)</f>
        <v>0</v>
      </c>
      <c r="H30" s="305">
        <f t="shared" si="0"/>
        <v>0</v>
      </c>
      <c r="I30" s="68">
        <f>IFERROR(F30*'As-Filed Schedule 1'!$E$103,0)</f>
        <v>0</v>
      </c>
      <c r="J30" s="306">
        <f>IFERROR(H30*'Adjusted Schedule 1'!$E$104,0)</f>
        <v>0</v>
      </c>
      <c r="K30" s="68">
        <f t="shared" si="1"/>
        <v>0</v>
      </c>
      <c r="L30" s="306">
        <f t="shared" si="2"/>
        <v>0</v>
      </c>
      <c r="N30" s="117">
        <f>'As-Filed Schedule 2K'!J30</f>
        <v>0</v>
      </c>
      <c r="O30" s="309">
        <f>SUMIFS(Adjustments!$G:$G,Adjustments!$H:$H,"2K",Adjustments!$I:$I,'Schedule 2K Adjustments'!$N$12,Adjustments!$J:$J,'Schedule 2K Adjustments'!$A30)</f>
        <v>0</v>
      </c>
      <c r="P30" s="305">
        <f t="shared" si="3"/>
        <v>0</v>
      </c>
      <c r="Q30" s="68">
        <f>IFERROR(N30*'As-Filed Schedule 1'!$E$103,0)</f>
        <v>0</v>
      </c>
      <c r="R30" s="68">
        <f>IFERROR(P30*'Adjusted Schedule 1'!$E$104,0)</f>
        <v>0</v>
      </c>
      <c r="S30" s="68">
        <f t="shared" si="4"/>
        <v>0</v>
      </c>
      <c r="T30" s="306">
        <f t="shared" si="5"/>
        <v>0</v>
      </c>
      <c r="V30" s="119">
        <f>'As-Filed Schedule 2K'!N30</f>
        <v>0</v>
      </c>
      <c r="W30" s="309">
        <f>SUMIFS(Adjustments!$G:$G,Adjustments!$H:$H,"2K",Adjustments!$I:$I,'Schedule 2K Adjustments'!$V$12,Adjustments!$J:$J,'Schedule 2K Adjustments'!$A30)</f>
        <v>0</v>
      </c>
      <c r="X30" s="305">
        <f t="shared" si="6"/>
        <v>0</v>
      </c>
      <c r="Y30" s="119">
        <f>'As-Filed Schedule 2K'!O30</f>
        <v>0</v>
      </c>
      <c r="Z30" s="309">
        <f>SUMIFS(Adjustments!$G:$G,Adjustments!$H:$H,"2K",Adjustments!$I:$I,'Schedule 2K Adjustments'!$Y$12,Adjustments!$J:$J,'Schedule 2K Adjustments'!$A30)</f>
        <v>0</v>
      </c>
      <c r="AA30" s="305">
        <f t="shared" si="7"/>
        <v>0</v>
      </c>
    </row>
    <row r="31" spans="1:27" x14ac:dyDescent="0.35">
      <c r="A31" s="24">
        <v>17</v>
      </c>
      <c r="B31" s="514" t="str">
        <f>IF('As-Filed Schedule 2K'!B31:D31=0,"",'As-Filed Schedule 2K'!B31:D31)</f>
        <v/>
      </c>
      <c r="C31" s="514"/>
      <c r="D31" s="514"/>
      <c r="F31" s="117">
        <f>'As-Filed Schedule 2K'!F31</f>
        <v>0</v>
      </c>
      <c r="G31" s="309">
        <f>SUMIFS(Adjustments!$G:$G,Adjustments!$H:$H,"2K",Adjustments!$I:$I,'Schedule 2K Adjustments'!$F$12,Adjustments!$J:$J,'Schedule 2K Adjustments'!$A31)</f>
        <v>0</v>
      </c>
      <c r="H31" s="305">
        <f t="shared" si="0"/>
        <v>0</v>
      </c>
      <c r="I31" s="68">
        <f>IFERROR(F31*'As-Filed Schedule 1'!$E$103,0)</f>
        <v>0</v>
      </c>
      <c r="J31" s="306">
        <f>IFERROR(H31*'Adjusted Schedule 1'!$E$104,0)</f>
        <v>0</v>
      </c>
      <c r="K31" s="68">
        <f t="shared" si="1"/>
        <v>0</v>
      </c>
      <c r="L31" s="306">
        <f t="shared" si="2"/>
        <v>0</v>
      </c>
      <c r="N31" s="117">
        <f>'As-Filed Schedule 2K'!J31</f>
        <v>0</v>
      </c>
      <c r="O31" s="309">
        <f>SUMIFS(Adjustments!$G:$G,Adjustments!$H:$H,"2K",Adjustments!$I:$I,'Schedule 2K Adjustments'!$N$12,Adjustments!$J:$J,'Schedule 2K Adjustments'!$A31)</f>
        <v>0</v>
      </c>
      <c r="P31" s="305">
        <f t="shared" si="3"/>
        <v>0</v>
      </c>
      <c r="Q31" s="68">
        <f>IFERROR(N31*'As-Filed Schedule 1'!$E$103,0)</f>
        <v>0</v>
      </c>
      <c r="R31" s="68">
        <f>IFERROR(P31*'Adjusted Schedule 1'!$E$104,0)</f>
        <v>0</v>
      </c>
      <c r="S31" s="68">
        <f t="shared" si="4"/>
        <v>0</v>
      </c>
      <c r="T31" s="306">
        <f t="shared" si="5"/>
        <v>0</v>
      </c>
      <c r="V31" s="119">
        <f>'As-Filed Schedule 2K'!N31</f>
        <v>0</v>
      </c>
      <c r="W31" s="309">
        <f>SUMIFS(Adjustments!$G:$G,Adjustments!$H:$H,"2K",Adjustments!$I:$I,'Schedule 2K Adjustments'!$V$12,Adjustments!$J:$J,'Schedule 2K Adjustments'!$A31)</f>
        <v>0</v>
      </c>
      <c r="X31" s="305">
        <f t="shared" si="6"/>
        <v>0</v>
      </c>
      <c r="Y31" s="119">
        <f>'As-Filed Schedule 2K'!O31</f>
        <v>0</v>
      </c>
      <c r="Z31" s="309">
        <f>SUMIFS(Adjustments!$G:$G,Adjustments!$H:$H,"2K",Adjustments!$I:$I,'Schedule 2K Adjustments'!$Y$12,Adjustments!$J:$J,'Schedule 2K Adjustments'!$A31)</f>
        <v>0</v>
      </c>
      <c r="AA31" s="305">
        <f t="shared" si="7"/>
        <v>0</v>
      </c>
    </row>
    <row r="32" spans="1:27" x14ac:dyDescent="0.35">
      <c r="A32" s="24">
        <v>18</v>
      </c>
      <c r="B32" s="514" t="str">
        <f>IF('As-Filed Schedule 2K'!B32:D32=0,"",'As-Filed Schedule 2K'!B32:D32)</f>
        <v/>
      </c>
      <c r="C32" s="514"/>
      <c r="D32" s="514"/>
      <c r="F32" s="117">
        <f>'As-Filed Schedule 2K'!F32</f>
        <v>0</v>
      </c>
      <c r="G32" s="309">
        <f>SUMIFS(Adjustments!$G:$G,Adjustments!$H:$H,"2K",Adjustments!$I:$I,'Schedule 2K Adjustments'!$F$12,Adjustments!$J:$J,'Schedule 2K Adjustments'!$A32)</f>
        <v>0</v>
      </c>
      <c r="H32" s="305">
        <f t="shared" si="0"/>
        <v>0</v>
      </c>
      <c r="I32" s="68">
        <f>IFERROR(F32*'As-Filed Schedule 1'!$E$103,0)</f>
        <v>0</v>
      </c>
      <c r="J32" s="306">
        <f>IFERROR(H32*'Adjusted Schedule 1'!$E$104,0)</f>
        <v>0</v>
      </c>
      <c r="K32" s="68">
        <f t="shared" si="1"/>
        <v>0</v>
      </c>
      <c r="L32" s="306">
        <f t="shared" si="2"/>
        <v>0</v>
      </c>
      <c r="N32" s="117">
        <f>'As-Filed Schedule 2K'!J32</f>
        <v>0</v>
      </c>
      <c r="O32" s="309">
        <f>SUMIFS(Adjustments!$G:$G,Adjustments!$H:$H,"2K",Adjustments!$I:$I,'Schedule 2K Adjustments'!$N$12,Adjustments!$J:$J,'Schedule 2K Adjustments'!$A32)</f>
        <v>0</v>
      </c>
      <c r="P32" s="305">
        <f t="shared" si="3"/>
        <v>0</v>
      </c>
      <c r="Q32" s="68">
        <f>IFERROR(N32*'As-Filed Schedule 1'!$E$103,0)</f>
        <v>0</v>
      </c>
      <c r="R32" s="68">
        <f>IFERROR(P32*'Adjusted Schedule 1'!$E$104,0)</f>
        <v>0</v>
      </c>
      <c r="S32" s="68">
        <f t="shared" si="4"/>
        <v>0</v>
      </c>
      <c r="T32" s="306">
        <f t="shared" si="5"/>
        <v>0</v>
      </c>
      <c r="V32" s="119">
        <f>'As-Filed Schedule 2K'!N32</f>
        <v>0</v>
      </c>
      <c r="W32" s="309">
        <f>SUMIFS(Adjustments!$G:$G,Adjustments!$H:$H,"2K",Adjustments!$I:$I,'Schedule 2K Adjustments'!$V$12,Adjustments!$J:$J,'Schedule 2K Adjustments'!$A32)</f>
        <v>0</v>
      </c>
      <c r="X32" s="305">
        <f t="shared" si="6"/>
        <v>0</v>
      </c>
      <c r="Y32" s="119">
        <f>'As-Filed Schedule 2K'!O32</f>
        <v>0</v>
      </c>
      <c r="Z32" s="309">
        <f>SUMIFS(Adjustments!$G:$G,Adjustments!$H:$H,"2K",Adjustments!$I:$I,'Schedule 2K Adjustments'!$Y$12,Adjustments!$J:$J,'Schedule 2K Adjustments'!$A32)</f>
        <v>0</v>
      </c>
      <c r="AA32" s="305">
        <f t="shared" si="7"/>
        <v>0</v>
      </c>
    </row>
    <row r="33" spans="1:27" x14ac:dyDescent="0.35">
      <c r="A33" s="24">
        <v>19</v>
      </c>
      <c r="B33" s="514" t="str">
        <f>IF('As-Filed Schedule 2K'!B33:D33=0,"",'As-Filed Schedule 2K'!B33:D33)</f>
        <v/>
      </c>
      <c r="C33" s="514"/>
      <c r="D33" s="514"/>
      <c r="F33" s="117">
        <f>'As-Filed Schedule 2K'!F33</f>
        <v>0</v>
      </c>
      <c r="G33" s="309">
        <f>SUMIFS(Adjustments!$G:$G,Adjustments!$H:$H,"2K",Adjustments!$I:$I,'Schedule 2K Adjustments'!$F$12,Adjustments!$J:$J,'Schedule 2K Adjustments'!$A33)</f>
        <v>0</v>
      </c>
      <c r="H33" s="305">
        <f t="shared" si="0"/>
        <v>0</v>
      </c>
      <c r="I33" s="68">
        <f>IFERROR(F33*'As-Filed Schedule 1'!$E$103,0)</f>
        <v>0</v>
      </c>
      <c r="J33" s="306">
        <f>IFERROR(H33*'Adjusted Schedule 1'!$E$104,0)</f>
        <v>0</v>
      </c>
      <c r="K33" s="68">
        <f t="shared" si="1"/>
        <v>0</v>
      </c>
      <c r="L33" s="306">
        <f t="shared" si="2"/>
        <v>0</v>
      </c>
      <c r="N33" s="117">
        <f>'As-Filed Schedule 2K'!J33</f>
        <v>0</v>
      </c>
      <c r="O33" s="309">
        <f>SUMIFS(Adjustments!$G:$G,Adjustments!$H:$H,"2K",Adjustments!$I:$I,'Schedule 2K Adjustments'!$N$12,Adjustments!$J:$J,'Schedule 2K Adjustments'!$A33)</f>
        <v>0</v>
      </c>
      <c r="P33" s="305">
        <f t="shared" si="3"/>
        <v>0</v>
      </c>
      <c r="Q33" s="68">
        <f>IFERROR(N33*'As-Filed Schedule 1'!$E$103,0)</f>
        <v>0</v>
      </c>
      <c r="R33" s="68">
        <f>IFERROR(P33*'Adjusted Schedule 1'!$E$104,0)</f>
        <v>0</v>
      </c>
      <c r="S33" s="68">
        <f t="shared" si="4"/>
        <v>0</v>
      </c>
      <c r="T33" s="306">
        <f t="shared" si="5"/>
        <v>0</v>
      </c>
      <c r="V33" s="119">
        <f>'As-Filed Schedule 2K'!N33</f>
        <v>0</v>
      </c>
      <c r="W33" s="309">
        <f>SUMIFS(Adjustments!$G:$G,Adjustments!$H:$H,"2K",Adjustments!$I:$I,'Schedule 2K Adjustments'!$V$12,Adjustments!$J:$J,'Schedule 2K Adjustments'!$A33)</f>
        <v>0</v>
      </c>
      <c r="X33" s="305">
        <f t="shared" si="6"/>
        <v>0</v>
      </c>
      <c r="Y33" s="119">
        <f>'As-Filed Schedule 2K'!O33</f>
        <v>0</v>
      </c>
      <c r="Z33" s="309">
        <f>SUMIFS(Adjustments!$G:$G,Adjustments!$H:$H,"2K",Adjustments!$I:$I,'Schedule 2K Adjustments'!$Y$12,Adjustments!$J:$J,'Schedule 2K Adjustments'!$A33)</f>
        <v>0</v>
      </c>
      <c r="AA33" s="305">
        <f t="shared" si="7"/>
        <v>0</v>
      </c>
    </row>
    <row r="34" spans="1:27" x14ac:dyDescent="0.35">
      <c r="A34" s="24">
        <v>20</v>
      </c>
      <c r="B34" s="514" t="str">
        <f>IF('As-Filed Schedule 2K'!B34:D34=0,"",'As-Filed Schedule 2K'!B34:D34)</f>
        <v/>
      </c>
      <c r="C34" s="514"/>
      <c r="D34" s="514"/>
      <c r="F34" s="117">
        <f>'As-Filed Schedule 2K'!F34</f>
        <v>0</v>
      </c>
      <c r="G34" s="309">
        <f>SUMIFS(Adjustments!$G:$G,Adjustments!$H:$H,"2K",Adjustments!$I:$I,'Schedule 2K Adjustments'!$F$12,Adjustments!$J:$J,'Schedule 2K Adjustments'!$A34)</f>
        <v>0</v>
      </c>
      <c r="H34" s="305">
        <f t="shared" si="0"/>
        <v>0</v>
      </c>
      <c r="I34" s="68">
        <f>IFERROR(F34*'As-Filed Schedule 1'!$E$103,0)</f>
        <v>0</v>
      </c>
      <c r="J34" s="306">
        <f>IFERROR(H34*'Adjusted Schedule 1'!$E$104,0)</f>
        <v>0</v>
      </c>
      <c r="K34" s="68">
        <f t="shared" si="1"/>
        <v>0</v>
      </c>
      <c r="L34" s="306">
        <f t="shared" si="2"/>
        <v>0</v>
      </c>
      <c r="N34" s="117">
        <f>'As-Filed Schedule 2K'!J34</f>
        <v>0</v>
      </c>
      <c r="O34" s="309">
        <f>SUMIFS(Adjustments!$G:$G,Adjustments!$H:$H,"2K",Adjustments!$I:$I,'Schedule 2K Adjustments'!$N$12,Adjustments!$J:$J,'Schedule 2K Adjustments'!$A34)</f>
        <v>0</v>
      </c>
      <c r="P34" s="305">
        <f t="shared" si="3"/>
        <v>0</v>
      </c>
      <c r="Q34" s="68">
        <f>IFERROR(N34*'As-Filed Schedule 1'!$E$103,0)</f>
        <v>0</v>
      </c>
      <c r="R34" s="68">
        <f>IFERROR(P34*'Adjusted Schedule 1'!$E$104,0)</f>
        <v>0</v>
      </c>
      <c r="S34" s="68">
        <f t="shared" si="4"/>
        <v>0</v>
      </c>
      <c r="T34" s="306">
        <f t="shared" si="5"/>
        <v>0</v>
      </c>
      <c r="V34" s="119">
        <f>'As-Filed Schedule 2K'!N34</f>
        <v>0</v>
      </c>
      <c r="W34" s="309">
        <f>SUMIFS(Adjustments!$G:$G,Adjustments!$H:$H,"2K",Adjustments!$I:$I,'Schedule 2K Adjustments'!$V$12,Adjustments!$J:$J,'Schedule 2K Adjustments'!$A34)</f>
        <v>0</v>
      </c>
      <c r="X34" s="305">
        <f t="shared" si="6"/>
        <v>0</v>
      </c>
      <c r="Y34" s="119">
        <f>'As-Filed Schedule 2K'!O34</f>
        <v>0</v>
      </c>
      <c r="Z34" s="309">
        <f>SUMIFS(Adjustments!$G:$G,Adjustments!$H:$H,"2K",Adjustments!$I:$I,'Schedule 2K Adjustments'!$Y$12,Adjustments!$J:$J,'Schedule 2K Adjustments'!$A34)</f>
        <v>0</v>
      </c>
      <c r="AA34" s="305">
        <f t="shared" si="7"/>
        <v>0</v>
      </c>
    </row>
    <row r="35" spans="1:27" x14ac:dyDescent="0.35">
      <c r="A35" s="24">
        <v>21</v>
      </c>
      <c r="B35" s="514" t="str">
        <f>IF('As-Filed Schedule 2K'!B35:D35=0,"",'As-Filed Schedule 2K'!B35:D35)</f>
        <v/>
      </c>
      <c r="C35" s="514"/>
      <c r="D35" s="514"/>
      <c r="F35" s="117">
        <f>'As-Filed Schedule 2K'!F35</f>
        <v>0</v>
      </c>
      <c r="G35" s="309">
        <f>SUMIFS(Adjustments!$G:$G,Adjustments!$H:$H,"2K",Adjustments!$I:$I,'Schedule 2K Adjustments'!$F$12,Adjustments!$J:$J,'Schedule 2K Adjustments'!$A35)</f>
        <v>0</v>
      </c>
      <c r="H35" s="305">
        <f t="shared" si="0"/>
        <v>0</v>
      </c>
      <c r="I35" s="68">
        <f>IFERROR(F35*'As-Filed Schedule 1'!$E$103,0)</f>
        <v>0</v>
      </c>
      <c r="J35" s="306">
        <f>IFERROR(H35*'Adjusted Schedule 1'!$E$104,0)</f>
        <v>0</v>
      </c>
      <c r="K35" s="68">
        <f t="shared" si="1"/>
        <v>0</v>
      </c>
      <c r="L35" s="306">
        <f t="shared" si="2"/>
        <v>0</v>
      </c>
      <c r="N35" s="117">
        <f>'As-Filed Schedule 2K'!J35</f>
        <v>0</v>
      </c>
      <c r="O35" s="309">
        <f>SUMIFS(Adjustments!$G:$G,Adjustments!$H:$H,"2K",Adjustments!$I:$I,'Schedule 2K Adjustments'!$N$12,Adjustments!$J:$J,'Schedule 2K Adjustments'!$A35)</f>
        <v>0</v>
      </c>
      <c r="P35" s="305">
        <f t="shared" si="3"/>
        <v>0</v>
      </c>
      <c r="Q35" s="68">
        <f>IFERROR(N35*'As-Filed Schedule 1'!$E$103,0)</f>
        <v>0</v>
      </c>
      <c r="R35" s="68">
        <f>IFERROR(P35*'Adjusted Schedule 1'!$E$104,0)</f>
        <v>0</v>
      </c>
      <c r="S35" s="68">
        <f t="shared" si="4"/>
        <v>0</v>
      </c>
      <c r="T35" s="306">
        <f t="shared" si="5"/>
        <v>0</v>
      </c>
      <c r="V35" s="119">
        <f>'As-Filed Schedule 2K'!N35</f>
        <v>0</v>
      </c>
      <c r="W35" s="309">
        <f>SUMIFS(Adjustments!$G:$G,Adjustments!$H:$H,"2K",Adjustments!$I:$I,'Schedule 2K Adjustments'!$V$12,Adjustments!$J:$J,'Schedule 2K Adjustments'!$A35)</f>
        <v>0</v>
      </c>
      <c r="X35" s="305">
        <f t="shared" si="6"/>
        <v>0</v>
      </c>
      <c r="Y35" s="119">
        <f>'As-Filed Schedule 2K'!O35</f>
        <v>0</v>
      </c>
      <c r="Z35" s="309">
        <f>SUMIFS(Adjustments!$G:$G,Adjustments!$H:$H,"2K",Adjustments!$I:$I,'Schedule 2K Adjustments'!$Y$12,Adjustments!$J:$J,'Schedule 2K Adjustments'!$A35)</f>
        <v>0</v>
      </c>
      <c r="AA35" s="305">
        <f t="shared" si="7"/>
        <v>0</v>
      </c>
    </row>
    <row r="36" spans="1:27" x14ac:dyDescent="0.35">
      <c r="A36" s="24">
        <v>22</v>
      </c>
      <c r="B36" s="514" t="str">
        <f>IF('As-Filed Schedule 2K'!B36:D36=0,"",'As-Filed Schedule 2K'!B36:D36)</f>
        <v/>
      </c>
      <c r="C36" s="514"/>
      <c r="D36" s="514"/>
      <c r="F36" s="117">
        <f>'As-Filed Schedule 2K'!F36</f>
        <v>0</v>
      </c>
      <c r="G36" s="309">
        <f>SUMIFS(Adjustments!$G:$G,Adjustments!$H:$H,"2K",Adjustments!$I:$I,'Schedule 2K Adjustments'!$F$12,Adjustments!$J:$J,'Schedule 2K Adjustments'!$A36)</f>
        <v>0</v>
      </c>
      <c r="H36" s="305">
        <f t="shared" si="0"/>
        <v>0</v>
      </c>
      <c r="I36" s="68">
        <f>IFERROR(F36*'As-Filed Schedule 1'!$E$103,0)</f>
        <v>0</v>
      </c>
      <c r="J36" s="306">
        <f>IFERROR(H36*'Adjusted Schedule 1'!$E$104,0)</f>
        <v>0</v>
      </c>
      <c r="K36" s="68">
        <f t="shared" si="1"/>
        <v>0</v>
      </c>
      <c r="L36" s="306">
        <f t="shared" si="2"/>
        <v>0</v>
      </c>
      <c r="N36" s="117">
        <f>'As-Filed Schedule 2K'!J36</f>
        <v>0</v>
      </c>
      <c r="O36" s="309">
        <f>SUMIFS(Adjustments!$G:$G,Adjustments!$H:$H,"2K",Adjustments!$I:$I,'Schedule 2K Adjustments'!$N$12,Adjustments!$J:$J,'Schedule 2K Adjustments'!$A36)</f>
        <v>0</v>
      </c>
      <c r="P36" s="305">
        <f t="shared" si="3"/>
        <v>0</v>
      </c>
      <c r="Q36" s="68">
        <f>IFERROR(N36*'As-Filed Schedule 1'!$E$103,0)</f>
        <v>0</v>
      </c>
      <c r="R36" s="68">
        <f>IFERROR(P36*'Adjusted Schedule 1'!$E$104,0)</f>
        <v>0</v>
      </c>
      <c r="S36" s="68">
        <f t="shared" si="4"/>
        <v>0</v>
      </c>
      <c r="T36" s="306">
        <f t="shared" si="5"/>
        <v>0</v>
      </c>
      <c r="V36" s="119">
        <f>'As-Filed Schedule 2K'!N36</f>
        <v>0</v>
      </c>
      <c r="W36" s="309">
        <f>SUMIFS(Adjustments!$G:$G,Adjustments!$H:$H,"2K",Adjustments!$I:$I,'Schedule 2K Adjustments'!$V$12,Adjustments!$J:$J,'Schedule 2K Adjustments'!$A36)</f>
        <v>0</v>
      </c>
      <c r="X36" s="305">
        <f t="shared" si="6"/>
        <v>0</v>
      </c>
      <c r="Y36" s="119">
        <f>'As-Filed Schedule 2K'!O36</f>
        <v>0</v>
      </c>
      <c r="Z36" s="309">
        <f>SUMIFS(Adjustments!$G:$G,Adjustments!$H:$H,"2K",Adjustments!$I:$I,'Schedule 2K Adjustments'!$Y$12,Adjustments!$J:$J,'Schedule 2K Adjustments'!$A36)</f>
        <v>0</v>
      </c>
      <c r="AA36" s="305">
        <f t="shared" si="7"/>
        <v>0</v>
      </c>
    </row>
    <row r="37" spans="1:27" x14ac:dyDescent="0.35">
      <c r="A37" s="24">
        <v>23</v>
      </c>
      <c r="B37" s="514" t="str">
        <f>IF('As-Filed Schedule 2K'!B37:D37=0,"",'As-Filed Schedule 2K'!B37:D37)</f>
        <v/>
      </c>
      <c r="C37" s="514"/>
      <c r="D37" s="514"/>
      <c r="F37" s="117">
        <f>'As-Filed Schedule 2K'!F37</f>
        <v>0</v>
      </c>
      <c r="G37" s="309">
        <f>SUMIFS(Adjustments!$G:$G,Adjustments!$H:$H,"2K",Adjustments!$I:$I,'Schedule 2K Adjustments'!$F$12,Adjustments!$J:$J,'Schedule 2K Adjustments'!$A37)</f>
        <v>0</v>
      </c>
      <c r="H37" s="305">
        <f t="shared" si="0"/>
        <v>0</v>
      </c>
      <c r="I37" s="68">
        <f>IFERROR(F37*'As-Filed Schedule 1'!$E$103,0)</f>
        <v>0</v>
      </c>
      <c r="J37" s="306">
        <f>IFERROR(H37*'Adjusted Schedule 1'!$E$104,0)</f>
        <v>0</v>
      </c>
      <c r="K37" s="68">
        <f t="shared" si="1"/>
        <v>0</v>
      </c>
      <c r="L37" s="306">
        <f t="shared" si="2"/>
        <v>0</v>
      </c>
      <c r="N37" s="117">
        <f>'As-Filed Schedule 2K'!J37</f>
        <v>0</v>
      </c>
      <c r="O37" s="309">
        <f>SUMIFS(Adjustments!$G:$G,Adjustments!$H:$H,"2K",Adjustments!$I:$I,'Schedule 2K Adjustments'!$N$12,Adjustments!$J:$J,'Schedule 2K Adjustments'!$A37)</f>
        <v>0</v>
      </c>
      <c r="P37" s="305">
        <f t="shared" si="3"/>
        <v>0</v>
      </c>
      <c r="Q37" s="68">
        <f>IFERROR(N37*'As-Filed Schedule 1'!$E$103,0)</f>
        <v>0</v>
      </c>
      <c r="R37" s="68">
        <f>IFERROR(P37*'Adjusted Schedule 1'!$E$104,0)</f>
        <v>0</v>
      </c>
      <c r="S37" s="68">
        <f t="shared" si="4"/>
        <v>0</v>
      </c>
      <c r="T37" s="306">
        <f t="shared" si="5"/>
        <v>0</v>
      </c>
      <c r="V37" s="119">
        <f>'As-Filed Schedule 2K'!N37</f>
        <v>0</v>
      </c>
      <c r="W37" s="309">
        <f>SUMIFS(Adjustments!$G:$G,Adjustments!$H:$H,"2K",Adjustments!$I:$I,'Schedule 2K Adjustments'!$V$12,Adjustments!$J:$J,'Schedule 2K Adjustments'!$A37)</f>
        <v>0</v>
      </c>
      <c r="X37" s="305">
        <f t="shared" si="6"/>
        <v>0</v>
      </c>
      <c r="Y37" s="119">
        <f>'As-Filed Schedule 2K'!O37</f>
        <v>0</v>
      </c>
      <c r="Z37" s="309">
        <f>SUMIFS(Adjustments!$G:$G,Adjustments!$H:$H,"2K",Adjustments!$I:$I,'Schedule 2K Adjustments'!$Y$12,Adjustments!$J:$J,'Schedule 2K Adjustments'!$A37)</f>
        <v>0</v>
      </c>
      <c r="AA37" s="305">
        <f t="shared" si="7"/>
        <v>0</v>
      </c>
    </row>
    <row r="38" spans="1:27" x14ac:dyDescent="0.35">
      <c r="A38" s="24">
        <v>24</v>
      </c>
      <c r="B38" s="514" t="str">
        <f>IF('As-Filed Schedule 2K'!B38:D38=0,"",'As-Filed Schedule 2K'!B38:D38)</f>
        <v/>
      </c>
      <c r="C38" s="514"/>
      <c r="D38" s="514"/>
      <c r="F38" s="117">
        <f>'As-Filed Schedule 2K'!F38</f>
        <v>0</v>
      </c>
      <c r="G38" s="309">
        <f>SUMIFS(Adjustments!$G:$G,Adjustments!$H:$H,"2K",Adjustments!$I:$I,'Schedule 2K Adjustments'!$F$12,Adjustments!$J:$J,'Schedule 2K Adjustments'!$A38)</f>
        <v>0</v>
      </c>
      <c r="H38" s="305">
        <f t="shared" si="0"/>
        <v>0</v>
      </c>
      <c r="I38" s="68">
        <f>IFERROR(F38*'As-Filed Schedule 1'!$E$103,0)</f>
        <v>0</v>
      </c>
      <c r="J38" s="306">
        <f>IFERROR(H38*'Adjusted Schedule 1'!$E$104,0)</f>
        <v>0</v>
      </c>
      <c r="K38" s="68">
        <f t="shared" si="1"/>
        <v>0</v>
      </c>
      <c r="L38" s="306">
        <f t="shared" si="2"/>
        <v>0</v>
      </c>
      <c r="N38" s="117">
        <f>'As-Filed Schedule 2K'!J38</f>
        <v>0</v>
      </c>
      <c r="O38" s="309">
        <f>SUMIFS(Adjustments!$G:$G,Adjustments!$H:$H,"2K",Adjustments!$I:$I,'Schedule 2K Adjustments'!$N$12,Adjustments!$J:$J,'Schedule 2K Adjustments'!$A38)</f>
        <v>0</v>
      </c>
      <c r="P38" s="305">
        <f t="shared" si="3"/>
        <v>0</v>
      </c>
      <c r="Q38" s="68">
        <f>IFERROR(N38*'As-Filed Schedule 1'!$E$103,0)</f>
        <v>0</v>
      </c>
      <c r="R38" s="68">
        <f>IFERROR(P38*'Adjusted Schedule 1'!$E$104,0)</f>
        <v>0</v>
      </c>
      <c r="S38" s="68">
        <f t="shared" si="4"/>
        <v>0</v>
      </c>
      <c r="T38" s="306">
        <f t="shared" si="5"/>
        <v>0</v>
      </c>
      <c r="V38" s="119">
        <f>'As-Filed Schedule 2K'!N38</f>
        <v>0</v>
      </c>
      <c r="W38" s="309">
        <f>SUMIFS(Adjustments!$G:$G,Adjustments!$H:$H,"2K",Adjustments!$I:$I,'Schedule 2K Adjustments'!$V$12,Adjustments!$J:$J,'Schedule 2K Adjustments'!$A38)</f>
        <v>0</v>
      </c>
      <c r="X38" s="305">
        <f t="shared" si="6"/>
        <v>0</v>
      </c>
      <c r="Y38" s="119">
        <f>'As-Filed Schedule 2K'!O38</f>
        <v>0</v>
      </c>
      <c r="Z38" s="309">
        <f>SUMIFS(Adjustments!$G:$G,Adjustments!$H:$H,"2K",Adjustments!$I:$I,'Schedule 2K Adjustments'!$Y$12,Adjustments!$J:$J,'Schedule 2K Adjustments'!$A38)</f>
        <v>0</v>
      </c>
      <c r="AA38" s="305">
        <f t="shared" si="7"/>
        <v>0</v>
      </c>
    </row>
    <row r="39" spans="1:27" x14ac:dyDescent="0.35">
      <c r="A39" s="24">
        <v>25</v>
      </c>
      <c r="B39" s="514" t="str">
        <f>IF('As-Filed Schedule 2K'!B39:D39=0,"",'As-Filed Schedule 2K'!B39:D39)</f>
        <v/>
      </c>
      <c r="C39" s="514"/>
      <c r="D39" s="514"/>
      <c r="F39" s="117">
        <f>'As-Filed Schedule 2K'!F39</f>
        <v>0</v>
      </c>
      <c r="G39" s="309">
        <f>SUMIFS(Adjustments!$G:$G,Adjustments!$H:$H,"2K",Adjustments!$I:$I,'Schedule 2K Adjustments'!$F$12,Adjustments!$J:$J,'Schedule 2K Adjustments'!$A39)</f>
        <v>0</v>
      </c>
      <c r="H39" s="305">
        <f t="shared" si="0"/>
        <v>0</v>
      </c>
      <c r="I39" s="68">
        <f>IFERROR(F39*'As-Filed Schedule 1'!$E$103,0)</f>
        <v>0</v>
      </c>
      <c r="J39" s="306">
        <f>IFERROR(H39*'Adjusted Schedule 1'!$E$104,0)</f>
        <v>0</v>
      </c>
      <c r="K39" s="68">
        <f t="shared" si="1"/>
        <v>0</v>
      </c>
      <c r="L39" s="306">
        <f t="shared" si="2"/>
        <v>0</v>
      </c>
      <c r="N39" s="117">
        <f>'As-Filed Schedule 2K'!J39</f>
        <v>0</v>
      </c>
      <c r="O39" s="309">
        <f>SUMIFS(Adjustments!$G:$G,Adjustments!$H:$H,"2K",Adjustments!$I:$I,'Schedule 2K Adjustments'!$N$12,Adjustments!$J:$J,'Schedule 2K Adjustments'!$A39)</f>
        <v>0</v>
      </c>
      <c r="P39" s="305">
        <f t="shared" si="3"/>
        <v>0</v>
      </c>
      <c r="Q39" s="68">
        <f>IFERROR(N39*'As-Filed Schedule 1'!$E$103,0)</f>
        <v>0</v>
      </c>
      <c r="R39" s="68">
        <f>IFERROR(P39*'Adjusted Schedule 1'!$E$104,0)</f>
        <v>0</v>
      </c>
      <c r="S39" s="68">
        <f t="shared" si="4"/>
        <v>0</v>
      </c>
      <c r="T39" s="306">
        <f t="shared" si="5"/>
        <v>0</v>
      </c>
      <c r="V39" s="119">
        <f>'As-Filed Schedule 2K'!N39</f>
        <v>0</v>
      </c>
      <c r="W39" s="309">
        <f>SUMIFS(Adjustments!$G:$G,Adjustments!$H:$H,"2K",Adjustments!$I:$I,'Schedule 2K Adjustments'!$V$12,Adjustments!$J:$J,'Schedule 2K Adjustments'!$A39)</f>
        <v>0</v>
      </c>
      <c r="X39" s="305">
        <f t="shared" si="6"/>
        <v>0</v>
      </c>
      <c r="Y39" s="119">
        <f>'As-Filed Schedule 2K'!O39</f>
        <v>0</v>
      </c>
      <c r="Z39" s="309">
        <f>SUMIFS(Adjustments!$G:$G,Adjustments!$H:$H,"2K",Adjustments!$I:$I,'Schedule 2K Adjustments'!$Y$12,Adjustments!$J:$J,'Schedule 2K Adjustments'!$A39)</f>
        <v>0</v>
      </c>
      <c r="AA39" s="305">
        <f t="shared" si="7"/>
        <v>0</v>
      </c>
    </row>
    <row r="40" spans="1:27" x14ac:dyDescent="0.35">
      <c r="A40" s="24">
        <v>26</v>
      </c>
      <c r="B40" s="514" t="str">
        <f>IF('As-Filed Schedule 2K'!B40:D40=0,"",'As-Filed Schedule 2K'!B40:D40)</f>
        <v/>
      </c>
      <c r="C40" s="514"/>
      <c r="D40" s="514"/>
      <c r="F40" s="117">
        <f>'As-Filed Schedule 2K'!F40</f>
        <v>0</v>
      </c>
      <c r="G40" s="309">
        <f>SUMIFS(Adjustments!$G:$G,Adjustments!$H:$H,"2K",Adjustments!$I:$I,'Schedule 2K Adjustments'!$F$12,Adjustments!$J:$J,'Schedule 2K Adjustments'!$A40)</f>
        <v>0</v>
      </c>
      <c r="H40" s="305">
        <f t="shared" si="0"/>
        <v>0</v>
      </c>
      <c r="I40" s="68">
        <f>IFERROR(F40*'As-Filed Schedule 1'!$E$103,0)</f>
        <v>0</v>
      </c>
      <c r="J40" s="306">
        <f>IFERROR(H40*'Adjusted Schedule 1'!$E$104,0)</f>
        <v>0</v>
      </c>
      <c r="K40" s="68">
        <f t="shared" si="1"/>
        <v>0</v>
      </c>
      <c r="L40" s="306">
        <f t="shared" si="2"/>
        <v>0</v>
      </c>
      <c r="N40" s="117">
        <f>'As-Filed Schedule 2K'!J40</f>
        <v>0</v>
      </c>
      <c r="O40" s="309">
        <f>SUMIFS(Adjustments!$G:$G,Adjustments!$H:$H,"2K",Adjustments!$I:$I,'Schedule 2K Adjustments'!$N$12,Adjustments!$J:$J,'Schedule 2K Adjustments'!$A40)</f>
        <v>0</v>
      </c>
      <c r="P40" s="305">
        <f t="shared" si="3"/>
        <v>0</v>
      </c>
      <c r="Q40" s="68">
        <f>IFERROR(N40*'As-Filed Schedule 1'!$E$103,0)</f>
        <v>0</v>
      </c>
      <c r="R40" s="68">
        <f>IFERROR(P40*'Adjusted Schedule 1'!$E$104,0)</f>
        <v>0</v>
      </c>
      <c r="S40" s="68">
        <f t="shared" si="4"/>
        <v>0</v>
      </c>
      <c r="T40" s="306">
        <f t="shared" si="5"/>
        <v>0</v>
      </c>
      <c r="V40" s="119">
        <f>'As-Filed Schedule 2K'!N40</f>
        <v>0</v>
      </c>
      <c r="W40" s="309">
        <f>SUMIFS(Adjustments!$G:$G,Adjustments!$H:$H,"2K",Adjustments!$I:$I,'Schedule 2K Adjustments'!$V$12,Adjustments!$J:$J,'Schedule 2K Adjustments'!$A40)</f>
        <v>0</v>
      </c>
      <c r="X40" s="305">
        <f t="shared" si="6"/>
        <v>0</v>
      </c>
      <c r="Y40" s="119">
        <f>'As-Filed Schedule 2K'!O40</f>
        <v>0</v>
      </c>
      <c r="Z40" s="309">
        <f>SUMIFS(Adjustments!$G:$G,Adjustments!$H:$H,"2K",Adjustments!$I:$I,'Schedule 2K Adjustments'!$Y$12,Adjustments!$J:$J,'Schedule 2K Adjustments'!$A40)</f>
        <v>0</v>
      </c>
      <c r="AA40" s="305">
        <f t="shared" si="7"/>
        <v>0</v>
      </c>
    </row>
    <row r="41" spans="1:27" x14ac:dyDescent="0.35">
      <c r="A41" s="24">
        <v>27</v>
      </c>
      <c r="B41" s="514" t="str">
        <f>IF('As-Filed Schedule 2K'!B41:D41=0,"",'As-Filed Schedule 2K'!B41:D41)</f>
        <v/>
      </c>
      <c r="C41" s="514"/>
      <c r="D41" s="514"/>
      <c r="F41" s="117">
        <f>'As-Filed Schedule 2K'!F41</f>
        <v>0</v>
      </c>
      <c r="G41" s="309">
        <f>SUMIFS(Adjustments!$G:$G,Adjustments!$H:$H,"2K",Adjustments!$I:$I,'Schedule 2K Adjustments'!$F$12,Adjustments!$J:$J,'Schedule 2K Adjustments'!$A41)</f>
        <v>0</v>
      </c>
      <c r="H41" s="305">
        <f t="shared" si="0"/>
        <v>0</v>
      </c>
      <c r="I41" s="68">
        <f>IFERROR(F41*'As-Filed Schedule 1'!$E$103,0)</f>
        <v>0</v>
      </c>
      <c r="J41" s="306">
        <f>IFERROR(H41*'Adjusted Schedule 1'!$E$104,0)</f>
        <v>0</v>
      </c>
      <c r="K41" s="68">
        <f t="shared" si="1"/>
        <v>0</v>
      </c>
      <c r="L41" s="306">
        <f t="shared" si="2"/>
        <v>0</v>
      </c>
      <c r="N41" s="117">
        <f>'As-Filed Schedule 2K'!J41</f>
        <v>0</v>
      </c>
      <c r="O41" s="309">
        <f>SUMIFS(Adjustments!$G:$G,Adjustments!$H:$H,"2K",Adjustments!$I:$I,'Schedule 2K Adjustments'!$N$12,Adjustments!$J:$J,'Schedule 2K Adjustments'!$A41)</f>
        <v>0</v>
      </c>
      <c r="P41" s="305">
        <f t="shared" si="3"/>
        <v>0</v>
      </c>
      <c r="Q41" s="68">
        <f>IFERROR(N41*'As-Filed Schedule 1'!$E$103,0)</f>
        <v>0</v>
      </c>
      <c r="R41" s="68">
        <f>IFERROR(P41*'Adjusted Schedule 1'!$E$104,0)</f>
        <v>0</v>
      </c>
      <c r="S41" s="68">
        <f t="shared" si="4"/>
        <v>0</v>
      </c>
      <c r="T41" s="306">
        <f t="shared" si="5"/>
        <v>0</v>
      </c>
      <c r="V41" s="119">
        <f>'As-Filed Schedule 2K'!N41</f>
        <v>0</v>
      </c>
      <c r="W41" s="309">
        <f>SUMIFS(Adjustments!$G:$G,Adjustments!$H:$H,"2K",Adjustments!$I:$I,'Schedule 2K Adjustments'!$V$12,Adjustments!$J:$J,'Schedule 2K Adjustments'!$A41)</f>
        <v>0</v>
      </c>
      <c r="X41" s="305">
        <f t="shared" si="6"/>
        <v>0</v>
      </c>
      <c r="Y41" s="119">
        <f>'As-Filed Schedule 2K'!O41</f>
        <v>0</v>
      </c>
      <c r="Z41" s="309">
        <f>SUMIFS(Adjustments!$G:$G,Adjustments!$H:$H,"2K",Adjustments!$I:$I,'Schedule 2K Adjustments'!$Y$12,Adjustments!$J:$J,'Schedule 2K Adjustments'!$A41)</f>
        <v>0</v>
      </c>
      <c r="AA41" s="305">
        <f t="shared" si="7"/>
        <v>0</v>
      </c>
    </row>
    <row r="42" spans="1:27" x14ac:dyDescent="0.35">
      <c r="A42" s="24">
        <v>28</v>
      </c>
      <c r="B42" s="514" t="str">
        <f>IF('As-Filed Schedule 2K'!B42:D42=0,"",'As-Filed Schedule 2K'!B42:D42)</f>
        <v/>
      </c>
      <c r="C42" s="514"/>
      <c r="D42" s="514"/>
      <c r="F42" s="117">
        <f>'As-Filed Schedule 2K'!F42</f>
        <v>0</v>
      </c>
      <c r="G42" s="309">
        <f>SUMIFS(Adjustments!$G:$G,Adjustments!$H:$H,"2K",Adjustments!$I:$I,'Schedule 2K Adjustments'!$F$12,Adjustments!$J:$J,'Schedule 2K Adjustments'!$A42)</f>
        <v>0</v>
      </c>
      <c r="H42" s="305">
        <f t="shared" si="0"/>
        <v>0</v>
      </c>
      <c r="I42" s="68">
        <f>IFERROR(F42*'As-Filed Schedule 1'!$E$103,0)</f>
        <v>0</v>
      </c>
      <c r="J42" s="306">
        <f>IFERROR(H42*'Adjusted Schedule 1'!$E$104,0)</f>
        <v>0</v>
      </c>
      <c r="K42" s="68">
        <f t="shared" si="1"/>
        <v>0</v>
      </c>
      <c r="L42" s="306">
        <f t="shared" si="2"/>
        <v>0</v>
      </c>
      <c r="N42" s="117">
        <f>'As-Filed Schedule 2K'!J42</f>
        <v>0</v>
      </c>
      <c r="O42" s="309">
        <f>SUMIFS(Adjustments!$G:$G,Adjustments!$H:$H,"2K",Adjustments!$I:$I,'Schedule 2K Adjustments'!$N$12,Adjustments!$J:$J,'Schedule 2K Adjustments'!$A42)</f>
        <v>0</v>
      </c>
      <c r="P42" s="305">
        <f t="shared" si="3"/>
        <v>0</v>
      </c>
      <c r="Q42" s="68">
        <f>IFERROR(N42*'As-Filed Schedule 1'!$E$103,0)</f>
        <v>0</v>
      </c>
      <c r="R42" s="68">
        <f>IFERROR(P42*'Adjusted Schedule 1'!$E$104,0)</f>
        <v>0</v>
      </c>
      <c r="S42" s="68">
        <f t="shared" si="4"/>
        <v>0</v>
      </c>
      <c r="T42" s="306">
        <f t="shared" si="5"/>
        <v>0</v>
      </c>
      <c r="V42" s="119">
        <f>'As-Filed Schedule 2K'!N42</f>
        <v>0</v>
      </c>
      <c r="W42" s="309">
        <f>SUMIFS(Adjustments!$G:$G,Adjustments!$H:$H,"2K",Adjustments!$I:$I,'Schedule 2K Adjustments'!$V$12,Adjustments!$J:$J,'Schedule 2K Adjustments'!$A42)</f>
        <v>0</v>
      </c>
      <c r="X42" s="305">
        <f t="shared" si="6"/>
        <v>0</v>
      </c>
      <c r="Y42" s="119">
        <f>'As-Filed Schedule 2K'!O42</f>
        <v>0</v>
      </c>
      <c r="Z42" s="309">
        <f>SUMIFS(Adjustments!$G:$G,Adjustments!$H:$H,"2K",Adjustments!$I:$I,'Schedule 2K Adjustments'!$Y$12,Adjustments!$J:$J,'Schedule 2K Adjustments'!$A42)</f>
        <v>0</v>
      </c>
      <c r="AA42" s="305">
        <f t="shared" si="7"/>
        <v>0</v>
      </c>
    </row>
    <row r="43" spans="1:27" x14ac:dyDescent="0.35">
      <c r="A43" s="24">
        <v>29</v>
      </c>
      <c r="B43" s="514" t="str">
        <f>IF('As-Filed Schedule 2K'!B43:D43=0,"",'As-Filed Schedule 2K'!B43:D43)</f>
        <v/>
      </c>
      <c r="C43" s="514"/>
      <c r="D43" s="514"/>
      <c r="F43" s="117">
        <f>'As-Filed Schedule 2K'!F43</f>
        <v>0</v>
      </c>
      <c r="G43" s="309">
        <f>SUMIFS(Adjustments!$G:$G,Adjustments!$H:$H,"2K",Adjustments!$I:$I,'Schedule 2K Adjustments'!$F$12,Adjustments!$J:$J,'Schedule 2K Adjustments'!$A43)</f>
        <v>0</v>
      </c>
      <c r="H43" s="305">
        <f t="shared" si="0"/>
        <v>0</v>
      </c>
      <c r="I43" s="68">
        <f>IFERROR(F43*'As-Filed Schedule 1'!$E$103,0)</f>
        <v>0</v>
      </c>
      <c r="J43" s="306">
        <f>IFERROR(H43*'Adjusted Schedule 1'!$E$104,0)</f>
        <v>0</v>
      </c>
      <c r="K43" s="68">
        <f t="shared" si="1"/>
        <v>0</v>
      </c>
      <c r="L43" s="306">
        <f t="shared" si="2"/>
        <v>0</v>
      </c>
      <c r="N43" s="117">
        <f>'As-Filed Schedule 2K'!J43</f>
        <v>0</v>
      </c>
      <c r="O43" s="309">
        <f>SUMIFS(Adjustments!$G:$G,Adjustments!$H:$H,"2K",Adjustments!$I:$I,'Schedule 2K Adjustments'!$N$12,Adjustments!$J:$J,'Schedule 2K Adjustments'!$A43)</f>
        <v>0</v>
      </c>
      <c r="P43" s="305">
        <f t="shared" si="3"/>
        <v>0</v>
      </c>
      <c r="Q43" s="68">
        <f>IFERROR(N43*'As-Filed Schedule 1'!$E$103,0)</f>
        <v>0</v>
      </c>
      <c r="R43" s="68">
        <f>IFERROR(P43*'Adjusted Schedule 1'!$E$104,0)</f>
        <v>0</v>
      </c>
      <c r="S43" s="68">
        <f t="shared" si="4"/>
        <v>0</v>
      </c>
      <c r="T43" s="306">
        <f t="shared" si="5"/>
        <v>0</v>
      </c>
      <c r="V43" s="119">
        <f>'As-Filed Schedule 2K'!N43</f>
        <v>0</v>
      </c>
      <c r="W43" s="309">
        <f>SUMIFS(Adjustments!$G:$G,Adjustments!$H:$H,"2K",Adjustments!$I:$I,'Schedule 2K Adjustments'!$V$12,Adjustments!$J:$J,'Schedule 2K Adjustments'!$A43)</f>
        <v>0</v>
      </c>
      <c r="X43" s="305">
        <f t="shared" si="6"/>
        <v>0</v>
      </c>
      <c r="Y43" s="119">
        <f>'As-Filed Schedule 2K'!O43</f>
        <v>0</v>
      </c>
      <c r="Z43" s="309">
        <f>SUMIFS(Adjustments!$G:$G,Adjustments!$H:$H,"2K",Adjustments!$I:$I,'Schedule 2K Adjustments'!$Y$12,Adjustments!$J:$J,'Schedule 2K Adjustments'!$A43)</f>
        <v>0</v>
      </c>
      <c r="AA43" s="305">
        <f t="shared" si="7"/>
        <v>0</v>
      </c>
    </row>
    <row r="44" spans="1:27" x14ac:dyDescent="0.35">
      <c r="A44" s="24">
        <v>30</v>
      </c>
      <c r="B44" s="514" t="str">
        <f>IF('As-Filed Schedule 2K'!B44:D44=0,"",'As-Filed Schedule 2K'!B44:D44)</f>
        <v/>
      </c>
      <c r="C44" s="514"/>
      <c r="D44" s="514"/>
      <c r="F44" s="117">
        <f>'As-Filed Schedule 2K'!F44</f>
        <v>0</v>
      </c>
      <c r="G44" s="309">
        <f>SUMIFS(Adjustments!$G:$G,Adjustments!$H:$H,"2K",Adjustments!$I:$I,'Schedule 2K Adjustments'!$F$12,Adjustments!$J:$J,'Schedule 2K Adjustments'!$A44)</f>
        <v>0</v>
      </c>
      <c r="H44" s="305">
        <f t="shared" si="0"/>
        <v>0</v>
      </c>
      <c r="I44" s="68">
        <f>IFERROR(F44*'As-Filed Schedule 1'!$E$103,0)</f>
        <v>0</v>
      </c>
      <c r="J44" s="306">
        <f>IFERROR(H44*'Adjusted Schedule 1'!$E$104,0)</f>
        <v>0</v>
      </c>
      <c r="K44" s="68">
        <f t="shared" si="1"/>
        <v>0</v>
      </c>
      <c r="L44" s="306">
        <f t="shared" si="2"/>
        <v>0</v>
      </c>
      <c r="N44" s="117">
        <f>'As-Filed Schedule 2K'!J44</f>
        <v>0</v>
      </c>
      <c r="O44" s="309">
        <f>SUMIFS(Adjustments!$G:$G,Adjustments!$H:$H,"2K",Adjustments!$I:$I,'Schedule 2K Adjustments'!$N$12,Adjustments!$J:$J,'Schedule 2K Adjustments'!$A44)</f>
        <v>0</v>
      </c>
      <c r="P44" s="305">
        <f t="shared" si="3"/>
        <v>0</v>
      </c>
      <c r="Q44" s="68">
        <f>IFERROR(N44*'As-Filed Schedule 1'!$E$103,0)</f>
        <v>0</v>
      </c>
      <c r="R44" s="68">
        <f>IFERROR(P44*'Adjusted Schedule 1'!$E$104,0)</f>
        <v>0</v>
      </c>
      <c r="S44" s="68">
        <f t="shared" si="4"/>
        <v>0</v>
      </c>
      <c r="T44" s="306">
        <f t="shared" si="5"/>
        <v>0</v>
      </c>
      <c r="V44" s="119">
        <f>'As-Filed Schedule 2K'!N44</f>
        <v>0</v>
      </c>
      <c r="W44" s="309">
        <f>SUMIFS(Adjustments!$G:$G,Adjustments!$H:$H,"2K",Adjustments!$I:$I,'Schedule 2K Adjustments'!$V$12,Adjustments!$J:$J,'Schedule 2K Adjustments'!$A44)</f>
        <v>0</v>
      </c>
      <c r="X44" s="305">
        <f t="shared" si="6"/>
        <v>0</v>
      </c>
      <c r="Y44" s="119">
        <f>'As-Filed Schedule 2K'!O44</f>
        <v>0</v>
      </c>
      <c r="Z44" s="309">
        <f>SUMIFS(Adjustments!$G:$G,Adjustments!$H:$H,"2K",Adjustments!$I:$I,'Schedule 2K Adjustments'!$Y$12,Adjustments!$J:$J,'Schedule 2K Adjustments'!$A44)</f>
        <v>0</v>
      </c>
      <c r="AA44" s="305">
        <f t="shared" si="7"/>
        <v>0</v>
      </c>
    </row>
    <row r="45" spans="1:27" x14ac:dyDescent="0.35">
      <c r="A45" s="24">
        <v>31</v>
      </c>
      <c r="B45" s="514" t="str">
        <f>IF('As-Filed Schedule 2K'!B45:D45=0,"",'As-Filed Schedule 2K'!B45:D45)</f>
        <v/>
      </c>
      <c r="C45" s="514"/>
      <c r="D45" s="514"/>
      <c r="F45" s="117">
        <f>'As-Filed Schedule 2K'!F45</f>
        <v>0</v>
      </c>
      <c r="G45" s="309">
        <f>SUMIFS(Adjustments!$G:$G,Adjustments!$H:$H,"2K",Adjustments!$I:$I,'Schedule 2K Adjustments'!$F$12,Adjustments!$J:$J,'Schedule 2K Adjustments'!$A45)</f>
        <v>0</v>
      </c>
      <c r="H45" s="305">
        <f t="shared" si="0"/>
        <v>0</v>
      </c>
      <c r="I45" s="68">
        <f>IFERROR(F45*'As-Filed Schedule 1'!$E$103,0)</f>
        <v>0</v>
      </c>
      <c r="J45" s="306">
        <f>IFERROR(H45*'Adjusted Schedule 1'!$E$104,0)</f>
        <v>0</v>
      </c>
      <c r="K45" s="68">
        <f t="shared" si="1"/>
        <v>0</v>
      </c>
      <c r="L45" s="306">
        <f t="shared" si="2"/>
        <v>0</v>
      </c>
      <c r="N45" s="117">
        <f>'As-Filed Schedule 2K'!J45</f>
        <v>0</v>
      </c>
      <c r="O45" s="309">
        <f>SUMIFS(Adjustments!$G:$G,Adjustments!$H:$H,"2K",Adjustments!$I:$I,'Schedule 2K Adjustments'!$N$12,Adjustments!$J:$J,'Schedule 2K Adjustments'!$A45)</f>
        <v>0</v>
      </c>
      <c r="P45" s="305">
        <f t="shared" si="3"/>
        <v>0</v>
      </c>
      <c r="Q45" s="68">
        <f>IFERROR(N45*'As-Filed Schedule 1'!$E$103,0)</f>
        <v>0</v>
      </c>
      <c r="R45" s="68">
        <f>IFERROR(P45*'Adjusted Schedule 1'!$E$104,0)</f>
        <v>0</v>
      </c>
      <c r="S45" s="68">
        <f t="shared" si="4"/>
        <v>0</v>
      </c>
      <c r="T45" s="306">
        <f t="shared" si="5"/>
        <v>0</v>
      </c>
      <c r="V45" s="119">
        <f>'As-Filed Schedule 2K'!N45</f>
        <v>0</v>
      </c>
      <c r="W45" s="309">
        <f>SUMIFS(Adjustments!$G:$G,Adjustments!$H:$H,"2K",Adjustments!$I:$I,'Schedule 2K Adjustments'!$V$12,Adjustments!$J:$J,'Schedule 2K Adjustments'!$A45)</f>
        <v>0</v>
      </c>
      <c r="X45" s="305">
        <f t="shared" si="6"/>
        <v>0</v>
      </c>
      <c r="Y45" s="119">
        <f>'As-Filed Schedule 2K'!O45</f>
        <v>0</v>
      </c>
      <c r="Z45" s="309">
        <f>SUMIFS(Adjustments!$G:$G,Adjustments!$H:$H,"2K",Adjustments!$I:$I,'Schedule 2K Adjustments'!$Y$12,Adjustments!$J:$J,'Schedule 2K Adjustments'!$A45)</f>
        <v>0</v>
      </c>
      <c r="AA45" s="305">
        <f t="shared" si="7"/>
        <v>0</v>
      </c>
    </row>
    <row r="46" spans="1:27" x14ac:dyDescent="0.35">
      <c r="A46" s="24">
        <v>32</v>
      </c>
      <c r="B46" s="514" t="str">
        <f>IF('As-Filed Schedule 2K'!B46:D46=0,"",'As-Filed Schedule 2K'!B46:D46)</f>
        <v/>
      </c>
      <c r="C46" s="514"/>
      <c r="D46" s="514"/>
      <c r="F46" s="117">
        <f>'As-Filed Schedule 2K'!F46</f>
        <v>0</v>
      </c>
      <c r="G46" s="309">
        <f>SUMIFS(Adjustments!$G:$G,Adjustments!$H:$H,"2K",Adjustments!$I:$I,'Schedule 2K Adjustments'!$F$12,Adjustments!$J:$J,'Schedule 2K Adjustments'!$A46)</f>
        <v>0</v>
      </c>
      <c r="H46" s="305">
        <f t="shared" si="0"/>
        <v>0</v>
      </c>
      <c r="I46" s="68">
        <f>IFERROR(F46*'As-Filed Schedule 1'!$E$103,0)</f>
        <v>0</v>
      </c>
      <c r="J46" s="306">
        <f>IFERROR(H46*'Adjusted Schedule 1'!$E$104,0)</f>
        <v>0</v>
      </c>
      <c r="K46" s="68">
        <f t="shared" si="1"/>
        <v>0</v>
      </c>
      <c r="L46" s="306">
        <f t="shared" si="2"/>
        <v>0</v>
      </c>
      <c r="N46" s="117">
        <f>'As-Filed Schedule 2K'!J46</f>
        <v>0</v>
      </c>
      <c r="O46" s="309">
        <f>SUMIFS(Adjustments!$G:$G,Adjustments!$H:$H,"2K",Adjustments!$I:$I,'Schedule 2K Adjustments'!$N$12,Adjustments!$J:$J,'Schedule 2K Adjustments'!$A46)</f>
        <v>0</v>
      </c>
      <c r="P46" s="305">
        <f t="shared" si="3"/>
        <v>0</v>
      </c>
      <c r="Q46" s="68">
        <f>IFERROR(N46*'As-Filed Schedule 1'!$E$103,0)</f>
        <v>0</v>
      </c>
      <c r="R46" s="68">
        <f>IFERROR(P46*'Adjusted Schedule 1'!$E$104,0)</f>
        <v>0</v>
      </c>
      <c r="S46" s="68">
        <f t="shared" si="4"/>
        <v>0</v>
      </c>
      <c r="T46" s="306">
        <f t="shared" si="5"/>
        <v>0</v>
      </c>
      <c r="V46" s="119">
        <f>'As-Filed Schedule 2K'!N46</f>
        <v>0</v>
      </c>
      <c r="W46" s="309">
        <f>SUMIFS(Adjustments!$G:$G,Adjustments!$H:$H,"2K",Adjustments!$I:$I,'Schedule 2K Adjustments'!$V$12,Adjustments!$J:$J,'Schedule 2K Adjustments'!$A46)</f>
        <v>0</v>
      </c>
      <c r="X46" s="305">
        <f t="shared" si="6"/>
        <v>0</v>
      </c>
      <c r="Y46" s="119">
        <f>'As-Filed Schedule 2K'!O46</f>
        <v>0</v>
      </c>
      <c r="Z46" s="309">
        <f>SUMIFS(Adjustments!$G:$G,Adjustments!$H:$H,"2K",Adjustments!$I:$I,'Schedule 2K Adjustments'!$Y$12,Adjustments!$J:$J,'Schedule 2K Adjustments'!$A46)</f>
        <v>0</v>
      </c>
      <c r="AA46" s="305">
        <f t="shared" si="7"/>
        <v>0</v>
      </c>
    </row>
    <row r="47" spans="1:27" x14ac:dyDescent="0.35">
      <c r="A47" s="24">
        <v>33</v>
      </c>
      <c r="B47" s="514" t="str">
        <f>IF('As-Filed Schedule 2K'!B47:D47=0,"",'As-Filed Schedule 2K'!B47:D47)</f>
        <v/>
      </c>
      <c r="C47" s="514"/>
      <c r="D47" s="514"/>
      <c r="F47" s="117">
        <f>'As-Filed Schedule 2K'!F47</f>
        <v>0</v>
      </c>
      <c r="G47" s="309">
        <f>SUMIFS(Adjustments!$G:$G,Adjustments!$H:$H,"2K",Adjustments!$I:$I,'Schedule 2K Adjustments'!$F$12,Adjustments!$J:$J,'Schedule 2K Adjustments'!$A47)</f>
        <v>0</v>
      </c>
      <c r="H47" s="305">
        <f t="shared" si="0"/>
        <v>0</v>
      </c>
      <c r="I47" s="68">
        <f>IFERROR(F47*'As-Filed Schedule 1'!$E$103,0)</f>
        <v>0</v>
      </c>
      <c r="J47" s="306">
        <f>IFERROR(H47*'Adjusted Schedule 1'!$E$104,0)</f>
        <v>0</v>
      </c>
      <c r="K47" s="68">
        <f t="shared" si="1"/>
        <v>0</v>
      </c>
      <c r="L47" s="306">
        <f t="shared" si="2"/>
        <v>0</v>
      </c>
      <c r="N47" s="117">
        <f>'As-Filed Schedule 2K'!J47</f>
        <v>0</v>
      </c>
      <c r="O47" s="309">
        <f>SUMIFS(Adjustments!$G:$G,Adjustments!$H:$H,"2K",Adjustments!$I:$I,'Schedule 2K Adjustments'!$N$12,Adjustments!$J:$J,'Schedule 2K Adjustments'!$A47)</f>
        <v>0</v>
      </c>
      <c r="P47" s="305">
        <f t="shared" si="3"/>
        <v>0</v>
      </c>
      <c r="Q47" s="68">
        <f>IFERROR(N47*'As-Filed Schedule 1'!$E$103,0)</f>
        <v>0</v>
      </c>
      <c r="R47" s="68">
        <f>IFERROR(P47*'Adjusted Schedule 1'!$E$104,0)</f>
        <v>0</v>
      </c>
      <c r="S47" s="68">
        <f t="shared" si="4"/>
        <v>0</v>
      </c>
      <c r="T47" s="306">
        <f t="shared" si="5"/>
        <v>0</v>
      </c>
      <c r="V47" s="119">
        <f>'As-Filed Schedule 2K'!N47</f>
        <v>0</v>
      </c>
      <c r="W47" s="309">
        <f>SUMIFS(Adjustments!$G:$G,Adjustments!$H:$H,"2K",Adjustments!$I:$I,'Schedule 2K Adjustments'!$V$12,Adjustments!$J:$J,'Schedule 2K Adjustments'!$A47)</f>
        <v>0</v>
      </c>
      <c r="X47" s="305">
        <f t="shared" si="6"/>
        <v>0</v>
      </c>
      <c r="Y47" s="119">
        <f>'As-Filed Schedule 2K'!O47</f>
        <v>0</v>
      </c>
      <c r="Z47" s="309">
        <f>SUMIFS(Adjustments!$G:$G,Adjustments!$H:$H,"2K",Adjustments!$I:$I,'Schedule 2K Adjustments'!$Y$12,Adjustments!$J:$J,'Schedule 2K Adjustments'!$A47)</f>
        <v>0</v>
      </c>
      <c r="AA47" s="305">
        <f t="shared" si="7"/>
        <v>0</v>
      </c>
    </row>
    <row r="48" spans="1:27" x14ac:dyDescent="0.35">
      <c r="A48" s="24">
        <v>34</v>
      </c>
      <c r="B48" s="514" t="str">
        <f>IF('As-Filed Schedule 2K'!B48:D48=0,"",'As-Filed Schedule 2K'!B48:D48)</f>
        <v/>
      </c>
      <c r="C48" s="514"/>
      <c r="D48" s="514"/>
      <c r="F48" s="117">
        <f>'As-Filed Schedule 2K'!F48</f>
        <v>0</v>
      </c>
      <c r="G48" s="309">
        <f>SUMIFS(Adjustments!$G:$G,Adjustments!$H:$H,"2K",Adjustments!$I:$I,'Schedule 2K Adjustments'!$F$12,Adjustments!$J:$J,'Schedule 2K Adjustments'!$A48)</f>
        <v>0</v>
      </c>
      <c r="H48" s="305">
        <f t="shared" si="0"/>
        <v>0</v>
      </c>
      <c r="I48" s="68">
        <f>IFERROR(F48*'As-Filed Schedule 1'!$E$103,0)</f>
        <v>0</v>
      </c>
      <c r="J48" s="306">
        <f>IFERROR(H48*'Adjusted Schedule 1'!$E$104,0)</f>
        <v>0</v>
      </c>
      <c r="K48" s="68">
        <f t="shared" si="1"/>
        <v>0</v>
      </c>
      <c r="L48" s="306">
        <f t="shared" si="2"/>
        <v>0</v>
      </c>
      <c r="N48" s="117">
        <f>'As-Filed Schedule 2K'!J48</f>
        <v>0</v>
      </c>
      <c r="O48" s="309">
        <f>SUMIFS(Adjustments!$G:$G,Adjustments!$H:$H,"2K",Adjustments!$I:$I,'Schedule 2K Adjustments'!$N$12,Adjustments!$J:$J,'Schedule 2K Adjustments'!$A48)</f>
        <v>0</v>
      </c>
      <c r="P48" s="305">
        <f t="shared" si="3"/>
        <v>0</v>
      </c>
      <c r="Q48" s="68">
        <f>IFERROR(N48*'As-Filed Schedule 1'!$E$103,0)</f>
        <v>0</v>
      </c>
      <c r="R48" s="68">
        <f>IFERROR(P48*'Adjusted Schedule 1'!$E$104,0)</f>
        <v>0</v>
      </c>
      <c r="S48" s="68">
        <f t="shared" si="4"/>
        <v>0</v>
      </c>
      <c r="T48" s="306">
        <f t="shared" si="5"/>
        <v>0</v>
      </c>
      <c r="V48" s="119">
        <f>'As-Filed Schedule 2K'!N48</f>
        <v>0</v>
      </c>
      <c r="W48" s="309">
        <f>SUMIFS(Adjustments!$G:$G,Adjustments!$H:$H,"2K",Adjustments!$I:$I,'Schedule 2K Adjustments'!$V$12,Adjustments!$J:$J,'Schedule 2K Adjustments'!$A48)</f>
        <v>0</v>
      </c>
      <c r="X48" s="305">
        <f t="shared" si="6"/>
        <v>0</v>
      </c>
      <c r="Y48" s="119">
        <f>'As-Filed Schedule 2K'!O48</f>
        <v>0</v>
      </c>
      <c r="Z48" s="309">
        <f>SUMIFS(Adjustments!$G:$G,Adjustments!$H:$H,"2K",Adjustments!$I:$I,'Schedule 2K Adjustments'!$Y$12,Adjustments!$J:$J,'Schedule 2K Adjustments'!$A48)</f>
        <v>0</v>
      </c>
      <c r="AA48" s="305">
        <f t="shared" si="7"/>
        <v>0</v>
      </c>
    </row>
    <row r="49" spans="1:27" x14ac:dyDescent="0.35">
      <c r="A49" s="24">
        <v>35</v>
      </c>
      <c r="B49" s="514" t="str">
        <f>IF('As-Filed Schedule 2K'!B49:D49=0,"",'As-Filed Schedule 2K'!B49:D49)</f>
        <v/>
      </c>
      <c r="C49" s="514"/>
      <c r="D49" s="514"/>
      <c r="F49" s="117">
        <f>'As-Filed Schedule 2K'!F49</f>
        <v>0</v>
      </c>
      <c r="G49" s="309">
        <f>SUMIFS(Adjustments!$G:$G,Adjustments!$H:$H,"2K",Adjustments!$I:$I,'Schedule 2K Adjustments'!$F$12,Adjustments!$J:$J,'Schedule 2K Adjustments'!$A49)</f>
        <v>0</v>
      </c>
      <c r="H49" s="305">
        <f t="shared" si="0"/>
        <v>0</v>
      </c>
      <c r="I49" s="68">
        <f>IFERROR(F49*'As-Filed Schedule 1'!$E$103,0)</f>
        <v>0</v>
      </c>
      <c r="J49" s="306">
        <f>IFERROR(H49*'Adjusted Schedule 1'!$E$104,0)</f>
        <v>0</v>
      </c>
      <c r="K49" s="68">
        <f t="shared" si="1"/>
        <v>0</v>
      </c>
      <c r="L49" s="306">
        <f t="shared" si="2"/>
        <v>0</v>
      </c>
      <c r="N49" s="117">
        <f>'As-Filed Schedule 2K'!J49</f>
        <v>0</v>
      </c>
      <c r="O49" s="309">
        <f>SUMIFS(Adjustments!$G:$G,Adjustments!$H:$H,"2K",Adjustments!$I:$I,'Schedule 2K Adjustments'!$N$12,Adjustments!$J:$J,'Schedule 2K Adjustments'!$A49)</f>
        <v>0</v>
      </c>
      <c r="P49" s="305">
        <f t="shared" si="3"/>
        <v>0</v>
      </c>
      <c r="Q49" s="68">
        <f>IFERROR(N49*'As-Filed Schedule 1'!$E$103,0)</f>
        <v>0</v>
      </c>
      <c r="R49" s="68">
        <f>IFERROR(P49*'Adjusted Schedule 1'!$E$104,0)</f>
        <v>0</v>
      </c>
      <c r="S49" s="68">
        <f t="shared" si="4"/>
        <v>0</v>
      </c>
      <c r="T49" s="306">
        <f t="shared" si="5"/>
        <v>0</v>
      </c>
      <c r="V49" s="119">
        <f>'As-Filed Schedule 2K'!N49</f>
        <v>0</v>
      </c>
      <c r="W49" s="309">
        <f>SUMIFS(Adjustments!$G:$G,Adjustments!$H:$H,"2K",Adjustments!$I:$I,'Schedule 2K Adjustments'!$V$12,Adjustments!$J:$J,'Schedule 2K Adjustments'!$A49)</f>
        <v>0</v>
      </c>
      <c r="X49" s="305">
        <f t="shared" si="6"/>
        <v>0</v>
      </c>
      <c r="Y49" s="119">
        <f>'As-Filed Schedule 2K'!O49</f>
        <v>0</v>
      </c>
      <c r="Z49" s="309">
        <f>SUMIFS(Adjustments!$G:$G,Adjustments!$H:$H,"2K",Adjustments!$I:$I,'Schedule 2K Adjustments'!$Y$12,Adjustments!$J:$J,'Schedule 2K Adjustments'!$A49)</f>
        <v>0</v>
      </c>
      <c r="AA49" s="305">
        <f t="shared" si="7"/>
        <v>0</v>
      </c>
    </row>
    <row r="50" spans="1:27" x14ac:dyDescent="0.35">
      <c r="A50" s="24">
        <v>36</v>
      </c>
      <c r="B50" s="514" t="str">
        <f>IF('As-Filed Schedule 2K'!B50:D50=0,"",'As-Filed Schedule 2K'!B50:D50)</f>
        <v/>
      </c>
      <c r="C50" s="514"/>
      <c r="D50" s="514"/>
      <c r="F50" s="117">
        <f>'As-Filed Schedule 2K'!F50</f>
        <v>0</v>
      </c>
      <c r="G50" s="309">
        <f>SUMIFS(Adjustments!$G:$G,Adjustments!$H:$H,"2K",Adjustments!$I:$I,'Schedule 2K Adjustments'!$F$12,Adjustments!$J:$J,'Schedule 2K Adjustments'!$A50)</f>
        <v>0</v>
      </c>
      <c r="H50" s="305">
        <f t="shared" si="0"/>
        <v>0</v>
      </c>
      <c r="I50" s="68">
        <f>IFERROR(F50*'As-Filed Schedule 1'!$E$103,0)</f>
        <v>0</v>
      </c>
      <c r="J50" s="306">
        <f>IFERROR(H50*'Adjusted Schedule 1'!$E$104,0)</f>
        <v>0</v>
      </c>
      <c r="K50" s="68">
        <f t="shared" si="1"/>
        <v>0</v>
      </c>
      <c r="L50" s="306">
        <f t="shared" si="2"/>
        <v>0</v>
      </c>
      <c r="N50" s="117">
        <f>'As-Filed Schedule 2K'!J50</f>
        <v>0</v>
      </c>
      <c r="O50" s="309">
        <f>SUMIFS(Adjustments!$G:$G,Adjustments!$H:$H,"2K",Adjustments!$I:$I,'Schedule 2K Adjustments'!$N$12,Adjustments!$J:$J,'Schedule 2K Adjustments'!$A50)</f>
        <v>0</v>
      </c>
      <c r="P50" s="305">
        <f t="shared" si="3"/>
        <v>0</v>
      </c>
      <c r="Q50" s="68">
        <f>IFERROR(N50*'As-Filed Schedule 1'!$E$103,0)</f>
        <v>0</v>
      </c>
      <c r="R50" s="68">
        <f>IFERROR(P50*'Adjusted Schedule 1'!$E$104,0)</f>
        <v>0</v>
      </c>
      <c r="S50" s="68">
        <f t="shared" si="4"/>
        <v>0</v>
      </c>
      <c r="T50" s="306">
        <f t="shared" si="5"/>
        <v>0</v>
      </c>
      <c r="V50" s="119">
        <f>'As-Filed Schedule 2K'!N50</f>
        <v>0</v>
      </c>
      <c r="W50" s="309">
        <f>SUMIFS(Adjustments!$G:$G,Adjustments!$H:$H,"2K",Adjustments!$I:$I,'Schedule 2K Adjustments'!$V$12,Adjustments!$J:$J,'Schedule 2K Adjustments'!$A50)</f>
        <v>0</v>
      </c>
      <c r="X50" s="305">
        <f t="shared" si="6"/>
        <v>0</v>
      </c>
      <c r="Y50" s="119">
        <f>'As-Filed Schedule 2K'!O50</f>
        <v>0</v>
      </c>
      <c r="Z50" s="309">
        <f>SUMIFS(Adjustments!$G:$G,Adjustments!$H:$H,"2K",Adjustments!$I:$I,'Schedule 2K Adjustments'!$Y$12,Adjustments!$J:$J,'Schedule 2K Adjustments'!$A50)</f>
        <v>0</v>
      </c>
      <c r="AA50" s="305">
        <f t="shared" si="7"/>
        <v>0</v>
      </c>
    </row>
    <row r="51" spans="1:27" x14ac:dyDescent="0.35">
      <c r="A51" s="24">
        <v>37</v>
      </c>
      <c r="B51" s="514" t="str">
        <f>IF('As-Filed Schedule 2K'!B51:D51=0,"",'As-Filed Schedule 2K'!B51:D51)</f>
        <v/>
      </c>
      <c r="C51" s="514"/>
      <c r="D51" s="514"/>
      <c r="F51" s="117">
        <f>'As-Filed Schedule 2K'!F51</f>
        <v>0</v>
      </c>
      <c r="G51" s="309">
        <f>SUMIFS(Adjustments!$G:$G,Adjustments!$H:$H,"2K",Adjustments!$I:$I,'Schedule 2K Adjustments'!$F$12,Adjustments!$J:$J,'Schedule 2K Adjustments'!$A51)</f>
        <v>0</v>
      </c>
      <c r="H51" s="305">
        <f t="shared" si="0"/>
        <v>0</v>
      </c>
      <c r="I51" s="68">
        <f>IFERROR(F51*'As-Filed Schedule 1'!$E$103,0)</f>
        <v>0</v>
      </c>
      <c r="J51" s="306">
        <f>IFERROR(H51*'Adjusted Schedule 1'!$E$104,0)</f>
        <v>0</v>
      </c>
      <c r="K51" s="68">
        <f t="shared" si="1"/>
        <v>0</v>
      </c>
      <c r="L51" s="306">
        <f t="shared" si="2"/>
        <v>0</v>
      </c>
      <c r="N51" s="117">
        <f>'As-Filed Schedule 2K'!J51</f>
        <v>0</v>
      </c>
      <c r="O51" s="309">
        <f>SUMIFS(Adjustments!$G:$G,Adjustments!$H:$H,"2K",Adjustments!$I:$I,'Schedule 2K Adjustments'!$N$12,Adjustments!$J:$J,'Schedule 2K Adjustments'!$A51)</f>
        <v>0</v>
      </c>
      <c r="P51" s="305">
        <f t="shared" si="3"/>
        <v>0</v>
      </c>
      <c r="Q51" s="68">
        <f>IFERROR(N51*'As-Filed Schedule 1'!$E$103,0)</f>
        <v>0</v>
      </c>
      <c r="R51" s="68">
        <f>IFERROR(P51*'Adjusted Schedule 1'!$E$104,0)</f>
        <v>0</v>
      </c>
      <c r="S51" s="68">
        <f t="shared" si="4"/>
        <v>0</v>
      </c>
      <c r="T51" s="306">
        <f t="shared" si="5"/>
        <v>0</v>
      </c>
      <c r="V51" s="119">
        <f>'As-Filed Schedule 2K'!N51</f>
        <v>0</v>
      </c>
      <c r="W51" s="309">
        <f>SUMIFS(Adjustments!$G:$G,Adjustments!$H:$H,"2K",Adjustments!$I:$I,'Schedule 2K Adjustments'!$V$12,Adjustments!$J:$J,'Schedule 2K Adjustments'!$A51)</f>
        <v>0</v>
      </c>
      <c r="X51" s="305">
        <f t="shared" si="6"/>
        <v>0</v>
      </c>
      <c r="Y51" s="119">
        <f>'As-Filed Schedule 2K'!O51</f>
        <v>0</v>
      </c>
      <c r="Z51" s="309">
        <f>SUMIFS(Adjustments!$G:$G,Adjustments!$H:$H,"2K",Adjustments!$I:$I,'Schedule 2K Adjustments'!$Y$12,Adjustments!$J:$J,'Schedule 2K Adjustments'!$A51)</f>
        <v>0</v>
      </c>
      <c r="AA51" s="305">
        <f t="shared" si="7"/>
        <v>0</v>
      </c>
    </row>
    <row r="52" spans="1:27" x14ac:dyDescent="0.35">
      <c r="A52" s="24">
        <v>38</v>
      </c>
      <c r="B52" s="514" t="str">
        <f>IF('As-Filed Schedule 2K'!B52:D52=0,"",'As-Filed Schedule 2K'!B52:D52)</f>
        <v/>
      </c>
      <c r="C52" s="514"/>
      <c r="D52" s="514"/>
      <c r="F52" s="117">
        <f>'As-Filed Schedule 2K'!F52</f>
        <v>0</v>
      </c>
      <c r="G52" s="309">
        <f>SUMIFS(Adjustments!$G:$G,Adjustments!$H:$H,"2K",Adjustments!$I:$I,'Schedule 2K Adjustments'!$F$12,Adjustments!$J:$J,'Schedule 2K Adjustments'!$A52)</f>
        <v>0</v>
      </c>
      <c r="H52" s="305">
        <f t="shared" si="0"/>
        <v>0</v>
      </c>
      <c r="I52" s="68">
        <f>IFERROR(F52*'As-Filed Schedule 1'!$E$103,0)</f>
        <v>0</v>
      </c>
      <c r="J52" s="306">
        <f>IFERROR(H52*'Adjusted Schedule 1'!$E$104,0)</f>
        <v>0</v>
      </c>
      <c r="K52" s="68">
        <f t="shared" si="1"/>
        <v>0</v>
      </c>
      <c r="L52" s="306">
        <f t="shared" si="2"/>
        <v>0</v>
      </c>
      <c r="N52" s="117">
        <f>'As-Filed Schedule 2K'!J52</f>
        <v>0</v>
      </c>
      <c r="O52" s="309">
        <f>SUMIFS(Adjustments!$G:$G,Adjustments!$H:$H,"2K",Adjustments!$I:$I,'Schedule 2K Adjustments'!$N$12,Adjustments!$J:$J,'Schedule 2K Adjustments'!$A52)</f>
        <v>0</v>
      </c>
      <c r="P52" s="305">
        <f t="shared" si="3"/>
        <v>0</v>
      </c>
      <c r="Q52" s="68">
        <f>IFERROR(N52*'As-Filed Schedule 1'!$E$103,0)</f>
        <v>0</v>
      </c>
      <c r="R52" s="68">
        <f>IFERROR(P52*'Adjusted Schedule 1'!$E$104,0)</f>
        <v>0</v>
      </c>
      <c r="S52" s="68">
        <f t="shared" si="4"/>
        <v>0</v>
      </c>
      <c r="T52" s="306">
        <f t="shared" si="5"/>
        <v>0</v>
      </c>
      <c r="V52" s="119">
        <f>'As-Filed Schedule 2K'!N52</f>
        <v>0</v>
      </c>
      <c r="W52" s="309">
        <f>SUMIFS(Adjustments!$G:$G,Adjustments!$H:$H,"2K",Adjustments!$I:$I,'Schedule 2K Adjustments'!$V$12,Adjustments!$J:$J,'Schedule 2K Adjustments'!$A52)</f>
        <v>0</v>
      </c>
      <c r="X52" s="305">
        <f t="shared" si="6"/>
        <v>0</v>
      </c>
      <c r="Y52" s="119">
        <f>'As-Filed Schedule 2K'!O52</f>
        <v>0</v>
      </c>
      <c r="Z52" s="309">
        <f>SUMIFS(Adjustments!$G:$G,Adjustments!$H:$H,"2K",Adjustments!$I:$I,'Schedule 2K Adjustments'!$Y$12,Adjustments!$J:$J,'Schedule 2K Adjustments'!$A52)</f>
        <v>0</v>
      </c>
      <c r="AA52" s="305">
        <f t="shared" si="7"/>
        <v>0</v>
      </c>
    </row>
    <row r="53" spans="1:27" x14ac:dyDescent="0.35">
      <c r="A53" s="24">
        <v>39</v>
      </c>
      <c r="B53" s="514" t="str">
        <f>IF('As-Filed Schedule 2K'!B53:D53=0,"",'As-Filed Schedule 2K'!B53:D53)</f>
        <v/>
      </c>
      <c r="C53" s="514"/>
      <c r="D53" s="514"/>
      <c r="F53" s="117">
        <f>'As-Filed Schedule 2K'!F53</f>
        <v>0</v>
      </c>
      <c r="G53" s="309">
        <f>SUMIFS(Adjustments!$G:$G,Adjustments!$H:$H,"2K",Adjustments!$I:$I,'Schedule 2K Adjustments'!$F$12,Adjustments!$J:$J,'Schedule 2K Adjustments'!$A53)</f>
        <v>0</v>
      </c>
      <c r="H53" s="305">
        <f t="shared" si="0"/>
        <v>0</v>
      </c>
      <c r="I53" s="68">
        <f>IFERROR(F53*'As-Filed Schedule 1'!$E$103,0)</f>
        <v>0</v>
      </c>
      <c r="J53" s="306">
        <f>IFERROR(H53*'Adjusted Schedule 1'!$E$104,0)</f>
        <v>0</v>
      </c>
      <c r="K53" s="68">
        <f t="shared" si="1"/>
        <v>0</v>
      </c>
      <c r="L53" s="306">
        <f t="shared" si="2"/>
        <v>0</v>
      </c>
      <c r="N53" s="117">
        <f>'As-Filed Schedule 2K'!J53</f>
        <v>0</v>
      </c>
      <c r="O53" s="309">
        <f>SUMIFS(Adjustments!$G:$G,Adjustments!$H:$H,"2K",Adjustments!$I:$I,'Schedule 2K Adjustments'!$N$12,Adjustments!$J:$J,'Schedule 2K Adjustments'!$A53)</f>
        <v>0</v>
      </c>
      <c r="P53" s="305">
        <f t="shared" si="3"/>
        <v>0</v>
      </c>
      <c r="Q53" s="68">
        <f>IFERROR(N53*'As-Filed Schedule 1'!$E$103,0)</f>
        <v>0</v>
      </c>
      <c r="R53" s="68">
        <f>IFERROR(P53*'Adjusted Schedule 1'!$E$104,0)</f>
        <v>0</v>
      </c>
      <c r="S53" s="68">
        <f t="shared" si="4"/>
        <v>0</v>
      </c>
      <c r="T53" s="306">
        <f t="shared" si="5"/>
        <v>0</v>
      </c>
      <c r="V53" s="119">
        <f>'As-Filed Schedule 2K'!N53</f>
        <v>0</v>
      </c>
      <c r="W53" s="309">
        <f>SUMIFS(Adjustments!$G:$G,Adjustments!$H:$H,"2K",Adjustments!$I:$I,'Schedule 2K Adjustments'!$V$12,Adjustments!$J:$J,'Schedule 2K Adjustments'!$A53)</f>
        <v>0</v>
      </c>
      <c r="X53" s="305">
        <f t="shared" si="6"/>
        <v>0</v>
      </c>
      <c r="Y53" s="119">
        <f>'As-Filed Schedule 2K'!O53</f>
        <v>0</v>
      </c>
      <c r="Z53" s="309">
        <f>SUMIFS(Adjustments!$G:$G,Adjustments!$H:$H,"2K",Adjustments!$I:$I,'Schedule 2K Adjustments'!$Y$12,Adjustments!$J:$J,'Schedule 2K Adjustments'!$A53)</f>
        <v>0</v>
      </c>
      <c r="AA53" s="305">
        <f t="shared" si="7"/>
        <v>0</v>
      </c>
    </row>
    <row r="54" spans="1:27" x14ac:dyDescent="0.35">
      <c r="A54" s="24">
        <v>40</v>
      </c>
      <c r="B54" s="514" t="str">
        <f>IF('As-Filed Schedule 2K'!B54:D54=0,"",'As-Filed Schedule 2K'!B54:D54)</f>
        <v/>
      </c>
      <c r="C54" s="514"/>
      <c r="D54" s="514"/>
      <c r="F54" s="117">
        <f>'As-Filed Schedule 2K'!F54</f>
        <v>0</v>
      </c>
      <c r="G54" s="309">
        <f>SUMIFS(Adjustments!$G:$G,Adjustments!$H:$H,"2K",Adjustments!$I:$I,'Schedule 2K Adjustments'!$F$12,Adjustments!$J:$J,'Schedule 2K Adjustments'!$A54)</f>
        <v>0</v>
      </c>
      <c r="H54" s="305">
        <f t="shared" si="0"/>
        <v>0</v>
      </c>
      <c r="I54" s="68">
        <f>IFERROR(F54*'As-Filed Schedule 1'!$E$103,0)</f>
        <v>0</v>
      </c>
      <c r="J54" s="306">
        <f>IFERROR(H54*'Adjusted Schedule 1'!$E$104,0)</f>
        <v>0</v>
      </c>
      <c r="K54" s="68">
        <f t="shared" si="1"/>
        <v>0</v>
      </c>
      <c r="L54" s="306">
        <f t="shared" si="2"/>
        <v>0</v>
      </c>
      <c r="N54" s="117">
        <f>'As-Filed Schedule 2K'!J54</f>
        <v>0</v>
      </c>
      <c r="O54" s="309">
        <f>SUMIFS(Adjustments!$G:$G,Adjustments!$H:$H,"2K",Adjustments!$I:$I,'Schedule 2K Adjustments'!$N$12,Adjustments!$J:$J,'Schedule 2K Adjustments'!$A54)</f>
        <v>0</v>
      </c>
      <c r="P54" s="305">
        <f t="shared" si="3"/>
        <v>0</v>
      </c>
      <c r="Q54" s="68">
        <f>IFERROR(N54*'As-Filed Schedule 1'!$E$103,0)</f>
        <v>0</v>
      </c>
      <c r="R54" s="68">
        <f>IFERROR(P54*'Adjusted Schedule 1'!$E$104,0)</f>
        <v>0</v>
      </c>
      <c r="S54" s="68">
        <f t="shared" si="4"/>
        <v>0</v>
      </c>
      <c r="T54" s="306">
        <f t="shared" si="5"/>
        <v>0</v>
      </c>
      <c r="V54" s="119">
        <f>'As-Filed Schedule 2K'!N54</f>
        <v>0</v>
      </c>
      <c r="W54" s="309">
        <f>SUMIFS(Adjustments!$G:$G,Adjustments!$H:$H,"2K",Adjustments!$I:$I,'Schedule 2K Adjustments'!$V$12,Adjustments!$J:$J,'Schedule 2K Adjustments'!$A54)</f>
        <v>0</v>
      </c>
      <c r="X54" s="305">
        <f t="shared" si="6"/>
        <v>0</v>
      </c>
      <c r="Y54" s="119">
        <f>'As-Filed Schedule 2K'!O54</f>
        <v>0</v>
      </c>
      <c r="Z54" s="309">
        <f>SUMIFS(Adjustments!$G:$G,Adjustments!$H:$H,"2K",Adjustments!$I:$I,'Schedule 2K Adjustments'!$Y$12,Adjustments!$J:$J,'Schedule 2K Adjustments'!$A54)</f>
        <v>0</v>
      </c>
      <c r="AA54" s="305">
        <f t="shared" si="7"/>
        <v>0</v>
      </c>
    </row>
    <row r="55" spans="1:27" x14ac:dyDescent="0.35">
      <c r="A55" s="24">
        <v>41</v>
      </c>
      <c r="B55" s="514" t="str">
        <f>IF('As-Filed Schedule 2K'!B55:D55=0,"",'As-Filed Schedule 2K'!B55:D55)</f>
        <v/>
      </c>
      <c r="C55" s="514"/>
      <c r="D55" s="514"/>
      <c r="F55" s="117">
        <f>'As-Filed Schedule 2K'!F55</f>
        <v>0</v>
      </c>
      <c r="G55" s="309">
        <f>SUMIFS(Adjustments!$G:$G,Adjustments!$H:$H,"2K",Adjustments!$I:$I,'Schedule 2K Adjustments'!$F$12,Adjustments!$J:$J,'Schedule 2K Adjustments'!$A55)</f>
        <v>0</v>
      </c>
      <c r="H55" s="305">
        <f t="shared" si="0"/>
        <v>0</v>
      </c>
      <c r="I55" s="68">
        <f>IFERROR(F55*'As-Filed Schedule 1'!$E$103,0)</f>
        <v>0</v>
      </c>
      <c r="J55" s="306">
        <f>IFERROR(H55*'Adjusted Schedule 1'!$E$104,0)</f>
        <v>0</v>
      </c>
      <c r="K55" s="68">
        <f t="shared" si="1"/>
        <v>0</v>
      </c>
      <c r="L55" s="306">
        <f t="shared" si="2"/>
        <v>0</v>
      </c>
      <c r="N55" s="117">
        <f>'As-Filed Schedule 2K'!J55</f>
        <v>0</v>
      </c>
      <c r="O55" s="309">
        <f>SUMIFS(Adjustments!$G:$G,Adjustments!$H:$H,"2K",Adjustments!$I:$I,'Schedule 2K Adjustments'!$N$12,Adjustments!$J:$J,'Schedule 2K Adjustments'!$A55)</f>
        <v>0</v>
      </c>
      <c r="P55" s="305">
        <f t="shared" si="3"/>
        <v>0</v>
      </c>
      <c r="Q55" s="68">
        <f>IFERROR(N55*'As-Filed Schedule 1'!$E$103,0)</f>
        <v>0</v>
      </c>
      <c r="R55" s="68">
        <f>IFERROR(P55*'Adjusted Schedule 1'!$E$104,0)</f>
        <v>0</v>
      </c>
      <c r="S55" s="68">
        <f t="shared" si="4"/>
        <v>0</v>
      </c>
      <c r="T55" s="306">
        <f t="shared" si="5"/>
        <v>0</v>
      </c>
      <c r="V55" s="119">
        <f>'As-Filed Schedule 2K'!N55</f>
        <v>0</v>
      </c>
      <c r="W55" s="309">
        <f>SUMIFS(Adjustments!$G:$G,Adjustments!$H:$H,"2K",Adjustments!$I:$I,'Schedule 2K Adjustments'!$V$12,Adjustments!$J:$J,'Schedule 2K Adjustments'!$A55)</f>
        <v>0</v>
      </c>
      <c r="X55" s="305">
        <f t="shared" si="6"/>
        <v>0</v>
      </c>
      <c r="Y55" s="119">
        <f>'As-Filed Schedule 2K'!O55</f>
        <v>0</v>
      </c>
      <c r="Z55" s="309">
        <f>SUMIFS(Adjustments!$G:$G,Adjustments!$H:$H,"2K",Adjustments!$I:$I,'Schedule 2K Adjustments'!$Y$12,Adjustments!$J:$J,'Schedule 2K Adjustments'!$A55)</f>
        <v>0</v>
      </c>
      <c r="AA55" s="305">
        <f t="shared" si="7"/>
        <v>0</v>
      </c>
    </row>
    <row r="56" spans="1:27" x14ac:dyDescent="0.35">
      <c r="A56" s="24">
        <v>42</v>
      </c>
      <c r="B56" s="514" t="str">
        <f>IF('As-Filed Schedule 2K'!B56:D56=0,"",'As-Filed Schedule 2K'!B56:D56)</f>
        <v/>
      </c>
      <c r="C56" s="514"/>
      <c r="D56" s="514"/>
      <c r="F56" s="117">
        <f>'As-Filed Schedule 2K'!F56</f>
        <v>0</v>
      </c>
      <c r="G56" s="309">
        <f>SUMIFS(Adjustments!$G:$G,Adjustments!$H:$H,"2K",Adjustments!$I:$I,'Schedule 2K Adjustments'!$F$12,Adjustments!$J:$J,'Schedule 2K Adjustments'!$A56)</f>
        <v>0</v>
      </c>
      <c r="H56" s="305">
        <f t="shared" si="0"/>
        <v>0</v>
      </c>
      <c r="I56" s="68">
        <f>IFERROR(F56*'As-Filed Schedule 1'!$E$103,0)</f>
        <v>0</v>
      </c>
      <c r="J56" s="306">
        <f>IFERROR(H56*'Adjusted Schedule 1'!$E$104,0)</f>
        <v>0</v>
      </c>
      <c r="K56" s="68">
        <f t="shared" si="1"/>
        <v>0</v>
      </c>
      <c r="L56" s="306">
        <f t="shared" si="2"/>
        <v>0</v>
      </c>
      <c r="N56" s="117">
        <f>'As-Filed Schedule 2K'!J56</f>
        <v>0</v>
      </c>
      <c r="O56" s="309">
        <f>SUMIFS(Adjustments!$G:$G,Adjustments!$H:$H,"2K",Adjustments!$I:$I,'Schedule 2K Adjustments'!$N$12,Adjustments!$J:$J,'Schedule 2K Adjustments'!$A56)</f>
        <v>0</v>
      </c>
      <c r="P56" s="305">
        <f t="shared" si="3"/>
        <v>0</v>
      </c>
      <c r="Q56" s="68">
        <f>IFERROR(N56*'As-Filed Schedule 1'!$E$103,0)</f>
        <v>0</v>
      </c>
      <c r="R56" s="68">
        <f>IFERROR(P56*'Adjusted Schedule 1'!$E$104,0)</f>
        <v>0</v>
      </c>
      <c r="S56" s="68">
        <f t="shared" si="4"/>
        <v>0</v>
      </c>
      <c r="T56" s="306">
        <f t="shared" si="5"/>
        <v>0</v>
      </c>
      <c r="V56" s="119">
        <f>'As-Filed Schedule 2K'!N56</f>
        <v>0</v>
      </c>
      <c r="W56" s="309">
        <f>SUMIFS(Adjustments!$G:$G,Adjustments!$H:$H,"2K",Adjustments!$I:$I,'Schedule 2K Adjustments'!$V$12,Adjustments!$J:$J,'Schedule 2K Adjustments'!$A56)</f>
        <v>0</v>
      </c>
      <c r="X56" s="305">
        <f t="shared" si="6"/>
        <v>0</v>
      </c>
      <c r="Y56" s="119">
        <f>'As-Filed Schedule 2K'!O56</f>
        <v>0</v>
      </c>
      <c r="Z56" s="309">
        <f>SUMIFS(Adjustments!$G:$G,Adjustments!$H:$H,"2K",Adjustments!$I:$I,'Schedule 2K Adjustments'!$Y$12,Adjustments!$J:$J,'Schedule 2K Adjustments'!$A56)</f>
        <v>0</v>
      </c>
      <c r="AA56" s="305">
        <f t="shared" si="7"/>
        <v>0</v>
      </c>
    </row>
    <row r="57" spans="1:27" x14ac:dyDescent="0.35">
      <c r="A57" s="24">
        <v>43</v>
      </c>
      <c r="B57" s="514" t="str">
        <f>IF('As-Filed Schedule 2K'!B57:D57=0,"",'As-Filed Schedule 2K'!B57:D57)</f>
        <v/>
      </c>
      <c r="C57" s="514"/>
      <c r="D57" s="514"/>
      <c r="F57" s="117">
        <f>'As-Filed Schedule 2K'!F57</f>
        <v>0</v>
      </c>
      <c r="G57" s="309">
        <f>SUMIFS(Adjustments!$G:$G,Adjustments!$H:$H,"2K",Adjustments!$I:$I,'Schedule 2K Adjustments'!$F$12,Adjustments!$J:$J,'Schedule 2K Adjustments'!$A57)</f>
        <v>0</v>
      </c>
      <c r="H57" s="305">
        <f t="shared" si="0"/>
        <v>0</v>
      </c>
      <c r="I57" s="68">
        <f>IFERROR(F57*'As-Filed Schedule 1'!$E$103,0)</f>
        <v>0</v>
      </c>
      <c r="J57" s="306">
        <f>IFERROR(H57*'Adjusted Schedule 1'!$E$104,0)</f>
        <v>0</v>
      </c>
      <c r="K57" s="68">
        <f t="shared" si="1"/>
        <v>0</v>
      </c>
      <c r="L57" s="306">
        <f t="shared" si="2"/>
        <v>0</v>
      </c>
      <c r="N57" s="117">
        <f>'As-Filed Schedule 2K'!J57</f>
        <v>0</v>
      </c>
      <c r="O57" s="309">
        <f>SUMIFS(Adjustments!$G:$G,Adjustments!$H:$H,"2K",Adjustments!$I:$I,'Schedule 2K Adjustments'!$N$12,Adjustments!$J:$J,'Schedule 2K Adjustments'!$A57)</f>
        <v>0</v>
      </c>
      <c r="P57" s="305">
        <f t="shared" si="3"/>
        <v>0</v>
      </c>
      <c r="Q57" s="68">
        <f>IFERROR(N57*'As-Filed Schedule 1'!$E$103,0)</f>
        <v>0</v>
      </c>
      <c r="R57" s="68">
        <f>IFERROR(P57*'Adjusted Schedule 1'!$E$104,0)</f>
        <v>0</v>
      </c>
      <c r="S57" s="68">
        <f t="shared" si="4"/>
        <v>0</v>
      </c>
      <c r="T57" s="306">
        <f t="shared" si="5"/>
        <v>0</v>
      </c>
      <c r="V57" s="119">
        <f>'As-Filed Schedule 2K'!N57</f>
        <v>0</v>
      </c>
      <c r="W57" s="309">
        <f>SUMIFS(Adjustments!$G:$G,Adjustments!$H:$H,"2K",Adjustments!$I:$I,'Schedule 2K Adjustments'!$V$12,Adjustments!$J:$J,'Schedule 2K Adjustments'!$A57)</f>
        <v>0</v>
      </c>
      <c r="X57" s="305">
        <f t="shared" si="6"/>
        <v>0</v>
      </c>
      <c r="Y57" s="119">
        <f>'As-Filed Schedule 2K'!O57</f>
        <v>0</v>
      </c>
      <c r="Z57" s="309">
        <f>SUMIFS(Adjustments!$G:$G,Adjustments!$H:$H,"2K",Adjustments!$I:$I,'Schedule 2K Adjustments'!$Y$12,Adjustments!$J:$J,'Schedule 2K Adjustments'!$A57)</f>
        <v>0</v>
      </c>
      <c r="AA57" s="305">
        <f t="shared" si="7"/>
        <v>0</v>
      </c>
    </row>
    <row r="58" spans="1:27" x14ac:dyDescent="0.35">
      <c r="A58" s="24">
        <v>44</v>
      </c>
      <c r="B58" s="514" t="str">
        <f>IF('As-Filed Schedule 2K'!B58:D58=0,"",'As-Filed Schedule 2K'!B58:D58)</f>
        <v/>
      </c>
      <c r="C58" s="514"/>
      <c r="D58" s="514"/>
      <c r="F58" s="117">
        <f>'As-Filed Schedule 2K'!F58</f>
        <v>0</v>
      </c>
      <c r="G58" s="309">
        <f>SUMIFS(Adjustments!$G:$G,Adjustments!$H:$H,"2K",Adjustments!$I:$I,'Schedule 2K Adjustments'!$F$12,Adjustments!$J:$J,'Schedule 2K Adjustments'!$A58)</f>
        <v>0</v>
      </c>
      <c r="H58" s="305">
        <f t="shared" si="0"/>
        <v>0</v>
      </c>
      <c r="I58" s="68">
        <f>IFERROR(F58*'As-Filed Schedule 1'!$E$103,0)</f>
        <v>0</v>
      </c>
      <c r="J58" s="306">
        <f>IFERROR(H58*'Adjusted Schedule 1'!$E$104,0)</f>
        <v>0</v>
      </c>
      <c r="K58" s="68">
        <f t="shared" si="1"/>
        <v>0</v>
      </c>
      <c r="L58" s="306">
        <f t="shared" si="2"/>
        <v>0</v>
      </c>
      <c r="N58" s="117">
        <f>'As-Filed Schedule 2K'!J58</f>
        <v>0</v>
      </c>
      <c r="O58" s="309">
        <f>SUMIFS(Adjustments!$G:$G,Adjustments!$H:$H,"2K",Adjustments!$I:$I,'Schedule 2K Adjustments'!$N$12,Adjustments!$J:$J,'Schedule 2K Adjustments'!$A58)</f>
        <v>0</v>
      </c>
      <c r="P58" s="305">
        <f t="shared" si="3"/>
        <v>0</v>
      </c>
      <c r="Q58" s="68">
        <f>IFERROR(N58*'As-Filed Schedule 1'!$E$103,0)</f>
        <v>0</v>
      </c>
      <c r="R58" s="68">
        <f>IFERROR(P58*'Adjusted Schedule 1'!$E$104,0)</f>
        <v>0</v>
      </c>
      <c r="S58" s="68">
        <f t="shared" si="4"/>
        <v>0</v>
      </c>
      <c r="T58" s="306">
        <f t="shared" si="5"/>
        <v>0</v>
      </c>
      <c r="V58" s="119">
        <f>'As-Filed Schedule 2K'!N58</f>
        <v>0</v>
      </c>
      <c r="W58" s="309">
        <f>SUMIFS(Adjustments!$G:$G,Adjustments!$H:$H,"2K",Adjustments!$I:$I,'Schedule 2K Adjustments'!$V$12,Adjustments!$J:$J,'Schedule 2K Adjustments'!$A58)</f>
        <v>0</v>
      </c>
      <c r="X58" s="305">
        <f t="shared" si="6"/>
        <v>0</v>
      </c>
      <c r="Y58" s="119">
        <f>'As-Filed Schedule 2K'!O58</f>
        <v>0</v>
      </c>
      <c r="Z58" s="309">
        <f>SUMIFS(Adjustments!$G:$G,Adjustments!$H:$H,"2K",Adjustments!$I:$I,'Schedule 2K Adjustments'!$Y$12,Adjustments!$J:$J,'Schedule 2K Adjustments'!$A58)</f>
        <v>0</v>
      </c>
      <c r="AA58" s="305">
        <f t="shared" si="7"/>
        <v>0</v>
      </c>
    </row>
    <row r="59" spans="1:27" x14ac:dyDescent="0.35">
      <c r="A59" s="24">
        <v>45</v>
      </c>
      <c r="B59" s="514" t="str">
        <f>IF('As-Filed Schedule 2K'!B59:D59=0,"",'As-Filed Schedule 2K'!B59:D59)</f>
        <v/>
      </c>
      <c r="C59" s="514"/>
      <c r="D59" s="514"/>
      <c r="F59" s="117">
        <f>'As-Filed Schedule 2K'!F59</f>
        <v>0</v>
      </c>
      <c r="G59" s="309">
        <f>SUMIFS(Adjustments!$G:$G,Adjustments!$H:$H,"2K",Adjustments!$I:$I,'Schedule 2K Adjustments'!$F$12,Adjustments!$J:$J,'Schedule 2K Adjustments'!$A59)</f>
        <v>0</v>
      </c>
      <c r="H59" s="305">
        <f t="shared" si="0"/>
        <v>0</v>
      </c>
      <c r="I59" s="68">
        <f>IFERROR(F59*'As-Filed Schedule 1'!$E$103,0)</f>
        <v>0</v>
      </c>
      <c r="J59" s="306">
        <f>IFERROR(H59*'Adjusted Schedule 1'!$E$104,0)</f>
        <v>0</v>
      </c>
      <c r="K59" s="68">
        <f t="shared" si="1"/>
        <v>0</v>
      </c>
      <c r="L59" s="306">
        <f t="shared" si="2"/>
        <v>0</v>
      </c>
      <c r="N59" s="117">
        <f>'As-Filed Schedule 2K'!J59</f>
        <v>0</v>
      </c>
      <c r="O59" s="309">
        <f>SUMIFS(Adjustments!$G:$G,Adjustments!$H:$H,"2K",Adjustments!$I:$I,'Schedule 2K Adjustments'!$N$12,Adjustments!$J:$J,'Schedule 2K Adjustments'!$A59)</f>
        <v>0</v>
      </c>
      <c r="P59" s="305">
        <f t="shared" si="3"/>
        <v>0</v>
      </c>
      <c r="Q59" s="68">
        <f>IFERROR(N59*'As-Filed Schedule 1'!$E$103,0)</f>
        <v>0</v>
      </c>
      <c r="R59" s="68">
        <f>IFERROR(P59*'Adjusted Schedule 1'!$E$104,0)</f>
        <v>0</v>
      </c>
      <c r="S59" s="68">
        <f t="shared" si="4"/>
        <v>0</v>
      </c>
      <c r="T59" s="306">
        <f t="shared" si="5"/>
        <v>0</v>
      </c>
      <c r="V59" s="119">
        <f>'As-Filed Schedule 2K'!N59</f>
        <v>0</v>
      </c>
      <c r="W59" s="309">
        <f>SUMIFS(Adjustments!$G:$G,Adjustments!$H:$H,"2K",Adjustments!$I:$I,'Schedule 2K Adjustments'!$V$12,Adjustments!$J:$J,'Schedule 2K Adjustments'!$A59)</f>
        <v>0</v>
      </c>
      <c r="X59" s="305">
        <f t="shared" si="6"/>
        <v>0</v>
      </c>
      <c r="Y59" s="119">
        <f>'As-Filed Schedule 2K'!O59</f>
        <v>0</v>
      </c>
      <c r="Z59" s="309">
        <f>SUMIFS(Adjustments!$G:$G,Adjustments!$H:$H,"2K",Adjustments!$I:$I,'Schedule 2K Adjustments'!$Y$12,Adjustments!$J:$J,'Schedule 2K Adjustments'!$A59)</f>
        <v>0</v>
      </c>
      <c r="AA59" s="305">
        <f t="shared" si="7"/>
        <v>0</v>
      </c>
    </row>
    <row r="60" spans="1:27" x14ac:dyDescent="0.35">
      <c r="A60" s="24">
        <v>46</v>
      </c>
      <c r="B60" s="514" t="str">
        <f>IF('As-Filed Schedule 2K'!B60:D60=0,"",'As-Filed Schedule 2K'!B60:D60)</f>
        <v/>
      </c>
      <c r="C60" s="514"/>
      <c r="D60" s="514"/>
      <c r="F60" s="117">
        <f>'As-Filed Schedule 2K'!F60</f>
        <v>0</v>
      </c>
      <c r="G60" s="309">
        <f>SUMIFS(Adjustments!$G:$G,Adjustments!$H:$H,"2K",Adjustments!$I:$I,'Schedule 2K Adjustments'!$F$12,Adjustments!$J:$J,'Schedule 2K Adjustments'!$A60)</f>
        <v>0</v>
      </c>
      <c r="H60" s="305">
        <f t="shared" si="0"/>
        <v>0</v>
      </c>
      <c r="I60" s="68">
        <f>IFERROR(F60*'As-Filed Schedule 1'!$E$103,0)</f>
        <v>0</v>
      </c>
      <c r="J60" s="306">
        <f>IFERROR(H60*'Adjusted Schedule 1'!$E$104,0)</f>
        <v>0</v>
      </c>
      <c r="K60" s="68">
        <f t="shared" si="1"/>
        <v>0</v>
      </c>
      <c r="L60" s="306">
        <f t="shared" si="2"/>
        <v>0</v>
      </c>
      <c r="N60" s="117">
        <f>'As-Filed Schedule 2K'!J60</f>
        <v>0</v>
      </c>
      <c r="O60" s="309">
        <f>SUMIFS(Adjustments!$G:$G,Adjustments!$H:$H,"2K",Adjustments!$I:$I,'Schedule 2K Adjustments'!$N$12,Adjustments!$J:$J,'Schedule 2K Adjustments'!$A60)</f>
        <v>0</v>
      </c>
      <c r="P60" s="305">
        <f t="shared" si="3"/>
        <v>0</v>
      </c>
      <c r="Q60" s="68">
        <f>IFERROR(N60*'As-Filed Schedule 1'!$E$103,0)</f>
        <v>0</v>
      </c>
      <c r="R60" s="68">
        <f>IFERROR(P60*'Adjusted Schedule 1'!$E$104,0)</f>
        <v>0</v>
      </c>
      <c r="S60" s="68">
        <f t="shared" si="4"/>
        <v>0</v>
      </c>
      <c r="T60" s="306">
        <f t="shared" si="5"/>
        <v>0</v>
      </c>
      <c r="V60" s="119">
        <f>'As-Filed Schedule 2K'!N60</f>
        <v>0</v>
      </c>
      <c r="W60" s="309">
        <f>SUMIFS(Adjustments!$G:$G,Adjustments!$H:$H,"2K",Adjustments!$I:$I,'Schedule 2K Adjustments'!$V$12,Adjustments!$J:$J,'Schedule 2K Adjustments'!$A60)</f>
        <v>0</v>
      </c>
      <c r="X60" s="305">
        <f t="shared" si="6"/>
        <v>0</v>
      </c>
      <c r="Y60" s="119">
        <f>'As-Filed Schedule 2K'!O60</f>
        <v>0</v>
      </c>
      <c r="Z60" s="309">
        <f>SUMIFS(Adjustments!$G:$G,Adjustments!$H:$H,"2K",Adjustments!$I:$I,'Schedule 2K Adjustments'!$Y$12,Adjustments!$J:$J,'Schedule 2K Adjustments'!$A60)</f>
        <v>0</v>
      </c>
      <c r="AA60" s="305">
        <f t="shared" si="7"/>
        <v>0</v>
      </c>
    </row>
    <row r="61" spans="1:27" x14ac:dyDescent="0.35">
      <c r="A61" s="24">
        <v>47</v>
      </c>
      <c r="B61" s="514" t="str">
        <f>IF('As-Filed Schedule 2K'!B61:D61=0,"",'As-Filed Schedule 2K'!B61:D61)</f>
        <v/>
      </c>
      <c r="C61" s="514"/>
      <c r="D61" s="514"/>
      <c r="F61" s="117">
        <f>'As-Filed Schedule 2K'!F61</f>
        <v>0</v>
      </c>
      <c r="G61" s="309">
        <f>SUMIFS(Adjustments!$G:$G,Adjustments!$H:$H,"2K",Adjustments!$I:$I,'Schedule 2K Adjustments'!$F$12,Adjustments!$J:$J,'Schedule 2K Adjustments'!$A61)</f>
        <v>0</v>
      </c>
      <c r="H61" s="305">
        <f t="shared" si="0"/>
        <v>0</v>
      </c>
      <c r="I61" s="68">
        <f>IFERROR(F61*'As-Filed Schedule 1'!$E$103,0)</f>
        <v>0</v>
      </c>
      <c r="J61" s="306">
        <f>IFERROR(H61*'Adjusted Schedule 1'!$E$104,0)</f>
        <v>0</v>
      </c>
      <c r="K61" s="68">
        <f t="shared" si="1"/>
        <v>0</v>
      </c>
      <c r="L61" s="306">
        <f t="shared" si="2"/>
        <v>0</v>
      </c>
      <c r="N61" s="117">
        <f>'As-Filed Schedule 2K'!J61</f>
        <v>0</v>
      </c>
      <c r="O61" s="309">
        <f>SUMIFS(Adjustments!$G:$G,Adjustments!$H:$H,"2K",Adjustments!$I:$I,'Schedule 2K Adjustments'!$N$12,Adjustments!$J:$J,'Schedule 2K Adjustments'!$A61)</f>
        <v>0</v>
      </c>
      <c r="P61" s="305">
        <f t="shared" si="3"/>
        <v>0</v>
      </c>
      <c r="Q61" s="68">
        <f>IFERROR(N61*'As-Filed Schedule 1'!$E$103,0)</f>
        <v>0</v>
      </c>
      <c r="R61" s="68">
        <f>IFERROR(P61*'Adjusted Schedule 1'!$E$104,0)</f>
        <v>0</v>
      </c>
      <c r="S61" s="68">
        <f t="shared" si="4"/>
        <v>0</v>
      </c>
      <c r="T61" s="306">
        <f t="shared" si="5"/>
        <v>0</v>
      </c>
      <c r="V61" s="119">
        <f>'As-Filed Schedule 2K'!N61</f>
        <v>0</v>
      </c>
      <c r="W61" s="309">
        <f>SUMIFS(Adjustments!$G:$G,Adjustments!$H:$H,"2K",Adjustments!$I:$I,'Schedule 2K Adjustments'!$V$12,Adjustments!$J:$J,'Schedule 2K Adjustments'!$A61)</f>
        <v>0</v>
      </c>
      <c r="X61" s="305">
        <f t="shared" si="6"/>
        <v>0</v>
      </c>
      <c r="Y61" s="119">
        <f>'As-Filed Schedule 2K'!O61</f>
        <v>0</v>
      </c>
      <c r="Z61" s="309">
        <f>SUMIFS(Adjustments!$G:$G,Adjustments!$H:$H,"2K",Adjustments!$I:$I,'Schedule 2K Adjustments'!$Y$12,Adjustments!$J:$J,'Schedule 2K Adjustments'!$A61)</f>
        <v>0</v>
      </c>
      <c r="AA61" s="305">
        <f t="shared" si="7"/>
        <v>0</v>
      </c>
    </row>
    <row r="62" spans="1:27" x14ac:dyDescent="0.35">
      <c r="A62" s="24">
        <v>48</v>
      </c>
      <c r="B62" s="514" t="str">
        <f>IF('As-Filed Schedule 2K'!B62:D62=0,"",'As-Filed Schedule 2K'!B62:D62)</f>
        <v/>
      </c>
      <c r="C62" s="514"/>
      <c r="D62" s="514"/>
      <c r="F62" s="117">
        <f>'As-Filed Schedule 2K'!F62</f>
        <v>0</v>
      </c>
      <c r="G62" s="309">
        <f>SUMIFS(Adjustments!$G:$G,Adjustments!$H:$H,"2K",Adjustments!$I:$I,'Schedule 2K Adjustments'!$F$12,Adjustments!$J:$J,'Schedule 2K Adjustments'!$A62)</f>
        <v>0</v>
      </c>
      <c r="H62" s="305">
        <f t="shared" si="0"/>
        <v>0</v>
      </c>
      <c r="I62" s="68">
        <f>IFERROR(F62*'As-Filed Schedule 1'!$E$103,0)</f>
        <v>0</v>
      </c>
      <c r="J62" s="306">
        <f>IFERROR(H62*'Adjusted Schedule 1'!$E$104,0)</f>
        <v>0</v>
      </c>
      <c r="K62" s="68">
        <f t="shared" si="1"/>
        <v>0</v>
      </c>
      <c r="L62" s="306">
        <f t="shared" si="2"/>
        <v>0</v>
      </c>
      <c r="N62" s="117">
        <f>'As-Filed Schedule 2K'!J62</f>
        <v>0</v>
      </c>
      <c r="O62" s="309">
        <f>SUMIFS(Adjustments!$G:$G,Adjustments!$H:$H,"2K",Adjustments!$I:$I,'Schedule 2K Adjustments'!$N$12,Adjustments!$J:$J,'Schedule 2K Adjustments'!$A62)</f>
        <v>0</v>
      </c>
      <c r="P62" s="305">
        <f t="shared" si="3"/>
        <v>0</v>
      </c>
      <c r="Q62" s="68">
        <f>IFERROR(N62*'As-Filed Schedule 1'!$E$103,0)</f>
        <v>0</v>
      </c>
      <c r="R62" s="68">
        <f>IFERROR(P62*'Adjusted Schedule 1'!$E$104,0)</f>
        <v>0</v>
      </c>
      <c r="S62" s="68">
        <f t="shared" si="4"/>
        <v>0</v>
      </c>
      <c r="T62" s="306">
        <f t="shared" si="5"/>
        <v>0</v>
      </c>
      <c r="V62" s="119">
        <f>'As-Filed Schedule 2K'!N62</f>
        <v>0</v>
      </c>
      <c r="W62" s="309">
        <f>SUMIFS(Adjustments!$G:$G,Adjustments!$H:$H,"2K",Adjustments!$I:$I,'Schedule 2K Adjustments'!$V$12,Adjustments!$J:$J,'Schedule 2K Adjustments'!$A62)</f>
        <v>0</v>
      </c>
      <c r="X62" s="305">
        <f t="shared" si="6"/>
        <v>0</v>
      </c>
      <c r="Y62" s="119">
        <f>'As-Filed Schedule 2K'!O62</f>
        <v>0</v>
      </c>
      <c r="Z62" s="309">
        <f>SUMIFS(Adjustments!$G:$G,Adjustments!$H:$H,"2K",Adjustments!$I:$I,'Schedule 2K Adjustments'!$Y$12,Adjustments!$J:$J,'Schedule 2K Adjustments'!$A62)</f>
        <v>0</v>
      </c>
      <c r="AA62" s="305">
        <f t="shared" si="7"/>
        <v>0</v>
      </c>
    </row>
    <row r="63" spans="1:27" x14ac:dyDescent="0.35">
      <c r="A63" s="24">
        <v>49</v>
      </c>
      <c r="B63" s="514" t="str">
        <f>IF('As-Filed Schedule 2K'!B63:D63=0,"",'As-Filed Schedule 2K'!B63:D63)</f>
        <v/>
      </c>
      <c r="C63" s="514"/>
      <c r="D63" s="514"/>
      <c r="F63" s="117">
        <f>'As-Filed Schedule 2K'!F63</f>
        <v>0</v>
      </c>
      <c r="G63" s="309">
        <f>SUMIFS(Adjustments!$G:$G,Adjustments!$H:$H,"2K",Adjustments!$I:$I,'Schedule 2K Adjustments'!$F$12,Adjustments!$J:$J,'Schedule 2K Adjustments'!$A63)</f>
        <v>0</v>
      </c>
      <c r="H63" s="305">
        <f t="shared" si="0"/>
        <v>0</v>
      </c>
      <c r="I63" s="68">
        <f>IFERROR(F63*'As-Filed Schedule 1'!$E$103,0)</f>
        <v>0</v>
      </c>
      <c r="J63" s="306">
        <f>IFERROR(H63*'Adjusted Schedule 1'!$E$104,0)</f>
        <v>0</v>
      </c>
      <c r="K63" s="68">
        <f t="shared" si="1"/>
        <v>0</v>
      </c>
      <c r="L63" s="306">
        <f t="shared" si="2"/>
        <v>0</v>
      </c>
      <c r="N63" s="117">
        <f>'As-Filed Schedule 2K'!J63</f>
        <v>0</v>
      </c>
      <c r="O63" s="309">
        <f>SUMIFS(Adjustments!$G:$G,Adjustments!$H:$H,"2K",Adjustments!$I:$I,'Schedule 2K Adjustments'!$N$12,Adjustments!$J:$J,'Schedule 2K Adjustments'!$A63)</f>
        <v>0</v>
      </c>
      <c r="P63" s="305">
        <f t="shared" si="3"/>
        <v>0</v>
      </c>
      <c r="Q63" s="68">
        <f>IFERROR(N63*'As-Filed Schedule 1'!$E$103,0)</f>
        <v>0</v>
      </c>
      <c r="R63" s="68">
        <f>IFERROR(P63*'Adjusted Schedule 1'!$E$104,0)</f>
        <v>0</v>
      </c>
      <c r="S63" s="68">
        <f t="shared" si="4"/>
        <v>0</v>
      </c>
      <c r="T63" s="306">
        <f t="shared" si="5"/>
        <v>0</v>
      </c>
      <c r="V63" s="119">
        <f>'As-Filed Schedule 2K'!N63</f>
        <v>0</v>
      </c>
      <c r="W63" s="309">
        <f>SUMIFS(Adjustments!$G:$G,Adjustments!$H:$H,"2K",Adjustments!$I:$I,'Schedule 2K Adjustments'!$V$12,Adjustments!$J:$J,'Schedule 2K Adjustments'!$A63)</f>
        <v>0</v>
      </c>
      <c r="X63" s="305">
        <f t="shared" si="6"/>
        <v>0</v>
      </c>
      <c r="Y63" s="119">
        <f>'As-Filed Schedule 2K'!O63</f>
        <v>0</v>
      </c>
      <c r="Z63" s="309">
        <f>SUMIFS(Adjustments!$G:$G,Adjustments!$H:$H,"2K",Adjustments!$I:$I,'Schedule 2K Adjustments'!$Y$12,Adjustments!$J:$J,'Schedule 2K Adjustments'!$A63)</f>
        <v>0</v>
      </c>
      <c r="AA63" s="305">
        <f t="shared" si="7"/>
        <v>0</v>
      </c>
    </row>
    <row r="64" spans="1:27" x14ac:dyDescent="0.35">
      <c r="A64" s="24">
        <v>50</v>
      </c>
      <c r="B64" s="514" t="str">
        <f>IF('As-Filed Schedule 2K'!B64:D64=0,"",'As-Filed Schedule 2K'!B64:D64)</f>
        <v/>
      </c>
      <c r="C64" s="514"/>
      <c r="D64" s="514"/>
      <c r="F64" s="117">
        <f>'As-Filed Schedule 2K'!F64</f>
        <v>0</v>
      </c>
      <c r="G64" s="309">
        <f>SUMIFS(Adjustments!$G:$G,Adjustments!$H:$H,"2K",Adjustments!$I:$I,'Schedule 2K Adjustments'!$F$12,Adjustments!$J:$J,'Schedule 2K Adjustments'!$A64)</f>
        <v>0</v>
      </c>
      <c r="H64" s="305">
        <f t="shared" si="0"/>
        <v>0</v>
      </c>
      <c r="I64" s="68">
        <f>IFERROR(F64*'As-Filed Schedule 1'!$E$103,0)</f>
        <v>0</v>
      </c>
      <c r="J64" s="306">
        <f>IFERROR(H64*'Adjusted Schedule 1'!$E$104,0)</f>
        <v>0</v>
      </c>
      <c r="K64" s="68">
        <f t="shared" si="1"/>
        <v>0</v>
      </c>
      <c r="L64" s="306">
        <f t="shared" si="2"/>
        <v>0</v>
      </c>
      <c r="N64" s="117">
        <f>'As-Filed Schedule 2K'!J64</f>
        <v>0</v>
      </c>
      <c r="O64" s="309">
        <f>SUMIFS(Adjustments!$G:$G,Adjustments!$H:$H,"2K",Adjustments!$I:$I,'Schedule 2K Adjustments'!$N$12,Adjustments!$J:$J,'Schedule 2K Adjustments'!$A64)</f>
        <v>0</v>
      </c>
      <c r="P64" s="305">
        <f t="shared" si="3"/>
        <v>0</v>
      </c>
      <c r="Q64" s="68">
        <f>IFERROR(N64*'As-Filed Schedule 1'!$E$103,0)</f>
        <v>0</v>
      </c>
      <c r="R64" s="68">
        <f>IFERROR(P64*'Adjusted Schedule 1'!$E$104,0)</f>
        <v>0</v>
      </c>
      <c r="S64" s="68">
        <f t="shared" si="4"/>
        <v>0</v>
      </c>
      <c r="T64" s="306">
        <f t="shared" si="5"/>
        <v>0</v>
      </c>
      <c r="V64" s="119">
        <f>'As-Filed Schedule 2K'!N64</f>
        <v>0</v>
      </c>
      <c r="W64" s="309">
        <f>SUMIFS(Adjustments!$G:$G,Adjustments!$H:$H,"2K",Adjustments!$I:$I,'Schedule 2K Adjustments'!$V$12,Adjustments!$J:$J,'Schedule 2K Adjustments'!$A64)</f>
        <v>0</v>
      </c>
      <c r="X64" s="305">
        <f t="shared" si="6"/>
        <v>0</v>
      </c>
      <c r="Y64" s="119">
        <f>'As-Filed Schedule 2K'!O64</f>
        <v>0</v>
      </c>
      <c r="Z64" s="309">
        <f>SUMIFS(Adjustments!$G:$G,Adjustments!$H:$H,"2K",Adjustments!$I:$I,'Schedule 2K Adjustments'!$Y$12,Adjustments!$J:$J,'Schedule 2K Adjustments'!$A64)</f>
        <v>0</v>
      </c>
      <c r="AA64" s="305">
        <f t="shared" si="7"/>
        <v>0</v>
      </c>
    </row>
    <row r="65" spans="1:27" x14ac:dyDescent="0.35">
      <c r="A65" s="24">
        <v>51</v>
      </c>
      <c r="B65" s="514" t="str">
        <f>IF('As-Filed Schedule 2K'!B65:D65=0,"",'As-Filed Schedule 2K'!B65:D65)</f>
        <v/>
      </c>
      <c r="C65" s="514"/>
      <c r="D65" s="514"/>
      <c r="F65" s="117">
        <f>'As-Filed Schedule 2K'!F65</f>
        <v>0</v>
      </c>
      <c r="G65" s="309">
        <f>SUMIFS(Adjustments!$G:$G,Adjustments!$H:$H,"2K",Adjustments!$I:$I,'Schedule 2K Adjustments'!$F$12,Adjustments!$J:$J,'Schedule 2K Adjustments'!$A65)</f>
        <v>0</v>
      </c>
      <c r="H65" s="305">
        <f t="shared" si="0"/>
        <v>0</v>
      </c>
      <c r="I65" s="68">
        <f>IFERROR(F65*'As-Filed Schedule 1'!$E$103,0)</f>
        <v>0</v>
      </c>
      <c r="J65" s="306">
        <f>IFERROR(H65*'Adjusted Schedule 1'!$E$104,0)</f>
        <v>0</v>
      </c>
      <c r="K65" s="68">
        <f t="shared" si="1"/>
        <v>0</v>
      </c>
      <c r="L65" s="306">
        <f t="shared" si="2"/>
        <v>0</v>
      </c>
      <c r="N65" s="117">
        <f>'As-Filed Schedule 2K'!J65</f>
        <v>0</v>
      </c>
      <c r="O65" s="309">
        <f>SUMIFS(Adjustments!$G:$G,Adjustments!$H:$H,"2K",Adjustments!$I:$I,'Schedule 2K Adjustments'!$N$12,Adjustments!$J:$J,'Schedule 2K Adjustments'!$A65)</f>
        <v>0</v>
      </c>
      <c r="P65" s="305">
        <f t="shared" si="3"/>
        <v>0</v>
      </c>
      <c r="Q65" s="68">
        <f>IFERROR(N65*'As-Filed Schedule 1'!$E$103,0)</f>
        <v>0</v>
      </c>
      <c r="R65" s="68">
        <f>IFERROR(P65*'Adjusted Schedule 1'!$E$104,0)</f>
        <v>0</v>
      </c>
      <c r="S65" s="68">
        <f t="shared" si="4"/>
        <v>0</v>
      </c>
      <c r="T65" s="306">
        <f t="shared" si="5"/>
        <v>0</v>
      </c>
      <c r="V65" s="119">
        <f>'As-Filed Schedule 2K'!N65</f>
        <v>0</v>
      </c>
      <c r="W65" s="309">
        <f>SUMIFS(Adjustments!$G:$G,Adjustments!$H:$H,"2K",Adjustments!$I:$I,'Schedule 2K Adjustments'!$V$12,Adjustments!$J:$J,'Schedule 2K Adjustments'!$A65)</f>
        <v>0</v>
      </c>
      <c r="X65" s="305">
        <f t="shared" si="6"/>
        <v>0</v>
      </c>
      <c r="Y65" s="119">
        <f>'As-Filed Schedule 2K'!O65</f>
        <v>0</v>
      </c>
      <c r="Z65" s="309">
        <f>SUMIFS(Adjustments!$G:$G,Adjustments!$H:$H,"2K",Adjustments!$I:$I,'Schedule 2K Adjustments'!$Y$12,Adjustments!$J:$J,'Schedule 2K Adjustments'!$A65)</f>
        <v>0</v>
      </c>
      <c r="AA65" s="305">
        <f t="shared" si="7"/>
        <v>0</v>
      </c>
    </row>
    <row r="66" spans="1:27" x14ac:dyDescent="0.35">
      <c r="A66" s="24">
        <v>52</v>
      </c>
      <c r="B66" s="514" t="str">
        <f>IF('As-Filed Schedule 2K'!B66:D66=0,"",'As-Filed Schedule 2K'!B66:D66)</f>
        <v/>
      </c>
      <c r="C66" s="514"/>
      <c r="D66" s="514"/>
      <c r="F66" s="117">
        <f>'As-Filed Schedule 2K'!F66</f>
        <v>0</v>
      </c>
      <c r="G66" s="309">
        <f>SUMIFS(Adjustments!$G:$G,Adjustments!$H:$H,"2K",Adjustments!$I:$I,'Schedule 2K Adjustments'!$F$12,Adjustments!$J:$J,'Schedule 2K Adjustments'!$A66)</f>
        <v>0</v>
      </c>
      <c r="H66" s="305">
        <f t="shared" si="0"/>
        <v>0</v>
      </c>
      <c r="I66" s="68">
        <f>IFERROR(F66*'As-Filed Schedule 1'!$E$103,0)</f>
        <v>0</v>
      </c>
      <c r="J66" s="306">
        <f>IFERROR(H66*'Adjusted Schedule 1'!$E$104,0)</f>
        <v>0</v>
      </c>
      <c r="K66" s="68">
        <f t="shared" si="1"/>
        <v>0</v>
      </c>
      <c r="L66" s="306">
        <f t="shared" si="2"/>
        <v>0</v>
      </c>
      <c r="N66" s="117">
        <f>'As-Filed Schedule 2K'!J66</f>
        <v>0</v>
      </c>
      <c r="O66" s="309">
        <f>SUMIFS(Adjustments!$G:$G,Adjustments!$H:$H,"2K",Adjustments!$I:$I,'Schedule 2K Adjustments'!$N$12,Adjustments!$J:$J,'Schedule 2K Adjustments'!$A66)</f>
        <v>0</v>
      </c>
      <c r="P66" s="305">
        <f t="shared" si="3"/>
        <v>0</v>
      </c>
      <c r="Q66" s="68">
        <f>IFERROR(N66*'As-Filed Schedule 1'!$E$103,0)</f>
        <v>0</v>
      </c>
      <c r="R66" s="68">
        <f>IFERROR(P66*'Adjusted Schedule 1'!$E$104,0)</f>
        <v>0</v>
      </c>
      <c r="S66" s="68">
        <f t="shared" si="4"/>
        <v>0</v>
      </c>
      <c r="T66" s="306">
        <f t="shared" si="5"/>
        <v>0</v>
      </c>
      <c r="V66" s="119">
        <f>'As-Filed Schedule 2K'!N66</f>
        <v>0</v>
      </c>
      <c r="W66" s="309">
        <f>SUMIFS(Adjustments!$G:$G,Adjustments!$H:$H,"2K",Adjustments!$I:$I,'Schedule 2K Adjustments'!$V$12,Adjustments!$J:$J,'Schedule 2K Adjustments'!$A66)</f>
        <v>0</v>
      </c>
      <c r="X66" s="305">
        <f t="shared" si="6"/>
        <v>0</v>
      </c>
      <c r="Y66" s="119">
        <f>'As-Filed Schedule 2K'!O66</f>
        <v>0</v>
      </c>
      <c r="Z66" s="309">
        <f>SUMIFS(Adjustments!$G:$G,Adjustments!$H:$H,"2K",Adjustments!$I:$I,'Schedule 2K Adjustments'!$Y$12,Adjustments!$J:$J,'Schedule 2K Adjustments'!$A66)</f>
        <v>0</v>
      </c>
      <c r="AA66" s="305">
        <f t="shared" si="7"/>
        <v>0</v>
      </c>
    </row>
    <row r="67" spans="1:27" x14ac:dyDescent="0.35">
      <c r="A67" s="24">
        <v>53</v>
      </c>
      <c r="B67" s="514" t="str">
        <f>IF('As-Filed Schedule 2K'!B67:D67=0,"",'As-Filed Schedule 2K'!B67:D67)</f>
        <v/>
      </c>
      <c r="C67" s="514"/>
      <c r="D67" s="514"/>
      <c r="F67" s="117">
        <f>'As-Filed Schedule 2K'!F67</f>
        <v>0</v>
      </c>
      <c r="G67" s="309">
        <f>SUMIFS(Adjustments!$G:$G,Adjustments!$H:$H,"2K",Adjustments!$I:$I,'Schedule 2K Adjustments'!$F$12,Adjustments!$J:$J,'Schedule 2K Adjustments'!$A67)</f>
        <v>0</v>
      </c>
      <c r="H67" s="305">
        <f t="shared" si="0"/>
        <v>0</v>
      </c>
      <c r="I67" s="68">
        <f>IFERROR(F67*'As-Filed Schedule 1'!$E$103,0)</f>
        <v>0</v>
      </c>
      <c r="J67" s="306">
        <f>IFERROR(H67*'Adjusted Schedule 1'!$E$104,0)</f>
        <v>0</v>
      </c>
      <c r="K67" s="68">
        <f t="shared" si="1"/>
        <v>0</v>
      </c>
      <c r="L67" s="306">
        <f t="shared" si="2"/>
        <v>0</v>
      </c>
      <c r="N67" s="117">
        <f>'As-Filed Schedule 2K'!J67</f>
        <v>0</v>
      </c>
      <c r="O67" s="309">
        <f>SUMIFS(Adjustments!$G:$G,Adjustments!$H:$H,"2K",Adjustments!$I:$I,'Schedule 2K Adjustments'!$N$12,Adjustments!$J:$J,'Schedule 2K Adjustments'!$A67)</f>
        <v>0</v>
      </c>
      <c r="P67" s="305">
        <f t="shared" si="3"/>
        <v>0</v>
      </c>
      <c r="Q67" s="68">
        <f>IFERROR(N67*'As-Filed Schedule 1'!$E$103,0)</f>
        <v>0</v>
      </c>
      <c r="R67" s="68">
        <f>IFERROR(P67*'Adjusted Schedule 1'!$E$104,0)</f>
        <v>0</v>
      </c>
      <c r="S67" s="68">
        <f t="shared" si="4"/>
        <v>0</v>
      </c>
      <c r="T67" s="306">
        <f t="shared" si="5"/>
        <v>0</v>
      </c>
      <c r="V67" s="119">
        <f>'As-Filed Schedule 2K'!N67</f>
        <v>0</v>
      </c>
      <c r="W67" s="309">
        <f>SUMIFS(Adjustments!$G:$G,Adjustments!$H:$H,"2K",Adjustments!$I:$I,'Schedule 2K Adjustments'!$V$12,Adjustments!$J:$J,'Schedule 2K Adjustments'!$A67)</f>
        <v>0</v>
      </c>
      <c r="X67" s="305">
        <f t="shared" si="6"/>
        <v>0</v>
      </c>
      <c r="Y67" s="119">
        <f>'As-Filed Schedule 2K'!O67</f>
        <v>0</v>
      </c>
      <c r="Z67" s="309">
        <f>SUMIFS(Adjustments!$G:$G,Adjustments!$H:$H,"2K",Adjustments!$I:$I,'Schedule 2K Adjustments'!$Y$12,Adjustments!$J:$J,'Schedule 2K Adjustments'!$A67)</f>
        <v>0</v>
      </c>
      <c r="AA67" s="305">
        <f t="shared" si="7"/>
        <v>0</v>
      </c>
    </row>
    <row r="68" spans="1:27" x14ac:dyDescent="0.35">
      <c r="A68" s="24">
        <v>54</v>
      </c>
      <c r="B68" s="514" t="str">
        <f>IF('As-Filed Schedule 2K'!B68:D68=0,"",'As-Filed Schedule 2K'!B68:D68)</f>
        <v/>
      </c>
      <c r="C68" s="514"/>
      <c r="D68" s="514"/>
      <c r="F68" s="117">
        <f>'As-Filed Schedule 2K'!F68</f>
        <v>0</v>
      </c>
      <c r="G68" s="309">
        <f>SUMIFS(Adjustments!$G:$G,Adjustments!$H:$H,"2K",Adjustments!$I:$I,'Schedule 2K Adjustments'!$F$12,Adjustments!$J:$J,'Schedule 2K Adjustments'!$A68)</f>
        <v>0</v>
      </c>
      <c r="H68" s="305">
        <f t="shared" si="0"/>
        <v>0</v>
      </c>
      <c r="I68" s="68">
        <f>IFERROR(F68*'As-Filed Schedule 1'!$E$103,0)</f>
        <v>0</v>
      </c>
      <c r="J68" s="306">
        <f>IFERROR(H68*'Adjusted Schedule 1'!$E$104,0)</f>
        <v>0</v>
      </c>
      <c r="K68" s="68">
        <f t="shared" si="1"/>
        <v>0</v>
      </c>
      <c r="L68" s="306">
        <f t="shared" si="2"/>
        <v>0</v>
      </c>
      <c r="N68" s="117">
        <f>'As-Filed Schedule 2K'!J68</f>
        <v>0</v>
      </c>
      <c r="O68" s="309">
        <f>SUMIFS(Adjustments!$G:$G,Adjustments!$H:$H,"2K",Adjustments!$I:$I,'Schedule 2K Adjustments'!$N$12,Adjustments!$J:$J,'Schedule 2K Adjustments'!$A68)</f>
        <v>0</v>
      </c>
      <c r="P68" s="305">
        <f t="shared" si="3"/>
        <v>0</v>
      </c>
      <c r="Q68" s="68">
        <f>IFERROR(N68*'As-Filed Schedule 1'!$E$103,0)</f>
        <v>0</v>
      </c>
      <c r="R68" s="68">
        <f>IFERROR(P68*'Adjusted Schedule 1'!$E$104,0)</f>
        <v>0</v>
      </c>
      <c r="S68" s="68">
        <f t="shared" si="4"/>
        <v>0</v>
      </c>
      <c r="T68" s="306">
        <f t="shared" si="5"/>
        <v>0</v>
      </c>
      <c r="V68" s="119">
        <f>'As-Filed Schedule 2K'!N68</f>
        <v>0</v>
      </c>
      <c r="W68" s="309">
        <f>SUMIFS(Adjustments!$G:$G,Adjustments!$H:$H,"2K",Adjustments!$I:$I,'Schedule 2K Adjustments'!$V$12,Adjustments!$J:$J,'Schedule 2K Adjustments'!$A68)</f>
        <v>0</v>
      </c>
      <c r="X68" s="305">
        <f t="shared" si="6"/>
        <v>0</v>
      </c>
      <c r="Y68" s="119">
        <f>'As-Filed Schedule 2K'!O68</f>
        <v>0</v>
      </c>
      <c r="Z68" s="309">
        <f>SUMIFS(Adjustments!$G:$G,Adjustments!$H:$H,"2K",Adjustments!$I:$I,'Schedule 2K Adjustments'!$Y$12,Adjustments!$J:$J,'Schedule 2K Adjustments'!$A68)</f>
        <v>0</v>
      </c>
      <c r="AA68" s="305">
        <f t="shared" si="7"/>
        <v>0</v>
      </c>
    </row>
    <row r="69" spans="1:27" x14ac:dyDescent="0.35">
      <c r="A69" s="24">
        <v>55</v>
      </c>
      <c r="B69" s="514" t="str">
        <f>IF('As-Filed Schedule 2K'!B69:D69=0,"",'As-Filed Schedule 2K'!B69:D69)</f>
        <v/>
      </c>
      <c r="C69" s="514"/>
      <c r="D69" s="514"/>
      <c r="F69" s="117">
        <f>'As-Filed Schedule 2K'!F69</f>
        <v>0</v>
      </c>
      <c r="G69" s="309">
        <f>SUMIFS(Adjustments!$G:$G,Adjustments!$H:$H,"2K",Adjustments!$I:$I,'Schedule 2K Adjustments'!$F$12,Adjustments!$J:$J,'Schedule 2K Adjustments'!$A69)</f>
        <v>0</v>
      </c>
      <c r="H69" s="305">
        <f t="shared" si="0"/>
        <v>0</v>
      </c>
      <c r="I69" s="68">
        <f>IFERROR(F69*'As-Filed Schedule 1'!$E$103,0)</f>
        <v>0</v>
      </c>
      <c r="J69" s="306">
        <f>IFERROR(H69*'Adjusted Schedule 1'!$E$104,0)</f>
        <v>0</v>
      </c>
      <c r="K69" s="68">
        <f t="shared" si="1"/>
        <v>0</v>
      </c>
      <c r="L69" s="306">
        <f t="shared" si="2"/>
        <v>0</v>
      </c>
      <c r="N69" s="117">
        <f>'As-Filed Schedule 2K'!J69</f>
        <v>0</v>
      </c>
      <c r="O69" s="309">
        <f>SUMIFS(Adjustments!$G:$G,Adjustments!$H:$H,"2K",Adjustments!$I:$I,'Schedule 2K Adjustments'!$N$12,Adjustments!$J:$J,'Schedule 2K Adjustments'!$A69)</f>
        <v>0</v>
      </c>
      <c r="P69" s="305">
        <f t="shared" si="3"/>
        <v>0</v>
      </c>
      <c r="Q69" s="68">
        <f>IFERROR(N69*'As-Filed Schedule 1'!$E$103,0)</f>
        <v>0</v>
      </c>
      <c r="R69" s="68">
        <f>IFERROR(P69*'Adjusted Schedule 1'!$E$104,0)</f>
        <v>0</v>
      </c>
      <c r="S69" s="68">
        <f t="shared" si="4"/>
        <v>0</v>
      </c>
      <c r="T69" s="306">
        <f t="shared" si="5"/>
        <v>0</v>
      </c>
      <c r="V69" s="119">
        <f>'As-Filed Schedule 2K'!N69</f>
        <v>0</v>
      </c>
      <c r="W69" s="309">
        <f>SUMIFS(Adjustments!$G:$G,Adjustments!$H:$H,"2K",Adjustments!$I:$I,'Schedule 2K Adjustments'!$V$12,Adjustments!$J:$J,'Schedule 2K Adjustments'!$A69)</f>
        <v>0</v>
      </c>
      <c r="X69" s="305">
        <f t="shared" si="6"/>
        <v>0</v>
      </c>
      <c r="Y69" s="119">
        <f>'As-Filed Schedule 2K'!O69</f>
        <v>0</v>
      </c>
      <c r="Z69" s="309">
        <f>SUMIFS(Adjustments!$G:$G,Adjustments!$H:$H,"2K",Adjustments!$I:$I,'Schedule 2K Adjustments'!$Y$12,Adjustments!$J:$J,'Schedule 2K Adjustments'!$A69)</f>
        <v>0</v>
      </c>
      <c r="AA69" s="305">
        <f t="shared" si="7"/>
        <v>0</v>
      </c>
    </row>
    <row r="70" spans="1:27" x14ac:dyDescent="0.35">
      <c r="A70" s="24">
        <v>56</v>
      </c>
      <c r="B70" s="514" t="str">
        <f>IF('As-Filed Schedule 2K'!B70:D70=0,"",'As-Filed Schedule 2K'!B70:D70)</f>
        <v/>
      </c>
      <c r="C70" s="514"/>
      <c r="D70" s="514"/>
      <c r="F70" s="117">
        <f>'As-Filed Schedule 2K'!F70</f>
        <v>0</v>
      </c>
      <c r="G70" s="309">
        <f>SUMIFS(Adjustments!$G:$G,Adjustments!$H:$H,"2K",Adjustments!$I:$I,'Schedule 2K Adjustments'!$F$12,Adjustments!$J:$J,'Schedule 2K Adjustments'!$A70)</f>
        <v>0</v>
      </c>
      <c r="H70" s="305">
        <f t="shared" si="0"/>
        <v>0</v>
      </c>
      <c r="I70" s="68">
        <f>IFERROR(F70*'As-Filed Schedule 1'!$E$103,0)</f>
        <v>0</v>
      </c>
      <c r="J70" s="306">
        <f>IFERROR(H70*'Adjusted Schedule 1'!$E$104,0)</f>
        <v>0</v>
      </c>
      <c r="K70" s="68">
        <f t="shared" si="1"/>
        <v>0</v>
      </c>
      <c r="L70" s="306">
        <f t="shared" si="2"/>
        <v>0</v>
      </c>
      <c r="N70" s="117">
        <f>'As-Filed Schedule 2K'!J70</f>
        <v>0</v>
      </c>
      <c r="O70" s="309">
        <f>SUMIFS(Adjustments!$G:$G,Adjustments!$H:$H,"2K",Adjustments!$I:$I,'Schedule 2K Adjustments'!$N$12,Adjustments!$J:$J,'Schedule 2K Adjustments'!$A70)</f>
        <v>0</v>
      </c>
      <c r="P70" s="305">
        <f t="shared" si="3"/>
        <v>0</v>
      </c>
      <c r="Q70" s="68">
        <f>IFERROR(N70*'As-Filed Schedule 1'!$E$103,0)</f>
        <v>0</v>
      </c>
      <c r="R70" s="68">
        <f>IFERROR(P70*'Adjusted Schedule 1'!$E$104,0)</f>
        <v>0</v>
      </c>
      <c r="S70" s="68">
        <f t="shared" si="4"/>
        <v>0</v>
      </c>
      <c r="T70" s="306">
        <f t="shared" si="5"/>
        <v>0</v>
      </c>
      <c r="V70" s="119">
        <f>'As-Filed Schedule 2K'!N70</f>
        <v>0</v>
      </c>
      <c r="W70" s="309">
        <f>SUMIFS(Adjustments!$G:$G,Adjustments!$H:$H,"2K",Adjustments!$I:$I,'Schedule 2K Adjustments'!$V$12,Adjustments!$J:$J,'Schedule 2K Adjustments'!$A70)</f>
        <v>0</v>
      </c>
      <c r="X70" s="305">
        <f t="shared" si="6"/>
        <v>0</v>
      </c>
      <c r="Y70" s="119">
        <f>'As-Filed Schedule 2K'!O70</f>
        <v>0</v>
      </c>
      <c r="Z70" s="309">
        <f>SUMIFS(Adjustments!$G:$G,Adjustments!$H:$H,"2K",Adjustments!$I:$I,'Schedule 2K Adjustments'!$Y$12,Adjustments!$J:$J,'Schedule 2K Adjustments'!$A70)</f>
        <v>0</v>
      </c>
      <c r="AA70" s="305">
        <f t="shared" si="7"/>
        <v>0</v>
      </c>
    </row>
    <row r="71" spans="1:27" x14ac:dyDescent="0.35">
      <c r="A71" s="24">
        <v>57</v>
      </c>
      <c r="B71" s="514" t="str">
        <f>IF('As-Filed Schedule 2K'!B71:D71=0,"",'As-Filed Schedule 2K'!B71:D71)</f>
        <v/>
      </c>
      <c r="C71" s="514"/>
      <c r="D71" s="514"/>
      <c r="F71" s="117">
        <f>'As-Filed Schedule 2K'!F71</f>
        <v>0</v>
      </c>
      <c r="G71" s="309">
        <f>SUMIFS(Adjustments!$G:$G,Adjustments!$H:$H,"2K",Adjustments!$I:$I,'Schedule 2K Adjustments'!$F$12,Adjustments!$J:$J,'Schedule 2K Adjustments'!$A71)</f>
        <v>0</v>
      </c>
      <c r="H71" s="305">
        <f t="shared" si="0"/>
        <v>0</v>
      </c>
      <c r="I71" s="68">
        <f>IFERROR(F71*'As-Filed Schedule 1'!$E$103,0)</f>
        <v>0</v>
      </c>
      <c r="J71" s="306">
        <f>IFERROR(H71*'Adjusted Schedule 1'!$E$104,0)</f>
        <v>0</v>
      </c>
      <c r="K71" s="68">
        <f t="shared" si="1"/>
        <v>0</v>
      </c>
      <c r="L71" s="306">
        <f t="shared" si="2"/>
        <v>0</v>
      </c>
      <c r="N71" s="117">
        <f>'As-Filed Schedule 2K'!J71</f>
        <v>0</v>
      </c>
      <c r="O71" s="309">
        <f>SUMIFS(Adjustments!$G:$G,Adjustments!$H:$H,"2K",Adjustments!$I:$I,'Schedule 2K Adjustments'!$N$12,Adjustments!$J:$J,'Schedule 2K Adjustments'!$A71)</f>
        <v>0</v>
      </c>
      <c r="P71" s="305">
        <f t="shared" si="3"/>
        <v>0</v>
      </c>
      <c r="Q71" s="68">
        <f>IFERROR(N71*'As-Filed Schedule 1'!$E$103,0)</f>
        <v>0</v>
      </c>
      <c r="R71" s="68">
        <f>IFERROR(P71*'Adjusted Schedule 1'!$E$104,0)</f>
        <v>0</v>
      </c>
      <c r="S71" s="68">
        <f t="shared" si="4"/>
        <v>0</v>
      </c>
      <c r="T71" s="306">
        <f t="shared" si="5"/>
        <v>0</v>
      </c>
      <c r="V71" s="119">
        <f>'As-Filed Schedule 2K'!N71</f>
        <v>0</v>
      </c>
      <c r="W71" s="309">
        <f>SUMIFS(Adjustments!$G:$G,Adjustments!$H:$H,"2K",Adjustments!$I:$I,'Schedule 2K Adjustments'!$V$12,Adjustments!$J:$J,'Schedule 2K Adjustments'!$A71)</f>
        <v>0</v>
      </c>
      <c r="X71" s="305">
        <f t="shared" si="6"/>
        <v>0</v>
      </c>
      <c r="Y71" s="119">
        <f>'As-Filed Schedule 2K'!O71</f>
        <v>0</v>
      </c>
      <c r="Z71" s="309">
        <f>SUMIFS(Adjustments!$G:$G,Adjustments!$H:$H,"2K",Adjustments!$I:$I,'Schedule 2K Adjustments'!$Y$12,Adjustments!$J:$J,'Schedule 2K Adjustments'!$A71)</f>
        <v>0</v>
      </c>
      <c r="AA71" s="305">
        <f t="shared" si="7"/>
        <v>0</v>
      </c>
    </row>
    <row r="72" spans="1:27" x14ac:dyDescent="0.35">
      <c r="A72" s="24">
        <v>58</v>
      </c>
      <c r="B72" s="514" t="str">
        <f>IF('As-Filed Schedule 2K'!B72:D72=0,"",'As-Filed Schedule 2K'!B72:D72)</f>
        <v/>
      </c>
      <c r="C72" s="514"/>
      <c r="D72" s="514"/>
      <c r="F72" s="117">
        <f>'As-Filed Schedule 2K'!F72</f>
        <v>0</v>
      </c>
      <c r="G72" s="309">
        <f>SUMIFS(Adjustments!$G:$G,Adjustments!$H:$H,"2K",Adjustments!$I:$I,'Schedule 2K Adjustments'!$F$12,Adjustments!$J:$J,'Schedule 2K Adjustments'!$A72)</f>
        <v>0</v>
      </c>
      <c r="H72" s="305">
        <f t="shared" si="0"/>
        <v>0</v>
      </c>
      <c r="I72" s="68">
        <f>IFERROR(F72*'As-Filed Schedule 1'!$E$103,0)</f>
        <v>0</v>
      </c>
      <c r="J72" s="306">
        <f>IFERROR(H72*'Adjusted Schedule 1'!$E$104,0)</f>
        <v>0</v>
      </c>
      <c r="K72" s="68">
        <f t="shared" si="1"/>
        <v>0</v>
      </c>
      <c r="L72" s="306">
        <f t="shared" si="2"/>
        <v>0</v>
      </c>
      <c r="N72" s="117">
        <f>'As-Filed Schedule 2K'!J72</f>
        <v>0</v>
      </c>
      <c r="O72" s="309">
        <f>SUMIFS(Adjustments!$G:$G,Adjustments!$H:$H,"2K",Adjustments!$I:$I,'Schedule 2K Adjustments'!$N$12,Adjustments!$J:$J,'Schedule 2K Adjustments'!$A72)</f>
        <v>0</v>
      </c>
      <c r="P72" s="305">
        <f t="shared" si="3"/>
        <v>0</v>
      </c>
      <c r="Q72" s="68">
        <f>IFERROR(N72*'As-Filed Schedule 1'!$E$103,0)</f>
        <v>0</v>
      </c>
      <c r="R72" s="68">
        <f>IFERROR(P72*'Adjusted Schedule 1'!$E$104,0)</f>
        <v>0</v>
      </c>
      <c r="S72" s="68">
        <f t="shared" si="4"/>
        <v>0</v>
      </c>
      <c r="T72" s="306">
        <f t="shared" si="5"/>
        <v>0</v>
      </c>
      <c r="V72" s="119">
        <f>'As-Filed Schedule 2K'!N72</f>
        <v>0</v>
      </c>
      <c r="W72" s="309">
        <f>SUMIFS(Adjustments!$G:$G,Adjustments!$H:$H,"2K",Adjustments!$I:$I,'Schedule 2K Adjustments'!$V$12,Adjustments!$J:$J,'Schedule 2K Adjustments'!$A72)</f>
        <v>0</v>
      </c>
      <c r="X72" s="305">
        <f t="shared" si="6"/>
        <v>0</v>
      </c>
      <c r="Y72" s="119">
        <f>'As-Filed Schedule 2K'!O72</f>
        <v>0</v>
      </c>
      <c r="Z72" s="309">
        <f>SUMIFS(Adjustments!$G:$G,Adjustments!$H:$H,"2K",Adjustments!$I:$I,'Schedule 2K Adjustments'!$Y$12,Adjustments!$J:$J,'Schedule 2K Adjustments'!$A72)</f>
        <v>0</v>
      </c>
      <c r="AA72" s="305">
        <f t="shared" si="7"/>
        <v>0</v>
      </c>
    </row>
    <row r="73" spans="1:27" x14ac:dyDescent="0.35">
      <c r="A73" s="24">
        <v>59</v>
      </c>
      <c r="F73" s="18">
        <f>SUM(F15:F72)</f>
        <v>0</v>
      </c>
      <c r="G73" s="18">
        <f>SUM(G15:G72)</f>
        <v>0</v>
      </c>
      <c r="H73" s="18">
        <f t="shared" ref="H73:K73" si="8">SUM(H15:H72)</f>
        <v>0</v>
      </c>
      <c r="I73" s="18">
        <f t="shared" si="8"/>
        <v>0</v>
      </c>
      <c r="J73" s="306">
        <f>IFERROR(H73*'Adjusted Schedule 1'!$E$104,0)</f>
        <v>0</v>
      </c>
      <c r="K73" s="18">
        <f t="shared" si="8"/>
        <v>0</v>
      </c>
      <c r="L73" s="307">
        <f t="shared" ref="L73" si="9">SUM(L15:L72)</f>
        <v>0</v>
      </c>
      <c r="N73" s="18">
        <f>SUM(N15:N72)</f>
        <v>0</v>
      </c>
      <c r="O73" s="18">
        <f t="shared" ref="O73:S73" si="10">SUM(O15:O72)</f>
        <v>0</v>
      </c>
      <c r="P73" s="18">
        <f t="shared" si="10"/>
        <v>0</v>
      </c>
      <c r="Q73" s="18">
        <f t="shared" si="10"/>
        <v>0</v>
      </c>
      <c r="R73" s="18">
        <f t="shared" si="10"/>
        <v>0</v>
      </c>
      <c r="S73" s="18">
        <f t="shared" si="10"/>
        <v>0</v>
      </c>
      <c r="T73" s="307">
        <f>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814</v>
      </c>
      <c r="F75" s="75">
        <f>K73+S73</f>
        <v>0</v>
      </c>
      <c r="G75"/>
      <c r="H75" s="75">
        <f>L73+T73</f>
        <v>0</v>
      </c>
      <c r="I75" s="74"/>
      <c r="J75" s="321"/>
      <c r="K75" s="74"/>
      <c r="L75" s="321"/>
      <c r="N75" s="74"/>
      <c r="O75" s="328"/>
      <c r="P75" s="321"/>
      <c r="Q75" s="74"/>
      <c r="R75" s="321"/>
      <c r="T75" s="323"/>
      <c r="W75" s="326"/>
      <c r="X75" s="323"/>
      <c r="Z75" s="326"/>
      <c r="AA75" s="323"/>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8971D"/>
  </sheetPr>
  <dimension ref="A1:D45"/>
  <sheetViews>
    <sheetView workbookViewId="0">
      <selection activeCell="B31" sqref="B31:D34"/>
    </sheetView>
  </sheetViews>
  <sheetFormatPr defaultColWidth="9.1796875" defaultRowHeight="14.5" x14ac:dyDescent="0.35"/>
  <cols>
    <col min="1" max="1" width="10.26953125" customWidth="1"/>
    <col min="2" max="2" width="12.7265625" customWidth="1"/>
    <col min="3" max="3" width="48.54296875" customWidth="1"/>
    <col min="4" max="4" width="16.1796875" customWidth="1"/>
  </cols>
  <sheetData>
    <row r="1" spans="1:4" ht="26" x14ac:dyDescent="0.6">
      <c r="A1" s="3" t="s">
        <v>774</v>
      </c>
      <c r="B1" s="3"/>
    </row>
    <row r="2" spans="1:4" ht="21" x14ac:dyDescent="0.5">
      <c r="A2" s="2" t="s">
        <v>772</v>
      </c>
      <c r="B2" s="2"/>
    </row>
    <row r="3" spans="1:4" ht="25" customHeight="1" x14ac:dyDescent="0.5">
      <c r="A3" s="5" t="s">
        <v>679</v>
      </c>
    </row>
    <row r="4" spans="1:4" ht="25" customHeight="1" x14ac:dyDescent="0.5">
      <c r="A4" s="242" t="str">
        <f>Results!A4</f>
        <v>Final Adjustments</v>
      </c>
    </row>
    <row r="6" spans="1:4" x14ac:dyDescent="0.35">
      <c r="A6" s="1" t="s">
        <v>773</v>
      </c>
      <c r="C6" s="416" t="str">
        <f>Results!$C$6</f>
        <v>AllHealth Network</v>
      </c>
    </row>
    <row r="7" spans="1:4" x14ac:dyDescent="0.35">
      <c r="A7" s="1" t="s">
        <v>0</v>
      </c>
      <c r="C7" s="35">
        <f>Results!$C$7</f>
        <v>45473</v>
      </c>
      <c r="D7" s="56"/>
    </row>
    <row r="9" spans="1:4" ht="15" customHeight="1" x14ac:dyDescent="0.35">
      <c r="A9" t="s">
        <v>249</v>
      </c>
    </row>
    <row r="10" spans="1:4" ht="15" customHeight="1" x14ac:dyDescent="0.35"/>
    <row r="11" spans="1:4" ht="15" customHeight="1" x14ac:dyDescent="0.35">
      <c r="A11" t="s">
        <v>244</v>
      </c>
      <c r="B11" s="501" t="str">
        <f>'As-Filed Schedule 1B'!B10</f>
        <v>Allocated Business Units to the functional columns defined on Schedule 1 of the Colorado Unit Cost Report</v>
      </c>
      <c r="C11" s="501"/>
      <c r="D11" s="501"/>
    </row>
    <row r="12" spans="1:4" ht="15" customHeight="1" x14ac:dyDescent="0.35">
      <c r="B12" s="501"/>
      <c r="C12" s="501"/>
      <c r="D12" s="501"/>
    </row>
    <row r="13" spans="1:4" x14ac:dyDescent="0.35">
      <c r="B13" s="501"/>
      <c r="C13" s="501"/>
      <c r="D13" s="501"/>
    </row>
    <row r="14" spans="1:4" x14ac:dyDescent="0.35">
      <c r="B14" s="501"/>
      <c r="C14" s="501"/>
      <c r="D14" s="501"/>
    </row>
    <row r="16" spans="1:4" ht="15" customHeight="1" x14ac:dyDescent="0.35">
      <c r="A16" t="s">
        <v>245</v>
      </c>
      <c r="B16" s="500" t="str">
        <f>'As-Filed Schedule 1B'!B15</f>
        <v>Calculated the total Sum of FTE for each functional column</v>
      </c>
      <c r="C16" s="500"/>
      <c r="D16" s="500"/>
    </row>
    <row r="17" spans="1:4" ht="15" customHeight="1" x14ac:dyDescent="0.35">
      <c r="B17" s="500"/>
      <c r="C17" s="500"/>
      <c r="D17" s="500"/>
    </row>
    <row r="18" spans="1:4" x14ac:dyDescent="0.35">
      <c r="B18" s="500"/>
      <c r="C18" s="500"/>
      <c r="D18" s="500"/>
    </row>
    <row r="19" spans="1:4" x14ac:dyDescent="0.35">
      <c r="B19" s="500"/>
      <c r="C19" s="500"/>
      <c r="D19" s="500"/>
    </row>
    <row r="21" spans="1:4" ht="15" customHeight="1" x14ac:dyDescent="0.35">
      <c r="A21" t="s">
        <v>246</v>
      </c>
      <c r="B21" s="500" t="str">
        <f>'As-Filed Schedule 1B'!B20</f>
        <v>Calculated the percentage distribution for columns 3-6</v>
      </c>
      <c r="C21" s="500"/>
      <c r="D21" s="500"/>
    </row>
    <row r="22" spans="1:4" ht="15" customHeight="1" x14ac:dyDescent="0.35">
      <c r="B22" s="500"/>
      <c r="C22" s="500"/>
      <c r="D22" s="500"/>
    </row>
    <row r="23" spans="1:4" x14ac:dyDescent="0.35">
      <c r="B23" s="500"/>
      <c r="C23" s="500"/>
      <c r="D23" s="500"/>
    </row>
    <row r="24" spans="1:4" x14ac:dyDescent="0.35">
      <c r="B24" s="500"/>
      <c r="C24" s="500"/>
      <c r="D24" s="500"/>
    </row>
    <row r="26" spans="1:4" ht="15" customHeight="1" x14ac:dyDescent="0.35">
      <c r="A26" t="s">
        <v>247</v>
      </c>
      <c r="B26" s="500" t="str">
        <f>'As-Filed Schedule 1B'!B25</f>
        <v>Allocated the indirect costs to columns 3-6 by the percentage distribution calcuated in Step 3.</v>
      </c>
      <c r="C26" s="500"/>
      <c r="D26" s="500"/>
    </row>
    <row r="27" spans="1:4" ht="15" customHeight="1" x14ac:dyDescent="0.35">
      <c r="B27" s="500"/>
      <c r="C27" s="500"/>
      <c r="D27" s="500"/>
    </row>
    <row r="28" spans="1:4" x14ac:dyDescent="0.35">
      <c r="B28" s="500"/>
      <c r="C28" s="500"/>
      <c r="D28" s="500"/>
    </row>
    <row r="29" spans="1:4" x14ac:dyDescent="0.35">
      <c r="B29" s="500"/>
      <c r="C29" s="500"/>
      <c r="D29" s="500"/>
    </row>
    <row r="31" spans="1:4" ht="15" customHeight="1" x14ac:dyDescent="0.35">
      <c r="A31" t="s">
        <v>248</v>
      </c>
      <c r="B31" s="500">
        <f>'As-Filed Schedule 1B'!B30</f>
        <v>0</v>
      </c>
      <c r="C31" s="500"/>
      <c r="D31" s="500"/>
    </row>
    <row r="32" spans="1:4" ht="15" customHeight="1" x14ac:dyDescent="0.35">
      <c r="B32" s="500"/>
      <c r="C32" s="500"/>
      <c r="D32" s="500"/>
    </row>
    <row r="33" spans="1:4" x14ac:dyDescent="0.35">
      <c r="B33" s="500"/>
      <c r="C33" s="500"/>
      <c r="D33" s="500"/>
    </row>
    <row r="34" spans="1:4" x14ac:dyDescent="0.35">
      <c r="B34" s="500"/>
      <c r="C34" s="500"/>
      <c r="D34" s="500"/>
    </row>
    <row r="36" spans="1:4" x14ac:dyDescent="0.35">
      <c r="A36" t="s">
        <v>205</v>
      </c>
      <c r="D36" s="472" t="s">
        <v>978</v>
      </c>
    </row>
    <row r="38" spans="1:4" x14ac:dyDescent="0.35">
      <c r="A38" t="s">
        <v>206</v>
      </c>
    </row>
    <row r="39" spans="1:4" x14ac:dyDescent="0.35">
      <c r="A39" s="500">
        <f>'As-Filed Schedule 1B'!A38</f>
        <v>0</v>
      </c>
      <c r="B39" s="500"/>
      <c r="C39" s="500"/>
      <c r="D39" s="500"/>
    </row>
    <row r="40" spans="1:4" x14ac:dyDescent="0.35">
      <c r="A40" s="500"/>
      <c r="B40" s="500"/>
      <c r="C40" s="500"/>
      <c r="D40" s="500"/>
    </row>
    <row r="41" spans="1:4" x14ac:dyDescent="0.35">
      <c r="A41" s="500"/>
      <c r="B41" s="500"/>
      <c r="C41" s="500"/>
      <c r="D41" s="500"/>
    </row>
    <row r="42" spans="1:4" x14ac:dyDescent="0.35">
      <c r="A42" s="500"/>
      <c r="B42" s="500"/>
      <c r="C42" s="500"/>
      <c r="D42" s="500"/>
    </row>
    <row r="43" spans="1:4" x14ac:dyDescent="0.35">
      <c r="A43" s="500"/>
      <c r="B43" s="500"/>
      <c r="C43" s="500"/>
      <c r="D43" s="500"/>
    </row>
    <row r="44" spans="1:4" x14ac:dyDescent="0.35">
      <c r="A44" s="500"/>
      <c r="B44" s="500"/>
      <c r="C44" s="500"/>
      <c r="D44" s="500"/>
    </row>
    <row r="45" spans="1:4" x14ac:dyDescent="0.35">
      <c r="A45" s="500"/>
      <c r="B45" s="500"/>
      <c r="C45" s="500"/>
      <c r="D45" s="500"/>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
    <mergeCell ref="A39:D45"/>
    <mergeCell ref="B11:D14"/>
    <mergeCell ref="B16:D19"/>
    <mergeCell ref="B21:D24"/>
    <mergeCell ref="B26:D29"/>
    <mergeCell ref="B31:D34"/>
  </mergeCells>
  <pageMargins left="0.7" right="0.7" top="0.75" bottom="0.75" header="0.3" footer="0.3"/>
  <pageSetup orientation="portrait" horizontalDpi="1200" verticalDpi="1200"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2"/>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846</v>
      </c>
      <c r="B3" s="495"/>
      <c r="C3" s="495"/>
      <c r="D3" s="495"/>
      <c r="E3" s="495"/>
      <c r="F3" s="495"/>
      <c r="G3" s="495"/>
      <c r="H3" s="495"/>
      <c r="I3" s="495"/>
      <c r="J3" s="495"/>
      <c r="K3" s="495"/>
      <c r="L3" s="317"/>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831</v>
      </c>
      <c r="C8" s="1"/>
      <c r="F8" s="118" t="str">
        <f>'As-Filed Schedule 2L'!F8</f>
        <v>Yes/No</v>
      </c>
      <c r="G8" s="41" t="s">
        <v>259</v>
      </c>
    </row>
    <row r="10" spans="1:27" x14ac:dyDescent="0.35">
      <c r="A10" s="1" t="s">
        <v>254</v>
      </c>
      <c r="B10" s="1" t="s">
        <v>256</v>
      </c>
      <c r="C10" s="1"/>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ht="15" customHeight="1"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48"/>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2L'!B15:D15=0,"",'As-Filed Schedule 2L'!B15:D15)</f>
        <v/>
      </c>
      <c r="C15" s="514"/>
      <c r="D15" s="514"/>
      <c r="F15" s="117">
        <f>'As-Filed Schedule 2L'!F15</f>
        <v>0</v>
      </c>
      <c r="G15" s="309">
        <f>SUMIFS(Adjustments!$G:$G,Adjustments!$H:$H,"2L",Adjustments!$I:$I,'Schedule 2L Adjustments'!$F$12,Adjustments!$J:$J,'Schedule 2L Adjustments'!$A15)</f>
        <v>0</v>
      </c>
      <c r="H15" s="305">
        <f>SUM(F15:G15)</f>
        <v>0</v>
      </c>
      <c r="I15" s="68">
        <f>IFERROR(F15*'As-Filed Schedule 1'!$E$103,0)</f>
        <v>0</v>
      </c>
      <c r="J15" s="306">
        <f>IFERROR(H15*'Adjusted Schedule 1'!$E$104,0)</f>
        <v>0</v>
      </c>
      <c r="K15" s="68">
        <f>SUM(F15,I15)</f>
        <v>0</v>
      </c>
      <c r="L15" s="306">
        <f>SUM(H15,J15)</f>
        <v>0</v>
      </c>
      <c r="N15" s="117">
        <f>'As-Filed Schedule 2L'!J15</f>
        <v>0</v>
      </c>
      <c r="O15" s="309">
        <f>SUMIFS(Adjustments!$G:$G,Adjustments!$H:$H,"2L",Adjustments!$I:$I,'Schedule 2L Adjustments'!$N$12,Adjustments!$J:$J,'Schedule 2L Adjustments'!$A15)</f>
        <v>0</v>
      </c>
      <c r="P15" s="305">
        <f>SUM(N15:O15)</f>
        <v>0</v>
      </c>
      <c r="Q15" s="68">
        <f>IFERROR(N15*'As-Filed Schedule 1'!$E$103,0)</f>
        <v>0</v>
      </c>
      <c r="R15" s="68">
        <f>IFERROR(P15*'Adjusted Schedule 1'!$E$104,0)</f>
        <v>0</v>
      </c>
      <c r="S15" s="68">
        <f>SUM(N15,Q15)</f>
        <v>0</v>
      </c>
      <c r="T15" s="306">
        <f>SUM(P15,R15)</f>
        <v>0</v>
      </c>
      <c r="V15" s="119">
        <f>'As-Filed Schedule 2L'!N15</f>
        <v>0</v>
      </c>
      <c r="W15" s="309">
        <f>SUMIFS(Adjustments!$G:$G,Adjustments!$H:$H,"2L",Adjustments!$I:$I,'Schedule 2L Adjustments'!$V$12,Adjustments!$J:$J,'Schedule 2L Adjustments'!$A15)</f>
        <v>0</v>
      </c>
      <c r="X15" s="305">
        <f>SUM(V15:W15)</f>
        <v>0</v>
      </c>
      <c r="Y15" s="119">
        <f>'As-Filed Schedule 2L'!O15</f>
        <v>0</v>
      </c>
      <c r="Z15" s="309">
        <f>SUMIFS(Adjustments!$G:$G,Adjustments!$H:$H,"2L",Adjustments!$I:$I,'Schedule 2L Adjustments'!$Y$12,Adjustments!$J:$J,'Schedule 2L Adjustments'!$A15)</f>
        <v>0</v>
      </c>
      <c r="AA15" s="305">
        <f>SUM(Y15:Z15)</f>
        <v>0</v>
      </c>
    </row>
    <row r="16" spans="1:27" x14ac:dyDescent="0.35">
      <c r="A16" s="24">
        <v>2</v>
      </c>
      <c r="B16" s="514" t="str">
        <f>IF('As-Filed Schedule 2L'!B16:D16=0,"",'As-Filed Schedule 2L'!B16:D16)</f>
        <v/>
      </c>
      <c r="C16" s="514"/>
      <c r="D16" s="514"/>
      <c r="F16" s="117">
        <f>'As-Filed Schedule 2L'!F16</f>
        <v>0</v>
      </c>
      <c r="G16" s="309">
        <f>SUMIFS(Adjustments!$G:$G,Adjustments!$H:$H,"2L",Adjustments!$I:$I,'Schedule 2L Adjustments'!$F$12,Adjustments!$J:$J,'Schedule 2L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2L'!J16</f>
        <v>0</v>
      </c>
      <c r="O16" s="309">
        <f>SUMIFS(Adjustments!$G:$G,Adjustments!$H:$H,"2L",Adjustments!$I:$I,'Schedule 2L Adjustments'!$N$12,Adjustments!$J:$J,'Schedule 2L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2L'!N16</f>
        <v>0</v>
      </c>
      <c r="W16" s="309">
        <f>SUMIFS(Adjustments!$G:$G,Adjustments!$H:$H,"2L",Adjustments!$I:$I,'Schedule 2L Adjustments'!$V$12,Adjustments!$J:$J,'Schedule 2L Adjustments'!$A16)</f>
        <v>0</v>
      </c>
      <c r="X16" s="305">
        <f t="shared" ref="X16:X72" si="6">SUM(V16:W16)</f>
        <v>0</v>
      </c>
      <c r="Y16" s="119">
        <f>'As-Filed Schedule 2L'!O16</f>
        <v>0</v>
      </c>
      <c r="Z16" s="309">
        <f>SUMIFS(Adjustments!$G:$G,Adjustments!$H:$H,"2L",Adjustments!$I:$I,'Schedule 2L Adjustments'!$Y$12,Adjustments!$J:$J,'Schedule 2L Adjustments'!$A16)</f>
        <v>0</v>
      </c>
      <c r="AA16" s="305">
        <f t="shared" ref="AA16:AA72" si="7">SUM(Y16:Z16)</f>
        <v>0</v>
      </c>
    </row>
    <row r="17" spans="1:27" x14ac:dyDescent="0.35">
      <c r="A17" s="24">
        <v>3</v>
      </c>
      <c r="B17" s="514" t="str">
        <f>IF('As-Filed Schedule 2L'!B17:D17=0,"",'As-Filed Schedule 2L'!B17:D17)</f>
        <v/>
      </c>
      <c r="C17" s="514"/>
      <c r="D17" s="514"/>
      <c r="F17" s="117">
        <f>'As-Filed Schedule 2L'!F17</f>
        <v>0</v>
      </c>
      <c r="G17" s="309">
        <f>SUMIFS(Adjustments!$G:$G,Adjustments!$H:$H,"2L",Adjustments!$I:$I,'Schedule 2L Adjustments'!$F$12,Adjustments!$J:$J,'Schedule 2L Adjustments'!$A17)</f>
        <v>0</v>
      </c>
      <c r="H17" s="305">
        <f t="shared" si="0"/>
        <v>0</v>
      </c>
      <c r="I17" s="68">
        <f>IFERROR(F17*'As-Filed Schedule 1'!$E$103,0)</f>
        <v>0</v>
      </c>
      <c r="J17" s="306">
        <f>IFERROR(H17*'Adjusted Schedule 1'!$E$104,0)</f>
        <v>0</v>
      </c>
      <c r="K17" s="68">
        <f t="shared" si="1"/>
        <v>0</v>
      </c>
      <c r="L17" s="306">
        <f t="shared" si="2"/>
        <v>0</v>
      </c>
      <c r="N17" s="117">
        <f>'As-Filed Schedule 2L'!J17</f>
        <v>0</v>
      </c>
      <c r="O17" s="309">
        <f>SUMIFS(Adjustments!$G:$G,Adjustments!$H:$H,"2L",Adjustments!$I:$I,'Schedule 2L Adjustments'!$N$12,Adjustments!$J:$J,'Schedule 2L Adjustments'!$A17)</f>
        <v>0</v>
      </c>
      <c r="P17" s="305">
        <f t="shared" si="3"/>
        <v>0</v>
      </c>
      <c r="Q17" s="68">
        <f>IFERROR(N17*'As-Filed Schedule 1'!$E$103,0)</f>
        <v>0</v>
      </c>
      <c r="R17" s="68">
        <f>IFERROR(P17*'Adjusted Schedule 1'!$E$104,0)</f>
        <v>0</v>
      </c>
      <c r="S17" s="68">
        <f t="shared" si="4"/>
        <v>0</v>
      </c>
      <c r="T17" s="306">
        <f t="shared" si="5"/>
        <v>0</v>
      </c>
      <c r="V17" s="119">
        <f>'As-Filed Schedule 2L'!N17</f>
        <v>0</v>
      </c>
      <c r="W17" s="309">
        <f>SUMIFS(Adjustments!$G:$G,Adjustments!$H:$H,"2L",Adjustments!$I:$I,'Schedule 2L Adjustments'!$V$12,Adjustments!$J:$J,'Schedule 2L Adjustments'!$A17)</f>
        <v>0</v>
      </c>
      <c r="X17" s="305">
        <f t="shared" si="6"/>
        <v>0</v>
      </c>
      <c r="Y17" s="119">
        <f>'As-Filed Schedule 2L'!O17</f>
        <v>0</v>
      </c>
      <c r="Z17" s="309">
        <f>SUMIFS(Adjustments!$G:$G,Adjustments!$H:$H,"2L",Adjustments!$I:$I,'Schedule 2L Adjustments'!$Y$12,Adjustments!$J:$J,'Schedule 2L Adjustments'!$A17)</f>
        <v>0</v>
      </c>
      <c r="AA17" s="305">
        <f t="shared" si="7"/>
        <v>0</v>
      </c>
    </row>
    <row r="18" spans="1:27" x14ac:dyDescent="0.35">
      <c r="A18" s="24">
        <v>4</v>
      </c>
      <c r="B18" s="514" t="str">
        <f>IF('As-Filed Schedule 2L'!B18:D18=0,"",'As-Filed Schedule 2L'!B18:D18)</f>
        <v/>
      </c>
      <c r="C18" s="514"/>
      <c r="D18" s="514"/>
      <c r="F18" s="117">
        <f>'As-Filed Schedule 2L'!F18</f>
        <v>0</v>
      </c>
      <c r="G18" s="309">
        <f>SUMIFS(Adjustments!$G:$G,Adjustments!$H:$H,"2L",Adjustments!$I:$I,'Schedule 2L Adjustments'!$F$12,Adjustments!$J:$J,'Schedule 2L Adjustments'!$A18)</f>
        <v>0</v>
      </c>
      <c r="H18" s="305">
        <f t="shared" si="0"/>
        <v>0</v>
      </c>
      <c r="I18" s="68">
        <f>IFERROR(F18*'As-Filed Schedule 1'!$E$103,0)</f>
        <v>0</v>
      </c>
      <c r="J18" s="306">
        <f>IFERROR(H18*'Adjusted Schedule 1'!$E$104,0)</f>
        <v>0</v>
      </c>
      <c r="K18" s="68">
        <f>SUM(F18,I18)</f>
        <v>0</v>
      </c>
      <c r="L18" s="306">
        <f>SUM(H18,J18)</f>
        <v>0</v>
      </c>
      <c r="N18" s="117">
        <f>'As-Filed Schedule 2L'!J18</f>
        <v>0</v>
      </c>
      <c r="O18" s="309">
        <f>SUMIFS(Adjustments!$G:$G,Adjustments!$H:$H,"2L",Adjustments!$I:$I,'Schedule 2L Adjustments'!$N$12,Adjustments!$J:$J,'Schedule 2L Adjustments'!$A18)</f>
        <v>0</v>
      </c>
      <c r="P18" s="305">
        <f t="shared" si="3"/>
        <v>0</v>
      </c>
      <c r="Q18" s="68">
        <f>IFERROR(N18*'As-Filed Schedule 1'!$E$103,0)</f>
        <v>0</v>
      </c>
      <c r="R18" s="68">
        <f>IFERROR(P18*'Adjusted Schedule 1'!$E$104,0)</f>
        <v>0</v>
      </c>
      <c r="S18" s="68">
        <f t="shared" si="4"/>
        <v>0</v>
      </c>
      <c r="T18" s="306">
        <f t="shared" si="5"/>
        <v>0</v>
      </c>
      <c r="V18" s="119">
        <f>'As-Filed Schedule 2L'!N18</f>
        <v>0</v>
      </c>
      <c r="W18" s="309">
        <f>SUMIFS(Adjustments!$G:$G,Adjustments!$H:$H,"2L",Adjustments!$I:$I,'Schedule 2L Adjustments'!$V$12,Adjustments!$J:$J,'Schedule 2L Adjustments'!$A18)</f>
        <v>0</v>
      </c>
      <c r="X18" s="305">
        <f t="shared" si="6"/>
        <v>0</v>
      </c>
      <c r="Y18" s="119">
        <f>'As-Filed Schedule 2L'!O18</f>
        <v>0</v>
      </c>
      <c r="Z18" s="309">
        <f>SUMIFS(Adjustments!$G:$G,Adjustments!$H:$H,"2L",Adjustments!$I:$I,'Schedule 2L Adjustments'!$Y$12,Adjustments!$J:$J,'Schedule 2L Adjustments'!$A18)</f>
        <v>0</v>
      </c>
      <c r="AA18" s="305">
        <f t="shared" si="7"/>
        <v>0</v>
      </c>
    </row>
    <row r="19" spans="1:27" x14ac:dyDescent="0.35">
      <c r="A19" s="24">
        <v>5</v>
      </c>
      <c r="B19" s="514" t="str">
        <f>IF('As-Filed Schedule 2L'!B19:D19=0,"",'As-Filed Schedule 2L'!B19:D19)</f>
        <v/>
      </c>
      <c r="C19" s="514"/>
      <c r="D19" s="514"/>
      <c r="F19" s="117">
        <f>'As-Filed Schedule 2L'!F19</f>
        <v>0</v>
      </c>
      <c r="G19" s="309">
        <f>SUMIFS(Adjustments!$G:$G,Adjustments!$H:$H,"2L",Adjustments!$I:$I,'Schedule 2L Adjustments'!$F$12,Adjustments!$J:$J,'Schedule 2L Adjustments'!$A19)</f>
        <v>0</v>
      </c>
      <c r="H19" s="305">
        <f t="shared" si="0"/>
        <v>0</v>
      </c>
      <c r="I19" s="68">
        <f>IFERROR(F19*'As-Filed Schedule 1'!$E$103,0)</f>
        <v>0</v>
      </c>
      <c r="J19" s="306">
        <f>IFERROR(H19*'Adjusted Schedule 1'!$E$104,0)</f>
        <v>0</v>
      </c>
      <c r="K19" s="68">
        <f t="shared" si="1"/>
        <v>0</v>
      </c>
      <c r="L19" s="306">
        <f>SUM(H19,J19)</f>
        <v>0</v>
      </c>
      <c r="N19" s="117">
        <f>'As-Filed Schedule 2L'!J19</f>
        <v>0</v>
      </c>
      <c r="O19" s="309">
        <f>SUMIFS(Adjustments!$G:$G,Adjustments!$H:$H,"2L",Adjustments!$I:$I,'Schedule 2L Adjustments'!$N$12,Adjustments!$J:$J,'Schedule 2L Adjustments'!$A19)</f>
        <v>0</v>
      </c>
      <c r="P19" s="305">
        <f t="shared" si="3"/>
        <v>0</v>
      </c>
      <c r="Q19" s="68">
        <f>IFERROR(N19*'As-Filed Schedule 1'!$E$103,0)</f>
        <v>0</v>
      </c>
      <c r="R19" s="68">
        <f>IFERROR(P19*'Adjusted Schedule 1'!$E$104,0)</f>
        <v>0</v>
      </c>
      <c r="S19" s="68">
        <f t="shared" si="4"/>
        <v>0</v>
      </c>
      <c r="T19" s="306">
        <f t="shared" si="5"/>
        <v>0</v>
      </c>
      <c r="V19" s="119">
        <f>'As-Filed Schedule 2L'!N19</f>
        <v>0</v>
      </c>
      <c r="W19" s="309">
        <f>SUMIFS(Adjustments!$G:$G,Adjustments!$H:$H,"2L",Adjustments!$I:$I,'Schedule 2L Adjustments'!$V$12,Adjustments!$J:$J,'Schedule 2L Adjustments'!$A19)</f>
        <v>0</v>
      </c>
      <c r="X19" s="305">
        <f t="shared" si="6"/>
        <v>0</v>
      </c>
      <c r="Y19" s="119">
        <f>'As-Filed Schedule 2L'!O19</f>
        <v>0</v>
      </c>
      <c r="Z19" s="309">
        <f>SUMIFS(Adjustments!$G:$G,Adjustments!$H:$H,"2L",Adjustments!$I:$I,'Schedule 2L Adjustments'!$Y$12,Adjustments!$J:$J,'Schedule 2L Adjustments'!$A19)</f>
        <v>0</v>
      </c>
      <c r="AA19" s="305">
        <f t="shared" si="7"/>
        <v>0</v>
      </c>
    </row>
    <row r="20" spans="1:27" x14ac:dyDescent="0.35">
      <c r="A20" s="24">
        <v>6</v>
      </c>
      <c r="B20" s="514" t="str">
        <f>IF('As-Filed Schedule 2L'!B20:D20=0,"",'As-Filed Schedule 2L'!B20:D20)</f>
        <v/>
      </c>
      <c r="C20" s="514"/>
      <c r="D20" s="514"/>
      <c r="F20" s="117">
        <f>'As-Filed Schedule 2L'!F20</f>
        <v>0</v>
      </c>
      <c r="G20" s="309">
        <f>SUMIFS(Adjustments!$G:$G,Adjustments!$H:$H,"2L",Adjustments!$I:$I,'Schedule 2L Adjustments'!$F$12,Adjustments!$J:$J,'Schedule 2L Adjustments'!$A20)</f>
        <v>0</v>
      </c>
      <c r="H20" s="305">
        <f t="shared" si="0"/>
        <v>0</v>
      </c>
      <c r="I20" s="68">
        <f>IFERROR(F20*'As-Filed Schedule 1'!$E$103,0)</f>
        <v>0</v>
      </c>
      <c r="J20" s="306">
        <f>IFERROR(H20*'Adjusted Schedule 1'!$E$104,0)</f>
        <v>0</v>
      </c>
      <c r="K20" s="68">
        <f>SUM(F20,I20)</f>
        <v>0</v>
      </c>
      <c r="L20" s="306">
        <f t="shared" si="2"/>
        <v>0</v>
      </c>
      <c r="N20" s="117">
        <f>'As-Filed Schedule 2L'!J20</f>
        <v>0</v>
      </c>
      <c r="O20" s="309">
        <f>SUMIFS(Adjustments!$G:$G,Adjustments!$H:$H,"2L",Adjustments!$I:$I,'Schedule 2L Adjustments'!$N$12,Adjustments!$J:$J,'Schedule 2L Adjustments'!$A20)</f>
        <v>0</v>
      </c>
      <c r="P20" s="305">
        <f t="shared" si="3"/>
        <v>0</v>
      </c>
      <c r="Q20" s="68">
        <f>IFERROR(N20*'As-Filed Schedule 1'!$E$103,0)</f>
        <v>0</v>
      </c>
      <c r="R20" s="68">
        <f>IFERROR(P20*'Adjusted Schedule 1'!$E$104,0)</f>
        <v>0</v>
      </c>
      <c r="S20" s="68">
        <f t="shared" si="4"/>
        <v>0</v>
      </c>
      <c r="T20" s="306">
        <f t="shared" si="5"/>
        <v>0</v>
      </c>
      <c r="V20" s="119">
        <f>'As-Filed Schedule 2L'!N20</f>
        <v>0</v>
      </c>
      <c r="W20" s="309">
        <f>SUMIFS(Adjustments!$G:$G,Adjustments!$H:$H,"2L",Adjustments!$I:$I,'Schedule 2L Adjustments'!$V$12,Adjustments!$J:$J,'Schedule 2L Adjustments'!$A20)</f>
        <v>0</v>
      </c>
      <c r="X20" s="305">
        <f t="shared" si="6"/>
        <v>0</v>
      </c>
      <c r="Y20" s="119">
        <f>'As-Filed Schedule 2L'!O20</f>
        <v>0</v>
      </c>
      <c r="Z20" s="309">
        <f>SUMIFS(Adjustments!$G:$G,Adjustments!$H:$H,"2L",Adjustments!$I:$I,'Schedule 2L Adjustments'!$Y$12,Adjustments!$J:$J,'Schedule 2L Adjustments'!$A20)</f>
        <v>0</v>
      </c>
      <c r="AA20" s="305">
        <f t="shared" si="7"/>
        <v>0</v>
      </c>
    </row>
    <row r="21" spans="1:27" x14ac:dyDescent="0.35">
      <c r="A21" s="24">
        <v>7</v>
      </c>
      <c r="B21" s="514" t="str">
        <f>IF('As-Filed Schedule 2L'!B21:D21=0,"",'As-Filed Schedule 2L'!B21:D21)</f>
        <v/>
      </c>
      <c r="C21" s="514"/>
      <c r="D21" s="514"/>
      <c r="F21" s="117">
        <f>'As-Filed Schedule 2L'!F21</f>
        <v>0</v>
      </c>
      <c r="G21" s="309">
        <f>SUMIFS(Adjustments!$G:$G,Adjustments!$H:$H,"2L",Adjustments!$I:$I,'Schedule 2L Adjustments'!$F$12,Adjustments!$J:$J,'Schedule 2L Adjustments'!$A21)</f>
        <v>0</v>
      </c>
      <c r="H21" s="305">
        <f t="shared" si="0"/>
        <v>0</v>
      </c>
      <c r="I21" s="68">
        <f>IFERROR(F21*'As-Filed Schedule 1'!$E$103,0)</f>
        <v>0</v>
      </c>
      <c r="J21" s="306">
        <f>IFERROR(H21*'Adjusted Schedule 1'!$E$104,0)</f>
        <v>0</v>
      </c>
      <c r="K21" s="68">
        <f t="shared" si="1"/>
        <v>0</v>
      </c>
      <c r="L21" s="306">
        <f t="shared" si="2"/>
        <v>0</v>
      </c>
      <c r="N21" s="117">
        <f>'As-Filed Schedule 2L'!J21</f>
        <v>0</v>
      </c>
      <c r="O21" s="309">
        <f>SUMIFS(Adjustments!$G:$G,Adjustments!$H:$H,"2L",Adjustments!$I:$I,'Schedule 2L Adjustments'!$N$12,Adjustments!$J:$J,'Schedule 2L Adjustments'!$A21)</f>
        <v>0</v>
      </c>
      <c r="P21" s="305">
        <f t="shared" si="3"/>
        <v>0</v>
      </c>
      <c r="Q21" s="68">
        <f>IFERROR(N21*'As-Filed Schedule 1'!$E$103,0)</f>
        <v>0</v>
      </c>
      <c r="R21" s="68">
        <f>IFERROR(P21*'Adjusted Schedule 1'!$E$104,0)</f>
        <v>0</v>
      </c>
      <c r="S21" s="68">
        <f>SUM(N21,Q21)</f>
        <v>0</v>
      </c>
      <c r="T21" s="306">
        <f>SUM(P21,R21)</f>
        <v>0</v>
      </c>
      <c r="V21" s="119">
        <f>'As-Filed Schedule 2L'!N21</f>
        <v>0</v>
      </c>
      <c r="W21" s="309">
        <f>SUMIFS(Adjustments!$G:$G,Adjustments!$H:$H,"2L",Adjustments!$I:$I,'Schedule 2L Adjustments'!$V$12,Adjustments!$J:$J,'Schedule 2L Adjustments'!$A21)</f>
        <v>0</v>
      </c>
      <c r="X21" s="305">
        <f t="shared" si="6"/>
        <v>0</v>
      </c>
      <c r="Y21" s="119">
        <f>'As-Filed Schedule 2L'!O21</f>
        <v>0</v>
      </c>
      <c r="Z21" s="309">
        <f>SUMIFS(Adjustments!$G:$G,Adjustments!$H:$H,"2L",Adjustments!$I:$I,'Schedule 2L Adjustments'!$Y$12,Adjustments!$J:$J,'Schedule 2L Adjustments'!$A21)</f>
        <v>0</v>
      </c>
      <c r="AA21" s="305">
        <f t="shared" si="7"/>
        <v>0</v>
      </c>
    </row>
    <row r="22" spans="1:27" x14ac:dyDescent="0.35">
      <c r="A22" s="24">
        <v>8</v>
      </c>
      <c r="B22" s="514" t="str">
        <f>IF('As-Filed Schedule 2L'!B22:D22=0,"",'As-Filed Schedule 2L'!B22:D22)</f>
        <v/>
      </c>
      <c r="C22" s="514"/>
      <c r="D22" s="514"/>
      <c r="F22" s="117">
        <f>'As-Filed Schedule 2L'!F22</f>
        <v>0</v>
      </c>
      <c r="G22" s="309">
        <f>SUMIFS(Adjustments!$G:$G,Adjustments!$H:$H,"2L",Adjustments!$I:$I,'Schedule 2L Adjustments'!$F$12,Adjustments!$J:$J,'Schedule 2L Adjustments'!$A22)</f>
        <v>0</v>
      </c>
      <c r="H22" s="305">
        <f t="shared" si="0"/>
        <v>0</v>
      </c>
      <c r="I22" s="68">
        <f>IFERROR(F22*'As-Filed Schedule 1'!$E$103,0)</f>
        <v>0</v>
      </c>
      <c r="J22" s="306">
        <f>IFERROR(H22*'Adjusted Schedule 1'!$E$104,0)</f>
        <v>0</v>
      </c>
      <c r="K22" s="68">
        <f t="shared" si="1"/>
        <v>0</v>
      </c>
      <c r="L22" s="306">
        <f t="shared" si="2"/>
        <v>0</v>
      </c>
      <c r="N22" s="117">
        <f>'As-Filed Schedule 2L'!J22</f>
        <v>0</v>
      </c>
      <c r="O22" s="309">
        <f>SUMIFS(Adjustments!$G:$G,Adjustments!$H:$H,"2L",Adjustments!$I:$I,'Schedule 2L Adjustments'!$N$12,Adjustments!$J:$J,'Schedule 2L Adjustments'!$A22)</f>
        <v>0</v>
      </c>
      <c r="P22" s="305">
        <f t="shared" si="3"/>
        <v>0</v>
      </c>
      <c r="Q22" s="68">
        <f>IFERROR(N22*'As-Filed Schedule 1'!$E$103,0)</f>
        <v>0</v>
      </c>
      <c r="R22" s="68">
        <f>IFERROR(P22*'Adjusted Schedule 1'!$E$104,0)</f>
        <v>0</v>
      </c>
      <c r="S22" s="68">
        <f t="shared" si="4"/>
        <v>0</v>
      </c>
      <c r="T22" s="306">
        <f t="shared" si="5"/>
        <v>0</v>
      </c>
      <c r="V22" s="119">
        <f>'As-Filed Schedule 2L'!N22</f>
        <v>0</v>
      </c>
      <c r="W22" s="309">
        <f>SUMIFS(Adjustments!$G:$G,Adjustments!$H:$H,"2L",Adjustments!$I:$I,'Schedule 2L Adjustments'!$V$12,Adjustments!$J:$J,'Schedule 2L Adjustments'!$A22)</f>
        <v>0</v>
      </c>
      <c r="X22" s="305">
        <f t="shared" si="6"/>
        <v>0</v>
      </c>
      <c r="Y22" s="119">
        <f>'As-Filed Schedule 2L'!O22</f>
        <v>0</v>
      </c>
      <c r="Z22" s="309">
        <f>SUMIFS(Adjustments!$G:$G,Adjustments!$H:$H,"2L",Adjustments!$I:$I,'Schedule 2L Adjustments'!$Y$12,Adjustments!$J:$J,'Schedule 2L Adjustments'!$A22)</f>
        <v>0</v>
      </c>
      <c r="AA22" s="305">
        <f t="shared" si="7"/>
        <v>0</v>
      </c>
    </row>
    <row r="23" spans="1:27" x14ac:dyDescent="0.35">
      <c r="A23" s="24">
        <v>9</v>
      </c>
      <c r="B23" s="514" t="str">
        <f>IF('As-Filed Schedule 2L'!B23:D23=0,"",'As-Filed Schedule 2L'!B23:D23)</f>
        <v/>
      </c>
      <c r="C23" s="514"/>
      <c r="D23" s="514"/>
      <c r="F23" s="117">
        <f>'As-Filed Schedule 2L'!F23</f>
        <v>0</v>
      </c>
      <c r="G23" s="309">
        <f>SUMIFS(Adjustments!$G:$G,Adjustments!$H:$H,"2L",Adjustments!$I:$I,'Schedule 2L Adjustments'!$F$12,Adjustments!$J:$J,'Schedule 2L Adjustments'!$A23)</f>
        <v>0</v>
      </c>
      <c r="H23" s="305">
        <f t="shared" si="0"/>
        <v>0</v>
      </c>
      <c r="I23" s="68">
        <f>IFERROR(F23*'As-Filed Schedule 1'!$E$103,0)</f>
        <v>0</v>
      </c>
      <c r="J23" s="306">
        <f>IFERROR(H23*'Adjusted Schedule 1'!$E$104,0)</f>
        <v>0</v>
      </c>
      <c r="K23" s="68">
        <f t="shared" si="1"/>
        <v>0</v>
      </c>
      <c r="L23" s="306">
        <f t="shared" si="2"/>
        <v>0</v>
      </c>
      <c r="N23" s="117">
        <f>'As-Filed Schedule 2L'!J23</f>
        <v>0</v>
      </c>
      <c r="O23" s="309">
        <f>SUMIFS(Adjustments!$G:$G,Adjustments!$H:$H,"2L",Adjustments!$I:$I,'Schedule 2L Adjustments'!$N$12,Adjustments!$J:$J,'Schedule 2L Adjustments'!$A23)</f>
        <v>0</v>
      </c>
      <c r="P23" s="305">
        <f t="shared" si="3"/>
        <v>0</v>
      </c>
      <c r="Q23" s="68">
        <f>IFERROR(N23*'As-Filed Schedule 1'!$E$103,0)</f>
        <v>0</v>
      </c>
      <c r="R23" s="68">
        <f>IFERROR(P23*'Adjusted Schedule 1'!$E$104,0)</f>
        <v>0</v>
      </c>
      <c r="S23" s="68">
        <f t="shared" si="4"/>
        <v>0</v>
      </c>
      <c r="T23" s="306">
        <f t="shared" si="5"/>
        <v>0</v>
      </c>
      <c r="V23" s="119">
        <f>'As-Filed Schedule 2L'!N23</f>
        <v>0</v>
      </c>
      <c r="W23" s="309">
        <f>SUMIFS(Adjustments!$G:$G,Adjustments!$H:$H,"2L",Adjustments!$I:$I,'Schedule 2L Adjustments'!$V$12,Adjustments!$J:$J,'Schedule 2L Adjustments'!$A23)</f>
        <v>0</v>
      </c>
      <c r="X23" s="305">
        <f t="shared" si="6"/>
        <v>0</v>
      </c>
      <c r="Y23" s="119">
        <f>'As-Filed Schedule 2L'!O23</f>
        <v>0</v>
      </c>
      <c r="Z23" s="309">
        <f>SUMIFS(Adjustments!$G:$G,Adjustments!$H:$H,"2L",Adjustments!$I:$I,'Schedule 2L Adjustments'!$Y$12,Adjustments!$J:$J,'Schedule 2L Adjustments'!$A23)</f>
        <v>0</v>
      </c>
      <c r="AA23" s="305">
        <f t="shared" si="7"/>
        <v>0</v>
      </c>
    </row>
    <row r="24" spans="1:27" x14ac:dyDescent="0.35">
      <c r="A24" s="24">
        <v>10</v>
      </c>
      <c r="B24" s="514" t="str">
        <f>IF('As-Filed Schedule 2L'!B24:D24=0,"",'As-Filed Schedule 2L'!B24:D24)</f>
        <v/>
      </c>
      <c r="C24" s="514"/>
      <c r="D24" s="514"/>
      <c r="F24" s="117">
        <f>'As-Filed Schedule 2L'!F24</f>
        <v>0</v>
      </c>
      <c r="G24" s="309">
        <f>SUMIFS(Adjustments!$G:$G,Adjustments!$H:$H,"2L",Adjustments!$I:$I,'Schedule 2L Adjustments'!$F$12,Adjustments!$J:$J,'Schedule 2L Adjustments'!$A24)</f>
        <v>0</v>
      </c>
      <c r="H24" s="305">
        <f t="shared" si="0"/>
        <v>0</v>
      </c>
      <c r="I24" s="68">
        <f>IFERROR(F24*'As-Filed Schedule 1'!$E$103,0)</f>
        <v>0</v>
      </c>
      <c r="J24" s="306">
        <f>IFERROR(H24*'Adjusted Schedule 1'!$E$104,0)</f>
        <v>0</v>
      </c>
      <c r="K24" s="68">
        <f t="shared" si="1"/>
        <v>0</v>
      </c>
      <c r="L24" s="306">
        <f t="shared" si="2"/>
        <v>0</v>
      </c>
      <c r="N24" s="117">
        <f>'As-Filed Schedule 2L'!J24</f>
        <v>0</v>
      </c>
      <c r="O24" s="309">
        <f>SUMIFS(Adjustments!$G:$G,Adjustments!$H:$H,"2L",Adjustments!$I:$I,'Schedule 2L Adjustments'!$N$12,Adjustments!$J:$J,'Schedule 2L Adjustments'!$A24)</f>
        <v>0</v>
      </c>
      <c r="P24" s="305">
        <f t="shared" si="3"/>
        <v>0</v>
      </c>
      <c r="Q24" s="68">
        <f>IFERROR(N24*'As-Filed Schedule 1'!$E$103,0)</f>
        <v>0</v>
      </c>
      <c r="R24" s="68">
        <f>IFERROR(P24*'Adjusted Schedule 1'!$E$104,0)</f>
        <v>0</v>
      </c>
      <c r="S24" s="68">
        <f t="shared" si="4"/>
        <v>0</v>
      </c>
      <c r="T24" s="306">
        <f t="shared" si="5"/>
        <v>0</v>
      </c>
      <c r="V24" s="119">
        <f>'As-Filed Schedule 2L'!N24</f>
        <v>0</v>
      </c>
      <c r="W24" s="309">
        <f>SUMIFS(Adjustments!$G:$G,Adjustments!$H:$H,"2L",Adjustments!$I:$I,'Schedule 2L Adjustments'!$V$12,Adjustments!$J:$J,'Schedule 2L Adjustments'!$A24)</f>
        <v>0</v>
      </c>
      <c r="X24" s="305">
        <f t="shared" si="6"/>
        <v>0</v>
      </c>
      <c r="Y24" s="119">
        <f>'As-Filed Schedule 2L'!O24</f>
        <v>0</v>
      </c>
      <c r="Z24" s="309">
        <f>SUMIFS(Adjustments!$G:$G,Adjustments!$H:$H,"2L",Adjustments!$I:$I,'Schedule 2L Adjustments'!$Y$12,Adjustments!$J:$J,'Schedule 2L Adjustments'!$A24)</f>
        <v>0</v>
      </c>
      <c r="AA24" s="305">
        <f t="shared" si="7"/>
        <v>0</v>
      </c>
    </row>
    <row r="25" spans="1:27" x14ac:dyDescent="0.35">
      <c r="A25" s="24">
        <v>11</v>
      </c>
      <c r="B25" s="514" t="str">
        <f>IF('As-Filed Schedule 2L'!B25:D25=0,"",'As-Filed Schedule 2L'!B25:D25)</f>
        <v/>
      </c>
      <c r="C25" s="514"/>
      <c r="D25" s="514"/>
      <c r="F25" s="117">
        <f>'As-Filed Schedule 2L'!F25</f>
        <v>0</v>
      </c>
      <c r="G25" s="309">
        <f>SUMIFS(Adjustments!$G:$G,Adjustments!$H:$H,"2L",Adjustments!$I:$I,'Schedule 2L Adjustments'!$F$12,Adjustments!$J:$J,'Schedule 2L Adjustments'!$A25)</f>
        <v>0</v>
      </c>
      <c r="H25" s="305">
        <f t="shared" si="0"/>
        <v>0</v>
      </c>
      <c r="I25" s="68">
        <f>IFERROR(F25*'As-Filed Schedule 1'!$E$103,0)</f>
        <v>0</v>
      </c>
      <c r="J25" s="306">
        <f>IFERROR(H25*'Adjusted Schedule 1'!$E$104,0)</f>
        <v>0</v>
      </c>
      <c r="K25" s="68">
        <f t="shared" si="1"/>
        <v>0</v>
      </c>
      <c r="L25" s="306">
        <f t="shared" si="2"/>
        <v>0</v>
      </c>
      <c r="N25" s="117">
        <f>'As-Filed Schedule 2L'!J25</f>
        <v>0</v>
      </c>
      <c r="O25" s="309">
        <f>SUMIFS(Adjustments!$G:$G,Adjustments!$H:$H,"2L",Adjustments!$I:$I,'Schedule 2L Adjustments'!$N$12,Adjustments!$J:$J,'Schedule 2L Adjustments'!$A25)</f>
        <v>0</v>
      </c>
      <c r="P25" s="305">
        <f t="shared" si="3"/>
        <v>0</v>
      </c>
      <c r="Q25" s="68">
        <f>IFERROR(N25*'As-Filed Schedule 1'!$E$103,0)</f>
        <v>0</v>
      </c>
      <c r="R25" s="68">
        <f>IFERROR(P25*'Adjusted Schedule 1'!$E$104,0)</f>
        <v>0</v>
      </c>
      <c r="S25" s="68">
        <f t="shared" si="4"/>
        <v>0</v>
      </c>
      <c r="T25" s="306">
        <f t="shared" si="5"/>
        <v>0</v>
      </c>
      <c r="V25" s="119">
        <f>'As-Filed Schedule 2L'!N25</f>
        <v>0</v>
      </c>
      <c r="W25" s="309">
        <f>SUMIFS(Adjustments!$G:$G,Adjustments!$H:$H,"2L",Adjustments!$I:$I,'Schedule 2L Adjustments'!$V$12,Adjustments!$J:$J,'Schedule 2L Adjustments'!$A25)</f>
        <v>0</v>
      </c>
      <c r="X25" s="305">
        <f t="shared" si="6"/>
        <v>0</v>
      </c>
      <c r="Y25" s="119">
        <f>'As-Filed Schedule 2L'!O25</f>
        <v>0</v>
      </c>
      <c r="Z25" s="309">
        <f>SUMIFS(Adjustments!$G:$G,Adjustments!$H:$H,"2L",Adjustments!$I:$I,'Schedule 2L Adjustments'!$Y$12,Adjustments!$J:$J,'Schedule 2L Adjustments'!$A25)</f>
        <v>0</v>
      </c>
      <c r="AA25" s="305">
        <f t="shared" si="7"/>
        <v>0</v>
      </c>
    </row>
    <row r="26" spans="1:27" x14ac:dyDescent="0.35">
      <c r="A26" s="24">
        <v>12</v>
      </c>
      <c r="B26" s="514" t="str">
        <f>IF('As-Filed Schedule 2L'!B26:D26=0,"",'As-Filed Schedule 2L'!B26:D26)</f>
        <v/>
      </c>
      <c r="C26" s="514"/>
      <c r="D26" s="514"/>
      <c r="F26" s="117">
        <f>'As-Filed Schedule 2L'!F26</f>
        <v>0</v>
      </c>
      <c r="G26" s="309">
        <f>SUMIFS(Adjustments!$G:$G,Adjustments!$H:$H,"2L",Adjustments!$I:$I,'Schedule 2L Adjustments'!$F$12,Adjustments!$J:$J,'Schedule 2L Adjustments'!$A26)</f>
        <v>0</v>
      </c>
      <c r="H26" s="305">
        <f t="shared" si="0"/>
        <v>0</v>
      </c>
      <c r="I26" s="68">
        <f>IFERROR(F26*'As-Filed Schedule 1'!$E$103,0)</f>
        <v>0</v>
      </c>
      <c r="J26" s="306">
        <f>IFERROR(H26*'Adjusted Schedule 1'!$E$104,0)</f>
        <v>0</v>
      </c>
      <c r="K26" s="68">
        <f t="shared" si="1"/>
        <v>0</v>
      </c>
      <c r="L26" s="306">
        <f t="shared" si="2"/>
        <v>0</v>
      </c>
      <c r="N26" s="117">
        <f>'As-Filed Schedule 2L'!J26</f>
        <v>0</v>
      </c>
      <c r="O26" s="309">
        <f>SUMIFS(Adjustments!$G:$G,Adjustments!$H:$H,"2L",Adjustments!$I:$I,'Schedule 2L Adjustments'!$N$12,Adjustments!$J:$J,'Schedule 2L Adjustments'!$A26)</f>
        <v>0</v>
      </c>
      <c r="P26" s="305">
        <f t="shared" si="3"/>
        <v>0</v>
      </c>
      <c r="Q26" s="68">
        <f>IFERROR(N26*'As-Filed Schedule 1'!$E$103,0)</f>
        <v>0</v>
      </c>
      <c r="R26" s="68">
        <f>IFERROR(P26*'Adjusted Schedule 1'!$E$104,0)</f>
        <v>0</v>
      </c>
      <c r="S26" s="68">
        <f t="shared" si="4"/>
        <v>0</v>
      </c>
      <c r="T26" s="306">
        <f t="shared" si="5"/>
        <v>0</v>
      </c>
      <c r="V26" s="119">
        <f>'As-Filed Schedule 2L'!N26</f>
        <v>0</v>
      </c>
      <c r="W26" s="309">
        <f>SUMIFS(Adjustments!$G:$G,Adjustments!$H:$H,"2L",Adjustments!$I:$I,'Schedule 2L Adjustments'!$V$12,Adjustments!$J:$J,'Schedule 2L Adjustments'!$A26)</f>
        <v>0</v>
      </c>
      <c r="X26" s="305">
        <f t="shared" si="6"/>
        <v>0</v>
      </c>
      <c r="Y26" s="119">
        <f>'As-Filed Schedule 2L'!O26</f>
        <v>0</v>
      </c>
      <c r="Z26" s="309">
        <f>SUMIFS(Adjustments!$G:$G,Adjustments!$H:$H,"2L",Adjustments!$I:$I,'Schedule 2L Adjustments'!$Y$12,Adjustments!$J:$J,'Schedule 2L Adjustments'!$A26)</f>
        <v>0</v>
      </c>
      <c r="AA26" s="305">
        <f t="shared" si="7"/>
        <v>0</v>
      </c>
    </row>
    <row r="27" spans="1:27" x14ac:dyDescent="0.35">
      <c r="A27" s="24">
        <v>13</v>
      </c>
      <c r="B27" s="514" t="str">
        <f>IF('As-Filed Schedule 2L'!B27:D27=0,"",'As-Filed Schedule 2L'!B27:D27)</f>
        <v/>
      </c>
      <c r="C27" s="514"/>
      <c r="D27" s="514"/>
      <c r="F27" s="117">
        <f>'As-Filed Schedule 2L'!F27</f>
        <v>0</v>
      </c>
      <c r="G27" s="309">
        <f>SUMIFS(Adjustments!$G:$G,Adjustments!$H:$H,"2L",Adjustments!$I:$I,'Schedule 2L Adjustments'!$F$12,Adjustments!$J:$J,'Schedule 2L Adjustments'!$A27)</f>
        <v>0</v>
      </c>
      <c r="H27" s="305">
        <f t="shared" si="0"/>
        <v>0</v>
      </c>
      <c r="I27" s="68">
        <f>IFERROR(F27*'As-Filed Schedule 1'!$E$103,0)</f>
        <v>0</v>
      </c>
      <c r="J27" s="306">
        <f>IFERROR(H27*'Adjusted Schedule 1'!$E$104,0)</f>
        <v>0</v>
      </c>
      <c r="K27" s="68">
        <f t="shared" si="1"/>
        <v>0</v>
      </c>
      <c r="L27" s="306">
        <f t="shared" si="2"/>
        <v>0</v>
      </c>
      <c r="N27" s="117">
        <f>'As-Filed Schedule 2L'!J27</f>
        <v>0</v>
      </c>
      <c r="O27" s="309">
        <f>SUMIFS(Adjustments!$G:$G,Adjustments!$H:$H,"2L",Adjustments!$I:$I,'Schedule 2L Adjustments'!$N$12,Adjustments!$J:$J,'Schedule 2L Adjustments'!$A27)</f>
        <v>0</v>
      </c>
      <c r="P27" s="305">
        <f t="shared" si="3"/>
        <v>0</v>
      </c>
      <c r="Q27" s="68">
        <f>IFERROR(N27*'As-Filed Schedule 1'!$E$103,0)</f>
        <v>0</v>
      </c>
      <c r="R27" s="68">
        <f>IFERROR(P27*'Adjusted Schedule 1'!$E$104,0)</f>
        <v>0</v>
      </c>
      <c r="S27" s="68">
        <f t="shared" si="4"/>
        <v>0</v>
      </c>
      <c r="T27" s="306">
        <f t="shared" si="5"/>
        <v>0</v>
      </c>
      <c r="V27" s="119">
        <f>'As-Filed Schedule 2L'!N27</f>
        <v>0</v>
      </c>
      <c r="W27" s="309">
        <f>SUMIFS(Adjustments!$G:$G,Adjustments!$H:$H,"2L",Adjustments!$I:$I,'Schedule 2L Adjustments'!$V$12,Adjustments!$J:$J,'Schedule 2L Adjustments'!$A27)</f>
        <v>0</v>
      </c>
      <c r="X27" s="305">
        <f t="shared" si="6"/>
        <v>0</v>
      </c>
      <c r="Y27" s="119">
        <f>'As-Filed Schedule 2L'!O27</f>
        <v>0</v>
      </c>
      <c r="Z27" s="309">
        <f>SUMIFS(Adjustments!$G:$G,Adjustments!$H:$H,"2L",Adjustments!$I:$I,'Schedule 2L Adjustments'!$Y$12,Adjustments!$J:$J,'Schedule 2L Adjustments'!$A27)</f>
        <v>0</v>
      </c>
      <c r="AA27" s="305">
        <f t="shared" si="7"/>
        <v>0</v>
      </c>
    </row>
    <row r="28" spans="1:27" x14ac:dyDescent="0.35">
      <c r="A28" s="24">
        <v>14</v>
      </c>
      <c r="B28" s="514" t="str">
        <f>IF('As-Filed Schedule 2L'!B28:D28=0,"",'As-Filed Schedule 2L'!B28:D28)</f>
        <v/>
      </c>
      <c r="C28" s="514"/>
      <c r="D28" s="514"/>
      <c r="F28" s="117">
        <f>'As-Filed Schedule 2L'!F28</f>
        <v>0</v>
      </c>
      <c r="G28" s="309">
        <f>SUMIFS(Adjustments!$G:$G,Adjustments!$H:$H,"2L",Adjustments!$I:$I,'Schedule 2L Adjustments'!$F$12,Adjustments!$J:$J,'Schedule 2L Adjustments'!$A28)</f>
        <v>0</v>
      </c>
      <c r="H28" s="305">
        <f t="shared" si="0"/>
        <v>0</v>
      </c>
      <c r="I28" s="68">
        <f>IFERROR(F28*'As-Filed Schedule 1'!$E$103,0)</f>
        <v>0</v>
      </c>
      <c r="J28" s="306">
        <f>IFERROR(H28*'Adjusted Schedule 1'!$E$104,0)</f>
        <v>0</v>
      </c>
      <c r="K28" s="68">
        <f t="shared" si="1"/>
        <v>0</v>
      </c>
      <c r="L28" s="306">
        <f t="shared" si="2"/>
        <v>0</v>
      </c>
      <c r="N28" s="117">
        <f>'As-Filed Schedule 2L'!J28</f>
        <v>0</v>
      </c>
      <c r="O28" s="309">
        <f>SUMIFS(Adjustments!$G:$G,Adjustments!$H:$H,"2L",Adjustments!$I:$I,'Schedule 2L Adjustments'!$N$12,Adjustments!$J:$J,'Schedule 2L Adjustments'!$A28)</f>
        <v>0</v>
      </c>
      <c r="P28" s="305">
        <f t="shared" si="3"/>
        <v>0</v>
      </c>
      <c r="Q28" s="68">
        <f>IFERROR(N28*'As-Filed Schedule 1'!$E$103,0)</f>
        <v>0</v>
      </c>
      <c r="R28" s="68">
        <f>IFERROR(P28*'Adjusted Schedule 1'!$E$104,0)</f>
        <v>0</v>
      </c>
      <c r="S28" s="68">
        <f t="shared" si="4"/>
        <v>0</v>
      </c>
      <c r="T28" s="306">
        <f t="shared" si="5"/>
        <v>0</v>
      </c>
      <c r="V28" s="119">
        <f>'As-Filed Schedule 2L'!N28</f>
        <v>0</v>
      </c>
      <c r="W28" s="309">
        <f>SUMIFS(Adjustments!$G:$G,Adjustments!$H:$H,"2L",Adjustments!$I:$I,'Schedule 2L Adjustments'!$V$12,Adjustments!$J:$J,'Schedule 2L Adjustments'!$A28)</f>
        <v>0</v>
      </c>
      <c r="X28" s="305">
        <f t="shared" si="6"/>
        <v>0</v>
      </c>
      <c r="Y28" s="119">
        <f>'As-Filed Schedule 2L'!O28</f>
        <v>0</v>
      </c>
      <c r="Z28" s="309">
        <f>SUMIFS(Adjustments!$G:$G,Adjustments!$H:$H,"2L",Adjustments!$I:$I,'Schedule 2L Adjustments'!$Y$12,Adjustments!$J:$J,'Schedule 2L Adjustments'!$A28)</f>
        <v>0</v>
      </c>
      <c r="AA28" s="305">
        <f t="shared" si="7"/>
        <v>0</v>
      </c>
    </row>
    <row r="29" spans="1:27" x14ac:dyDescent="0.35">
      <c r="A29" s="24">
        <v>15</v>
      </c>
      <c r="B29" s="514" t="str">
        <f>IF('As-Filed Schedule 2L'!B29:D29=0,"",'As-Filed Schedule 2L'!B29:D29)</f>
        <v/>
      </c>
      <c r="C29" s="514"/>
      <c r="D29" s="514"/>
      <c r="F29" s="117">
        <f>'As-Filed Schedule 2L'!F29</f>
        <v>0</v>
      </c>
      <c r="G29" s="309">
        <f>SUMIFS(Adjustments!$G:$G,Adjustments!$H:$H,"2L",Adjustments!$I:$I,'Schedule 2L Adjustments'!$F$12,Adjustments!$J:$J,'Schedule 2L Adjustments'!$A29)</f>
        <v>0</v>
      </c>
      <c r="H29" s="305">
        <f t="shared" si="0"/>
        <v>0</v>
      </c>
      <c r="I29" s="68">
        <f>IFERROR(F29*'As-Filed Schedule 1'!$E$103,0)</f>
        <v>0</v>
      </c>
      <c r="J29" s="306">
        <f>IFERROR(H29*'Adjusted Schedule 1'!$E$104,0)</f>
        <v>0</v>
      </c>
      <c r="K29" s="68">
        <f t="shared" si="1"/>
        <v>0</v>
      </c>
      <c r="L29" s="306">
        <f t="shared" si="2"/>
        <v>0</v>
      </c>
      <c r="N29" s="117">
        <f>'As-Filed Schedule 2L'!J29</f>
        <v>0</v>
      </c>
      <c r="O29" s="309">
        <f>SUMIFS(Adjustments!$G:$G,Adjustments!$H:$H,"2L",Adjustments!$I:$I,'Schedule 2L Adjustments'!$N$12,Adjustments!$J:$J,'Schedule 2L Adjustments'!$A29)</f>
        <v>0</v>
      </c>
      <c r="P29" s="305">
        <f t="shared" si="3"/>
        <v>0</v>
      </c>
      <c r="Q29" s="68">
        <f>IFERROR(N29*'As-Filed Schedule 1'!$E$103,0)</f>
        <v>0</v>
      </c>
      <c r="R29" s="68">
        <f>IFERROR(P29*'Adjusted Schedule 1'!$E$104,0)</f>
        <v>0</v>
      </c>
      <c r="S29" s="68">
        <f t="shared" si="4"/>
        <v>0</v>
      </c>
      <c r="T29" s="306">
        <f t="shared" si="5"/>
        <v>0</v>
      </c>
      <c r="V29" s="119">
        <f>'As-Filed Schedule 2L'!N29</f>
        <v>0</v>
      </c>
      <c r="W29" s="309">
        <f>SUMIFS(Adjustments!$G:$G,Adjustments!$H:$H,"2L",Adjustments!$I:$I,'Schedule 2L Adjustments'!$V$12,Adjustments!$J:$J,'Schedule 2L Adjustments'!$A29)</f>
        <v>0</v>
      </c>
      <c r="X29" s="305">
        <f t="shared" si="6"/>
        <v>0</v>
      </c>
      <c r="Y29" s="119">
        <f>'As-Filed Schedule 2L'!O29</f>
        <v>0</v>
      </c>
      <c r="Z29" s="309">
        <f>SUMIFS(Adjustments!$G:$G,Adjustments!$H:$H,"2L",Adjustments!$I:$I,'Schedule 2L Adjustments'!$Y$12,Adjustments!$J:$J,'Schedule 2L Adjustments'!$A29)</f>
        <v>0</v>
      </c>
      <c r="AA29" s="305">
        <f t="shared" si="7"/>
        <v>0</v>
      </c>
    </row>
    <row r="30" spans="1:27" x14ac:dyDescent="0.35">
      <c r="A30" s="24">
        <v>16</v>
      </c>
      <c r="B30" s="514" t="str">
        <f>IF('As-Filed Schedule 2L'!B30:D30=0,"",'As-Filed Schedule 2L'!B30:D30)</f>
        <v/>
      </c>
      <c r="C30" s="514"/>
      <c r="D30" s="514"/>
      <c r="F30" s="117">
        <f>'As-Filed Schedule 2L'!F30</f>
        <v>0</v>
      </c>
      <c r="G30" s="309">
        <f>SUMIFS(Adjustments!$G:$G,Adjustments!$H:$H,"2L",Adjustments!$I:$I,'Schedule 2L Adjustments'!$F$12,Adjustments!$J:$J,'Schedule 2L Adjustments'!$A30)</f>
        <v>0</v>
      </c>
      <c r="H30" s="305">
        <f t="shared" si="0"/>
        <v>0</v>
      </c>
      <c r="I30" s="68">
        <f>IFERROR(F30*'As-Filed Schedule 1'!$E$103,0)</f>
        <v>0</v>
      </c>
      <c r="J30" s="306">
        <f>IFERROR(H30*'Adjusted Schedule 1'!$E$104,0)</f>
        <v>0</v>
      </c>
      <c r="K30" s="68">
        <f t="shared" si="1"/>
        <v>0</v>
      </c>
      <c r="L30" s="306">
        <f t="shared" si="2"/>
        <v>0</v>
      </c>
      <c r="N30" s="117">
        <f>'As-Filed Schedule 2L'!J30</f>
        <v>0</v>
      </c>
      <c r="O30" s="309">
        <f>SUMIFS(Adjustments!$G:$G,Adjustments!$H:$H,"2L",Adjustments!$I:$I,'Schedule 2L Adjustments'!$N$12,Adjustments!$J:$J,'Schedule 2L Adjustments'!$A30)</f>
        <v>0</v>
      </c>
      <c r="P30" s="305">
        <f t="shared" si="3"/>
        <v>0</v>
      </c>
      <c r="Q30" s="68">
        <f>IFERROR(N30*'As-Filed Schedule 1'!$E$103,0)</f>
        <v>0</v>
      </c>
      <c r="R30" s="68">
        <f>IFERROR(P30*'Adjusted Schedule 1'!$E$104,0)</f>
        <v>0</v>
      </c>
      <c r="S30" s="68">
        <f t="shared" si="4"/>
        <v>0</v>
      </c>
      <c r="T30" s="306">
        <f t="shared" si="5"/>
        <v>0</v>
      </c>
      <c r="V30" s="119">
        <f>'As-Filed Schedule 2L'!N30</f>
        <v>0</v>
      </c>
      <c r="W30" s="309">
        <f>SUMIFS(Adjustments!$G:$G,Adjustments!$H:$H,"2L",Adjustments!$I:$I,'Schedule 2L Adjustments'!$V$12,Adjustments!$J:$J,'Schedule 2L Adjustments'!$A30)</f>
        <v>0</v>
      </c>
      <c r="X30" s="305">
        <f t="shared" si="6"/>
        <v>0</v>
      </c>
      <c r="Y30" s="119">
        <f>'As-Filed Schedule 2L'!O30</f>
        <v>0</v>
      </c>
      <c r="Z30" s="309">
        <f>SUMIFS(Adjustments!$G:$G,Adjustments!$H:$H,"2L",Adjustments!$I:$I,'Schedule 2L Adjustments'!$Y$12,Adjustments!$J:$J,'Schedule 2L Adjustments'!$A30)</f>
        <v>0</v>
      </c>
      <c r="AA30" s="305">
        <f t="shared" si="7"/>
        <v>0</v>
      </c>
    </row>
    <row r="31" spans="1:27" x14ac:dyDescent="0.35">
      <c r="A31" s="24">
        <v>17</v>
      </c>
      <c r="B31" s="514" t="str">
        <f>IF('As-Filed Schedule 2L'!B31:D31=0,"",'As-Filed Schedule 2L'!B31:D31)</f>
        <v/>
      </c>
      <c r="C31" s="514"/>
      <c r="D31" s="514"/>
      <c r="F31" s="117">
        <f>'As-Filed Schedule 2L'!F31</f>
        <v>0</v>
      </c>
      <c r="G31" s="309">
        <f>SUMIFS(Adjustments!$G:$G,Adjustments!$H:$H,"2L",Adjustments!$I:$I,'Schedule 2L Adjustments'!$F$12,Adjustments!$J:$J,'Schedule 2L Adjustments'!$A31)</f>
        <v>0</v>
      </c>
      <c r="H31" s="305">
        <f t="shared" si="0"/>
        <v>0</v>
      </c>
      <c r="I31" s="68">
        <f>IFERROR(F31*'As-Filed Schedule 1'!$E$103,0)</f>
        <v>0</v>
      </c>
      <c r="J31" s="306">
        <f>IFERROR(H31*'Adjusted Schedule 1'!$E$104,0)</f>
        <v>0</v>
      </c>
      <c r="K31" s="68">
        <f t="shared" si="1"/>
        <v>0</v>
      </c>
      <c r="L31" s="306">
        <f t="shared" si="2"/>
        <v>0</v>
      </c>
      <c r="N31" s="117">
        <f>'As-Filed Schedule 2L'!J31</f>
        <v>0</v>
      </c>
      <c r="O31" s="309">
        <f>SUMIFS(Adjustments!$G:$G,Adjustments!$H:$H,"2L",Adjustments!$I:$I,'Schedule 2L Adjustments'!$N$12,Adjustments!$J:$J,'Schedule 2L Adjustments'!$A31)</f>
        <v>0</v>
      </c>
      <c r="P31" s="305">
        <f t="shared" si="3"/>
        <v>0</v>
      </c>
      <c r="Q31" s="68">
        <f>IFERROR(N31*'As-Filed Schedule 1'!$E$103,0)</f>
        <v>0</v>
      </c>
      <c r="R31" s="68">
        <f>IFERROR(P31*'Adjusted Schedule 1'!$E$104,0)</f>
        <v>0</v>
      </c>
      <c r="S31" s="68">
        <f t="shared" si="4"/>
        <v>0</v>
      </c>
      <c r="T31" s="306">
        <f t="shared" si="5"/>
        <v>0</v>
      </c>
      <c r="V31" s="119">
        <f>'As-Filed Schedule 2L'!N31</f>
        <v>0</v>
      </c>
      <c r="W31" s="309">
        <f>SUMIFS(Adjustments!$G:$G,Adjustments!$H:$H,"2L",Adjustments!$I:$I,'Schedule 2L Adjustments'!$V$12,Adjustments!$J:$J,'Schedule 2L Adjustments'!$A31)</f>
        <v>0</v>
      </c>
      <c r="X31" s="305">
        <f t="shared" si="6"/>
        <v>0</v>
      </c>
      <c r="Y31" s="119">
        <f>'As-Filed Schedule 2L'!O31</f>
        <v>0</v>
      </c>
      <c r="Z31" s="309">
        <f>SUMIFS(Adjustments!$G:$G,Adjustments!$H:$H,"2L",Adjustments!$I:$I,'Schedule 2L Adjustments'!$Y$12,Adjustments!$J:$J,'Schedule 2L Adjustments'!$A31)</f>
        <v>0</v>
      </c>
      <c r="AA31" s="305">
        <f t="shared" si="7"/>
        <v>0</v>
      </c>
    </row>
    <row r="32" spans="1:27" x14ac:dyDescent="0.35">
      <c r="A32" s="24">
        <v>18</v>
      </c>
      <c r="B32" s="514" t="str">
        <f>IF('As-Filed Schedule 2L'!B32:D32=0,"",'As-Filed Schedule 2L'!B32:D32)</f>
        <v/>
      </c>
      <c r="C32" s="514"/>
      <c r="D32" s="514"/>
      <c r="F32" s="117">
        <f>'As-Filed Schedule 2L'!F32</f>
        <v>0</v>
      </c>
      <c r="G32" s="309">
        <f>SUMIFS(Adjustments!$G:$G,Adjustments!$H:$H,"2L",Adjustments!$I:$I,'Schedule 2L Adjustments'!$F$12,Adjustments!$J:$J,'Schedule 2L Adjustments'!$A32)</f>
        <v>0</v>
      </c>
      <c r="H32" s="305">
        <f t="shared" si="0"/>
        <v>0</v>
      </c>
      <c r="I32" s="68">
        <f>IFERROR(F32*'As-Filed Schedule 1'!$E$103,0)</f>
        <v>0</v>
      </c>
      <c r="J32" s="306">
        <f>IFERROR(H32*'Adjusted Schedule 1'!$E$104,0)</f>
        <v>0</v>
      </c>
      <c r="K32" s="68">
        <f t="shared" si="1"/>
        <v>0</v>
      </c>
      <c r="L32" s="306">
        <f t="shared" si="2"/>
        <v>0</v>
      </c>
      <c r="N32" s="117">
        <f>'As-Filed Schedule 2L'!J32</f>
        <v>0</v>
      </c>
      <c r="O32" s="309">
        <f>SUMIFS(Adjustments!$G:$G,Adjustments!$H:$H,"2L",Adjustments!$I:$I,'Schedule 2L Adjustments'!$N$12,Adjustments!$J:$J,'Schedule 2L Adjustments'!$A32)</f>
        <v>0</v>
      </c>
      <c r="P32" s="305">
        <f t="shared" si="3"/>
        <v>0</v>
      </c>
      <c r="Q32" s="68">
        <f>IFERROR(N32*'As-Filed Schedule 1'!$E$103,0)</f>
        <v>0</v>
      </c>
      <c r="R32" s="68">
        <f>IFERROR(P32*'Adjusted Schedule 1'!$E$104,0)</f>
        <v>0</v>
      </c>
      <c r="S32" s="68">
        <f t="shared" si="4"/>
        <v>0</v>
      </c>
      <c r="T32" s="306">
        <f t="shared" si="5"/>
        <v>0</v>
      </c>
      <c r="V32" s="119">
        <f>'As-Filed Schedule 2L'!N32</f>
        <v>0</v>
      </c>
      <c r="W32" s="309">
        <f>SUMIFS(Adjustments!$G:$G,Adjustments!$H:$H,"2L",Adjustments!$I:$I,'Schedule 2L Adjustments'!$V$12,Adjustments!$J:$J,'Schedule 2L Adjustments'!$A32)</f>
        <v>0</v>
      </c>
      <c r="X32" s="305">
        <f t="shared" si="6"/>
        <v>0</v>
      </c>
      <c r="Y32" s="119">
        <f>'As-Filed Schedule 2L'!O32</f>
        <v>0</v>
      </c>
      <c r="Z32" s="309">
        <f>SUMIFS(Adjustments!$G:$G,Adjustments!$H:$H,"2L",Adjustments!$I:$I,'Schedule 2L Adjustments'!$Y$12,Adjustments!$J:$J,'Schedule 2L Adjustments'!$A32)</f>
        <v>0</v>
      </c>
      <c r="AA32" s="305">
        <f t="shared" si="7"/>
        <v>0</v>
      </c>
    </row>
    <row r="33" spans="1:27" x14ac:dyDescent="0.35">
      <c r="A33" s="24">
        <v>19</v>
      </c>
      <c r="B33" s="514" t="str">
        <f>IF('As-Filed Schedule 2L'!B33:D33=0,"",'As-Filed Schedule 2L'!B33:D33)</f>
        <v/>
      </c>
      <c r="C33" s="514"/>
      <c r="D33" s="514"/>
      <c r="F33" s="117">
        <f>'As-Filed Schedule 2L'!F33</f>
        <v>0</v>
      </c>
      <c r="G33" s="309">
        <f>SUMIFS(Adjustments!$G:$G,Adjustments!$H:$H,"2L",Adjustments!$I:$I,'Schedule 2L Adjustments'!$F$12,Adjustments!$J:$J,'Schedule 2L Adjustments'!$A33)</f>
        <v>0</v>
      </c>
      <c r="H33" s="305">
        <f t="shared" si="0"/>
        <v>0</v>
      </c>
      <c r="I33" s="68">
        <f>IFERROR(F33*'As-Filed Schedule 1'!$E$103,0)</f>
        <v>0</v>
      </c>
      <c r="J33" s="306">
        <f>IFERROR(H33*'Adjusted Schedule 1'!$E$104,0)</f>
        <v>0</v>
      </c>
      <c r="K33" s="68">
        <f t="shared" si="1"/>
        <v>0</v>
      </c>
      <c r="L33" s="306">
        <f t="shared" si="2"/>
        <v>0</v>
      </c>
      <c r="N33" s="117">
        <f>'As-Filed Schedule 2L'!J33</f>
        <v>0</v>
      </c>
      <c r="O33" s="309">
        <f>SUMIFS(Adjustments!$G:$G,Adjustments!$H:$H,"2L",Adjustments!$I:$I,'Schedule 2L Adjustments'!$N$12,Adjustments!$J:$J,'Schedule 2L Adjustments'!$A33)</f>
        <v>0</v>
      </c>
      <c r="P33" s="305">
        <f t="shared" si="3"/>
        <v>0</v>
      </c>
      <c r="Q33" s="68">
        <f>IFERROR(N33*'As-Filed Schedule 1'!$E$103,0)</f>
        <v>0</v>
      </c>
      <c r="R33" s="68">
        <f>IFERROR(P33*'Adjusted Schedule 1'!$E$104,0)</f>
        <v>0</v>
      </c>
      <c r="S33" s="68">
        <f t="shared" si="4"/>
        <v>0</v>
      </c>
      <c r="T33" s="306">
        <f t="shared" si="5"/>
        <v>0</v>
      </c>
      <c r="V33" s="119">
        <f>'As-Filed Schedule 2L'!N33</f>
        <v>0</v>
      </c>
      <c r="W33" s="309">
        <f>SUMIFS(Adjustments!$G:$G,Adjustments!$H:$H,"2L",Adjustments!$I:$I,'Schedule 2L Adjustments'!$V$12,Adjustments!$J:$J,'Schedule 2L Adjustments'!$A33)</f>
        <v>0</v>
      </c>
      <c r="X33" s="305">
        <f t="shared" si="6"/>
        <v>0</v>
      </c>
      <c r="Y33" s="119">
        <f>'As-Filed Schedule 2L'!O33</f>
        <v>0</v>
      </c>
      <c r="Z33" s="309">
        <f>SUMIFS(Adjustments!$G:$G,Adjustments!$H:$H,"2L",Adjustments!$I:$I,'Schedule 2L Adjustments'!$Y$12,Adjustments!$J:$J,'Schedule 2L Adjustments'!$A33)</f>
        <v>0</v>
      </c>
      <c r="AA33" s="305">
        <f t="shared" si="7"/>
        <v>0</v>
      </c>
    </row>
    <row r="34" spans="1:27" x14ac:dyDescent="0.35">
      <c r="A34" s="24">
        <v>20</v>
      </c>
      <c r="B34" s="514" t="str">
        <f>IF('As-Filed Schedule 2L'!B34:D34=0,"",'As-Filed Schedule 2L'!B34:D34)</f>
        <v/>
      </c>
      <c r="C34" s="514"/>
      <c r="D34" s="514"/>
      <c r="F34" s="117">
        <f>'As-Filed Schedule 2L'!F34</f>
        <v>0</v>
      </c>
      <c r="G34" s="309">
        <f>SUMIFS(Adjustments!$G:$G,Adjustments!$H:$H,"2L",Adjustments!$I:$I,'Schedule 2L Adjustments'!$F$12,Adjustments!$J:$J,'Schedule 2L Adjustments'!$A34)</f>
        <v>0</v>
      </c>
      <c r="H34" s="305">
        <f t="shared" si="0"/>
        <v>0</v>
      </c>
      <c r="I34" s="68">
        <f>IFERROR(F34*'As-Filed Schedule 1'!$E$103,0)</f>
        <v>0</v>
      </c>
      <c r="J34" s="306">
        <f>IFERROR(H34*'Adjusted Schedule 1'!$E$104,0)</f>
        <v>0</v>
      </c>
      <c r="K34" s="68">
        <f t="shared" si="1"/>
        <v>0</v>
      </c>
      <c r="L34" s="306">
        <f t="shared" si="2"/>
        <v>0</v>
      </c>
      <c r="N34" s="117">
        <f>'As-Filed Schedule 2L'!J34</f>
        <v>0</v>
      </c>
      <c r="O34" s="309">
        <f>SUMIFS(Adjustments!$G:$G,Adjustments!$H:$H,"2L",Adjustments!$I:$I,'Schedule 2L Adjustments'!$N$12,Adjustments!$J:$J,'Schedule 2L Adjustments'!$A34)</f>
        <v>0</v>
      </c>
      <c r="P34" s="305">
        <f t="shared" si="3"/>
        <v>0</v>
      </c>
      <c r="Q34" s="68">
        <f>IFERROR(N34*'As-Filed Schedule 1'!$E$103,0)</f>
        <v>0</v>
      </c>
      <c r="R34" s="68">
        <f>IFERROR(P34*'Adjusted Schedule 1'!$E$104,0)</f>
        <v>0</v>
      </c>
      <c r="S34" s="68">
        <f t="shared" si="4"/>
        <v>0</v>
      </c>
      <c r="T34" s="306">
        <f t="shared" si="5"/>
        <v>0</v>
      </c>
      <c r="V34" s="119">
        <f>'As-Filed Schedule 2L'!N34</f>
        <v>0</v>
      </c>
      <c r="W34" s="309">
        <f>SUMIFS(Adjustments!$G:$G,Adjustments!$H:$H,"2L",Adjustments!$I:$I,'Schedule 2L Adjustments'!$V$12,Adjustments!$J:$J,'Schedule 2L Adjustments'!$A34)</f>
        <v>0</v>
      </c>
      <c r="X34" s="305">
        <f t="shared" si="6"/>
        <v>0</v>
      </c>
      <c r="Y34" s="119">
        <f>'As-Filed Schedule 2L'!O34</f>
        <v>0</v>
      </c>
      <c r="Z34" s="309">
        <f>SUMIFS(Adjustments!$G:$G,Adjustments!$H:$H,"2L",Adjustments!$I:$I,'Schedule 2L Adjustments'!$Y$12,Adjustments!$J:$J,'Schedule 2L Adjustments'!$A34)</f>
        <v>0</v>
      </c>
      <c r="AA34" s="305">
        <f t="shared" si="7"/>
        <v>0</v>
      </c>
    </row>
    <row r="35" spans="1:27" x14ac:dyDescent="0.35">
      <c r="A35" s="24">
        <v>21</v>
      </c>
      <c r="B35" s="514" t="str">
        <f>IF('As-Filed Schedule 2L'!B35:D35=0,"",'As-Filed Schedule 2L'!B35:D35)</f>
        <v/>
      </c>
      <c r="C35" s="514"/>
      <c r="D35" s="514"/>
      <c r="F35" s="117">
        <f>'As-Filed Schedule 2L'!F35</f>
        <v>0</v>
      </c>
      <c r="G35" s="309">
        <f>SUMIFS(Adjustments!$G:$G,Adjustments!$H:$H,"2L",Adjustments!$I:$I,'Schedule 2L Adjustments'!$F$12,Adjustments!$J:$J,'Schedule 2L Adjustments'!$A35)</f>
        <v>0</v>
      </c>
      <c r="H35" s="305">
        <f t="shared" si="0"/>
        <v>0</v>
      </c>
      <c r="I35" s="68">
        <f>IFERROR(F35*'As-Filed Schedule 1'!$E$103,0)</f>
        <v>0</v>
      </c>
      <c r="J35" s="306">
        <f>IFERROR(H35*'Adjusted Schedule 1'!$E$104,0)</f>
        <v>0</v>
      </c>
      <c r="K35" s="68">
        <f t="shared" si="1"/>
        <v>0</v>
      </c>
      <c r="L35" s="306">
        <f t="shared" si="2"/>
        <v>0</v>
      </c>
      <c r="N35" s="117">
        <f>'As-Filed Schedule 2L'!J35</f>
        <v>0</v>
      </c>
      <c r="O35" s="309">
        <f>SUMIFS(Adjustments!$G:$G,Adjustments!$H:$H,"2L",Adjustments!$I:$I,'Schedule 2L Adjustments'!$N$12,Adjustments!$J:$J,'Schedule 2L Adjustments'!$A35)</f>
        <v>0</v>
      </c>
      <c r="P35" s="305">
        <f t="shared" si="3"/>
        <v>0</v>
      </c>
      <c r="Q35" s="68">
        <f>IFERROR(N35*'As-Filed Schedule 1'!$E$103,0)</f>
        <v>0</v>
      </c>
      <c r="R35" s="68">
        <f>IFERROR(P35*'Adjusted Schedule 1'!$E$104,0)</f>
        <v>0</v>
      </c>
      <c r="S35" s="68">
        <f t="shared" si="4"/>
        <v>0</v>
      </c>
      <c r="T35" s="306">
        <f t="shared" si="5"/>
        <v>0</v>
      </c>
      <c r="V35" s="119">
        <f>'As-Filed Schedule 2L'!N35</f>
        <v>0</v>
      </c>
      <c r="W35" s="309">
        <f>SUMIFS(Adjustments!$G:$G,Adjustments!$H:$H,"2L",Adjustments!$I:$I,'Schedule 2L Adjustments'!$V$12,Adjustments!$J:$J,'Schedule 2L Adjustments'!$A35)</f>
        <v>0</v>
      </c>
      <c r="X35" s="305">
        <f t="shared" si="6"/>
        <v>0</v>
      </c>
      <c r="Y35" s="119">
        <f>'As-Filed Schedule 2L'!O35</f>
        <v>0</v>
      </c>
      <c r="Z35" s="309">
        <f>SUMIFS(Adjustments!$G:$G,Adjustments!$H:$H,"2L",Adjustments!$I:$I,'Schedule 2L Adjustments'!$Y$12,Adjustments!$J:$J,'Schedule 2L Adjustments'!$A35)</f>
        <v>0</v>
      </c>
      <c r="AA35" s="305">
        <f t="shared" si="7"/>
        <v>0</v>
      </c>
    </row>
    <row r="36" spans="1:27" x14ac:dyDescent="0.35">
      <c r="A36" s="24">
        <v>22</v>
      </c>
      <c r="B36" s="514" t="str">
        <f>IF('As-Filed Schedule 2L'!B36:D36=0,"",'As-Filed Schedule 2L'!B36:D36)</f>
        <v/>
      </c>
      <c r="C36" s="514"/>
      <c r="D36" s="514"/>
      <c r="F36" s="117">
        <f>'As-Filed Schedule 2L'!F36</f>
        <v>0</v>
      </c>
      <c r="G36" s="309">
        <f>SUMIFS(Adjustments!$G:$G,Adjustments!$H:$H,"2L",Adjustments!$I:$I,'Schedule 2L Adjustments'!$F$12,Adjustments!$J:$J,'Schedule 2L Adjustments'!$A36)</f>
        <v>0</v>
      </c>
      <c r="H36" s="305">
        <f t="shared" si="0"/>
        <v>0</v>
      </c>
      <c r="I36" s="68">
        <f>IFERROR(F36*'As-Filed Schedule 1'!$E$103,0)</f>
        <v>0</v>
      </c>
      <c r="J36" s="306">
        <f>IFERROR(H36*'Adjusted Schedule 1'!$E$104,0)</f>
        <v>0</v>
      </c>
      <c r="K36" s="68">
        <f t="shared" si="1"/>
        <v>0</v>
      </c>
      <c r="L36" s="306">
        <f t="shared" si="2"/>
        <v>0</v>
      </c>
      <c r="N36" s="117">
        <f>'As-Filed Schedule 2L'!J36</f>
        <v>0</v>
      </c>
      <c r="O36" s="309">
        <f>SUMIFS(Adjustments!$G:$G,Adjustments!$H:$H,"2L",Adjustments!$I:$I,'Schedule 2L Adjustments'!$N$12,Adjustments!$J:$J,'Schedule 2L Adjustments'!$A36)</f>
        <v>0</v>
      </c>
      <c r="P36" s="305">
        <f t="shared" si="3"/>
        <v>0</v>
      </c>
      <c r="Q36" s="68">
        <f>IFERROR(N36*'As-Filed Schedule 1'!$E$103,0)</f>
        <v>0</v>
      </c>
      <c r="R36" s="68">
        <f>IFERROR(P36*'Adjusted Schedule 1'!$E$104,0)</f>
        <v>0</v>
      </c>
      <c r="S36" s="68">
        <f t="shared" si="4"/>
        <v>0</v>
      </c>
      <c r="T36" s="306">
        <f t="shared" si="5"/>
        <v>0</v>
      </c>
      <c r="V36" s="119">
        <f>'As-Filed Schedule 2L'!N36</f>
        <v>0</v>
      </c>
      <c r="W36" s="309">
        <f>SUMIFS(Adjustments!$G:$G,Adjustments!$H:$H,"2L",Adjustments!$I:$I,'Schedule 2L Adjustments'!$V$12,Adjustments!$J:$J,'Schedule 2L Adjustments'!$A36)</f>
        <v>0</v>
      </c>
      <c r="X36" s="305">
        <f t="shared" si="6"/>
        <v>0</v>
      </c>
      <c r="Y36" s="119">
        <f>'As-Filed Schedule 2L'!O36</f>
        <v>0</v>
      </c>
      <c r="Z36" s="309">
        <f>SUMIFS(Adjustments!$G:$G,Adjustments!$H:$H,"2L",Adjustments!$I:$I,'Schedule 2L Adjustments'!$Y$12,Adjustments!$J:$J,'Schedule 2L Adjustments'!$A36)</f>
        <v>0</v>
      </c>
      <c r="AA36" s="305">
        <f t="shared" si="7"/>
        <v>0</v>
      </c>
    </row>
    <row r="37" spans="1:27" x14ac:dyDescent="0.35">
      <c r="A37" s="24">
        <v>23</v>
      </c>
      <c r="B37" s="514" t="str">
        <f>IF('As-Filed Schedule 2L'!B37:D37=0,"",'As-Filed Schedule 2L'!B37:D37)</f>
        <v/>
      </c>
      <c r="C37" s="514"/>
      <c r="D37" s="514"/>
      <c r="F37" s="117">
        <f>'As-Filed Schedule 2L'!F37</f>
        <v>0</v>
      </c>
      <c r="G37" s="309">
        <f>SUMIFS(Adjustments!$G:$G,Adjustments!$H:$H,"2L",Adjustments!$I:$I,'Schedule 2L Adjustments'!$F$12,Adjustments!$J:$J,'Schedule 2L Adjustments'!$A37)</f>
        <v>0</v>
      </c>
      <c r="H37" s="305">
        <f t="shared" si="0"/>
        <v>0</v>
      </c>
      <c r="I37" s="68">
        <f>IFERROR(F37*'As-Filed Schedule 1'!$E$103,0)</f>
        <v>0</v>
      </c>
      <c r="J37" s="306">
        <f>IFERROR(H37*'Adjusted Schedule 1'!$E$104,0)</f>
        <v>0</v>
      </c>
      <c r="K37" s="68">
        <f t="shared" si="1"/>
        <v>0</v>
      </c>
      <c r="L37" s="306">
        <f t="shared" si="2"/>
        <v>0</v>
      </c>
      <c r="N37" s="117">
        <f>'As-Filed Schedule 2L'!J37</f>
        <v>0</v>
      </c>
      <c r="O37" s="309">
        <f>SUMIFS(Adjustments!$G:$G,Adjustments!$H:$H,"2L",Adjustments!$I:$I,'Schedule 2L Adjustments'!$N$12,Adjustments!$J:$J,'Schedule 2L Adjustments'!$A37)</f>
        <v>0</v>
      </c>
      <c r="P37" s="305">
        <f t="shared" si="3"/>
        <v>0</v>
      </c>
      <c r="Q37" s="68">
        <f>IFERROR(N37*'As-Filed Schedule 1'!$E$103,0)</f>
        <v>0</v>
      </c>
      <c r="R37" s="68">
        <f>IFERROR(P37*'Adjusted Schedule 1'!$E$104,0)</f>
        <v>0</v>
      </c>
      <c r="S37" s="68">
        <f t="shared" si="4"/>
        <v>0</v>
      </c>
      <c r="T37" s="306">
        <f t="shared" si="5"/>
        <v>0</v>
      </c>
      <c r="V37" s="119">
        <f>'As-Filed Schedule 2L'!N37</f>
        <v>0</v>
      </c>
      <c r="W37" s="309">
        <f>SUMIFS(Adjustments!$G:$G,Adjustments!$H:$H,"2L",Adjustments!$I:$I,'Schedule 2L Adjustments'!$V$12,Adjustments!$J:$J,'Schedule 2L Adjustments'!$A37)</f>
        <v>0</v>
      </c>
      <c r="X37" s="305">
        <f t="shared" si="6"/>
        <v>0</v>
      </c>
      <c r="Y37" s="119">
        <f>'As-Filed Schedule 2L'!O37</f>
        <v>0</v>
      </c>
      <c r="Z37" s="309">
        <f>SUMIFS(Adjustments!$G:$G,Adjustments!$H:$H,"2L",Adjustments!$I:$I,'Schedule 2L Adjustments'!$Y$12,Adjustments!$J:$J,'Schedule 2L Adjustments'!$A37)</f>
        <v>0</v>
      </c>
      <c r="AA37" s="305">
        <f t="shared" si="7"/>
        <v>0</v>
      </c>
    </row>
    <row r="38" spans="1:27" x14ac:dyDescent="0.35">
      <c r="A38" s="24">
        <v>24</v>
      </c>
      <c r="B38" s="514" t="str">
        <f>IF('As-Filed Schedule 2L'!B38:D38=0,"",'As-Filed Schedule 2L'!B38:D38)</f>
        <v/>
      </c>
      <c r="C38" s="514"/>
      <c r="D38" s="514"/>
      <c r="F38" s="117">
        <f>'As-Filed Schedule 2L'!F38</f>
        <v>0</v>
      </c>
      <c r="G38" s="309">
        <f>SUMIFS(Adjustments!$G:$G,Adjustments!$H:$H,"2L",Adjustments!$I:$I,'Schedule 2L Adjustments'!$F$12,Adjustments!$J:$J,'Schedule 2L Adjustments'!$A38)</f>
        <v>0</v>
      </c>
      <c r="H38" s="305">
        <f t="shared" si="0"/>
        <v>0</v>
      </c>
      <c r="I38" s="68">
        <f>IFERROR(F38*'As-Filed Schedule 1'!$E$103,0)</f>
        <v>0</v>
      </c>
      <c r="J38" s="306">
        <f>IFERROR(H38*'Adjusted Schedule 1'!$E$104,0)</f>
        <v>0</v>
      </c>
      <c r="K38" s="68">
        <f t="shared" si="1"/>
        <v>0</v>
      </c>
      <c r="L38" s="306">
        <f t="shared" si="2"/>
        <v>0</v>
      </c>
      <c r="N38" s="117">
        <f>'As-Filed Schedule 2L'!J38</f>
        <v>0</v>
      </c>
      <c r="O38" s="309">
        <f>SUMIFS(Adjustments!$G:$G,Adjustments!$H:$H,"2L",Adjustments!$I:$I,'Schedule 2L Adjustments'!$N$12,Adjustments!$J:$J,'Schedule 2L Adjustments'!$A38)</f>
        <v>0</v>
      </c>
      <c r="P38" s="305">
        <f t="shared" si="3"/>
        <v>0</v>
      </c>
      <c r="Q38" s="68">
        <f>IFERROR(N38*'As-Filed Schedule 1'!$E$103,0)</f>
        <v>0</v>
      </c>
      <c r="R38" s="68">
        <f>IFERROR(P38*'Adjusted Schedule 1'!$E$104,0)</f>
        <v>0</v>
      </c>
      <c r="S38" s="68">
        <f t="shared" si="4"/>
        <v>0</v>
      </c>
      <c r="T38" s="306">
        <f t="shared" si="5"/>
        <v>0</v>
      </c>
      <c r="V38" s="119">
        <f>'As-Filed Schedule 2L'!N38</f>
        <v>0</v>
      </c>
      <c r="W38" s="309">
        <f>SUMIFS(Adjustments!$G:$G,Adjustments!$H:$H,"2L",Adjustments!$I:$I,'Schedule 2L Adjustments'!$V$12,Adjustments!$J:$J,'Schedule 2L Adjustments'!$A38)</f>
        <v>0</v>
      </c>
      <c r="X38" s="305">
        <f t="shared" si="6"/>
        <v>0</v>
      </c>
      <c r="Y38" s="119">
        <f>'As-Filed Schedule 2L'!O38</f>
        <v>0</v>
      </c>
      <c r="Z38" s="309">
        <f>SUMIFS(Adjustments!$G:$G,Adjustments!$H:$H,"2L",Adjustments!$I:$I,'Schedule 2L Adjustments'!$Y$12,Adjustments!$J:$J,'Schedule 2L Adjustments'!$A38)</f>
        <v>0</v>
      </c>
      <c r="AA38" s="305">
        <f t="shared" si="7"/>
        <v>0</v>
      </c>
    </row>
    <row r="39" spans="1:27" x14ac:dyDescent="0.35">
      <c r="A39" s="24">
        <v>25</v>
      </c>
      <c r="B39" s="514" t="str">
        <f>IF('As-Filed Schedule 2L'!B39:D39=0,"",'As-Filed Schedule 2L'!B39:D39)</f>
        <v/>
      </c>
      <c r="C39" s="514"/>
      <c r="D39" s="514"/>
      <c r="F39" s="117">
        <f>'As-Filed Schedule 2L'!F39</f>
        <v>0</v>
      </c>
      <c r="G39" s="309">
        <f>SUMIFS(Adjustments!$G:$G,Adjustments!$H:$H,"2L",Adjustments!$I:$I,'Schedule 2L Adjustments'!$F$12,Adjustments!$J:$J,'Schedule 2L Adjustments'!$A39)</f>
        <v>0</v>
      </c>
      <c r="H39" s="305">
        <f t="shared" si="0"/>
        <v>0</v>
      </c>
      <c r="I39" s="68">
        <f>IFERROR(F39*'As-Filed Schedule 1'!$E$103,0)</f>
        <v>0</v>
      </c>
      <c r="J39" s="306">
        <f>IFERROR(H39*'Adjusted Schedule 1'!$E$104,0)</f>
        <v>0</v>
      </c>
      <c r="K39" s="68">
        <f t="shared" si="1"/>
        <v>0</v>
      </c>
      <c r="L39" s="306">
        <f t="shared" si="2"/>
        <v>0</v>
      </c>
      <c r="N39" s="117">
        <f>'As-Filed Schedule 2L'!J39</f>
        <v>0</v>
      </c>
      <c r="O39" s="309">
        <f>SUMIFS(Adjustments!$G:$G,Adjustments!$H:$H,"2L",Adjustments!$I:$I,'Schedule 2L Adjustments'!$N$12,Adjustments!$J:$J,'Schedule 2L Adjustments'!$A39)</f>
        <v>0</v>
      </c>
      <c r="P39" s="305">
        <f t="shared" si="3"/>
        <v>0</v>
      </c>
      <c r="Q39" s="68">
        <f>IFERROR(N39*'As-Filed Schedule 1'!$E$103,0)</f>
        <v>0</v>
      </c>
      <c r="R39" s="68">
        <f>IFERROR(P39*'Adjusted Schedule 1'!$E$104,0)</f>
        <v>0</v>
      </c>
      <c r="S39" s="68">
        <f t="shared" si="4"/>
        <v>0</v>
      </c>
      <c r="T39" s="306">
        <f t="shared" si="5"/>
        <v>0</v>
      </c>
      <c r="V39" s="119">
        <f>'As-Filed Schedule 2L'!N39</f>
        <v>0</v>
      </c>
      <c r="W39" s="309">
        <f>SUMIFS(Adjustments!$G:$G,Adjustments!$H:$H,"2L",Adjustments!$I:$I,'Schedule 2L Adjustments'!$V$12,Adjustments!$J:$J,'Schedule 2L Adjustments'!$A39)</f>
        <v>0</v>
      </c>
      <c r="X39" s="305">
        <f t="shared" si="6"/>
        <v>0</v>
      </c>
      <c r="Y39" s="119">
        <f>'As-Filed Schedule 2L'!O39</f>
        <v>0</v>
      </c>
      <c r="Z39" s="309">
        <f>SUMIFS(Adjustments!$G:$G,Adjustments!$H:$H,"2L",Adjustments!$I:$I,'Schedule 2L Adjustments'!$Y$12,Adjustments!$J:$J,'Schedule 2L Adjustments'!$A39)</f>
        <v>0</v>
      </c>
      <c r="AA39" s="305">
        <f t="shared" si="7"/>
        <v>0</v>
      </c>
    </row>
    <row r="40" spans="1:27" x14ac:dyDescent="0.35">
      <c r="A40" s="24">
        <v>26</v>
      </c>
      <c r="B40" s="514" t="str">
        <f>IF('As-Filed Schedule 2L'!B40:D40=0,"",'As-Filed Schedule 2L'!B40:D40)</f>
        <v/>
      </c>
      <c r="C40" s="514"/>
      <c r="D40" s="514"/>
      <c r="F40" s="117">
        <f>'As-Filed Schedule 2L'!F40</f>
        <v>0</v>
      </c>
      <c r="G40" s="309">
        <f>SUMIFS(Adjustments!$G:$G,Adjustments!$H:$H,"2L",Adjustments!$I:$I,'Schedule 2L Adjustments'!$F$12,Adjustments!$J:$J,'Schedule 2L Adjustments'!$A40)</f>
        <v>0</v>
      </c>
      <c r="H40" s="305">
        <f t="shared" si="0"/>
        <v>0</v>
      </c>
      <c r="I40" s="68">
        <f>IFERROR(F40*'As-Filed Schedule 1'!$E$103,0)</f>
        <v>0</v>
      </c>
      <c r="J40" s="306">
        <f>IFERROR(H40*'Adjusted Schedule 1'!$E$104,0)</f>
        <v>0</v>
      </c>
      <c r="K40" s="68">
        <f t="shared" si="1"/>
        <v>0</v>
      </c>
      <c r="L40" s="306">
        <f t="shared" si="2"/>
        <v>0</v>
      </c>
      <c r="N40" s="117">
        <f>'As-Filed Schedule 2L'!J40</f>
        <v>0</v>
      </c>
      <c r="O40" s="309">
        <f>SUMIFS(Adjustments!$G:$G,Adjustments!$H:$H,"2L",Adjustments!$I:$I,'Schedule 2L Adjustments'!$N$12,Adjustments!$J:$J,'Schedule 2L Adjustments'!$A40)</f>
        <v>0</v>
      </c>
      <c r="P40" s="305">
        <f t="shared" si="3"/>
        <v>0</v>
      </c>
      <c r="Q40" s="68">
        <f>IFERROR(N40*'As-Filed Schedule 1'!$E$103,0)</f>
        <v>0</v>
      </c>
      <c r="R40" s="68">
        <f>IFERROR(P40*'Adjusted Schedule 1'!$E$104,0)</f>
        <v>0</v>
      </c>
      <c r="S40" s="68">
        <f t="shared" si="4"/>
        <v>0</v>
      </c>
      <c r="T40" s="306">
        <f t="shared" si="5"/>
        <v>0</v>
      </c>
      <c r="V40" s="119">
        <f>'As-Filed Schedule 2L'!N40</f>
        <v>0</v>
      </c>
      <c r="W40" s="309">
        <f>SUMIFS(Adjustments!$G:$G,Adjustments!$H:$H,"2L",Adjustments!$I:$I,'Schedule 2L Adjustments'!$V$12,Adjustments!$J:$J,'Schedule 2L Adjustments'!$A40)</f>
        <v>0</v>
      </c>
      <c r="X40" s="305">
        <f t="shared" si="6"/>
        <v>0</v>
      </c>
      <c r="Y40" s="119">
        <f>'As-Filed Schedule 2L'!O40</f>
        <v>0</v>
      </c>
      <c r="Z40" s="309">
        <f>SUMIFS(Adjustments!$G:$G,Adjustments!$H:$H,"2L",Adjustments!$I:$I,'Schedule 2L Adjustments'!$Y$12,Adjustments!$J:$J,'Schedule 2L Adjustments'!$A40)</f>
        <v>0</v>
      </c>
      <c r="AA40" s="305">
        <f t="shared" si="7"/>
        <v>0</v>
      </c>
    </row>
    <row r="41" spans="1:27" x14ac:dyDescent="0.35">
      <c r="A41" s="24">
        <v>27</v>
      </c>
      <c r="B41" s="514" t="str">
        <f>IF('As-Filed Schedule 2L'!B41:D41=0,"",'As-Filed Schedule 2L'!B41:D41)</f>
        <v/>
      </c>
      <c r="C41" s="514"/>
      <c r="D41" s="514"/>
      <c r="F41" s="117">
        <f>'As-Filed Schedule 2L'!F41</f>
        <v>0</v>
      </c>
      <c r="G41" s="309">
        <f>SUMIFS(Adjustments!$G:$G,Adjustments!$H:$H,"2L",Adjustments!$I:$I,'Schedule 2L Adjustments'!$F$12,Adjustments!$J:$J,'Schedule 2L Adjustments'!$A41)</f>
        <v>0</v>
      </c>
      <c r="H41" s="305">
        <f t="shared" si="0"/>
        <v>0</v>
      </c>
      <c r="I41" s="68">
        <f>IFERROR(F41*'As-Filed Schedule 1'!$E$103,0)</f>
        <v>0</v>
      </c>
      <c r="J41" s="306">
        <f>IFERROR(H41*'Adjusted Schedule 1'!$E$104,0)</f>
        <v>0</v>
      </c>
      <c r="K41" s="68">
        <f t="shared" si="1"/>
        <v>0</v>
      </c>
      <c r="L41" s="306">
        <f t="shared" si="2"/>
        <v>0</v>
      </c>
      <c r="N41" s="117">
        <f>'As-Filed Schedule 2L'!J41</f>
        <v>0</v>
      </c>
      <c r="O41" s="309">
        <f>SUMIFS(Adjustments!$G:$G,Adjustments!$H:$H,"2L",Adjustments!$I:$I,'Schedule 2L Adjustments'!$N$12,Adjustments!$J:$J,'Schedule 2L Adjustments'!$A41)</f>
        <v>0</v>
      </c>
      <c r="P41" s="305">
        <f t="shared" si="3"/>
        <v>0</v>
      </c>
      <c r="Q41" s="68">
        <f>IFERROR(N41*'As-Filed Schedule 1'!$E$103,0)</f>
        <v>0</v>
      </c>
      <c r="R41" s="68">
        <f>IFERROR(P41*'Adjusted Schedule 1'!$E$104,0)</f>
        <v>0</v>
      </c>
      <c r="S41" s="68">
        <f t="shared" si="4"/>
        <v>0</v>
      </c>
      <c r="T41" s="306">
        <f t="shared" si="5"/>
        <v>0</v>
      </c>
      <c r="V41" s="119">
        <f>'As-Filed Schedule 2L'!N41</f>
        <v>0</v>
      </c>
      <c r="W41" s="309">
        <f>SUMIFS(Adjustments!$G:$G,Adjustments!$H:$H,"2L",Adjustments!$I:$I,'Schedule 2L Adjustments'!$V$12,Adjustments!$J:$J,'Schedule 2L Adjustments'!$A41)</f>
        <v>0</v>
      </c>
      <c r="X41" s="305">
        <f t="shared" si="6"/>
        <v>0</v>
      </c>
      <c r="Y41" s="119">
        <f>'As-Filed Schedule 2L'!O41</f>
        <v>0</v>
      </c>
      <c r="Z41" s="309">
        <f>SUMIFS(Adjustments!$G:$G,Adjustments!$H:$H,"2L",Adjustments!$I:$I,'Schedule 2L Adjustments'!$Y$12,Adjustments!$J:$J,'Schedule 2L Adjustments'!$A41)</f>
        <v>0</v>
      </c>
      <c r="AA41" s="305">
        <f t="shared" si="7"/>
        <v>0</v>
      </c>
    </row>
    <row r="42" spans="1:27" x14ac:dyDescent="0.35">
      <c r="A42" s="24">
        <v>28</v>
      </c>
      <c r="B42" s="514" t="str">
        <f>IF('As-Filed Schedule 2L'!B42:D42=0,"",'As-Filed Schedule 2L'!B42:D42)</f>
        <v/>
      </c>
      <c r="C42" s="514"/>
      <c r="D42" s="514"/>
      <c r="F42" s="117">
        <f>'As-Filed Schedule 2L'!F42</f>
        <v>0</v>
      </c>
      <c r="G42" s="309">
        <f>SUMIFS(Adjustments!$G:$G,Adjustments!$H:$H,"2L",Adjustments!$I:$I,'Schedule 2L Adjustments'!$F$12,Adjustments!$J:$J,'Schedule 2L Adjustments'!$A42)</f>
        <v>0</v>
      </c>
      <c r="H42" s="305">
        <f t="shared" si="0"/>
        <v>0</v>
      </c>
      <c r="I42" s="68">
        <f>IFERROR(F42*'As-Filed Schedule 1'!$E$103,0)</f>
        <v>0</v>
      </c>
      <c r="J42" s="306">
        <f>IFERROR(H42*'Adjusted Schedule 1'!$E$104,0)</f>
        <v>0</v>
      </c>
      <c r="K42" s="68">
        <f t="shared" si="1"/>
        <v>0</v>
      </c>
      <c r="L42" s="306">
        <f t="shared" si="2"/>
        <v>0</v>
      </c>
      <c r="N42" s="117">
        <f>'As-Filed Schedule 2L'!J42</f>
        <v>0</v>
      </c>
      <c r="O42" s="309">
        <f>SUMIFS(Adjustments!$G:$G,Adjustments!$H:$H,"2L",Adjustments!$I:$I,'Schedule 2L Adjustments'!$N$12,Adjustments!$J:$J,'Schedule 2L Adjustments'!$A42)</f>
        <v>0</v>
      </c>
      <c r="P42" s="305">
        <f t="shared" si="3"/>
        <v>0</v>
      </c>
      <c r="Q42" s="68">
        <f>IFERROR(N42*'As-Filed Schedule 1'!$E$103,0)</f>
        <v>0</v>
      </c>
      <c r="R42" s="68">
        <f>IFERROR(P42*'Adjusted Schedule 1'!$E$104,0)</f>
        <v>0</v>
      </c>
      <c r="S42" s="68">
        <f t="shared" si="4"/>
        <v>0</v>
      </c>
      <c r="T42" s="306">
        <f t="shared" si="5"/>
        <v>0</v>
      </c>
      <c r="V42" s="119">
        <f>'As-Filed Schedule 2L'!N42</f>
        <v>0</v>
      </c>
      <c r="W42" s="309">
        <f>SUMIFS(Adjustments!$G:$G,Adjustments!$H:$H,"2L",Adjustments!$I:$I,'Schedule 2L Adjustments'!$V$12,Adjustments!$J:$J,'Schedule 2L Adjustments'!$A42)</f>
        <v>0</v>
      </c>
      <c r="X42" s="305">
        <f t="shared" si="6"/>
        <v>0</v>
      </c>
      <c r="Y42" s="119">
        <f>'As-Filed Schedule 2L'!O42</f>
        <v>0</v>
      </c>
      <c r="Z42" s="309">
        <f>SUMIFS(Adjustments!$G:$G,Adjustments!$H:$H,"2L",Adjustments!$I:$I,'Schedule 2L Adjustments'!$Y$12,Adjustments!$J:$J,'Schedule 2L Adjustments'!$A42)</f>
        <v>0</v>
      </c>
      <c r="AA42" s="305">
        <f t="shared" si="7"/>
        <v>0</v>
      </c>
    </row>
    <row r="43" spans="1:27" x14ac:dyDescent="0.35">
      <c r="A43" s="24">
        <v>29</v>
      </c>
      <c r="B43" s="514" t="str">
        <f>IF('As-Filed Schedule 2L'!B43:D43=0,"",'As-Filed Schedule 2L'!B43:D43)</f>
        <v/>
      </c>
      <c r="C43" s="514"/>
      <c r="D43" s="514"/>
      <c r="F43" s="117">
        <f>'As-Filed Schedule 2L'!F43</f>
        <v>0</v>
      </c>
      <c r="G43" s="309">
        <f>SUMIFS(Adjustments!$G:$G,Adjustments!$H:$H,"2L",Adjustments!$I:$I,'Schedule 2L Adjustments'!$F$12,Adjustments!$J:$J,'Schedule 2L Adjustments'!$A43)</f>
        <v>0</v>
      </c>
      <c r="H43" s="305">
        <f t="shared" si="0"/>
        <v>0</v>
      </c>
      <c r="I43" s="68">
        <f>IFERROR(F43*'As-Filed Schedule 1'!$E$103,0)</f>
        <v>0</v>
      </c>
      <c r="J43" s="306">
        <f>IFERROR(H43*'Adjusted Schedule 1'!$E$104,0)</f>
        <v>0</v>
      </c>
      <c r="K43" s="68">
        <f t="shared" si="1"/>
        <v>0</v>
      </c>
      <c r="L43" s="306">
        <f t="shared" si="2"/>
        <v>0</v>
      </c>
      <c r="N43" s="117">
        <f>'As-Filed Schedule 2L'!J43</f>
        <v>0</v>
      </c>
      <c r="O43" s="309">
        <f>SUMIFS(Adjustments!$G:$G,Adjustments!$H:$H,"2L",Adjustments!$I:$I,'Schedule 2L Adjustments'!$N$12,Adjustments!$J:$J,'Schedule 2L Adjustments'!$A43)</f>
        <v>0</v>
      </c>
      <c r="P43" s="305">
        <f t="shared" si="3"/>
        <v>0</v>
      </c>
      <c r="Q43" s="68">
        <f>IFERROR(N43*'As-Filed Schedule 1'!$E$103,0)</f>
        <v>0</v>
      </c>
      <c r="R43" s="68">
        <f>IFERROR(P43*'Adjusted Schedule 1'!$E$104,0)</f>
        <v>0</v>
      </c>
      <c r="S43" s="68">
        <f t="shared" si="4"/>
        <v>0</v>
      </c>
      <c r="T43" s="306">
        <f t="shared" si="5"/>
        <v>0</v>
      </c>
      <c r="V43" s="119">
        <f>'As-Filed Schedule 2L'!N43</f>
        <v>0</v>
      </c>
      <c r="W43" s="309">
        <f>SUMIFS(Adjustments!$G:$G,Adjustments!$H:$H,"2L",Adjustments!$I:$I,'Schedule 2L Adjustments'!$V$12,Adjustments!$J:$J,'Schedule 2L Adjustments'!$A43)</f>
        <v>0</v>
      </c>
      <c r="X43" s="305">
        <f t="shared" si="6"/>
        <v>0</v>
      </c>
      <c r="Y43" s="119">
        <f>'As-Filed Schedule 2L'!O43</f>
        <v>0</v>
      </c>
      <c r="Z43" s="309">
        <f>SUMIFS(Adjustments!$G:$G,Adjustments!$H:$H,"2L",Adjustments!$I:$I,'Schedule 2L Adjustments'!$Y$12,Adjustments!$J:$J,'Schedule 2L Adjustments'!$A43)</f>
        <v>0</v>
      </c>
      <c r="AA43" s="305">
        <f t="shared" si="7"/>
        <v>0</v>
      </c>
    </row>
    <row r="44" spans="1:27" x14ac:dyDescent="0.35">
      <c r="A44" s="24">
        <v>30</v>
      </c>
      <c r="B44" s="514" t="str">
        <f>IF('As-Filed Schedule 2L'!B44:D44=0,"",'As-Filed Schedule 2L'!B44:D44)</f>
        <v/>
      </c>
      <c r="C44" s="514"/>
      <c r="D44" s="514"/>
      <c r="F44" s="117">
        <f>'As-Filed Schedule 2L'!F44</f>
        <v>0</v>
      </c>
      <c r="G44" s="309">
        <f>SUMIFS(Adjustments!$G:$G,Adjustments!$H:$H,"2L",Adjustments!$I:$I,'Schedule 2L Adjustments'!$F$12,Adjustments!$J:$J,'Schedule 2L Adjustments'!$A44)</f>
        <v>0</v>
      </c>
      <c r="H44" s="305">
        <f t="shared" si="0"/>
        <v>0</v>
      </c>
      <c r="I44" s="68">
        <f>IFERROR(F44*'As-Filed Schedule 1'!$E$103,0)</f>
        <v>0</v>
      </c>
      <c r="J44" s="306">
        <f>IFERROR(H44*'Adjusted Schedule 1'!$E$104,0)</f>
        <v>0</v>
      </c>
      <c r="K44" s="68">
        <f t="shared" si="1"/>
        <v>0</v>
      </c>
      <c r="L44" s="306">
        <f t="shared" si="2"/>
        <v>0</v>
      </c>
      <c r="N44" s="117">
        <f>'As-Filed Schedule 2L'!J44</f>
        <v>0</v>
      </c>
      <c r="O44" s="309">
        <f>SUMIFS(Adjustments!$G:$G,Adjustments!$H:$H,"2L",Adjustments!$I:$I,'Schedule 2L Adjustments'!$N$12,Adjustments!$J:$J,'Schedule 2L Adjustments'!$A44)</f>
        <v>0</v>
      </c>
      <c r="P44" s="305">
        <f t="shared" si="3"/>
        <v>0</v>
      </c>
      <c r="Q44" s="68">
        <f>IFERROR(N44*'As-Filed Schedule 1'!$E$103,0)</f>
        <v>0</v>
      </c>
      <c r="R44" s="68">
        <f>IFERROR(P44*'Adjusted Schedule 1'!$E$104,0)</f>
        <v>0</v>
      </c>
      <c r="S44" s="68">
        <f t="shared" si="4"/>
        <v>0</v>
      </c>
      <c r="T44" s="306">
        <f t="shared" si="5"/>
        <v>0</v>
      </c>
      <c r="V44" s="119">
        <f>'As-Filed Schedule 2L'!N44</f>
        <v>0</v>
      </c>
      <c r="W44" s="309">
        <f>SUMIFS(Adjustments!$G:$G,Adjustments!$H:$H,"2L",Adjustments!$I:$I,'Schedule 2L Adjustments'!$V$12,Adjustments!$J:$J,'Schedule 2L Adjustments'!$A44)</f>
        <v>0</v>
      </c>
      <c r="X44" s="305">
        <f t="shared" si="6"/>
        <v>0</v>
      </c>
      <c r="Y44" s="119">
        <f>'As-Filed Schedule 2L'!O44</f>
        <v>0</v>
      </c>
      <c r="Z44" s="309">
        <f>SUMIFS(Adjustments!$G:$G,Adjustments!$H:$H,"2L",Adjustments!$I:$I,'Schedule 2L Adjustments'!$Y$12,Adjustments!$J:$J,'Schedule 2L Adjustments'!$A44)</f>
        <v>0</v>
      </c>
      <c r="AA44" s="305">
        <f t="shared" si="7"/>
        <v>0</v>
      </c>
    </row>
    <row r="45" spans="1:27" x14ac:dyDescent="0.35">
      <c r="A45" s="24">
        <v>31</v>
      </c>
      <c r="B45" s="514" t="str">
        <f>IF('As-Filed Schedule 2L'!B45:D45=0,"",'As-Filed Schedule 2L'!B45:D45)</f>
        <v/>
      </c>
      <c r="C45" s="514"/>
      <c r="D45" s="514"/>
      <c r="F45" s="117">
        <f>'As-Filed Schedule 2L'!F45</f>
        <v>0</v>
      </c>
      <c r="G45" s="309">
        <f>SUMIFS(Adjustments!$G:$G,Adjustments!$H:$H,"2L",Adjustments!$I:$I,'Schedule 2L Adjustments'!$F$12,Adjustments!$J:$J,'Schedule 2L Adjustments'!$A45)</f>
        <v>0</v>
      </c>
      <c r="H45" s="305">
        <f t="shared" si="0"/>
        <v>0</v>
      </c>
      <c r="I45" s="68">
        <f>IFERROR(F45*'As-Filed Schedule 1'!$E$103,0)</f>
        <v>0</v>
      </c>
      <c r="J45" s="306">
        <f>IFERROR(H45*'Adjusted Schedule 1'!$E$104,0)</f>
        <v>0</v>
      </c>
      <c r="K45" s="68">
        <f t="shared" si="1"/>
        <v>0</v>
      </c>
      <c r="L45" s="306">
        <f t="shared" si="2"/>
        <v>0</v>
      </c>
      <c r="N45" s="117">
        <f>'As-Filed Schedule 2L'!J45</f>
        <v>0</v>
      </c>
      <c r="O45" s="309">
        <f>SUMIFS(Adjustments!$G:$G,Adjustments!$H:$H,"2L",Adjustments!$I:$I,'Schedule 2L Adjustments'!$N$12,Adjustments!$J:$J,'Schedule 2L Adjustments'!$A45)</f>
        <v>0</v>
      </c>
      <c r="P45" s="305">
        <f t="shared" si="3"/>
        <v>0</v>
      </c>
      <c r="Q45" s="68">
        <f>IFERROR(N45*'As-Filed Schedule 1'!$E$103,0)</f>
        <v>0</v>
      </c>
      <c r="R45" s="68">
        <f>IFERROR(P45*'Adjusted Schedule 1'!$E$104,0)</f>
        <v>0</v>
      </c>
      <c r="S45" s="68">
        <f t="shared" si="4"/>
        <v>0</v>
      </c>
      <c r="T45" s="306">
        <f t="shared" si="5"/>
        <v>0</v>
      </c>
      <c r="V45" s="119">
        <f>'As-Filed Schedule 2L'!N45</f>
        <v>0</v>
      </c>
      <c r="W45" s="309">
        <f>SUMIFS(Adjustments!$G:$G,Adjustments!$H:$H,"2L",Adjustments!$I:$I,'Schedule 2L Adjustments'!$V$12,Adjustments!$J:$J,'Schedule 2L Adjustments'!$A45)</f>
        <v>0</v>
      </c>
      <c r="X45" s="305">
        <f t="shared" si="6"/>
        <v>0</v>
      </c>
      <c r="Y45" s="119">
        <f>'As-Filed Schedule 2L'!O45</f>
        <v>0</v>
      </c>
      <c r="Z45" s="309">
        <f>SUMIFS(Adjustments!$G:$G,Adjustments!$H:$H,"2L",Adjustments!$I:$I,'Schedule 2L Adjustments'!$Y$12,Adjustments!$J:$J,'Schedule 2L Adjustments'!$A45)</f>
        <v>0</v>
      </c>
      <c r="AA45" s="305">
        <f t="shared" si="7"/>
        <v>0</v>
      </c>
    </row>
    <row r="46" spans="1:27" x14ac:dyDescent="0.35">
      <c r="A46" s="24">
        <v>32</v>
      </c>
      <c r="B46" s="514" t="str">
        <f>IF('As-Filed Schedule 2L'!B46:D46=0,"",'As-Filed Schedule 2L'!B46:D46)</f>
        <v/>
      </c>
      <c r="C46" s="514"/>
      <c r="D46" s="514"/>
      <c r="F46" s="117">
        <f>'As-Filed Schedule 2L'!F46</f>
        <v>0</v>
      </c>
      <c r="G46" s="309">
        <f>SUMIFS(Adjustments!$G:$G,Adjustments!$H:$H,"2L",Adjustments!$I:$I,'Schedule 2L Adjustments'!$F$12,Adjustments!$J:$J,'Schedule 2L Adjustments'!$A46)</f>
        <v>0</v>
      </c>
      <c r="H46" s="305">
        <f t="shared" si="0"/>
        <v>0</v>
      </c>
      <c r="I46" s="68">
        <f>IFERROR(F46*'As-Filed Schedule 1'!$E$103,0)</f>
        <v>0</v>
      </c>
      <c r="J46" s="306">
        <f>IFERROR(H46*'Adjusted Schedule 1'!$E$104,0)</f>
        <v>0</v>
      </c>
      <c r="K46" s="68">
        <f t="shared" si="1"/>
        <v>0</v>
      </c>
      <c r="L46" s="306">
        <f t="shared" si="2"/>
        <v>0</v>
      </c>
      <c r="N46" s="117">
        <f>'As-Filed Schedule 2L'!J46</f>
        <v>0</v>
      </c>
      <c r="O46" s="309">
        <f>SUMIFS(Adjustments!$G:$G,Adjustments!$H:$H,"2L",Adjustments!$I:$I,'Schedule 2L Adjustments'!$N$12,Adjustments!$J:$J,'Schedule 2L Adjustments'!$A46)</f>
        <v>0</v>
      </c>
      <c r="P46" s="305">
        <f t="shared" si="3"/>
        <v>0</v>
      </c>
      <c r="Q46" s="68">
        <f>IFERROR(N46*'As-Filed Schedule 1'!$E$103,0)</f>
        <v>0</v>
      </c>
      <c r="R46" s="68">
        <f>IFERROR(P46*'Adjusted Schedule 1'!$E$104,0)</f>
        <v>0</v>
      </c>
      <c r="S46" s="68">
        <f t="shared" si="4"/>
        <v>0</v>
      </c>
      <c r="T46" s="306">
        <f t="shared" si="5"/>
        <v>0</v>
      </c>
      <c r="V46" s="119">
        <f>'As-Filed Schedule 2L'!N46</f>
        <v>0</v>
      </c>
      <c r="W46" s="309">
        <f>SUMIFS(Adjustments!$G:$G,Adjustments!$H:$H,"2L",Adjustments!$I:$I,'Schedule 2L Adjustments'!$V$12,Adjustments!$J:$J,'Schedule 2L Adjustments'!$A46)</f>
        <v>0</v>
      </c>
      <c r="X46" s="305">
        <f t="shared" si="6"/>
        <v>0</v>
      </c>
      <c r="Y46" s="119">
        <f>'As-Filed Schedule 2L'!O46</f>
        <v>0</v>
      </c>
      <c r="Z46" s="309">
        <f>SUMIFS(Adjustments!$G:$G,Adjustments!$H:$H,"2L",Adjustments!$I:$I,'Schedule 2L Adjustments'!$Y$12,Adjustments!$J:$J,'Schedule 2L Adjustments'!$A46)</f>
        <v>0</v>
      </c>
      <c r="AA46" s="305">
        <f t="shared" si="7"/>
        <v>0</v>
      </c>
    </row>
    <row r="47" spans="1:27" x14ac:dyDescent="0.35">
      <c r="A47" s="24">
        <v>33</v>
      </c>
      <c r="B47" s="514" t="str">
        <f>IF('As-Filed Schedule 2L'!B47:D47=0,"",'As-Filed Schedule 2L'!B47:D47)</f>
        <v/>
      </c>
      <c r="C47" s="514"/>
      <c r="D47" s="514"/>
      <c r="F47" s="117">
        <f>'As-Filed Schedule 2L'!F47</f>
        <v>0</v>
      </c>
      <c r="G47" s="309">
        <f>SUMIFS(Adjustments!$G:$G,Adjustments!$H:$H,"2L",Adjustments!$I:$I,'Schedule 2L Adjustments'!$F$12,Adjustments!$J:$J,'Schedule 2L Adjustments'!$A47)</f>
        <v>0</v>
      </c>
      <c r="H47" s="305">
        <f t="shared" si="0"/>
        <v>0</v>
      </c>
      <c r="I47" s="68">
        <f>IFERROR(F47*'As-Filed Schedule 1'!$E$103,0)</f>
        <v>0</v>
      </c>
      <c r="J47" s="306">
        <f>IFERROR(H47*'Adjusted Schedule 1'!$E$104,0)</f>
        <v>0</v>
      </c>
      <c r="K47" s="68">
        <f t="shared" si="1"/>
        <v>0</v>
      </c>
      <c r="L47" s="306">
        <f t="shared" si="2"/>
        <v>0</v>
      </c>
      <c r="N47" s="117">
        <f>'As-Filed Schedule 2L'!J47</f>
        <v>0</v>
      </c>
      <c r="O47" s="309">
        <f>SUMIFS(Adjustments!$G:$G,Adjustments!$H:$H,"2L",Adjustments!$I:$I,'Schedule 2L Adjustments'!$N$12,Adjustments!$J:$J,'Schedule 2L Adjustments'!$A47)</f>
        <v>0</v>
      </c>
      <c r="P47" s="305">
        <f t="shared" si="3"/>
        <v>0</v>
      </c>
      <c r="Q47" s="68">
        <f>IFERROR(N47*'As-Filed Schedule 1'!$E$103,0)</f>
        <v>0</v>
      </c>
      <c r="R47" s="68">
        <f>IFERROR(P47*'Adjusted Schedule 1'!$E$104,0)</f>
        <v>0</v>
      </c>
      <c r="S47" s="68">
        <f t="shared" si="4"/>
        <v>0</v>
      </c>
      <c r="T47" s="306">
        <f t="shared" si="5"/>
        <v>0</v>
      </c>
      <c r="V47" s="119">
        <f>'As-Filed Schedule 2L'!N47</f>
        <v>0</v>
      </c>
      <c r="W47" s="309">
        <f>SUMIFS(Adjustments!$G:$G,Adjustments!$H:$H,"2L",Adjustments!$I:$I,'Schedule 2L Adjustments'!$V$12,Adjustments!$J:$J,'Schedule 2L Adjustments'!$A47)</f>
        <v>0</v>
      </c>
      <c r="X47" s="305">
        <f t="shared" si="6"/>
        <v>0</v>
      </c>
      <c r="Y47" s="119">
        <f>'As-Filed Schedule 2L'!O47</f>
        <v>0</v>
      </c>
      <c r="Z47" s="309">
        <f>SUMIFS(Adjustments!$G:$G,Adjustments!$H:$H,"2L",Adjustments!$I:$I,'Schedule 2L Adjustments'!$Y$12,Adjustments!$J:$J,'Schedule 2L Adjustments'!$A47)</f>
        <v>0</v>
      </c>
      <c r="AA47" s="305">
        <f t="shared" si="7"/>
        <v>0</v>
      </c>
    </row>
    <row r="48" spans="1:27" x14ac:dyDescent="0.35">
      <c r="A48" s="24">
        <v>34</v>
      </c>
      <c r="B48" s="514" t="str">
        <f>IF('As-Filed Schedule 2L'!B48:D48=0,"",'As-Filed Schedule 2L'!B48:D48)</f>
        <v/>
      </c>
      <c r="C48" s="514"/>
      <c r="D48" s="514"/>
      <c r="F48" s="117">
        <f>'As-Filed Schedule 2L'!F48</f>
        <v>0</v>
      </c>
      <c r="G48" s="309">
        <f>SUMIFS(Adjustments!$G:$G,Adjustments!$H:$H,"2L",Adjustments!$I:$I,'Schedule 2L Adjustments'!$F$12,Adjustments!$J:$J,'Schedule 2L Adjustments'!$A48)</f>
        <v>0</v>
      </c>
      <c r="H48" s="305">
        <f t="shared" si="0"/>
        <v>0</v>
      </c>
      <c r="I48" s="68">
        <f>IFERROR(F48*'As-Filed Schedule 1'!$E$103,0)</f>
        <v>0</v>
      </c>
      <c r="J48" s="306">
        <f>IFERROR(H48*'Adjusted Schedule 1'!$E$104,0)</f>
        <v>0</v>
      </c>
      <c r="K48" s="68">
        <f t="shared" si="1"/>
        <v>0</v>
      </c>
      <c r="L48" s="306">
        <f t="shared" si="2"/>
        <v>0</v>
      </c>
      <c r="N48" s="117">
        <f>'As-Filed Schedule 2L'!J48</f>
        <v>0</v>
      </c>
      <c r="O48" s="309">
        <f>SUMIFS(Adjustments!$G:$G,Adjustments!$H:$H,"2L",Adjustments!$I:$I,'Schedule 2L Adjustments'!$N$12,Adjustments!$J:$J,'Schedule 2L Adjustments'!$A48)</f>
        <v>0</v>
      </c>
      <c r="P48" s="305">
        <f t="shared" si="3"/>
        <v>0</v>
      </c>
      <c r="Q48" s="68">
        <f>IFERROR(N48*'As-Filed Schedule 1'!$E$103,0)</f>
        <v>0</v>
      </c>
      <c r="R48" s="68">
        <f>IFERROR(P48*'Adjusted Schedule 1'!$E$104,0)</f>
        <v>0</v>
      </c>
      <c r="S48" s="68">
        <f t="shared" si="4"/>
        <v>0</v>
      </c>
      <c r="T48" s="306">
        <f t="shared" si="5"/>
        <v>0</v>
      </c>
      <c r="V48" s="119">
        <f>'As-Filed Schedule 2L'!N48</f>
        <v>0</v>
      </c>
      <c r="W48" s="309">
        <f>SUMIFS(Adjustments!$G:$G,Adjustments!$H:$H,"2L",Adjustments!$I:$I,'Schedule 2L Adjustments'!$V$12,Adjustments!$J:$J,'Schedule 2L Adjustments'!$A48)</f>
        <v>0</v>
      </c>
      <c r="X48" s="305">
        <f t="shared" si="6"/>
        <v>0</v>
      </c>
      <c r="Y48" s="119">
        <f>'As-Filed Schedule 2L'!O48</f>
        <v>0</v>
      </c>
      <c r="Z48" s="309">
        <f>SUMIFS(Adjustments!$G:$G,Adjustments!$H:$H,"2L",Adjustments!$I:$I,'Schedule 2L Adjustments'!$Y$12,Adjustments!$J:$J,'Schedule 2L Adjustments'!$A48)</f>
        <v>0</v>
      </c>
      <c r="AA48" s="305">
        <f t="shared" si="7"/>
        <v>0</v>
      </c>
    </row>
    <row r="49" spans="1:27" x14ac:dyDescent="0.35">
      <c r="A49" s="24">
        <v>35</v>
      </c>
      <c r="B49" s="514" t="str">
        <f>IF('As-Filed Schedule 2L'!B49:D49=0,"",'As-Filed Schedule 2L'!B49:D49)</f>
        <v/>
      </c>
      <c r="C49" s="514"/>
      <c r="D49" s="514"/>
      <c r="F49" s="117">
        <f>'As-Filed Schedule 2L'!F49</f>
        <v>0</v>
      </c>
      <c r="G49" s="309">
        <f>SUMIFS(Adjustments!$G:$G,Adjustments!$H:$H,"2L",Adjustments!$I:$I,'Schedule 2L Adjustments'!$F$12,Adjustments!$J:$J,'Schedule 2L Adjustments'!$A49)</f>
        <v>0</v>
      </c>
      <c r="H49" s="305">
        <f t="shared" si="0"/>
        <v>0</v>
      </c>
      <c r="I49" s="68">
        <f>IFERROR(F49*'As-Filed Schedule 1'!$E$103,0)</f>
        <v>0</v>
      </c>
      <c r="J49" s="306">
        <f>IFERROR(H49*'Adjusted Schedule 1'!$E$104,0)</f>
        <v>0</v>
      </c>
      <c r="K49" s="68">
        <f t="shared" si="1"/>
        <v>0</v>
      </c>
      <c r="L49" s="306">
        <f t="shared" si="2"/>
        <v>0</v>
      </c>
      <c r="N49" s="117">
        <f>'As-Filed Schedule 2L'!J49</f>
        <v>0</v>
      </c>
      <c r="O49" s="309">
        <f>SUMIFS(Adjustments!$G:$G,Adjustments!$H:$H,"2L",Adjustments!$I:$I,'Schedule 2L Adjustments'!$N$12,Adjustments!$J:$J,'Schedule 2L Adjustments'!$A49)</f>
        <v>0</v>
      </c>
      <c r="P49" s="305">
        <f t="shared" si="3"/>
        <v>0</v>
      </c>
      <c r="Q49" s="68">
        <f>IFERROR(N49*'As-Filed Schedule 1'!$E$103,0)</f>
        <v>0</v>
      </c>
      <c r="R49" s="68">
        <f>IFERROR(P49*'Adjusted Schedule 1'!$E$104,0)</f>
        <v>0</v>
      </c>
      <c r="S49" s="68">
        <f t="shared" si="4"/>
        <v>0</v>
      </c>
      <c r="T49" s="306">
        <f t="shared" si="5"/>
        <v>0</v>
      </c>
      <c r="V49" s="119">
        <f>'As-Filed Schedule 2L'!N49</f>
        <v>0</v>
      </c>
      <c r="W49" s="309">
        <f>SUMIFS(Adjustments!$G:$G,Adjustments!$H:$H,"2L",Adjustments!$I:$I,'Schedule 2L Adjustments'!$V$12,Adjustments!$J:$J,'Schedule 2L Adjustments'!$A49)</f>
        <v>0</v>
      </c>
      <c r="X49" s="305">
        <f t="shared" si="6"/>
        <v>0</v>
      </c>
      <c r="Y49" s="119">
        <f>'As-Filed Schedule 2L'!O49</f>
        <v>0</v>
      </c>
      <c r="Z49" s="309">
        <f>SUMIFS(Adjustments!$G:$G,Adjustments!$H:$H,"2L",Adjustments!$I:$I,'Schedule 2L Adjustments'!$Y$12,Adjustments!$J:$J,'Schedule 2L Adjustments'!$A49)</f>
        <v>0</v>
      </c>
      <c r="AA49" s="305">
        <f t="shared" si="7"/>
        <v>0</v>
      </c>
    </row>
    <row r="50" spans="1:27" x14ac:dyDescent="0.35">
      <c r="A50" s="24">
        <v>36</v>
      </c>
      <c r="B50" s="514" t="str">
        <f>IF('As-Filed Schedule 2L'!B50:D50=0,"",'As-Filed Schedule 2L'!B50:D50)</f>
        <v/>
      </c>
      <c r="C50" s="514"/>
      <c r="D50" s="514"/>
      <c r="F50" s="117">
        <f>'As-Filed Schedule 2L'!F50</f>
        <v>0</v>
      </c>
      <c r="G50" s="309">
        <f>SUMIFS(Adjustments!$G:$G,Adjustments!$H:$H,"2L",Adjustments!$I:$I,'Schedule 2L Adjustments'!$F$12,Adjustments!$J:$J,'Schedule 2L Adjustments'!$A50)</f>
        <v>0</v>
      </c>
      <c r="H50" s="305">
        <f t="shared" si="0"/>
        <v>0</v>
      </c>
      <c r="I50" s="68">
        <f>IFERROR(F50*'As-Filed Schedule 1'!$E$103,0)</f>
        <v>0</v>
      </c>
      <c r="J50" s="306">
        <f>IFERROR(H50*'Adjusted Schedule 1'!$E$104,0)</f>
        <v>0</v>
      </c>
      <c r="K50" s="68">
        <f t="shared" si="1"/>
        <v>0</v>
      </c>
      <c r="L50" s="306">
        <f t="shared" si="2"/>
        <v>0</v>
      </c>
      <c r="N50" s="117">
        <f>'As-Filed Schedule 2L'!J50</f>
        <v>0</v>
      </c>
      <c r="O50" s="309">
        <f>SUMIFS(Adjustments!$G:$G,Adjustments!$H:$H,"2L",Adjustments!$I:$I,'Schedule 2L Adjustments'!$N$12,Adjustments!$J:$J,'Schedule 2L Adjustments'!$A50)</f>
        <v>0</v>
      </c>
      <c r="P50" s="305">
        <f t="shared" si="3"/>
        <v>0</v>
      </c>
      <c r="Q50" s="68">
        <f>IFERROR(N50*'As-Filed Schedule 1'!$E$103,0)</f>
        <v>0</v>
      </c>
      <c r="R50" s="68">
        <f>IFERROR(P50*'Adjusted Schedule 1'!$E$104,0)</f>
        <v>0</v>
      </c>
      <c r="S50" s="68">
        <f t="shared" si="4"/>
        <v>0</v>
      </c>
      <c r="T50" s="306">
        <f t="shared" si="5"/>
        <v>0</v>
      </c>
      <c r="V50" s="119">
        <f>'As-Filed Schedule 2L'!N50</f>
        <v>0</v>
      </c>
      <c r="W50" s="309">
        <f>SUMIFS(Adjustments!$G:$G,Adjustments!$H:$H,"2L",Adjustments!$I:$I,'Schedule 2L Adjustments'!$V$12,Adjustments!$J:$J,'Schedule 2L Adjustments'!$A50)</f>
        <v>0</v>
      </c>
      <c r="X50" s="305">
        <f t="shared" si="6"/>
        <v>0</v>
      </c>
      <c r="Y50" s="119">
        <f>'As-Filed Schedule 2L'!O50</f>
        <v>0</v>
      </c>
      <c r="Z50" s="309">
        <f>SUMIFS(Adjustments!$G:$G,Adjustments!$H:$H,"2L",Adjustments!$I:$I,'Schedule 2L Adjustments'!$Y$12,Adjustments!$J:$J,'Schedule 2L Adjustments'!$A50)</f>
        <v>0</v>
      </c>
      <c r="AA50" s="305">
        <f t="shared" si="7"/>
        <v>0</v>
      </c>
    </row>
    <row r="51" spans="1:27" x14ac:dyDescent="0.35">
      <c r="A51" s="24">
        <v>37</v>
      </c>
      <c r="B51" s="514" t="str">
        <f>IF('As-Filed Schedule 2L'!B51:D51=0,"",'As-Filed Schedule 2L'!B51:D51)</f>
        <v/>
      </c>
      <c r="C51" s="514"/>
      <c r="D51" s="514"/>
      <c r="F51" s="117">
        <f>'As-Filed Schedule 2L'!F51</f>
        <v>0</v>
      </c>
      <c r="G51" s="309">
        <f>SUMIFS(Adjustments!$G:$G,Adjustments!$H:$H,"2L",Adjustments!$I:$I,'Schedule 2L Adjustments'!$F$12,Adjustments!$J:$J,'Schedule 2L Adjustments'!$A51)</f>
        <v>0</v>
      </c>
      <c r="H51" s="305">
        <f t="shared" si="0"/>
        <v>0</v>
      </c>
      <c r="I51" s="68">
        <f>IFERROR(F51*'As-Filed Schedule 1'!$E$103,0)</f>
        <v>0</v>
      </c>
      <c r="J51" s="306">
        <f>IFERROR(H51*'Adjusted Schedule 1'!$E$104,0)</f>
        <v>0</v>
      </c>
      <c r="K51" s="68">
        <f t="shared" si="1"/>
        <v>0</v>
      </c>
      <c r="L51" s="306">
        <f t="shared" si="2"/>
        <v>0</v>
      </c>
      <c r="N51" s="117">
        <f>'As-Filed Schedule 2L'!J51</f>
        <v>0</v>
      </c>
      <c r="O51" s="309">
        <f>SUMIFS(Adjustments!$G:$G,Adjustments!$H:$H,"2L",Adjustments!$I:$I,'Schedule 2L Adjustments'!$N$12,Adjustments!$J:$J,'Schedule 2L Adjustments'!$A51)</f>
        <v>0</v>
      </c>
      <c r="P51" s="305">
        <f t="shared" si="3"/>
        <v>0</v>
      </c>
      <c r="Q51" s="68">
        <f>IFERROR(N51*'As-Filed Schedule 1'!$E$103,0)</f>
        <v>0</v>
      </c>
      <c r="R51" s="68">
        <f>IFERROR(P51*'Adjusted Schedule 1'!$E$104,0)</f>
        <v>0</v>
      </c>
      <c r="S51" s="68">
        <f t="shared" si="4"/>
        <v>0</v>
      </c>
      <c r="T51" s="306">
        <f t="shared" si="5"/>
        <v>0</v>
      </c>
      <c r="V51" s="119">
        <f>'As-Filed Schedule 2L'!N51</f>
        <v>0</v>
      </c>
      <c r="W51" s="309">
        <f>SUMIFS(Adjustments!$G:$G,Adjustments!$H:$H,"2L",Adjustments!$I:$I,'Schedule 2L Adjustments'!$V$12,Adjustments!$J:$J,'Schedule 2L Adjustments'!$A51)</f>
        <v>0</v>
      </c>
      <c r="X51" s="305">
        <f t="shared" si="6"/>
        <v>0</v>
      </c>
      <c r="Y51" s="119">
        <f>'As-Filed Schedule 2L'!O51</f>
        <v>0</v>
      </c>
      <c r="Z51" s="309">
        <f>SUMIFS(Adjustments!$G:$G,Adjustments!$H:$H,"2L",Adjustments!$I:$I,'Schedule 2L Adjustments'!$Y$12,Adjustments!$J:$J,'Schedule 2L Adjustments'!$A51)</f>
        <v>0</v>
      </c>
      <c r="AA51" s="305">
        <f t="shared" si="7"/>
        <v>0</v>
      </c>
    </row>
    <row r="52" spans="1:27" x14ac:dyDescent="0.35">
      <c r="A52" s="24">
        <v>38</v>
      </c>
      <c r="B52" s="514" t="str">
        <f>IF('As-Filed Schedule 2L'!B52:D52=0,"",'As-Filed Schedule 2L'!B52:D52)</f>
        <v/>
      </c>
      <c r="C52" s="514"/>
      <c r="D52" s="514"/>
      <c r="F52" s="117">
        <f>'As-Filed Schedule 2L'!F52</f>
        <v>0</v>
      </c>
      <c r="G52" s="309">
        <f>SUMIFS(Adjustments!$G:$G,Adjustments!$H:$H,"2L",Adjustments!$I:$I,'Schedule 2L Adjustments'!$F$12,Adjustments!$J:$J,'Schedule 2L Adjustments'!$A52)</f>
        <v>0</v>
      </c>
      <c r="H52" s="305">
        <f t="shared" si="0"/>
        <v>0</v>
      </c>
      <c r="I52" s="68">
        <f>IFERROR(F52*'As-Filed Schedule 1'!$E$103,0)</f>
        <v>0</v>
      </c>
      <c r="J52" s="306">
        <f>IFERROR(H52*'Adjusted Schedule 1'!$E$104,0)</f>
        <v>0</v>
      </c>
      <c r="K52" s="68">
        <f t="shared" si="1"/>
        <v>0</v>
      </c>
      <c r="L52" s="306">
        <f t="shared" si="2"/>
        <v>0</v>
      </c>
      <c r="N52" s="117">
        <f>'As-Filed Schedule 2L'!J52</f>
        <v>0</v>
      </c>
      <c r="O52" s="309">
        <f>SUMIFS(Adjustments!$G:$G,Adjustments!$H:$H,"2L",Adjustments!$I:$I,'Schedule 2L Adjustments'!$N$12,Adjustments!$J:$J,'Schedule 2L Adjustments'!$A52)</f>
        <v>0</v>
      </c>
      <c r="P52" s="305">
        <f t="shared" si="3"/>
        <v>0</v>
      </c>
      <c r="Q52" s="68">
        <f>IFERROR(N52*'As-Filed Schedule 1'!$E$103,0)</f>
        <v>0</v>
      </c>
      <c r="R52" s="68">
        <f>IFERROR(P52*'Adjusted Schedule 1'!$E$104,0)</f>
        <v>0</v>
      </c>
      <c r="S52" s="68">
        <f t="shared" si="4"/>
        <v>0</v>
      </c>
      <c r="T52" s="306">
        <f t="shared" si="5"/>
        <v>0</v>
      </c>
      <c r="V52" s="119">
        <f>'As-Filed Schedule 2L'!N52</f>
        <v>0</v>
      </c>
      <c r="W52" s="309">
        <f>SUMIFS(Adjustments!$G:$G,Adjustments!$H:$H,"2L",Adjustments!$I:$I,'Schedule 2L Adjustments'!$V$12,Adjustments!$J:$J,'Schedule 2L Adjustments'!$A52)</f>
        <v>0</v>
      </c>
      <c r="X52" s="305">
        <f t="shared" si="6"/>
        <v>0</v>
      </c>
      <c r="Y52" s="119">
        <f>'As-Filed Schedule 2L'!O52</f>
        <v>0</v>
      </c>
      <c r="Z52" s="309">
        <f>SUMIFS(Adjustments!$G:$G,Adjustments!$H:$H,"2L",Adjustments!$I:$I,'Schedule 2L Adjustments'!$Y$12,Adjustments!$J:$J,'Schedule 2L Adjustments'!$A52)</f>
        <v>0</v>
      </c>
      <c r="AA52" s="305">
        <f t="shared" si="7"/>
        <v>0</v>
      </c>
    </row>
    <row r="53" spans="1:27" x14ac:dyDescent="0.35">
      <c r="A53" s="24">
        <v>39</v>
      </c>
      <c r="B53" s="514" t="str">
        <f>IF('As-Filed Schedule 2L'!B53:D53=0,"",'As-Filed Schedule 2L'!B53:D53)</f>
        <v/>
      </c>
      <c r="C53" s="514"/>
      <c r="D53" s="514"/>
      <c r="F53" s="117">
        <f>'As-Filed Schedule 2L'!F53</f>
        <v>0</v>
      </c>
      <c r="G53" s="309">
        <f>SUMIFS(Adjustments!$G:$G,Adjustments!$H:$H,"2L",Adjustments!$I:$I,'Schedule 2L Adjustments'!$F$12,Adjustments!$J:$J,'Schedule 2L Adjustments'!$A53)</f>
        <v>0</v>
      </c>
      <c r="H53" s="305">
        <f t="shared" si="0"/>
        <v>0</v>
      </c>
      <c r="I53" s="68">
        <f>IFERROR(F53*'As-Filed Schedule 1'!$E$103,0)</f>
        <v>0</v>
      </c>
      <c r="J53" s="306">
        <f>IFERROR(H53*'Adjusted Schedule 1'!$E$104,0)</f>
        <v>0</v>
      </c>
      <c r="K53" s="68">
        <f t="shared" si="1"/>
        <v>0</v>
      </c>
      <c r="L53" s="306">
        <f t="shared" si="2"/>
        <v>0</v>
      </c>
      <c r="N53" s="117">
        <f>'As-Filed Schedule 2L'!J53</f>
        <v>0</v>
      </c>
      <c r="O53" s="309">
        <f>SUMIFS(Adjustments!$G:$G,Adjustments!$H:$H,"2L",Adjustments!$I:$I,'Schedule 2L Adjustments'!$N$12,Adjustments!$J:$J,'Schedule 2L Adjustments'!$A53)</f>
        <v>0</v>
      </c>
      <c r="P53" s="305">
        <f t="shared" si="3"/>
        <v>0</v>
      </c>
      <c r="Q53" s="68">
        <f>IFERROR(N53*'As-Filed Schedule 1'!$E$103,0)</f>
        <v>0</v>
      </c>
      <c r="R53" s="68">
        <f>IFERROR(P53*'Adjusted Schedule 1'!$E$104,0)</f>
        <v>0</v>
      </c>
      <c r="S53" s="68">
        <f t="shared" si="4"/>
        <v>0</v>
      </c>
      <c r="T53" s="306">
        <f t="shared" si="5"/>
        <v>0</v>
      </c>
      <c r="V53" s="119">
        <f>'As-Filed Schedule 2L'!N53</f>
        <v>0</v>
      </c>
      <c r="W53" s="309">
        <f>SUMIFS(Adjustments!$G:$G,Adjustments!$H:$H,"2L",Adjustments!$I:$I,'Schedule 2L Adjustments'!$V$12,Adjustments!$J:$J,'Schedule 2L Adjustments'!$A53)</f>
        <v>0</v>
      </c>
      <c r="X53" s="305">
        <f t="shared" si="6"/>
        <v>0</v>
      </c>
      <c r="Y53" s="119">
        <f>'As-Filed Schedule 2L'!O53</f>
        <v>0</v>
      </c>
      <c r="Z53" s="309">
        <f>SUMIFS(Adjustments!$G:$G,Adjustments!$H:$H,"2L",Adjustments!$I:$I,'Schedule 2L Adjustments'!$Y$12,Adjustments!$J:$J,'Schedule 2L Adjustments'!$A53)</f>
        <v>0</v>
      </c>
      <c r="AA53" s="305">
        <f t="shared" si="7"/>
        <v>0</v>
      </c>
    </row>
    <row r="54" spans="1:27" x14ac:dyDescent="0.35">
      <c r="A54" s="24">
        <v>40</v>
      </c>
      <c r="B54" s="514" t="str">
        <f>IF('As-Filed Schedule 2L'!B54:D54=0,"",'As-Filed Schedule 2L'!B54:D54)</f>
        <v/>
      </c>
      <c r="C54" s="514"/>
      <c r="D54" s="514"/>
      <c r="F54" s="117">
        <f>'As-Filed Schedule 2L'!F54</f>
        <v>0</v>
      </c>
      <c r="G54" s="309">
        <f>SUMIFS(Adjustments!$G:$G,Adjustments!$H:$H,"2L",Adjustments!$I:$I,'Schedule 2L Adjustments'!$F$12,Adjustments!$J:$J,'Schedule 2L Adjustments'!$A54)</f>
        <v>0</v>
      </c>
      <c r="H54" s="305">
        <f t="shared" si="0"/>
        <v>0</v>
      </c>
      <c r="I54" s="68">
        <f>IFERROR(F54*'As-Filed Schedule 1'!$E$103,0)</f>
        <v>0</v>
      </c>
      <c r="J54" s="306">
        <f>IFERROR(H54*'Adjusted Schedule 1'!$E$104,0)</f>
        <v>0</v>
      </c>
      <c r="K54" s="68">
        <f t="shared" si="1"/>
        <v>0</v>
      </c>
      <c r="L54" s="306">
        <f t="shared" si="2"/>
        <v>0</v>
      </c>
      <c r="N54" s="117">
        <f>'As-Filed Schedule 2L'!J54</f>
        <v>0</v>
      </c>
      <c r="O54" s="309">
        <f>SUMIFS(Adjustments!$G:$G,Adjustments!$H:$H,"2L",Adjustments!$I:$I,'Schedule 2L Adjustments'!$N$12,Adjustments!$J:$J,'Schedule 2L Adjustments'!$A54)</f>
        <v>0</v>
      </c>
      <c r="P54" s="305">
        <f t="shared" si="3"/>
        <v>0</v>
      </c>
      <c r="Q54" s="68">
        <f>IFERROR(N54*'As-Filed Schedule 1'!$E$103,0)</f>
        <v>0</v>
      </c>
      <c r="R54" s="68">
        <f>IFERROR(P54*'Adjusted Schedule 1'!$E$104,0)</f>
        <v>0</v>
      </c>
      <c r="S54" s="68">
        <f t="shared" si="4"/>
        <v>0</v>
      </c>
      <c r="T54" s="306">
        <f t="shared" si="5"/>
        <v>0</v>
      </c>
      <c r="V54" s="119">
        <f>'As-Filed Schedule 2L'!N54</f>
        <v>0</v>
      </c>
      <c r="W54" s="309">
        <f>SUMIFS(Adjustments!$G:$G,Adjustments!$H:$H,"2L",Adjustments!$I:$I,'Schedule 2L Adjustments'!$V$12,Adjustments!$J:$J,'Schedule 2L Adjustments'!$A54)</f>
        <v>0</v>
      </c>
      <c r="X54" s="305">
        <f t="shared" si="6"/>
        <v>0</v>
      </c>
      <c r="Y54" s="119">
        <f>'As-Filed Schedule 2L'!O54</f>
        <v>0</v>
      </c>
      <c r="Z54" s="309">
        <f>SUMIFS(Adjustments!$G:$G,Adjustments!$H:$H,"2L",Adjustments!$I:$I,'Schedule 2L Adjustments'!$Y$12,Adjustments!$J:$J,'Schedule 2L Adjustments'!$A54)</f>
        <v>0</v>
      </c>
      <c r="AA54" s="305">
        <f t="shared" si="7"/>
        <v>0</v>
      </c>
    </row>
    <row r="55" spans="1:27" x14ac:dyDescent="0.35">
      <c r="A55" s="24">
        <v>41</v>
      </c>
      <c r="B55" s="514" t="str">
        <f>IF('As-Filed Schedule 2L'!B55:D55=0,"",'As-Filed Schedule 2L'!B55:D55)</f>
        <v/>
      </c>
      <c r="C55" s="514"/>
      <c r="D55" s="514"/>
      <c r="F55" s="117">
        <f>'As-Filed Schedule 2L'!F55</f>
        <v>0</v>
      </c>
      <c r="G55" s="309">
        <f>SUMIFS(Adjustments!$G:$G,Adjustments!$H:$H,"2L",Adjustments!$I:$I,'Schedule 2L Adjustments'!$F$12,Adjustments!$J:$J,'Schedule 2L Adjustments'!$A55)</f>
        <v>0</v>
      </c>
      <c r="H55" s="305">
        <f t="shared" si="0"/>
        <v>0</v>
      </c>
      <c r="I55" s="68">
        <f>IFERROR(F55*'As-Filed Schedule 1'!$E$103,0)</f>
        <v>0</v>
      </c>
      <c r="J55" s="306">
        <f>IFERROR(H55*'Adjusted Schedule 1'!$E$104,0)</f>
        <v>0</v>
      </c>
      <c r="K55" s="68">
        <f t="shared" si="1"/>
        <v>0</v>
      </c>
      <c r="L55" s="306">
        <f t="shared" si="2"/>
        <v>0</v>
      </c>
      <c r="N55" s="117">
        <f>'As-Filed Schedule 2L'!J55</f>
        <v>0</v>
      </c>
      <c r="O55" s="309">
        <f>SUMIFS(Adjustments!$G:$G,Adjustments!$H:$H,"2L",Adjustments!$I:$I,'Schedule 2L Adjustments'!$N$12,Adjustments!$J:$J,'Schedule 2L Adjustments'!$A55)</f>
        <v>0</v>
      </c>
      <c r="P55" s="305">
        <f t="shared" si="3"/>
        <v>0</v>
      </c>
      <c r="Q55" s="68">
        <f>IFERROR(N55*'As-Filed Schedule 1'!$E$103,0)</f>
        <v>0</v>
      </c>
      <c r="R55" s="68">
        <f>IFERROR(P55*'Adjusted Schedule 1'!$E$104,0)</f>
        <v>0</v>
      </c>
      <c r="S55" s="68">
        <f t="shared" si="4"/>
        <v>0</v>
      </c>
      <c r="T55" s="306">
        <f t="shared" si="5"/>
        <v>0</v>
      </c>
      <c r="V55" s="119">
        <f>'As-Filed Schedule 2L'!N55</f>
        <v>0</v>
      </c>
      <c r="W55" s="309">
        <f>SUMIFS(Adjustments!$G:$G,Adjustments!$H:$H,"2L",Adjustments!$I:$I,'Schedule 2L Adjustments'!$V$12,Adjustments!$J:$J,'Schedule 2L Adjustments'!$A55)</f>
        <v>0</v>
      </c>
      <c r="X55" s="305">
        <f t="shared" si="6"/>
        <v>0</v>
      </c>
      <c r="Y55" s="119">
        <f>'As-Filed Schedule 2L'!O55</f>
        <v>0</v>
      </c>
      <c r="Z55" s="309">
        <f>SUMIFS(Adjustments!$G:$G,Adjustments!$H:$H,"2L",Adjustments!$I:$I,'Schedule 2L Adjustments'!$Y$12,Adjustments!$J:$J,'Schedule 2L Adjustments'!$A55)</f>
        <v>0</v>
      </c>
      <c r="AA55" s="305">
        <f t="shared" si="7"/>
        <v>0</v>
      </c>
    </row>
    <row r="56" spans="1:27" x14ac:dyDescent="0.35">
      <c r="A56" s="24">
        <v>42</v>
      </c>
      <c r="B56" s="514" t="str">
        <f>IF('As-Filed Schedule 2L'!B56:D56=0,"",'As-Filed Schedule 2L'!B56:D56)</f>
        <v/>
      </c>
      <c r="C56" s="514"/>
      <c r="D56" s="514"/>
      <c r="F56" s="117">
        <f>'As-Filed Schedule 2L'!F56</f>
        <v>0</v>
      </c>
      <c r="G56" s="309">
        <f>SUMIFS(Adjustments!$G:$G,Adjustments!$H:$H,"2L",Adjustments!$I:$I,'Schedule 2L Adjustments'!$F$12,Adjustments!$J:$J,'Schedule 2L Adjustments'!$A56)</f>
        <v>0</v>
      </c>
      <c r="H56" s="305">
        <f t="shared" si="0"/>
        <v>0</v>
      </c>
      <c r="I56" s="68">
        <f>IFERROR(F56*'As-Filed Schedule 1'!$E$103,0)</f>
        <v>0</v>
      </c>
      <c r="J56" s="306">
        <f>IFERROR(H56*'Adjusted Schedule 1'!$E$104,0)</f>
        <v>0</v>
      </c>
      <c r="K56" s="68">
        <f t="shared" si="1"/>
        <v>0</v>
      </c>
      <c r="L56" s="306">
        <f t="shared" si="2"/>
        <v>0</v>
      </c>
      <c r="N56" s="117">
        <f>'As-Filed Schedule 2L'!J56</f>
        <v>0</v>
      </c>
      <c r="O56" s="309">
        <f>SUMIFS(Adjustments!$G:$G,Adjustments!$H:$H,"2L",Adjustments!$I:$I,'Schedule 2L Adjustments'!$N$12,Adjustments!$J:$J,'Schedule 2L Adjustments'!$A56)</f>
        <v>0</v>
      </c>
      <c r="P56" s="305">
        <f t="shared" si="3"/>
        <v>0</v>
      </c>
      <c r="Q56" s="68">
        <f>IFERROR(N56*'As-Filed Schedule 1'!$E$103,0)</f>
        <v>0</v>
      </c>
      <c r="R56" s="68">
        <f>IFERROR(P56*'Adjusted Schedule 1'!$E$104,0)</f>
        <v>0</v>
      </c>
      <c r="S56" s="68">
        <f t="shared" si="4"/>
        <v>0</v>
      </c>
      <c r="T56" s="306">
        <f t="shared" si="5"/>
        <v>0</v>
      </c>
      <c r="V56" s="119">
        <f>'As-Filed Schedule 2L'!N56</f>
        <v>0</v>
      </c>
      <c r="W56" s="309">
        <f>SUMIFS(Adjustments!$G:$G,Adjustments!$H:$H,"2L",Adjustments!$I:$I,'Schedule 2L Adjustments'!$V$12,Adjustments!$J:$J,'Schedule 2L Adjustments'!$A56)</f>
        <v>0</v>
      </c>
      <c r="X56" s="305">
        <f t="shared" si="6"/>
        <v>0</v>
      </c>
      <c r="Y56" s="119">
        <f>'As-Filed Schedule 2L'!O56</f>
        <v>0</v>
      </c>
      <c r="Z56" s="309">
        <f>SUMIFS(Adjustments!$G:$G,Adjustments!$H:$H,"2L",Adjustments!$I:$I,'Schedule 2L Adjustments'!$Y$12,Adjustments!$J:$J,'Schedule 2L Adjustments'!$A56)</f>
        <v>0</v>
      </c>
      <c r="AA56" s="305">
        <f t="shared" si="7"/>
        <v>0</v>
      </c>
    </row>
    <row r="57" spans="1:27" x14ac:dyDescent="0.35">
      <c r="A57" s="24">
        <v>43</v>
      </c>
      <c r="B57" s="514" t="str">
        <f>IF('As-Filed Schedule 2L'!B57:D57=0,"",'As-Filed Schedule 2L'!B57:D57)</f>
        <v/>
      </c>
      <c r="C57" s="514"/>
      <c r="D57" s="514"/>
      <c r="F57" s="117">
        <f>'As-Filed Schedule 2L'!F57</f>
        <v>0</v>
      </c>
      <c r="G57" s="309">
        <f>SUMIFS(Adjustments!$G:$G,Adjustments!$H:$H,"2L",Adjustments!$I:$I,'Schedule 2L Adjustments'!$F$12,Adjustments!$J:$J,'Schedule 2L Adjustments'!$A57)</f>
        <v>0</v>
      </c>
      <c r="H57" s="305">
        <f t="shared" si="0"/>
        <v>0</v>
      </c>
      <c r="I57" s="68">
        <f>IFERROR(F57*'As-Filed Schedule 1'!$E$103,0)</f>
        <v>0</v>
      </c>
      <c r="J57" s="306">
        <f>IFERROR(H57*'Adjusted Schedule 1'!$E$104,0)</f>
        <v>0</v>
      </c>
      <c r="K57" s="68">
        <f t="shared" si="1"/>
        <v>0</v>
      </c>
      <c r="L57" s="306">
        <f t="shared" si="2"/>
        <v>0</v>
      </c>
      <c r="N57" s="117">
        <f>'As-Filed Schedule 2L'!J57</f>
        <v>0</v>
      </c>
      <c r="O57" s="309">
        <f>SUMIFS(Adjustments!$G:$G,Adjustments!$H:$H,"2L",Adjustments!$I:$I,'Schedule 2L Adjustments'!$N$12,Adjustments!$J:$J,'Schedule 2L Adjustments'!$A57)</f>
        <v>0</v>
      </c>
      <c r="P57" s="305">
        <f t="shared" si="3"/>
        <v>0</v>
      </c>
      <c r="Q57" s="68">
        <f>IFERROR(N57*'As-Filed Schedule 1'!$E$103,0)</f>
        <v>0</v>
      </c>
      <c r="R57" s="68">
        <f>IFERROR(P57*'Adjusted Schedule 1'!$E$104,0)</f>
        <v>0</v>
      </c>
      <c r="S57" s="68">
        <f t="shared" si="4"/>
        <v>0</v>
      </c>
      <c r="T57" s="306">
        <f t="shared" si="5"/>
        <v>0</v>
      </c>
      <c r="V57" s="119">
        <f>'As-Filed Schedule 2L'!N57</f>
        <v>0</v>
      </c>
      <c r="W57" s="309">
        <f>SUMIFS(Adjustments!$G:$G,Adjustments!$H:$H,"2L",Adjustments!$I:$I,'Schedule 2L Adjustments'!$V$12,Adjustments!$J:$J,'Schedule 2L Adjustments'!$A57)</f>
        <v>0</v>
      </c>
      <c r="X57" s="305">
        <f t="shared" si="6"/>
        <v>0</v>
      </c>
      <c r="Y57" s="119">
        <f>'As-Filed Schedule 2L'!O57</f>
        <v>0</v>
      </c>
      <c r="Z57" s="309">
        <f>SUMIFS(Adjustments!$G:$G,Adjustments!$H:$H,"2L",Adjustments!$I:$I,'Schedule 2L Adjustments'!$Y$12,Adjustments!$J:$J,'Schedule 2L Adjustments'!$A57)</f>
        <v>0</v>
      </c>
      <c r="AA57" s="305">
        <f t="shared" si="7"/>
        <v>0</v>
      </c>
    </row>
    <row r="58" spans="1:27" x14ac:dyDescent="0.35">
      <c r="A58" s="24">
        <v>44</v>
      </c>
      <c r="B58" s="514" t="str">
        <f>IF('As-Filed Schedule 2L'!B58:D58=0,"",'As-Filed Schedule 2L'!B58:D58)</f>
        <v/>
      </c>
      <c r="C58" s="514"/>
      <c r="D58" s="514"/>
      <c r="F58" s="117">
        <f>'As-Filed Schedule 2L'!F58</f>
        <v>0</v>
      </c>
      <c r="G58" s="309">
        <f>SUMIFS(Adjustments!$G:$G,Adjustments!$H:$H,"2L",Adjustments!$I:$I,'Schedule 2L Adjustments'!$F$12,Adjustments!$J:$J,'Schedule 2L Adjustments'!$A58)</f>
        <v>0</v>
      </c>
      <c r="H58" s="305">
        <f t="shared" si="0"/>
        <v>0</v>
      </c>
      <c r="I58" s="68">
        <f>IFERROR(F58*'As-Filed Schedule 1'!$E$103,0)</f>
        <v>0</v>
      </c>
      <c r="J58" s="306">
        <f>IFERROR(H58*'Adjusted Schedule 1'!$E$104,0)</f>
        <v>0</v>
      </c>
      <c r="K58" s="68">
        <f t="shared" si="1"/>
        <v>0</v>
      </c>
      <c r="L58" s="306">
        <f t="shared" si="2"/>
        <v>0</v>
      </c>
      <c r="N58" s="117">
        <f>'As-Filed Schedule 2L'!J58</f>
        <v>0</v>
      </c>
      <c r="O58" s="309">
        <f>SUMIFS(Adjustments!$G:$G,Adjustments!$H:$H,"2L",Adjustments!$I:$I,'Schedule 2L Adjustments'!$N$12,Adjustments!$J:$J,'Schedule 2L Adjustments'!$A58)</f>
        <v>0</v>
      </c>
      <c r="P58" s="305">
        <f t="shared" si="3"/>
        <v>0</v>
      </c>
      <c r="Q58" s="68">
        <f>IFERROR(N58*'As-Filed Schedule 1'!$E$103,0)</f>
        <v>0</v>
      </c>
      <c r="R58" s="68">
        <f>IFERROR(P58*'Adjusted Schedule 1'!$E$104,0)</f>
        <v>0</v>
      </c>
      <c r="S58" s="68">
        <f t="shared" si="4"/>
        <v>0</v>
      </c>
      <c r="T58" s="306">
        <f t="shared" si="5"/>
        <v>0</v>
      </c>
      <c r="V58" s="119">
        <f>'As-Filed Schedule 2L'!N58</f>
        <v>0</v>
      </c>
      <c r="W58" s="309">
        <f>SUMIFS(Adjustments!$G:$G,Adjustments!$H:$H,"2L",Adjustments!$I:$I,'Schedule 2L Adjustments'!$V$12,Adjustments!$J:$J,'Schedule 2L Adjustments'!$A58)</f>
        <v>0</v>
      </c>
      <c r="X58" s="305">
        <f t="shared" si="6"/>
        <v>0</v>
      </c>
      <c r="Y58" s="119">
        <f>'As-Filed Schedule 2L'!O58</f>
        <v>0</v>
      </c>
      <c r="Z58" s="309">
        <f>SUMIFS(Adjustments!$G:$G,Adjustments!$H:$H,"2L",Adjustments!$I:$I,'Schedule 2L Adjustments'!$Y$12,Adjustments!$J:$J,'Schedule 2L Adjustments'!$A58)</f>
        <v>0</v>
      </c>
      <c r="AA58" s="305">
        <f t="shared" si="7"/>
        <v>0</v>
      </c>
    </row>
    <row r="59" spans="1:27" x14ac:dyDescent="0.35">
      <c r="A59" s="24">
        <v>45</v>
      </c>
      <c r="B59" s="514" t="str">
        <f>IF('As-Filed Schedule 2L'!B59:D59=0,"",'As-Filed Schedule 2L'!B59:D59)</f>
        <v/>
      </c>
      <c r="C59" s="514"/>
      <c r="D59" s="514"/>
      <c r="F59" s="117">
        <f>'As-Filed Schedule 2L'!F59</f>
        <v>0</v>
      </c>
      <c r="G59" s="309">
        <f>SUMIFS(Adjustments!$G:$G,Adjustments!$H:$H,"2L",Adjustments!$I:$I,'Schedule 2L Adjustments'!$F$12,Adjustments!$J:$J,'Schedule 2L Adjustments'!$A59)</f>
        <v>0</v>
      </c>
      <c r="H59" s="305">
        <f t="shared" si="0"/>
        <v>0</v>
      </c>
      <c r="I59" s="68">
        <f>IFERROR(F59*'As-Filed Schedule 1'!$E$103,0)</f>
        <v>0</v>
      </c>
      <c r="J59" s="306">
        <f>IFERROR(H59*'Adjusted Schedule 1'!$E$104,0)</f>
        <v>0</v>
      </c>
      <c r="K59" s="68">
        <f t="shared" si="1"/>
        <v>0</v>
      </c>
      <c r="L59" s="306">
        <f t="shared" si="2"/>
        <v>0</v>
      </c>
      <c r="N59" s="117">
        <f>'As-Filed Schedule 2L'!J59</f>
        <v>0</v>
      </c>
      <c r="O59" s="309">
        <f>SUMIFS(Adjustments!$G:$G,Adjustments!$H:$H,"2L",Adjustments!$I:$I,'Schedule 2L Adjustments'!$N$12,Adjustments!$J:$J,'Schedule 2L Adjustments'!$A59)</f>
        <v>0</v>
      </c>
      <c r="P59" s="305">
        <f t="shared" si="3"/>
        <v>0</v>
      </c>
      <c r="Q59" s="68">
        <f>IFERROR(N59*'As-Filed Schedule 1'!$E$103,0)</f>
        <v>0</v>
      </c>
      <c r="R59" s="68">
        <f>IFERROR(P59*'Adjusted Schedule 1'!$E$104,0)</f>
        <v>0</v>
      </c>
      <c r="S59" s="68">
        <f t="shared" si="4"/>
        <v>0</v>
      </c>
      <c r="T59" s="306">
        <f t="shared" si="5"/>
        <v>0</v>
      </c>
      <c r="V59" s="119">
        <f>'As-Filed Schedule 2L'!N59</f>
        <v>0</v>
      </c>
      <c r="W59" s="309">
        <f>SUMIFS(Adjustments!$G:$G,Adjustments!$H:$H,"2L",Adjustments!$I:$I,'Schedule 2L Adjustments'!$V$12,Adjustments!$J:$J,'Schedule 2L Adjustments'!$A59)</f>
        <v>0</v>
      </c>
      <c r="X59" s="305">
        <f t="shared" si="6"/>
        <v>0</v>
      </c>
      <c r="Y59" s="119">
        <f>'As-Filed Schedule 2L'!O59</f>
        <v>0</v>
      </c>
      <c r="Z59" s="309">
        <f>SUMIFS(Adjustments!$G:$G,Adjustments!$H:$H,"2L",Adjustments!$I:$I,'Schedule 2L Adjustments'!$Y$12,Adjustments!$J:$J,'Schedule 2L Adjustments'!$A59)</f>
        <v>0</v>
      </c>
      <c r="AA59" s="305">
        <f t="shared" si="7"/>
        <v>0</v>
      </c>
    </row>
    <row r="60" spans="1:27" x14ac:dyDescent="0.35">
      <c r="A60" s="24">
        <v>46</v>
      </c>
      <c r="B60" s="514" t="str">
        <f>IF('As-Filed Schedule 2L'!B60:D60=0,"",'As-Filed Schedule 2L'!B60:D60)</f>
        <v/>
      </c>
      <c r="C60" s="514"/>
      <c r="D60" s="514"/>
      <c r="F60" s="117">
        <f>'As-Filed Schedule 2L'!F60</f>
        <v>0</v>
      </c>
      <c r="G60" s="309">
        <f>SUMIFS(Adjustments!$G:$G,Adjustments!$H:$H,"2L",Adjustments!$I:$I,'Schedule 2L Adjustments'!$F$12,Adjustments!$J:$J,'Schedule 2L Adjustments'!$A60)</f>
        <v>0</v>
      </c>
      <c r="H60" s="305">
        <f t="shared" si="0"/>
        <v>0</v>
      </c>
      <c r="I60" s="68">
        <f>IFERROR(F60*'As-Filed Schedule 1'!$E$103,0)</f>
        <v>0</v>
      </c>
      <c r="J60" s="306">
        <f>IFERROR(H60*'Adjusted Schedule 1'!$E$104,0)</f>
        <v>0</v>
      </c>
      <c r="K60" s="68">
        <f t="shared" si="1"/>
        <v>0</v>
      </c>
      <c r="L60" s="306">
        <f t="shared" si="2"/>
        <v>0</v>
      </c>
      <c r="N60" s="117">
        <f>'As-Filed Schedule 2L'!J60</f>
        <v>0</v>
      </c>
      <c r="O60" s="309">
        <f>SUMIFS(Adjustments!$G:$G,Adjustments!$H:$H,"2L",Adjustments!$I:$I,'Schedule 2L Adjustments'!$N$12,Adjustments!$J:$J,'Schedule 2L Adjustments'!$A60)</f>
        <v>0</v>
      </c>
      <c r="P60" s="305">
        <f t="shared" si="3"/>
        <v>0</v>
      </c>
      <c r="Q60" s="68">
        <f>IFERROR(N60*'As-Filed Schedule 1'!$E$103,0)</f>
        <v>0</v>
      </c>
      <c r="R60" s="68">
        <f>IFERROR(P60*'Adjusted Schedule 1'!$E$104,0)</f>
        <v>0</v>
      </c>
      <c r="S60" s="68">
        <f t="shared" si="4"/>
        <v>0</v>
      </c>
      <c r="T60" s="306">
        <f t="shared" si="5"/>
        <v>0</v>
      </c>
      <c r="V60" s="119">
        <f>'As-Filed Schedule 2L'!N60</f>
        <v>0</v>
      </c>
      <c r="W60" s="309">
        <f>SUMIFS(Adjustments!$G:$G,Adjustments!$H:$H,"2L",Adjustments!$I:$I,'Schedule 2L Adjustments'!$V$12,Adjustments!$J:$J,'Schedule 2L Adjustments'!$A60)</f>
        <v>0</v>
      </c>
      <c r="X60" s="305">
        <f t="shared" si="6"/>
        <v>0</v>
      </c>
      <c r="Y60" s="119">
        <f>'As-Filed Schedule 2L'!O60</f>
        <v>0</v>
      </c>
      <c r="Z60" s="309">
        <f>SUMIFS(Adjustments!$G:$G,Adjustments!$H:$H,"2L",Adjustments!$I:$I,'Schedule 2L Adjustments'!$Y$12,Adjustments!$J:$J,'Schedule 2L Adjustments'!$A60)</f>
        <v>0</v>
      </c>
      <c r="AA60" s="305">
        <f t="shared" si="7"/>
        <v>0</v>
      </c>
    </row>
    <row r="61" spans="1:27" x14ac:dyDescent="0.35">
      <c r="A61" s="24">
        <v>47</v>
      </c>
      <c r="B61" s="514" t="str">
        <f>IF('As-Filed Schedule 2L'!B61:D61=0,"",'As-Filed Schedule 2L'!B61:D61)</f>
        <v/>
      </c>
      <c r="C61" s="514"/>
      <c r="D61" s="514"/>
      <c r="F61" s="117">
        <f>'As-Filed Schedule 2L'!F61</f>
        <v>0</v>
      </c>
      <c r="G61" s="309">
        <f>SUMIFS(Adjustments!$G:$G,Adjustments!$H:$H,"2L",Adjustments!$I:$I,'Schedule 2L Adjustments'!$F$12,Adjustments!$J:$J,'Schedule 2L Adjustments'!$A61)</f>
        <v>0</v>
      </c>
      <c r="H61" s="305">
        <f t="shared" si="0"/>
        <v>0</v>
      </c>
      <c r="I61" s="68">
        <f>IFERROR(F61*'As-Filed Schedule 1'!$E$103,0)</f>
        <v>0</v>
      </c>
      <c r="J61" s="306">
        <f>IFERROR(H61*'Adjusted Schedule 1'!$E$104,0)</f>
        <v>0</v>
      </c>
      <c r="K61" s="68">
        <f t="shared" si="1"/>
        <v>0</v>
      </c>
      <c r="L61" s="306">
        <f t="shared" si="2"/>
        <v>0</v>
      </c>
      <c r="N61" s="117">
        <f>'As-Filed Schedule 2L'!J61</f>
        <v>0</v>
      </c>
      <c r="O61" s="309">
        <f>SUMIFS(Adjustments!$G:$G,Adjustments!$H:$H,"2L",Adjustments!$I:$I,'Schedule 2L Adjustments'!$N$12,Adjustments!$J:$J,'Schedule 2L Adjustments'!$A61)</f>
        <v>0</v>
      </c>
      <c r="P61" s="305">
        <f t="shared" si="3"/>
        <v>0</v>
      </c>
      <c r="Q61" s="68">
        <f>IFERROR(N61*'As-Filed Schedule 1'!$E$103,0)</f>
        <v>0</v>
      </c>
      <c r="R61" s="68">
        <f>IFERROR(P61*'Adjusted Schedule 1'!$E$104,0)</f>
        <v>0</v>
      </c>
      <c r="S61" s="68">
        <f t="shared" si="4"/>
        <v>0</v>
      </c>
      <c r="T61" s="306">
        <f t="shared" si="5"/>
        <v>0</v>
      </c>
      <c r="V61" s="119">
        <f>'As-Filed Schedule 2L'!N61</f>
        <v>0</v>
      </c>
      <c r="W61" s="309">
        <f>SUMIFS(Adjustments!$G:$G,Adjustments!$H:$H,"2L",Adjustments!$I:$I,'Schedule 2L Adjustments'!$V$12,Adjustments!$J:$J,'Schedule 2L Adjustments'!$A61)</f>
        <v>0</v>
      </c>
      <c r="X61" s="305">
        <f t="shared" si="6"/>
        <v>0</v>
      </c>
      <c r="Y61" s="119">
        <f>'As-Filed Schedule 2L'!O61</f>
        <v>0</v>
      </c>
      <c r="Z61" s="309">
        <f>SUMIFS(Adjustments!$G:$G,Adjustments!$H:$H,"2L",Adjustments!$I:$I,'Schedule 2L Adjustments'!$Y$12,Adjustments!$J:$J,'Schedule 2L Adjustments'!$A61)</f>
        <v>0</v>
      </c>
      <c r="AA61" s="305">
        <f t="shared" si="7"/>
        <v>0</v>
      </c>
    </row>
    <row r="62" spans="1:27" x14ac:dyDescent="0.35">
      <c r="A62" s="24">
        <v>48</v>
      </c>
      <c r="B62" s="514" t="str">
        <f>IF('As-Filed Schedule 2L'!B62:D62=0,"",'As-Filed Schedule 2L'!B62:D62)</f>
        <v/>
      </c>
      <c r="C62" s="514"/>
      <c r="D62" s="514"/>
      <c r="F62" s="117">
        <f>'As-Filed Schedule 2L'!F62</f>
        <v>0</v>
      </c>
      <c r="G62" s="309">
        <f>SUMIFS(Adjustments!$G:$G,Adjustments!$H:$H,"2L",Adjustments!$I:$I,'Schedule 2L Adjustments'!$F$12,Adjustments!$J:$J,'Schedule 2L Adjustments'!$A62)</f>
        <v>0</v>
      </c>
      <c r="H62" s="305">
        <f t="shared" si="0"/>
        <v>0</v>
      </c>
      <c r="I62" s="68">
        <f>IFERROR(F62*'As-Filed Schedule 1'!$E$103,0)</f>
        <v>0</v>
      </c>
      <c r="J62" s="306">
        <f>IFERROR(H62*'Adjusted Schedule 1'!$E$104,0)</f>
        <v>0</v>
      </c>
      <c r="K62" s="68">
        <f t="shared" si="1"/>
        <v>0</v>
      </c>
      <c r="L62" s="306">
        <f t="shared" si="2"/>
        <v>0</v>
      </c>
      <c r="N62" s="117">
        <f>'As-Filed Schedule 2L'!J62</f>
        <v>0</v>
      </c>
      <c r="O62" s="309">
        <f>SUMIFS(Adjustments!$G:$G,Adjustments!$H:$H,"2L",Adjustments!$I:$I,'Schedule 2L Adjustments'!$N$12,Adjustments!$J:$J,'Schedule 2L Adjustments'!$A62)</f>
        <v>0</v>
      </c>
      <c r="P62" s="305">
        <f t="shared" si="3"/>
        <v>0</v>
      </c>
      <c r="Q62" s="68">
        <f>IFERROR(N62*'As-Filed Schedule 1'!$E$103,0)</f>
        <v>0</v>
      </c>
      <c r="R62" s="68">
        <f>IFERROR(P62*'Adjusted Schedule 1'!$E$104,0)</f>
        <v>0</v>
      </c>
      <c r="S62" s="68">
        <f t="shared" si="4"/>
        <v>0</v>
      </c>
      <c r="T62" s="306">
        <f t="shared" si="5"/>
        <v>0</v>
      </c>
      <c r="V62" s="119">
        <f>'As-Filed Schedule 2L'!N62</f>
        <v>0</v>
      </c>
      <c r="W62" s="309">
        <f>SUMIFS(Adjustments!$G:$G,Adjustments!$H:$H,"2L",Adjustments!$I:$I,'Schedule 2L Adjustments'!$V$12,Adjustments!$J:$J,'Schedule 2L Adjustments'!$A62)</f>
        <v>0</v>
      </c>
      <c r="X62" s="305">
        <f t="shared" si="6"/>
        <v>0</v>
      </c>
      <c r="Y62" s="119">
        <f>'As-Filed Schedule 2L'!O62</f>
        <v>0</v>
      </c>
      <c r="Z62" s="309">
        <f>SUMIFS(Adjustments!$G:$G,Adjustments!$H:$H,"2L",Adjustments!$I:$I,'Schedule 2L Adjustments'!$Y$12,Adjustments!$J:$J,'Schedule 2L Adjustments'!$A62)</f>
        <v>0</v>
      </c>
      <c r="AA62" s="305">
        <f t="shared" si="7"/>
        <v>0</v>
      </c>
    </row>
    <row r="63" spans="1:27" x14ac:dyDescent="0.35">
      <c r="A63" s="24">
        <v>49</v>
      </c>
      <c r="B63" s="514" t="str">
        <f>IF('As-Filed Schedule 2L'!B63:D63=0,"",'As-Filed Schedule 2L'!B63:D63)</f>
        <v/>
      </c>
      <c r="C63" s="514"/>
      <c r="D63" s="514"/>
      <c r="F63" s="117">
        <f>'As-Filed Schedule 2L'!F63</f>
        <v>0</v>
      </c>
      <c r="G63" s="309">
        <f>SUMIFS(Adjustments!$G:$G,Adjustments!$H:$H,"2L",Adjustments!$I:$I,'Schedule 2L Adjustments'!$F$12,Adjustments!$J:$J,'Schedule 2L Adjustments'!$A63)</f>
        <v>0</v>
      </c>
      <c r="H63" s="305">
        <f t="shared" si="0"/>
        <v>0</v>
      </c>
      <c r="I63" s="68">
        <f>IFERROR(F63*'As-Filed Schedule 1'!$E$103,0)</f>
        <v>0</v>
      </c>
      <c r="J63" s="306">
        <f>IFERROR(H63*'Adjusted Schedule 1'!$E$104,0)</f>
        <v>0</v>
      </c>
      <c r="K63" s="68">
        <f t="shared" si="1"/>
        <v>0</v>
      </c>
      <c r="L63" s="306">
        <f t="shared" si="2"/>
        <v>0</v>
      </c>
      <c r="N63" s="117">
        <f>'As-Filed Schedule 2L'!J63</f>
        <v>0</v>
      </c>
      <c r="O63" s="309">
        <f>SUMIFS(Adjustments!$G:$G,Adjustments!$H:$H,"2L",Adjustments!$I:$I,'Schedule 2L Adjustments'!$N$12,Adjustments!$J:$J,'Schedule 2L Adjustments'!$A63)</f>
        <v>0</v>
      </c>
      <c r="P63" s="305">
        <f t="shared" si="3"/>
        <v>0</v>
      </c>
      <c r="Q63" s="68">
        <f>IFERROR(N63*'As-Filed Schedule 1'!$E$103,0)</f>
        <v>0</v>
      </c>
      <c r="R63" s="68">
        <f>IFERROR(P63*'Adjusted Schedule 1'!$E$104,0)</f>
        <v>0</v>
      </c>
      <c r="S63" s="68">
        <f t="shared" si="4"/>
        <v>0</v>
      </c>
      <c r="T63" s="306">
        <f t="shared" si="5"/>
        <v>0</v>
      </c>
      <c r="V63" s="119">
        <f>'As-Filed Schedule 2L'!N63</f>
        <v>0</v>
      </c>
      <c r="W63" s="309">
        <f>SUMIFS(Adjustments!$G:$G,Adjustments!$H:$H,"2L",Adjustments!$I:$I,'Schedule 2L Adjustments'!$V$12,Adjustments!$J:$J,'Schedule 2L Adjustments'!$A63)</f>
        <v>0</v>
      </c>
      <c r="X63" s="305">
        <f t="shared" si="6"/>
        <v>0</v>
      </c>
      <c r="Y63" s="119">
        <f>'As-Filed Schedule 2L'!O63</f>
        <v>0</v>
      </c>
      <c r="Z63" s="309">
        <f>SUMIFS(Adjustments!$G:$G,Adjustments!$H:$H,"2L",Adjustments!$I:$I,'Schedule 2L Adjustments'!$Y$12,Adjustments!$J:$J,'Schedule 2L Adjustments'!$A63)</f>
        <v>0</v>
      </c>
      <c r="AA63" s="305">
        <f t="shared" si="7"/>
        <v>0</v>
      </c>
    </row>
    <row r="64" spans="1:27" x14ac:dyDescent="0.35">
      <c r="A64" s="24">
        <v>50</v>
      </c>
      <c r="B64" s="514" t="str">
        <f>IF('As-Filed Schedule 2L'!B64:D64=0,"",'As-Filed Schedule 2L'!B64:D64)</f>
        <v/>
      </c>
      <c r="C64" s="514"/>
      <c r="D64" s="514"/>
      <c r="F64" s="117">
        <f>'As-Filed Schedule 2L'!F64</f>
        <v>0</v>
      </c>
      <c r="G64" s="309">
        <f>SUMIFS(Adjustments!$G:$G,Adjustments!$H:$H,"2L",Adjustments!$I:$I,'Schedule 2L Adjustments'!$F$12,Adjustments!$J:$J,'Schedule 2L Adjustments'!$A64)</f>
        <v>0</v>
      </c>
      <c r="H64" s="305">
        <f t="shared" si="0"/>
        <v>0</v>
      </c>
      <c r="I64" s="68">
        <f>IFERROR(F64*'As-Filed Schedule 1'!$E$103,0)</f>
        <v>0</v>
      </c>
      <c r="J64" s="306">
        <f>IFERROR(H64*'Adjusted Schedule 1'!$E$104,0)</f>
        <v>0</v>
      </c>
      <c r="K64" s="68">
        <f t="shared" si="1"/>
        <v>0</v>
      </c>
      <c r="L64" s="306">
        <f t="shared" si="2"/>
        <v>0</v>
      </c>
      <c r="N64" s="117">
        <f>'As-Filed Schedule 2L'!J64</f>
        <v>0</v>
      </c>
      <c r="O64" s="309">
        <f>SUMIFS(Adjustments!$G:$G,Adjustments!$H:$H,"2L",Adjustments!$I:$I,'Schedule 2L Adjustments'!$N$12,Adjustments!$J:$J,'Schedule 2L Adjustments'!$A64)</f>
        <v>0</v>
      </c>
      <c r="P64" s="305">
        <f t="shared" si="3"/>
        <v>0</v>
      </c>
      <c r="Q64" s="68">
        <f>IFERROR(N64*'As-Filed Schedule 1'!$E$103,0)</f>
        <v>0</v>
      </c>
      <c r="R64" s="68">
        <f>IFERROR(P64*'Adjusted Schedule 1'!$E$104,0)</f>
        <v>0</v>
      </c>
      <c r="S64" s="68">
        <f t="shared" si="4"/>
        <v>0</v>
      </c>
      <c r="T64" s="306">
        <f t="shared" si="5"/>
        <v>0</v>
      </c>
      <c r="V64" s="119">
        <f>'As-Filed Schedule 2L'!N64</f>
        <v>0</v>
      </c>
      <c r="W64" s="309">
        <f>SUMIFS(Adjustments!$G:$G,Adjustments!$H:$H,"2L",Adjustments!$I:$I,'Schedule 2L Adjustments'!$V$12,Adjustments!$J:$J,'Schedule 2L Adjustments'!$A64)</f>
        <v>0</v>
      </c>
      <c r="X64" s="305">
        <f t="shared" si="6"/>
        <v>0</v>
      </c>
      <c r="Y64" s="119">
        <f>'As-Filed Schedule 2L'!O64</f>
        <v>0</v>
      </c>
      <c r="Z64" s="309">
        <f>SUMIFS(Adjustments!$G:$G,Adjustments!$H:$H,"2L",Adjustments!$I:$I,'Schedule 2L Adjustments'!$Y$12,Adjustments!$J:$J,'Schedule 2L Adjustments'!$A64)</f>
        <v>0</v>
      </c>
      <c r="AA64" s="305">
        <f t="shared" si="7"/>
        <v>0</v>
      </c>
    </row>
    <row r="65" spans="1:27" x14ac:dyDescent="0.35">
      <c r="A65" s="24">
        <v>51</v>
      </c>
      <c r="B65" s="514" t="str">
        <f>IF('As-Filed Schedule 2L'!B65:D65=0,"",'As-Filed Schedule 2L'!B65:D65)</f>
        <v/>
      </c>
      <c r="C65" s="514"/>
      <c r="D65" s="514"/>
      <c r="F65" s="117">
        <f>'As-Filed Schedule 2L'!F65</f>
        <v>0</v>
      </c>
      <c r="G65" s="309">
        <f>SUMIFS(Adjustments!$G:$G,Adjustments!$H:$H,"2L",Adjustments!$I:$I,'Schedule 2L Adjustments'!$F$12,Adjustments!$J:$J,'Schedule 2L Adjustments'!$A65)</f>
        <v>0</v>
      </c>
      <c r="H65" s="305">
        <f t="shared" si="0"/>
        <v>0</v>
      </c>
      <c r="I65" s="68">
        <f>IFERROR(F65*'As-Filed Schedule 1'!$E$103,0)</f>
        <v>0</v>
      </c>
      <c r="J65" s="306">
        <f>IFERROR(H65*'Adjusted Schedule 1'!$E$104,0)</f>
        <v>0</v>
      </c>
      <c r="K65" s="68">
        <f t="shared" si="1"/>
        <v>0</v>
      </c>
      <c r="L65" s="306">
        <f t="shared" si="2"/>
        <v>0</v>
      </c>
      <c r="N65" s="117">
        <f>'As-Filed Schedule 2L'!J65</f>
        <v>0</v>
      </c>
      <c r="O65" s="309">
        <f>SUMIFS(Adjustments!$G:$G,Adjustments!$H:$H,"2L",Adjustments!$I:$I,'Schedule 2L Adjustments'!$N$12,Adjustments!$J:$J,'Schedule 2L Adjustments'!$A65)</f>
        <v>0</v>
      </c>
      <c r="P65" s="305">
        <f t="shared" si="3"/>
        <v>0</v>
      </c>
      <c r="Q65" s="68">
        <f>IFERROR(N65*'As-Filed Schedule 1'!$E$103,0)</f>
        <v>0</v>
      </c>
      <c r="R65" s="68">
        <f>IFERROR(P65*'Adjusted Schedule 1'!$E$104,0)</f>
        <v>0</v>
      </c>
      <c r="S65" s="68">
        <f t="shared" si="4"/>
        <v>0</v>
      </c>
      <c r="T65" s="306">
        <f t="shared" si="5"/>
        <v>0</v>
      </c>
      <c r="V65" s="119">
        <f>'As-Filed Schedule 2L'!N65</f>
        <v>0</v>
      </c>
      <c r="W65" s="309">
        <f>SUMIFS(Adjustments!$G:$G,Adjustments!$H:$H,"2L",Adjustments!$I:$I,'Schedule 2L Adjustments'!$V$12,Adjustments!$J:$J,'Schedule 2L Adjustments'!$A65)</f>
        <v>0</v>
      </c>
      <c r="X65" s="305">
        <f t="shared" si="6"/>
        <v>0</v>
      </c>
      <c r="Y65" s="119">
        <f>'As-Filed Schedule 2L'!O65</f>
        <v>0</v>
      </c>
      <c r="Z65" s="309">
        <f>SUMIFS(Adjustments!$G:$G,Adjustments!$H:$H,"2L",Adjustments!$I:$I,'Schedule 2L Adjustments'!$Y$12,Adjustments!$J:$J,'Schedule 2L Adjustments'!$A65)</f>
        <v>0</v>
      </c>
      <c r="AA65" s="305">
        <f t="shared" si="7"/>
        <v>0</v>
      </c>
    </row>
    <row r="66" spans="1:27" x14ac:dyDescent="0.35">
      <c r="A66" s="24">
        <v>52</v>
      </c>
      <c r="B66" s="514" t="str">
        <f>IF('As-Filed Schedule 2L'!B66:D66=0,"",'As-Filed Schedule 2L'!B66:D66)</f>
        <v/>
      </c>
      <c r="C66" s="514"/>
      <c r="D66" s="514"/>
      <c r="F66" s="117">
        <f>'As-Filed Schedule 2L'!F66</f>
        <v>0</v>
      </c>
      <c r="G66" s="309">
        <f>SUMIFS(Adjustments!$G:$G,Adjustments!$H:$H,"2L",Adjustments!$I:$I,'Schedule 2L Adjustments'!$F$12,Adjustments!$J:$J,'Schedule 2L Adjustments'!$A66)</f>
        <v>0</v>
      </c>
      <c r="H66" s="305">
        <f t="shared" si="0"/>
        <v>0</v>
      </c>
      <c r="I66" s="68">
        <f>IFERROR(F66*'As-Filed Schedule 1'!$E$103,0)</f>
        <v>0</v>
      </c>
      <c r="J66" s="306">
        <f>IFERROR(H66*'Adjusted Schedule 1'!$E$104,0)</f>
        <v>0</v>
      </c>
      <c r="K66" s="68">
        <f t="shared" si="1"/>
        <v>0</v>
      </c>
      <c r="L66" s="306">
        <f t="shared" si="2"/>
        <v>0</v>
      </c>
      <c r="N66" s="117">
        <f>'As-Filed Schedule 2L'!J66</f>
        <v>0</v>
      </c>
      <c r="O66" s="309">
        <f>SUMIFS(Adjustments!$G:$G,Adjustments!$H:$H,"2L",Adjustments!$I:$I,'Schedule 2L Adjustments'!$N$12,Adjustments!$J:$J,'Schedule 2L Adjustments'!$A66)</f>
        <v>0</v>
      </c>
      <c r="P66" s="305">
        <f t="shared" si="3"/>
        <v>0</v>
      </c>
      <c r="Q66" s="68">
        <f>IFERROR(N66*'As-Filed Schedule 1'!$E$103,0)</f>
        <v>0</v>
      </c>
      <c r="R66" s="68">
        <f>IFERROR(P66*'Adjusted Schedule 1'!$E$104,0)</f>
        <v>0</v>
      </c>
      <c r="S66" s="68">
        <f t="shared" si="4"/>
        <v>0</v>
      </c>
      <c r="T66" s="306">
        <f t="shared" si="5"/>
        <v>0</v>
      </c>
      <c r="V66" s="119">
        <f>'As-Filed Schedule 2L'!N66</f>
        <v>0</v>
      </c>
      <c r="W66" s="309">
        <f>SUMIFS(Adjustments!$G:$G,Adjustments!$H:$H,"2L",Adjustments!$I:$I,'Schedule 2L Adjustments'!$V$12,Adjustments!$J:$J,'Schedule 2L Adjustments'!$A66)</f>
        <v>0</v>
      </c>
      <c r="X66" s="305">
        <f t="shared" si="6"/>
        <v>0</v>
      </c>
      <c r="Y66" s="119">
        <f>'As-Filed Schedule 2L'!O66</f>
        <v>0</v>
      </c>
      <c r="Z66" s="309">
        <f>SUMIFS(Adjustments!$G:$G,Adjustments!$H:$H,"2L",Adjustments!$I:$I,'Schedule 2L Adjustments'!$Y$12,Adjustments!$J:$J,'Schedule 2L Adjustments'!$A66)</f>
        <v>0</v>
      </c>
      <c r="AA66" s="305">
        <f t="shared" si="7"/>
        <v>0</v>
      </c>
    </row>
    <row r="67" spans="1:27" x14ac:dyDescent="0.35">
      <c r="A67" s="24">
        <v>53</v>
      </c>
      <c r="B67" s="514" t="str">
        <f>IF('As-Filed Schedule 2L'!B67:D67=0,"",'As-Filed Schedule 2L'!B67:D67)</f>
        <v/>
      </c>
      <c r="C67" s="514"/>
      <c r="D67" s="514"/>
      <c r="F67" s="117">
        <f>'As-Filed Schedule 2L'!F67</f>
        <v>0</v>
      </c>
      <c r="G67" s="309">
        <f>SUMIFS(Adjustments!$G:$G,Adjustments!$H:$H,"2L",Adjustments!$I:$I,'Schedule 2L Adjustments'!$F$12,Adjustments!$J:$J,'Schedule 2L Adjustments'!$A67)</f>
        <v>0</v>
      </c>
      <c r="H67" s="305">
        <f t="shared" si="0"/>
        <v>0</v>
      </c>
      <c r="I67" s="68">
        <f>IFERROR(F67*'As-Filed Schedule 1'!$E$103,0)</f>
        <v>0</v>
      </c>
      <c r="J67" s="306">
        <f>IFERROR(H67*'Adjusted Schedule 1'!$E$104,0)</f>
        <v>0</v>
      </c>
      <c r="K67" s="68">
        <f t="shared" si="1"/>
        <v>0</v>
      </c>
      <c r="L67" s="306">
        <f t="shared" si="2"/>
        <v>0</v>
      </c>
      <c r="N67" s="117">
        <f>'As-Filed Schedule 2L'!J67</f>
        <v>0</v>
      </c>
      <c r="O67" s="309">
        <f>SUMIFS(Adjustments!$G:$G,Adjustments!$H:$H,"2L",Adjustments!$I:$I,'Schedule 2L Adjustments'!$N$12,Adjustments!$J:$J,'Schedule 2L Adjustments'!$A67)</f>
        <v>0</v>
      </c>
      <c r="P67" s="305">
        <f t="shared" si="3"/>
        <v>0</v>
      </c>
      <c r="Q67" s="68">
        <f>IFERROR(N67*'As-Filed Schedule 1'!$E$103,0)</f>
        <v>0</v>
      </c>
      <c r="R67" s="68">
        <f>IFERROR(P67*'Adjusted Schedule 1'!$E$104,0)</f>
        <v>0</v>
      </c>
      <c r="S67" s="68">
        <f t="shared" si="4"/>
        <v>0</v>
      </c>
      <c r="T67" s="306">
        <f t="shared" si="5"/>
        <v>0</v>
      </c>
      <c r="V67" s="119">
        <f>'As-Filed Schedule 2L'!N67</f>
        <v>0</v>
      </c>
      <c r="W67" s="309">
        <f>SUMIFS(Adjustments!$G:$G,Adjustments!$H:$H,"2L",Adjustments!$I:$I,'Schedule 2L Adjustments'!$V$12,Adjustments!$J:$J,'Schedule 2L Adjustments'!$A67)</f>
        <v>0</v>
      </c>
      <c r="X67" s="305">
        <f t="shared" si="6"/>
        <v>0</v>
      </c>
      <c r="Y67" s="119">
        <f>'As-Filed Schedule 2L'!O67</f>
        <v>0</v>
      </c>
      <c r="Z67" s="309">
        <f>SUMIFS(Adjustments!$G:$G,Adjustments!$H:$H,"2L",Adjustments!$I:$I,'Schedule 2L Adjustments'!$Y$12,Adjustments!$J:$J,'Schedule 2L Adjustments'!$A67)</f>
        <v>0</v>
      </c>
      <c r="AA67" s="305">
        <f t="shared" si="7"/>
        <v>0</v>
      </c>
    </row>
    <row r="68" spans="1:27" x14ac:dyDescent="0.35">
      <c r="A68" s="24">
        <v>54</v>
      </c>
      <c r="B68" s="514" t="str">
        <f>IF('As-Filed Schedule 2L'!B68:D68=0,"",'As-Filed Schedule 2L'!B68:D68)</f>
        <v/>
      </c>
      <c r="C68" s="514"/>
      <c r="D68" s="514"/>
      <c r="F68" s="117">
        <f>'As-Filed Schedule 2L'!F68</f>
        <v>0</v>
      </c>
      <c r="G68" s="309">
        <f>SUMIFS(Adjustments!$G:$G,Adjustments!$H:$H,"2L",Adjustments!$I:$I,'Schedule 2L Adjustments'!$F$12,Adjustments!$J:$J,'Schedule 2L Adjustments'!$A68)</f>
        <v>0</v>
      </c>
      <c r="H68" s="305">
        <f t="shared" si="0"/>
        <v>0</v>
      </c>
      <c r="I68" s="68">
        <f>IFERROR(F68*'As-Filed Schedule 1'!$E$103,0)</f>
        <v>0</v>
      </c>
      <c r="J68" s="306">
        <f>IFERROR(H68*'Adjusted Schedule 1'!$E$104,0)</f>
        <v>0</v>
      </c>
      <c r="K68" s="68">
        <f t="shared" si="1"/>
        <v>0</v>
      </c>
      <c r="L68" s="306">
        <f t="shared" si="2"/>
        <v>0</v>
      </c>
      <c r="N68" s="117">
        <f>'As-Filed Schedule 2L'!J68</f>
        <v>0</v>
      </c>
      <c r="O68" s="309">
        <f>SUMIFS(Adjustments!$G:$G,Adjustments!$H:$H,"2L",Adjustments!$I:$I,'Schedule 2L Adjustments'!$N$12,Adjustments!$J:$J,'Schedule 2L Adjustments'!$A68)</f>
        <v>0</v>
      </c>
      <c r="P68" s="305">
        <f t="shared" si="3"/>
        <v>0</v>
      </c>
      <c r="Q68" s="68">
        <f>IFERROR(N68*'As-Filed Schedule 1'!$E$103,0)</f>
        <v>0</v>
      </c>
      <c r="R68" s="68">
        <f>IFERROR(P68*'Adjusted Schedule 1'!$E$104,0)</f>
        <v>0</v>
      </c>
      <c r="S68" s="68">
        <f t="shared" si="4"/>
        <v>0</v>
      </c>
      <c r="T68" s="306">
        <f t="shared" si="5"/>
        <v>0</v>
      </c>
      <c r="V68" s="119">
        <f>'As-Filed Schedule 2L'!N68</f>
        <v>0</v>
      </c>
      <c r="W68" s="309">
        <f>SUMIFS(Adjustments!$G:$G,Adjustments!$H:$H,"2L",Adjustments!$I:$I,'Schedule 2L Adjustments'!$V$12,Adjustments!$J:$J,'Schedule 2L Adjustments'!$A68)</f>
        <v>0</v>
      </c>
      <c r="X68" s="305">
        <f t="shared" si="6"/>
        <v>0</v>
      </c>
      <c r="Y68" s="119">
        <f>'As-Filed Schedule 2L'!O68</f>
        <v>0</v>
      </c>
      <c r="Z68" s="309">
        <f>SUMIFS(Adjustments!$G:$G,Adjustments!$H:$H,"2L",Adjustments!$I:$I,'Schedule 2L Adjustments'!$Y$12,Adjustments!$J:$J,'Schedule 2L Adjustments'!$A68)</f>
        <v>0</v>
      </c>
      <c r="AA68" s="305">
        <f t="shared" si="7"/>
        <v>0</v>
      </c>
    </row>
    <row r="69" spans="1:27" x14ac:dyDescent="0.35">
      <c r="A69" s="24">
        <v>55</v>
      </c>
      <c r="B69" s="514" t="str">
        <f>IF('As-Filed Schedule 2L'!B69:D69=0,"",'As-Filed Schedule 2L'!B69:D69)</f>
        <v/>
      </c>
      <c r="C69" s="514"/>
      <c r="D69" s="514"/>
      <c r="F69" s="117">
        <f>'As-Filed Schedule 2L'!F69</f>
        <v>0</v>
      </c>
      <c r="G69" s="309">
        <f>SUMIFS(Adjustments!$G:$G,Adjustments!$H:$H,"2L",Adjustments!$I:$I,'Schedule 2L Adjustments'!$F$12,Adjustments!$J:$J,'Schedule 2L Adjustments'!$A69)</f>
        <v>0</v>
      </c>
      <c r="H69" s="305">
        <f t="shared" si="0"/>
        <v>0</v>
      </c>
      <c r="I69" s="68">
        <f>IFERROR(F69*'As-Filed Schedule 1'!$E$103,0)</f>
        <v>0</v>
      </c>
      <c r="J69" s="306">
        <f>IFERROR(H69*'Adjusted Schedule 1'!$E$104,0)</f>
        <v>0</v>
      </c>
      <c r="K69" s="68">
        <f t="shared" si="1"/>
        <v>0</v>
      </c>
      <c r="L69" s="306">
        <f t="shared" si="2"/>
        <v>0</v>
      </c>
      <c r="N69" s="117">
        <f>'As-Filed Schedule 2L'!J69</f>
        <v>0</v>
      </c>
      <c r="O69" s="309">
        <f>SUMIFS(Adjustments!$G:$G,Adjustments!$H:$H,"2L",Adjustments!$I:$I,'Schedule 2L Adjustments'!$N$12,Adjustments!$J:$J,'Schedule 2L Adjustments'!$A69)</f>
        <v>0</v>
      </c>
      <c r="P69" s="305">
        <f t="shared" si="3"/>
        <v>0</v>
      </c>
      <c r="Q69" s="68">
        <f>IFERROR(N69*'As-Filed Schedule 1'!$E$103,0)</f>
        <v>0</v>
      </c>
      <c r="R69" s="68">
        <f>IFERROR(P69*'Adjusted Schedule 1'!$E$104,0)</f>
        <v>0</v>
      </c>
      <c r="S69" s="68">
        <f t="shared" si="4"/>
        <v>0</v>
      </c>
      <c r="T69" s="306">
        <f t="shared" si="5"/>
        <v>0</v>
      </c>
      <c r="V69" s="119">
        <f>'As-Filed Schedule 2L'!N69</f>
        <v>0</v>
      </c>
      <c r="W69" s="309">
        <f>SUMIFS(Adjustments!$G:$G,Adjustments!$H:$H,"2L",Adjustments!$I:$I,'Schedule 2L Adjustments'!$V$12,Adjustments!$J:$J,'Schedule 2L Adjustments'!$A69)</f>
        <v>0</v>
      </c>
      <c r="X69" s="305">
        <f t="shared" si="6"/>
        <v>0</v>
      </c>
      <c r="Y69" s="119">
        <f>'As-Filed Schedule 2L'!O69</f>
        <v>0</v>
      </c>
      <c r="Z69" s="309">
        <f>SUMIFS(Adjustments!$G:$G,Adjustments!$H:$H,"2L",Adjustments!$I:$I,'Schedule 2L Adjustments'!$Y$12,Adjustments!$J:$J,'Schedule 2L Adjustments'!$A69)</f>
        <v>0</v>
      </c>
      <c r="AA69" s="305">
        <f t="shared" si="7"/>
        <v>0</v>
      </c>
    </row>
    <row r="70" spans="1:27" x14ac:dyDescent="0.35">
      <c r="A70" s="24">
        <v>56</v>
      </c>
      <c r="B70" s="514" t="str">
        <f>IF('As-Filed Schedule 2L'!B70:D70=0,"",'As-Filed Schedule 2L'!B70:D70)</f>
        <v/>
      </c>
      <c r="C70" s="514"/>
      <c r="D70" s="514"/>
      <c r="F70" s="117">
        <f>'As-Filed Schedule 2L'!F70</f>
        <v>0</v>
      </c>
      <c r="G70" s="309">
        <f>SUMIFS(Adjustments!$G:$G,Adjustments!$H:$H,"2L",Adjustments!$I:$I,'Schedule 2L Adjustments'!$F$12,Adjustments!$J:$J,'Schedule 2L Adjustments'!$A70)</f>
        <v>0</v>
      </c>
      <c r="H70" s="305">
        <f t="shared" si="0"/>
        <v>0</v>
      </c>
      <c r="I70" s="68">
        <f>IFERROR(F70*'As-Filed Schedule 1'!$E$103,0)</f>
        <v>0</v>
      </c>
      <c r="J70" s="306">
        <f>IFERROR(H70*'Adjusted Schedule 1'!$E$104,0)</f>
        <v>0</v>
      </c>
      <c r="K70" s="68">
        <f t="shared" si="1"/>
        <v>0</v>
      </c>
      <c r="L70" s="306">
        <f t="shared" si="2"/>
        <v>0</v>
      </c>
      <c r="N70" s="117">
        <f>'As-Filed Schedule 2L'!J70</f>
        <v>0</v>
      </c>
      <c r="O70" s="309">
        <f>SUMIFS(Adjustments!$G:$G,Adjustments!$H:$H,"2L",Adjustments!$I:$I,'Schedule 2L Adjustments'!$N$12,Adjustments!$J:$J,'Schedule 2L Adjustments'!$A70)</f>
        <v>0</v>
      </c>
      <c r="P70" s="305">
        <f t="shared" si="3"/>
        <v>0</v>
      </c>
      <c r="Q70" s="68">
        <f>IFERROR(N70*'As-Filed Schedule 1'!$E$103,0)</f>
        <v>0</v>
      </c>
      <c r="R70" s="68">
        <f>IFERROR(P70*'Adjusted Schedule 1'!$E$104,0)</f>
        <v>0</v>
      </c>
      <c r="S70" s="68">
        <f t="shared" si="4"/>
        <v>0</v>
      </c>
      <c r="T70" s="306">
        <f t="shared" si="5"/>
        <v>0</v>
      </c>
      <c r="V70" s="119">
        <f>'As-Filed Schedule 2L'!N70</f>
        <v>0</v>
      </c>
      <c r="W70" s="309">
        <f>SUMIFS(Adjustments!$G:$G,Adjustments!$H:$H,"2L",Adjustments!$I:$I,'Schedule 2L Adjustments'!$V$12,Adjustments!$J:$J,'Schedule 2L Adjustments'!$A70)</f>
        <v>0</v>
      </c>
      <c r="X70" s="305">
        <f t="shared" si="6"/>
        <v>0</v>
      </c>
      <c r="Y70" s="119">
        <f>'As-Filed Schedule 2L'!O70</f>
        <v>0</v>
      </c>
      <c r="Z70" s="309">
        <f>SUMIFS(Adjustments!$G:$G,Adjustments!$H:$H,"2L",Adjustments!$I:$I,'Schedule 2L Adjustments'!$Y$12,Adjustments!$J:$J,'Schedule 2L Adjustments'!$A70)</f>
        <v>0</v>
      </c>
      <c r="AA70" s="305">
        <f t="shared" si="7"/>
        <v>0</v>
      </c>
    </row>
    <row r="71" spans="1:27" x14ac:dyDescent="0.35">
      <c r="A71" s="24">
        <v>57</v>
      </c>
      <c r="B71" s="514" t="str">
        <f>IF('As-Filed Schedule 2L'!B71:D71=0,"",'As-Filed Schedule 2L'!B71:D71)</f>
        <v/>
      </c>
      <c r="C71" s="514"/>
      <c r="D71" s="514"/>
      <c r="F71" s="117">
        <f>'As-Filed Schedule 2L'!F71</f>
        <v>0</v>
      </c>
      <c r="G71" s="309">
        <f>SUMIFS(Adjustments!$G:$G,Adjustments!$H:$H,"2L",Adjustments!$I:$I,'Schedule 2L Adjustments'!$F$12,Adjustments!$J:$J,'Schedule 2L Adjustments'!$A71)</f>
        <v>0</v>
      </c>
      <c r="H71" s="305">
        <f t="shared" si="0"/>
        <v>0</v>
      </c>
      <c r="I71" s="68">
        <f>IFERROR(F71*'As-Filed Schedule 1'!$E$103,0)</f>
        <v>0</v>
      </c>
      <c r="J71" s="306">
        <f>IFERROR(H71*'Adjusted Schedule 1'!$E$104,0)</f>
        <v>0</v>
      </c>
      <c r="K71" s="68">
        <f t="shared" si="1"/>
        <v>0</v>
      </c>
      <c r="L71" s="306">
        <f t="shared" si="2"/>
        <v>0</v>
      </c>
      <c r="N71" s="117">
        <f>'As-Filed Schedule 2L'!J71</f>
        <v>0</v>
      </c>
      <c r="O71" s="309">
        <f>SUMIFS(Adjustments!$G:$G,Adjustments!$H:$H,"2L",Adjustments!$I:$I,'Schedule 2L Adjustments'!$N$12,Adjustments!$J:$J,'Schedule 2L Adjustments'!$A71)</f>
        <v>0</v>
      </c>
      <c r="P71" s="305">
        <f t="shared" si="3"/>
        <v>0</v>
      </c>
      <c r="Q71" s="68">
        <f>IFERROR(N71*'As-Filed Schedule 1'!$E$103,0)</f>
        <v>0</v>
      </c>
      <c r="R71" s="68">
        <f>IFERROR(P71*'Adjusted Schedule 1'!$E$104,0)</f>
        <v>0</v>
      </c>
      <c r="S71" s="68">
        <f t="shared" si="4"/>
        <v>0</v>
      </c>
      <c r="T71" s="306">
        <f t="shared" si="5"/>
        <v>0</v>
      </c>
      <c r="V71" s="119">
        <f>'As-Filed Schedule 2L'!N71</f>
        <v>0</v>
      </c>
      <c r="W71" s="309">
        <f>SUMIFS(Adjustments!$G:$G,Adjustments!$H:$H,"2L",Adjustments!$I:$I,'Schedule 2L Adjustments'!$V$12,Adjustments!$J:$J,'Schedule 2L Adjustments'!$A71)</f>
        <v>0</v>
      </c>
      <c r="X71" s="305">
        <f t="shared" si="6"/>
        <v>0</v>
      </c>
      <c r="Y71" s="119">
        <f>'As-Filed Schedule 2L'!O71</f>
        <v>0</v>
      </c>
      <c r="Z71" s="309">
        <f>SUMIFS(Adjustments!$G:$G,Adjustments!$H:$H,"2L",Adjustments!$I:$I,'Schedule 2L Adjustments'!$Y$12,Adjustments!$J:$J,'Schedule 2L Adjustments'!$A71)</f>
        <v>0</v>
      </c>
      <c r="AA71" s="305">
        <f t="shared" si="7"/>
        <v>0</v>
      </c>
    </row>
    <row r="72" spans="1:27" x14ac:dyDescent="0.35">
      <c r="A72" s="24">
        <v>58</v>
      </c>
      <c r="B72" s="514" t="str">
        <f>IF('As-Filed Schedule 2L'!B72:D72=0,"",'As-Filed Schedule 2L'!B72:D72)</f>
        <v/>
      </c>
      <c r="C72" s="514"/>
      <c r="D72" s="514"/>
      <c r="F72" s="117">
        <f>'As-Filed Schedule 2L'!F72</f>
        <v>0</v>
      </c>
      <c r="G72" s="309">
        <f>SUMIFS(Adjustments!$G:$G,Adjustments!$H:$H,"2L",Adjustments!$I:$I,'Schedule 2L Adjustments'!$F$12,Adjustments!$J:$J,'Schedule 2L Adjustments'!$A72)</f>
        <v>0</v>
      </c>
      <c r="H72" s="305">
        <f t="shared" si="0"/>
        <v>0</v>
      </c>
      <c r="I72" s="68">
        <f>IFERROR(F72*'As-Filed Schedule 1'!$E$103,0)</f>
        <v>0</v>
      </c>
      <c r="J72" s="306">
        <f>IFERROR(H72*'Adjusted Schedule 1'!$E$104,0)</f>
        <v>0</v>
      </c>
      <c r="K72" s="68">
        <f t="shared" si="1"/>
        <v>0</v>
      </c>
      <c r="L72" s="306">
        <f t="shared" si="2"/>
        <v>0</v>
      </c>
      <c r="N72" s="117">
        <f>'As-Filed Schedule 2L'!J72</f>
        <v>0</v>
      </c>
      <c r="O72" s="309">
        <f>SUMIFS(Adjustments!$G:$G,Adjustments!$H:$H,"2L",Adjustments!$I:$I,'Schedule 2L Adjustments'!$N$12,Adjustments!$J:$J,'Schedule 2L Adjustments'!$A72)</f>
        <v>0</v>
      </c>
      <c r="P72" s="305">
        <f t="shared" si="3"/>
        <v>0</v>
      </c>
      <c r="Q72" s="68">
        <f>IFERROR(N72*'As-Filed Schedule 1'!$E$103,0)</f>
        <v>0</v>
      </c>
      <c r="R72" s="68">
        <f>IFERROR(P72*'Adjusted Schedule 1'!$E$104,0)</f>
        <v>0</v>
      </c>
      <c r="S72" s="68">
        <f t="shared" si="4"/>
        <v>0</v>
      </c>
      <c r="T72" s="306">
        <f t="shared" si="5"/>
        <v>0</v>
      </c>
      <c r="V72" s="119">
        <f>'As-Filed Schedule 2L'!N72</f>
        <v>0</v>
      </c>
      <c r="W72" s="309">
        <f>SUMIFS(Adjustments!$G:$G,Adjustments!$H:$H,"2L",Adjustments!$I:$I,'Schedule 2L Adjustments'!$V$12,Adjustments!$J:$J,'Schedule 2L Adjustments'!$A72)</f>
        <v>0</v>
      </c>
      <c r="X72" s="305">
        <f t="shared" si="6"/>
        <v>0</v>
      </c>
      <c r="Y72" s="119">
        <f>'As-Filed Schedule 2L'!O72</f>
        <v>0</v>
      </c>
      <c r="Z72" s="309">
        <f>SUMIFS(Adjustments!$G:$G,Adjustments!$H:$H,"2L",Adjustments!$I:$I,'Schedule 2L Adjustments'!$Y$12,Adjustments!$J:$J,'Schedule 2L Adjustments'!$A72)</f>
        <v>0</v>
      </c>
      <c r="AA72" s="305">
        <f t="shared" si="7"/>
        <v>0</v>
      </c>
    </row>
    <row r="73" spans="1:27" x14ac:dyDescent="0.35">
      <c r="A73" s="24">
        <v>59</v>
      </c>
      <c r="F73" s="18">
        <f>SUM(F15:F72)</f>
        <v>0</v>
      </c>
      <c r="G73" s="18">
        <f>SUM(G15:G72)</f>
        <v>0</v>
      </c>
      <c r="H73" s="18">
        <f t="shared" ref="H73:K73" si="8">SUM(H15:H72)</f>
        <v>0</v>
      </c>
      <c r="I73" s="18">
        <f t="shared" si="8"/>
        <v>0</v>
      </c>
      <c r="J73" s="306">
        <f>IFERROR(H73*'Adjusted Schedule 1'!$E$104,0)</f>
        <v>0</v>
      </c>
      <c r="K73" s="18">
        <f t="shared" si="8"/>
        <v>0</v>
      </c>
      <c r="L73" s="307">
        <f t="shared" ref="L73" si="9">SUM(L15:L72)</f>
        <v>0</v>
      </c>
      <c r="N73" s="18">
        <f>SUM(N15:N72)</f>
        <v>0</v>
      </c>
      <c r="O73" s="18">
        <f t="shared" ref="O73:S73" si="10">SUM(O15:O72)</f>
        <v>0</v>
      </c>
      <c r="P73" s="18">
        <f t="shared" si="10"/>
        <v>0</v>
      </c>
      <c r="Q73" s="18">
        <f t="shared" si="10"/>
        <v>0</v>
      </c>
      <c r="R73" s="18">
        <f t="shared" si="10"/>
        <v>0</v>
      </c>
      <c r="S73" s="18">
        <f t="shared" si="10"/>
        <v>0</v>
      </c>
      <c r="T73" s="307">
        <f>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814</v>
      </c>
      <c r="F75" s="75">
        <f>K73+S73</f>
        <v>0</v>
      </c>
      <c r="G75"/>
      <c r="H75" s="75">
        <f>L73+T73</f>
        <v>0</v>
      </c>
      <c r="I75" s="74"/>
      <c r="J75" s="321"/>
      <c r="K75" s="74"/>
      <c r="L75" s="321"/>
      <c r="N75" s="74"/>
      <c r="O75" s="328"/>
      <c r="P75" s="321"/>
      <c r="Q75" s="74"/>
      <c r="R75" s="321"/>
      <c r="T75" s="323"/>
      <c r="W75" s="326"/>
      <c r="X75" s="323"/>
      <c r="Z75" s="326"/>
      <c r="AA75" s="323"/>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3"/>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0"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0"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0" customWidth="1"/>
    <col min="24" max="24" width="13.26953125" style="48" customWidth="1"/>
    <col min="25" max="25" width="12" customWidth="1"/>
    <col min="26" max="26" width="16.1796875" style="260" customWidth="1"/>
    <col min="27" max="27" width="12" style="48" customWidth="1"/>
  </cols>
  <sheetData>
    <row r="1" spans="1:27" ht="26" x14ac:dyDescent="0.6">
      <c r="A1" s="3" t="s">
        <v>774</v>
      </c>
    </row>
    <row r="2" spans="1:27" ht="21" x14ac:dyDescent="0.5">
      <c r="A2" s="2" t="s">
        <v>772</v>
      </c>
    </row>
    <row r="3" spans="1:27" ht="25" customHeight="1" x14ac:dyDescent="0.5">
      <c r="A3" s="495" t="s">
        <v>847</v>
      </c>
      <c r="B3" s="495"/>
      <c r="C3" s="495"/>
      <c r="D3" s="495"/>
      <c r="E3" s="495"/>
      <c r="F3" s="495"/>
      <c r="G3" s="495"/>
      <c r="H3" s="495"/>
      <c r="I3" s="495"/>
      <c r="J3" s="495"/>
      <c r="K3" s="495"/>
      <c r="L3" s="317"/>
    </row>
    <row r="4" spans="1:27" ht="21" customHeight="1" x14ac:dyDescent="0.5">
      <c r="A4" s="241" t="s">
        <v>834</v>
      </c>
    </row>
    <row r="5" spans="1:27" x14ac:dyDescent="0.35">
      <c r="A5" s="1" t="s">
        <v>773</v>
      </c>
      <c r="C5" s="416" t="str">
        <f>Results!$C$6</f>
        <v>AllHealth Network</v>
      </c>
    </row>
    <row r="6" spans="1:27" x14ac:dyDescent="0.35">
      <c r="A6" s="1" t="s">
        <v>0</v>
      </c>
      <c r="C6" s="35">
        <f>Results!$C$7</f>
        <v>45473</v>
      </c>
      <c r="F6" s="35"/>
      <c r="G6" s="315"/>
      <c r="H6" s="60"/>
    </row>
    <row r="8" spans="1:27" x14ac:dyDescent="0.35">
      <c r="A8" s="1" t="s">
        <v>253</v>
      </c>
      <c r="B8" s="1" t="s">
        <v>835</v>
      </c>
      <c r="C8" s="1"/>
      <c r="I8" s="118" t="str">
        <f>'As-Filed Schedule 2M'!K8</f>
        <v>Yes/No</v>
      </c>
      <c r="J8" s="41" t="s">
        <v>259</v>
      </c>
    </row>
    <row r="10" spans="1:27" x14ac:dyDescent="0.35">
      <c r="A10" s="1" t="s">
        <v>254</v>
      </c>
      <c r="B10" s="1" t="s">
        <v>256</v>
      </c>
      <c r="C10" s="1"/>
    </row>
    <row r="12" spans="1:27" x14ac:dyDescent="0.35">
      <c r="B12" s="506">
        <v>1</v>
      </c>
      <c r="C12" s="506"/>
      <c r="D12" s="506"/>
      <c r="F12" s="23">
        <v>2</v>
      </c>
      <c r="G12" s="255" t="s">
        <v>556</v>
      </c>
      <c r="H12" s="256" t="s">
        <v>557</v>
      </c>
      <c r="I12" s="23">
        <v>3</v>
      </c>
      <c r="J12" s="256" t="s">
        <v>561</v>
      </c>
      <c r="K12" s="23">
        <v>4</v>
      </c>
      <c r="L12" s="256" t="s">
        <v>565</v>
      </c>
      <c r="N12" s="23">
        <v>5</v>
      </c>
      <c r="O12" s="255" t="s">
        <v>566</v>
      </c>
      <c r="P12" s="256" t="s">
        <v>567</v>
      </c>
      <c r="Q12" s="23">
        <v>6</v>
      </c>
      <c r="R12" s="256" t="s">
        <v>571</v>
      </c>
      <c r="S12" s="23">
        <v>7</v>
      </c>
      <c r="T12" s="256" t="s">
        <v>575</v>
      </c>
      <c r="V12" s="23">
        <v>8</v>
      </c>
      <c r="W12" s="255" t="s">
        <v>616</v>
      </c>
      <c r="X12" s="256" t="s">
        <v>629</v>
      </c>
      <c r="Y12" s="23">
        <v>9</v>
      </c>
      <c r="Z12" s="255" t="s">
        <v>618</v>
      </c>
      <c r="AA12" s="256" t="s">
        <v>619</v>
      </c>
    </row>
    <row r="13" spans="1:27" ht="15" customHeight="1" x14ac:dyDescent="0.35">
      <c r="B13" s="507" t="s">
        <v>255</v>
      </c>
      <c r="C13" s="507"/>
      <c r="D13" s="507"/>
      <c r="F13" s="509" t="s">
        <v>261</v>
      </c>
      <c r="G13" s="521"/>
      <c r="H13" s="521"/>
      <c r="I13" s="521"/>
      <c r="J13" s="521"/>
      <c r="K13" s="521"/>
      <c r="L13" s="510"/>
      <c r="N13" s="509" t="s">
        <v>262</v>
      </c>
      <c r="O13" s="521"/>
      <c r="P13" s="521"/>
      <c r="Q13" s="521"/>
      <c r="R13" s="521"/>
      <c r="S13" s="521"/>
      <c r="T13" s="510"/>
      <c r="V13" s="508" t="s">
        <v>250</v>
      </c>
      <c r="W13" s="571" t="s">
        <v>620</v>
      </c>
      <c r="X13" s="572" t="s">
        <v>621</v>
      </c>
      <c r="Y13" s="508" t="s">
        <v>312</v>
      </c>
      <c r="Z13" s="571" t="s">
        <v>630</v>
      </c>
      <c r="AA13" s="572" t="s">
        <v>631</v>
      </c>
    </row>
    <row r="14" spans="1:27" ht="55.5" customHeight="1" x14ac:dyDescent="0.35">
      <c r="B14" s="507"/>
      <c r="C14" s="507"/>
      <c r="D14" s="507"/>
      <c r="E14" s="48"/>
      <c r="F14" s="10" t="s">
        <v>214</v>
      </c>
      <c r="G14" s="257" t="s">
        <v>609</v>
      </c>
      <c r="H14" s="258" t="s">
        <v>610</v>
      </c>
      <c r="I14" s="150" t="s">
        <v>491</v>
      </c>
      <c r="J14" s="258" t="s">
        <v>613</v>
      </c>
      <c r="K14" s="150" t="s">
        <v>215</v>
      </c>
      <c r="L14" s="258" t="s">
        <v>615</v>
      </c>
      <c r="M14" s="48"/>
      <c r="N14" s="150" t="s">
        <v>214</v>
      </c>
      <c r="O14" s="257" t="s">
        <v>609</v>
      </c>
      <c r="P14" s="258" t="s">
        <v>610</v>
      </c>
      <c r="Q14" s="150" t="s">
        <v>491</v>
      </c>
      <c r="R14" s="258" t="s">
        <v>613</v>
      </c>
      <c r="S14" s="10" t="s">
        <v>215</v>
      </c>
      <c r="T14" s="258" t="s">
        <v>615</v>
      </c>
      <c r="U14" s="48"/>
      <c r="V14" s="508"/>
      <c r="W14" s="571"/>
      <c r="X14" s="572"/>
      <c r="Y14" s="508"/>
      <c r="Z14" s="571"/>
      <c r="AA14" s="572"/>
    </row>
    <row r="15" spans="1:27" x14ac:dyDescent="0.35">
      <c r="A15" s="24">
        <v>1</v>
      </c>
      <c r="B15" s="514" t="str">
        <f>IF('As-Filed Schedule 2M'!B15:D15=0,"",'As-Filed Schedule 2M'!B15:D15)</f>
        <v/>
      </c>
      <c r="C15" s="514"/>
      <c r="D15" s="514"/>
      <c r="F15" s="117">
        <f>'As-Filed Schedule 2M'!F15</f>
        <v>0</v>
      </c>
      <c r="G15" s="309">
        <f>SUMIFS(Adjustments!$G:$G,Adjustments!$H:$H,"2M",Adjustments!$I:$I,'Schedule 2M Adjustments'!$F$12,Adjustments!$J:$J,'Schedule 2M Adjustments'!$A15)</f>
        <v>0</v>
      </c>
      <c r="H15" s="305">
        <f>SUM(F15:G15)</f>
        <v>0</v>
      </c>
      <c r="I15" s="68">
        <f>IFERROR(F15*'As-Filed Schedule 1'!$E$103,0)</f>
        <v>0</v>
      </c>
      <c r="J15" s="306">
        <f>IFERROR(H15*'Adjusted Schedule 1'!$E$104,0)</f>
        <v>0</v>
      </c>
      <c r="K15" s="68">
        <f>SUM(F15,I15)</f>
        <v>0</v>
      </c>
      <c r="L15" s="306">
        <f>SUM(H15,J15)</f>
        <v>0</v>
      </c>
      <c r="N15" s="117">
        <f>'As-Filed Schedule 2M'!J15</f>
        <v>0</v>
      </c>
      <c r="O15" s="309">
        <f>SUMIFS(Adjustments!$G:$G,Adjustments!$H:$H,"2M",Adjustments!$I:$I,'Schedule 2M Adjustments'!$N$12,Adjustments!$J:$J,'Schedule 2M Adjustments'!$A15)</f>
        <v>0</v>
      </c>
      <c r="P15" s="305">
        <f>SUM(N15:O15)</f>
        <v>0</v>
      </c>
      <c r="Q15" s="68">
        <f>IFERROR(N15*'As-Filed Schedule 1'!$E$103,0)</f>
        <v>0</v>
      </c>
      <c r="R15" s="68">
        <f>IFERROR(P15*'Adjusted Schedule 1'!$E$104,0)</f>
        <v>0</v>
      </c>
      <c r="S15" s="68">
        <f>SUM(N15,Q15)</f>
        <v>0</v>
      </c>
      <c r="T15" s="306">
        <f>SUM(P15,R15)</f>
        <v>0</v>
      </c>
      <c r="V15" s="119">
        <f>'As-Filed Schedule 2M'!N15</f>
        <v>0</v>
      </c>
      <c r="W15" s="309">
        <f>SUMIFS(Adjustments!$G:$G,Adjustments!$H:$H,"2M",Adjustments!$I:$I,'Schedule 2M Adjustments'!$V$12,Adjustments!$J:$J,'Schedule 2M Adjustments'!$A15)</f>
        <v>0</v>
      </c>
      <c r="X15" s="305">
        <f>SUM(V15:W15)</f>
        <v>0</v>
      </c>
      <c r="Y15" s="119">
        <f>'As-Filed Schedule 2M'!O15</f>
        <v>0</v>
      </c>
      <c r="Z15" s="309">
        <f>SUMIFS(Adjustments!$G:$G,Adjustments!$H:$H,"2M",Adjustments!$I:$I,'Schedule 2M Adjustments'!$Y$12,Adjustments!$J:$J,'Schedule 2M Adjustments'!$A15)</f>
        <v>0</v>
      </c>
      <c r="AA15" s="305">
        <f>SUM(Y15:Z15)</f>
        <v>0</v>
      </c>
    </row>
    <row r="16" spans="1:27" x14ac:dyDescent="0.35">
      <c r="A16" s="24">
        <v>2</v>
      </c>
      <c r="B16" s="514" t="str">
        <f>IF('As-Filed Schedule 2M'!B16:D16=0,"",'As-Filed Schedule 2M'!B16:D16)</f>
        <v/>
      </c>
      <c r="C16" s="514"/>
      <c r="D16" s="514"/>
      <c r="F16" s="117">
        <f>'As-Filed Schedule 2M'!F16</f>
        <v>0</v>
      </c>
      <c r="G16" s="309">
        <f>SUMIFS(Adjustments!$G:$G,Adjustments!$H:$H,"2M",Adjustments!$I:$I,'Schedule 2M Adjustments'!$F$12,Adjustments!$J:$J,'Schedule 2M Adjustments'!$A16)</f>
        <v>0</v>
      </c>
      <c r="H16" s="305">
        <f t="shared" ref="H16:H72" si="0">SUM(F16:G16)</f>
        <v>0</v>
      </c>
      <c r="I16" s="68">
        <f>IFERROR(F16*'As-Filed Schedule 1'!$E$103,0)</f>
        <v>0</v>
      </c>
      <c r="J16" s="306">
        <f>IFERROR(H16*'Adjusted Schedule 1'!$E$104,0)</f>
        <v>0</v>
      </c>
      <c r="K16" s="68">
        <f t="shared" ref="K16:K72" si="1">SUM(F16,I16)</f>
        <v>0</v>
      </c>
      <c r="L16" s="306">
        <f t="shared" ref="L16:L72" si="2">SUM(H16,J16)</f>
        <v>0</v>
      </c>
      <c r="N16" s="117">
        <f>'As-Filed Schedule 2M'!J16</f>
        <v>0</v>
      </c>
      <c r="O16" s="309">
        <f>SUMIFS(Adjustments!$G:$G,Adjustments!$H:$H,"2M",Adjustments!$I:$I,'Schedule 2M Adjustments'!$N$12,Adjustments!$J:$J,'Schedule 2M Adjustments'!$A16)</f>
        <v>0</v>
      </c>
      <c r="P16" s="305">
        <f t="shared" ref="P16:P72" si="3">SUM(N16:O16)</f>
        <v>0</v>
      </c>
      <c r="Q16" s="68">
        <f>IFERROR(N16*'As-Filed Schedule 1'!$E$103,0)</f>
        <v>0</v>
      </c>
      <c r="R16" s="68">
        <f>IFERROR(P16*'Adjusted Schedule 1'!$E$104,0)</f>
        <v>0</v>
      </c>
      <c r="S16" s="68">
        <f t="shared" ref="S16:S72" si="4">SUM(N16,Q16)</f>
        <v>0</v>
      </c>
      <c r="T16" s="306">
        <f t="shared" ref="T16:T72" si="5">SUM(P16,R16)</f>
        <v>0</v>
      </c>
      <c r="V16" s="119">
        <f>'As-Filed Schedule 2M'!N16</f>
        <v>0</v>
      </c>
      <c r="W16" s="309">
        <f>SUMIFS(Adjustments!$G:$G,Adjustments!$H:$H,"2M",Adjustments!$I:$I,'Schedule 2M Adjustments'!$V$12,Adjustments!$J:$J,'Schedule 2M Adjustments'!$A16)</f>
        <v>0</v>
      </c>
      <c r="X16" s="305">
        <f t="shared" ref="X16:X72" si="6">SUM(V16:W16)</f>
        <v>0</v>
      </c>
      <c r="Y16" s="119">
        <f>'As-Filed Schedule 2M'!O16</f>
        <v>0</v>
      </c>
      <c r="Z16" s="309">
        <f>SUMIFS(Adjustments!$G:$G,Adjustments!$H:$H,"2M",Adjustments!$I:$I,'Schedule 2M Adjustments'!$Y$12,Adjustments!$J:$J,'Schedule 2M Adjustments'!$A16)</f>
        <v>0</v>
      </c>
      <c r="AA16" s="305">
        <f t="shared" ref="AA16:AA72" si="7">SUM(Y16:Z16)</f>
        <v>0</v>
      </c>
    </row>
    <row r="17" spans="1:27" x14ac:dyDescent="0.35">
      <c r="A17" s="24">
        <v>3</v>
      </c>
      <c r="B17" s="514" t="str">
        <f>IF('As-Filed Schedule 2M'!B17:D17=0,"",'As-Filed Schedule 2M'!B17:D17)</f>
        <v/>
      </c>
      <c r="C17" s="514"/>
      <c r="D17" s="514"/>
      <c r="F17" s="117">
        <f>'As-Filed Schedule 2M'!F17</f>
        <v>0</v>
      </c>
      <c r="G17" s="309">
        <f>SUMIFS(Adjustments!$G:$G,Adjustments!$H:$H,"2M",Adjustments!$I:$I,'Schedule 2M Adjustments'!$F$12,Adjustments!$J:$J,'Schedule 2M Adjustments'!$A17)</f>
        <v>0</v>
      </c>
      <c r="H17" s="305">
        <f t="shared" si="0"/>
        <v>0</v>
      </c>
      <c r="I17" s="68">
        <f>IFERROR(F17*'As-Filed Schedule 1'!$E$103,0)</f>
        <v>0</v>
      </c>
      <c r="J17" s="306">
        <f>IFERROR(H17*'Adjusted Schedule 1'!$E$104,0)</f>
        <v>0</v>
      </c>
      <c r="K17" s="68">
        <f t="shared" si="1"/>
        <v>0</v>
      </c>
      <c r="L17" s="306">
        <f t="shared" si="2"/>
        <v>0</v>
      </c>
      <c r="N17" s="117">
        <f>'As-Filed Schedule 2M'!J17</f>
        <v>0</v>
      </c>
      <c r="O17" s="309">
        <f>SUMIFS(Adjustments!$G:$G,Adjustments!$H:$H,"2M",Adjustments!$I:$I,'Schedule 2M Adjustments'!$N$12,Adjustments!$J:$J,'Schedule 2M Adjustments'!$A17)</f>
        <v>0</v>
      </c>
      <c r="P17" s="305">
        <f t="shared" si="3"/>
        <v>0</v>
      </c>
      <c r="Q17" s="68">
        <f>IFERROR(N17*'As-Filed Schedule 1'!$E$103,0)</f>
        <v>0</v>
      </c>
      <c r="R17" s="68">
        <f>IFERROR(P17*'Adjusted Schedule 1'!$E$104,0)</f>
        <v>0</v>
      </c>
      <c r="S17" s="68">
        <f t="shared" si="4"/>
        <v>0</v>
      </c>
      <c r="T17" s="306">
        <f t="shared" si="5"/>
        <v>0</v>
      </c>
      <c r="V17" s="119">
        <f>'As-Filed Schedule 2M'!N17</f>
        <v>0</v>
      </c>
      <c r="W17" s="309">
        <f>SUMIFS(Adjustments!$G:$G,Adjustments!$H:$H,"2M",Adjustments!$I:$I,'Schedule 2M Adjustments'!$V$12,Adjustments!$J:$J,'Schedule 2M Adjustments'!$A17)</f>
        <v>0</v>
      </c>
      <c r="X17" s="305">
        <f t="shared" si="6"/>
        <v>0</v>
      </c>
      <c r="Y17" s="119">
        <f>'As-Filed Schedule 2M'!O17</f>
        <v>0</v>
      </c>
      <c r="Z17" s="309">
        <f>SUMIFS(Adjustments!$G:$G,Adjustments!$H:$H,"2M",Adjustments!$I:$I,'Schedule 2M Adjustments'!$Y$12,Adjustments!$J:$J,'Schedule 2M Adjustments'!$A17)</f>
        <v>0</v>
      </c>
      <c r="AA17" s="305">
        <f t="shared" si="7"/>
        <v>0</v>
      </c>
    </row>
    <row r="18" spans="1:27" x14ac:dyDescent="0.35">
      <c r="A18" s="24">
        <v>4</v>
      </c>
      <c r="B18" s="514" t="str">
        <f>IF('As-Filed Schedule 2M'!B18:D18=0,"",'As-Filed Schedule 2M'!B18:D18)</f>
        <v/>
      </c>
      <c r="C18" s="514"/>
      <c r="D18" s="514"/>
      <c r="F18" s="117">
        <f>'As-Filed Schedule 2M'!F18</f>
        <v>0</v>
      </c>
      <c r="G18" s="309">
        <f>SUMIFS(Adjustments!$G:$G,Adjustments!$H:$H,"2M",Adjustments!$I:$I,'Schedule 2M Adjustments'!$F$12,Adjustments!$J:$J,'Schedule 2M Adjustments'!$A18)</f>
        <v>0</v>
      </c>
      <c r="H18" s="305">
        <f t="shared" si="0"/>
        <v>0</v>
      </c>
      <c r="I18" s="68">
        <f>IFERROR(F18*'As-Filed Schedule 1'!$E$103,0)</f>
        <v>0</v>
      </c>
      <c r="J18" s="306">
        <f>IFERROR(H18*'Adjusted Schedule 1'!$E$104,0)</f>
        <v>0</v>
      </c>
      <c r="K18" s="68">
        <f>SUM(F18,I18)</f>
        <v>0</v>
      </c>
      <c r="L18" s="306">
        <f>SUM(H18,J18)</f>
        <v>0</v>
      </c>
      <c r="N18" s="117">
        <f>'As-Filed Schedule 2M'!J18</f>
        <v>0</v>
      </c>
      <c r="O18" s="309">
        <f>SUMIFS(Adjustments!$G:$G,Adjustments!$H:$H,"2M",Adjustments!$I:$I,'Schedule 2M Adjustments'!$N$12,Adjustments!$J:$J,'Schedule 2M Adjustments'!$A18)</f>
        <v>0</v>
      </c>
      <c r="P18" s="305">
        <f t="shared" si="3"/>
        <v>0</v>
      </c>
      <c r="Q18" s="68">
        <f>IFERROR(N18*'As-Filed Schedule 1'!$E$103,0)</f>
        <v>0</v>
      </c>
      <c r="R18" s="68">
        <f>IFERROR(P18*'Adjusted Schedule 1'!$E$104,0)</f>
        <v>0</v>
      </c>
      <c r="S18" s="68">
        <f t="shared" si="4"/>
        <v>0</v>
      </c>
      <c r="T18" s="306">
        <f t="shared" si="5"/>
        <v>0</v>
      </c>
      <c r="V18" s="119">
        <f>'As-Filed Schedule 2M'!N18</f>
        <v>0</v>
      </c>
      <c r="W18" s="309">
        <f>SUMIFS(Adjustments!$G:$G,Adjustments!$H:$H,"2M",Adjustments!$I:$I,'Schedule 2M Adjustments'!$V$12,Adjustments!$J:$J,'Schedule 2M Adjustments'!$A18)</f>
        <v>0</v>
      </c>
      <c r="X18" s="305">
        <f t="shared" si="6"/>
        <v>0</v>
      </c>
      <c r="Y18" s="119">
        <f>'As-Filed Schedule 2M'!O18</f>
        <v>0</v>
      </c>
      <c r="Z18" s="309">
        <f>SUMIFS(Adjustments!$G:$G,Adjustments!$H:$H,"2M",Adjustments!$I:$I,'Schedule 2M Adjustments'!$Y$12,Adjustments!$J:$J,'Schedule 2M Adjustments'!$A18)</f>
        <v>0</v>
      </c>
      <c r="AA18" s="305">
        <f t="shared" si="7"/>
        <v>0</v>
      </c>
    </row>
    <row r="19" spans="1:27" x14ac:dyDescent="0.35">
      <c r="A19" s="24">
        <v>5</v>
      </c>
      <c r="B19" s="514" t="str">
        <f>IF('As-Filed Schedule 2M'!B19:D19=0,"",'As-Filed Schedule 2M'!B19:D19)</f>
        <v/>
      </c>
      <c r="C19" s="514"/>
      <c r="D19" s="514"/>
      <c r="F19" s="117">
        <f>'As-Filed Schedule 2M'!F19</f>
        <v>0</v>
      </c>
      <c r="G19" s="309">
        <f>SUMIFS(Adjustments!$G:$G,Adjustments!$H:$H,"2M",Adjustments!$I:$I,'Schedule 2M Adjustments'!$F$12,Adjustments!$J:$J,'Schedule 2M Adjustments'!$A19)</f>
        <v>0</v>
      </c>
      <c r="H19" s="305">
        <f t="shared" si="0"/>
        <v>0</v>
      </c>
      <c r="I19" s="68">
        <f>IFERROR(F19*'As-Filed Schedule 1'!$E$103,0)</f>
        <v>0</v>
      </c>
      <c r="J19" s="306">
        <f>IFERROR(H19*'Adjusted Schedule 1'!$E$104,0)</f>
        <v>0</v>
      </c>
      <c r="K19" s="68">
        <f t="shared" si="1"/>
        <v>0</v>
      </c>
      <c r="L19" s="306">
        <f>SUM(H19,J19)</f>
        <v>0</v>
      </c>
      <c r="N19" s="117">
        <f>'As-Filed Schedule 2M'!J19</f>
        <v>0</v>
      </c>
      <c r="O19" s="309">
        <f>SUMIFS(Adjustments!$G:$G,Adjustments!$H:$H,"2M",Adjustments!$I:$I,'Schedule 2M Adjustments'!$N$12,Adjustments!$J:$J,'Schedule 2M Adjustments'!$A19)</f>
        <v>0</v>
      </c>
      <c r="P19" s="305">
        <f t="shared" si="3"/>
        <v>0</v>
      </c>
      <c r="Q19" s="68">
        <f>IFERROR(N19*'As-Filed Schedule 1'!$E$103,0)</f>
        <v>0</v>
      </c>
      <c r="R19" s="68">
        <f>IFERROR(P19*'Adjusted Schedule 1'!$E$104,0)</f>
        <v>0</v>
      </c>
      <c r="S19" s="68">
        <f t="shared" si="4"/>
        <v>0</v>
      </c>
      <c r="T19" s="306">
        <f t="shared" si="5"/>
        <v>0</v>
      </c>
      <c r="V19" s="119">
        <f>'As-Filed Schedule 2M'!N19</f>
        <v>0</v>
      </c>
      <c r="W19" s="309">
        <f>SUMIFS(Adjustments!$G:$G,Adjustments!$H:$H,"2M",Adjustments!$I:$I,'Schedule 2M Adjustments'!$V$12,Adjustments!$J:$J,'Schedule 2M Adjustments'!$A19)</f>
        <v>0</v>
      </c>
      <c r="X19" s="305">
        <f t="shared" si="6"/>
        <v>0</v>
      </c>
      <c r="Y19" s="119">
        <f>'As-Filed Schedule 2M'!O19</f>
        <v>0</v>
      </c>
      <c r="Z19" s="309">
        <f>SUMIFS(Adjustments!$G:$G,Adjustments!$H:$H,"2M",Adjustments!$I:$I,'Schedule 2M Adjustments'!$Y$12,Adjustments!$J:$J,'Schedule 2M Adjustments'!$A19)</f>
        <v>0</v>
      </c>
      <c r="AA19" s="305">
        <f t="shared" si="7"/>
        <v>0</v>
      </c>
    </row>
    <row r="20" spans="1:27" x14ac:dyDescent="0.35">
      <c r="A20" s="24">
        <v>6</v>
      </c>
      <c r="B20" s="514" t="str">
        <f>IF('As-Filed Schedule 2M'!B20:D20=0,"",'As-Filed Schedule 2M'!B20:D20)</f>
        <v/>
      </c>
      <c r="C20" s="514"/>
      <c r="D20" s="514"/>
      <c r="F20" s="117">
        <f>'As-Filed Schedule 2M'!F20</f>
        <v>0</v>
      </c>
      <c r="G20" s="309">
        <f>SUMIFS(Adjustments!$G:$G,Adjustments!$H:$H,"2M",Adjustments!$I:$I,'Schedule 2M Adjustments'!$F$12,Adjustments!$J:$J,'Schedule 2M Adjustments'!$A20)</f>
        <v>0</v>
      </c>
      <c r="H20" s="305">
        <f t="shared" si="0"/>
        <v>0</v>
      </c>
      <c r="I20" s="68">
        <f>IFERROR(F20*'As-Filed Schedule 1'!$E$103,0)</f>
        <v>0</v>
      </c>
      <c r="J20" s="306">
        <f>IFERROR(H20*'Adjusted Schedule 1'!$E$104,0)</f>
        <v>0</v>
      </c>
      <c r="K20" s="68">
        <f>SUM(F20,I20)</f>
        <v>0</v>
      </c>
      <c r="L20" s="306">
        <f t="shared" si="2"/>
        <v>0</v>
      </c>
      <c r="N20" s="117">
        <f>'As-Filed Schedule 2M'!J20</f>
        <v>0</v>
      </c>
      <c r="O20" s="309">
        <f>SUMIFS(Adjustments!$G:$G,Adjustments!$H:$H,"2M",Adjustments!$I:$I,'Schedule 2M Adjustments'!$N$12,Adjustments!$J:$J,'Schedule 2M Adjustments'!$A20)</f>
        <v>0</v>
      </c>
      <c r="P20" s="305">
        <f t="shared" si="3"/>
        <v>0</v>
      </c>
      <c r="Q20" s="68">
        <f>IFERROR(N20*'As-Filed Schedule 1'!$E$103,0)</f>
        <v>0</v>
      </c>
      <c r="R20" s="68">
        <f>IFERROR(P20*'Adjusted Schedule 1'!$E$104,0)</f>
        <v>0</v>
      </c>
      <c r="S20" s="68">
        <f t="shared" si="4"/>
        <v>0</v>
      </c>
      <c r="T20" s="306">
        <f t="shared" si="5"/>
        <v>0</v>
      </c>
      <c r="V20" s="119">
        <f>'As-Filed Schedule 2M'!N20</f>
        <v>0</v>
      </c>
      <c r="W20" s="309">
        <f>SUMIFS(Adjustments!$G:$G,Adjustments!$H:$H,"2M",Adjustments!$I:$I,'Schedule 2M Adjustments'!$V$12,Adjustments!$J:$J,'Schedule 2M Adjustments'!$A20)</f>
        <v>0</v>
      </c>
      <c r="X20" s="305">
        <f t="shared" si="6"/>
        <v>0</v>
      </c>
      <c r="Y20" s="119">
        <f>'As-Filed Schedule 2M'!O20</f>
        <v>0</v>
      </c>
      <c r="Z20" s="309">
        <f>SUMIFS(Adjustments!$G:$G,Adjustments!$H:$H,"2M",Adjustments!$I:$I,'Schedule 2M Adjustments'!$Y$12,Adjustments!$J:$J,'Schedule 2M Adjustments'!$A20)</f>
        <v>0</v>
      </c>
      <c r="AA20" s="305">
        <f t="shared" si="7"/>
        <v>0</v>
      </c>
    </row>
    <row r="21" spans="1:27" x14ac:dyDescent="0.35">
      <c r="A21" s="24">
        <v>7</v>
      </c>
      <c r="B21" s="514" t="str">
        <f>IF('As-Filed Schedule 2M'!B21:D21=0,"",'As-Filed Schedule 2M'!B21:D21)</f>
        <v/>
      </c>
      <c r="C21" s="514"/>
      <c r="D21" s="514"/>
      <c r="F21" s="117">
        <f>'As-Filed Schedule 2M'!F21</f>
        <v>0</v>
      </c>
      <c r="G21" s="309">
        <f>SUMIFS(Adjustments!$G:$G,Adjustments!$H:$H,"2M",Adjustments!$I:$I,'Schedule 2M Adjustments'!$F$12,Adjustments!$J:$J,'Schedule 2M Adjustments'!$A21)</f>
        <v>0</v>
      </c>
      <c r="H21" s="305">
        <f t="shared" si="0"/>
        <v>0</v>
      </c>
      <c r="I21" s="68">
        <f>IFERROR(F21*'As-Filed Schedule 1'!$E$103,0)</f>
        <v>0</v>
      </c>
      <c r="J21" s="306">
        <f>IFERROR(H21*'Adjusted Schedule 1'!$E$104,0)</f>
        <v>0</v>
      </c>
      <c r="K21" s="68">
        <f t="shared" si="1"/>
        <v>0</v>
      </c>
      <c r="L21" s="306">
        <f t="shared" si="2"/>
        <v>0</v>
      </c>
      <c r="N21" s="117">
        <f>'As-Filed Schedule 2M'!J21</f>
        <v>0</v>
      </c>
      <c r="O21" s="309">
        <f>SUMIFS(Adjustments!$G:$G,Adjustments!$H:$H,"2M",Adjustments!$I:$I,'Schedule 2M Adjustments'!$N$12,Adjustments!$J:$J,'Schedule 2M Adjustments'!$A21)</f>
        <v>0</v>
      </c>
      <c r="P21" s="305">
        <f t="shared" si="3"/>
        <v>0</v>
      </c>
      <c r="Q21" s="68">
        <f>IFERROR(N21*'As-Filed Schedule 1'!$E$103,0)</f>
        <v>0</v>
      </c>
      <c r="R21" s="68">
        <f>IFERROR(P21*'Adjusted Schedule 1'!$E$104,0)</f>
        <v>0</v>
      </c>
      <c r="S21" s="68">
        <f>SUM(N21,Q21)</f>
        <v>0</v>
      </c>
      <c r="T21" s="306">
        <f>SUM(P21,R21)</f>
        <v>0</v>
      </c>
      <c r="V21" s="119">
        <f>'As-Filed Schedule 2M'!N21</f>
        <v>0</v>
      </c>
      <c r="W21" s="309">
        <f>SUMIFS(Adjustments!$G:$G,Adjustments!$H:$H,"2M",Adjustments!$I:$I,'Schedule 2M Adjustments'!$V$12,Adjustments!$J:$J,'Schedule 2M Adjustments'!$A21)</f>
        <v>0</v>
      </c>
      <c r="X21" s="305">
        <f t="shared" si="6"/>
        <v>0</v>
      </c>
      <c r="Y21" s="119">
        <f>'As-Filed Schedule 2M'!O21</f>
        <v>0</v>
      </c>
      <c r="Z21" s="309">
        <f>SUMIFS(Adjustments!$G:$G,Adjustments!$H:$H,"2M",Adjustments!$I:$I,'Schedule 2M Adjustments'!$Y$12,Adjustments!$J:$J,'Schedule 2M Adjustments'!$A21)</f>
        <v>0</v>
      </c>
      <c r="AA21" s="305">
        <f t="shared" si="7"/>
        <v>0</v>
      </c>
    </row>
    <row r="22" spans="1:27" x14ac:dyDescent="0.35">
      <c r="A22" s="24">
        <v>8</v>
      </c>
      <c r="B22" s="514" t="str">
        <f>IF('As-Filed Schedule 2M'!B22:D22=0,"",'As-Filed Schedule 2M'!B22:D22)</f>
        <v/>
      </c>
      <c r="C22" s="514"/>
      <c r="D22" s="514"/>
      <c r="F22" s="117">
        <f>'As-Filed Schedule 2M'!F22</f>
        <v>0</v>
      </c>
      <c r="G22" s="309">
        <f>SUMIFS(Adjustments!$G:$G,Adjustments!$H:$H,"2M",Adjustments!$I:$I,'Schedule 2M Adjustments'!$F$12,Adjustments!$J:$J,'Schedule 2M Adjustments'!$A22)</f>
        <v>0</v>
      </c>
      <c r="H22" s="305">
        <f t="shared" si="0"/>
        <v>0</v>
      </c>
      <c r="I22" s="68">
        <f>IFERROR(F22*'As-Filed Schedule 1'!$E$103,0)</f>
        <v>0</v>
      </c>
      <c r="J22" s="306">
        <f>IFERROR(H22*'Adjusted Schedule 1'!$E$104,0)</f>
        <v>0</v>
      </c>
      <c r="K22" s="68">
        <f t="shared" si="1"/>
        <v>0</v>
      </c>
      <c r="L22" s="306">
        <f t="shared" si="2"/>
        <v>0</v>
      </c>
      <c r="N22" s="117">
        <f>'As-Filed Schedule 2M'!J22</f>
        <v>0</v>
      </c>
      <c r="O22" s="309">
        <f>SUMIFS(Adjustments!$G:$G,Adjustments!$H:$H,"2M",Adjustments!$I:$I,'Schedule 2M Adjustments'!$N$12,Adjustments!$J:$J,'Schedule 2M Adjustments'!$A22)</f>
        <v>0</v>
      </c>
      <c r="P22" s="305">
        <f t="shared" si="3"/>
        <v>0</v>
      </c>
      <c r="Q22" s="68">
        <f>IFERROR(N22*'As-Filed Schedule 1'!$E$103,0)</f>
        <v>0</v>
      </c>
      <c r="R22" s="68">
        <f>IFERROR(P22*'Adjusted Schedule 1'!$E$104,0)</f>
        <v>0</v>
      </c>
      <c r="S22" s="68">
        <f t="shared" si="4"/>
        <v>0</v>
      </c>
      <c r="T22" s="306">
        <f t="shared" si="5"/>
        <v>0</v>
      </c>
      <c r="V22" s="119">
        <f>'As-Filed Schedule 2M'!N22</f>
        <v>0</v>
      </c>
      <c r="W22" s="309">
        <f>SUMIFS(Adjustments!$G:$G,Adjustments!$H:$H,"2M",Adjustments!$I:$I,'Schedule 2M Adjustments'!$V$12,Adjustments!$J:$J,'Schedule 2M Adjustments'!$A22)</f>
        <v>0</v>
      </c>
      <c r="X22" s="305">
        <f t="shared" si="6"/>
        <v>0</v>
      </c>
      <c r="Y22" s="119">
        <f>'As-Filed Schedule 2M'!O22</f>
        <v>0</v>
      </c>
      <c r="Z22" s="309">
        <f>SUMIFS(Adjustments!$G:$G,Adjustments!$H:$H,"2M",Adjustments!$I:$I,'Schedule 2M Adjustments'!$Y$12,Adjustments!$J:$J,'Schedule 2M Adjustments'!$A22)</f>
        <v>0</v>
      </c>
      <c r="AA22" s="305">
        <f t="shared" si="7"/>
        <v>0</v>
      </c>
    </row>
    <row r="23" spans="1:27" x14ac:dyDescent="0.35">
      <c r="A23" s="24">
        <v>9</v>
      </c>
      <c r="B23" s="514" t="str">
        <f>IF('As-Filed Schedule 2M'!B23:D23=0,"",'As-Filed Schedule 2M'!B23:D23)</f>
        <v/>
      </c>
      <c r="C23" s="514"/>
      <c r="D23" s="514"/>
      <c r="F23" s="117">
        <f>'As-Filed Schedule 2M'!F23</f>
        <v>0</v>
      </c>
      <c r="G23" s="309">
        <f>SUMIFS(Adjustments!$G:$G,Adjustments!$H:$H,"2M",Adjustments!$I:$I,'Schedule 2M Adjustments'!$F$12,Adjustments!$J:$J,'Schedule 2M Adjustments'!$A23)</f>
        <v>0</v>
      </c>
      <c r="H23" s="305">
        <f t="shared" si="0"/>
        <v>0</v>
      </c>
      <c r="I23" s="68">
        <f>IFERROR(F23*'As-Filed Schedule 1'!$E$103,0)</f>
        <v>0</v>
      </c>
      <c r="J23" s="306">
        <f>IFERROR(H23*'Adjusted Schedule 1'!$E$104,0)</f>
        <v>0</v>
      </c>
      <c r="K23" s="68">
        <f t="shared" si="1"/>
        <v>0</v>
      </c>
      <c r="L23" s="306">
        <f t="shared" si="2"/>
        <v>0</v>
      </c>
      <c r="N23" s="117">
        <f>'As-Filed Schedule 2M'!J23</f>
        <v>0</v>
      </c>
      <c r="O23" s="309">
        <f>SUMIFS(Adjustments!$G:$G,Adjustments!$H:$H,"2M",Adjustments!$I:$I,'Schedule 2M Adjustments'!$N$12,Adjustments!$J:$J,'Schedule 2M Adjustments'!$A23)</f>
        <v>0</v>
      </c>
      <c r="P23" s="305">
        <f t="shared" si="3"/>
        <v>0</v>
      </c>
      <c r="Q23" s="68">
        <f>IFERROR(N23*'As-Filed Schedule 1'!$E$103,0)</f>
        <v>0</v>
      </c>
      <c r="R23" s="68">
        <f>IFERROR(P23*'Adjusted Schedule 1'!$E$104,0)</f>
        <v>0</v>
      </c>
      <c r="S23" s="68">
        <f t="shared" si="4"/>
        <v>0</v>
      </c>
      <c r="T23" s="306">
        <f t="shared" si="5"/>
        <v>0</v>
      </c>
      <c r="V23" s="119">
        <f>'As-Filed Schedule 2M'!N23</f>
        <v>0</v>
      </c>
      <c r="W23" s="309">
        <f>SUMIFS(Adjustments!$G:$G,Adjustments!$H:$H,"2M",Adjustments!$I:$I,'Schedule 2M Adjustments'!$V$12,Adjustments!$J:$J,'Schedule 2M Adjustments'!$A23)</f>
        <v>0</v>
      </c>
      <c r="X23" s="305">
        <f t="shared" si="6"/>
        <v>0</v>
      </c>
      <c r="Y23" s="119">
        <f>'As-Filed Schedule 2M'!O23</f>
        <v>0</v>
      </c>
      <c r="Z23" s="309">
        <f>SUMIFS(Adjustments!$G:$G,Adjustments!$H:$H,"2M",Adjustments!$I:$I,'Schedule 2M Adjustments'!$Y$12,Adjustments!$J:$J,'Schedule 2M Adjustments'!$A23)</f>
        <v>0</v>
      </c>
      <c r="AA23" s="305">
        <f t="shared" si="7"/>
        <v>0</v>
      </c>
    </row>
    <row r="24" spans="1:27" x14ac:dyDescent="0.35">
      <c r="A24" s="24">
        <v>10</v>
      </c>
      <c r="B24" s="514" t="str">
        <f>IF('As-Filed Schedule 2M'!B24:D24=0,"",'As-Filed Schedule 2M'!B24:D24)</f>
        <v/>
      </c>
      <c r="C24" s="514"/>
      <c r="D24" s="514"/>
      <c r="F24" s="117">
        <f>'As-Filed Schedule 2M'!F24</f>
        <v>0</v>
      </c>
      <c r="G24" s="309">
        <f>SUMIFS(Adjustments!$G:$G,Adjustments!$H:$H,"2M",Adjustments!$I:$I,'Schedule 2M Adjustments'!$F$12,Adjustments!$J:$J,'Schedule 2M Adjustments'!$A24)</f>
        <v>0</v>
      </c>
      <c r="H24" s="305">
        <f t="shared" si="0"/>
        <v>0</v>
      </c>
      <c r="I24" s="68">
        <f>IFERROR(F24*'As-Filed Schedule 1'!$E$103,0)</f>
        <v>0</v>
      </c>
      <c r="J24" s="306">
        <f>IFERROR(H24*'Adjusted Schedule 1'!$E$104,0)</f>
        <v>0</v>
      </c>
      <c r="K24" s="68">
        <f t="shared" si="1"/>
        <v>0</v>
      </c>
      <c r="L24" s="306">
        <f t="shared" si="2"/>
        <v>0</v>
      </c>
      <c r="N24" s="117">
        <f>'As-Filed Schedule 2M'!J24</f>
        <v>0</v>
      </c>
      <c r="O24" s="309">
        <f>SUMIFS(Adjustments!$G:$G,Adjustments!$H:$H,"2M",Adjustments!$I:$I,'Schedule 2M Adjustments'!$N$12,Adjustments!$J:$J,'Schedule 2M Adjustments'!$A24)</f>
        <v>0</v>
      </c>
      <c r="P24" s="305">
        <f t="shared" si="3"/>
        <v>0</v>
      </c>
      <c r="Q24" s="68">
        <f>IFERROR(N24*'As-Filed Schedule 1'!$E$103,0)</f>
        <v>0</v>
      </c>
      <c r="R24" s="68">
        <f>IFERROR(P24*'Adjusted Schedule 1'!$E$104,0)</f>
        <v>0</v>
      </c>
      <c r="S24" s="68">
        <f t="shared" si="4"/>
        <v>0</v>
      </c>
      <c r="T24" s="306">
        <f t="shared" si="5"/>
        <v>0</v>
      </c>
      <c r="V24" s="119">
        <f>'As-Filed Schedule 2M'!N24</f>
        <v>0</v>
      </c>
      <c r="W24" s="309">
        <f>SUMIFS(Adjustments!$G:$G,Adjustments!$H:$H,"2M",Adjustments!$I:$I,'Schedule 2M Adjustments'!$V$12,Adjustments!$J:$J,'Schedule 2M Adjustments'!$A24)</f>
        <v>0</v>
      </c>
      <c r="X24" s="305">
        <f t="shared" si="6"/>
        <v>0</v>
      </c>
      <c r="Y24" s="119">
        <f>'As-Filed Schedule 2M'!O24</f>
        <v>0</v>
      </c>
      <c r="Z24" s="309">
        <f>SUMIFS(Adjustments!$G:$G,Adjustments!$H:$H,"2M",Adjustments!$I:$I,'Schedule 2M Adjustments'!$Y$12,Adjustments!$J:$J,'Schedule 2M Adjustments'!$A24)</f>
        <v>0</v>
      </c>
      <c r="AA24" s="305">
        <f t="shared" si="7"/>
        <v>0</v>
      </c>
    </row>
    <row r="25" spans="1:27" x14ac:dyDescent="0.35">
      <c r="A25" s="24">
        <v>11</v>
      </c>
      <c r="B25" s="514" t="str">
        <f>IF('As-Filed Schedule 2M'!B25:D25=0,"",'As-Filed Schedule 2M'!B25:D25)</f>
        <v/>
      </c>
      <c r="C25" s="514"/>
      <c r="D25" s="514"/>
      <c r="F25" s="117">
        <f>'As-Filed Schedule 2M'!F25</f>
        <v>0</v>
      </c>
      <c r="G25" s="309">
        <f>SUMIFS(Adjustments!$G:$G,Adjustments!$H:$H,"2M",Adjustments!$I:$I,'Schedule 2M Adjustments'!$F$12,Adjustments!$J:$J,'Schedule 2M Adjustments'!$A25)</f>
        <v>0</v>
      </c>
      <c r="H25" s="305">
        <f t="shared" si="0"/>
        <v>0</v>
      </c>
      <c r="I25" s="68">
        <f>IFERROR(F25*'As-Filed Schedule 1'!$E$103,0)</f>
        <v>0</v>
      </c>
      <c r="J25" s="306">
        <f>IFERROR(H25*'Adjusted Schedule 1'!$E$104,0)</f>
        <v>0</v>
      </c>
      <c r="K25" s="68">
        <f t="shared" si="1"/>
        <v>0</v>
      </c>
      <c r="L25" s="306">
        <f t="shared" si="2"/>
        <v>0</v>
      </c>
      <c r="N25" s="117">
        <f>'As-Filed Schedule 2M'!J25</f>
        <v>0</v>
      </c>
      <c r="O25" s="309">
        <f>SUMIFS(Adjustments!$G:$G,Adjustments!$H:$H,"2M",Adjustments!$I:$I,'Schedule 2M Adjustments'!$N$12,Adjustments!$J:$J,'Schedule 2M Adjustments'!$A25)</f>
        <v>0</v>
      </c>
      <c r="P25" s="305">
        <f t="shared" si="3"/>
        <v>0</v>
      </c>
      <c r="Q25" s="68">
        <f>IFERROR(N25*'As-Filed Schedule 1'!$E$103,0)</f>
        <v>0</v>
      </c>
      <c r="R25" s="68">
        <f>IFERROR(P25*'Adjusted Schedule 1'!$E$104,0)</f>
        <v>0</v>
      </c>
      <c r="S25" s="68">
        <f t="shared" si="4"/>
        <v>0</v>
      </c>
      <c r="T25" s="306">
        <f t="shared" si="5"/>
        <v>0</v>
      </c>
      <c r="V25" s="119">
        <f>'As-Filed Schedule 2M'!N25</f>
        <v>0</v>
      </c>
      <c r="W25" s="309">
        <f>SUMIFS(Adjustments!$G:$G,Adjustments!$H:$H,"2M",Adjustments!$I:$I,'Schedule 2M Adjustments'!$V$12,Adjustments!$J:$J,'Schedule 2M Adjustments'!$A25)</f>
        <v>0</v>
      </c>
      <c r="X25" s="305">
        <f t="shared" si="6"/>
        <v>0</v>
      </c>
      <c r="Y25" s="119">
        <f>'As-Filed Schedule 2M'!O25</f>
        <v>0</v>
      </c>
      <c r="Z25" s="309">
        <f>SUMIFS(Adjustments!$G:$G,Adjustments!$H:$H,"2M",Adjustments!$I:$I,'Schedule 2M Adjustments'!$Y$12,Adjustments!$J:$J,'Schedule 2M Adjustments'!$A25)</f>
        <v>0</v>
      </c>
      <c r="AA25" s="305">
        <f t="shared" si="7"/>
        <v>0</v>
      </c>
    </row>
    <row r="26" spans="1:27" x14ac:dyDescent="0.35">
      <c r="A26" s="24">
        <v>12</v>
      </c>
      <c r="B26" s="514" t="str">
        <f>IF('As-Filed Schedule 2M'!B26:D26=0,"",'As-Filed Schedule 2M'!B26:D26)</f>
        <v/>
      </c>
      <c r="C26" s="514"/>
      <c r="D26" s="514"/>
      <c r="F26" s="117">
        <f>'As-Filed Schedule 2M'!F26</f>
        <v>0</v>
      </c>
      <c r="G26" s="309">
        <f>SUMIFS(Adjustments!$G:$G,Adjustments!$H:$H,"2M",Adjustments!$I:$I,'Schedule 2M Adjustments'!$F$12,Adjustments!$J:$J,'Schedule 2M Adjustments'!$A26)</f>
        <v>0</v>
      </c>
      <c r="H26" s="305">
        <f t="shared" si="0"/>
        <v>0</v>
      </c>
      <c r="I26" s="68">
        <f>IFERROR(F26*'As-Filed Schedule 1'!$E$103,0)</f>
        <v>0</v>
      </c>
      <c r="J26" s="306">
        <f>IFERROR(H26*'Adjusted Schedule 1'!$E$104,0)</f>
        <v>0</v>
      </c>
      <c r="K26" s="68">
        <f t="shared" si="1"/>
        <v>0</v>
      </c>
      <c r="L26" s="306">
        <f t="shared" si="2"/>
        <v>0</v>
      </c>
      <c r="N26" s="117">
        <f>'As-Filed Schedule 2M'!J26</f>
        <v>0</v>
      </c>
      <c r="O26" s="309">
        <f>SUMIFS(Adjustments!$G:$G,Adjustments!$H:$H,"2M",Adjustments!$I:$I,'Schedule 2M Adjustments'!$N$12,Adjustments!$J:$J,'Schedule 2M Adjustments'!$A26)</f>
        <v>0</v>
      </c>
      <c r="P26" s="305">
        <f t="shared" si="3"/>
        <v>0</v>
      </c>
      <c r="Q26" s="68">
        <f>IFERROR(N26*'As-Filed Schedule 1'!$E$103,0)</f>
        <v>0</v>
      </c>
      <c r="R26" s="68">
        <f>IFERROR(P26*'Adjusted Schedule 1'!$E$104,0)</f>
        <v>0</v>
      </c>
      <c r="S26" s="68">
        <f t="shared" si="4"/>
        <v>0</v>
      </c>
      <c r="T26" s="306">
        <f t="shared" si="5"/>
        <v>0</v>
      </c>
      <c r="V26" s="119">
        <f>'As-Filed Schedule 2M'!N26</f>
        <v>0</v>
      </c>
      <c r="W26" s="309">
        <f>SUMIFS(Adjustments!$G:$G,Adjustments!$H:$H,"2M",Adjustments!$I:$I,'Schedule 2M Adjustments'!$V$12,Adjustments!$J:$J,'Schedule 2M Adjustments'!$A26)</f>
        <v>0</v>
      </c>
      <c r="X26" s="305">
        <f t="shared" si="6"/>
        <v>0</v>
      </c>
      <c r="Y26" s="119">
        <f>'As-Filed Schedule 2M'!O26</f>
        <v>0</v>
      </c>
      <c r="Z26" s="309">
        <f>SUMIFS(Adjustments!$G:$G,Adjustments!$H:$H,"2M",Adjustments!$I:$I,'Schedule 2M Adjustments'!$Y$12,Adjustments!$J:$J,'Schedule 2M Adjustments'!$A26)</f>
        <v>0</v>
      </c>
      <c r="AA26" s="305">
        <f t="shared" si="7"/>
        <v>0</v>
      </c>
    </row>
    <row r="27" spans="1:27" x14ac:dyDescent="0.35">
      <c r="A27" s="24">
        <v>13</v>
      </c>
      <c r="B27" s="514" t="str">
        <f>IF('As-Filed Schedule 2M'!B27:D27=0,"",'As-Filed Schedule 2M'!B27:D27)</f>
        <v/>
      </c>
      <c r="C27" s="514"/>
      <c r="D27" s="514"/>
      <c r="F27" s="117">
        <f>'As-Filed Schedule 2M'!F27</f>
        <v>0</v>
      </c>
      <c r="G27" s="309">
        <f>SUMIFS(Adjustments!$G:$G,Adjustments!$H:$H,"2M",Adjustments!$I:$I,'Schedule 2M Adjustments'!$F$12,Adjustments!$J:$J,'Schedule 2M Adjustments'!$A27)</f>
        <v>0</v>
      </c>
      <c r="H27" s="305">
        <f t="shared" si="0"/>
        <v>0</v>
      </c>
      <c r="I27" s="68">
        <f>IFERROR(F27*'As-Filed Schedule 1'!$E$103,0)</f>
        <v>0</v>
      </c>
      <c r="J27" s="306">
        <f>IFERROR(H27*'Adjusted Schedule 1'!$E$104,0)</f>
        <v>0</v>
      </c>
      <c r="K27" s="68">
        <f t="shared" si="1"/>
        <v>0</v>
      </c>
      <c r="L27" s="306">
        <f t="shared" si="2"/>
        <v>0</v>
      </c>
      <c r="N27" s="117">
        <f>'As-Filed Schedule 2M'!J27</f>
        <v>0</v>
      </c>
      <c r="O27" s="309">
        <f>SUMIFS(Adjustments!$G:$G,Adjustments!$H:$H,"2M",Adjustments!$I:$I,'Schedule 2M Adjustments'!$N$12,Adjustments!$J:$J,'Schedule 2M Adjustments'!$A27)</f>
        <v>0</v>
      </c>
      <c r="P27" s="305">
        <f t="shared" si="3"/>
        <v>0</v>
      </c>
      <c r="Q27" s="68">
        <f>IFERROR(N27*'As-Filed Schedule 1'!$E$103,0)</f>
        <v>0</v>
      </c>
      <c r="R27" s="68">
        <f>IFERROR(P27*'Adjusted Schedule 1'!$E$104,0)</f>
        <v>0</v>
      </c>
      <c r="S27" s="68">
        <f t="shared" si="4"/>
        <v>0</v>
      </c>
      <c r="T27" s="306">
        <f t="shared" si="5"/>
        <v>0</v>
      </c>
      <c r="V27" s="119">
        <f>'As-Filed Schedule 2M'!N27</f>
        <v>0</v>
      </c>
      <c r="W27" s="309">
        <f>SUMIFS(Adjustments!$G:$G,Adjustments!$H:$H,"2M",Adjustments!$I:$I,'Schedule 2M Adjustments'!$V$12,Adjustments!$J:$J,'Schedule 2M Adjustments'!$A27)</f>
        <v>0</v>
      </c>
      <c r="X27" s="305">
        <f t="shared" si="6"/>
        <v>0</v>
      </c>
      <c r="Y27" s="119">
        <f>'As-Filed Schedule 2M'!O27</f>
        <v>0</v>
      </c>
      <c r="Z27" s="309">
        <f>SUMIFS(Adjustments!$G:$G,Adjustments!$H:$H,"2M",Adjustments!$I:$I,'Schedule 2M Adjustments'!$Y$12,Adjustments!$J:$J,'Schedule 2M Adjustments'!$A27)</f>
        <v>0</v>
      </c>
      <c r="AA27" s="305">
        <f t="shared" si="7"/>
        <v>0</v>
      </c>
    </row>
    <row r="28" spans="1:27" x14ac:dyDescent="0.35">
      <c r="A28" s="24">
        <v>14</v>
      </c>
      <c r="B28" s="514" t="str">
        <f>IF('As-Filed Schedule 2M'!B28:D28=0,"",'As-Filed Schedule 2M'!B28:D28)</f>
        <v/>
      </c>
      <c r="C28" s="514"/>
      <c r="D28" s="514"/>
      <c r="F28" s="117">
        <f>'As-Filed Schedule 2M'!F28</f>
        <v>0</v>
      </c>
      <c r="G28" s="309">
        <f>SUMIFS(Adjustments!$G:$G,Adjustments!$H:$H,"2M",Adjustments!$I:$I,'Schedule 2M Adjustments'!$F$12,Adjustments!$J:$J,'Schedule 2M Adjustments'!$A28)</f>
        <v>0</v>
      </c>
      <c r="H28" s="305">
        <f t="shared" si="0"/>
        <v>0</v>
      </c>
      <c r="I28" s="68">
        <f>IFERROR(F28*'As-Filed Schedule 1'!$E$103,0)</f>
        <v>0</v>
      </c>
      <c r="J28" s="306">
        <f>IFERROR(H28*'Adjusted Schedule 1'!$E$104,0)</f>
        <v>0</v>
      </c>
      <c r="K28" s="68">
        <f t="shared" si="1"/>
        <v>0</v>
      </c>
      <c r="L28" s="306">
        <f t="shared" si="2"/>
        <v>0</v>
      </c>
      <c r="N28" s="117">
        <f>'As-Filed Schedule 2M'!J28</f>
        <v>0</v>
      </c>
      <c r="O28" s="309">
        <f>SUMIFS(Adjustments!$G:$G,Adjustments!$H:$H,"2M",Adjustments!$I:$I,'Schedule 2M Adjustments'!$N$12,Adjustments!$J:$J,'Schedule 2M Adjustments'!$A28)</f>
        <v>0</v>
      </c>
      <c r="P28" s="305">
        <f t="shared" si="3"/>
        <v>0</v>
      </c>
      <c r="Q28" s="68">
        <f>IFERROR(N28*'As-Filed Schedule 1'!$E$103,0)</f>
        <v>0</v>
      </c>
      <c r="R28" s="68">
        <f>IFERROR(P28*'Adjusted Schedule 1'!$E$104,0)</f>
        <v>0</v>
      </c>
      <c r="S28" s="68">
        <f t="shared" si="4"/>
        <v>0</v>
      </c>
      <c r="T28" s="306">
        <f t="shared" si="5"/>
        <v>0</v>
      </c>
      <c r="V28" s="119">
        <f>'As-Filed Schedule 2M'!N28</f>
        <v>0</v>
      </c>
      <c r="W28" s="309">
        <f>SUMIFS(Adjustments!$G:$G,Adjustments!$H:$H,"2M",Adjustments!$I:$I,'Schedule 2M Adjustments'!$V$12,Adjustments!$J:$J,'Schedule 2M Adjustments'!$A28)</f>
        <v>0</v>
      </c>
      <c r="X28" s="305">
        <f t="shared" si="6"/>
        <v>0</v>
      </c>
      <c r="Y28" s="119">
        <f>'As-Filed Schedule 2M'!O28</f>
        <v>0</v>
      </c>
      <c r="Z28" s="309">
        <f>SUMIFS(Adjustments!$G:$G,Adjustments!$H:$H,"2M",Adjustments!$I:$I,'Schedule 2M Adjustments'!$Y$12,Adjustments!$J:$J,'Schedule 2M Adjustments'!$A28)</f>
        <v>0</v>
      </c>
      <c r="AA28" s="305">
        <f t="shared" si="7"/>
        <v>0</v>
      </c>
    </row>
    <row r="29" spans="1:27" x14ac:dyDescent="0.35">
      <c r="A29" s="24">
        <v>15</v>
      </c>
      <c r="B29" s="514" t="str">
        <f>IF('As-Filed Schedule 2M'!B29:D29=0,"",'As-Filed Schedule 2M'!B29:D29)</f>
        <v/>
      </c>
      <c r="C29" s="514"/>
      <c r="D29" s="514"/>
      <c r="F29" s="117">
        <f>'As-Filed Schedule 2M'!F29</f>
        <v>0</v>
      </c>
      <c r="G29" s="309">
        <f>SUMIFS(Adjustments!$G:$G,Adjustments!$H:$H,"2M",Adjustments!$I:$I,'Schedule 2M Adjustments'!$F$12,Adjustments!$J:$J,'Schedule 2M Adjustments'!$A29)</f>
        <v>0</v>
      </c>
      <c r="H29" s="305">
        <f t="shared" si="0"/>
        <v>0</v>
      </c>
      <c r="I29" s="68">
        <f>IFERROR(F29*'As-Filed Schedule 1'!$E$103,0)</f>
        <v>0</v>
      </c>
      <c r="J29" s="306">
        <f>IFERROR(H29*'Adjusted Schedule 1'!$E$104,0)</f>
        <v>0</v>
      </c>
      <c r="K29" s="68">
        <f t="shared" si="1"/>
        <v>0</v>
      </c>
      <c r="L29" s="306">
        <f t="shared" si="2"/>
        <v>0</v>
      </c>
      <c r="N29" s="117">
        <f>'As-Filed Schedule 2M'!J29</f>
        <v>0</v>
      </c>
      <c r="O29" s="309">
        <f>SUMIFS(Adjustments!$G:$G,Adjustments!$H:$H,"2M",Adjustments!$I:$I,'Schedule 2M Adjustments'!$N$12,Adjustments!$J:$J,'Schedule 2M Adjustments'!$A29)</f>
        <v>0</v>
      </c>
      <c r="P29" s="305">
        <f t="shared" si="3"/>
        <v>0</v>
      </c>
      <c r="Q29" s="68">
        <f>IFERROR(N29*'As-Filed Schedule 1'!$E$103,0)</f>
        <v>0</v>
      </c>
      <c r="R29" s="68">
        <f>IFERROR(P29*'Adjusted Schedule 1'!$E$104,0)</f>
        <v>0</v>
      </c>
      <c r="S29" s="68">
        <f t="shared" si="4"/>
        <v>0</v>
      </c>
      <c r="T29" s="306">
        <f t="shared" si="5"/>
        <v>0</v>
      </c>
      <c r="V29" s="119">
        <f>'As-Filed Schedule 2M'!N29</f>
        <v>0</v>
      </c>
      <c r="W29" s="309">
        <f>SUMIFS(Adjustments!$G:$G,Adjustments!$H:$H,"2M",Adjustments!$I:$I,'Schedule 2M Adjustments'!$V$12,Adjustments!$J:$J,'Schedule 2M Adjustments'!$A29)</f>
        <v>0</v>
      </c>
      <c r="X29" s="305">
        <f t="shared" si="6"/>
        <v>0</v>
      </c>
      <c r="Y29" s="119">
        <f>'As-Filed Schedule 2M'!O29</f>
        <v>0</v>
      </c>
      <c r="Z29" s="309">
        <f>SUMIFS(Adjustments!$G:$G,Adjustments!$H:$H,"2M",Adjustments!$I:$I,'Schedule 2M Adjustments'!$Y$12,Adjustments!$J:$J,'Schedule 2M Adjustments'!$A29)</f>
        <v>0</v>
      </c>
      <c r="AA29" s="305">
        <f t="shared" si="7"/>
        <v>0</v>
      </c>
    </row>
    <row r="30" spans="1:27" x14ac:dyDescent="0.35">
      <c r="A30" s="24">
        <v>16</v>
      </c>
      <c r="B30" s="514" t="str">
        <f>IF('As-Filed Schedule 2M'!B30:D30=0,"",'As-Filed Schedule 2M'!B30:D30)</f>
        <v/>
      </c>
      <c r="C30" s="514"/>
      <c r="D30" s="514"/>
      <c r="F30" s="117">
        <f>'As-Filed Schedule 2M'!F30</f>
        <v>0</v>
      </c>
      <c r="G30" s="309">
        <f>SUMIFS(Adjustments!$G:$G,Adjustments!$H:$H,"2M",Adjustments!$I:$I,'Schedule 2M Adjustments'!$F$12,Adjustments!$J:$J,'Schedule 2M Adjustments'!$A30)</f>
        <v>0</v>
      </c>
      <c r="H30" s="305">
        <f t="shared" si="0"/>
        <v>0</v>
      </c>
      <c r="I30" s="68">
        <f>IFERROR(F30*'As-Filed Schedule 1'!$E$103,0)</f>
        <v>0</v>
      </c>
      <c r="J30" s="306">
        <f>IFERROR(H30*'Adjusted Schedule 1'!$E$104,0)</f>
        <v>0</v>
      </c>
      <c r="K30" s="68">
        <f t="shared" si="1"/>
        <v>0</v>
      </c>
      <c r="L30" s="306">
        <f t="shared" si="2"/>
        <v>0</v>
      </c>
      <c r="N30" s="117">
        <f>'As-Filed Schedule 2M'!J30</f>
        <v>0</v>
      </c>
      <c r="O30" s="309">
        <f>SUMIFS(Adjustments!$G:$G,Adjustments!$H:$H,"2M",Adjustments!$I:$I,'Schedule 2M Adjustments'!$N$12,Adjustments!$J:$J,'Schedule 2M Adjustments'!$A30)</f>
        <v>0</v>
      </c>
      <c r="P30" s="305">
        <f t="shared" si="3"/>
        <v>0</v>
      </c>
      <c r="Q30" s="68">
        <f>IFERROR(N30*'As-Filed Schedule 1'!$E$103,0)</f>
        <v>0</v>
      </c>
      <c r="R30" s="68">
        <f>IFERROR(P30*'Adjusted Schedule 1'!$E$104,0)</f>
        <v>0</v>
      </c>
      <c r="S30" s="68">
        <f t="shared" si="4"/>
        <v>0</v>
      </c>
      <c r="T30" s="306">
        <f t="shared" si="5"/>
        <v>0</v>
      </c>
      <c r="V30" s="119">
        <f>'As-Filed Schedule 2M'!N30</f>
        <v>0</v>
      </c>
      <c r="W30" s="309">
        <f>SUMIFS(Adjustments!$G:$G,Adjustments!$H:$H,"2M",Adjustments!$I:$I,'Schedule 2M Adjustments'!$V$12,Adjustments!$J:$J,'Schedule 2M Adjustments'!$A30)</f>
        <v>0</v>
      </c>
      <c r="X30" s="305">
        <f t="shared" si="6"/>
        <v>0</v>
      </c>
      <c r="Y30" s="119">
        <f>'As-Filed Schedule 2M'!O30</f>
        <v>0</v>
      </c>
      <c r="Z30" s="309">
        <f>SUMIFS(Adjustments!$G:$G,Adjustments!$H:$H,"2M",Adjustments!$I:$I,'Schedule 2M Adjustments'!$Y$12,Adjustments!$J:$J,'Schedule 2M Adjustments'!$A30)</f>
        <v>0</v>
      </c>
      <c r="AA30" s="305">
        <f t="shared" si="7"/>
        <v>0</v>
      </c>
    </row>
    <row r="31" spans="1:27" x14ac:dyDescent="0.35">
      <c r="A31" s="24">
        <v>17</v>
      </c>
      <c r="B31" s="514" t="str">
        <f>IF('As-Filed Schedule 2M'!B31:D31=0,"",'As-Filed Schedule 2M'!B31:D31)</f>
        <v/>
      </c>
      <c r="C31" s="514"/>
      <c r="D31" s="514"/>
      <c r="F31" s="117">
        <f>'As-Filed Schedule 2M'!F31</f>
        <v>0</v>
      </c>
      <c r="G31" s="309">
        <f>SUMIFS(Adjustments!$G:$G,Adjustments!$H:$H,"2M",Adjustments!$I:$I,'Schedule 2M Adjustments'!$F$12,Adjustments!$J:$J,'Schedule 2M Adjustments'!$A31)</f>
        <v>0</v>
      </c>
      <c r="H31" s="305">
        <f t="shared" si="0"/>
        <v>0</v>
      </c>
      <c r="I31" s="68">
        <f>IFERROR(F31*'As-Filed Schedule 1'!$E$103,0)</f>
        <v>0</v>
      </c>
      <c r="J31" s="306">
        <f>IFERROR(H31*'Adjusted Schedule 1'!$E$104,0)</f>
        <v>0</v>
      </c>
      <c r="K31" s="68">
        <f t="shared" si="1"/>
        <v>0</v>
      </c>
      <c r="L31" s="306">
        <f t="shared" si="2"/>
        <v>0</v>
      </c>
      <c r="N31" s="117">
        <f>'As-Filed Schedule 2M'!J31</f>
        <v>0</v>
      </c>
      <c r="O31" s="309">
        <f>SUMIFS(Adjustments!$G:$G,Adjustments!$H:$H,"2M",Adjustments!$I:$I,'Schedule 2M Adjustments'!$N$12,Adjustments!$J:$J,'Schedule 2M Adjustments'!$A31)</f>
        <v>0</v>
      </c>
      <c r="P31" s="305">
        <f t="shared" si="3"/>
        <v>0</v>
      </c>
      <c r="Q31" s="68">
        <f>IFERROR(N31*'As-Filed Schedule 1'!$E$103,0)</f>
        <v>0</v>
      </c>
      <c r="R31" s="68">
        <f>IFERROR(P31*'Adjusted Schedule 1'!$E$104,0)</f>
        <v>0</v>
      </c>
      <c r="S31" s="68">
        <f t="shared" si="4"/>
        <v>0</v>
      </c>
      <c r="T31" s="306">
        <f t="shared" si="5"/>
        <v>0</v>
      </c>
      <c r="V31" s="119">
        <f>'As-Filed Schedule 2M'!N31</f>
        <v>0</v>
      </c>
      <c r="W31" s="309">
        <f>SUMIFS(Adjustments!$G:$G,Adjustments!$H:$H,"2M",Adjustments!$I:$I,'Schedule 2M Adjustments'!$V$12,Adjustments!$J:$J,'Schedule 2M Adjustments'!$A31)</f>
        <v>0</v>
      </c>
      <c r="X31" s="305">
        <f t="shared" si="6"/>
        <v>0</v>
      </c>
      <c r="Y31" s="119">
        <f>'As-Filed Schedule 2M'!O31</f>
        <v>0</v>
      </c>
      <c r="Z31" s="309">
        <f>SUMIFS(Adjustments!$G:$G,Adjustments!$H:$H,"2M",Adjustments!$I:$I,'Schedule 2M Adjustments'!$Y$12,Adjustments!$J:$J,'Schedule 2M Adjustments'!$A31)</f>
        <v>0</v>
      </c>
      <c r="AA31" s="305">
        <f t="shared" si="7"/>
        <v>0</v>
      </c>
    </row>
    <row r="32" spans="1:27" x14ac:dyDescent="0.35">
      <c r="A32" s="24">
        <v>18</v>
      </c>
      <c r="B32" s="514" t="str">
        <f>IF('As-Filed Schedule 2M'!B32:D32=0,"",'As-Filed Schedule 2M'!B32:D32)</f>
        <v/>
      </c>
      <c r="C32" s="514"/>
      <c r="D32" s="514"/>
      <c r="F32" s="117">
        <f>'As-Filed Schedule 2M'!F32</f>
        <v>0</v>
      </c>
      <c r="G32" s="309">
        <f>SUMIFS(Adjustments!$G:$G,Adjustments!$H:$H,"2M",Adjustments!$I:$I,'Schedule 2M Adjustments'!$F$12,Adjustments!$J:$J,'Schedule 2M Adjustments'!$A32)</f>
        <v>0</v>
      </c>
      <c r="H32" s="305">
        <f t="shared" si="0"/>
        <v>0</v>
      </c>
      <c r="I32" s="68">
        <f>IFERROR(F32*'As-Filed Schedule 1'!$E$103,0)</f>
        <v>0</v>
      </c>
      <c r="J32" s="306">
        <f>IFERROR(H32*'Adjusted Schedule 1'!$E$104,0)</f>
        <v>0</v>
      </c>
      <c r="K32" s="68">
        <f t="shared" si="1"/>
        <v>0</v>
      </c>
      <c r="L32" s="306">
        <f t="shared" si="2"/>
        <v>0</v>
      </c>
      <c r="N32" s="117">
        <f>'As-Filed Schedule 2M'!J32</f>
        <v>0</v>
      </c>
      <c r="O32" s="309">
        <f>SUMIFS(Adjustments!$G:$G,Adjustments!$H:$H,"2M",Adjustments!$I:$I,'Schedule 2M Adjustments'!$N$12,Adjustments!$J:$J,'Schedule 2M Adjustments'!$A32)</f>
        <v>0</v>
      </c>
      <c r="P32" s="305">
        <f t="shared" si="3"/>
        <v>0</v>
      </c>
      <c r="Q32" s="68">
        <f>IFERROR(N32*'As-Filed Schedule 1'!$E$103,0)</f>
        <v>0</v>
      </c>
      <c r="R32" s="68">
        <f>IFERROR(P32*'Adjusted Schedule 1'!$E$104,0)</f>
        <v>0</v>
      </c>
      <c r="S32" s="68">
        <f t="shared" si="4"/>
        <v>0</v>
      </c>
      <c r="T32" s="306">
        <f t="shared" si="5"/>
        <v>0</v>
      </c>
      <c r="V32" s="119">
        <f>'As-Filed Schedule 2M'!N32</f>
        <v>0</v>
      </c>
      <c r="W32" s="309">
        <f>SUMIFS(Adjustments!$G:$G,Adjustments!$H:$H,"2M",Adjustments!$I:$I,'Schedule 2M Adjustments'!$V$12,Adjustments!$J:$J,'Schedule 2M Adjustments'!$A32)</f>
        <v>0</v>
      </c>
      <c r="X32" s="305">
        <f t="shared" si="6"/>
        <v>0</v>
      </c>
      <c r="Y32" s="119">
        <f>'As-Filed Schedule 2M'!O32</f>
        <v>0</v>
      </c>
      <c r="Z32" s="309">
        <f>SUMIFS(Adjustments!$G:$G,Adjustments!$H:$H,"2M",Adjustments!$I:$I,'Schedule 2M Adjustments'!$Y$12,Adjustments!$J:$J,'Schedule 2M Adjustments'!$A32)</f>
        <v>0</v>
      </c>
      <c r="AA32" s="305">
        <f t="shared" si="7"/>
        <v>0</v>
      </c>
    </row>
    <row r="33" spans="1:27" x14ac:dyDescent="0.35">
      <c r="A33" s="24">
        <v>19</v>
      </c>
      <c r="B33" s="514" t="str">
        <f>IF('As-Filed Schedule 2M'!B33:D33=0,"",'As-Filed Schedule 2M'!B33:D33)</f>
        <v/>
      </c>
      <c r="C33" s="514"/>
      <c r="D33" s="514"/>
      <c r="F33" s="117">
        <f>'As-Filed Schedule 2M'!F33</f>
        <v>0</v>
      </c>
      <c r="G33" s="309">
        <f>SUMIFS(Adjustments!$G:$G,Adjustments!$H:$H,"2M",Adjustments!$I:$I,'Schedule 2M Adjustments'!$F$12,Adjustments!$J:$J,'Schedule 2M Adjustments'!$A33)</f>
        <v>0</v>
      </c>
      <c r="H33" s="305">
        <f t="shared" si="0"/>
        <v>0</v>
      </c>
      <c r="I33" s="68">
        <f>IFERROR(F33*'As-Filed Schedule 1'!$E$103,0)</f>
        <v>0</v>
      </c>
      <c r="J33" s="306">
        <f>IFERROR(H33*'Adjusted Schedule 1'!$E$104,0)</f>
        <v>0</v>
      </c>
      <c r="K33" s="68">
        <f t="shared" si="1"/>
        <v>0</v>
      </c>
      <c r="L33" s="306">
        <f t="shared" si="2"/>
        <v>0</v>
      </c>
      <c r="N33" s="117">
        <f>'As-Filed Schedule 2M'!J33</f>
        <v>0</v>
      </c>
      <c r="O33" s="309">
        <f>SUMIFS(Adjustments!$G:$G,Adjustments!$H:$H,"2M",Adjustments!$I:$I,'Schedule 2M Adjustments'!$N$12,Adjustments!$J:$J,'Schedule 2M Adjustments'!$A33)</f>
        <v>0</v>
      </c>
      <c r="P33" s="305">
        <f t="shared" si="3"/>
        <v>0</v>
      </c>
      <c r="Q33" s="68">
        <f>IFERROR(N33*'As-Filed Schedule 1'!$E$103,0)</f>
        <v>0</v>
      </c>
      <c r="R33" s="68">
        <f>IFERROR(P33*'Adjusted Schedule 1'!$E$104,0)</f>
        <v>0</v>
      </c>
      <c r="S33" s="68">
        <f t="shared" si="4"/>
        <v>0</v>
      </c>
      <c r="T33" s="306">
        <f t="shared" si="5"/>
        <v>0</v>
      </c>
      <c r="V33" s="119">
        <f>'As-Filed Schedule 2M'!N33</f>
        <v>0</v>
      </c>
      <c r="W33" s="309">
        <f>SUMIFS(Adjustments!$G:$G,Adjustments!$H:$H,"2M",Adjustments!$I:$I,'Schedule 2M Adjustments'!$V$12,Adjustments!$J:$J,'Schedule 2M Adjustments'!$A33)</f>
        <v>0</v>
      </c>
      <c r="X33" s="305">
        <f t="shared" si="6"/>
        <v>0</v>
      </c>
      <c r="Y33" s="119">
        <f>'As-Filed Schedule 2M'!O33</f>
        <v>0</v>
      </c>
      <c r="Z33" s="309">
        <f>SUMIFS(Adjustments!$G:$G,Adjustments!$H:$H,"2M",Adjustments!$I:$I,'Schedule 2M Adjustments'!$Y$12,Adjustments!$J:$J,'Schedule 2M Adjustments'!$A33)</f>
        <v>0</v>
      </c>
      <c r="AA33" s="305">
        <f t="shared" si="7"/>
        <v>0</v>
      </c>
    </row>
    <row r="34" spans="1:27" x14ac:dyDescent="0.35">
      <c r="A34" s="24">
        <v>20</v>
      </c>
      <c r="B34" s="514" t="str">
        <f>IF('As-Filed Schedule 2M'!B34:D34=0,"",'As-Filed Schedule 2M'!B34:D34)</f>
        <v/>
      </c>
      <c r="C34" s="514"/>
      <c r="D34" s="514"/>
      <c r="F34" s="117">
        <f>'As-Filed Schedule 2M'!F34</f>
        <v>0</v>
      </c>
      <c r="G34" s="309">
        <f>SUMIFS(Adjustments!$G:$G,Adjustments!$H:$H,"2M",Adjustments!$I:$I,'Schedule 2M Adjustments'!$F$12,Adjustments!$J:$J,'Schedule 2M Adjustments'!$A34)</f>
        <v>0</v>
      </c>
      <c r="H34" s="305">
        <f t="shared" si="0"/>
        <v>0</v>
      </c>
      <c r="I34" s="68">
        <f>IFERROR(F34*'As-Filed Schedule 1'!$E$103,0)</f>
        <v>0</v>
      </c>
      <c r="J34" s="306">
        <f>IFERROR(H34*'Adjusted Schedule 1'!$E$104,0)</f>
        <v>0</v>
      </c>
      <c r="K34" s="68">
        <f t="shared" si="1"/>
        <v>0</v>
      </c>
      <c r="L34" s="306">
        <f t="shared" si="2"/>
        <v>0</v>
      </c>
      <c r="N34" s="117">
        <f>'As-Filed Schedule 2M'!J34</f>
        <v>0</v>
      </c>
      <c r="O34" s="309">
        <f>SUMIFS(Adjustments!$G:$G,Adjustments!$H:$H,"2M",Adjustments!$I:$I,'Schedule 2M Adjustments'!$N$12,Adjustments!$J:$J,'Schedule 2M Adjustments'!$A34)</f>
        <v>0</v>
      </c>
      <c r="P34" s="305">
        <f t="shared" si="3"/>
        <v>0</v>
      </c>
      <c r="Q34" s="68">
        <f>IFERROR(N34*'As-Filed Schedule 1'!$E$103,0)</f>
        <v>0</v>
      </c>
      <c r="R34" s="68">
        <f>IFERROR(P34*'Adjusted Schedule 1'!$E$104,0)</f>
        <v>0</v>
      </c>
      <c r="S34" s="68">
        <f t="shared" si="4"/>
        <v>0</v>
      </c>
      <c r="T34" s="306">
        <f t="shared" si="5"/>
        <v>0</v>
      </c>
      <c r="V34" s="119">
        <f>'As-Filed Schedule 2M'!N34</f>
        <v>0</v>
      </c>
      <c r="W34" s="309">
        <f>SUMIFS(Adjustments!$G:$G,Adjustments!$H:$H,"2M",Adjustments!$I:$I,'Schedule 2M Adjustments'!$V$12,Adjustments!$J:$J,'Schedule 2M Adjustments'!$A34)</f>
        <v>0</v>
      </c>
      <c r="X34" s="305">
        <f t="shared" si="6"/>
        <v>0</v>
      </c>
      <c r="Y34" s="119">
        <f>'As-Filed Schedule 2M'!O34</f>
        <v>0</v>
      </c>
      <c r="Z34" s="309">
        <f>SUMIFS(Adjustments!$G:$G,Adjustments!$H:$H,"2M",Adjustments!$I:$I,'Schedule 2M Adjustments'!$Y$12,Adjustments!$J:$J,'Schedule 2M Adjustments'!$A34)</f>
        <v>0</v>
      </c>
      <c r="AA34" s="305">
        <f t="shared" si="7"/>
        <v>0</v>
      </c>
    </row>
    <row r="35" spans="1:27" x14ac:dyDescent="0.35">
      <c r="A35" s="24">
        <v>21</v>
      </c>
      <c r="B35" s="514" t="str">
        <f>IF('As-Filed Schedule 2M'!B35:D35=0,"",'As-Filed Schedule 2M'!B35:D35)</f>
        <v/>
      </c>
      <c r="C35" s="514"/>
      <c r="D35" s="514"/>
      <c r="F35" s="117">
        <f>'As-Filed Schedule 2M'!F35</f>
        <v>0</v>
      </c>
      <c r="G35" s="309">
        <f>SUMIFS(Adjustments!$G:$G,Adjustments!$H:$H,"2M",Adjustments!$I:$I,'Schedule 2M Adjustments'!$F$12,Adjustments!$J:$J,'Schedule 2M Adjustments'!$A35)</f>
        <v>0</v>
      </c>
      <c r="H35" s="305">
        <f t="shared" si="0"/>
        <v>0</v>
      </c>
      <c r="I35" s="68">
        <f>IFERROR(F35*'As-Filed Schedule 1'!$E$103,0)</f>
        <v>0</v>
      </c>
      <c r="J35" s="306">
        <f>IFERROR(H35*'Adjusted Schedule 1'!$E$104,0)</f>
        <v>0</v>
      </c>
      <c r="K35" s="68">
        <f t="shared" si="1"/>
        <v>0</v>
      </c>
      <c r="L35" s="306">
        <f t="shared" si="2"/>
        <v>0</v>
      </c>
      <c r="N35" s="117">
        <f>'As-Filed Schedule 2M'!J35</f>
        <v>0</v>
      </c>
      <c r="O35" s="309">
        <f>SUMIFS(Adjustments!$G:$G,Adjustments!$H:$H,"2M",Adjustments!$I:$I,'Schedule 2M Adjustments'!$N$12,Adjustments!$J:$J,'Schedule 2M Adjustments'!$A35)</f>
        <v>0</v>
      </c>
      <c r="P35" s="305">
        <f t="shared" si="3"/>
        <v>0</v>
      </c>
      <c r="Q35" s="68">
        <f>IFERROR(N35*'As-Filed Schedule 1'!$E$103,0)</f>
        <v>0</v>
      </c>
      <c r="R35" s="68">
        <f>IFERROR(P35*'Adjusted Schedule 1'!$E$104,0)</f>
        <v>0</v>
      </c>
      <c r="S35" s="68">
        <f t="shared" si="4"/>
        <v>0</v>
      </c>
      <c r="T35" s="306">
        <f t="shared" si="5"/>
        <v>0</v>
      </c>
      <c r="V35" s="119">
        <f>'As-Filed Schedule 2M'!N35</f>
        <v>0</v>
      </c>
      <c r="W35" s="309">
        <f>SUMIFS(Adjustments!$G:$G,Adjustments!$H:$H,"2M",Adjustments!$I:$I,'Schedule 2M Adjustments'!$V$12,Adjustments!$J:$J,'Schedule 2M Adjustments'!$A35)</f>
        <v>0</v>
      </c>
      <c r="X35" s="305">
        <f t="shared" si="6"/>
        <v>0</v>
      </c>
      <c r="Y35" s="119">
        <f>'As-Filed Schedule 2M'!O35</f>
        <v>0</v>
      </c>
      <c r="Z35" s="309">
        <f>SUMIFS(Adjustments!$G:$G,Adjustments!$H:$H,"2M",Adjustments!$I:$I,'Schedule 2M Adjustments'!$Y$12,Adjustments!$J:$J,'Schedule 2M Adjustments'!$A35)</f>
        <v>0</v>
      </c>
      <c r="AA35" s="305">
        <f t="shared" si="7"/>
        <v>0</v>
      </c>
    </row>
    <row r="36" spans="1:27" x14ac:dyDescent="0.35">
      <c r="A36" s="24">
        <v>22</v>
      </c>
      <c r="B36" s="514" t="str">
        <f>IF('As-Filed Schedule 2M'!B36:D36=0,"",'As-Filed Schedule 2M'!B36:D36)</f>
        <v/>
      </c>
      <c r="C36" s="514"/>
      <c r="D36" s="514"/>
      <c r="F36" s="117">
        <f>'As-Filed Schedule 2M'!F36</f>
        <v>0</v>
      </c>
      <c r="G36" s="309">
        <f>SUMIFS(Adjustments!$G:$G,Adjustments!$H:$H,"2M",Adjustments!$I:$I,'Schedule 2M Adjustments'!$F$12,Adjustments!$J:$J,'Schedule 2M Adjustments'!$A36)</f>
        <v>0</v>
      </c>
      <c r="H36" s="305">
        <f t="shared" si="0"/>
        <v>0</v>
      </c>
      <c r="I36" s="68">
        <f>IFERROR(F36*'As-Filed Schedule 1'!$E$103,0)</f>
        <v>0</v>
      </c>
      <c r="J36" s="306">
        <f>IFERROR(H36*'Adjusted Schedule 1'!$E$104,0)</f>
        <v>0</v>
      </c>
      <c r="K36" s="68">
        <f t="shared" si="1"/>
        <v>0</v>
      </c>
      <c r="L36" s="306">
        <f t="shared" si="2"/>
        <v>0</v>
      </c>
      <c r="N36" s="117">
        <f>'As-Filed Schedule 2M'!J36</f>
        <v>0</v>
      </c>
      <c r="O36" s="309">
        <f>SUMIFS(Adjustments!$G:$G,Adjustments!$H:$H,"2M",Adjustments!$I:$I,'Schedule 2M Adjustments'!$N$12,Adjustments!$J:$J,'Schedule 2M Adjustments'!$A36)</f>
        <v>0</v>
      </c>
      <c r="P36" s="305">
        <f t="shared" si="3"/>
        <v>0</v>
      </c>
      <c r="Q36" s="68">
        <f>IFERROR(N36*'As-Filed Schedule 1'!$E$103,0)</f>
        <v>0</v>
      </c>
      <c r="R36" s="68">
        <f>IFERROR(P36*'Adjusted Schedule 1'!$E$104,0)</f>
        <v>0</v>
      </c>
      <c r="S36" s="68">
        <f t="shared" si="4"/>
        <v>0</v>
      </c>
      <c r="T36" s="306">
        <f t="shared" si="5"/>
        <v>0</v>
      </c>
      <c r="V36" s="119">
        <f>'As-Filed Schedule 2M'!N36</f>
        <v>0</v>
      </c>
      <c r="W36" s="309">
        <f>SUMIFS(Adjustments!$G:$G,Adjustments!$H:$H,"2M",Adjustments!$I:$I,'Schedule 2M Adjustments'!$V$12,Adjustments!$J:$J,'Schedule 2M Adjustments'!$A36)</f>
        <v>0</v>
      </c>
      <c r="X36" s="305">
        <f t="shared" si="6"/>
        <v>0</v>
      </c>
      <c r="Y36" s="119">
        <f>'As-Filed Schedule 2M'!O36</f>
        <v>0</v>
      </c>
      <c r="Z36" s="309">
        <f>SUMIFS(Adjustments!$G:$G,Adjustments!$H:$H,"2M",Adjustments!$I:$I,'Schedule 2M Adjustments'!$Y$12,Adjustments!$J:$J,'Schedule 2M Adjustments'!$A36)</f>
        <v>0</v>
      </c>
      <c r="AA36" s="305">
        <f t="shared" si="7"/>
        <v>0</v>
      </c>
    </row>
    <row r="37" spans="1:27" x14ac:dyDescent="0.35">
      <c r="A37" s="24">
        <v>23</v>
      </c>
      <c r="B37" s="514" t="str">
        <f>IF('As-Filed Schedule 2M'!B37:D37=0,"",'As-Filed Schedule 2M'!B37:D37)</f>
        <v/>
      </c>
      <c r="C37" s="514"/>
      <c r="D37" s="514"/>
      <c r="F37" s="117">
        <f>'As-Filed Schedule 2M'!F37</f>
        <v>0</v>
      </c>
      <c r="G37" s="309">
        <f>SUMIFS(Adjustments!$G:$G,Adjustments!$H:$H,"2M",Adjustments!$I:$I,'Schedule 2M Adjustments'!$F$12,Adjustments!$J:$J,'Schedule 2M Adjustments'!$A37)</f>
        <v>0</v>
      </c>
      <c r="H37" s="305">
        <f t="shared" si="0"/>
        <v>0</v>
      </c>
      <c r="I37" s="68">
        <f>IFERROR(F37*'As-Filed Schedule 1'!$E$103,0)</f>
        <v>0</v>
      </c>
      <c r="J37" s="306">
        <f>IFERROR(H37*'Adjusted Schedule 1'!$E$104,0)</f>
        <v>0</v>
      </c>
      <c r="K37" s="68">
        <f t="shared" si="1"/>
        <v>0</v>
      </c>
      <c r="L37" s="306">
        <f t="shared" si="2"/>
        <v>0</v>
      </c>
      <c r="N37" s="117">
        <f>'As-Filed Schedule 2M'!J37</f>
        <v>0</v>
      </c>
      <c r="O37" s="309">
        <f>SUMIFS(Adjustments!$G:$G,Adjustments!$H:$H,"2M",Adjustments!$I:$I,'Schedule 2M Adjustments'!$N$12,Adjustments!$J:$J,'Schedule 2M Adjustments'!$A37)</f>
        <v>0</v>
      </c>
      <c r="P37" s="305">
        <f t="shared" si="3"/>
        <v>0</v>
      </c>
      <c r="Q37" s="68">
        <f>IFERROR(N37*'As-Filed Schedule 1'!$E$103,0)</f>
        <v>0</v>
      </c>
      <c r="R37" s="68">
        <f>IFERROR(P37*'Adjusted Schedule 1'!$E$104,0)</f>
        <v>0</v>
      </c>
      <c r="S37" s="68">
        <f t="shared" si="4"/>
        <v>0</v>
      </c>
      <c r="T37" s="306">
        <f t="shared" si="5"/>
        <v>0</v>
      </c>
      <c r="V37" s="119">
        <f>'As-Filed Schedule 2M'!N37</f>
        <v>0</v>
      </c>
      <c r="W37" s="309">
        <f>SUMIFS(Adjustments!$G:$G,Adjustments!$H:$H,"2M",Adjustments!$I:$I,'Schedule 2M Adjustments'!$V$12,Adjustments!$J:$J,'Schedule 2M Adjustments'!$A37)</f>
        <v>0</v>
      </c>
      <c r="X37" s="305">
        <f t="shared" si="6"/>
        <v>0</v>
      </c>
      <c r="Y37" s="119">
        <f>'As-Filed Schedule 2M'!O37</f>
        <v>0</v>
      </c>
      <c r="Z37" s="309">
        <f>SUMIFS(Adjustments!$G:$G,Adjustments!$H:$H,"2M",Adjustments!$I:$I,'Schedule 2M Adjustments'!$Y$12,Adjustments!$J:$J,'Schedule 2M Adjustments'!$A37)</f>
        <v>0</v>
      </c>
      <c r="AA37" s="305">
        <f t="shared" si="7"/>
        <v>0</v>
      </c>
    </row>
    <row r="38" spans="1:27" x14ac:dyDescent="0.35">
      <c r="A38" s="24">
        <v>24</v>
      </c>
      <c r="B38" s="514" t="str">
        <f>IF('As-Filed Schedule 2M'!B38:D38=0,"",'As-Filed Schedule 2M'!B38:D38)</f>
        <v/>
      </c>
      <c r="C38" s="514"/>
      <c r="D38" s="514"/>
      <c r="F38" s="117">
        <f>'As-Filed Schedule 2M'!F38</f>
        <v>0</v>
      </c>
      <c r="G38" s="309">
        <f>SUMIFS(Adjustments!$G:$G,Adjustments!$H:$H,"2M",Adjustments!$I:$I,'Schedule 2M Adjustments'!$F$12,Adjustments!$J:$J,'Schedule 2M Adjustments'!$A38)</f>
        <v>0</v>
      </c>
      <c r="H38" s="305">
        <f t="shared" si="0"/>
        <v>0</v>
      </c>
      <c r="I38" s="68">
        <f>IFERROR(F38*'As-Filed Schedule 1'!$E$103,0)</f>
        <v>0</v>
      </c>
      <c r="J38" s="306">
        <f>IFERROR(H38*'Adjusted Schedule 1'!$E$104,0)</f>
        <v>0</v>
      </c>
      <c r="K38" s="68">
        <f t="shared" si="1"/>
        <v>0</v>
      </c>
      <c r="L38" s="306">
        <f t="shared" si="2"/>
        <v>0</v>
      </c>
      <c r="N38" s="117">
        <f>'As-Filed Schedule 2M'!J38</f>
        <v>0</v>
      </c>
      <c r="O38" s="309">
        <f>SUMIFS(Adjustments!$G:$G,Adjustments!$H:$H,"2M",Adjustments!$I:$I,'Schedule 2M Adjustments'!$N$12,Adjustments!$J:$J,'Schedule 2M Adjustments'!$A38)</f>
        <v>0</v>
      </c>
      <c r="P38" s="305">
        <f t="shared" si="3"/>
        <v>0</v>
      </c>
      <c r="Q38" s="68">
        <f>IFERROR(N38*'As-Filed Schedule 1'!$E$103,0)</f>
        <v>0</v>
      </c>
      <c r="R38" s="68">
        <f>IFERROR(P38*'Adjusted Schedule 1'!$E$104,0)</f>
        <v>0</v>
      </c>
      <c r="S38" s="68">
        <f t="shared" si="4"/>
        <v>0</v>
      </c>
      <c r="T38" s="306">
        <f t="shared" si="5"/>
        <v>0</v>
      </c>
      <c r="V38" s="119">
        <f>'As-Filed Schedule 2M'!N38</f>
        <v>0</v>
      </c>
      <c r="W38" s="309">
        <f>SUMIFS(Adjustments!$G:$G,Adjustments!$H:$H,"2M",Adjustments!$I:$I,'Schedule 2M Adjustments'!$V$12,Adjustments!$J:$J,'Schedule 2M Adjustments'!$A38)</f>
        <v>0</v>
      </c>
      <c r="X38" s="305">
        <f t="shared" si="6"/>
        <v>0</v>
      </c>
      <c r="Y38" s="119">
        <f>'As-Filed Schedule 2M'!O38</f>
        <v>0</v>
      </c>
      <c r="Z38" s="309">
        <f>SUMIFS(Adjustments!$G:$G,Adjustments!$H:$H,"2M",Adjustments!$I:$I,'Schedule 2M Adjustments'!$Y$12,Adjustments!$J:$J,'Schedule 2M Adjustments'!$A38)</f>
        <v>0</v>
      </c>
      <c r="AA38" s="305">
        <f t="shared" si="7"/>
        <v>0</v>
      </c>
    </row>
    <row r="39" spans="1:27" x14ac:dyDescent="0.35">
      <c r="A39" s="24">
        <v>25</v>
      </c>
      <c r="B39" s="514" t="str">
        <f>IF('As-Filed Schedule 2M'!B39:D39=0,"",'As-Filed Schedule 2M'!B39:D39)</f>
        <v/>
      </c>
      <c r="C39" s="514"/>
      <c r="D39" s="514"/>
      <c r="F39" s="117">
        <f>'As-Filed Schedule 2M'!F39</f>
        <v>0</v>
      </c>
      <c r="G39" s="309">
        <f>SUMIFS(Adjustments!$G:$G,Adjustments!$H:$H,"2M",Adjustments!$I:$I,'Schedule 2M Adjustments'!$F$12,Adjustments!$J:$J,'Schedule 2M Adjustments'!$A39)</f>
        <v>0</v>
      </c>
      <c r="H39" s="305">
        <f t="shared" si="0"/>
        <v>0</v>
      </c>
      <c r="I39" s="68">
        <f>IFERROR(F39*'As-Filed Schedule 1'!$E$103,0)</f>
        <v>0</v>
      </c>
      <c r="J39" s="306">
        <f>IFERROR(H39*'Adjusted Schedule 1'!$E$104,0)</f>
        <v>0</v>
      </c>
      <c r="K39" s="68">
        <f t="shared" si="1"/>
        <v>0</v>
      </c>
      <c r="L39" s="306">
        <f t="shared" si="2"/>
        <v>0</v>
      </c>
      <c r="N39" s="117">
        <f>'As-Filed Schedule 2M'!J39</f>
        <v>0</v>
      </c>
      <c r="O39" s="309">
        <f>SUMIFS(Adjustments!$G:$G,Adjustments!$H:$H,"2M",Adjustments!$I:$I,'Schedule 2M Adjustments'!$N$12,Adjustments!$J:$J,'Schedule 2M Adjustments'!$A39)</f>
        <v>0</v>
      </c>
      <c r="P39" s="305">
        <f t="shared" si="3"/>
        <v>0</v>
      </c>
      <c r="Q39" s="68">
        <f>IFERROR(N39*'As-Filed Schedule 1'!$E$103,0)</f>
        <v>0</v>
      </c>
      <c r="R39" s="68">
        <f>IFERROR(P39*'Adjusted Schedule 1'!$E$104,0)</f>
        <v>0</v>
      </c>
      <c r="S39" s="68">
        <f t="shared" si="4"/>
        <v>0</v>
      </c>
      <c r="T39" s="306">
        <f t="shared" si="5"/>
        <v>0</v>
      </c>
      <c r="V39" s="119">
        <f>'As-Filed Schedule 2M'!N39</f>
        <v>0</v>
      </c>
      <c r="W39" s="309">
        <f>SUMIFS(Adjustments!$G:$G,Adjustments!$H:$H,"2M",Adjustments!$I:$I,'Schedule 2M Adjustments'!$V$12,Adjustments!$J:$J,'Schedule 2M Adjustments'!$A39)</f>
        <v>0</v>
      </c>
      <c r="X39" s="305">
        <f t="shared" si="6"/>
        <v>0</v>
      </c>
      <c r="Y39" s="119">
        <f>'As-Filed Schedule 2M'!O39</f>
        <v>0</v>
      </c>
      <c r="Z39" s="309">
        <f>SUMIFS(Adjustments!$G:$G,Adjustments!$H:$H,"2M",Adjustments!$I:$I,'Schedule 2M Adjustments'!$Y$12,Adjustments!$J:$J,'Schedule 2M Adjustments'!$A39)</f>
        <v>0</v>
      </c>
      <c r="AA39" s="305">
        <f t="shared" si="7"/>
        <v>0</v>
      </c>
    </row>
    <row r="40" spans="1:27" x14ac:dyDescent="0.35">
      <c r="A40" s="24">
        <v>26</v>
      </c>
      <c r="B40" s="514" t="str">
        <f>IF('As-Filed Schedule 2M'!B40:D40=0,"",'As-Filed Schedule 2M'!B40:D40)</f>
        <v/>
      </c>
      <c r="C40" s="514"/>
      <c r="D40" s="514"/>
      <c r="F40" s="117">
        <f>'As-Filed Schedule 2M'!F40</f>
        <v>0</v>
      </c>
      <c r="G40" s="309">
        <f>SUMIFS(Adjustments!$G:$G,Adjustments!$H:$H,"2M",Adjustments!$I:$I,'Schedule 2M Adjustments'!$F$12,Adjustments!$J:$J,'Schedule 2M Adjustments'!$A40)</f>
        <v>0</v>
      </c>
      <c r="H40" s="305">
        <f t="shared" si="0"/>
        <v>0</v>
      </c>
      <c r="I40" s="68">
        <f>IFERROR(F40*'As-Filed Schedule 1'!$E$103,0)</f>
        <v>0</v>
      </c>
      <c r="J40" s="306">
        <f>IFERROR(H40*'Adjusted Schedule 1'!$E$104,0)</f>
        <v>0</v>
      </c>
      <c r="K40" s="68">
        <f t="shared" si="1"/>
        <v>0</v>
      </c>
      <c r="L40" s="306">
        <f t="shared" si="2"/>
        <v>0</v>
      </c>
      <c r="N40" s="117">
        <f>'As-Filed Schedule 2M'!J40</f>
        <v>0</v>
      </c>
      <c r="O40" s="309">
        <f>SUMIFS(Adjustments!$G:$G,Adjustments!$H:$H,"2M",Adjustments!$I:$I,'Schedule 2M Adjustments'!$N$12,Adjustments!$J:$J,'Schedule 2M Adjustments'!$A40)</f>
        <v>0</v>
      </c>
      <c r="P40" s="305">
        <f t="shared" si="3"/>
        <v>0</v>
      </c>
      <c r="Q40" s="68">
        <f>IFERROR(N40*'As-Filed Schedule 1'!$E$103,0)</f>
        <v>0</v>
      </c>
      <c r="R40" s="68">
        <f>IFERROR(P40*'Adjusted Schedule 1'!$E$104,0)</f>
        <v>0</v>
      </c>
      <c r="S40" s="68">
        <f t="shared" si="4"/>
        <v>0</v>
      </c>
      <c r="T40" s="306">
        <f t="shared" si="5"/>
        <v>0</v>
      </c>
      <c r="V40" s="119">
        <f>'As-Filed Schedule 2M'!N40</f>
        <v>0</v>
      </c>
      <c r="W40" s="309">
        <f>SUMIFS(Adjustments!$G:$G,Adjustments!$H:$H,"2M",Adjustments!$I:$I,'Schedule 2M Adjustments'!$V$12,Adjustments!$J:$J,'Schedule 2M Adjustments'!$A40)</f>
        <v>0</v>
      </c>
      <c r="X40" s="305">
        <f t="shared" si="6"/>
        <v>0</v>
      </c>
      <c r="Y40" s="119">
        <f>'As-Filed Schedule 2M'!O40</f>
        <v>0</v>
      </c>
      <c r="Z40" s="309">
        <f>SUMIFS(Adjustments!$G:$G,Adjustments!$H:$H,"2M",Adjustments!$I:$I,'Schedule 2M Adjustments'!$Y$12,Adjustments!$J:$J,'Schedule 2M Adjustments'!$A40)</f>
        <v>0</v>
      </c>
      <c r="AA40" s="305">
        <f t="shared" si="7"/>
        <v>0</v>
      </c>
    </row>
    <row r="41" spans="1:27" x14ac:dyDescent="0.35">
      <c r="A41" s="24">
        <v>27</v>
      </c>
      <c r="B41" s="514" t="str">
        <f>IF('As-Filed Schedule 2M'!B41:D41=0,"",'As-Filed Schedule 2M'!B41:D41)</f>
        <v/>
      </c>
      <c r="C41" s="514"/>
      <c r="D41" s="514"/>
      <c r="F41" s="117">
        <f>'As-Filed Schedule 2M'!F41</f>
        <v>0</v>
      </c>
      <c r="G41" s="309">
        <f>SUMIFS(Adjustments!$G:$G,Adjustments!$H:$H,"2M",Adjustments!$I:$I,'Schedule 2M Adjustments'!$F$12,Adjustments!$J:$J,'Schedule 2M Adjustments'!$A41)</f>
        <v>0</v>
      </c>
      <c r="H41" s="305">
        <f t="shared" si="0"/>
        <v>0</v>
      </c>
      <c r="I41" s="68">
        <f>IFERROR(F41*'As-Filed Schedule 1'!$E$103,0)</f>
        <v>0</v>
      </c>
      <c r="J41" s="306">
        <f>IFERROR(H41*'Adjusted Schedule 1'!$E$104,0)</f>
        <v>0</v>
      </c>
      <c r="K41" s="68">
        <f t="shared" si="1"/>
        <v>0</v>
      </c>
      <c r="L41" s="306">
        <f t="shared" si="2"/>
        <v>0</v>
      </c>
      <c r="N41" s="117">
        <f>'As-Filed Schedule 2M'!J41</f>
        <v>0</v>
      </c>
      <c r="O41" s="309">
        <f>SUMIFS(Adjustments!$G:$G,Adjustments!$H:$H,"2M",Adjustments!$I:$I,'Schedule 2M Adjustments'!$N$12,Adjustments!$J:$J,'Schedule 2M Adjustments'!$A41)</f>
        <v>0</v>
      </c>
      <c r="P41" s="305">
        <f t="shared" si="3"/>
        <v>0</v>
      </c>
      <c r="Q41" s="68">
        <f>IFERROR(N41*'As-Filed Schedule 1'!$E$103,0)</f>
        <v>0</v>
      </c>
      <c r="R41" s="68">
        <f>IFERROR(P41*'Adjusted Schedule 1'!$E$104,0)</f>
        <v>0</v>
      </c>
      <c r="S41" s="68">
        <f t="shared" si="4"/>
        <v>0</v>
      </c>
      <c r="T41" s="306">
        <f t="shared" si="5"/>
        <v>0</v>
      </c>
      <c r="V41" s="119">
        <f>'As-Filed Schedule 2M'!N41</f>
        <v>0</v>
      </c>
      <c r="W41" s="309">
        <f>SUMIFS(Adjustments!$G:$G,Adjustments!$H:$H,"2M",Adjustments!$I:$I,'Schedule 2M Adjustments'!$V$12,Adjustments!$J:$J,'Schedule 2M Adjustments'!$A41)</f>
        <v>0</v>
      </c>
      <c r="X41" s="305">
        <f t="shared" si="6"/>
        <v>0</v>
      </c>
      <c r="Y41" s="119">
        <f>'As-Filed Schedule 2M'!O41</f>
        <v>0</v>
      </c>
      <c r="Z41" s="309">
        <f>SUMIFS(Adjustments!$G:$G,Adjustments!$H:$H,"2M",Adjustments!$I:$I,'Schedule 2M Adjustments'!$Y$12,Adjustments!$J:$J,'Schedule 2M Adjustments'!$A41)</f>
        <v>0</v>
      </c>
      <c r="AA41" s="305">
        <f t="shared" si="7"/>
        <v>0</v>
      </c>
    </row>
    <row r="42" spans="1:27" x14ac:dyDescent="0.35">
      <c r="A42" s="24">
        <v>28</v>
      </c>
      <c r="B42" s="514" t="str">
        <f>IF('As-Filed Schedule 2M'!B42:D42=0,"",'As-Filed Schedule 2M'!B42:D42)</f>
        <v/>
      </c>
      <c r="C42" s="514"/>
      <c r="D42" s="514"/>
      <c r="F42" s="117">
        <f>'As-Filed Schedule 2M'!F42</f>
        <v>0</v>
      </c>
      <c r="G42" s="309">
        <f>SUMIFS(Adjustments!$G:$G,Adjustments!$H:$H,"2M",Adjustments!$I:$I,'Schedule 2M Adjustments'!$F$12,Adjustments!$J:$J,'Schedule 2M Adjustments'!$A42)</f>
        <v>0</v>
      </c>
      <c r="H42" s="305">
        <f t="shared" si="0"/>
        <v>0</v>
      </c>
      <c r="I42" s="68">
        <f>IFERROR(F42*'As-Filed Schedule 1'!$E$103,0)</f>
        <v>0</v>
      </c>
      <c r="J42" s="306">
        <f>IFERROR(H42*'Adjusted Schedule 1'!$E$104,0)</f>
        <v>0</v>
      </c>
      <c r="K42" s="68">
        <f t="shared" si="1"/>
        <v>0</v>
      </c>
      <c r="L42" s="306">
        <f t="shared" si="2"/>
        <v>0</v>
      </c>
      <c r="N42" s="117">
        <f>'As-Filed Schedule 2M'!J42</f>
        <v>0</v>
      </c>
      <c r="O42" s="309">
        <f>SUMIFS(Adjustments!$G:$G,Adjustments!$H:$H,"2M",Adjustments!$I:$I,'Schedule 2M Adjustments'!$N$12,Adjustments!$J:$J,'Schedule 2M Adjustments'!$A42)</f>
        <v>0</v>
      </c>
      <c r="P42" s="305">
        <f t="shared" si="3"/>
        <v>0</v>
      </c>
      <c r="Q42" s="68">
        <f>IFERROR(N42*'As-Filed Schedule 1'!$E$103,0)</f>
        <v>0</v>
      </c>
      <c r="R42" s="68">
        <f>IFERROR(P42*'Adjusted Schedule 1'!$E$104,0)</f>
        <v>0</v>
      </c>
      <c r="S42" s="68">
        <f t="shared" si="4"/>
        <v>0</v>
      </c>
      <c r="T42" s="306">
        <f t="shared" si="5"/>
        <v>0</v>
      </c>
      <c r="V42" s="119">
        <f>'As-Filed Schedule 2M'!N42</f>
        <v>0</v>
      </c>
      <c r="W42" s="309">
        <f>SUMIFS(Adjustments!$G:$G,Adjustments!$H:$H,"2M",Adjustments!$I:$I,'Schedule 2M Adjustments'!$V$12,Adjustments!$J:$J,'Schedule 2M Adjustments'!$A42)</f>
        <v>0</v>
      </c>
      <c r="X42" s="305">
        <f t="shared" si="6"/>
        <v>0</v>
      </c>
      <c r="Y42" s="119">
        <f>'As-Filed Schedule 2M'!O42</f>
        <v>0</v>
      </c>
      <c r="Z42" s="309">
        <f>SUMIFS(Adjustments!$G:$G,Adjustments!$H:$H,"2M",Adjustments!$I:$I,'Schedule 2M Adjustments'!$Y$12,Adjustments!$J:$J,'Schedule 2M Adjustments'!$A42)</f>
        <v>0</v>
      </c>
      <c r="AA42" s="305">
        <f t="shared" si="7"/>
        <v>0</v>
      </c>
    </row>
    <row r="43" spans="1:27" x14ac:dyDescent="0.35">
      <c r="A43" s="24">
        <v>29</v>
      </c>
      <c r="B43" s="514" t="str">
        <f>IF('As-Filed Schedule 2M'!B43:D43=0,"",'As-Filed Schedule 2M'!B43:D43)</f>
        <v/>
      </c>
      <c r="C43" s="514"/>
      <c r="D43" s="514"/>
      <c r="F43" s="117">
        <f>'As-Filed Schedule 2M'!F43</f>
        <v>0</v>
      </c>
      <c r="G43" s="309">
        <f>SUMIFS(Adjustments!$G:$G,Adjustments!$H:$H,"2M",Adjustments!$I:$I,'Schedule 2M Adjustments'!$F$12,Adjustments!$J:$J,'Schedule 2M Adjustments'!$A43)</f>
        <v>0</v>
      </c>
      <c r="H43" s="305">
        <f t="shared" si="0"/>
        <v>0</v>
      </c>
      <c r="I43" s="68">
        <f>IFERROR(F43*'As-Filed Schedule 1'!$E$103,0)</f>
        <v>0</v>
      </c>
      <c r="J43" s="306">
        <f>IFERROR(H43*'Adjusted Schedule 1'!$E$104,0)</f>
        <v>0</v>
      </c>
      <c r="K43" s="68">
        <f t="shared" si="1"/>
        <v>0</v>
      </c>
      <c r="L43" s="306">
        <f t="shared" si="2"/>
        <v>0</v>
      </c>
      <c r="N43" s="117">
        <f>'As-Filed Schedule 2M'!J43</f>
        <v>0</v>
      </c>
      <c r="O43" s="309">
        <f>SUMIFS(Adjustments!$G:$G,Adjustments!$H:$H,"2M",Adjustments!$I:$I,'Schedule 2M Adjustments'!$N$12,Adjustments!$J:$J,'Schedule 2M Adjustments'!$A43)</f>
        <v>0</v>
      </c>
      <c r="P43" s="305">
        <f t="shared" si="3"/>
        <v>0</v>
      </c>
      <c r="Q43" s="68">
        <f>IFERROR(N43*'As-Filed Schedule 1'!$E$103,0)</f>
        <v>0</v>
      </c>
      <c r="R43" s="68">
        <f>IFERROR(P43*'Adjusted Schedule 1'!$E$104,0)</f>
        <v>0</v>
      </c>
      <c r="S43" s="68">
        <f t="shared" si="4"/>
        <v>0</v>
      </c>
      <c r="T43" s="306">
        <f t="shared" si="5"/>
        <v>0</v>
      </c>
      <c r="V43" s="119">
        <f>'As-Filed Schedule 2M'!N43</f>
        <v>0</v>
      </c>
      <c r="W43" s="309">
        <f>SUMIFS(Adjustments!$G:$G,Adjustments!$H:$H,"2M",Adjustments!$I:$I,'Schedule 2M Adjustments'!$V$12,Adjustments!$J:$J,'Schedule 2M Adjustments'!$A43)</f>
        <v>0</v>
      </c>
      <c r="X43" s="305">
        <f t="shared" si="6"/>
        <v>0</v>
      </c>
      <c r="Y43" s="119">
        <f>'As-Filed Schedule 2M'!O43</f>
        <v>0</v>
      </c>
      <c r="Z43" s="309">
        <f>SUMIFS(Adjustments!$G:$G,Adjustments!$H:$H,"2M",Adjustments!$I:$I,'Schedule 2M Adjustments'!$Y$12,Adjustments!$J:$J,'Schedule 2M Adjustments'!$A43)</f>
        <v>0</v>
      </c>
      <c r="AA43" s="305">
        <f t="shared" si="7"/>
        <v>0</v>
      </c>
    </row>
    <row r="44" spans="1:27" x14ac:dyDescent="0.35">
      <c r="A44" s="24">
        <v>30</v>
      </c>
      <c r="B44" s="514" t="str">
        <f>IF('As-Filed Schedule 2M'!B44:D44=0,"",'As-Filed Schedule 2M'!B44:D44)</f>
        <v/>
      </c>
      <c r="C44" s="514"/>
      <c r="D44" s="514"/>
      <c r="F44" s="117">
        <f>'As-Filed Schedule 2M'!F44</f>
        <v>0</v>
      </c>
      <c r="G44" s="309">
        <f>SUMIFS(Adjustments!$G:$G,Adjustments!$H:$H,"2M",Adjustments!$I:$I,'Schedule 2M Adjustments'!$F$12,Adjustments!$J:$J,'Schedule 2M Adjustments'!$A44)</f>
        <v>0</v>
      </c>
      <c r="H44" s="305">
        <f t="shared" si="0"/>
        <v>0</v>
      </c>
      <c r="I44" s="68">
        <f>IFERROR(F44*'As-Filed Schedule 1'!$E$103,0)</f>
        <v>0</v>
      </c>
      <c r="J44" s="306">
        <f>IFERROR(H44*'Adjusted Schedule 1'!$E$104,0)</f>
        <v>0</v>
      </c>
      <c r="K44" s="68">
        <f t="shared" si="1"/>
        <v>0</v>
      </c>
      <c r="L44" s="306">
        <f t="shared" si="2"/>
        <v>0</v>
      </c>
      <c r="N44" s="117">
        <f>'As-Filed Schedule 2M'!J44</f>
        <v>0</v>
      </c>
      <c r="O44" s="309">
        <f>SUMIFS(Adjustments!$G:$G,Adjustments!$H:$H,"2M",Adjustments!$I:$I,'Schedule 2M Adjustments'!$N$12,Adjustments!$J:$J,'Schedule 2M Adjustments'!$A44)</f>
        <v>0</v>
      </c>
      <c r="P44" s="305">
        <f t="shared" si="3"/>
        <v>0</v>
      </c>
      <c r="Q44" s="68">
        <f>IFERROR(N44*'As-Filed Schedule 1'!$E$103,0)</f>
        <v>0</v>
      </c>
      <c r="R44" s="68">
        <f>IFERROR(P44*'Adjusted Schedule 1'!$E$104,0)</f>
        <v>0</v>
      </c>
      <c r="S44" s="68">
        <f t="shared" si="4"/>
        <v>0</v>
      </c>
      <c r="T44" s="306">
        <f t="shared" si="5"/>
        <v>0</v>
      </c>
      <c r="V44" s="119">
        <f>'As-Filed Schedule 2M'!N44</f>
        <v>0</v>
      </c>
      <c r="W44" s="309">
        <f>SUMIFS(Adjustments!$G:$G,Adjustments!$H:$H,"2M",Adjustments!$I:$I,'Schedule 2M Adjustments'!$V$12,Adjustments!$J:$J,'Schedule 2M Adjustments'!$A44)</f>
        <v>0</v>
      </c>
      <c r="X44" s="305">
        <f t="shared" si="6"/>
        <v>0</v>
      </c>
      <c r="Y44" s="119">
        <f>'As-Filed Schedule 2M'!O44</f>
        <v>0</v>
      </c>
      <c r="Z44" s="309">
        <f>SUMIFS(Adjustments!$G:$G,Adjustments!$H:$H,"2M",Adjustments!$I:$I,'Schedule 2M Adjustments'!$Y$12,Adjustments!$J:$J,'Schedule 2M Adjustments'!$A44)</f>
        <v>0</v>
      </c>
      <c r="AA44" s="305">
        <f t="shared" si="7"/>
        <v>0</v>
      </c>
    </row>
    <row r="45" spans="1:27" x14ac:dyDescent="0.35">
      <c r="A45" s="24">
        <v>31</v>
      </c>
      <c r="B45" s="514" t="str">
        <f>IF('As-Filed Schedule 2M'!B45:D45=0,"",'As-Filed Schedule 2M'!B45:D45)</f>
        <v/>
      </c>
      <c r="C45" s="514"/>
      <c r="D45" s="514"/>
      <c r="F45" s="117">
        <f>'As-Filed Schedule 2M'!F45</f>
        <v>0</v>
      </c>
      <c r="G45" s="309">
        <f>SUMIFS(Adjustments!$G:$G,Adjustments!$H:$H,"2M",Adjustments!$I:$I,'Schedule 2M Adjustments'!$F$12,Adjustments!$J:$J,'Schedule 2M Adjustments'!$A45)</f>
        <v>0</v>
      </c>
      <c r="H45" s="305">
        <f t="shared" si="0"/>
        <v>0</v>
      </c>
      <c r="I45" s="68">
        <f>IFERROR(F45*'As-Filed Schedule 1'!$E$103,0)</f>
        <v>0</v>
      </c>
      <c r="J45" s="306">
        <f>IFERROR(H45*'Adjusted Schedule 1'!$E$104,0)</f>
        <v>0</v>
      </c>
      <c r="K45" s="68">
        <f t="shared" si="1"/>
        <v>0</v>
      </c>
      <c r="L45" s="306">
        <f t="shared" si="2"/>
        <v>0</v>
      </c>
      <c r="N45" s="117">
        <f>'As-Filed Schedule 2M'!J45</f>
        <v>0</v>
      </c>
      <c r="O45" s="309">
        <f>SUMIFS(Adjustments!$G:$G,Adjustments!$H:$H,"2M",Adjustments!$I:$I,'Schedule 2M Adjustments'!$N$12,Adjustments!$J:$J,'Schedule 2M Adjustments'!$A45)</f>
        <v>0</v>
      </c>
      <c r="P45" s="305">
        <f t="shared" si="3"/>
        <v>0</v>
      </c>
      <c r="Q45" s="68">
        <f>IFERROR(N45*'As-Filed Schedule 1'!$E$103,0)</f>
        <v>0</v>
      </c>
      <c r="R45" s="68">
        <f>IFERROR(P45*'Adjusted Schedule 1'!$E$104,0)</f>
        <v>0</v>
      </c>
      <c r="S45" s="68">
        <f t="shared" si="4"/>
        <v>0</v>
      </c>
      <c r="T45" s="306">
        <f t="shared" si="5"/>
        <v>0</v>
      </c>
      <c r="V45" s="119">
        <f>'As-Filed Schedule 2M'!N45</f>
        <v>0</v>
      </c>
      <c r="W45" s="309">
        <f>SUMIFS(Adjustments!$G:$G,Adjustments!$H:$H,"2M",Adjustments!$I:$I,'Schedule 2M Adjustments'!$V$12,Adjustments!$J:$J,'Schedule 2M Adjustments'!$A45)</f>
        <v>0</v>
      </c>
      <c r="X45" s="305">
        <f t="shared" si="6"/>
        <v>0</v>
      </c>
      <c r="Y45" s="119">
        <f>'As-Filed Schedule 2M'!O45</f>
        <v>0</v>
      </c>
      <c r="Z45" s="309">
        <f>SUMIFS(Adjustments!$G:$G,Adjustments!$H:$H,"2M",Adjustments!$I:$I,'Schedule 2M Adjustments'!$Y$12,Adjustments!$J:$J,'Schedule 2M Adjustments'!$A45)</f>
        <v>0</v>
      </c>
      <c r="AA45" s="305">
        <f t="shared" si="7"/>
        <v>0</v>
      </c>
    </row>
    <row r="46" spans="1:27" x14ac:dyDescent="0.35">
      <c r="A46" s="24">
        <v>32</v>
      </c>
      <c r="B46" s="514" t="str">
        <f>IF('As-Filed Schedule 2M'!B46:D46=0,"",'As-Filed Schedule 2M'!B46:D46)</f>
        <v/>
      </c>
      <c r="C46" s="514"/>
      <c r="D46" s="514"/>
      <c r="F46" s="117">
        <f>'As-Filed Schedule 2M'!F46</f>
        <v>0</v>
      </c>
      <c r="G46" s="309">
        <f>SUMIFS(Adjustments!$G:$G,Adjustments!$H:$H,"2M",Adjustments!$I:$I,'Schedule 2M Adjustments'!$F$12,Adjustments!$J:$J,'Schedule 2M Adjustments'!$A46)</f>
        <v>0</v>
      </c>
      <c r="H46" s="305">
        <f t="shared" si="0"/>
        <v>0</v>
      </c>
      <c r="I46" s="68">
        <f>IFERROR(F46*'As-Filed Schedule 1'!$E$103,0)</f>
        <v>0</v>
      </c>
      <c r="J46" s="306">
        <f>IFERROR(H46*'Adjusted Schedule 1'!$E$104,0)</f>
        <v>0</v>
      </c>
      <c r="K46" s="68">
        <f t="shared" si="1"/>
        <v>0</v>
      </c>
      <c r="L46" s="306">
        <f t="shared" si="2"/>
        <v>0</v>
      </c>
      <c r="N46" s="117">
        <f>'As-Filed Schedule 2M'!J46</f>
        <v>0</v>
      </c>
      <c r="O46" s="309">
        <f>SUMIFS(Adjustments!$G:$G,Adjustments!$H:$H,"2M",Adjustments!$I:$I,'Schedule 2M Adjustments'!$N$12,Adjustments!$J:$J,'Schedule 2M Adjustments'!$A46)</f>
        <v>0</v>
      </c>
      <c r="P46" s="305">
        <f t="shared" si="3"/>
        <v>0</v>
      </c>
      <c r="Q46" s="68">
        <f>IFERROR(N46*'As-Filed Schedule 1'!$E$103,0)</f>
        <v>0</v>
      </c>
      <c r="R46" s="68">
        <f>IFERROR(P46*'Adjusted Schedule 1'!$E$104,0)</f>
        <v>0</v>
      </c>
      <c r="S46" s="68">
        <f t="shared" si="4"/>
        <v>0</v>
      </c>
      <c r="T46" s="306">
        <f t="shared" si="5"/>
        <v>0</v>
      </c>
      <c r="V46" s="119">
        <f>'As-Filed Schedule 2M'!N46</f>
        <v>0</v>
      </c>
      <c r="W46" s="309">
        <f>SUMIFS(Adjustments!$G:$G,Adjustments!$H:$H,"2M",Adjustments!$I:$I,'Schedule 2M Adjustments'!$V$12,Adjustments!$J:$J,'Schedule 2M Adjustments'!$A46)</f>
        <v>0</v>
      </c>
      <c r="X46" s="305">
        <f t="shared" si="6"/>
        <v>0</v>
      </c>
      <c r="Y46" s="119">
        <f>'As-Filed Schedule 2M'!O46</f>
        <v>0</v>
      </c>
      <c r="Z46" s="309">
        <f>SUMIFS(Adjustments!$G:$G,Adjustments!$H:$H,"2M",Adjustments!$I:$I,'Schedule 2M Adjustments'!$Y$12,Adjustments!$J:$J,'Schedule 2M Adjustments'!$A46)</f>
        <v>0</v>
      </c>
      <c r="AA46" s="305">
        <f t="shared" si="7"/>
        <v>0</v>
      </c>
    </row>
    <row r="47" spans="1:27" x14ac:dyDescent="0.35">
      <c r="A47" s="24">
        <v>33</v>
      </c>
      <c r="B47" s="514" t="str">
        <f>IF('As-Filed Schedule 2M'!B47:D47=0,"",'As-Filed Schedule 2M'!B47:D47)</f>
        <v/>
      </c>
      <c r="C47" s="514"/>
      <c r="D47" s="514"/>
      <c r="F47" s="117">
        <f>'As-Filed Schedule 2M'!F47</f>
        <v>0</v>
      </c>
      <c r="G47" s="309">
        <f>SUMIFS(Adjustments!$G:$G,Adjustments!$H:$H,"2M",Adjustments!$I:$I,'Schedule 2M Adjustments'!$F$12,Adjustments!$J:$J,'Schedule 2M Adjustments'!$A47)</f>
        <v>0</v>
      </c>
      <c r="H47" s="305">
        <f t="shared" si="0"/>
        <v>0</v>
      </c>
      <c r="I47" s="68">
        <f>IFERROR(F47*'As-Filed Schedule 1'!$E$103,0)</f>
        <v>0</v>
      </c>
      <c r="J47" s="306">
        <f>IFERROR(H47*'Adjusted Schedule 1'!$E$104,0)</f>
        <v>0</v>
      </c>
      <c r="K47" s="68">
        <f t="shared" si="1"/>
        <v>0</v>
      </c>
      <c r="L47" s="306">
        <f t="shared" si="2"/>
        <v>0</v>
      </c>
      <c r="N47" s="117">
        <f>'As-Filed Schedule 2M'!J47</f>
        <v>0</v>
      </c>
      <c r="O47" s="309">
        <f>SUMIFS(Adjustments!$G:$G,Adjustments!$H:$H,"2M",Adjustments!$I:$I,'Schedule 2M Adjustments'!$N$12,Adjustments!$J:$J,'Schedule 2M Adjustments'!$A47)</f>
        <v>0</v>
      </c>
      <c r="P47" s="305">
        <f t="shared" si="3"/>
        <v>0</v>
      </c>
      <c r="Q47" s="68">
        <f>IFERROR(N47*'As-Filed Schedule 1'!$E$103,0)</f>
        <v>0</v>
      </c>
      <c r="R47" s="68">
        <f>IFERROR(P47*'Adjusted Schedule 1'!$E$104,0)</f>
        <v>0</v>
      </c>
      <c r="S47" s="68">
        <f t="shared" si="4"/>
        <v>0</v>
      </c>
      <c r="T47" s="306">
        <f t="shared" si="5"/>
        <v>0</v>
      </c>
      <c r="V47" s="119">
        <f>'As-Filed Schedule 2M'!N47</f>
        <v>0</v>
      </c>
      <c r="W47" s="309">
        <f>SUMIFS(Adjustments!$G:$G,Adjustments!$H:$H,"2M",Adjustments!$I:$I,'Schedule 2M Adjustments'!$V$12,Adjustments!$J:$J,'Schedule 2M Adjustments'!$A47)</f>
        <v>0</v>
      </c>
      <c r="X47" s="305">
        <f t="shared" si="6"/>
        <v>0</v>
      </c>
      <c r="Y47" s="119">
        <f>'As-Filed Schedule 2M'!O47</f>
        <v>0</v>
      </c>
      <c r="Z47" s="309">
        <f>SUMIFS(Adjustments!$G:$G,Adjustments!$H:$H,"2M",Adjustments!$I:$I,'Schedule 2M Adjustments'!$Y$12,Adjustments!$J:$J,'Schedule 2M Adjustments'!$A47)</f>
        <v>0</v>
      </c>
      <c r="AA47" s="305">
        <f t="shared" si="7"/>
        <v>0</v>
      </c>
    </row>
    <row r="48" spans="1:27" x14ac:dyDescent="0.35">
      <c r="A48" s="24">
        <v>34</v>
      </c>
      <c r="B48" s="514" t="str">
        <f>IF('As-Filed Schedule 2M'!B48:D48=0,"",'As-Filed Schedule 2M'!B48:D48)</f>
        <v/>
      </c>
      <c r="C48" s="514"/>
      <c r="D48" s="514"/>
      <c r="F48" s="117">
        <f>'As-Filed Schedule 2M'!F48</f>
        <v>0</v>
      </c>
      <c r="G48" s="309">
        <f>SUMIFS(Adjustments!$G:$G,Adjustments!$H:$H,"2M",Adjustments!$I:$I,'Schedule 2M Adjustments'!$F$12,Adjustments!$J:$J,'Schedule 2M Adjustments'!$A48)</f>
        <v>0</v>
      </c>
      <c r="H48" s="305">
        <f t="shared" si="0"/>
        <v>0</v>
      </c>
      <c r="I48" s="68">
        <f>IFERROR(F48*'As-Filed Schedule 1'!$E$103,0)</f>
        <v>0</v>
      </c>
      <c r="J48" s="306">
        <f>IFERROR(H48*'Adjusted Schedule 1'!$E$104,0)</f>
        <v>0</v>
      </c>
      <c r="K48" s="68">
        <f t="shared" si="1"/>
        <v>0</v>
      </c>
      <c r="L48" s="306">
        <f t="shared" si="2"/>
        <v>0</v>
      </c>
      <c r="N48" s="117">
        <f>'As-Filed Schedule 2M'!J48</f>
        <v>0</v>
      </c>
      <c r="O48" s="309">
        <f>SUMIFS(Adjustments!$G:$G,Adjustments!$H:$H,"2M",Adjustments!$I:$I,'Schedule 2M Adjustments'!$N$12,Adjustments!$J:$J,'Schedule 2M Adjustments'!$A48)</f>
        <v>0</v>
      </c>
      <c r="P48" s="305">
        <f t="shared" si="3"/>
        <v>0</v>
      </c>
      <c r="Q48" s="68">
        <f>IFERROR(N48*'As-Filed Schedule 1'!$E$103,0)</f>
        <v>0</v>
      </c>
      <c r="R48" s="68">
        <f>IFERROR(P48*'Adjusted Schedule 1'!$E$104,0)</f>
        <v>0</v>
      </c>
      <c r="S48" s="68">
        <f t="shared" si="4"/>
        <v>0</v>
      </c>
      <c r="T48" s="306">
        <f t="shared" si="5"/>
        <v>0</v>
      </c>
      <c r="V48" s="119">
        <f>'As-Filed Schedule 2M'!N48</f>
        <v>0</v>
      </c>
      <c r="W48" s="309">
        <f>SUMIFS(Adjustments!$G:$G,Adjustments!$H:$H,"2M",Adjustments!$I:$I,'Schedule 2M Adjustments'!$V$12,Adjustments!$J:$J,'Schedule 2M Adjustments'!$A48)</f>
        <v>0</v>
      </c>
      <c r="X48" s="305">
        <f t="shared" si="6"/>
        <v>0</v>
      </c>
      <c r="Y48" s="119">
        <f>'As-Filed Schedule 2M'!O48</f>
        <v>0</v>
      </c>
      <c r="Z48" s="309">
        <f>SUMIFS(Adjustments!$G:$G,Adjustments!$H:$H,"2M",Adjustments!$I:$I,'Schedule 2M Adjustments'!$Y$12,Adjustments!$J:$J,'Schedule 2M Adjustments'!$A48)</f>
        <v>0</v>
      </c>
      <c r="AA48" s="305">
        <f t="shared" si="7"/>
        <v>0</v>
      </c>
    </row>
    <row r="49" spans="1:27" x14ac:dyDescent="0.35">
      <c r="A49" s="24">
        <v>35</v>
      </c>
      <c r="B49" s="514" t="str">
        <f>IF('As-Filed Schedule 2M'!B49:D49=0,"",'As-Filed Schedule 2M'!B49:D49)</f>
        <v/>
      </c>
      <c r="C49" s="514"/>
      <c r="D49" s="514"/>
      <c r="F49" s="117">
        <f>'As-Filed Schedule 2M'!F49</f>
        <v>0</v>
      </c>
      <c r="G49" s="309">
        <f>SUMIFS(Adjustments!$G:$G,Adjustments!$H:$H,"2M",Adjustments!$I:$I,'Schedule 2M Adjustments'!$F$12,Adjustments!$J:$J,'Schedule 2M Adjustments'!$A49)</f>
        <v>0</v>
      </c>
      <c r="H49" s="305">
        <f t="shared" si="0"/>
        <v>0</v>
      </c>
      <c r="I49" s="68">
        <f>IFERROR(F49*'As-Filed Schedule 1'!$E$103,0)</f>
        <v>0</v>
      </c>
      <c r="J49" s="306">
        <f>IFERROR(H49*'Adjusted Schedule 1'!$E$104,0)</f>
        <v>0</v>
      </c>
      <c r="K49" s="68">
        <f t="shared" si="1"/>
        <v>0</v>
      </c>
      <c r="L49" s="306">
        <f t="shared" si="2"/>
        <v>0</v>
      </c>
      <c r="N49" s="117">
        <f>'As-Filed Schedule 2M'!J49</f>
        <v>0</v>
      </c>
      <c r="O49" s="309">
        <f>SUMIFS(Adjustments!$G:$G,Adjustments!$H:$H,"2M",Adjustments!$I:$I,'Schedule 2M Adjustments'!$N$12,Adjustments!$J:$J,'Schedule 2M Adjustments'!$A49)</f>
        <v>0</v>
      </c>
      <c r="P49" s="305">
        <f t="shared" si="3"/>
        <v>0</v>
      </c>
      <c r="Q49" s="68">
        <f>IFERROR(N49*'As-Filed Schedule 1'!$E$103,0)</f>
        <v>0</v>
      </c>
      <c r="R49" s="68">
        <f>IFERROR(P49*'Adjusted Schedule 1'!$E$104,0)</f>
        <v>0</v>
      </c>
      <c r="S49" s="68">
        <f t="shared" si="4"/>
        <v>0</v>
      </c>
      <c r="T49" s="306">
        <f t="shared" si="5"/>
        <v>0</v>
      </c>
      <c r="V49" s="119">
        <f>'As-Filed Schedule 2M'!N49</f>
        <v>0</v>
      </c>
      <c r="W49" s="309">
        <f>SUMIFS(Adjustments!$G:$G,Adjustments!$H:$H,"2M",Adjustments!$I:$I,'Schedule 2M Adjustments'!$V$12,Adjustments!$J:$J,'Schedule 2M Adjustments'!$A49)</f>
        <v>0</v>
      </c>
      <c r="X49" s="305">
        <f t="shared" si="6"/>
        <v>0</v>
      </c>
      <c r="Y49" s="119">
        <f>'As-Filed Schedule 2M'!O49</f>
        <v>0</v>
      </c>
      <c r="Z49" s="309">
        <f>SUMIFS(Adjustments!$G:$G,Adjustments!$H:$H,"2M",Adjustments!$I:$I,'Schedule 2M Adjustments'!$Y$12,Adjustments!$J:$J,'Schedule 2M Adjustments'!$A49)</f>
        <v>0</v>
      </c>
      <c r="AA49" s="305">
        <f t="shared" si="7"/>
        <v>0</v>
      </c>
    </row>
    <row r="50" spans="1:27" x14ac:dyDescent="0.35">
      <c r="A50" s="24">
        <v>36</v>
      </c>
      <c r="B50" s="514" t="str">
        <f>IF('As-Filed Schedule 2M'!B50:D50=0,"",'As-Filed Schedule 2M'!B50:D50)</f>
        <v/>
      </c>
      <c r="C50" s="514"/>
      <c r="D50" s="514"/>
      <c r="F50" s="117">
        <f>'As-Filed Schedule 2M'!F50</f>
        <v>0</v>
      </c>
      <c r="G50" s="309">
        <f>SUMIFS(Adjustments!$G:$G,Adjustments!$H:$H,"2M",Adjustments!$I:$I,'Schedule 2M Adjustments'!$F$12,Adjustments!$J:$J,'Schedule 2M Adjustments'!$A50)</f>
        <v>0</v>
      </c>
      <c r="H50" s="305">
        <f t="shared" si="0"/>
        <v>0</v>
      </c>
      <c r="I50" s="68">
        <f>IFERROR(F50*'As-Filed Schedule 1'!$E$103,0)</f>
        <v>0</v>
      </c>
      <c r="J50" s="306">
        <f>IFERROR(H50*'Adjusted Schedule 1'!$E$104,0)</f>
        <v>0</v>
      </c>
      <c r="K50" s="68">
        <f t="shared" si="1"/>
        <v>0</v>
      </c>
      <c r="L50" s="306">
        <f t="shared" si="2"/>
        <v>0</v>
      </c>
      <c r="N50" s="117">
        <f>'As-Filed Schedule 2M'!J50</f>
        <v>0</v>
      </c>
      <c r="O50" s="309">
        <f>SUMIFS(Adjustments!$G:$G,Adjustments!$H:$H,"2M",Adjustments!$I:$I,'Schedule 2M Adjustments'!$N$12,Adjustments!$J:$J,'Schedule 2M Adjustments'!$A50)</f>
        <v>0</v>
      </c>
      <c r="P50" s="305">
        <f t="shared" si="3"/>
        <v>0</v>
      </c>
      <c r="Q50" s="68">
        <f>IFERROR(N50*'As-Filed Schedule 1'!$E$103,0)</f>
        <v>0</v>
      </c>
      <c r="R50" s="68">
        <f>IFERROR(P50*'Adjusted Schedule 1'!$E$104,0)</f>
        <v>0</v>
      </c>
      <c r="S50" s="68">
        <f t="shared" si="4"/>
        <v>0</v>
      </c>
      <c r="T50" s="306">
        <f t="shared" si="5"/>
        <v>0</v>
      </c>
      <c r="V50" s="119">
        <f>'As-Filed Schedule 2M'!N50</f>
        <v>0</v>
      </c>
      <c r="W50" s="309">
        <f>SUMIFS(Adjustments!$G:$G,Adjustments!$H:$H,"2M",Adjustments!$I:$I,'Schedule 2M Adjustments'!$V$12,Adjustments!$J:$J,'Schedule 2M Adjustments'!$A50)</f>
        <v>0</v>
      </c>
      <c r="X50" s="305">
        <f t="shared" si="6"/>
        <v>0</v>
      </c>
      <c r="Y50" s="119">
        <f>'As-Filed Schedule 2M'!O50</f>
        <v>0</v>
      </c>
      <c r="Z50" s="309">
        <f>SUMIFS(Adjustments!$G:$G,Adjustments!$H:$H,"2M",Adjustments!$I:$I,'Schedule 2M Adjustments'!$Y$12,Adjustments!$J:$J,'Schedule 2M Adjustments'!$A50)</f>
        <v>0</v>
      </c>
      <c r="AA50" s="305">
        <f t="shared" si="7"/>
        <v>0</v>
      </c>
    </row>
    <row r="51" spans="1:27" x14ac:dyDescent="0.35">
      <c r="A51" s="24">
        <v>37</v>
      </c>
      <c r="B51" s="514" t="str">
        <f>IF('As-Filed Schedule 2M'!B51:D51=0,"",'As-Filed Schedule 2M'!B51:D51)</f>
        <v/>
      </c>
      <c r="C51" s="514"/>
      <c r="D51" s="514"/>
      <c r="F51" s="117">
        <f>'As-Filed Schedule 2M'!F51</f>
        <v>0</v>
      </c>
      <c r="G51" s="309">
        <f>SUMIFS(Adjustments!$G:$G,Adjustments!$H:$H,"2M",Adjustments!$I:$I,'Schedule 2M Adjustments'!$F$12,Adjustments!$J:$J,'Schedule 2M Adjustments'!$A51)</f>
        <v>0</v>
      </c>
      <c r="H51" s="305">
        <f t="shared" si="0"/>
        <v>0</v>
      </c>
      <c r="I51" s="68">
        <f>IFERROR(F51*'As-Filed Schedule 1'!$E$103,0)</f>
        <v>0</v>
      </c>
      <c r="J51" s="306">
        <f>IFERROR(H51*'Adjusted Schedule 1'!$E$104,0)</f>
        <v>0</v>
      </c>
      <c r="K51" s="68">
        <f t="shared" si="1"/>
        <v>0</v>
      </c>
      <c r="L51" s="306">
        <f t="shared" si="2"/>
        <v>0</v>
      </c>
      <c r="N51" s="117">
        <f>'As-Filed Schedule 2M'!J51</f>
        <v>0</v>
      </c>
      <c r="O51" s="309">
        <f>SUMIFS(Adjustments!$G:$G,Adjustments!$H:$H,"2M",Adjustments!$I:$I,'Schedule 2M Adjustments'!$N$12,Adjustments!$J:$J,'Schedule 2M Adjustments'!$A51)</f>
        <v>0</v>
      </c>
      <c r="P51" s="305">
        <f t="shared" si="3"/>
        <v>0</v>
      </c>
      <c r="Q51" s="68">
        <f>IFERROR(N51*'As-Filed Schedule 1'!$E$103,0)</f>
        <v>0</v>
      </c>
      <c r="R51" s="68">
        <f>IFERROR(P51*'Adjusted Schedule 1'!$E$104,0)</f>
        <v>0</v>
      </c>
      <c r="S51" s="68">
        <f t="shared" si="4"/>
        <v>0</v>
      </c>
      <c r="T51" s="306">
        <f t="shared" si="5"/>
        <v>0</v>
      </c>
      <c r="V51" s="119">
        <f>'As-Filed Schedule 2M'!N51</f>
        <v>0</v>
      </c>
      <c r="W51" s="309">
        <f>SUMIFS(Adjustments!$G:$G,Adjustments!$H:$H,"2M",Adjustments!$I:$I,'Schedule 2M Adjustments'!$V$12,Adjustments!$J:$J,'Schedule 2M Adjustments'!$A51)</f>
        <v>0</v>
      </c>
      <c r="X51" s="305">
        <f t="shared" si="6"/>
        <v>0</v>
      </c>
      <c r="Y51" s="119">
        <f>'As-Filed Schedule 2M'!O51</f>
        <v>0</v>
      </c>
      <c r="Z51" s="309">
        <f>SUMIFS(Adjustments!$G:$G,Adjustments!$H:$H,"2M",Adjustments!$I:$I,'Schedule 2M Adjustments'!$Y$12,Adjustments!$J:$J,'Schedule 2M Adjustments'!$A51)</f>
        <v>0</v>
      </c>
      <c r="AA51" s="305">
        <f t="shared" si="7"/>
        <v>0</v>
      </c>
    </row>
    <row r="52" spans="1:27" x14ac:dyDescent="0.35">
      <c r="A52" s="24">
        <v>38</v>
      </c>
      <c r="B52" s="514" t="str">
        <f>IF('As-Filed Schedule 2M'!B52:D52=0,"",'As-Filed Schedule 2M'!B52:D52)</f>
        <v/>
      </c>
      <c r="C52" s="514"/>
      <c r="D52" s="514"/>
      <c r="F52" s="117">
        <f>'As-Filed Schedule 2M'!F52</f>
        <v>0</v>
      </c>
      <c r="G52" s="309">
        <f>SUMIFS(Adjustments!$G:$G,Adjustments!$H:$H,"2M",Adjustments!$I:$I,'Schedule 2M Adjustments'!$F$12,Adjustments!$J:$J,'Schedule 2M Adjustments'!$A52)</f>
        <v>0</v>
      </c>
      <c r="H52" s="305">
        <f t="shared" si="0"/>
        <v>0</v>
      </c>
      <c r="I52" s="68">
        <f>IFERROR(F52*'As-Filed Schedule 1'!$E$103,0)</f>
        <v>0</v>
      </c>
      <c r="J52" s="306">
        <f>IFERROR(H52*'Adjusted Schedule 1'!$E$104,0)</f>
        <v>0</v>
      </c>
      <c r="K52" s="68">
        <f t="shared" si="1"/>
        <v>0</v>
      </c>
      <c r="L52" s="306">
        <f t="shared" si="2"/>
        <v>0</v>
      </c>
      <c r="N52" s="117">
        <f>'As-Filed Schedule 2M'!J52</f>
        <v>0</v>
      </c>
      <c r="O52" s="309">
        <f>SUMIFS(Adjustments!$G:$G,Adjustments!$H:$H,"2M",Adjustments!$I:$I,'Schedule 2M Adjustments'!$N$12,Adjustments!$J:$J,'Schedule 2M Adjustments'!$A52)</f>
        <v>0</v>
      </c>
      <c r="P52" s="305">
        <f t="shared" si="3"/>
        <v>0</v>
      </c>
      <c r="Q52" s="68">
        <f>IFERROR(N52*'As-Filed Schedule 1'!$E$103,0)</f>
        <v>0</v>
      </c>
      <c r="R52" s="68">
        <f>IFERROR(P52*'Adjusted Schedule 1'!$E$104,0)</f>
        <v>0</v>
      </c>
      <c r="S52" s="68">
        <f t="shared" si="4"/>
        <v>0</v>
      </c>
      <c r="T52" s="306">
        <f t="shared" si="5"/>
        <v>0</v>
      </c>
      <c r="V52" s="119">
        <f>'As-Filed Schedule 2M'!N52</f>
        <v>0</v>
      </c>
      <c r="W52" s="309">
        <f>SUMIFS(Adjustments!$G:$G,Adjustments!$H:$H,"2M",Adjustments!$I:$I,'Schedule 2M Adjustments'!$V$12,Adjustments!$J:$J,'Schedule 2M Adjustments'!$A52)</f>
        <v>0</v>
      </c>
      <c r="X52" s="305">
        <f t="shared" si="6"/>
        <v>0</v>
      </c>
      <c r="Y52" s="119">
        <f>'As-Filed Schedule 2M'!O52</f>
        <v>0</v>
      </c>
      <c r="Z52" s="309">
        <f>SUMIFS(Adjustments!$G:$G,Adjustments!$H:$H,"2M",Adjustments!$I:$I,'Schedule 2M Adjustments'!$Y$12,Adjustments!$J:$J,'Schedule 2M Adjustments'!$A52)</f>
        <v>0</v>
      </c>
      <c r="AA52" s="305">
        <f t="shared" si="7"/>
        <v>0</v>
      </c>
    </row>
    <row r="53" spans="1:27" x14ac:dyDescent="0.35">
      <c r="A53" s="24">
        <v>39</v>
      </c>
      <c r="B53" s="514" t="str">
        <f>IF('As-Filed Schedule 2M'!B53:D53=0,"",'As-Filed Schedule 2M'!B53:D53)</f>
        <v/>
      </c>
      <c r="C53" s="514"/>
      <c r="D53" s="514"/>
      <c r="F53" s="117">
        <f>'As-Filed Schedule 2M'!F53</f>
        <v>0</v>
      </c>
      <c r="G53" s="309">
        <f>SUMIFS(Adjustments!$G:$G,Adjustments!$H:$H,"2M",Adjustments!$I:$I,'Schedule 2M Adjustments'!$F$12,Adjustments!$J:$J,'Schedule 2M Adjustments'!$A53)</f>
        <v>0</v>
      </c>
      <c r="H53" s="305">
        <f t="shared" si="0"/>
        <v>0</v>
      </c>
      <c r="I53" s="68">
        <f>IFERROR(F53*'As-Filed Schedule 1'!$E$103,0)</f>
        <v>0</v>
      </c>
      <c r="J53" s="306">
        <f>IFERROR(H53*'Adjusted Schedule 1'!$E$104,0)</f>
        <v>0</v>
      </c>
      <c r="K53" s="68">
        <f t="shared" si="1"/>
        <v>0</v>
      </c>
      <c r="L53" s="306">
        <f t="shared" si="2"/>
        <v>0</v>
      </c>
      <c r="N53" s="117">
        <f>'As-Filed Schedule 2M'!J53</f>
        <v>0</v>
      </c>
      <c r="O53" s="309">
        <f>SUMIFS(Adjustments!$G:$G,Adjustments!$H:$H,"2M",Adjustments!$I:$I,'Schedule 2M Adjustments'!$N$12,Adjustments!$J:$J,'Schedule 2M Adjustments'!$A53)</f>
        <v>0</v>
      </c>
      <c r="P53" s="305">
        <f t="shared" si="3"/>
        <v>0</v>
      </c>
      <c r="Q53" s="68">
        <f>IFERROR(N53*'As-Filed Schedule 1'!$E$103,0)</f>
        <v>0</v>
      </c>
      <c r="R53" s="68">
        <f>IFERROR(P53*'Adjusted Schedule 1'!$E$104,0)</f>
        <v>0</v>
      </c>
      <c r="S53" s="68">
        <f t="shared" si="4"/>
        <v>0</v>
      </c>
      <c r="T53" s="306">
        <f t="shared" si="5"/>
        <v>0</v>
      </c>
      <c r="V53" s="119">
        <f>'As-Filed Schedule 2M'!N53</f>
        <v>0</v>
      </c>
      <c r="W53" s="309">
        <f>SUMIFS(Adjustments!$G:$G,Adjustments!$H:$H,"2M",Adjustments!$I:$I,'Schedule 2M Adjustments'!$V$12,Adjustments!$J:$J,'Schedule 2M Adjustments'!$A53)</f>
        <v>0</v>
      </c>
      <c r="X53" s="305">
        <f t="shared" si="6"/>
        <v>0</v>
      </c>
      <c r="Y53" s="119">
        <f>'As-Filed Schedule 2M'!O53</f>
        <v>0</v>
      </c>
      <c r="Z53" s="309">
        <f>SUMIFS(Adjustments!$G:$G,Adjustments!$H:$H,"2M",Adjustments!$I:$I,'Schedule 2M Adjustments'!$Y$12,Adjustments!$J:$J,'Schedule 2M Adjustments'!$A53)</f>
        <v>0</v>
      </c>
      <c r="AA53" s="305">
        <f t="shared" si="7"/>
        <v>0</v>
      </c>
    </row>
    <row r="54" spans="1:27" x14ac:dyDescent="0.35">
      <c r="A54" s="24">
        <v>40</v>
      </c>
      <c r="B54" s="514" t="str">
        <f>IF('As-Filed Schedule 2M'!B54:D54=0,"",'As-Filed Schedule 2M'!B54:D54)</f>
        <v/>
      </c>
      <c r="C54" s="514"/>
      <c r="D54" s="514"/>
      <c r="F54" s="117">
        <f>'As-Filed Schedule 2M'!F54</f>
        <v>0</v>
      </c>
      <c r="G54" s="309">
        <f>SUMIFS(Adjustments!$G:$G,Adjustments!$H:$H,"2M",Adjustments!$I:$I,'Schedule 2M Adjustments'!$F$12,Adjustments!$J:$J,'Schedule 2M Adjustments'!$A54)</f>
        <v>0</v>
      </c>
      <c r="H54" s="305">
        <f t="shared" si="0"/>
        <v>0</v>
      </c>
      <c r="I54" s="68">
        <f>IFERROR(F54*'As-Filed Schedule 1'!$E$103,0)</f>
        <v>0</v>
      </c>
      <c r="J54" s="306">
        <f>IFERROR(H54*'Adjusted Schedule 1'!$E$104,0)</f>
        <v>0</v>
      </c>
      <c r="K54" s="68">
        <f t="shared" si="1"/>
        <v>0</v>
      </c>
      <c r="L54" s="306">
        <f t="shared" si="2"/>
        <v>0</v>
      </c>
      <c r="N54" s="117">
        <f>'As-Filed Schedule 2M'!J54</f>
        <v>0</v>
      </c>
      <c r="O54" s="309">
        <f>SUMIFS(Adjustments!$G:$G,Adjustments!$H:$H,"2M",Adjustments!$I:$I,'Schedule 2M Adjustments'!$N$12,Adjustments!$J:$J,'Schedule 2M Adjustments'!$A54)</f>
        <v>0</v>
      </c>
      <c r="P54" s="305">
        <f t="shared" si="3"/>
        <v>0</v>
      </c>
      <c r="Q54" s="68">
        <f>IFERROR(N54*'As-Filed Schedule 1'!$E$103,0)</f>
        <v>0</v>
      </c>
      <c r="R54" s="68">
        <f>IFERROR(P54*'Adjusted Schedule 1'!$E$104,0)</f>
        <v>0</v>
      </c>
      <c r="S54" s="68">
        <f t="shared" si="4"/>
        <v>0</v>
      </c>
      <c r="T54" s="306">
        <f t="shared" si="5"/>
        <v>0</v>
      </c>
      <c r="V54" s="119">
        <f>'As-Filed Schedule 2M'!N54</f>
        <v>0</v>
      </c>
      <c r="W54" s="309">
        <f>SUMIFS(Adjustments!$G:$G,Adjustments!$H:$H,"2M",Adjustments!$I:$I,'Schedule 2M Adjustments'!$V$12,Adjustments!$J:$J,'Schedule 2M Adjustments'!$A54)</f>
        <v>0</v>
      </c>
      <c r="X54" s="305">
        <f t="shared" si="6"/>
        <v>0</v>
      </c>
      <c r="Y54" s="119">
        <f>'As-Filed Schedule 2M'!O54</f>
        <v>0</v>
      </c>
      <c r="Z54" s="309">
        <f>SUMIFS(Adjustments!$G:$G,Adjustments!$H:$H,"2M",Adjustments!$I:$I,'Schedule 2M Adjustments'!$Y$12,Adjustments!$J:$J,'Schedule 2M Adjustments'!$A54)</f>
        <v>0</v>
      </c>
      <c r="AA54" s="305">
        <f t="shared" si="7"/>
        <v>0</v>
      </c>
    </row>
    <row r="55" spans="1:27" x14ac:dyDescent="0.35">
      <c r="A55" s="24">
        <v>41</v>
      </c>
      <c r="B55" s="514" t="str">
        <f>IF('As-Filed Schedule 2M'!B55:D55=0,"",'As-Filed Schedule 2M'!B55:D55)</f>
        <v/>
      </c>
      <c r="C55" s="514"/>
      <c r="D55" s="514"/>
      <c r="F55" s="117">
        <f>'As-Filed Schedule 2M'!F55</f>
        <v>0</v>
      </c>
      <c r="G55" s="309">
        <f>SUMIFS(Adjustments!$G:$G,Adjustments!$H:$H,"2M",Adjustments!$I:$I,'Schedule 2M Adjustments'!$F$12,Adjustments!$J:$J,'Schedule 2M Adjustments'!$A55)</f>
        <v>0</v>
      </c>
      <c r="H55" s="305">
        <f t="shared" si="0"/>
        <v>0</v>
      </c>
      <c r="I55" s="68">
        <f>IFERROR(F55*'As-Filed Schedule 1'!$E$103,0)</f>
        <v>0</v>
      </c>
      <c r="J55" s="306">
        <f>IFERROR(H55*'Adjusted Schedule 1'!$E$104,0)</f>
        <v>0</v>
      </c>
      <c r="K55" s="68">
        <f t="shared" si="1"/>
        <v>0</v>
      </c>
      <c r="L55" s="306">
        <f t="shared" si="2"/>
        <v>0</v>
      </c>
      <c r="N55" s="117">
        <f>'As-Filed Schedule 2M'!J55</f>
        <v>0</v>
      </c>
      <c r="O55" s="309">
        <f>SUMIFS(Adjustments!$G:$G,Adjustments!$H:$H,"2M",Adjustments!$I:$I,'Schedule 2M Adjustments'!$N$12,Adjustments!$J:$J,'Schedule 2M Adjustments'!$A55)</f>
        <v>0</v>
      </c>
      <c r="P55" s="305">
        <f t="shared" si="3"/>
        <v>0</v>
      </c>
      <c r="Q55" s="68">
        <f>IFERROR(N55*'As-Filed Schedule 1'!$E$103,0)</f>
        <v>0</v>
      </c>
      <c r="R55" s="68">
        <f>IFERROR(P55*'Adjusted Schedule 1'!$E$104,0)</f>
        <v>0</v>
      </c>
      <c r="S55" s="68">
        <f t="shared" si="4"/>
        <v>0</v>
      </c>
      <c r="T55" s="306">
        <f t="shared" si="5"/>
        <v>0</v>
      </c>
      <c r="V55" s="119">
        <f>'As-Filed Schedule 2M'!N55</f>
        <v>0</v>
      </c>
      <c r="W55" s="309">
        <f>SUMIFS(Adjustments!$G:$G,Adjustments!$H:$H,"2M",Adjustments!$I:$I,'Schedule 2M Adjustments'!$V$12,Adjustments!$J:$J,'Schedule 2M Adjustments'!$A55)</f>
        <v>0</v>
      </c>
      <c r="X55" s="305">
        <f t="shared" si="6"/>
        <v>0</v>
      </c>
      <c r="Y55" s="119">
        <f>'As-Filed Schedule 2M'!O55</f>
        <v>0</v>
      </c>
      <c r="Z55" s="309">
        <f>SUMIFS(Adjustments!$G:$G,Adjustments!$H:$H,"2M",Adjustments!$I:$I,'Schedule 2M Adjustments'!$Y$12,Adjustments!$J:$J,'Schedule 2M Adjustments'!$A55)</f>
        <v>0</v>
      </c>
      <c r="AA55" s="305">
        <f t="shared" si="7"/>
        <v>0</v>
      </c>
    </row>
    <row r="56" spans="1:27" x14ac:dyDescent="0.35">
      <c r="A56" s="24">
        <v>42</v>
      </c>
      <c r="B56" s="514" t="str">
        <f>IF('As-Filed Schedule 2M'!B56:D56=0,"",'As-Filed Schedule 2M'!B56:D56)</f>
        <v/>
      </c>
      <c r="C56" s="514"/>
      <c r="D56" s="514"/>
      <c r="F56" s="117">
        <f>'As-Filed Schedule 2M'!F56</f>
        <v>0</v>
      </c>
      <c r="G56" s="309">
        <f>SUMIFS(Adjustments!$G:$G,Adjustments!$H:$H,"2M",Adjustments!$I:$I,'Schedule 2M Adjustments'!$F$12,Adjustments!$J:$J,'Schedule 2M Adjustments'!$A56)</f>
        <v>0</v>
      </c>
      <c r="H56" s="305">
        <f t="shared" si="0"/>
        <v>0</v>
      </c>
      <c r="I56" s="68">
        <f>IFERROR(F56*'As-Filed Schedule 1'!$E$103,0)</f>
        <v>0</v>
      </c>
      <c r="J56" s="306">
        <f>IFERROR(H56*'Adjusted Schedule 1'!$E$104,0)</f>
        <v>0</v>
      </c>
      <c r="K56" s="68">
        <f t="shared" si="1"/>
        <v>0</v>
      </c>
      <c r="L56" s="306">
        <f t="shared" si="2"/>
        <v>0</v>
      </c>
      <c r="N56" s="117">
        <f>'As-Filed Schedule 2M'!J56</f>
        <v>0</v>
      </c>
      <c r="O56" s="309">
        <f>SUMIFS(Adjustments!$G:$G,Adjustments!$H:$H,"2M",Adjustments!$I:$I,'Schedule 2M Adjustments'!$N$12,Adjustments!$J:$J,'Schedule 2M Adjustments'!$A56)</f>
        <v>0</v>
      </c>
      <c r="P56" s="305">
        <f t="shared" si="3"/>
        <v>0</v>
      </c>
      <c r="Q56" s="68">
        <f>IFERROR(N56*'As-Filed Schedule 1'!$E$103,0)</f>
        <v>0</v>
      </c>
      <c r="R56" s="68">
        <f>IFERROR(P56*'Adjusted Schedule 1'!$E$104,0)</f>
        <v>0</v>
      </c>
      <c r="S56" s="68">
        <f t="shared" si="4"/>
        <v>0</v>
      </c>
      <c r="T56" s="306">
        <f t="shared" si="5"/>
        <v>0</v>
      </c>
      <c r="V56" s="119">
        <f>'As-Filed Schedule 2M'!N56</f>
        <v>0</v>
      </c>
      <c r="W56" s="309">
        <f>SUMIFS(Adjustments!$G:$G,Adjustments!$H:$H,"2M",Adjustments!$I:$I,'Schedule 2M Adjustments'!$V$12,Adjustments!$J:$J,'Schedule 2M Adjustments'!$A56)</f>
        <v>0</v>
      </c>
      <c r="X56" s="305">
        <f t="shared" si="6"/>
        <v>0</v>
      </c>
      <c r="Y56" s="119">
        <f>'As-Filed Schedule 2M'!O56</f>
        <v>0</v>
      </c>
      <c r="Z56" s="309">
        <f>SUMIFS(Adjustments!$G:$G,Adjustments!$H:$H,"2M",Adjustments!$I:$I,'Schedule 2M Adjustments'!$Y$12,Adjustments!$J:$J,'Schedule 2M Adjustments'!$A56)</f>
        <v>0</v>
      </c>
      <c r="AA56" s="305">
        <f t="shared" si="7"/>
        <v>0</v>
      </c>
    </row>
    <row r="57" spans="1:27" x14ac:dyDescent="0.35">
      <c r="A57" s="24">
        <v>43</v>
      </c>
      <c r="B57" s="514" t="str">
        <f>IF('As-Filed Schedule 2M'!B57:D57=0,"",'As-Filed Schedule 2M'!B57:D57)</f>
        <v/>
      </c>
      <c r="C57" s="514"/>
      <c r="D57" s="514"/>
      <c r="F57" s="117">
        <f>'As-Filed Schedule 2M'!F57</f>
        <v>0</v>
      </c>
      <c r="G57" s="309">
        <f>SUMIFS(Adjustments!$G:$G,Adjustments!$H:$H,"2M",Adjustments!$I:$I,'Schedule 2M Adjustments'!$F$12,Adjustments!$J:$J,'Schedule 2M Adjustments'!$A57)</f>
        <v>0</v>
      </c>
      <c r="H57" s="305">
        <f t="shared" si="0"/>
        <v>0</v>
      </c>
      <c r="I57" s="68">
        <f>IFERROR(F57*'As-Filed Schedule 1'!$E$103,0)</f>
        <v>0</v>
      </c>
      <c r="J57" s="306">
        <f>IFERROR(H57*'Adjusted Schedule 1'!$E$104,0)</f>
        <v>0</v>
      </c>
      <c r="K57" s="68">
        <f t="shared" si="1"/>
        <v>0</v>
      </c>
      <c r="L57" s="306">
        <f t="shared" si="2"/>
        <v>0</v>
      </c>
      <c r="N57" s="117">
        <f>'As-Filed Schedule 2M'!J57</f>
        <v>0</v>
      </c>
      <c r="O57" s="309">
        <f>SUMIFS(Adjustments!$G:$G,Adjustments!$H:$H,"2M",Adjustments!$I:$I,'Schedule 2M Adjustments'!$N$12,Adjustments!$J:$J,'Schedule 2M Adjustments'!$A57)</f>
        <v>0</v>
      </c>
      <c r="P57" s="305">
        <f t="shared" si="3"/>
        <v>0</v>
      </c>
      <c r="Q57" s="68">
        <f>IFERROR(N57*'As-Filed Schedule 1'!$E$103,0)</f>
        <v>0</v>
      </c>
      <c r="R57" s="68">
        <f>IFERROR(P57*'Adjusted Schedule 1'!$E$104,0)</f>
        <v>0</v>
      </c>
      <c r="S57" s="68">
        <f t="shared" si="4"/>
        <v>0</v>
      </c>
      <c r="T57" s="306">
        <f t="shared" si="5"/>
        <v>0</v>
      </c>
      <c r="V57" s="119">
        <f>'As-Filed Schedule 2M'!N57</f>
        <v>0</v>
      </c>
      <c r="W57" s="309">
        <f>SUMIFS(Adjustments!$G:$G,Adjustments!$H:$H,"2M",Adjustments!$I:$I,'Schedule 2M Adjustments'!$V$12,Adjustments!$J:$J,'Schedule 2M Adjustments'!$A57)</f>
        <v>0</v>
      </c>
      <c r="X57" s="305">
        <f t="shared" si="6"/>
        <v>0</v>
      </c>
      <c r="Y57" s="119">
        <f>'As-Filed Schedule 2M'!O57</f>
        <v>0</v>
      </c>
      <c r="Z57" s="309">
        <f>SUMIFS(Adjustments!$G:$G,Adjustments!$H:$H,"2M",Adjustments!$I:$I,'Schedule 2M Adjustments'!$Y$12,Adjustments!$J:$J,'Schedule 2M Adjustments'!$A57)</f>
        <v>0</v>
      </c>
      <c r="AA57" s="305">
        <f t="shared" si="7"/>
        <v>0</v>
      </c>
    </row>
    <row r="58" spans="1:27" x14ac:dyDescent="0.35">
      <c r="A58" s="24">
        <v>44</v>
      </c>
      <c r="B58" s="514" t="str">
        <f>IF('As-Filed Schedule 2M'!B58:D58=0,"",'As-Filed Schedule 2M'!B58:D58)</f>
        <v/>
      </c>
      <c r="C58" s="514"/>
      <c r="D58" s="514"/>
      <c r="F58" s="117">
        <f>'As-Filed Schedule 2M'!F58</f>
        <v>0</v>
      </c>
      <c r="G58" s="309">
        <f>SUMIFS(Adjustments!$G:$G,Adjustments!$H:$H,"2M",Adjustments!$I:$I,'Schedule 2M Adjustments'!$F$12,Adjustments!$J:$J,'Schedule 2M Adjustments'!$A58)</f>
        <v>0</v>
      </c>
      <c r="H58" s="305">
        <f t="shared" si="0"/>
        <v>0</v>
      </c>
      <c r="I58" s="68">
        <f>IFERROR(F58*'As-Filed Schedule 1'!$E$103,0)</f>
        <v>0</v>
      </c>
      <c r="J58" s="306">
        <f>IFERROR(H58*'Adjusted Schedule 1'!$E$104,0)</f>
        <v>0</v>
      </c>
      <c r="K58" s="68">
        <f t="shared" si="1"/>
        <v>0</v>
      </c>
      <c r="L58" s="306">
        <f t="shared" si="2"/>
        <v>0</v>
      </c>
      <c r="N58" s="117">
        <f>'As-Filed Schedule 2M'!J58</f>
        <v>0</v>
      </c>
      <c r="O58" s="309">
        <f>SUMIFS(Adjustments!$G:$G,Adjustments!$H:$H,"2M",Adjustments!$I:$I,'Schedule 2M Adjustments'!$N$12,Adjustments!$J:$J,'Schedule 2M Adjustments'!$A58)</f>
        <v>0</v>
      </c>
      <c r="P58" s="305">
        <f t="shared" si="3"/>
        <v>0</v>
      </c>
      <c r="Q58" s="68">
        <f>IFERROR(N58*'As-Filed Schedule 1'!$E$103,0)</f>
        <v>0</v>
      </c>
      <c r="R58" s="68">
        <f>IFERROR(P58*'Adjusted Schedule 1'!$E$104,0)</f>
        <v>0</v>
      </c>
      <c r="S58" s="68">
        <f t="shared" si="4"/>
        <v>0</v>
      </c>
      <c r="T58" s="306">
        <f t="shared" si="5"/>
        <v>0</v>
      </c>
      <c r="V58" s="119">
        <f>'As-Filed Schedule 2M'!N58</f>
        <v>0</v>
      </c>
      <c r="W58" s="309">
        <f>SUMIFS(Adjustments!$G:$G,Adjustments!$H:$H,"2M",Adjustments!$I:$I,'Schedule 2M Adjustments'!$V$12,Adjustments!$J:$J,'Schedule 2M Adjustments'!$A58)</f>
        <v>0</v>
      </c>
      <c r="X58" s="305">
        <f t="shared" si="6"/>
        <v>0</v>
      </c>
      <c r="Y58" s="119">
        <f>'As-Filed Schedule 2M'!O58</f>
        <v>0</v>
      </c>
      <c r="Z58" s="309">
        <f>SUMIFS(Adjustments!$G:$G,Adjustments!$H:$H,"2M",Adjustments!$I:$I,'Schedule 2M Adjustments'!$Y$12,Adjustments!$J:$J,'Schedule 2M Adjustments'!$A58)</f>
        <v>0</v>
      </c>
      <c r="AA58" s="305">
        <f t="shared" si="7"/>
        <v>0</v>
      </c>
    </row>
    <row r="59" spans="1:27" x14ac:dyDescent="0.35">
      <c r="A59" s="24">
        <v>45</v>
      </c>
      <c r="B59" s="514" t="str">
        <f>IF('As-Filed Schedule 2M'!B59:D59=0,"",'As-Filed Schedule 2M'!B59:D59)</f>
        <v/>
      </c>
      <c r="C59" s="514"/>
      <c r="D59" s="514"/>
      <c r="F59" s="117">
        <f>'As-Filed Schedule 2M'!F59</f>
        <v>0</v>
      </c>
      <c r="G59" s="309">
        <f>SUMIFS(Adjustments!$G:$G,Adjustments!$H:$H,"2M",Adjustments!$I:$I,'Schedule 2M Adjustments'!$F$12,Adjustments!$J:$J,'Schedule 2M Adjustments'!$A59)</f>
        <v>0</v>
      </c>
      <c r="H59" s="305">
        <f t="shared" si="0"/>
        <v>0</v>
      </c>
      <c r="I59" s="68">
        <f>IFERROR(F59*'As-Filed Schedule 1'!$E$103,0)</f>
        <v>0</v>
      </c>
      <c r="J59" s="306">
        <f>IFERROR(H59*'Adjusted Schedule 1'!$E$104,0)</f>
        <v>0</v>
      </c>
      <c r="K59" s="68">
        <f t="shared" si="1"/>
        <v>0</v>
      </c>
      <c r="L59" s="306">
        <f t="shared" si="2"/>
        <v>0</v>
      </c>
      <c r="N59" s="117">
        <f>'As-Filed Schedule 2M'!J59</f>
        <v>0</v>
      </c>
      <c r="O59" s="309">
        <f>SUMIFS(Adjustments!$G:$G,Adjustments!$H:$H,"2M",Adjustments!$I:$I,'Schedule 2M Adjustments'!$N$12,Adjustments!$J:$J,'Schedule 2M Adjustments'!$A59)</f>
        <v>0</v>
      </c>
      <c r="P59" s="305">
        <f t="shared" si="3"/>
        <v>0</v>
      </c>
      <c r="Q59" s="68">
        <f>IFERROR(N59*'As-Filed Schedule 1'!$E$103,0)</f>
        <v>0</v>
      </c>
      <c r="R59" s="68">
        <f>IFERROR(P59*'Adjusted Schedule 1'!$E$104,0)</f>
        <v>0</v>
      </c>
      <c r="S59" s="68">
        <f t="shared" si="4"/>
        <v>0</v>
      </c>
      <c r="T59" s="306">
        <f t="shared" si="5"/>
        <v>0</v>
      </c>
      <c r="V59" s="119">
        <f>'As-Filed Schedule 2M'!N59</f>
        <v>0</v>
      </c>
      <c r="W59" s="309">
        <f>SUMIFS(Adjustments!$G:$G,Adjustments!$H:$H,"2M",Adjustments!$I:$I,'Schedule 2M Adjustments'!$V$12,Adjustments!$J:$J,'Schedule 2M Adjustments'!$A59)</f>
        <v>0</v>
      </c>
      <c r="X59" s="305">
        <f t="shared" si="6"/>
        <v>0</v>
      </c>
      <c r="Y59" s="119">
        <f>'As-Filed Schedule 2M'!O59</f>
        <v>0</v>
      </c>
      <c r="Z59" s="309">
        <f>SUMIFS(Adjustments!$G:$G,Adjustments!$H:$H,"2M",Adjustments!$I:$I,'Schedule 2M Adjustments'!$Y$12,Adjustments!$J:$J,'Schedule 2M Adjustments'!$A59)</f>
        <v>0</v>
      </c>
      <c r="AA59" s="305">
        <f t="shared" si="7"/>
        <v>0</v>
      </c>
    </row>
    <row r="60" spans="1:27" x14ac:dyDescent="0.35">
      <c r="A60" s="24">
        <v>46</v>
      </c>
      <c r="B60" s="514" t="str">
        <f>IF('As-Filed Schedule 2M'!B60:D60=0,"",'As-Filed Schedule 2M'!B60:D60)</f>
        <v/>
      </c>
      <c r="C60" s="514"/>
      <c r="D60" s="514"/>
      <c r="F60" s="117">
        <f>'As-Filed Schedule 2M'!F60</f>
        <v>0</v>
      </c>
      <c r="G60" s="309">
        <f>SUMIFS(Adjustments!$G:$G,Adjustments!$H:$H,"2M",Adjustments!$I:$I,'Schedule 2M Adjustments'!$F$12,Adjustments!$J:$J,'Schedule 2M Adjustments'!$A60)</f>
        <v>0</v>
      </c>
      <c r="H60" s="305">
        <f t="shared" si="0"/>
        <v>0</v>
      </c>
      <c r="I60" s="68">
        <f>IFERROR(F60*'As-Filed Schedule 1'!$E$103,0)</f>
        <v>0</v>
      </c>
      <c r="J60" s="306">
        <f>IFERROR(H60*'Adjusted Schedule 1'!$E$104,0)</f>
        <v>0</v>
      </c>
      <c r="K60" s="68">
        <f t="shared" si="1"/>
        <v>0</v>
      </c>
      <c r="L60" s="306">
        <f t="shared" si="2"/>
        <v>0</v>
      </c>
      <c r="N60" s="117">
        <f>'As-Filed Schedule 2M'!J60</f>
        <v>0</v>
      </c>
      <c r="O60" s="309">
        <f>SUMIFS(Adjustments!$G:$G,Adjustments!$H:$H,"2M",Adjustments!$I:$I,'Schedule 2M Adjustments'!$N$12,Adjustments!$J:$J,'Schedule 2M Adjustments'!$A60)</f>
        <v>0</v>
      </c>
      <c r="P60" s="305">
        <f t="shared" si="3"/>
        <v>0</v>
      </c>
      <c r="Q60" s="68">
        <f>IFERROR(N60*'As-Filed Schedule 1'!$E$103,0)</f>
        <v>0</v>
      </c>
      <c r="R60" s="68">
        <f>IFERROR(P60*'Adjusted Schedule 1'!$E$104,0)</f>
        <v>0</v>
      </c>
      <c r="S60" s="68">
        <f t="shared" si="4"/>
        <v>0</v>
      </c>
      <c r="T60" s="306">
        <f t="shared" si="5"/>
        <v>0</v>
      </c>
      <c r="V60" s="119">
        <f>'As-Filed Schedule 2M'!N60</f>
        <v>0</v>
      </c>
      <c r="W60" s="309">
        <f>SUMIFS(Adjustments!$G:$G,Adjustments!$H:$H,"2M",Adjustments!$I:$I,'Schedule 2M Adjustments'!$V$12,Adjustments!$J:$J,'Schedule 2M Adjustments'!$A60)</f>
        <v>0</v>
      </c>
      <c r="X60" s="305">
        <f t="shared" si="6"/>
        <v>0</v>
      </c>
      <c r="Y60" s="119">
        <f>'As-Filed Schedule 2M'!O60</f>
        <v>0</v>
      </c>
      <c r="Z60" s="309">
        <f>SUMIFS(Adjustments!$G:$G,Adjustments!$H:$H,"2M",Adjustments!$I:$I,'Schedule 2M Adjustments'!$Y$12,Adjustments!$J:$J,'Schedule 2M Adjustments'!$A60)</f>
        <v>0</v>
      </c>
      <c r="AA60" s="305">
        <f t="shared" si="7"/>
        <v>0</v>
      </c>
    </row>
    <row r="61" spans="1:27" x14ac:dyDescent="0.35">
      <c r="A61" s="24">
        <v>47</v>
      </c>
      <c r="B61" s="514" t="str">
        <f>IF('As-Filed Schedule 2M'!B61:D61=0,"",'As-Filed Schedule 2M'!B61:D61)</f>
        <v/>
      </c>
      <c r="C61" s="514"/>
      <c r="D61" s="514"/>
      <c r="F61" s="117">
        <f>'As-Filed Schedule 2M'!F61</f>
        <v>0</v>
      </c>
      <c r="G61" s="309">
        <f>SUMIFS(Adjustments!$G:$G,Adjustments!$H:$H,"2M",Adjustments!$I:$I,'Schedule 2M Adjustments'!$F$12,Adjustments!$J:$J,'Schedule 2M Adjustments'!$A61)</f>
        <v>0</v>
      </c>
      <c r="H61" s="305">
        <f t="shared" si="0"/>
        <v>0</v>
      </c>
      <c r="I61" s="68">
        <f>IFERROR(F61*'As-Filed Schedule 1'!$E$103,0)</f>
        <v>0</v>
      </c>
      <c r="J61" s="306">
        <f>IFERROR(H61*'Adjusted Schedule 1'!$E$104,0)</f>
        <v>0</v>
      </c>
      <c r="K61" s="68">
        <f t="shared" si="1"/>
        <v>0</v>
      </c>
      <c r="L61" s="306">
        <f t="shared" si="2"/>
        <v>0</v>
      </c>
      <c r="N61" s="117">
        <f>'As-Filed Schedule 2M'!J61</f>
        <v>0</v>
      </c>
      <c r="O61" s="309">
        <f>SUMIFS(Adjustments!$G:$G,Adjustments!$H:$H,"2M",Adjustments!$I:$I,'Schedule 2M Adjustments'!$N$12,Adjustments!$J:$J,'Schedule 2M Adjustments'!$A61)</f>
        <v>0</v>
      </c>
      <c r="P61" s="305">
        <f t="shared" si="3"/>
        <v>0</v>
      </c>
      <c r="Q61" s="68">
        <f>IFERROR(N61*'As-Filed Schedule 1'!$E$103,0)</f>
        <v>0</v>
      </c>
      <c r="R61" s="68">
        <f>IFERROR(P61*'Adjusted Schedule 1'!$E$104,0)</f>
        <v>0</v>
      </c>
      <c r="S61" s="68">
        <f t="shared" si="4"/>
        <v>0</v>
      </c>
      <c r="T61" s="306">
        <f t="shared" si="5"/>
        <v>0</v>
      </c>
      <c r="V61" s="119">
        <f>'As-Filed Schedule 2M'!N61</f>
        <v>0</v>
      </c>
      <c r="W61" s="309">
        <f>SUMIFS(Adjustments!$G:$G,Adjustments!$H:$H,"2M",Adjustments!$I:$I,'Schedule 2M Adjustments'!$V$12,Adjustments!$J:$J,'Schedule 2M Adjustments'!$A61)</f>
        <v>0</v>
      </c>
      <c r="X61" s="305">
        <f t="shared" si="6"/>
        <v>0</v>
      </c>
      <c r="Y61" s="119">
        <f>'As-Filed Schedule 2M'!O61</f>
        <v>0</v>
      </c>
      <c r="Z61" s="309">
        <f>SUMIFS(Adjustments!$G:$G,Adjustments!$H:$H,"2M",Adjustments!$I:$I,'Schedule 2M Adjustments'!$Y$12,Adjustments!$J:$J,'Schedule 2M Adjustments'!$A61)</f>
        <v>0</v>
      </c>
      <c r="AA61" s="305">
        <f t="shared" si="7"/>
        <v>0</v>
      </c>
    </row>
    <row r="62" spans="1:27" x14ac:dyDescent="0.35">
      <c r="A62" s="24">
        <v>48</v>
      </c>
      <c r="B62" s="514" t="str">
        <f>IF('As-Filed Schedule 2M'!B62:D62=0,"",'As-Filed Schedule 2M'!B62:D62)</f>
        <v/>
      </c>
      <c r="C62" s="514"/>
      <c r="D62" s="514"/>
      <c r="F62" s="117">
        <f>'As-Filed Schedule 2M'!F62</f>
        <v>0</v>
      </c>
      <c r="G62" s="309">
        <f>SUMIFS(Adjustments!$G:$G,Adjustments!$H:$H,"2M",Adjustments!$I:$I,'Schedule 2M Adjustments'!$F$12,Adjustments!$J:$J,'Schedule 2M Adjustments'!$A62)</f>
        <v>0</v>
      </c>
      <c r="H62" s="305">
        <f t="shared" si="0"/>
        <v>0</v>
      </c>
      <c r="I62" s="68">
        <f>IFERROR(F62*'As-Filed Schedule 1'!$E$103,0)</f>
        <v>0</v>
      </c>
      <c r="J62" s="306">
        <f>IFERROR(H62*'Adjusted Schedule 1'!$E$104,0)</f>
        <v>0</v>
      </c>
      <c r="K62" s="68">
        <f t="shared" si="1"/>
        <v>0</v>
      </c>
      <c r="L62" s="306">
        <f t="shared" si="2"/>
        <v>0</v>
      </c>
      <c r="N62" s="117">
        <f>'As-Filed Schedule 2M'!J62</f>
        <v>0</v>
      </c>
      <c r="O62" s="309">
        <f>SUMIFS(Adjustments!$G:$G,Adjustments!$H:$H,"2M",Adjustments!$I:$I,'Schedule 2M Adjustments'!$N$12,Adjustments!$J:$J,'Schedule 2M Adjustments'!$A62)</f>
        <v>0</v>
      </c>
      <c r="P62" s="305">
        <f t="shared" si="3"/>
        <v>0</v>
      </c>
      <c r="Q62" s="68">
        <f>IFERROR(N62*'As-Filed Schedule 1'!$E$103,0)</f>
        <v>0</v>
      </c>
      <c r="R62" s="68">
        <f>IFERROR(P62*'Adjusted Schedule 1'!$E$104,0)</f>
        <v>0</v>
      </c>
      <c r="S62" s="68">
        <f t="shared" si="4"/>
        <v>0</v>
      </c>
      <c r="T62" s="306">
        <f t="shared" si="5"/>
        <v>0</v>
      </c>
      <c r="V62" s="119">
        <f>'As-Filed Schedule 2M'!N62</f>
        <v>0</v>
      </c>
      <c r="W62" s="309">
        <f>SUMIFS(Adjustments!$G:$G,Adjustments!$H:$H,"2M",Adjustments!$I:$I,'Schedule 2M Adjustments'!$V$12,Adjustments!$J:$J,'Schedule 2M Adjustments'!$A62)</f>
        <v>0</v>
      </c>
      <c r="X62" s="305">
        <f t="shared" si="6"/>
        <v>0</v>
      </c>
      <c r="Y62" s="119">
        <f>'As-Filed Schedule 2M'!O62</f>
        <v>0</v>
      </c>
      <c r="Z62" s="309">
        <f>SUMIFS(Adjustments!$G:$G,Adjustments!$H:$H,"2M",Adjustments!$I:$I,'Schedule 2M Adjustments'!$Y$12,Adjustments!$J:$J,'Schedule 2M Adjustments'!$A62)</f>
        <v>0</v>
      </c>
      <c r="AA62" s="305">
        <f t="shared" si="7"/>
        <v>0</v>
      </c>
    </row>
    <row r="63" spans="1:27" x14ac:dyDescent="0.35">
      <c r="A63" s="24">
        <v>49</v>
      </c>
      <c r="B63" s="514" t="str">
        <f>IF('As-Filed Schedule 2M'!B63:D63=0,"",'As-Filed Schedule 2M'!B63:D63)</f>
        <v/>
      </c>
      <c r="C63" s="514"/>
      <c r="D63" s="514"/>
      <c r="F63" s="117">
        <f>'As-Filed Schedule 2M'!F63</f>
        <v>0</v>
      </c>
      <c r="G63" s="309">
        <f>SUMIFS(Adjustments!$G:$G,Adjustments!$H:$H,"2M",Adjustments!$I:$I,'Schedule 2M Adjustments'!$F$12,Adjustments!$J:$J,'Schedule 2M Adjustments'!$A63)</f>
        <v>0</v>
      </c>
      <c r="H63" s="305">
        <f t="shared" si="0"/>
        <v>0</v>
      </c>
      <c r="I63" s="68">
        <f>IFERROR(F63*'As-Filed Schedule 1'!$E$103,0)</f>
        <v>0</v>
      </c>
      <c r="J63" s="306">
        <f>IFERROR(H63*'Adjusted Schedule 1'!$E$104,0)</f>
        <v>0</v>
      </c>
      <c r="K63" s="68">
        <f t="shared" si="1"/>
        <v>0</v>
      </c>
      <c r="L63" s="306">
        <f t="shared" si="2"/>
        <v>0</v>
      </c>
      <c r="N63" s="117">
        <f>'As-Filed Schedule 2M'!J63</f>
        <v>0</v>
      </c>
      <c r="O63" s="309">
        <f>SUMIFS(Adjustments!$G:$G,Adjustments!$H:$H,"2M",Adjustments!$I:$I,'Schedule 2M Adjustments'!$N$12,Adjustments!$J:$J,'Schedule 2M Adjustments'!$A63)</f>
        <v>0</v>
      </c>
      <c r="P63" s="305">
        <f t="shared" si="3"/>
        <v>0</v>
      </c>
      <c r="Q63" s="68">
        <f>IFERROR(N63*'As-Filed Schedule 1'!$E$103,0)</f>
        <v>0</v>
      </c>
      <c r="R63" s="68">
        <f>IFERROR(P63*'Adjusted Schedule 1'!$E$104,0)</f>
        <v>0</v>
      </c>
      <c r="S63" s="68">
        <f t="shared" si="4"/>
        <v>0</v>
      </c>
      <c r="T63" s="306">
        <f t="shared" si="5"/>
        <v>0</v>
      </c>
      <c r="V63" s="119">
        <f>'As-Filed Schedule 2M'!N63</f>
        <v>0</v>
      </c>
      <c r="W63" s="309">
        <f>SUMIFS(Adjustments!$G:$G,Adjustments!$H:$H,"2M",Adjustments!$I:$I,'Schedule 2M Adjustments'!$V$12,Adjustments!$J:$J,'Schedule 2M Adjustments'!$A63)</f>
        <v>0</v>
      </c>
      <c r="X63" s="305">
        <f t="shared" si="6"/>
        <v>0</v>
      </c>
      <c r="Y63" s="119">
        <f>'As-Filed Schedule 2M'!O63</f>
        <v>0</v>
      </c>
      <c r="Z63" s="309">
        <f>SUMIFS(Adjustments!$G:$G,Adjustments!$H:$H,"2M",Adjustments!$I:$I,'Schedule 2M Adjustments'!$Y$12,Adjustments!$J:$J,'Schedule 2M Adjustments'!$A63)</f>
        <v>0</v>
      </c>
      <c r="AA63" s="305">
        <f t="shared" si="7"/>
        <v>0</v>
      </c>
    </row>
    <row r="64" spans="1:27" x14ac:dyDescent="0.35">
      <c r="A64" s="24">
        <v>50</v>
      </c>
      <c r="B64" s="514" t="str">
        <f>IF('As-Filed Schedule 2M'!B64:D64=0,"",'As-Filed Schedule 2M'!B64:D64)</f>
        <v/>
      </c>
      <c r="C64" s="514"/>
      <c r="D64" s="514"/>
      <c r="F64" s="117">
        <f>'As-Filed Schedule 2M'!F64</f>
        <v>0</v>
      </c>
      <c r="G64" s="309">
        <f>SUMIFS(Adjustments!$G:$G,Adjustments!$H:$H,"2M",Adjustments!$I:$I,'Schedule 2M Adjustments'!$F$12,Adjustments!$J:$J,'Schedule 2M Adjustments'!$A64)</f>
        <v>0</v>
      </c>
      <c r="H64" s="305">
        <f t="shared" si="0"/>
        <v>0</v>
      </c>
      <c r="I64" s="68">
        <f>IFERROR(F64*'As-Filed Schedule 1'!$E$103,0)</f>
        <v>0</v>
      </c>
      <c r="J64" s="306">
        <f>IFERROR(H64*'Adjusted Schedule 1'!$E$104,0)</f>
        <v>0</v>
      </c>
      <c r="K64" s="68">
        <f t="shared" si="1"/>
        <v>0</v>
      </c>
      <c r="L64" s="306">
        <f t="shared" si="2"/>
        <v>0</v>
      </c>
      <c r="N64" s="117">
        <f>'As-Filed Schedule 2M'!J64</f>
        <v>0</v>
      </c>
      <c r="O64" s="309">
        <f>SUMIFS(Adjustments!$G:$G,Adjustments!$H:$H,"2M",Adjustments!$I:$I,'Schedule 2M Adjustments'!$N$12,Adjustments!$J:$J,'Schedule 2M Adjustments'!$A64)</f>
        <v>0</v>
      </c>
      <c r="P64" s="305">
        <f t="shared" si="3"/>
        <v>0</v>
      </c>
      <c r="Q64" s="68">
        <f>IFERROR(N64*'As-Filed Schedule 1'!$E$103,0)</f>
        <v>0</v>
      </c>
      <c r="R64" s="68">
        <f>IFERROR(P64*'Adjusted Schedule 1'!$E$104,0)</f>
        <v>0</v>
      </c>
      <c r="S64" s="68">
        <f t="shared" si="4"/>
        <v>0</v>
      </c>
      <c r="T64" s="306">
        <f t="shared" si="5"/>
        <v>0</v>
      </c>
      <c r="V64" s="119">
        <f>'As-Filed Schedule 2M'!N64</f>
        <v>0</v>
      </c>
      <c r="W64" s="309">
        <f>SUMIFS(Adjustments!$G:$G,Adjustments!$H:$H,"2M",Adjustments!$I:$I,'Schedule 2M Adjustments'!$V$12,Adjustments!$J:$J,'Schedule 2M Adjustments'!$A64)</f>
        <v>0</v>
      </c>
      <c r="X64" s="305">
        <f t="shared" si="6"/>
        <v>0</v>
      </c>
      <c r="Y64" s="119">
        <f>'As-Filed Schedule 2M'!O64</f>
        <v>0</v>
      </c>
      <c r="Z64" s="309">
        <f>SUMIFS(Adjustments!$G:$G,Adjustments!$H:$H,"2M",Adjustments!$I:$I,'Schedule 2M Adjustments'!$Y$12,Adjustments!$J:$J,'Schedule 2M Adjustments'!$A64)</f>
        <v>0</v>
      </c>
      <c r="AA64" s="305">
        <f t="shared" si="7"/>
        <v>0</v>
      </c>
    </row>
    <row r="65" spans="1:27" x14ac:dyDescent="0.35">
      <c r="A65" s="24">
        <v>51</v>
      </c>
      <c r="B65" s="514" t="str">
        <f>IF('As-Filed Schedule 2M'!B65:D65=0,"",'As-Filed Schedule 2M'!B65:D65)</f>
        <v/>
      </c>
      <c r="C65" s="514"/>
      <c r="D65" s="514"/>
      <c r="F65" s="117">
        <f>'As-Filed Schedule 2M'!F65</f>
        <v>0</v>
      </c>
      <c r="G65" s="309">
        <f>SUMIFS(Adjustments!$G:$G,Adjustments!$H:$H,"2M",Adjustments!$I:$I,'Schedule 2M Adjustments'!$F$12,Adjustments!$J:$J,'Schedule 2M Adjustments'!$A65)</f>
        <v>0</v>
      </c>
      <c r="H65" s="305">
        <f t="shared" si="0"/>
        <v>0</v>
      </c>
      <c r="I65" s="68">
        <f>IFERROR(F65*'As-Filed Schedule 1'!$E$103,0)</f>
        <v>0</v>
      </c>
      <c r="J65" s="306">
        <f>IFERROR(H65*'Adjusted Schedule 1'!$E$104,0)</f>
        <v>0</v>
      </c>
      <c r="K65" s="68">
        <f t="shared" si="1"/>
        <v>0</v>
      </c>
      <c r="L65" s="306">
        <f t="shared" si="2"/>
        <v>0</v>
      </c>
      <c r="N65" s="117">
        <f>'As-Filed Schedule 2M'!J65</f>
        <v>0</v>
      </c>
      <c r="O65" s="309">
        <f>SUMIFS(Adjustments!$G:$G,Adjustments!$H:$H,"2M",Adjustments!$I:$I,'Schedule 2M Adjustments'!$N$12,Adjustments!$J:$J,'Schedule 2M Adjustments'!$A65)</f>
        <v>0</v>
      </c>
      <c r="P65" s="305">
        <f t="shared" si="3"/>
        <v>0</v>
      </c>
      <c r="Q65" s="68">
        <f>IFERROR(N65*'As-Filed Schedule 1'!$E$103,0)</f>
        <v>0</v>
      </c>
      <c r="R65" s="68">
        <f>IFERROR(P65*'Adjusted Schedule 1'!$E$104,0)</f>
        <v>0</v>
      </c>
      <c r="S65" s="68">
        <f t="shared" si="4"/>
        <v>0</v>
      </c>
      <c r="T65" s="306">
        <f t="shared" si="5"/>
        <v>0</v>
      </c>
      <c r="V65" s="119">
        <f>'As-Filed Schedule 2M'!N65</f>
        <v>0</v>
      </c>
      <c r="W65" s="309">
        <f>SUMIFS(Adjustments!$G:$G,Adjustments!$H:$H,"2M",Adjustments!$I:$I,'Schedule 2M Adjustments'!$V$12,Adjustments!$J:$J,'Schedule 2M Adjustments'!$A65)</f>
        <v>0</v>
      </c>
      <c r="X65" s="305">
        <f t="shared" si="6"/>
        <v>0</v>
      </c>
      <c r="Y65" s="119">
        <f>'As-Filed Schedule 2M'!O65</f>
        <v>0</v>
      </c>
      <c r="Z65" s="309">
        <f>SUMIFS(Adjustments!$G:$G,Adjustments!$H:$H,"2M",Adjustments!$I:$I,'Schedule 2M Adjustments'!$Y$12,Adjustments!$J:$J,'Schedule 2M Adjustments'!$A65)</f>
        <v>0</v>
      </c>
      <c r="AA65" s="305">
        <f t="shared" si="7"/>
        <v>0</v>
      </c>
    </row>
    <row r="66" spans="1:27" x14ac:dyDescent="0.35">
      <c r="A66" s="24">
        <v>52</v>
      </c>
      <c r="B66" s="514" t="str">
        <f>IF('As-Filed Schedule 2M'!B66:D66=0,"",'As-Filed Schedule 2M'!B66:D66)</f>
        <v/>
      </c>
      <c r="C66" s="514"/>
      <c r="D66" s="514"/>
      <c r="F66" s="117">
        <f>'As-Filed Schedule 2M'!F66</f>
        <v>0</v>
      </c>
      <c r="G66" s="309">
        <f>SUMIFS(Adjustments!$G:$G,Adjustments!$H:$H,"2M",Adjustments!$I:$I,'Schedule 2M Adjustments'!$F$12,Adjustments!$J:$J,'Schedule 2M Adjustments'!$A66)</f>
        <v>0</v>
      </c>
      <c r="H66" s="305">
        <f t="shared" si="0"/>
        <v>0</v>
      </c>
      <c r="I66" s="68">
        <f>IFERROR(F66*'As-Filed Schedule 1'!$E$103,0)</f>
        <v>0</v>
      </c>
      <c r="J66" s="306">
        <f>IFERROR(H66*'Adjusted Schedule 1'!$E$104,0)</f>
        <v>0</v>
      </c>
      <c r="K66" s="68">
        <f t="shared" si="1"/>
        <v>0</v>
      </c>
      <c r="L66" s="306">
        <f t="shared" si="2"/>
        <v>0</v>
      </c>
      <c r="N66" s="117">
        <f>'As-Filed Schedule 2M'!J66</f>
        <v>0</v>
      </c>
      <c r="O66" s="309">
        <f>SUMIFS(Adjustments!$G:$G,Adjustments!$H:$H,"2M",Adjustments!$I:$I,'Schedule 2M Adjustments'!$N$12,Adjustments!$J:$J,'Schedule 2M Adjustments'!$A66)</f>
        <v>0</v>
      </c>
      <c r="P66" s="305">
        <f t="shared" si="3"/>
        <v>0</v>
      </c>
      <c r="Q66" s="68">
        <f>IFERROR(N66*'As-Filed Schedule 1'!$E$103,0)</f>
        <v>0</v>
      </c>
      <c r="R66" s="68">
        <f>IFERROR(P66*'Adjusted Schedule 1'!$E$104,0)</f>
        <v>0</v>
      </c>
      <c r="S66" s="68">
        <f t="shared" si="4"/>
        <v>0</v>
      </c>
      <c r="T66" s="306">
        <f t="shared" si="5"/>
        <v>0</v>
      </c>
      <c r="V66" s="119">
        <f>'As-Filed Schedule 2M'!N66</f>
        <v>0</v>
      </c>
      <c r="W66" s="309">
        <f>SUMIFS(Adjustments!$G:$G,Adjustments!$H:$H,"2M",Adjustments!$I:$I,'Schedule 2M Adjustments'!$V$12,Adjustments!$J:$J,'Schedule 2M Adjustments'!$A66)</f>
        <v>0</v>
      </c>
      <c r="X66" s="305">
        <f t="shared" si="6"/>
        <v>0</v>
      </c>
      <c r="Y66" s="119">
        <f>'As-Filed Schedule 2M'!O66</f>
        <v>0</v>
      </c>
      <c r="Z66" s="309">
        <f>SUMIFS(Adjustments!$G:$G,Adjustments!$H:$H,"2M",Adjustments!$I:$I,'Schedule 2M Adjustments'!$Y$12,Adjustments!$J:$J,'Schedule 2M Adjustments'!$A66)</f>
        <v>0</v>
      </c>
      <c r="AA66" s="305">
        <f t="shared" si="7"/>
        <v>0</v>
      </c>
    </row>
    <row r="67" spans="1:27" x14ac:dyDescent="0.35">
      <c r="A67" s="24">
        <v>53</v>
      </c>
      <c r="B67" s="514" t="str">
        <f>IF('As-Filed Schedule 2M'!B67:D67=0,"",'As-Filed Schedule 2M'!B67:D67)</f>
        <v/>
      </c>
      <c r="C67" s="514"/>
      <c r="D67" s="514"/>
      <c r="F67" s="117">
        <f>'As-Filed Schedule 2M'!F67</f>
        <v>0</v>
      </c>
      <c r="G67" s="309">
        <f>SUMIFS(Adjustments!$G:$G,Adjustments!$H:$H,"2M",Adjustments!$I:$I,'Schedule 2M Adjustments'!$F$12,Adjustments!$J:$J,'Schedule 2M Adjustments'!$A67)</f>
        <v>0</v>
      </c>
      <c r="H67" s="305">
        <f t="shared" si="0"/>
        <v>0</v>
      </c>
      <c r="I67" s="68">
        <f>IFERROR(F67*'As-Filed Schedule 1'!$E$103,0)</f>
        <v>0</v>
      </c>
      <c r="J67" s="306">
        <f>IFERROR(H67*'Adjusted Schedule 1'!$E$104,0)</f>
        <v>0</v>
      </c>
      <c r="K67" s="68">
        <f t="shared" si="1"/>
        <v>0</v>
      </c>
      <c r="L67" s="306">
        <f t="shared" si="2"/>
        <v>0</v>
      </c>
      <c r="N67" s="117">
        <f>'As-Filed Schedule 2M'!J67</f>
        <v>0</v>
      </c>
      <c r="O67" s="309">
        <f>SUMIFS(Adjustments!$G:$G,Adjustments!$H:$H,"2M",Adjustments!$I:$I,'Schedule 2M Adjustments'!$N$12,Adjustments!$J:$J,'Schedule 2M Adjustments'!$A67)</f>
        <v>0</v>
      </c>
      <c r="P67" s="305">
        <f t="shared" si="3"/>
        <v>0</v>
      </c>
      <c r="Q67" s="68">
        <f>IFERROR(N67*'As-Filed Schedule 1'!$E$103,0)</f>
        <v>0</v>
      </c>
      <c r="R67" s="68">
        <f>IFERROR(P67*'Adjusted Schedule 1'!$E$104,0)</f>
        <v>0</v>
      </c>
      <c r="S67" s="68">
        <f t="shared" si="4"/>
        <v>0</v>
      </c>
      <c r="T67" s="306">
        <f t="shared" si="5"/>
        <v>0</v>
      </c>
      <c r="V67" s="119">
        <f>'As-Filed Schedule 2M'!N67</f>
        <v>0</v>
      </c>
      <c r="W67" s="309">
        <f>SUMIFS(Adjustments!$G:$G,Adjustments!$H:$H,"2M",Adjustments!$I:$I,'Schedule 2M Adjustments'!$V$12,Adjustments!$J:$J,'Schedule 2M Adjustments'!$A67)</f>
        <v>0</v>
      </c>
      <c r="X67" s="305">
        <f t="shared" si="6"/>
        <v>0</v>
      </c>
      <c r="Y67" s="119">
        <f>'As-Filed Schedule 2M'!O67</f>
        <v>0</v>
      </c>
      <c r="Z67" s="309">
        <f>SUMIFS(Adjustments!$G:$G,Adjustments!$H:$H,"2M",Adjustments!$I:$I,'Schedule 2M Adjustments'!$Y$12,Adjustments!$J:$J,'Schedule 2M Adjustments'!$A67)</f>
        <v>0</v>
      </c>
      <c r="AA67" s="305">
        <f t="shared" si="7"/>
        <v>0</v>
      </c>
    </row>
    <row r="68" spans="1:27" x14ac:dyDescent="0.35">
      <c r="A68" s="24">
        <v>54</v>
      </c>
      <c r="B68" s="514" t="str">
        <f>IF('As-Filed Schedule 2M'!B68:D68=0,"",'As-Filed Schedule 2M'!B68:D68)</f>
        <v/>
      </c>
      <c r="C68" s="514"/>
      <c r="D68" s="514"/>
      <c r="F68" s="117">
        <f>'As-Filed Schedule 2M'!F68</f>
        <v>0</v>
      </c>
      <c r="G68" s="309">
        <f>SUMIFS(Adjustments!$G:$G,Adjustments!$H:$H,"2M",Adjustments!$I:$I,'Schedule 2M Adjustments'!$F$12,Adjustments!$J:$J,'Schedule 2M Adjustments'!$A68)</f>
        <v>0</v>
      </c>
      <c r="H68" s="305">
        <f t="shared" si="0"/>
        <v>0</v>
      </c>
      <c r="I68" s="68">
        <f>IFERROR(F68*'As-Filed Schedule 1'!$E$103,0)</f>
        <v>0</v>
      </c>
      <c r="J68" s="306">
        <f>IFERROR(H68*'Adjusted Schedule 1'!$E$104,0)</f>
        <v>0</v>
      </c>
      <c r="K68" s="68">
        <f t="shared" si="1"/>
        <v>0</v>
      </c>
      <c r="L68" s="306">
        <f t="shared" si="2"/>
        <v>0</v>
      </c>
      <c r="N68" s="117">
        <f>'As-Filed Schedule 2M'!J68</f>
        <v>0</v>
      </c>
      <c r="O68" s="309">
        <f>SUMIFS(Adjustments!$G:$G,Adjustments!$H:$H,"2M",Adjustments!$I:$I,'Schedule 2M Adjustments'!$N$12,Adjustments!$J:$J,'Schedule 2M Adjustments'!$A68)</f>
        <v>0</v>
      </c>
      <c r="P68" s="305">
        <f t="shared" si="3"/>
        <v>0</v>
      </c>
      <c r="Q68" s="68">
        <f>IFERROR(N68*'As-Filed Schedule 1'!$E$103,0)</f>
        <v>0</v>
      </c>
      <c r="R68" s="68">
        <f>IFERROR(P68*'Adjusted Schedule 1'!$E$104,0)</f>
        <v>0</v>
      </c>
      <c r="S68" s="68">
        <f t="shared" si="4"/>
        <v>0</v>
      </c>
      <c r="T68" s="306">
        <f t="shared" si="5"/>
        <v>0</v>
      </c>
      <c r="V68" s="119">
        <f>'As-Filed Schedule 2M'!N68</f>
        <v>0</v>
      </c>
      <c r="W68" s="309">
        <f>SUMIFS(Adjustments!$G:$G,Adjustments!$H:$H,"2M",Adjustments!$I:$I,'Schedule 2M Adjustments'!$V$12,Adjustments!$J:$J,'Schedule 2M Adjustments'!$A68)</f>
        <v>0</v>
      </c>
      <c r="X68" s="305">
        <f t="shared" si="6"/>
        <v>0</v>
      </c>
      <c r="Y68" s="119">
        <f>'As-Filed Schedule 2M'!O68</f>
        <v>0</v>
      </c>
      <c r="Z68" s="309">
        <f>SUMIFS(Adjustments!$G:$G,Adjustments!$H:$H,"2M",Adjustments!$I:$I,'Schedule 2M Adjustments'!$Y$12,Adjustments!$J:$J,'Schedule 2M Adjustments'!$A68)</f>
        <v>0</v>
      </c>
      <c r="AA68" s="305">
        <f t="shared" si="7"/>
        <v>0</v>
      </c>
    </row>
    <row r="69" spans="1:27" x14ac:dyDescent="0.35">
      <c r="A69" s="24">
        <v>55</v>
      </c>
      <c r="B69" s="514" t="str">
        <f>IF('As-Filed Schedule 2M'!B69:D69=0,"",'As-Filed Schedule 2M'!B69:D69)</f>
        <v/>
      </c>
      <c r="C69" s="514"/>
      <c r="D69" s="514"/>
      <c r="F69" s="117">
        <f>'As-Filed Schedule 2M'!F69</f>
        <v>0</v>
      </c>
      <c r="G69" s="309">
        <f>SUMIFS(Adjustments!$G:$G,Adjustments!$H:$H,"2M",Adjustments!$I:$I,'Schedule 2M Adjustments'!$F$12,Adjustments!$J:$J,'Schedule 2M Adjustments'!$A69)</f>
        <v>0</v>
      </c>
      <c r="H69" s="305">
        <f t="shared" si="0"/>
        <v>0</v>
      </c>
      <c r="I69" s="68">
        <f>IFERROR(F69*'As-Filed Schedule 1'!$E$103,0)</f>
        <v>0</v>
      </c>
      <c r="J69" s="306">
        <f>IFERROR(H69*'Adjusted Schedule 1'!$E$104,0)</f>
        <v>0</v>
      </c>
      <c r="K69" s="68">
        <f t="shared" si="1"/>
        <v>0</v>
      </c>
      <c r="L69" s="306">
        <f t="shared" si="2"/>
        <v>0</v>
      </c>
      <c r="N69" s="117">
        <f>'As-Filed Schedule 2M'!J69</f>
        <v>0</v>
      </c>
      <c r="O69" s="309">
        <f>SUMIFS(Adjustments!$G:$G,Adjustments!$H:$H,"2M",Adjustments!$I:$I,'Schedule 2M Adjustments'!$N$12,Adjustments!$J:$J,'Schedule 2M Adjustments'!$A69)</f>
        <v>0</v>
      </c>
      <c r="P69" s="305">
        <f t="shared" si="3"/>
        <v>0</v>
      </c>
      <c r="Q69" s="68">
        <f>IFERROR(N69*'As-Filed Schedule 1'!$E$103,0)</f>
        <v>0</v>
      </c>
      <c r="R69" s="68">
        <f>IFERROR(P69*'Adjusted Schedule 1'!$E$104,0)</f>
        <v>0</v>
      </c>
      <c r="S69" s="68">
        <f t="shared" si="4"/>
        <v>0</v>
      </c>
      <c r="T69" s="306">
        <f t="shared" si="5"/>
        <v>0</v>
      </c>
      <c r="V69" s="119">
        <f>'As-Filed Schedule 2M'!N69</f>
        <v>0</v>
      </c>
      <c r="W69" s="309">
        <f>SUMIFS(Adjustments!$G:$G,Adjustments!$H:$H,"2M",Adjustments!$I:$I,'Schedule 2M Adjustments'!$V$12,Adjustments!$J:$J,'Schedule 2M Adjustments'!$A69)</f>
        <v>0</v>
      </c>
      <c r="X69" s="305">
        <f t="shared" si="6"/>
        <v>0</v>
      </c>
      <c r="Y69" s="119">
        <f>'As-Filed Schedule 2M'!O69</f>
        <v>0</v>
      </c>
      <c r="Z69" s="309">
        <f>SUMIFS(Adjustments!$G:$G,Adjustments!$H:$H,"2M",Adjustments!$I:$I,'Schedule 2M Adjustments'!$Y$12,Adjustments!$J:$J,'Schedule 2M Adjustments'!$A69)</f>
        <v>0</v>
      </c>
      <c r="AA69" s="305">
        <f t="shared" si="7"/>
        <v>0</v>
      </c>
    </row>
    <row r="70" spans="1:27" x14ac:dyDescent="0.35">
      <c r="A70" s="24">
        <v>56</v>
      </c>
      <c r="B70" s="514" t="str">
        <f>IF('As-Filed Schedule 2M'!B70:D70=0,"",'As-Filed Schedule 2M'!B70:D70)</f>
        <v/>
      </c>
      <c r="C70" s="514"/>
      <c r="D70" s="514"/>
      <c r="F70" s="117">
        <f>'As-Filed Schedule 2M'!F70</f>
        <v>0</v>
      </c>
      <c r="G70" s="309">
        <f>SUMIFS(Adjustments!$G:$G,Adjustments!$H:$H,"2M",Adjustments!$I:$I,'Schedule 2M Adjustments'!$F$12,Adjustments!$J:$J,'Schedule 2M Adjustments'!$A70)</f>
        <v>0</v>
      </c>
      <c r="H70" s="305">
        <f t="shared" si="0"/>
        <v>0</v>
      </c>
      <c r="I70" s="68">
        <f>IFERROR(F70*'As-Filed Schedule 1'!$E$103,0)</f>
        <v>0</v>
      </c>
      <c r="J70" s="306">
        <f>IFERROR(H70*'Adjusted Schedule 1'!$E$104,0)</f>
        <v>0</v>
      </c>
      <c r="K70" s="68">
        <f t="shared" si="1"/>
        <v>0</v>
      </c>
      <c r="L70" s="306">
        <f t="shared" si="2"/>
        <v>0</v>
      </c>
      <c r="N70" s="117">
        <f>'As-Filed Schedule 2M'!J70</f>
        <v>0</v>
      </c>
      <c r="O70" s="309">
        <f>SUMIFS(Adjustments!$G:$G,Adjustments!$H:$H,"2M",Adjustments!$I:$I,'Schedule 2M Adjustments'!$N$12,Adjustments!$J:$J,'Schedule 2M Adjustments'!$A70)</f>
        <v>0</v>
      </c>
      <c r="P70" s="305">
        <f t="shared" si="3"/>
        <v>0</v>
      </c>
      <c r="Q70" s="68">
        <f>IFERROR(N70*'As-Filed Schedule 1'!$E$103,0)</f>
        <v>0</v>
      </c>
      <c r="R70" s="68">
        <f>IFERROR(P70*'Adjusted Schedule 1'!$E$104,0)</f>
        <v>0</v>
      </c>
      <c r="S70" s="68">
        <f t="shared" si="4"/>
        <v>0</v>
      </c>
      <c r="T70" s="306">
        <f t="shared" si="5"/>
        <v>0</v>
      </c>
      <c r="V70" s="119">
        <f>'As-Filed Schedule 2M'!N70</f>
        <v>0</v>
      </c>
      <c r="W70" s="309">
        <f>SUMIFS(Adjustments!$G:$G,Adjustments!$H:$H,"2M",Adjustments!$I:$I,'Schedule 2M Adjustments'!$V$12,Adjustments!$J:$J,'Schedule 2M Adjustments'!$A70)</f>
        <v>0</v>
      </c>
      <c r="X70" s="305">
        <f t="shared" si="6"/>
        <v>0</v>
      </c>
      <c r="Y70" s="119">
        <f>'As-Filed Schedule 2M'!O70</f>
        <v>0</v>
      </c>
      <c r="Z70" s="309">
        <f>SUMIFS(Adjustments!$G:$G,Adjustments!$H:$H,"2M",Adjustments!$I:$I,'Schedule 2M Adjustments'!$Y$12,Adjustments!$J:$J,'Schedule 2M Adjustments'!$A70)</f>
        <v>0</v>
      </c>
      <c r="AA70" s="305">
        <f t="shared" si="7"/>
        <v>0</v>
      </c>
    </row>
    <row r="71" spans="1:27" x14ac:dyDescent="0.35">
      <c r="A71" s="24">
        <v>57</v>
      </c>
      <c r="B71" s="514" t="str">
        <f>IF('As-Filed Schedule 2M'!B71:D71=0,"",'As-Filed Schedule 2M'!B71:D71)</f>
        <v/>
      </c>
      <c r="C71" s="514"/>
      <c r="D71" s="514"/>
      <c r="F71" s="117">
        <f>'As-Filed Schedule 2M'!F71</f>
        <v>0</v>
      </c>
      <c r="G71" s="309">
        <f>SUMIFS(Adjustments!$G:$G,Adjustments!$H:$H,"2M",Adjustments!$I:$I,'Schedule 2M Adjustments'!$F$12,Adjustments!$J:$J,'Schedule 2M Adjustments'!$A71)</f>
        <v>0</v>
      </c>
      <c r="H71" s="305">
        <f t="shared" si="0"/>
        <v>0</v>
      </c>
      <c r="I71" s="68">
        <f>IFERROR(F71*'As-Filed Schedule 1'!$E$103,0)</f>
        <v>0</v>
      </c>
      <c r="J71" s="306">
        <f>IFERROR(H71*'Adjusted Schedule 1'!$E$104,0)</f>
        <v>0</v>
      </c>
      <c r="K71" s="68">
        <f t="shared" si="1"/>
        <v>0</v>
      </c>
      <c r="L71" s="306">
        <f t="shared" si="2"/>
        <v>0</v>
      </c>
      <c r="N71" s="117">
        <f>'As-Filed Schedule 2M'!J71</f>
        <v>0</v>
      </c>
      <c r="O71" s="309">
        <f>SUMIFS(Adjustments!$G:$G,Adjustments!$H:$H,"2M",Adjustments!$I:$I,'Schedule 2M Adjustments'!$N$12,Adjustments!$J:$J,'Schedule 2M Adjustments'!$A71)</f>
        <v>0</v>
      </c>
      <c r="P71" s="305">
        <f t="shared" si="3"/>
        <v>0</v>
      </c>
      <c r="Q71" s="68">
        <f>IFERROR(N71*'As-Filed Schedule 1'!$E$103,0)</f>
        <v>0</v>
      </c>
      <c r="R71" s="68">
        <f>IFERROR(P71*'Adjusted Schedule 1'!$E$104,0)</f>
        <v>0</v>
      </c>
      <c r="S71" s="68">
        <f t="shared" si="4"/>
        <v>0</v>
      </c>
      <c r="T71" s="306">
        <f t="shared" si="5"/>
        <v>0</v>
      </c>
      <c r="V71" s="119">
        <f>'As-Filed Schedule 2M'!N71</f>
        <v>0</v>
      </c>
      <c r="W71" s="309">
        <f>SUMIFS(Adjustments!$G:$G,Adjustments!$H:$H,"2M",Adjustments!$I:$I,'Schedule 2M Adjustments'!$V$12,Adjustments!$J:$J,'Schedule 2M Adjustments'!$A71)</f>
        <v>0</v>
      </c>
      <c r="X71" s="305">
        <f t="shared" si="6"/>
        <v>0</v>
      </c>
      <c r="Y71" s="119">
        <f>'As-Filed Schedule 2M'!O71</f>
        <v>0</v>
      </c>
      <c r="Z71" s="309">
        <f>SUMIFS(Adjustments!$G:$G,Adjustments!$H:$H,"2M",Adjustments!$I:$I,'Schedule 2M Adjustments'!$Y$12,Adjustments!$J:$J,'Schedule 2M Adjustments'!$A71)</f>
        <v>0</v>
      </c>
      <c r="AA71" s="305">
        <f t="shared" si="7"/>
        <v>0</v>
      </c>
    </row>
    <row r="72" spans="1:27" x14ac:dyDescent="0.35">
      <c r="A72" s="24">
        <v>58</v>
      </c>
      <c r="B72" s="514" t="str">
        <f>IF('As-Filed Schedule 2M'!B72:D72=0,"",'As-Filed Schedule 2M'!B72:D72)</f>
        <v/>
      </c>
      <c r="C72" s="514"/>
      <c r="D72" s="514"/>
      <c r="F72" s="117">
        <f>'As-Filed Schedule 2M'!F72</f>
        <v>0</v>
      </c>
      <c r="G72" s="309">
        <f>SUMIFS(Adjustments!$G:$G,Adjustments!$H:$H,"2M",Adjustments!$I:$I,'Schedule 2M Adjustments'!$F$12,Adjustments!$J:$J,'Schedule 2M Adjustments'!$A72)</f>
        <v>0</v>
      </c>
      <c r="H72" s="305">
        <f t="shared" si="0"/>
        <v>0</v>
      </c>
      <c r="I72" s="68">
        <f>IFERROR(F72*'As-Filed Schedule 1'!$E$103,0)</f>
        <v>0</v>
      </c>
      <c r="J72" s="306">
        <f>IFERROR(H72*'Adjusted Schedule 1'!$E$104,0)</f>
        <v>0</v>
      </c>
      <c r="K72" s="68">
        <f t="shared" si="1"/>
        <v>0</v>
      </c>
      <c r="L72" s="306">
        <f t="shared" si="2"/>
        <v>0</v>
      </c>
      <c r="N72" s="117">
        <f>'As-Filed Schedule 2M'!J72</f>
        <v>0</v>
      </c>
      <c r="O72" s="309">
        <f>SUMIFS(Adjustments!$G:$G,Adjustments!$H:$H,"2M",Adjustments!$I:$I,'Schedule 2M Adjustments'!$N$12,Adjustments!$J:$J,'Schedule 2M Adjustments'!$A72)</f>
        <v>0</v>
      </c>
      <c r="P72" s="305">
        <f t="shared" si="3"/>
        <v>0</v>
      </c>
      <c r="Q72" s="68">
        <f>IFERROR(N72*'As-Filed Schedule 1'!$E$103,0)</f>
        <v>0</v>
      </c>
      <c r="R72" s="68">
        <f>IFERROR(P72*'Adjusted Schedule 1'!$E$104,0)</f>
        <v>0</v>
      </c>
      <c r="S72" s="68">
        <f t="shared" si="4"/>
        <v>0</v>
      </c>
      <c r="T72" s="306">
        <f t="shared" si="5"/>
        <v>0</v>
      </c>
      <c r="V72" s="119">
        <f>'As-Filed Schedule 2M'!N72</f>
        <v>0</v>
      </c>
      <c r="W72" s="309">
        <f>SUMIFS(Adjustments!$G:$G,Adjustments!$H:$H,"2M",Adjustments!$I:$I,'Schedule 2M Adjustments'!$V$12,Adjustments!$J:$J,'Schedule 2M Adjustments'!$A72)</f>
        <v>0</v>
      </c>
      <c r="X72" s="305">
        <f t="shared" si="6"/>
        <v>0</v>
      </c>
      <c r="Y72" s="119">
        <f>'As-Filed Schedule 2M'!O72</f>
        <v>0</v>
      </c>
      <c r="Z72" s="309">
        <f>SUMIFS(Adjustments!$G:$G,Adjustments!$H:$H,"2M",Adjustments!$I:$I,'Schedule 2M Adjustments'!$Y$12,Adjustments!$J:$J,'Schedule 2M Adjustments'!$A72)</f>
        <v>0</v>
      </c>
      <c r="AA72" s="305">
        <f t="shared" si="7"/>
        <v>0</v>
      </c>
    </row>
    <row r="73" spans="1:27" x14ac:dyDescent="0.35">
      <c r="A73" s="24">
        <v>59</v>
      </c>
      <c r="F73" s="18">
        <f>SUM(F15:F72)</f>
        <v>0</v>
      </c>
      <c r="G73" s="18">
        <f>SUM(G15:G72)</f>
        <v>0</v>
      </c>
      <c r="H73" s="18">
        <f t="shared" ref="H73:K73" si="8">SUM(H15:H72)</f>
        <v>0</v>
      </c>
      <c r="I73" s="18">
        <f t="shared" si="8"/>
        <v>0</v>
      </c>
      <c r="J73" s="306">
        <f>IFERROR(H73*'Adjusted Schedule 1'!$E$104,0)</f>
        <v>0</v>
      </c>
      <c r="K73" s="18">
        <f t="shared" si="8"/>
        <v>0</v>
      </c>
      <c r="L73" s="307">
        <f t="shared" ref="L73" si="9">SUM(L15:L72)</f>
        <v>0</v>
      </c>
      <c r="N73" s="18">
        <f>SUM(N15:N72)</f>
        <v>0</v>
      </c>
      <c r="O73" s="18">
        <f t="shared" ref="O73:S73" si="10">SUM(O15:O72)</f>
        <v>0</v>
      </c>
      <c r="P73" s="18">
        <f t="shared" si="10"/>
        <v>0</v>
      </c>
      <c r="Q73" s="18">
        <f t="shared" si="10"/>
        <v>0</v>
      </c>
      <c r="R73" s="18">
        <f t="shared" si="10"/>
        <v>0</v>
      </c>
      <c r="S73" s="18">
        <f t="shared" si="10"/>
        <v>0</v>
      </c>
      <c r="T73" s="307">
        <f>SUM(T15:T72)</f>
        <v>0</v>
      </c>
      <c r="Y73" s="83" t="s">
        <v>313</v>
      </c>
      <c r="Z73" s="327"/>
      <c r="AA73" s="324"/>
    </row>
    <row r="74" spans="1:27" ht="15" thickBot="1" x14ac:dyDescent="0.4">
      <c r="K74" s="37" t="s">
        <v>257</v>
      </c>
      <c r="L74" s="320" t="s">
        <v>257</v>
      </c>
      <c r="S74" s="37" t="s">
        <v>258</v>
      </c>
      <c r="T74" s="320" t="s">
        <v>258</v>
      </c>
    </row>
    <row r="75" spans="1:27" s="72" customFormat="1" ht="16" thickBot="1" x14ac:dyDescent="0.4">
      <c r="A75" s="24">
        <v>60</v>
      </c>
      <c r="B75" s="73" t="s">
        <v>814</v>
      </c>
      <c r="F75" s="75">
        <f>K73+S73</f>
        <v>0</v>
      </c>
      <c r="G75"/>
      <c r="H75" s="75">
        <f>L73+T73</f>
        <v>0</v>
      </c>
      <c r="I75" s="74"/>
      <c r="J75" s="321"/>
      <c r="K75" s="74"/>
      <c r="L75" s="321"/>
      <c r="N75" s="74"/>
      <c r="O75" s="328"/>
      <c r="P75" s="321"/>
      <c r="Q75" s="74"/>
      <c r="R75" s="321"/>
      <c r="T75" s="323"/>
      <c r="W75" s="326"/>
      <c r="X75" s="323"/>
      <c r="Z75" s="326"/>
      <c r="AA75" s="323"/>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3"/>
  <dimension ref="A1:AG261"/>
  <sheetViews>
    <sheetView workbookViewId="0"/>
  </sheetViews>
  <sheetFormatPr defaultColWidth="9.1796875" defaultRowHeight="14.5" x14ac:dyDescent="0.35"/>
  <cols>
    <col min="2" max="2" width="15.7265625" customWidth="1"/>
    <col min="3" max="3" width="20.7265625" customWidth="1"/>
    <col min="4" max="5" width="17.453125" customWidth="1"/>
    <col min="6" max="6" width="10.81640625" customWidth="1"/>
    <col min="7" max="7" width="16.7265625" style="137" customWidth="1"/>
    <col min="8" max="8" width="14.81640625" style="137" customWidth="1"/>
    <col min="9" max="9" width="9" customWidth="1"/>
    <col min="10" max="10" width="17.453125" customWidth="1"/>
    <col min="11" max="11" width="18.453125" customWidth="1"/>
    <col min="12" max="12" width="18.453125" style="260" customWidth="1"/>
    <col min="13" max="13" width="18.453125" style="48" customWidth="1"/>
    <col min="14" max="14" width="12.453125" customWidth="1"/>
    <col min="15" max="15" width="12.453125" style="48" customWidth="1"/>
    <col min="16" max="16" width="18.453125" customWidth="1"/>
    <col min="17" max="17" width="18.453125" style="260" customWidth="1"/>
    <col min="18" max="18" width="18.453125" style="48" customWidth="1"/>
    <col min="19" max="19" width="18.453125" customWidth="1"/>
    <col min="20" max="20" width="18.453125" style="48" customWidth="1"/>
    <col min="21" max="21" width="18.453125" customWidth="1"/>
    <col min="22" max="22" width="18.453125" style="260" customWidth="1"/>
    <col min="23" max="23" width="18.453125" style="48" customWidth="1"/>
    <col min="24" max="24" width="18.453125" customWidth="1"/>
    <col min="25" max="25" width="18.453125" style="48" customWidth="1"/>
    <col min="26" max="26" width="18.453125" customWidth="1"/>
    <col min="27" max="27" width="18.453125" style="48" customWidth="1"/>
    <col min="28" max="28" width="14.453125" customWidth="1"/>
    <col min="29" max="29" width="14.453125" style="48" customWidth="1"/>
    <col min="31" max="33" width="25.81640625" customWidth="1"/>
  </cols>
  <sheetData>
    <row r="1" spans="1:33" ht="26" x14ac:dyDescent="0.6">
      <c r="A1" s="3" t="s">
        <v>774</v>
      </c>
      <c r="C1" s="11"/>
      <c r="D1" s="4"/>
      <c r="E1" s="13"/>
      <c r="F1" s="13"/>
      <c r="G1" s="136"/>
      <c r="H1" s="136"/>
      <c r="I1" s="13"/>
      <c r="J1" s="13"/>
    </row>
    <row r="2" spans="1:33" ht="21" x14ac:dyDescent="0.5">
      <c r="A2" s="2" t="s">
        <v>772</v>
      </c>
      <c r="C2" s="11"/>
      <c r="D2" s="4"/>
      <c r="E2" s="13"/>
      <c r="F2" s="13"/>
      <c r="G2" s="136"/>
      <c r="H2" s="136"/>
      <c r="I2" s="13"/>
      <c r="J2" s="13"/>
    </row>
    <row r="3" spans="1:33" ht="25" customHeight="1" x14ac:dyDescent="0.5">
      <c r="A3" s="5" t="s">
        <v>930</v>
      </c>
      <c r="B3" s="5"/>
      <c r="C3" s="12"/>
      <c r="D3" s="7"/>
      <c r="E3" s="14"/>
      <c r="F3" s="13"/>
      <c r="G3" s="136"/>
      <c r="H3" s="136"/>
      <c r="I3" s="13"/>
      <c r="J3" s="14"/>
    </row>
    <row r="4" spans="1:33" x14ac:dyDescent="0.35">
      <c r="C4" s="11"/>
      <c r="D4" s="4"/>
      <c r="E4" s="13" t="s">
        <v>760</v>
      </c>
      <c r="F4" s="13"/>
      <c r="G4" s="136"/>
      <c r="H4" s="136"/>
      <c r="I4" s="13"/>
      <c r="J4" s="50"/>
      <c r="AE4" s="129"/>
      <c r="AF4" s="129"/>
      <c r="AG4" s="129"/>
    </row>
    <row r="5" spans="1:33" x14ac:dyDescent="0.35">
      <c r="A5" s="1" t="s">
        <v>773</v>
      </c>
      <c r="C5" s="416" t="str">
        <f>Results!$C$6</f>
        <v>AllHealth Network</v>
      </c>
      <c r="D5" s="240"/>
      <c r="E5" s="13"/>
      <c r="F5" s="13"/>
      <c r="G5" s="136"/>
      <c r="H5" s="136"/>
      <c r="I5" s="13"/>
      <c r="J5" s="50"/>
      <c r="AE5" s="40"/>
      <c r="AF5" s="40"/>
      <c r="AG5" s="40"/>
    </row>
    <row r="6" spans="1:33" x14ac:dyDescent="0.35">
      <c r="A6" s="1" t="s">
        <v>0</v>
      </c>
      <c r="C6" s="35">
        <f>Results!$C$7</f>
        <v>45473</v>
      </c>
      <c r="D6" s="35"/>
      <c r="E6" s="50"/>
      <c r="F6" s="13"/>
      <c r="G6" s="136"/>
      <c r="H6" s="136"/>
      <c r="I6" s="13"/>
      <c r="J6" s="50"/>
      <c r="AE6" s="40"/>
      <c r="AF6" s="40"/>
    </row>
    <row r="7" spans="1:33" x14ac:dyDescent="0.35">
      <c r="A7" s="203"/>
      <c r="B7" s="100"/>
      <c r="C7" s="204"/>
      <c r="D7" s="204"/>
      <c r="E7" s="205"/>
      <c r="F7" s="205"/>
      <c r="G7" s="206"/>
      <c r="H7" s="206"/>
      <c r="I7" s="205"/>
      <c r="J7" s="205"/>
      <c r="K7" s="100"/>
      <c r="N7" s="100"/>
      <c r="AE7" s="40"/>
      <c r="AF7" s="40"/>
      <c r="AG7" s="40"/>
    </row>
    <row r="8" spans="1:33" x14ac:dyDescent="0.35">
      <c r="A8" s="203" t="s">
        <v>479</v>
      </c>
      <c r="B8" s="100"/>
      <c r="C8" s="100"/>
      <c r="D8" s="100"/>
      <c r="E8" s="100"/>
      <c r="F8" s="100"/>
      <c r="G8" s="203"/>
      <c r="H8" s="113"/>
      <c r="I8" s="100"/>
      <c r="J8" s="205"/>
      <c r="K8" s="100"/>
      <c r="N8" s="100"/>
      <c r="AE8" s="40"/>
      <c r="AF8" s="40"/>
      <c r="AG8" s="40"/>
    </row>
    <row r="9" spans="1:33" ht="15" customHeight="1" x14ac:dyDescent="0.35">
      <c r="A9" s="502" t="s">
        <v>480</v>
      </c>
      <c r="B9" s="502"/>
      <c r="C9" s="502"/>
      <c r="D9" s="502"/>
      <c r="E9" s="502"/>
      <c r="F9" s="502"/>
      <c r="G9" s="502"/>
      <c r="H9" s="502"/>
      <c r="I9" s="502"/>
      <c r="J9" s="502"/>
      <c r="K9" s="502"/>
      <c r="L9" s="338"/>
      <c r="M9" s="333"/>
      <c r="N9" s="100"/>
      <c r="AE9" s="40"/>
      <c r="AF9" s="40"/>
      <c r="AG9" s="40"/>
    </row>
    <row r="10" spans="1:33" x14ac:dyDescent="0.35">
      <c r="A10" s="502"/>
      <c r="B10" s="502"/>
      <c r="C10" s="502"/>
      <c r="D10" s="502"/>
      <c r="E10" s="502"/>
      <c r="F10" s="502"/>
      <c r="G10" s="502"/>
      <c r="H10" s="502"/>
      <c r="I10" s="502"/>
      <c r="J10" s="502"/>
      <c r="K10" s="502"/>
      <c r="L10" s="338"/>
      <c r="M10" s="333"/>
      <c r="N10" s="100"/>
      <c r="AE10" s="40"/>
      <c r="AF10" s="40"/>
      <c r="AG10" s="40"/>
    </row>
    <row r="11" spans="1:33" x14ac:dyDescent="0.35">
      <c r="A11" s="502"/>
      <c r="B11" s="502"/>
      <c r="C11" s="502"/>
      <c r="D11" s="502"/>
      <c r="E11" s="502"/>
      <c r="F11" s="502"/>
      <c r="G11" s="502"/>
      <c r="H11" s="502"/>
      <c r="I11" s="502"/>
      <c r="J11" s="502"/>
      <c r="K11" s="502"/>
      <c r="L11" s="338"/>
      <c r="M11" s="333"/>
      <c r="N11" s="100"/>
      <c r="AE11" s="40"/>
      <c r="AF11" s="40"/>
      <c r="AG11" s="40"/>
    </row>
    <row r="12" spans="1:33" x14ac:dyDescent="0.35">
      <c r="A12" s="203"/>
      <c r="B12" s="100"/>
      <c r="C12" s="204"/>
      <c r="D12" s="204"/>
      <c r="E12" s="205"/>
      <c r="F12" s="205"/>
      <c r="G12" s="361"/>
      <c r="H12" s="362"/>
      <c r="I12" s="363"/>
      <c r="J12" s="205"/>
      <c r="K12" s="100"/>
      <c r="N12" s="100"/>
      <c r="AE12" s="40"/>
      <c r="AF12" s="40"/>
      <c r="AG12" s="40"/>
    </row>
    <row r="13" spans="1:33" x14ac:dyDescent="0.35">
      <c r="A13" s="100"/>
      <c r="B13" s="497">
        <v>1</v>
      </c>
      <c r="C13" s="498"/>
      <c r="D13" s="174">
        <v>2</v>
      </c>
      <c r="E13" s="174">
        <v>3</v>
      </c>
      <c r="F13" s="174">
        <v>4</v>
      </c>
      <c r="G13" s="174">
        <v>5</v>
      </c>
      <c r="H13" s="174">
        <v>6</v>
      </c>
      <c r="I13" s="174">
        <v>7</v>
      </c>
      <c r="J13" s="174">
        <v>8</v>
      </c>
      <c r="K13" s="174">
        <v>9</v>
      </c>
      <c r="L13" s="255" t="s">
        <v>618</v>
      </c>
      <c r="M13" s="256" t="s">
        <v>619</v>
      </c>
      <c r="N13" s="174">
        <v>10</v>
      </c>
      <c r="O13" s="256">
        <v>10</v>
      </c>
      <c r="P13" s="23">
        <v>11</v>
      </c>
      <c r="Q13" s="255" t="s">
        <v>642</v>
      </c>
      <c r="R13" s="256" t="s">
        <v>645</v>
      </c>
      <c r="S13" s="23">
        <v>12</v>
      </c>
      <c r="T13" s="256" t="s">
        <v>646</v>
      </c>
      <c r="U13" s="23">
        <v>13</v>
      </c>
      <c r="V13" s="255" t="s">
        <v>648</v>
      </c>
      <c r="W13" s="256" t="s">
        <v>649</v>
      </c>
      <c r="X13" s="23">
        <v>14</v>
      </c>
      <c r="Y13" s="256" t="s">
        <v>653</v>
      </c>
      <c r="Z13" s="23">
        <v>15</v>
      </c>
      <c r="AA13" s="256" t="s">
        <v>654</v>
      </c>
      <c r="AB13" s="23">
        <v>16</v>
      </c>
      <c r="AC13" s="256" t="s">
        <v>655</v>
      </c>
    </row>
    <row r="14" spans="1:33" x14ac:dyDescent="0.35">
      <c r="A14" s="100"/>
      <c r="B14" s="531" t="s">
        <v>632</v>
      </c>
      <c r="C14" s="532"/>
      <c r="D14" s="535" t="s">
        <v>633</v>
      </c>
      <c r="E14" s="535" t="s">
        <v>634</v>
      </c>
      <c r="F14" s="535" t="s">
        <v>635</v>
      </c>
      <c r="G14" s="537" t="s">
        <v>636</v>
      </c>
      <c r="H14" s="537" t="s">
        <v>637</v>
      </c>
      <c r="I14" s="207"/>
      <c r="J14" s="207"/>
      <c r="K14" s="535" t="s">
        <v>160</v>
      </c>
      <c r="L14" s="567" t="s">
        <v>639</v>
      </c>
      <c r="M14" s="569" t="s">
        <v>640</v>
      </c>
      <c r="N14" s="535" t="s">
        <v>161</v>
      </c>
      <c r="O14" s="569" t="s">
        <v>641</v>
      </c>
      <c r="P14" s="509" t="s">
        <v>168</v>
      </c>
      <c r="Q14" s="521"/>
      <c r="R14" s="521"/>
      <c r="S14" s="521"/>
      <c r="T14" s="510"/>
      <c r="U14" s="509" t="s">
        <v>34</v>
      </c>
      <c r="V14" s="521"/>
      <c r="W14" s="521"/>
      <c r="X14" s="521"/>
      <c r="Y14" s="510"/>
      <c r="Z14" s="509" t="s">
        <v>169</v>
      </c>
      <c r="AA14" s="521"/>
      <c r="AB14" s="521"/>
      <c r="AC14" s="521"/>
    </row>
    <row r="15" spans="1:33" ht="60" customHeight="1" x14ac:dyDescent="0.35">
      <c r="A15" s="100"/>
      <c r="B15" s="533"/>
      <c r="C15" s="534"/>
      <c r="D15" s="536"/>
      <c r="E15" s="536"/>
      <c r="F15" s="536"/>
      <c r="G15" s="538"/>
      <c r="H15" s="538"/>
      <c r="I15" s="208" t="s">
        <v>454</v>
      </c>
      <c r="J15" s="208" t="s">
        <v>638</v>
      </c>
      <c r="K15" s="536"/>
      <c r="L15" s="568"/>
      <c r="M15" s="570"/>
      <c r="N15" s="536"/>
      <c r="O15" s="570"/>
      <c r="P15" s="10" t="s">
        <v>162</v>
      </c>
      <c r="Q15" s="257" t="s">
        <v>643</v>
      </c>
      <c r="R15" s="258" t="s">
        <v>644</v>
      </c>
      <c r="S15" s="10" t="s">
        <v>163</v>
      </c>
      <c r="T15" s="258" t="s">
        <v>647</v>
      </c>
      <c r="U15" s="10" t="s">
        <v>164</v>
      </c>
      <c r="V15" s="257" t="s">
        <v>650</v>
      </c>
      <c r="W15" s="258" t="s">
        <v>651</v>
      </c>
      <c r="X15" s="10" t="s">
        <v>165</v>
      </c>
      <c r="Y15" s="258" t="s">
        <v>652</v>
      </c>
      <c r="Z15" s="10" t="s">
        <v>166</v>
      </c>
      <c r="AA15" s="258" t="s">
        <v>656</v>
      </c>
      <c r="AB15" s="10" t="s">
        <v>167</v>
      </c>
      <c r="AC15" s="258" t="s">
        <v>657</v>
      </c>
    </row>
    <row r="16" spans="1:33" x14ac:dyDescent="0.35">
      <c r="A16" s="100"/>
      <c r="B16" s="332" t="s">
        <v>598</v>
      </c>
      <c r="C16" s="209"/>
      <c r="D16" s="97"/>
      <c r="E16" s="97"/>
      <c r="F16" s="97"/>
      <c r="G16" s="210"/>
      <c r="H16" s="210"/>
      <c r="I16" s="97"/>
      <c r="J16" s="97"/>
      <c r="K16" s="97"/>
      <c r="L16" s="339"/>
      <c r="M16" s="128"/>
      <c r="N16" s="97"/>
      <c r="O16" s="128"/>
      <c r="P16" s="6"/>
      <c r="Q16" s="339"/>
      <c r="R16" s="128"/>
      <c r="S16" s="6"/>
      <c r="T16" s="128"/>
      <c r="U16" s="6"/>
      <c r="V16" s="339"/>
      <c r="W16" s="128"/>
      <c r="X16" s="6"/>
      <c r="Y16" s="128"/>
      <c r="Z16" s="6"/>
      <c r="AA16" s="128"/>
      <c r="AB16" s="6"/>
      <c r="AC16" s="128"/>
    </row>
    <row r="17" spans="1:29" s="34" customFormat="1" x14ac:dyDescent="0.35">
      <c r="A17" s="211">
        <v>1</v>
      </c>
      <c r="B17" s="529" t="str">
        <f>'As-Filed Schedule 3'!B17:C17</f>
        <v>CSU</v>
      </c>
      <c r="C17" s="530"/>
      <c r="D17" s="360" t="str">
        <f>'As-Filed Schedule 3'!D17</f>
        <v>CSU</v>
      </c>
      <c r="E17" s="360">
        <f>'As-Filed Schedule 3'!E17</f>
        <v>0</v>
      </c>
      <c r="F17" s="359">
        <f>'As-Filed Schedule 3'!F17</f>
        <v>15</v>
      </c>
      <c r="G17" s="358">
        <f>'As-Filed Schedule 3'!G17</f>
        <v>0</v>
      </c>
      <c r="H17" s="358">
        <f>'As-Filed Schedule 3'!H17</f>
        <v>0</v>
      </c>
      <c r="I17" s="212">
        <f>IF(B17=0,"",IF(AND(G17=0,H17=0),365,IF(AND(G17&gt;0,H17=0),$C$6-G17+1,IF(AND(G17=0,H17&gt;0),H17-($C$6-365),H17-G17+1))))</f>
        <v>365</v>
      </c>
      <c r="J17" s="98"/>
      <c r="K17" s="409">
        <f>SUM(K18:K20)</f>
        <v>3208</v>
      </c>
      <c r="L17" s="411">
        <f>SUM(L18:L20)</f>
        <v>0</v>
      </c>
      <c r="M17" s="413">
        <f>SUM(M18:M20)</f>
        <v>3208</v>
      </c>
      <c r="N17" s="214">
        <f>IF(K17&gt;0,K17/(F17*I17),"")</f>
        <v>0.58593607305936068</v>
      </c>
      <c r="O17" s="341">
        <f>IF(M17&gt;0,M17/(F17*I17),"")</f>
        <v>0.58593607305936068</v>
      </c>
      <c r="P17" s="125">
        <f>'As-Filed Schedule 3'!M17</f>
        <v>3951730</v>
      </c>
      <c r="Q17" s="344">
        <f>SUMIFS(Adjustments!$G:$G,Adjustments!$H:$H,"3",Adjustments!$I:$I,'Schedule 3 Adjustments'!$P$13,Adjustments!$J:$J,$A17)</f>
        <v>1294647</v>
      </c>
      <c r="R17" s="348">
        <f>SUM(P17:Q17)</f>
        <v>5246377</v>
      </c>
      <c r="S17" s="85">
        <f>IFERROR(P17/K17,"")</f>
        <v>1231.8360349127181</v>
      </c>
      <c r="T17" s="352">
        <f>IFERROR(R17/M17,"")</f>
        <v>1635.4043017456358</v>
      </c>
      <c r="U17" s="125">
        <f>'As-Filed Schedule 3'!O17</f>
        <v>633198</v>
      </c>
      <c r="V17" s="344">
        <f>SUMIFS(Adjustments!$G:$G,Adjustments!$H:$H,"3",Adjustments!$I:$I,'Schedule 3 Adjustments'!$U$13,Adjustments!$J:$J,$A17)</f>
        <v>0</v>
      </c>
      <c r="W17" s="348">
        <f>SUM(U17:V17)</f>
        <v>633198</v>
      </c>
      <c r="X17" s="85">
        <f>IFERROR(U17/K17,"")</f>
        <v>197.38092269326683</v>
      </c>
      <c r="Y17" s="85">
        <f>IFERROR(W17/M17,"")</f>
        <v>197.38092269326683</v>
      </c>
      <c r="Z17" s="85">
        <f>IF(P17=0,"",P17-U17)</f>
        <v>3318532</v>
      </c>
      <c r="AA17" s="85">
        <f>IF(R17=0,"",R17-W17)</f>
        <v>4613179</v>
      </c>
      <c r="AB17" s="85">
        <f>IFERROR(Z17/K17,"")</f>
        <v>1034.4551122194514</v>
      </c>
      <c r="AC17" s="352">
        <f>IFERROR(AA17/M17,"")</f>
        <v>1438.0233790523691</v>
      </c>
    </row>
    <row r="18" spans="1:29" x14ac:dyDescent="0.35">
      <c r="A18" s="215" t="s">
        <v>447</v>
      </c>
      <c r="B18" s="216"/>
      <c r="C18" s="216"/>
      <c r="D18" s="216"/>
      <c r="E18" s="216"/>
      <c r="F18" s="217"/>
      <c r="G18" s="218"/>
      <c r="H18" s="218"/>
      <c r="I18" s="219"/>
      <c r="J18" s="364" t="str">
        <f>'As-Filed Schedule 3'!J18</f>
        <v>H0018</v>
      </c>
      <c r="K18" s="410">
        <f>'As-Filed Schedule 3'!K18</f>
        <v>3208</v>
      </c>
      <c r="L18" s="412">
        <f>SUMIFS(Adjustments!$G:$G,Adjustments!$H:$H,"3",Adjustments!$I:$I,'Schedule 3 Adjustments'!$K$13,Adjustments!$J:$J,"1a")</f>
        <v>0</v>
      </c>
      <c r="M18" s="414">
        <f>SUM(K18:L18)</f>
        <v>3208</v>
      </c>
      <c r="N18" s="221"/>
      <c r="O18" s="349"/>
      <c r="P18" s="87"/>
      <c r="Q18" s="345"/>
      <c r="R18" s="349"/>
      <c r="S18" s="87"/>
      <c r="T18" s="349"/>
      <c r="U18" s="87"/>
      <c r="V18" s="345"/>
      <c r="W18" s="349"/>
      <c r="X18" s="87"/>
      <c r="Y18" s="349"/>
      <c r="Z18" s="87"/>
      <c r="AA18" s="349"/>
      <c r="AB18" s="87"/>
      <c r="AC18" s="349"/>
    </row>
    <row r="19" spans="1:29" x14ac:dyDescent="0.35">
      <c r="A19" s="222" t="s">
        <v>448</v>
      </c>
      <c r="B19" s="223"/>
      <c r="C19" s="223"/>
      <c r="D19" s="223"/>
      <c r="E19" s="223"/>
      <c r="F19" s="224"/>
      <c r="G19" s="225"/>
      <c r="H19" s="225"/>
      <c r="I19" s="226"/>
      <c r="J19" s="364">
        <f>'As-Filed Schedule 3'!J19</f>
        <v>0</v>
      </c>
      <c r="K19" s="410">
        <f>'As-Filed Schedule 3'!K19</f>
        <v>0</v>
      </c>
      <c r="L19" s="412">
        <f>SUMIFS(Adjustments!$G:$G,Adjustments!$H:$H,"3",Adjustments!$I:$I,'Schedule 3 Adjustments'!$K$13,Adjustments!$J:$J,"1b")</f>
        <v>0</v>
      </c>
      <c r="M19" s="414">
        <f>SUM(K19:L19)</f>
        <v>0</v>
      </c>
      <c r="N19" s="228"/>
      <c r="O19" s="350"/>
      <c r="P19" s="88"/>
      <c r="Q19" s="346"/>
      <c r="R19" s="350"/>
      <c r="S19" s="88"/>
      <c r="T19" s="350"/>
      <c r="U19" s="88"/>
      <c r="V19" s="346"/>
      <c r="W19" s="350"/>
      <c r="X19" s="88"/>
      <c r="Y19" s="350"/>
      <c r="Z19" s="88"/>
      <c r="AA19" s="350"/>
      <c r="AB19" s="88"/>
      <c r="AC19" s="350"/>
    </row>
    <row r="20" spans="1:29" x14ac:dyDescent="0.35">
      <c r="A20" s="229" t="s">
        <v>449</v>
      </c>
      <c r="B20" s="223"/>
      <c r="C20" s="223"/>
      <c r="D20" s="223"/>
      <c r="E20" s="223"/>
      <c r="F20" s="224"/>
      <c r="G20" s="225"/>
      <c r="H20" s="225"/>
      <c r="I20" s="226"/>
      <c r="J20" s="364">
        <f>'As-Filed Schedule 3'!J20</f>
        <v>0</v>
      </c>
      <c r="K20" s="410">
        <f>'As-Filed Schedule 3'!K20</f>
        <v>0</v>
      </c>
      <c r="L20" s="412">
        <f>SUMIFS(Adjustments!$G:$G,Adjustments!$H:$H,"3",Adjustments!$I:$I,'Schedule 3 Adjustments'!$K$13,Adjustments!$J:$J,"1c")</f>
        <v>0</v>
      </c>
      <c r="M20" s="414">
        <f>SUM(K20:L20)</f>
        <v>0</v>
      </c>
      <c r="N20" s="228"/>
      <c r="O20" s="350"/>
      <c r="P20" s="88"/>
      <c r="Q20" s="346"/>
      <c r="R20" s="350"/>
      <c r="S20" s="88"/>
      <c r="T20" s="350"/>
      <c r="U20" s="88"/>
      <c r="V20" s="346"/>
      <c r="W20" s="350"/>
      <c r="X20" s="88"/>
      <c r="Y20" s="350"/>
      <c r="Z20" s="88"/>
      <c r="AA20" s="350"/>
      <c r="AB20" s="88"/>
      <c r="AC20" s="350"/>
    </row>
    <row r="21" spans="1:29" x14ac:dyDescent="0.35">
      <c r="J21" s="100"/>
      <c r="N21" s="28"/>
      <c r="O21" s="342"/>
    </row>
    <row r="22" spans="1:29" s="34" customFormat="1" x14ac:dyDescent="0.35">
      <c r="A22" s="84">
        <v>2</v>
      </c>
      <c r="B22" s="529" t="str">
        <f>'As-Filed Schedule 3'!B22:C22</f>
        <v>ATU</v>
      </c>
      <c r="C22" s="530"/>
      <c r="D22" s="360" t="str">
        <f>'As-Filed Schedule 3'!D22</f>
        <v>ATU</v>
      </c>
      <c r="E22" s="360">
        <f>'As-Filed Schedule 3'!E22</f>
        <v>0</v>
      </c>
      <c r="F22" s="359">
        <f>'As-Filed Schedule 3'!F22</f>
        <v>16</v>
      </c>
      <c r="G22" s="358">
        <f>'As-Filed Schedule 3'!G22</f>
        <v>0</v>
      </c>
      <c r="H22" s="358">
        <f>'As-Filed Schedule 3'!H22</f>
        <v>0</v>
      </c>
      <c r="I22" s="138">
        <f>IF(B22=0,"",IF(AND(G22=0,H22=0),365,IF(AND(G22&gt;0,H22=0),$C$6-G22+1,IF(AND(G22=0,H22&gt;0),H22-($C$6-365),H22-G22+1))))</f>
        <v>365</v>
      </c>
      <c r="J22" s="98"/>
      <c r="K22" s="409">
        <f>SUM(K23:K25)</f>
        <v>3878</v>
      </c>
      <c r="L22" s="411">
        <f>SUM(L23:L25)</f>
        <v>0</v>
      </c>
      <c r="M22" s="413">
        <f>SUM(M23:M25)</f>
        <v>3878</v>
      </c>
      <c r="N22" s="91">
        <f>IF(K22&gt;0,K22/(F22*I22),"")</f>
        <v>0.66404109589041094</v>
      </c>
      <c r="O22" s="341">
        <f>IF(M22&gt;0,M22/(F22*I22),"")</f>
        <v>0.66404109589041094</v>
      </c>
      <c r="P22" s="125">
        <f>'As-Filed Schedule 3'!M22</f>
        <v>4957786</v>
      </c>
      <c r="Q22" s="344">
        <f>SUMIFS(Adjustments!$G:$G,Adjustments!$H:$H,"3",Adjustments!$I:$I,'Schedule 3 Adjustments'!$P$13,Adjustments!$J:$J,$A22)</f>
        <v>1834073</v>
      </c>
      <c r="R22" s="348">
        <f>SUM(P22:Q22)</f>
        <v>6791859</v>
      </c>
      <c r="S22" s="85">
        <f>IFERROR(P22/K22,"")</f>
        <v>1278.4388860237236</v>
      </c>
      <c r="T22" s="352">
        <f>IFERROR(R22/M22,"")</f>
        <v>1751.3818978855079</v>
      </c>
      <c r="U22" s="125">
        <f>'As-Filed Schedule 3'!O22</f>
        <v>779895</v>
      </c>
      <c r="V22" s="344">
        <f>SUMIFS(Adjustments!$G:$G,Adjustments!$H:$H,"3",Adjustments!$I:$I,'Schedule 3 Adjustments'!$U$13,Adjustments!$J:$J,$A22)</f>
        <v>0</v>
      </c>
      <c r="W22" s="348">
        <f>SUM(U22:V22)</f>
        <v>779895</v>
      </c>
      <c r="X22" s="85">
        <f>IFERROR(U22/K22,"")</f>
        <v>201.10752965446108</v>
      </c>
      <c r="Y22" s="85">
        <f>IFERROR(W22/M22,"")</f>
        <v>201.10752965446108</v>
      </c>
      <c r="Z22" s="86">
        <f>IF(P22=0,"",P22-U22)</f>
        <v>4177891</v>
      </c>
      <c r="AA22" s="354">
        <f>IF(R22=0,"",R22-W22)</f>
        <v>6011964</v>
      </c>
      <c r="AB22" s="85">
        <f>IFERROR(Z22/K22,"")</f>
        <v>1077.3313563692625</v>
      </c>
      <c r="AC22" s="352">
        <f>IFERROR(AA22/M22,"")</f>
        <v>1550.274368231047</v>
      </c>
    </row>
    <row r="23" spans="1:29" x14ac:dyDescent="0.35">
      <c r="A23" s="101" t="s">
        <v>447</v>
      </c>
      <c r="B23" s="87"/>
      <c r="C23" s="87"/>
      <c r="D23" s="87"/>
      <c r="E23" s="87"/>
      <c r="F23" s="131"/>
      <c r="G23" s="134"/>
      <c r="H23" s="134"/>
      <c r="I23" s="104"/>
      <c r="J23" s="364" t="str">
        <f>'As-Filed Schedule 3'!J23</f>
        <v>H0017</v>
      </c>
      <c r="K23" s="410">
        <f>'As-Filed Schedule 3'!K23</f>
        <v>3878</v>
      </c>
      <c r="L23" s="412">
        <f>SUMIFS(Adjustments!$G:$G,Adjustments!$H:$H,"3",Adjustments!$I:$I,'Schedule 3 Adjustments'!$K$13,Adjustments!$J:$J,"2a")</f>
        <v>0</v>
      </c>
      <c r="M23" s="414">
        <f>SUM(K23:L23)</f>
        <v>3878</v>
      </c>
      <c r="N23" s="89"/>
      <c r="O23" s="349"/>
      <c r="P23" s="87"/>
      <c r="Q23" s="345"/>
      <c r="R23" s="349"/>
      <c r="S23" s="87"/>
      <c r="T23" s="349"/>
      <c r="U23" s="87"/>
      <c r="V23" s="345"/>
      <c r="W23" s="349"/>
      <c r="X23" s="87"/>
      <c r="Y23" s="349"/>
      <c r="Z23" s="87"/>
      <c r="AA23" s="349"/>
      <c r="AB23" s="87"/>
      <c r="AC23" s="349"/>
    </row>
    <row r="24" spans="1:29" x14ac:dyDescent="0.35">
      <c r="A24" s="102" t="s">
        <v>448</v>
      </c>
      <c r="B24" s="88"/>
      <c r="C24" s="88"/>
      <c r="D24" s="88"/>
      <c r="E24" s="88"/>
      <c r="F24" s="132"/>
      <c r="G24" s="135"/>
      <c r="H24" s="135"/>
      <c r="I24" s="105"/>
      <c r="J24" s="364">
        <f>'As-Filed Schedule 3'!J24</f>
        <v>0</v>
      </c>
      <c r="K24" s="410">
        <f>'As-Filed Schedule 3'!K24</f>
        <v>0</v>
      </c>
      <c r="L24" s="412">
        <f>SUMIFS(Adjustments!$G:$G,Adjustments!$H:$H,"3",Adjustments!$I:$I,'Schedule 3 Adjustments'!$K$13,Adjustments!$J:$J,"2b")</f>
        <v>0</v>
      </c>
      <c r="M24" s="414">
        <f>SUM(K24:L24)</f>
        <v>0</v>
      </c>
      <c r="N24" s="90"/>
      <c r="O24" s="350"/>
      <c r="P24" s="88"/>
      <c r="Q24" s="346"/>
      <c r="R24" s="350"/>
      <c r="S24" s="88"/>
      <c r="T24" s="350"/>
      <c r="U24" s="88"/>
      <c r="V24" s="346"/>
      <c r="W24" s="350"/>
      <c r="X24" s="88"/>
      <c r="Y24" s="350"/>
      <c r="Z24" s="88"/>
      <c r="AA24" s="350"/>
      <c r="AB24" s="88"/>
      <c r="AC24" s="350"/>
    </row>
    <row r="25" spans="1:29" x14ac:dyDescent="0.35">
      <c r="A25" s="103" t="s">
        <v>449</v>
      </c>
      <c r="B25" s="88"/>
      <c r="C25" s="88"/>
      <c r="D25" s="88"/>
      <c r="E25" s="88"/>
      <c r="F25" s="132"/>
      <c r="G25" s="135"/>
      <c r="H25" s="135"/>
      <c r="I25" s="105"/>
      <c r="J25" s="364">
        <f>'As-Filed Schedule 3'!J25</f>
        <v>0</v>
      </c>
      <c r="K25" s="410">
        <f>'As-Filed Schedule 3'!K25</f>
        <v>0</v>
      </c>
      <c r="L25" s="412">
        <f>SUMIFS(Adjustments!$G:$G,Adjustments!$H:$H,"3",Adjustments!$I:$I,'Schedule 3 Adjustments'!$K$13,Adjustments!$J:$J,"2c")</f>
        <v>0</v>
      </c>
      <c r="M25" s="414">
        <f>SUM(K25:L25)</f>
        <v>0</v>
      </c>
      <c r="N25" s="90"/>
      <c r="O25" s="350"/>
      <c r="P25" s="88"/>
      <c r="Q25" s="346"/>
      <c r="R25" s="350"/>
      <c r="S25" s="88"/>
      <c r="T25" s="350"/>
      <c r="U25" s="88"/>
      <c r="V25" s="346"/>
      <c r="W25" s="350"/>
      <c r="X25" s="88"/>
      <c r="Y25" s="350"/>
      <c r="Z25" s="88"/>
      <c r="AA25" s="350"/>
      <c r="AB25" s="88"/>
      <c r="AC25" s="350"/>
    </row>
    <row r="26" spans="1:29" x14ac:dyDescent="0.35">
      <c r="J26" s="100"/>
      <c r="N26" s="28"/>
      <c r="O26" s="342"/>
    </row>
    <row r="27" spans="1:29" s="34" customFormat="1" x14ac:dyDescent="0.35">
      <c r="A27" s="84">
        <v>3</v>
      </c>
      <c r="B27" s="529">
        <f>'As-Filed Schedule 3'!B27:C27</f>
        <v>0</v>
      </c>
      <c r="C27" s="530"/>
      <c r="D27" s="360">
        <f>'As-Filed Schedule 3'!D27</f>
        <v>0</v>
      </c>
      <c r="E27" s="360">
        <f>'As-Filed Schedule 3'!E27</f>
        <v>0</v>
      </c>
      <c r="F27" s="359">
        <f>'As-Filed Schedule 3'!F27</f>
        <v>0</v>
      </c>
      <c r="G27" s="358">
        <f>'As-Filed Schedule 3'!G27</f>
        <v>0</v>
      </c>
      <c r="H27" s="358">
        <f>'As-Filed Schedule 3'!H27</f>
        <v>0</v>
      </c>
      <c r="I27" s="138" t="str">
        <f>IF(B27=0,"",IF(AND(G27=0,H27=0),365,IF(AND(G27&gt;0,H27=0),$C$6-G27+1,IF(AND(G27=0,H27&gt;0),H27-($C$6-365),H27-G27+1))))</f>
        <v/>
      </c>
      <c r="J27" s="98"/>
      <c r="K27" s="409">
        <f>SUM(K28:K30)</f>
        <v>0</v>
      </c>
      <c r="L27" s="411">
        <f>SUM(L28:L30)</f>
        <v>0</v>
      </c>
      <c r="M27" s="413">
        <f>SUM(M28:M30)</f>
        <v>0</v>
      </c>
      <c r="N27" s="91" t="str">
        <f>IF(K27&gt;0,K27/(F27*I27),"")</f>
        <v/>
      </c>
      <c r="O27" s="341" t="str">
        <f>IF(M27&gt;0,M27/(F27*I27),"")</f>
        <v/>
      </c>
      <c r="P27" s="125">
        <f>'As-Filed Schedule 3'!M27</f>
        <v>0</v>
      </c>
      <c r="Q27" s="344">
        <f>SUMIFS(Adjustments!$G:$G,Adjustments!$H:$H,"3",Adjustments!$I:$I,'Schedule 3 Adjustments'!$P$13,Adjustments!$J:$J,'As-Filed Schedule 3'!A27)</f>
        <v>0</v>
      </c>
      <c r="R27" s="348">
        <f>SUM(P27:Q27)</f>
        <v>0</v>
      </c>
      <c r="S27" s="85" t="str">
        <f>IFERROR(P27/K27,"")</f>
        <v/>
      </c>
      <c r="T27" s="352" t="str">
        <f>IFERROR(R27/M27,"")</f>
        <v/>
      </c>
      <c r="U27" s="125">
        <f>'As-Filed Schedule 3'!O27</f>
        <v>0</v>
      </c>
      <c r="V27" s="344">
        <f>SUMIFS(Adjustments!$G:$G,Adjustments!$H:$H,"3",Adjustments!$I:$I,'Schedule 3 Adjustments'!$U$13,Adjustments!$J:$J,$A27)</f>
        <v>0</v>
      </c>
      <c r="W27" s="348">
        <f>SUM(U27:V27)</f>
        <v>0</v>
      </c>
      <c r="X27" s="85" t="str">
        <f>IFERROR(U27/K27,"")</f>
        <v/>
      </c>
      <c r="Y27" s="85" t="str">
        <f>IFERROR(W27/M27,"")</f>
        <v/>
      </c>
      <c r="Z27" s="86" t="str">
        <f>IF(P27=0,"",P27-U27)</f>
        <v/>
      </c>
      <c r="AA27" s="354" t="str">
        <f>IF(R27=0,"",R27-W27)</f>
        <v/>
      </c>
      <c r="AB27" s="85" t="str">
        <f>IFERROR(Z27/K27,"")</f>
        <v/>
      </c>
      <c r="AC27" s="352" t="str">
        <f>IFERROR(AA27/M27,"")</f>
        <v/>
      </c>
    </row>
    <row r="28" spans="1:29" x14ac:dyDescent="0.35">
      <c r="A28" s="101" t="s">
        <v>447</v>
      </c>
      <c r="B28" s="87"/>
      <c r="C28" s="87"/>
      <c r="D28" s="87"/>
      <c r="E28" s="87"/>
      <c r="F28" s="131"/>
      <c r="G28" s="134"/>
      <c r="H28" s="134"/>
      <c r="I28" s="104"/>
      <c r="J28" s="364">
        <f>'As-Filed Schedule 3'!J28</f>
        <v>0</v>
      </c>
      <c r="K28" s="410">
        <f>'As-Filed Schedule 3'!K28</f>
        <v>0</v>
      </c>
      <c r="L28" s="412">
        <f>SUMIFS(Adjustments!$G:$G,Adjustments!$H:$H,"3",Adjustments!$I:$I,'Schedule 3 Adjustments'!$K$13,Adjustments!$J:$J,"3a")</f>
        <v>0</v>
      </c>
      <c r="M28" s="414">
        <f>SUM(K28:L28)</f>
        <v>0</v>
      </c>
      <c r="N28" s="89"/>
      <c r="O28" s="349"/>
      <c r="P28" s="87"/>
      <c r="Q28" s="345"/>
      <c r="R28" s="349"/>
      <c r="S28" s="87"/>
      <c r="T28" s="349"/>
      <c r="U28" s="87"/>
      <c r="V28" s="345"/>
      <c r="W28" s="349"/>
      <c r="X28" s="87"/>
      <c r="Y28" s="349"/>
      <c r="Z28" s="87"/>
      <c r="AA28" s="349"/>
      <c r="AB28" s="87"/>
      <c r="AC28" s="349"/>
    </row>
    <row r="29" spans="1:29" x14ac:dyDescent="0.35">
      <c r="A29" s="102" t="s">
        <v>448</v>
      </c>
      <c r="B29" s="88"/>
      <c r="C29" s="88"/>
      <c r="D29" s="88"/>
      <c r="E29" s="88"/>
      <c r="F29" s="132"/>
      <c r="G29" s="135"/>
      <c r="H29" s="135"/>
      <c r="I29" s="105"/>
      <c r="J29" s="364">
        <f>'As-Filed Schedule 3'!J29</f>
        <v>0</v>
      </c>
      <c r="K29" s="410">
        <f>'As-Filed Schedule 3'!K29</f>
        <v>0</v>
      </c>
      <c r="L29" s="412">
        <f>SUMIFS(Adjustments!$G:$G,Adjustments!$H:$H,"3",Adjustments!$I:$I,'Schedule 3 Adjustments'!$K$13,Adjustments!$J:$J,"3b")</f>
        <v>0</v>
      </c>
      <c r="M29" s="414">
        <f>SUM(K29:L29)</f>
        <v>0</v>
      </c>
      <c r="N29" s="90"/>
      <c r="O29" s="350"/>
      <c r="P29" s="88"/>
      <c r="Q29" s="346"/>
      <c r="R29" s="350"/>
      <c r="S29" s="88"/>
      <c r="T29" s="350"/>
      <c r="U29" s="88"/>
      <c r="V29" s="346"/>
      <c r="W29" s="350"/>
      <c r="X29" s="88"/>
      <c r="Y29" s="350"/>
      <c r="Z29" s="88"/>
      <c r="AA29" s="350"/>
      <c r="AB29" s="88"/>
      <c r="AC29" s="350"/>
    </row>
    <row r="30" spans="1:29" x14ac:dyDescent="0.35">
      <c r="A30" s="103" t="s">
        <v>449</v>
      </c>
      <c r="B30" s="88"/>
      <c r="C30" s="88"/>
      <c r="D30" s="88"/>
      <c r="E30" s="88"/>
      <c r="F30" s="132"/>
      <c r="G30" s="135"/>
      <c r="H30" s="135"/>
      <c r="I30" s="105"/>
      <c r="J30" s="364">
        <f>'As-Filed Schedule 3'!J30</f>
        <v>0</v>
      </c>
      <c r="K30" s="410">
        <f>'As-Filed Schedule 3'!K30</f>
        <v>0</v>
      </c>
      <c r="L30" s="412">
        <f>SUMIFS(Adjustments!$G:$G,Adjustments!$H:$H,"3",Adjustments!$I:$I,'Schedule 3 Adjustments'!$K$13,Adjustments!$J:$J,"3c")</f>
        <v>0</v>
      </c>
      <c r="M30" s="414">
        <f>SUM(K30:L30)</f>
        <v>0</v>
      </c>
      <c r="N30" s="90"/>
      <c r="O30" s="350"/>
      <c r="P30" s="88"/>
      <c r="Q30" s="346"/>
      <c r="R30" s="350"/>
      <c r="S30" s="88"/>
      <c r="T30" s="350"/>
      <c r="U30" s="88"/>
      <c r="V30" s="346"/>
      <c r="W30" s="350"/>
      <c r="X30" s="88"/>
      <c r="Y30" s="350"/>
      <c r="Z30" s="88"/>
      <c r="AA30" s="350"/>
      <c r="AB30" s="88"/>
      <c r="AC30" s="350"/>
    </row>
    <row r="31" spans="1:29" x14ac:dyDescent="0.35">
      <c r="J31" s="100"/>
      <c r="N31" s="28"/>
      <c r="O31" s="342"/>
    </row>
    <row r="32" spans="1:29" s="34" customFormat="1" x14ac:dyDescent="0.35">
      <c r="A32" s="84">
        <v>4</v>
      </c>
      <c r="B32" s="529">
        <f>'As-Filed Schedule 3'!B32:C32</f>
        <v>0</v>
      </c>
      <c r="C32" s="530"/>
      <c r="D32" s="360">
        <f>'As-Filed Schedule 3'!D32</f>
        <v>0</v>
      </c>
      <c r="E32" s="360">
        <f>'As-Filed Schedule 3'!E32</f>
        <v>0</v>
      </c>
      <c r="F32" s="359">
        <f>'As-Filed Schedule 3'!F32</f>
        <v>0</v>
      </c>
      <c r="G32" s="358">
        <f>'As-Filed Schedule 3'!G32</f>
        <v>0</v>
      </c>
      <c r="H32" s="358">
        <f>'As-Filed Schedule 3'!H32</f>
        <v>0</v>
      </c>
      <c r="I32" s="138" t="str">
        <f>IF(B32=0,"",IF(AND(G32=0,H32=0),365,IF(AND(G32&gt;0,H32=0),$C$6-G32+1,IF(AND(G32=0,H32&gt;0),H32-($C$6-365),H32-G32+1))))</f>
        <v/>
      </c>
      <c r="J32" s="98"/>
      <c r="K32" s="409">
        <f>SUM(K33:K35)</f>
        <v>0</v>
      </c>
      <c r="L32" s="411">
        <f>SUM(L33:L35)</f>
        <v>0</v>
      </c>
      <c r="M32" s="413">
        <f>SUM(M33:M35)</f>
        <v>0</v>
      </c>
      <c r="N32" s="91" t="str">
        <f>IF(K32&gt;0,K32/(F32*I32),"")</f>
        <v/>
      </c>
      <c r="O32" s="341" t="str">
        <f>IF(M32&gt;0,M32/(F32*I32),"")</f>
        <v/>
      </c>
      <c r="P32" s="125">
        <f>'As-Filed Schedule 3'!M32</f>
        <v>0</v>
      </c>
      <c r="Q32" s="344">
        <f>SUMIFS(Adjustments!$G:$G,Adjustments!$H:$H,"3",Adjustments!$I:$I,'Schedule 3 Adjustments'!$P$13,Adjustments!$J:$J,'As-Filed Schedule 3'!A32)</f>
        <v>0</v>
      </c>
      <c r="R32" s="348">
        <f>SUM(P32:Q32)</f>
        <v>0</v>
      </c>
      <c r="S32" s="85" t="str">
        <f>IFERROR(P32/K32,"")</f>
        <v/>
      </c>
      <c r="T32" s="352" t="str">
        <f>IFERROR(R32/M32,"")</f>
        <v/>
      </c>
      <c r="U32" s="125">
        <f>'As-Filed Schedule 3'!O32</f>
        <v>0</v>
      </c>
      <c r="V32" s="344">
        <f>SUMIFS(Adjustments!$G:$G,Adjustments!$H:$H,"3",Adjustments!$I:$I,'Schedule 3 Adjustments'!$U$13,Adjustments!$J:$J,$A32)</f>
        <v>0</v>
      </c>
      <c r="W32" s="348">
        <f>SUM(U32:V32)</f>
        <v>0</v>
      </c>
      <c r="X32" s="85" t="str">
        <f>IFERROR(U32/K32,"")</f>
        <v/>
      </c>
      <c r="Y32" s="85" t="str">
        <f>IFERROR(W32/M32,"")</f>
        <v/>
      </c>
      <c r="Z32" s="86" t="str">
        <f>IF(P32=0,"",P32-U32)</f>
        <v/>
      </c>
      <c r="AA32" s="354" t="str">
        <f>IF(R32=0,"",R32-W32)</f>
        <v/>
      </c>
      <c r="AB32" s="85" t="str">
        <f>IFERROR(Z32/K32,"")</f>
        <v/>
      </c>
      <c r="AC32" s="352" t="str">
        <f>IFERROR(AA32/M32,"")</f>
        <v/>
      </c>
    </row>
    <row r="33" spans="1:29" x14ac:dyDescent="0.35">
      <c r="A33" s="101" t="s">
        <v>447</v>
      </c>
      <c r="B33" s="87"/>
      <c r="C33" s="87"/>
      <c r="D33" s="87"/>
      <c r="E33" s="87"/>
      <c r="F33" s="131"/>
      <c r="G33" s="134"/>
      <c r="H33" s="134"/>
      <c r="I33" s="104"/>
      <c r="J33" s="364">
        <f>'As-Filed Schedule 3'!J33</f>
        <v>0</v>
      </c>
      <c r="K33" s="410">
        <f>'As-Filed Schedule 3'!K33</f>
        <v>0</v>
      </c>
      <c r="L33" s="412">
        <f>SUMIFS(Adjustments!$G:$G,Adjustments!$H:$H,"3",Adjustments!$I:$I,'Schedule 3 Adjustments'!$K$13,Adjustments!$J:$J,"4a")</f>
        <v>0</v>
      </c>
      <c r="M33" s="414">
        <f>SUM(K33:L33)</f>
        <v>0</v>
      </c>
      <c r="N33" s="89"/>
      <c r="O33" s="349"/>
      <c r="P33" s="87"/>
      <c r="Q33" s="345"/>
      <c r="R33" s="349"/>
      <c r="S33" s="87"/>
      <c r="T33" s="349"/>
      <c r="U33" s="87"/>
      <c r="V33" s="345"/>
      <c r="W33" s="349"/>
      <c r="X33" s="87"/>
      <c r="Y33" s="349"/>
      <c r="Z33" s="87"/>
      <c r="AA33" s="349"/>
      <c r="AB33" s="87"/>
      <c r="AC33" s="349"/>
    </row>
    <row r="34" spans="1:29" x14ac:dyDescent="0.35">
      <c r="A34" s="102" t="s">
        <v>448</v>
      </c>
      <c r="B34" s="88"/>
      <c r="C34" s="88"/>
      <c r="D34" s="88"/>
      <c r="E34" s="88"/>
      <c r="F34" s="132"/>
      <c r="G34" s="135"/>
      <c r="H34" s="135"/>
      <c r="I34" s="105"/>
      <c r="J34" s="364">
        <f>'As-Filed Schedule 3'!J34</f>
        <v>0</v>
      </c>
      <c r="K34" s="410">
        <f>'As-Filed Schedule 3'!K34</f>
        <v>0</v>
      </c>
      <c r="L34" s="412">
        <f>SUMIFS(Adjustments!$G:$G,Adjustments!$H:$H,"3",Adjustments!$I:$I,'Schedule 3 Adjustments'!$K$13,Adjustments!$J:$J,"4b")</f>
        <v>0</v>
      </c>
      <c r="M34" s="414">
        <f>SUM(K34:L34)</f>
        <v>0</v>
      </c>
      <c r="N34" s="90"/>
      <c r="O34" s="350"/>
      <c r="P34" s="88"/>
      <c r="Q34" s="346"/>
      <c r="R34" s="350"/>
      <c r="S34" s="88"/>
      <c r="T34" s="350"/>
      <c r="U34" s="88"/>
      <c r="V34" s="346"/>
      <c r="W34" s="350"/>
      <c r="X34" s="88"/>
      <c r="Y34" s="350"/>
      <c r="Z34" s="88"/>
      <c r="AA34" s="350"/>
      <c r="AB34" s="88"/>
      <c r="AC34" s="350"/>
    </row>
    <row r="35" spans="1:29" x14ac:dyDescent="0.35">
      <c r="A35" s="103" t="s">
        <v>449</v>
      </c>
      <c r="B35" s="88"/>
      <c r="C35" s="88"/>
      <c r="D35" s="88"/>
      <c r="E35" s="88"/>
      <c r="F35" s="132"/>
      <c r="G35" s="135"/>
      <c r="H35" s="135"/>
      <c r="I35" s="105"/>
      <c r="J35" s="364">
        <f>'As-Filed Schedule 3'!J35</f>
        <v>0</v>
      </c>
      <c r="K35" s="410">
        <f>'As-Filed Schedule 3'!K35</f>
        <v>0</v>
      </c>
      <c r="L35" s="412">
        <f>SUMIFS(Adjustments!$G:$G,Adjustments!$H:$H,"3",Adjustments!$I:$I,'Schedule 3 Adjustments'!$K$13,Adjustments!$J:$J,"4c")</f>
        <v>0</v>
      </c>
      <c r="M35" s="414">
        <f>SUM(K35:L35)</f>
        <v>0</v>
      </c>
      <c r="N35" s="90"/>
      <c r="O35" s="350"/>
      <c r="P35" s="88"/>
      <c r="Q35" s="346"/>
      <c r="R35" s="350"/>
      <c r="S35" s="88"/>
      <c r="T35" s="350"/>
      <c r="U35" s="88"/>
      <c r="V35" s="346"/>
      <c r="W35" s="350"/>
      <c r="X35" s="88"/>
      <c r="Y35" s="350"/>
      <c r="Z35" s="88"/>
      <c r="AA35" s="350"/>
      <c r="AB35" s="88"/>
      <c r="AC35" s="350"/>
    </row>
    <row r="36" spans="1:29" x14ac:dyDescent="0.35">
      <c r="J36" s="100"/>
      <c r="N36" s="28"/>
      <c r="O36" s="342"/>
    </row>
    <row r="37" spans="1:29" s="34" customFormat="1" x14ac:dyDescent="0.35">
      <c r="A37" s="84">
        <v>5</v>
      </c>
      <c r="B37" s="529">
        <f>'As-Filed Schedule 3'!B37:C37</f>
        <v>0</v>
      </c>
      <c r="C37" s="530"/>
      <c r="D37" s="360">
        <f>'As-Filed Schedule 3'!D37</f>
        <v>0</v>
      </c>
      <c r="E37" s="360">
        <f>'As-Filed Schedule 3'!E37</f>
        <v>0</v>
      </c>
      <c r="F37" s="359">
        <f>'As-Filed Schedule 3'!F37</f>
        <v>0</v>
      </c>
      <c r="G37" s="358">
        <f>'As-Filed Schedule 3'!G37</f>
        <v>0</v>
      </c>
      <c r="H37" s="358">
        <f>'As-Filed Schedule 3'!H37</f>
        <v>0</v>
      </c>
      <c r="I37" s="138" t="str">
        <f>IF(B37=0,"",IF(AND(G37=0,H37=0),365,IF(AND(G37&gt;0,H37=0),$C$6-G37+1,IF(AND(G37=0,H37&gt;0),H37-($C$6-365),H37-G37+1))))</f>
        <v/>
      </c>
      <c r="J37" s="98"/>
      <c r="K37" s="409">
        <f>SUM(K38:K40)</f>
        <v>0</v>
      </c>
      <c r="L37" s="411">
        <f>SUM(L38:L40)</f>
        <v>0</v>
      </c>
      <c r="M37" s="413">
        <f>SUM(M38:M40)</f>
        <v>0</v>
      </c>
      <c r="N37" s="91" t="str">
        <f>IF(K37&gt;0,K37/(F37*I37),"")</f>
        <v/>
      </c>
      <c r="O37" s="341" t="str">
        <f>IF(M37&gt;0,M37/(F37*I37),"")</f>
        <v/>
      </c>
      <c r="P37" s="125">
        <f>'As-Filed Schedule 3'!M37</f>
        <v>0</v>
      </c>
      <c r="Q37" s="344">
        <f>SUMIFS(Adjustments!$G:$G,Adjustments!$H:$H,"3",Adjustments!$I:$I,'Schedule 3 Adjustments'!$P$13,Adjustments!$J:$J,'As-Filed Schedule 3'!A37)</f>
        <v>0</v>
      </c>
      <c r="R37" s="348">
        <f>SUM(P37:Q37)</f>
        <v>0</v>
      </c>
      <c r="S37" s="85" t="str">
        <f>IFERROR(P37/K37,"")</f>
        <v/>
      </c>
      <c r="T37" s="352" t="str">
        <f>IFERROR(R37/M37,"")</f>
        <v/>
      </c>
      <c r="U37" s="125">
        <f>'As-Filed Schedule 3'!O37</f>
        <v>0</v>
      </c>
      <c r="V37" s="344">
        <f>SUMIFS(Adjustments!$G:$G,Adjustments!$H:$H,"3",Adjustments!$I:$I,'Schedule 3 Adjustments'!$U$13,Adjustments!$J:$J,$A37)</f>
        <v>0</v>
      </c>
      <c r="W37" s="348">
        <f>SUM(U37:V37)</f>
        <v>0</v>
      </c>
      <c r="X37" s="85" t="str">
        <f>IFERROR(U37/K37,"")</f>
        <v/>
      </c>
      <c r="Y37" s="85" t="str">
        <f>IFERROR(W37/M37,"")</f>
        <v/>
      </c>
      <c r="Z37" s="86" t="str">
        <f>IF(P37=0,"",P37-U37)</f>
        <v/>
      </c>
      <c r="AA37" s="354" t="str">
        <f>IF(R37=0,"",R37-W37)</f>
        <v/>
      </c>
      <c r="AB37" s="85" t="str">
        <f>IFERROR(Z37/K37,"")</f>
        <v/>
      </c>
      <c r="AC37" s="352" t="str">
        <f>IFERROR(AA37/M37,"")</f>
        <v/>
      </c>
    </row>
    <row r="38" spans="1:29" x14ac:dyDescent="0.35">
      <c r="A38" s="101" t="s">
        <v>447</v>
      </c>
      <c r="B38" s="87"/>
      <c r="C38" s="87"/>
      <c r="D38" s="87"/>
      <c r="E38" s="87"/>
      <c r="F38" s="131"/>
      <c r="G38" s="134"/>
      <c r="H38" s="134"/>
      <c r="I38" s="104"/>
      <c r="J38" s="364">
        <f>'As-Filed Schedule 3'!J38</f>
        <v>0</v>
      </c>
      <c r="K38" s="410">
        <f>'As-Filed Schedule 3'!K38</f>
        <v>0</v>
      </c>
      <c r="L38" s="412">
        <f>SUMIFS(Adjustments!$G:$G,Adjustments!$H:$H,"3",Adjustments!$I:$I,'Schedule 3 Adjustments'!$K$13,Adjustments!$J:$J,"5a")</f>
        <v>0</v>
      </c>
      <c r="M38" s="414">
        <f>SUM(K38:L38)</f>
        <v>0</v>
      </c>
      <c r="N38" s="89"/>
      <c r="O38" s="349"/>
      <c r="P38" s="87"/>
      <c r="Q38" s="345"/>
      <c r="R38" s="349"/>
      <c r="S38" s="87"/>
      <c r="T38" s="349"/>
      <c r="U38" s="87"/>
      <c r="V38" s="345"/>
      <c r="W38" s="349"/>
      <c r="X38" s="87"/>
      <c r="Y38" s="349"/>
      <c r="Z38" s="87"/>
      <c r="AA38" s="349"/>
      <c r="AB38" s="87"/>
      <c r="AC38" s="349"/>
    </row>
    <row r="39" spans="1:29" x14ac:dyDescent="0.35">
      <c r="A39" s="102" t="s">
        <v>448</v>
      </c>
      <c r="B39" s="88"/>
      <c r="C39" s="88"/>
      <c r="D39" s="88"/>
      <c r="E39" s="88"/>
      <c r="F39" s="132"/>
      <c r="G39" s="135"/>
      <c r="H39" s="135"/>
      <c r="I39" s="105"/>
      <c r="J39" s="364">
        <f>'As-Filed Schedule 3'!J39</f>
        <v>0</v>
      </c>
      <c r="K39" s="410">
        <f>'As-Filed Schedule 3'!K39</f>
        <v>0</v>
      </c>
      <c r="L39" s="412">
        <f>SUMIFS(Adjustments!$G:$G,Adjustments!$H:$H,"3",Adjustments!$I:$I,'Schedule 3 Adjustments'!$K$13,Adjustments!$J:$J,"5b")</f>
        <v>0</v>
      </c>
      <c r="M39" s="414">
        <f>SUM(K39:L39)</f>
        <v>0</v>
      </c>
      <c r="N39" s="90"/>
      <c r="O39" s="350"/>
      <c r="P39" s="88"/>
      <c r="Q39" s="346"/>
      <c r="R39" s="350"/>
      <c r="S39" s="88"/>
      <c r="T39" s="350"/>
      <c r="U39" s="88"/>
      <c r="V39" s="346"/>
      <c r="W39" s="350"/>
      <c r="X39" s="88"/>
      <c r="Y39" s="350"/>
      <c r="Z39" s="88"/>
      <c r="AA39" s="350"/>
      <c r="AB39" s="88"/>
      <c r="AC39" s="350"/>
    </row>
    <row r="40" spans="1:29" x14ac:dyDescent="0.35">
      <c r="A40" s="103" t="s">
        <v>449</v>
      </c>
      <c r="B40" s="88"/>
      <c r="C40" s="88"/>
      <c r="D40" s="88"/>
      <c r="E40" s="88"/>
      <c r="F40" s="132"/>
      <c r="G40" s="135"/>
      <c r="H40" s="135"/>
      <c r="I40" s="105"/>
      <c r="J40" s="364">
        <f>'As-Filed Schedule 3'!J40</f>
        <v>0</v>
      </c>
      <c r="K40" s="410">
        <f>'As-Filed Schedule 3'!K40</f>
        <v>0</v>
      </c>
      <c r="L40" s="412">
        <f>SUMIFS(Adjustments!$G:$G,Adjustments!$H:$H,"3",Adjustments!$I:$I,'Schedule 3 Adjustments'!$K$13,Adjustments!$J:$J,"5c")</f>
        <v>0</v>
      </c>
      <c r="M40" s="414">
        <f>SUM(K40:L40)</f>
        <v>0</v>
      </c>
      <c r="N40" s="90"/>
      <c r="O40" s="350"/>
      <c r="P40" s="88"/>
      <c r="Q40" s="346"/>
      <c r="R40" s="350"/>
      <c r="S40" s="88"/>
      <c r="T40" s="350"/>
      <c r="U40" s="88"/>
      <c r="V40" s="346"/>
      <c r="W40" s="350"/>
      <c r="X40" s="88"/>
      <c r="Y40" s="350"/>
      <c r="Z40" s="88"/>
      <c r="AA40" s="350"/>
      <c r="AB40" s="88"/>
      <c r="AC40" s="350"/>
    </row>
    <row r="41" spans="1:29" x14ac:dyDescent="0.35">
      <c r="J41" s="100"/>
      <c r="N41" s="28"/>
      <c r="O41" s="342"/>
    </row>
    <row r="42" spans="1:29" s="34" customFormat="1" x14ac:dyDescent="0.35">
      <c r="A42" s="84">
        <v>6</v>
      </c>
      <c r="B42" s="529">
        <f>'As-Filed Schedule 3'!B42:C42</f>
        <v>0</v>
      </c>
      <c r="C42" s="530"/>
      <c r="D42" s="360">
        <f>'As-Filed Schedule 3'!D42</f>
        <v>0</v>
      </c>
      <c r="E42" s="360">
        <f>'As-Filed Schedule 3'!E42</f>
        <v>0</v>
      </c>
      <c r="F42" s="359">
        <f>'As-Filed Schedule 3'!F42</f>
        <v>0</v>
      </c>
      <c r="G42" s="358">
        <f>'As-Filed Schedule 3'!G42</f>
        <v>0</v>
      </c>
      <c r="H42" s="358">
        <f>'As-Filed Schedule 3'!H42</f>
        <v>0</v>
      </c>
      <c r="I42" s="138" t="str">
        <f>IF(B42=0,"",IF(AND(G42=0,H42=0),365,IF(AND(G42&gt;0,H42=0),$C$6-G42+1,IF(AND(G42=0,H42&gt;0),H42-($C$6-365),H42-G42+1))))</f>
        <v/>
      </c>
      <c r="J42" s="98"/>
      <c r="K42" s="409">
        <f>SUM(K43:K45)</f>
        <v>0</v>
      </c>
      <c r="L42" s="411">
        <f>SUM(L43:L45)</f>
        <v>0</v>
      </c>
      <c r="M42" s="413">
        <f>SUM(M43:M45)</f>
        <v>0</v>
      </c>
      <c r="N42" s="91" t="str">
        <f>IF(K42&gt;0,K42/(F42*I42),"")</f>
        <v/>
      </c>
      <c r="O42" s="341" t="str">
        <f>IF(M42&gt;0,M42/(F42*I42),"")</f>
        <v/>
      </c>
      <c r="P42" s="125">
        <f>'As-Filed Schedule 3'!M42</f>
        <v>0</v>
      </c>
      <c r="Q42" s="344">
        <f>SUMIFS(Adjustments!$G:$G,Adjustments!$H:$H,"3",Adjustments!$I:$I,'Schedule 3 Adjustments'!$P$13,Adjustments!$J:$J,'As-Filed Schedule 3'!A42)</f>
        <v>0</v>
      </c>
      <c r="R42" s="348">
        <f>SUM(P42:Q42)</f>
        <v>0</v>
      </c>
      <c r="S42" s="85" t="str">
        <f>IFERROR(P42/K42,"")</f>
        <v/>
      </c>
      <c r="T42" s="352" t="str">
        <f>IFERROR(R42/M42,"")</f>
        <v/>
      </c>
      <c r="U42" s="125">
        <f>'As-Filed Schedule 3'!O42</f>
        <v>0</v>
      </c>
      <c r="V42" s="344">
        <f>SUMIFS(Adjustments!$G:$G,Adjustments!$H:$H,"3",Adjustments!$I:$I,'Schedule 3 Adjustments'!$U$13,Adjustments!$J:$J,$A42)</f>
        <v>0</v>
      </c>
      <c r="W42" s="348">
        <f>SUM(U42:V42)</f>
        <v>0</v>
      </c>
      <c r="X42" s="85" t="str">
        <f>IFERROR(U42/K42,"")</f>
        <v/>
      </c>
      <c r="Y42" s="85" t="str">
        <f>IFERROR(W42/M42,"")</f>
        <v/>
      </c>
      <c r="Z42" s="86" t="str">
        <f>IF(P42=0,"",P42-U42)</f>
        <v/>
      </c>
      <c r="AA42" s="354" t="str">
        <f>IF(R42=0,"",R42-W42)</f>
        <v/>
      </c>
      <c r="AB42" s="85" t="str">
        <f>IFERROR(Z42/K42,"")</f>
        <v/>
      </c>
      <c r="AC42" s="352" t="str">
        <f>IFERROR(AA42/M42,"")</f>
        <v/>
      </c>
    </row>
    <row r="43" spans="1:29" x14ac:dyDescent="0.35">
      <c r="A43" s="101" t="s">
        <v>447</v>
      </c>
      <c r="B43" s="87"/>
      <c r="C43" s="87"/>
      <c r="D43" s="87"/>
      <c r="E43" s="87"/>
      <c r="F43" s="131"/>
      <c r="G43" s="134"/>
      <c r="H43" s="134"/>
      <c r="I43" s="104"/>
      <c r="J43" s="364">
        <f>'As-Filed Schedule 3'!J43</f>
        <v>0</v>
      </c>
      <c r="K43" s="410">
        <f>'As-Filed Schedule 3'!K43</f>
        <v>0</v>
      </c>
      <c r="L43" s="412">
        <f>SUMIFS(Adjustments!$G:$G,Adjustments!$H:$H,"3",Adjustments!$I:$I,'Schedule 3 Adjustments'!$K$13,Adjustments!$J:$J,"6a")</f>
        <v>0</v>
      </c>
      <c r="M43" s="414">
        <f>SUM(K43:L43)</f>
        <v>0</v>
      </c>
      <c r="N43" s="89"/>
      <c r="O43" s="349"/>
      <c r="P43" s="87"/>
      <c r="Q43" s="345"/>
      <c r="R43" s="349"/>
      <c r="S43" s="87"/>
      <c r="T43" s="349"/>
      <c r="U43" s="87"/>
      <c r="V43" s="345"/>
      <c r="W43" s="349"/>
      <c r="X43" s="87"/>
      <c r="Y43" s="349"/>
      <c r="Z43" s="87"/>
      <c r="AA43" s="349"/>
      <c r="AB43" s="87"/>
      <c r="AC43" s="349"/>
    </row>
    <row r="44" spans="1:29" x14ac:dyDescent="0.35">
      <c r="A44" s="102" t="s">
        <v>448</v>
      </c>
      <c r="B44" s="88"/>
      <c r="C44" s="88"/>
      <c r="D44" s="88"/>
      <c r="E44" s="88"/>
      <c r="F44" s="132"/>
      <c r="G44" s="135"/>
      <c r="H44" s="135"/>
      <c r="I44" s="105"/>
      <c r="J44" s="364">
        <f>'As-Filed Schedule 3'!J44</f>
        <v>0</v>
      </c>
      <c r="K44" s="410">
        <f>'As-Filed Schedule 3'!K44</f>
        <v>0</v>
      </c>
      <c r="L44" s="412">
        <f>SUMIFS(Adjustments!$G:$G,Adjustments!$H:$H,"3",Adjustments!$I:$I,'Schedule 3 Adjustments'!$K$13,Adjustments!$J:$J,"6b")</f>
        <v>0</v>
      </c>
      <c r="M44" s="414">
        <f>SUM(K44:L44)</f>
        <v>0</v>
      </c>
      <c r="N44" s="90"/>
      <c r="O44" s="350"/>
      <c r="P44" s="88"/>
      <c r="Q44" s="346"/>
      <c r="R44" s="350"/>
      <c r="S44" s="88"/>
      <c r="T44" s="350"/>
      <c r="U44" s="88"/>
      <c r="V44" s="346"/>
      <c r="W44" s="350"/>
      <c r="X44" s="88"/>
      <c r="Y44" s="350"/>
      <c r="Z44" s="88"/>
      <c r="AA44" s="350"/>
      <c r="AB44" s="88"/>
      <c r="AC44" s="350"/>
    </row>
    <row r="45" spans="1:29" x14ac:dyDescent="0.35">
      <c r="A45" s="103" t="s">
        <v>449</v>
      </c>
      <c r="B45" s="88"/>
      <c r="C45" s="88"/>
      <c r="D45" s="88"/>
      <c r="E45" s="88"/>
      <c r="F45" s="132"/>
      <c r="G45" s="135"/>
      <c r="H45" s="135"/>
      <c r="I45" s="105"/>
      <c r="J45" s="364">
        <f>'As-Filed Schedule 3'!J45</f>
        <v>0</v>
      </c>
      <c r="K45" s="410">
        <f>'As-Filed Schedule 3'!K45</f>
        <v>0</v>
      </c>
      <c r="L45" s="412">
        <f>SUMIFS(Adjustments!$G:$G,Adjustments!$H:$H,"3",Adjustments!$I:$I,'Schedule 3 Adjustments'!$K$13,Adjustments!$J:$J,"6c")</f>
        <v>0</v>
      </c>
      <c r="M45" s="414">
        <f>SUM(K45:L45)</f>
        <v>0</v>
      </c>
      <c r="N45" s="90"/>
      <c r="O45" s="350"/>
      <c r="P45" s="88"/>
      <c r="Q45" s="346"/>
      <c r="R45" s="350"/>
      <c r="S45" s="88"/>
      <c r="T45" s="350"/>
      <c r="U45" s="88"/>
      <c r="V45" s="346"/>
      <c r="W45" s="350"/>
      <c r="X45" s="88"/>
      <c r="Y45" s="350"/>
      <c r="Z45" s="88"/>
      <c r="AA45" s="350"/>
      <c r="AB45" s="88"/>
      <c r="AC45" s="350"/>
    </row>
    <row r="46" spans="1:29" x14ac:dyDescent="0.35">
      <c r="J46" s="100"/>
      <c r="N46" s="28"/>
      <c r="O46" s="342"/>
    </row>
    <row r="47" spans="1:29" s="34" customFormat="1" x14ac:dyDescent="0.35">
      <c r="A47" s="84">
        <v>7</v>
      </c>
      <c r="B47" s="529">
        <f>'As-Filed Schedule 3'!B47:C47</f>
        <v>0</v>
      </c>
      <c r="C47" s="530"/>
      <c r="D47" s="360">
        <f>'As-Filed Schedule 3'!D47</f>
        <v>0</v>
      </c>
      <c r="E47" s="360">
        <f>'As-Filed Schedule 3'!E47</f>
        <v>0</v>
      </c>
      <c r="F47" s="359">
        <f>'As-Filed Schedule 3'!F47</f>
        <v>0</v>
      </c>
      <c r="G47" s="358">
        <f>'As-Filed Schedule 3'!G47</f>
        <v>0</v>
      </c>
      <c r="H47" s="358">
        <f>'As-Filed Schedule 3'!H47</f>
        <v>0</v>
      </c>
      <c r="I47" s="138" t="str">
        <f>IF(B47=0,"",IF(AND(G47=0,H47=0),365,IF(AND(G47&gt;0,H47=0),$C$6-G47+1,IF(AND(G47=0,H47&gt;0),H47-($C$6-365),H47-G47+1))))</f>
        <v/>
      </c>
      <c r="J47" s="98"/>
      <c r="K47" s="409">
        <f>SUM(K48:K50)</f>
        <v>0</v>
      </c>
      <c r="L47" s="411">
        <f>SUM(L48:L50)</f>
        <v>0</v>
      </c>
      <c r="M47" s="413">
        <f>SUM(M48:M50)</f>
        <v>0</v>
      </c>
      <c r="N47" s="91" t="str">
        <f>IF(K47&gt;0,K47/(F47*I47),"")</f>
        <v/>
      </c>
      <c r="O47" s="341" t="str">
        <f>IF(M47&gt;0,M47/(F47*I47),"")</f>
        <v/>
      </c>
      <c r="P47" s="125">
        <f>'As-Filed Schedule 3'!M47</f>
        <v>0</v>
      </c>
      <c r="Q47" s="344">
        <f>SUMIFS(Adjustments!$G:$G,Adjustments!$H:$H,"3",Adjustments!$I:$I,'Schedule 3 Adjustments'!$P$13,Adjustments!$J:$J,'As-Filed Schedule 3'!A47)</f>
        <v>0</v>
      </c>
      <c r="R47" s="348">
        <f>SUM(P47:Q47)</f>
        <v>0</v>
      </c>
      <c r="S47" s="85" t="str">
        <f>IFERROR(P47/K47,"")</f>
        <v/>
      </c>
      <c r="T47" s="352" t="str">
        <f>IFERROR(R47/M47,"")</f>
        <v/>
      </c>
      <c r="U47" s="125">
        <f>'As-Filed Schedule 3'!O47</f>
        <v>0</v>
      </c>
      <c r="V47" s="344">
        <f>SUMIFS(Adjustments!$G:$G,Adjustments!$H:$H,"3",Adjustments!$I:$I,'Schedule 3 Adjustments'!$U$13,Adjustments!$J:$J,$A47)</f>
        <v>0</v>
      </c>
      <c r="W47" s="348">
        <f>SUM(U47:V47)</f>
        <v>0</v>
      </c>
      <c r="X47" s="85" t="str">
        <f>IFERROR(U47/K47,"")</f>
        <v/>
      </c>
      <c r="Y47" s="85" t="str">
        <f>IFERROR(W47/M47,"")</f>
        <v/>
      </c>
      <c r="Z47" s="86" t="str">
        <f>IF(P47=0,"",P47-U47)</f>
        <v/>
      </c>
      <c r="AA47" s="354" t="str">
        <f>IF(R47=0,"",R47-W47)</f>
        <v/>
      </c>
      <c r="AB47" s="85" t="str">
        <f>IFERROR(Z47/K47,"")</f>
        <v/>
      </c>
      <c r="AC47" s="352" t="str">
        <f>IFERROR(AA47/M47,"")</f>
        <v/>
      </c>
    </row>
    <row r="48" spans="1:29" x14ac:dyDescent="0.35">
      <c r="A48" s="101" t="s">
        <v>447</v>
      </c>
      <c r="B48" s="87"/>
      <c r="C48" s="87"/>
      <c r="D48" s="87"/>
      <c r="E48" s="87"/>
      <c r="F48" s="131"/>
      <c r="G48" s="134"/>
      <c r="H48" s="134"/>
      <c r="I48" s="104"/>
      <c r="J48" s="364">
        <f>'As-Filed Schedule 3'!J48</f>
        <v>0</v>
      </c>
      <c r="K48" s="410">
        <f>'As-Filed Schedule 3'!K48</f>
        <v>0</v>
      </c>
      <c r="L48" s="412">
        <f>SUMIFS(Adjustments!$G:$G,Adjustments!$H:$H,"3",Adjustments!$I:$I,'Schedule 3 Adjustments'!$K$13,Adjustments!$J:$J,"7a")</f>
        <v>0</v>
      </c>
      <c r="M48" s="414">
        <f>SUM(K48:L48)</f>
        <v>0</v>
      </c>
      <c r="N48" s="89"/>
      <c r="O48" s="349"/>
      <c r="P48" s="87"/>
      <c r="Q48" s="345"/>
      <c r="R48" s="349"/>
      <c r="S48" s="87"/>
      <c r="T48" s="349"/>
      <c r="U48" s="87"/>
      <c r="V48" s="345"/>
      <c r="W48" s="349"/>
      <c r="X48" s="87"/>
      <c r="Y48" s="349"/>
      <c r="Z48" s="87"/>
      <c r="AA48" s="349"/>
      <c r="AB48" s="87"/>
      <c r="AC48" s="349"/>
    </row>
    <row r="49" spans="1:29" x14ac:dyDescent="0.35">
      <c r="A49" s="102" t="s">
        <v>448</v>
      </c>
      <c r="B49" s="88"/>
      <c r="C49" s="88"/>
      <c r="D49" s="88"/>
      <c r="E49" s="88"/>
      <c r="F49" s="132"/>
      <c r="G49" s="135"/>
      <c r="H49" s="135"/>
      <c r="I49" s="105"/>
      <c r="J49" s="364">
        <f>'As-Filed Schedule 3'!J49</f>
        <v>0</v>
      </c>
      <c r="K49" s="410">
        <f>'As-Filed Schedule 3'!K49</f>
        <v>0</v>
      </c>
      <c r="L49" s="412">
        <f>SUMIFS(Adjustments!$G:$G,Adjustments!$H:$H,"3",Adjustments!$I:$I,'Schedule 3 Adjustments'!$K$13,Adjustments!$J:$J,"7b")</f>
        <v>0</v>
      </c>
      <c r="M49" s="414">
        <f>SUM(K49:L49)</f>
        <v>0</v>
      </c>
      <c r="N49" s="90"/>
      <c r="O49" s="350"/>
      <c r="P49" s="88"/>
      <c r="Q49" s="346"/>
      <c r="R49" s="350"/>
      <c r="S49" s="88"/>
      <c r="T49" s="350"/>
      <c r="U49" s="88"/>
      <c r="V49" s="346"/>
      <c r="W49" s="350"/>
      <c r="X49" s="88"/>
      <c r="Y49" s="350"/>
      <c r="Z49" s="88"/>
      <c r="AA49" s="350"/>
      <c r="AB49" s="88"/>
      <c r="AC49" s="350"/>
    </row>
    <row r="50" spans="1:29" x14ac:dyDescent="0.35">
      <c r="A50" s="103" t="s">
        <v>449</v>
      </c>
      <c r="B50" s="88"/>
      <c r="C50" s="88"/>
      <c r="D50" s="88"/>
      <c r="E50" s="88"/>
      <c r="F50" s="132"/>
      <c r="G50" s="135"/>
      <c r="H50" s="135"/>
      <c r="I50" s="105"/>
      <c r="J50" s="364">
        <f>'As-Filed Schedule 3'!J50</f>
        <v>0</v>
      </c>
      <c r="K50" s="410">
        <f>'As-Filed Schedule 3'!K50</f>
        <v>0</v>
      </c>
      <c r="L50" s="412">
        <f>SUMIFS(Adjustments!$G:$G,Adjustments!$H:$H,"3",Adjustments!$I:$I,'Schedule 3 Adjustments'!$K$13,Adjustments!$J:$J,"7c")</f>
        <v>0</v>
      </c>
      <c r="M50" s="414">
        <f>SUM(K50:L50)</f>
        <v>0</v>
      </c>
      <c r="N50" s="90"/>
      <c r="O50" s="350"/>
      <c r="P50" s="88"/>
      <c r="Q50" s="346"/>
      <c r="R50" s="350"/>
      <c r="S50" s="88"/>
      <c r="T50" s="350"/>
      <c r="U50" s="88"/>
      <c r="V50" s="346"/>
      <c r="W50" s="350"/>
      <c r="X50" s="88"/>
      <c r="Y50" s="350"/>
      <c r="Z50" s="88"/>
      <c r="AA50" s="350"/>
      <c r="AB50" s="88"/>
      <c r="AC50" s="350"/>
    </row>
    <row r="51" spans="1:29" x14ac:dyDescent="0.35">
      <c r="J51" s="100"/>
      <c r="N51" s="28"/>
      <c r="O51" s="342"/>
    </row>
    <row r="52" spans="1:29" s="34" customFormat="1" x14ac:dyDescent="0.35">
      <c r="A52" s="84">
        <v>8</v>
      </c>
      <c r="B52" s="529">
        <f>'As-Filed Schedule 3'!B52:C52</f>
        <v>0</v>
      </c>
      <c r="C52" s="530"/>
      <c r="D52" s="360">
        <f>'As-Filed Schedule 3'!D52</f>
        <v>0</v>
      </c>
      <c r="E52" s="360">
        <f>'As-Filed Schedule 3'!E52</f>
        <v>0</v>
      </c>
      <c r="F52" s="359">
        <f>'As-Filed Schedule 3'!F52</f>
        <v>0</v>
      </c>
      <c r="G52" s="358">
        <f>'As-Filed Schedule 3'!G52</f>
        <v>0</v>
      </c>
      <c r="H52" s="358">
        <f>'As-Filed Schedule 3'!H52</f>
        <v>0</v>
      </c>
      <c r="I52" s="138" t="str">
        <f>IF(B52=0,"",IF(AND(G52=0,H52=0),365,IF(AND(G52&gt;0,H52=0),$C$6-G52+1,IF(AND(G52=0,H52&gt;0),H52-($C$6-365),H52-G52+1))))</f>
        <v/>
      </c>
      <c r="J52" s="98"/>
      <c r="K52" s="409">
        <f>SUM(K53:K55)</f>
        <v>0</v>
      </c>
      <c r="L52" s="411">
        <f>SUM(L53:L55)</f>
        <v>0</v>
      </c>
      <c r="M52" s="413">
        <f>SUM(M53:M55)</f>
        <v>0</v>
      </c>
      <c r="N52" s="91" t="str">
        <f>IF(K52&gt;0,K52/(F52*I52),"")</f>
        <v/>
      </c>
      <c r="O52" s="341" t="str">
        <f>IF(M52&gt;0,M52/(F52*I52),"")</f>
        <v/>
      </c>
      <c r="P52" s="125">
        <f>'As-Filed Schedule 3'!M52</f>
        <v>0</v>
      </c>
      <c r="Q52" s="344">
        <f>SUMIFS(Adjustments!$G:$G,Adjustments!$H:$H,"3",Adjustments!$I:$I,'Schedule 3 Adjustments'!$P$13,Adjustments!$J:$J,'As-Filed Schedule 3'!A52)</f>
        <v>0</v>
      </c>
      <c r="R52" s="348">
        <f>SUM(P52:Q52)</f>
        <v>0</v>
      </c>
      <c r="S52" s="85" t="str">
        <f>IFERROR(P52/K52,"")</f>
        <v/>
      </c>
      <c r="T52" s="352" t="str">
        <f>IFERROR(R52/M52,"")</f>
        <v/>
      </c>
      <c r="U52" s="125">
        <f>'As-Filed Schedule 3'!O52</f>
        <v>0</v>
      </c>
      <c r="V52" s="344">
        <f>SUMIFS(Adjustments!$G:$G,Adjustments!$H:$H,"3",Adjustments!$I:$I,'Schedule 3 Adjustments'!$U$13,Adjustments!$J:$J,$A52)</f>
        <v>0</v>
      </c>
      <c r="W52" s="348">
        <f>SUM(U52:V52)</f>
        <v>0</v>
      </c>
      <c r="X52" s="85" t="str">
        <f>IFERROR(U52/K52,"")</f>
        <v/>
      </c>
      <c r="Y52" s="85" t="str">
        <f>IFERROR(W52/M52,"")</f>
        <v/>
      </c>
      <c r="Z52" s="86" t="str">
        <f>IF(P52=0,"",P52-U52)</f>
        <v/>
      </c>
      <c r="AA52" s="354" t="str">
        <f>IF(R52=0,"",R52-W52)</f>
        <v/>
      </c>
      <c r="AB52" s="85" t="str">
        <f>IFERROR(Z52/K52,"")</f>
        <v/>
      </c>
      <c r="AC52" s="352" t="str">
        <f>IFERROR(AA52/M52,"")</f>
        <v/>
      </c>
    </row>
    <row r="53" spans="1:29" x14ac:dyDescent="0.35">
      <c r="A53" s="101" t="s">
        <v>447</v>
      </c>
      <c r="B53" s="87"/>
      <c r="C53" s="87"/>
      <c r="D53" s="87"/>
      <c r="E53" s="87"/>
      <c r="F53" s="131"/>
      <c r="G53" s="134"/>
      <c r="H53" s="134"/>
      <c r="I53" s="104"/>
      <c r="J53" s="364">
        <f>'As-Filed Schedule 3'!J53</f>
        <v>0</v>
      </c>
      <c r="K53" s="410">
        <f>'As-Filed Schedule 3'!K53</f>
        <v>0</v>
      </c>
      <c r="L53" s="412">
        <f>SUMIFS(Adjustments!$G:$G,Adjustments!$H:$H,"3",Adjustments!$I:$I,'Schedule 3 Adjustments'!$K$13,Adjustments!$J:$J,"8a")</f>
        <v>0</v>
      </c>
      <c r="M53" s="414">
        <f>SUM(K53:L53)</f>
        <v>0</v>
      </c>
      <c r="N53" s="89"/>
      <c r="O53" s="349"/>
      <c r="P53" s="87"/>
      <c r="Q53" s="345"/>
      <c r="R53" s="349"/>
      <c r="S53" s="87"/>
      <c r="T53" s="349"/>
      <c r="U53" s="87"/>
      <c r="V53" s="345"/>
      <c r="W53" s="349"/>
      <c r="X53" s="87"/>
      <c r="Y53" s="349"/>
      <c r="Z53" s="87"/>
      <c r="AA53" s="349"/>
      <c r="AB53" s="87"/>
      <c r="AC53" s="349"/>
    </row>
    <row r="54" spans="1:29" x14ac:dyDescent="0.35">
      <c r="A54" s="102" t="s">
        <v>448</v>
      </c>
      <c r="B54" s="88"/>
      <c r="C54" s="88"/>
      <c r="D54" s="88"/>
      <c r="E54" s="88"/>
      <c r="F54" s="132"/>
      <c r="G54" s="135"/>
      <c r="H54" s="135"/>
      <c r="I54" s="105"/>
      <c r="J54" s="364">
        <f>'As-Filed Schedule 3'!J54</f>
        <v>0</v>
      </c>
      <c r="K54" s="410">
        <f>'As-Filed Schedule 3'!K54</f>
        <v>0</v>
      </c>
      <c r="L54" s="412">
        <f>SUMIFS(Adjustments!$G:$G,Adjustments!$H:$H,"3",Adjustments!$I:$I,'Schedule 3 Adjustments'!$K$13,Adjustments!$J:$J,"8b")</f>
        <v>0</v>
      </c>
      <c r="M54" s="414">
        <f>SUM(K54:L54)</f>
        <v>0</v>
      </c>
      <c r="N54" s="90"/>
      <c r="O54" s="350"/>
      <c r="P54" s="88"/>
      <c r="Q54" s="346"/>
      <c r="R54" s="350"/>
      <c r="S54" s="88"/>
      <c r="T54" s="350"/>
      <c r="U54" s="88"/>
      <c r="V54" s="346"/>
      <c r="W54" s="350"/>
      <c r="X54" s="88"/>
      <c r="Y54" s="350"/>
      <c r="Z54" s="88"/>
      <c r="AA54" s="350"/>
      <c r="AB54" s="88"/>
      <c r="AC54" s="350"/>
    </row>
    <row r="55" spans="1:29" x14ac:dyDescent="0.35">
      <c r="A55" s="103" t="s">
        <v>449</v>
      </c>
      <c r="B55" s="88"/>
      <c r="C55" s="88"/>
      <c r="D55" s="88"/>
      <c r="E55" s="88"/>
      <c r="F55" s="132"/>
      <c r="G55" s="135"/>
      <c r="H55" s="135"/>
      <c r="I55" s="105"/>
      <c r="J55" s="364">
        <f>'As-Filed Schedule 3'!J55</f>
        <v>0</v>
      </c>
      <c r="K55" s="410">
        <f>'As-Filed Schedule 3'!K55</f>
        <v>0</v>
      </c>
      <c r="L55" s="412">
        <f>SUMIFS(Adjustments!$G:$G,Adjustments!$H:$H,"3",Adjustments!$I:$I,'Schedule 3 Adjustments'!$K$13,Adjustments!$J:$J,"8c")</f>
        <v>0</v>
      </c>
      <c r="M55" s="414">
        <f>SUM(K55:L55)</f>
        <v>0</v>
      </c>
      <c r="N55" s="90"/>
      <c r="O55" s="350"/>
      <c r="P55" s="88"/>
      <c r="Q55" s="346"/>
      <c r="R55" s="350"/>
      <c r="S55" s="88"/>
      <c r="T55" s="350"/>
      <c r="U55" s="88"/>
      <c r="V55" s="346"/>
      <c r="W55" s="350"/>
      <c r="X55" s="88"/>
      <c r="Y55" s="350"/>
      <c r="Z55" s="88"/>
      <c r="AA55" s="350"/>
      <c r="AB55" s="88"/>
      <c r="AC55" s="350"/>
    </row>
    <row r="56" spans="1:29" x14ac:dyDescent="0.35">
      <c r="J56" s="100"/>
      <c r="N56" s="28"/>
      <c r="O56" s="342"/>
    </row>
    <row r="57" spans="1:29" s="34" customFormat="1" x14ac:dyDescent="0.35">
      <c r="A57" s="84">
        <v>9</v>
      </c>
      <c r="B57" s="529">
        <f>'As-Filed Schedule 3'!B57:C57</f>
        <v>0</v>
      </c>
      <c r="C57" s="530"/>
      <c r="D57" s="360">
        <f>'As-Filed Schedule 3'!D57</f>
        <v>0</v>
      </c>
      <c r="E57" s="360">
        <f>'As-Filed Schedule 3'!E57</f>
        <v>0</v>
      </c>
      <c r="F57" s="359">
        <f>'As-Filed Schedule 3'!F57</f>
        <v>0</v>
      </c>
      <c r="G57" s="358">
        <f>'As-Filed Schedule 3'!G57</f>
        <v>0</v>
      </c>
      <c r="H57" s="358">
        <f>'As-Filed Schedule 3'!H57</f>
        <v>0</v>
      </c>
      <c r="I57" s="138" t="str">
        <f>IF(B57=0,"",IF(AND(G57=0,H57=0),365,IF(AND(G57&gt;0,H57=0),$C$6-G57+1,IF(AND(G57=0,H57&gt;0),H57-($C$6-365),H57-G57+1))))</f>
        <v/>
      </c>
      <c r="J57" s="98"/>
      <c r="K57" s="409">
        <f>SUM(K58:K60)</f>
        <v>0</v>
      </c>
      <c r="L57" s="411">
        <f>SUM(L58:L60)</f>
        <v>0</v>
      </c>
      <c r="M57" s="413">
        <f>SUM(M58:M60)</f>
        <v>0</v>
      </c>
      <c r="N57" s="91" t="str">
        <f>IF(K57&gt;0,K57/(F57*I57),"")</f>
        <v/>
      </c>
      <c r="O57" s="341" t="str">
        <f>IF(M57&gt;0,M57/(F57*I57),"")</f>
        <v/>
      </c>
      <c r="P57" s="125">
        <f>'As-Filed Schedule 3'!M57</f>
        <v>0</v>
      </c>
      <c r="Q57" s="344">
        <f>SUMIFS(Adjustments!$G:$G,Adjustments!$H:$H,"3",Adjustments!$I:$I,'Schedule 3 Adjustments'!$P$13,Adjustments!$J:$J,'As-Filed Schedule 3'!A57)</f>
        <v>0</v>
      </c>
      <c r="R57" s="348">
        <f>SUM(P57:Q57)</f>
        <v>0</v>
      </c>
      <c r="S57" s="85" t="str">
        <f>IFERROR(P57/K57,"")</f>
        <v/>
      </c>
      <c r="T57" s="352" t="str">
        <f>IFERROR(R57/M57,"")</f>
        <v/>
      </c>
      <c r="U57" s="125">
        <f>'As-Filed Schedule 3'!O57</f>
        <v>0</v>
      </c>
      <c r="V57" s="344">
        <f>SUMIFS(Adjustments!$G:$G,Adjustments!$H:$H,"3",Adjustments!$I:$I,'Schedule 3 Adjustments'!$U$13,Adjustments!$J:$J,$A57)</f>
        <v>0</v>
      </c>
      <c r="W57" s="348">
        <f>SUM(U57:V57)</f>
        <v>0</v>
      </c>
      <c r="X57" s="85" t="str">
        <f>IFERROR(U57/K57,"")</f>
        <v/>
      </c>
      <c r="Y57" s="85" t="str">
        <f>IFERROR(W57/M57,"")</f>
        <v/>
      </c>
      <c r="Z57" s="86" t="str">
        <f>IF(P57=0,"",P57-U57)</f>
        <v/>
      </c>
      <c r="AA57" s="354" t="str">
        <f>IF(R57=0,"",R57-W57)</f>
        <v/>
      </c>
      <c r="AB57" s="85" t="str">
        <f>IFERROR(Z57/K57,"")</f>
        <v/>
      </c>
      <c r="AC57" s="352" t="str">
        <f>IFERROR(AA57/M57,"")</f>
        <v/>
      </c>
    </row>
    <row r="58" spans="1:29" x14ac:dyDescent="0.35">
      <c r="A58" s="101" t="s">
        <v>447</v>
      </c>
      <c r="B58" s="87"/>
      <c r="C58" s="87"/>
      <c r="D58" s="87"/>
      <c r="E58" s="87"/>
      <c r="F58" s="131"/>
      <c r="G58" s="134"/>
      <c r="H58" s="134"/>
      <c r="I58" s="104"/>
      <c r="J58" s="364">
        <f>'As-Filed Schedule 3'!J58</f>
        <v>0</v>
      </c>
      <c r="K58" s="410">
        <f>'As-Filed Schedule 3'!K58</f>
        <v>0</v>
      </c>
      <c r="L58" s="412">
        <f>SUMIFS(Adjustments!$G:$G,Adjustments!$H:$H,"3",Adjustments!$I:$I,'Schedule 3 Adjustments'!$K$13,Adjustments!$J:$J,"9a")</f>
        <v>0</v>
      </c>
      <c r="M58" s="414">
        <f>SUM(K58:L58)</f>
        <v>0</v>
      </c>
      <c r="N58" s="89"/>
      <c r="O58" s="349"/>
      <c r="P58" s="87"/>
      <c r="Q58" s="345"/>
      <c r="R58" s="349"/>
      <c r="S58" s="87"/>
      <c r="T58" s="349"/>
      <c r="U58" s="87"/>
      <c r="V58" s="345"/>
      <c r="W58" s="349"/>
      <c r="X58" s="87"/>
      <c r="Y58" s="349"/>
      <c r="Z58" s="87"/>
      <c r="AA58" s="349"/>
      <c r="AB58" s="87"/>
      <c r="AC58" s="349"/>
    </row>
    <row r="59" spans="1:29" x14ac:dyDescent="0.35">
      <c r="A59" s="102" t="s">
        <v>448</v>
      </c>
      <c r="B59" s="88"/>
      <c r="C59" s="88"/>
      <c r="D59" s="88"/>
      <c r="E59" s="88"/>
      <c r="F59" s="132"/>
      <c r="G59" s="135"/>
      <c r="H59" s="135"/>
      <c r="I59" s="105"/>
      <c r="J59" s="364">
        <f>'As-Filed Schedule 3'!J59</f>
        <v>0</v>
      </c>
      <c r="K59" s="410">
        <f>'As-Filed Schedule 3'!K59</f>
        <v>0</v>
      </c>
      <c r="L59" s="412">
        <f>SUMIFS(Adjustments!$G:$G,Adjustments!$H:$H,"3",Adjustments!$I:$I,'Schedule 3 Adjustments'!$K$13,Adjustments!$J:$J,"9b")</f>
        <v>0</v>
      </c>
      <c r="M59" s="414">
        <f>SUM(K59:L59)</f>
        <v>0</v>
      </c>
      <c r="N59" s="90"/>
      <c r="O59" s="350"/>
      <c r="P59" s="88"/>
      <c r="Q59" s="346"/>
      <c r="R59" s="350"/>
      <c r="S59" s="88"/>
      <c r="T59" s="350"/>
      <c r="U59" s="88"/>
      <c r="V59" s="346"/>
      <c r="W59" s="350"/>
      <c r="X59" s="88"/>
      <c r="Y59" s="350"/>
      <c r="Z59" s="88"/>
      <c r="AA59" s="350"/>
      <c r="AB59" s="88"/>
      <c r="AC59" s="350"/>
    </row>
    <row r="60" spans="1:29" x14ac:dyDescent="0.35">
      <c r="A60" s="103" t="s">
        <v>449</v>
      </c>
      <c r="B60" s="88"/>
      <c r="C60" s="88"/>
      <c r="D60" s="88"/>
      <c r="E60" s="88"/>
      <c r="F60" s="132"/>
      <c r="G60" s="135"/>
      <c r="H60" s="135"/>
      <c r="I60" s="105"/>
      <c r="J60" s="364">
        <f>'As-Filed Schedule 3'!J60</f>
        <v>0</v>
      </c>
      <c r="K60" s="410">
        <f>'As-Filed Schedule 3'!K60</f>
        <v>0</v>
      </c>
      <c r="L60" s="412">
        <f>SUMIFS(Adjustments!$G:$G,Adjustments!$H:$H,"3",Adjustments!$I:$I,'Schedule 3 Adjustments'!$K$13,Adjustments!$J:$J,"9c")</f>
        <v>0</v>
      </c>
      <c r="M60" s="414">
        <f>SUM(K60:L60)</f>
        <v>0</v>
      </c>
      <c r="N60" s="90"/>
      <c r="O60" s="350"/>
      <c r="P60" s="88"/>
      <c r="Q60" s="346"/>
      <c r="R60" s="350"/>
      <c r="S60" s="88"/>
      <c r="T60" s="350"/>
      <c r="U60" s="88"/>
      <c r="V60" s="346"/>
      <c r="W60" s="350"/>
      <c r="X60" s="88"/>
      <c r="Y60" s="350"/>
      <c r="Z60" s="88"/>
      <c r="AA60" s="350"/>
      <c r="AB60" s="88"/>
      <c r="AC60" s="350"/>
    </row>
    <row r="61" spans="1:29" x14ac:dyDescent="0.35">
      <c r="J61" s="100"/>
      <c r="N61" s="28"/>
      <c r="O61" s="342"/>
    </row>
    <row r="62" spans="1:29" s="34" customFormat="1" x14ac:dyDescent="0.35">
      <c r="A62" s="84">
        <v>10</v>
      </c>
      <c r="B62" s="529">
        <f>'As-Filed Schedule 3'!B62:C62</f>
        <v>0</v>
      </c>
      <c r="C62" s="530"/>
      <c r="D62" s="360">
        <f>'As-Filed Schedule 3'!D62</f>
        <v>0</v>
      </c>
      <c r="E62" s="360">
        <f>'As-Filed Schedule 3'!E62</f>
        <v>0</v>
      </c>
      <c r="F62" s="359">
        <f>'As-Filed Schedule 3'!F62</f>
        <v>0</v>
      </c>
      <c r="G62" s="358">
        <f>'As-Filed Schedule 3'!G62</f>
        <v>0</v>
      </c>
      <c r="H62" s="358">
        <f>'As-Filed Schedule 3'!H62</f>
        <v>0</v>
      </c>
      <c r="I62" s="138" t="str">
        <f>IF(B62=0,"",IF(AND(G62=0,H62=0),365,IF(AND(G62&gt;0,H62=0),$C$6-G62+1,IF(AND(G62=0,H62&gt;0),H62-($C$6-365),H62-G62+1))))</f>
        <v/>
      </c>
      <c r="J62" s="98"/>
      <c r="K62" s="409">
        <f>SUM(K63:K65)</f>
        <v>0</v>
      </c>
      <c r="L62" s="411">
        <f>SUM(L63:L65)</f>
        <v>0</v>
      </c>
      <c r="M62" s="413">
        <f>SUM(M63:M65)</f>
        <v>0</v>
      </c>
      <c r="N62" s="91" t="str">
        <f>IF(K62&gt;0,K62/(F62*I62),"")</f>
        <v/>
      </c>
      <c r="O62" s="341" t="str">
        <f>IF(M62&gt;0,M62/(F62*I62),"")</f>
        <v/>
      </c>
      <c r="P62" s="125">
        <f>'As-Filed Schedule 3'!M62</f>
        <v>0</v>
      </c>
      <c r="Q62" s="344">
        <f>SUMIFS(Adjustments!$G:$G,Adjustments!$H:$H,"3",Adjustments!$I:$I,'Schedule 3 Adjustments'!$P$13,Adjustments!$J:$J,'As-Filed Schedule 3'!A62)</f>
        <v>0</v>
      </c>
      <c r="R62" s="348">
        <f>SUM(P62:Q62)</f>
        <v>0</v>
      </c>
      <c r="S62" s="85" t="str">
        <f>IFERROR(P62/K62,"")</f>
        <v/>
      </c>
      <c r="T62" s="352" t="str">
        <f>IFERROR(R62/M62,"")</f>
        <v/>
      </c>
      <c r="U62" s="125">
        <f>'As-Filed Schedule 3'!O62</f>
        <v>0</v>
      </c>
      <c r="V62" s="344">
        <f>SUMIFS(Adjustments!$G:$G,Adjustments!$H:$H,"3",Adjustments!$I:$I,'Schedule 3 Adjustments'!$U$13,Adjustments!$J:$J,$A62)</f>
        <v>0</v>
      </c>
      <c r="W62" s="348">
        <f>SUM(U62:V62)</f>
        <v>0</v>
      </c>
      <c r="X62" s="85" t="str">
        <f>IFERROR(U62/K62,"")</f>
        <v/>
      </c>
      <c r="Y62" s="85" t="str">
        <f>IFERROR(W62/M62,"")</f>
        <v/>
      </c>
      <c r="Z62" s="86" t="str">
        <f>IF(P62=0,"",P62-U62)</f>
        <v/>
      </c>
      <c r="AA62" s="354" t="str">
        <f>IF(R62=0,"",R62-W62)</f>
        <v/>
      </c>
      <c r="AB62" s="85" t="str">
        <f>IFERROR(Z62/K62,"")</f>
        <v/>
      </c>
      <c r="AC62" s="352" t="str">
        <f>IFERROR(AA62/M62,"")</f>
        <v/>
      </c>
    </row>
    <row r="63" spans="1:29" x14ac:dyDescent="0.35">
      <c r="A63" s="101" t="s">
        <v>447</v>
      </c>
      <c r="B63" s="87"/>
      <c r="C63" s="87"/>
      <c r="D63" s="87"/>
      <c r="E63" s="87"/>
      <c r="F63" s="131"/>
      <c r="G63" s="134"/>
      <c r="H63" s="134"/>
      <c r="I63" s="104"/>
      <c r="J63" s="364">
        <f>'As-Filed Schedule 3'!J63</f>
        <v>0</v>
      </c>
      <c r="K63" s="410">
        <f>'As-Filed Schedule 3'!K63</f>
        <v>0</v>
      </c>
      <c r="L63" s="412">
        <f>SUMIFS(Adjustments!$G:$G,Adjustments!$H:$H,"3",Adjustments!$I:$I,'Schedule 3 Adjustments'!$K$13,Adjustments!$J:$J,"10a")</f>
        <v>0</v>
      </c>
      <c r="M63" s="414">
        <f>SUM(K63:L63)</f>
        <v>0</v>
      </c>
      <c r="N63" s="89"/>
      <c r="O63" s="349"/>
      <c r="P63" s="87"/>
      <c r="Q63" s="345"/>
      <c r="R63" s="349"/>
      <c r="S63" s="87"/>
      <c r="T63" s="349"/>
      <c r="U63" s="87"/>
      <c r="V63" s="345"/>
      <c r="W63" s="349"/>
      <c r="X63" s="87"/>
      <c r="Y63" s="349"/>
      <c r="Z63" s="87"/>
      <c r="AA63" s="349"/>
      <c r="AB63" s="87"/>
      <c r="AC63" s="349"/>
    </row>
    <row r="64" spans="1:29" x14ac:dyDescent="0.35">
      <c r="A64" s="102" t="s">
        <v>448</v>
      </c>
      <c r="B64" s="88"/>
      <c r="C64" s="88"/>
      <c r="D64" s="88"/>
      <c r="E64" s="88"/>
      <c r="F64" s="132"/>
      <c r="G64" s="135"/>
      <c r="H64" s="135"/>
      <c r="I64" s="105"/>
      <c r="J64" s="364">
        <f>'As-Filed Schedule 3'!J64</f>
        <v>0</v>
      </c>
      <c r="K64" s="410">
        <f>'As-Filed Schedule 3'!K64</f>
        <v>0</v>
      </c>
      <c r="L64" s="412">
        <f>SUMIFS(Adjustments!$G:$G,Adjustments!$H:$H,"3",Adjustments!$I:$I,'Schedule 3 Adjustments'!$K$13,Adjustments!$J:$J,"10b")</f>
        <v>0</v>
      </c>
      <c r="M64" s="414">
        <f>SUM(K64:L64)</f>
        <v>0</v>
      </c>
      <c r="N64" s="90"/>
      <c r="O64" s="350"/>
      <c r="P64" s="88"/>
      <c r="Q64" s="346"/>
      <c r="R64" s="350"/>
      <c r="S64" s="88"/>
      <c r="T64" s="350"/>
      <c r="U64" s="88"/>
      <c r="V64" s="346"/>
      <c r="W64" s="350"/>
      <c r="X64" s="88"/>
      <c r="Y64" s="350"/>
      <c r="Z64" s="88"/>
      <c r="AA64" s="350"/>
      <c r="AB64" s="88"/>
      <c r="AC64" s="350"/>
    </row>
    <row r="65" spans="1:29" x14ac:dyDescent="0.35">
      <c r="A65" s="103" t="s">
        <v>449</v>
      </c>
      <c r="B65" s="88"/>
      <c r="C65" s="88"/>
      <c r="D65" s="88"/>
      <c r="E65" s="88"/>
      <c r="F65" s="132"/>
      <c r="G65" s="135"/>
      <c r="H65" s="135"/>
      <c r="I65" s="105"/>
      <c r="J65" s="364">
        <f>'As-Filed Schedule 3'!J65</f>
        <v>0</v>
      </c>
      <c r="K65" s="410">
        <f>'As-Filed Schedule 3'!K65</f>
        <v>0</v>
      </c>
      <c r="L65" s="412">
        <f>SUMIFS(Adjustments!$G:$G,Adjustments!$H:$H,"3",Adjustments!$I:$I,'Schedule 3 Adjustments'!$K$13,Adjustments!$J:$J,"10c")</f>
        <v>0</v>
      </c>
      <c r="M65" s="414">
        <f>SUM(K65:L65)</f>
        <v>0</v>
      </c>
      <c r="N65" s="90"/>
      <c r="O65" s="350"/>
      <c r="P65" s="88"/>
      <c r="Q65" s="346"/>
      <c r="R65" s="350"/>
      <c r="S65" s="88"/>
      <c r="T65" s="350"/>
      <c r="U65" s="88"/>
      <c r="V65" s="346"/>
      <c r="W65" s="350"/>
      <c r="X65" s="88"/>
      <c r="Y65" s="350"/>
      <c r="Z65" s="88"/>
      <c r="AA65" s="350"/>
      <c r="AB65" s="88"/>
      <c r="AC65" s="350"/>
    </row>
    <row r="66" spans="1:29" x14ac:dyDescent="0.35">
      <c r="J66" s="100"/>
      <c r="N66" s="28"/>
      <c r="O66" s="342"/>
    </row>
    <row r="67" spans="1:29" s="34" customFormat="1" x14ac:dyDescent="0.35">
      <c r="A67" s="84">
        <v>11</v>
      </c>
      <c r="B67" s="529">
        <f>'As-Filed Schedule 3'!B67:C67</f>
        <v>0</v>
      </c>
      <c r="C67" s="530"/>
      <c r="D67" s="360">
        <f>'As-Filed Schedule 3'!D67</f>
        <v>0</v>
      </c>
      <c r="E67" s="360">
        <f>'As-Filed Schedule 3'!E67</f>
        <v>0</v>
      </c>
      <c r="F67" s="359">
        <f>'As-Filed Schedule 3'!F67</f>
        <v>0</v>
      </c>
      <c r="G67" s="358">
        <f>'As-Filed Schedule 3'!G67</f>
        <v>0</v>
      </c>
      <c r="H67" s="358">
        <f>'As-Filed Schedule 3'!H67</f>
        <v>0</v>
      </c>
      <c r="I67" s="138" t="str">
        <f>IF(B67=0,"",IF(AND(G67=0,H67=0),365,IF(AND(G67&gt;0,H67=0),$C$6-G67+1,IF(AND(G67=0,H67&gt;0),H67-($C$6-365),H67-G67+1))))</f>
        <v/>
      </c>
      <c r="J67" s="98"/>
      <c r="K67" s="409">
        <f>SUM(K68:K70)</f>
        <v>0</v>
      </c>
      <c r="L67" s="411">
        <f>SUM(L68:L70)</f>
        <v>0</v>
      </c>
      <c r="M67" s="413">
        <f>SUM(M68:M70)</f>
        <v>0</v>
      </c>
      <c r="N67" s="91" t="str">
        <f>IF(K67&gt;0,K67/(F67*I67),"")</f>
        <v/>
      </c>
      <c r="O67" s="341" t="str">
        <f>IF(M67&gt;0,M67/(F67*I67),"")</f>
        <v/>
      </c>
      <c r="P67" s="125">
        <f>'As-Filed Schedule 3'!M67</f>
        <v>0</v>
      </c>
      <c r="Q67" s="344">
        <f>SUMIFS(Adjustments!$G:$G,Adjustments!$H:$H,"3",Adjustments!$I:$I,'Schedule 3 Adjustments'!$P$13,Adjustments!$J:$J,'As-Filed Schedule 3'!A67)</f>
        <v>0</v>
      </c>
      <c r="R67" s="348">
        <f>SUM(P67:Q67)</f>
        <v>0</v>
      </c>
      <c r="S67" s="85" t="str">
        <f>IFERROR(P67/K67,"")</f>
        <v/>
      </c>
      <c r="T67" s="352" t="str">
        <f>IFERROR(R67/M67,"")</f>
        <v/>
      </c>
      <c r="U67" s="125">
        <f>'As-Filed Schedule 3'!O67</f>
        <v>0</v>
      </c>
      <c r="V67" s="344">
        <f>SUMIFS(Adjustments!$G:$G,Adjustments!$H:$H,"3",Adjustments!$I:$I,'Schedule 3 Adjustments'!$U$13,Adjustments!$J:$J,$A67)</f>
        <v>0</v>
      </c>
      <c r="W67" s="348">
        <f>SUM(U67:V67)</f>
        <v>0</v>
      </c>
      <c r="X67" s="85" t="str">
        <f>IFERROR(U67/K67,"")</f>
        <v/>
      </c>
      <c r="Y67" s="85" t="str">
        <f>IFERROR(W67/M67,"")</f>
        <v/>
      </c>
      <c r="Z67" s="86" t="str">
        <f>IF(P67=0,"",P67-U67)</f>
        <v/>
      </c>
      <c r="AA67" s="354" t="str">
        <f>IF(R67=0,"",R67-W67)</f>
        <v/>
      </c>
      <c r="AB67" s="85" t="str">
        <f>IFERROR(Z67/K67,"")</f>
        <v/>
      </c>
      <c r="AC67" s="352" t="str">
        <f>IFERROR(AA67/M67,"")</f>
        <v/>
      </c>
    </row>
    <row r="68" spans="1:29" x14ac:dyDescent="0.35">
      <c r="A68" s="101" t="s">
        <v>447</v>
      </c>
      <c r="B68" s="87"/>
      <c r="C68" s="87"/>
      <c r="D68" s="87"/>
      <c r="E68" s="87"/>
      <c r="F68" s="131"/>
      <c r="G68" s="134"/>
      <c r="H68" s="134"/>
      <c r="I68" s="104"/>
      <c r="J68" s="364">
        <f>'As-Filed Schedule 3'!J68</f>
        <v>0</v>
      </c>
      <c r="K68" s="410">
        <f>'As-Filed Schedule 3'!K68</f>
        <v>0</v>
      </c>
      <c r="L68" s="412">
        <f>SUMIFS(Adjustments!$G:$G,Adjustments!$H:$H,"3",Adjustments!$I:$I,'Schedule 3 Adjustments'!$K$13,Adjustments!$J:$J,"11a")</f>
        <v>0</v>
      </c>
      <c r="M68" s="414">
        <f>SUM(K68:L68)</f>
        <v>0</v>
      </c>
      <c r="N68" s="89"/>
      <c r="O68" s="349"/>
      <c r="P68" s="87"/>
      <c r="Q68" s="345"/>
      <c r="R68" s="349"/>
      <c r="S68" s="87"/>
      <c r="T68" s="349"/>
      <c r="U68" s="87"/>
      <c r="V68" s="345"/>
      <c r="W68" s="349"/>
      <c r="X68" s="87"/>
      <c r="Y68" s="349"/>
      <c r="Z68" s="87"/>
      <c r="AA68" s="349"/>
      <c r="AB68" s="87"/>
      <c r="AC68" s="349"/>
    </row>
    <row r="69" spans="1:29" x14ac:dyDescent="0.35">
      <c r="A69" s="102" t="s">
        <v>448</v>
      </c>
      <c r="B69" s="88"/>
      <c r="C69" s="88"/>
      <c r="D69" s="88"/>
      <c r="E69" s="88"/>
      <c r="F69" s="132"/>
      <c r="G69" s="135"/>
      <c r="H69" s="135"/>
      <c r="I69" s="105"/>
      <c r="J69" s="364">
        <f>'As-Filed Schedule 3'!J69</f>
        <v>0</v>
      </c>
      <c r="K69" s="410">
        <f>'As-Filed Schedule 3'!K69</f>
        <v>0</v>
      </c>
      <c r="L69" s="412">
        <f>SUMIFS(Adjustments!$G:$G,Adjustments!$H:$H,"3",Adjustments!$I:$I,'Schedule 3 Adjustments'!$K$13,Adjustments!$J:$J,"11b")</f>
        <v>0</v>
      </c>
      <c r="M69" s="414">
        <f>SUM(K69:L69)</f>
        <v>0</v>
      </c>
      <c r="N69" s="90"/>
      <c r="O69" s="350"/>
      <c r="P69" s="88"/>
      <c r="Q69" s="346"/>
      <c r="R69" s="350"/>
      <c r="S69" s="88"/>
      <c r="T69" s="350"/>
      <c r="U69" s="88"/>
      <c r="V69" s="346"/>
      <c r="W69" s="350"/>
      <c r="X69" s="88"/>
      <c r="Y69" s="350"/>
      <c r="Z69" s="88"/>
      <c r="AA69" s="350"/>
      <c r="AB69" s="88"/>
      <c r="AC69" s="350"/>
    </row>
    <row r="70" spans="1:29" x14ac:dyDescent="0.35">
      <c r="A70" s="103" t="s">
        <v>449</v>
      </c>
      <c r="B70" s="88"/>
      <c r="C70" s="88"/>
      <c r="D70" s="88"/>
      <c r="E70" s="88"/>
      <c r="F70" s="132"/>
      <c r="G70" s="135"/>
      <c r="H70" s="135"/>
      <c r="I70" s="105"/>
      <c r="J70" s="364">
        <f>'As-Filed Schedule 3'!J70</f>
        <v>0</v>
      </c>
      <c r="K70" s="410">
        <f>'As-Filed Schedule 3'!K70</f>
        <v>0</v>
      </c>
      <c r="L70" s="412">
        <f>SUMIFS(Adjustments!$G:$G,Adjustments!$H:$H,"3",Adjustments!$I:$I,'Schedule 3 Adjustments'!$K$13,Adjustments!$J:$J,"11c")</f>
        <v>0</v>
      </c>
      <c r="M70" s="414">
        <f>SUM(K70:L70)</f>
        <v>0</v>
      </c>
      <c r="N70" s="90"/>
      <c r="O70" s="350"/>
      <c r="P70" s="88"/>
      <c r="Q70" s="346"/>
      <c r="R70" s="350"/>
      <c r="S70" s="88"/>
      <c r="T70" s="350"/>
      <c r="U70" s="88"/>
      <c r="V70" s="346"/>
      <c r="W70" s="350"/>
      <c r="X70" s="88"/>
      <c r="Y70" s="350"/>
      <c r="Z70" s="88"/>
      <c r="AA70" s="350"/>
      <c r="AB70" s="88"/>
      <c r="AC70" s="350"/>
    </row>
    <row r="71" spans="1:29" x14ac:dyDescent="0.35">
      <c r="J71" s="100"/>
      <c r="N71" s="28"/>
      <c r="O71" s="342"/>
    </row>
    <row r="72" spans="1:29" s="34" customFormat="1" x14ac:dyDescent="0.35">
      <c r="A72" s="84">
        <v>12</v>
      </c>
      <c r="B72" s="529">
        <f>'As-Filed Schedule 3'!B72:C72</f>
        <v>0</v>
      </c>
      <c r="C72" s="530"/>
      <c r="D72" s="360">
        <f>'As-Filed Schedule 3'!D72</f>
        <v>0</v>
      </c>
      <c r="E72" s="360">
        <f>'As-Filed Schedule 3'!E72</f>
        <v>0</v>
      </c>
      <c r="F72" s="359">
        <f>'As-Filed Schedule 3'!F72</f>
        <v>0</v>
      </c>
      <c r="G72" s="358">
        <f>'As-Filed Schedule 3'!G72</f>
        <v>0</v>
      </c>
      <c r="H72" s="358">
        <f>'As-Filed Schedule 3'!H72</f>
        <v>0</v>
      </c>
      <c r="I72" s="138" t="str">
        <f>IF(B72=0,"",IF(AND(G72=0,H72=0),365,IF(AND(G72&gt;0,H72=0),$C$6-G72+1,IF(AND(G72=0,H72&gt;0),H72-($C$6-365),H72-G72+1))))</f>
        <v/>
      </c>
      <c r="J72" s="98"/>
      <c r="K72" s="409">
        <f>SUM(K73:K75)</f>
        <v>0</v>
      </c>
      <c r="L72" s="411">
        <f>SUM(L73:L75)</f>
        <v>0</v>
      </c>
      <c r="M72" s="413">
        <f>SUM(M73:M75)</f>
        <v>0</v>
      </c>
      <c r="N72" s="91" t="str">
        <f>IF(K72&gt;0,K72/(F72*I72),"")</f>
        <v/>
      </c>
      <c r="O72" s="341" t="str">
        <f>IF(M72&gt;0,M72/(F72*I72),"")</f>
        <v/>
      </c>
      <c r="P72" s="125">
        <f>'As-Filed Schedule 3'!M72</f>
        <v>0</v>
      </c>
      <c r="Q72" s="344">
        <f>SUMIFS(Adjustments!$G:$G,Adjustments!$H:$H,"3",Adjustments!$I:$I,'Schedule 3 Adjustments'!$P$13,Adjustments!$J:$J,'As-Filed Schedule 3'!A72)</f>
        <v>0</v>
      </c>
      <c r="R72" s="348">
        <f>SUM(P72:Q72)</f>
        <v>0</v>
      </c>
      <c r="S72" s="85" t="str">
        <f>IFERROR(P72/K72,"")</f>
        <v/>
      </c>
      <c r="T72" s="352" t="str">
        <f>IFERROR(R72/M72,"")</f>
        <v/>
      </c>
      <c r="U72" s="125">
        <f>'As-Filed Schedule 3'!O72</f>
        <v>0</v>
      </c>
      <c r="V72" s="344">
        <f>SUMIFS(Adjustments!$G:$G,Adjustments!$H:$H,"3",Adjustments!$I:$I,'Schedule 3 Adjustments'!$U$13,Adjustments!$J:$J,$A72)</f>
        <v>0</v>
      </c>
      <c r="W72" s="348">
        <f>SUM(U72:V72)</f>
        <v>0</v>
      </c>
      <c r="X72" s="85" t="str">
        <f>IFERROR(U72/K72,"")</f>
        <v/>
      </c>
      <c r="Y72" s="85" t="str">
        <f>IFERROR(W72/M72,"")</f>
        <v/>
      </c>
      <c r="Z72" s="86" t="str">
        <f>IF(P72=0,"",P72-U72)</f>
        <v/>
      </c>
      <c r="AA72" s="354" t="str">
        <f>IF(R72=0,"",R72-W72)</f>
        <v/>
      </c>
      <c r="AB72" s="85" t="str">
        <f>IFERROR(Z72/K72,"")</f>
        <v/>
      </c>
      <c r="AC72" s="352" t="str">
        <f>IFERROR(AA72/M72,"")</f>
        <v/>
      </c>
    </row>
    <row r="73" spans="1:29" x14ac:dyDescent="0.35">
      <c r="A73" s="101" t="s">
        <v>447</v>
      </c>
      <c r="B73" s="87"/>
      <c r="C73" s="87"/>
      <c r="D73" s="87"/>
      <c r="E73" s="87"/>
      <c r="F73" s="131"/>
      <c r="G73" s="134"/>
      <c r="H73" s="134"/>
      <c r="I73" s="104"/>
      <c r="J73" s="364">
        <f>'As-Filed Schedule 3'!J73</f>
        <v>0</v>
      </c>
      <c r="K73" s="410">
        <f>'As-Filed Schedule 3'!K73</f>
        <v>0</v>
      </c>
      <c r="L73" s="412">
        <f>SUMIFS(Adjustments!$G:$G,Adjustments!$H:$H,"3",Adjustments!$I:$I,'Schedule 3 Adjustments'!$K$13,Adjustments!$J:$J,"12a")</f>
        <v>0</v>
      </c>
      <c r="M73" s="414">
        <f>SUM(K73:L73)</f>
        <v>0</v>
      </c>
      <c r="N73" s="89"/>
      <c r="O73" s="349"/>
      <c r="P73" s="87"/>
      <c r="Q73" s="345"/>
      <c r="R73" s="349"/>
      <c r="S73" s="87"/>
      <c r="T73" s="349"/>
      <c r="U73" s="87"/>
      <c r="V73" s="345"/>
      <c r="W73" s="349"/>
      <c r="X73" s="87"/>
      <c r="Y73" s="349"/>
      <c r="Z73" s="87"/>
      <c r="AA73" s="349"/>
      <c r="AB73" s="87"/>
      <c r="AC73" s="349"/>
    </row>
    <row r="74" spans="1:29" x14ac:dyDescent="0.35">
      <c r="A74" s="102" t="s">
        <v>448</v>
      </c>
      <c r="B74" s="88"/>
      <c r="C74" s="88"/>
      <c r="D74" s="88"/>
      <c r="E74" s="88"/>
      <c r="F74" s="132"/>
      <c r="G74" s="135"/>
      <c r="H74" s="135"/>
      <c r="I74" s="105"/>
      <c r="J74" s="364">
        <f>'As-Filed Schedule 3'!J74</f>
        <v>0</v>
      </c>
      <c r="K74" s="410">
        <f>'As-Filed Schedule 3'!K74</f>
        <v>0</v>
      </c>
      <c r="L74" s="412">
        <f>SUMIFS(Adjustments!$G:$G,Adjustments!$H:$H,"3",Adjustments!$I:$I,'Schedule 3 Adjustments'!$K$13,Adjustments!$J:$J,"12b")</f>
        <v>0</v>
      </c>
      <c r="M74" s="414">
        <f>SUM(K74:L74)</f>
        <v>0</v>
      </c>
      <c r="N74" s="90"/>
      <c r="O74" s="350"/>
      <c r="P74" s="88"/>
      <c r="Q74" s="346"/>
      <c r="R74" s="350"/>
      <c r="S74" s="88"/>
      <c r="T74" s="350"/>
      <c r="U74" s="88"/>
      <c r="V74" s="346"/>
      <c r="W74" s="350"/>
      <c r="X74" s="88"/>
      <c r="Y74" s="350"/>
      <c r="Z74" s="88"/>
      <c r="AA74" s="350"/>
      <c r="AB74" s="88"/>
      <c r="AC74" s="350"/>
    </row>
    <row r="75" spans="1:29" x14ac:dyDescent="0.35">
      <c r="A75" s="103" t="s">
        <v>449</v>
      </c>
      <c r="B75" s="88"/>
      <c r="C75" s="88"/>
      <c r="D75" s="88"/>
      <c r="E75" s="88"/>
      <c r="F75" s="132"/>
      <c r="G75" s="135"/>
      <c r="H75" s="135"/>
      <c r="I75" s="105"/>
      <c r="J75" s="364">
        <f>'As-Filed Schedule 3'!J75</f>
        <v>0</v>
      </c>
      <c r="K75" s="410">
        <f>'As-Filed Schedule 3'!K75</f>
        <v>0</v>
      </c>
      <c r="L75" s="412">
        <f>SUMIFS(Adjustments!$G:$G,Adjustments!$H:$H,"3",Adjustments!$I:$I,'Schedule 3 Adjustments'!$K$13,Adjustments!$J:$J,"12c")</f>
        <v>0</v>
      </c>
      <c r="M75" s="414">
        <f>SUM(K75:L75)</f>
        <v>0</v>
      </c>
      <c r="N75" s="90"/>
      <c r="O75" s="350"/>
      <c r="P75" s="88"/>
      <c r="Q75" s="346"/>
      <c r="R75" s="350"/>
      <c r="S75" s="88"/>
      <c r="T75" s="350"/>
      <c r="U75" s="88"/>
      <c r="V75" s="346"/>
      <c r="W75" s="350"/>
      <c r="X75" s="88"/>
      <c r="Y75" s="350"/>
      <c r="Z75" s="88"/>
      <c r="AA75" s="350"/>
      <c r="AB75" s="88"/>
      <c r="AC75" s="350"/>
    </row>
    <row r="76" spans="1:29" x14ac:dyDescent="0.35">
      <c r="J76" s="100"/>
      <c r="N76" s="28"/>
      <c r="O76" s="342"/>
    </row>
    <row r="77" spans="1:29" s="34" customFormat="1" x14ac:dyDescent="0.35">
      <c r="A77" s="84">
        <v>13</v>
      </c>
      <c r="B77" s="529">
        <f>'As-Filed Schedule 3'!B77:C77</f>
        <v>0</v>
      </c>
      <c r="C77" s="530"/>
      <c r="D77" s="360">
        <f>'As-Filed Schedule 3'!D77</f>
        <v>0</v>
      </c>
      <c r="E77" s="360">
        <f>'As-Filed Schedule 3'!E77</f>
        <v>0</v>
      </c>
      <c r="F77" s="359">
        <f>'As-Filed Schedule 3'!F77</f>
        <v>0</v>
      </c>
      <c r="G77" s="358">
        <f>'As-Filed Schedule 3'!G77</f>
        <v>0</v>
      </c>
      <c r="H77" s="358">
        <f>'As-Filed Schedule 3'!H77</f>
        <v>0</v>
      </c>
      <c r="I77" s="138" t="str">
        <f>IF(B77=0,"",IF(AND(G77=0,H77=0),365,IF(AND(G77&gt;0,H77=0),$C$6-G77+1,IF(AND(G77=0,H77&gt;0),H77-($C$6-365),H77-G77+1))))</f>
        <v/>
      </c>
      <c r="J77" s="98"/>
      <c r="K77" s="409">
        <f>SUM(K78:K80)</f>
        <v>0</v>
      </c>
      <c r="L77" s="411">
        <f>SUM(L78:L80)</f>
        <v>0</v>
      </c>
      <c r="M77" s="413">
        <f>SUM(M78:M80)</f>
        <v>0</v>
      </c>
      <c r="N77" s="91" t="str">
        <f>IF(K77&gt;0,K77/(F77*I77),"")</f>
        <v/>
      </c>
      <c r="O77" s="341" t="str">
        <f>IF(M77&gt;0,M77/(F77*I77),"")</f>
        <v/>
      </c>
      <c r="P77" s="125">
        <f>'As-Filed Schedule 3'!M77</f>
        <v>0</v>
      </c>
      <c r="Q77" s="344">
        <f>SUMIFS(Adjustments!$G:$G,Adjustments!$H:$H,"3",Adjustments!$I:$I,'Schedule 3 Adjustments'!$P$13,Adjustments!$J:$J,'As-Filed Schedule 3'!A77)</f>
        <v>0</v>
      </c>
      <c r="R77" s="348">
        <f>SUM(P77:Q77)</f>
        <v>0</v>
      </c>
      <c r="S77" s="85" t="str">
        <f>IFERROR(P77/K77,"")</f>
        <v/>
      </c>
      <c r="T77" s="352" t="str">
        <f>IFERROR(R77/M77,"")</f>
        <v/>
      </c>
      <c r="U77" s="125">
        <f>'As-Filed Schedule 3'!O77</f>
        <v>0</v>
      </c>
      <c r="V77" s="344">
        <f>SUMIFS(Adjustments!$G:$G,Adjustments!$H:$H,"3",Adjustments!$I:$I,'Schedule 3 Adjustments'!$U$13,Adjustments!$J:$J,$A77)</f>
        <v>0</v>
      </c>
      <c r="W77" s="348">
        <f>SUM(U77:V77)</f>
        <v>0</v>
      </c>
      <c r="X77" s="85" t="str">
        <f>IFERROR(U77/K77,"")</f>
        <v/>
      </c>
      <c r="Y77" s="85" t="str">
        <f>IFERROR(W77/M77,"")</f>
        <v/>
      </c>
      <c r="Z77" s="86" t="str">
        <f>IF(P77=0,"",P77-U77)</f>
        <v/>
      </c>
      <c r="AA77" s="354" t="str">
        <f>IF(R77=0,"",R77-W77)</f>
        <v/>
      </c>
      <c r="AB77" s="85" t="str">
        <f>IFERROR(Z77/K77,"")</f>
        <v/>
      </c>
      <c r="AC77" s="352" t="str">
        <f>IFERROR(AA77/M77,"")</f>
        <v/>
      </c>
    </row>
    <row r="78" spans="1:29" x14ac:dyDescent="0.35">
      <c r="A78" s="101" t="s">
        <v>447</v>
      </c>
      <c r="B78" s="87"/>
      <c r="C78" s="87"/>
      <c r="D78" s="87"/>
      <c r="E78" s="87"/>
      <c r="F78" s="131"/>
      <c r="G78" s="134"/>
      <c r="H78" s="134"/>
      <c r="I78" s="104"/>
      <c r="J78" s="364">
        <f>'As-Filed Schedule 3'!J78</f>
        <v>0</v>
      </c>
      <c r="K78" s="410">
        <f>'As-Filed Schedule 3'!K78</f>
        <v>0</v>
      </c>
      <c r="L78" s="412">
        <f>SUMIFS(Adjustments!$G:$G,Adjustments!$H:$H,"3",Adjustments!$I:$I,'Schedule 3 Adjustments'!$K$13,Adjustments!$J:$J,"13a")</f>
        <v>0</v>
      </c>
      <c r="M78" s="414">
        <f>SUM(K78:L78)</f>
        <v>0</v>
      </c>
      <c r="N78" s="89"/>
      <c r="O78" s="349"/>
      <c r="P78" s="87"/>
      <c r="Q78" s="345"/>
      <c r="R78" s="349"/>
      <c r="S78" s="87"/>
      <c r="T78" s="349"/>
      <c r="U78" s="87"/>
      <c r="V78" s="345"/>
      <c r="W78" s="349"/>
      <c r="X78" s="87"/>
      <c r="Y78" s="349"/>
      <c r="Z78" s="87"/>
      <c r="AA78" s="349"/>
      <c r="AB78" s="87"/>
      <c r="AC78" s="349"/>
    </row>
    <row r="79" spans="1:29" x14ac:dyDescent="0.35">
      <c r="A79" s="102" t="s">
        <v>448</v>
      </c>
      <c r="B79" s="88"/>
      <c r="C79" s="88"/>
      <c r="D79" s="88"/>
      <c r="E79" s="88"/>
      <c r="F79" s="132"/>
      <c r="G79" s="135"/>
      <c r="H79" s="135"/>
      <c r="I79" s="105"/>
      <c r="J79" s="364">
        <f>'As-Filed Schedule 3'!J79</f>
        <v>0</v>
      </c>
      <c r="K79" s="410">
        <f>'As-Filed Schedule 3'!K79</f>
        <v>0</v>
      </c>
      <c r="L79" s="412">
        <f>SUMIFS(Adjustments!$G:$G,Adjustments!$H:$H,"3",Adjustments!$I:$I,'Schedule 3 Adjustments'!$K$13,Adjustments!$J:$J,"13b")</f>
        <v>0</v>
      </c>
      <c r="M79" s="414">
        <f>SUM(K79:L79)</f>
        <v>0</v>
      </c>
      <c r="N79" s="90"/>
      <c r="O79" s="350"/>
      <c r="P79" s="88"/>
      <c r="Q79" s="346"/>
      <c r="R79" s="350"/>
      <c r="S79" s="88"/>
      <c r="T79" s="350"/>
      <c r="U79" s="88"/>
      <c r="V79" s="346"/>
      <c r="W79" s="350"/>
      <c r="X79" s="88"/>
      <c r="Y79" s="350"/>
      <c r="Z79" s="88"/>
      <c r="AA79" s="350"/>
      <c r="AB79" s="88"/>
      <c r="AC79" s="350"/>
    </row>
    <row r="80" spans="1:29" x14ac:dyDescent="0.35">
      <c r="A80" s="103" t="s">
        <v>449</v>
      </c>
      <c r="B80" s="88"/>
      <c r="C80" s="88"/>
      <c r="D80" s="88"/>
      <c r="E80" s="88"/>
      <c r="F80" s="132"/>
      <c r="G80" s="135"/>
      <c r="H80" s="135"/>
      <c r="I80" s="105"/>
      <c r="J80" s="364">
        <f>'As-Filed Schedule 3'!J80</f>
        <v>0</v>
      </c>
      <c r="K80" s="410">
        <f>'As-Filed Schedule 3'!K80</f>
        <v>0</v>
      </c>
      <c r="L80" s="412">
        <f>SUMIFS(Adjustments!$G:$G,Adjustments!$H:$H,"3",Adjustments!$I:$I,'Schedule 3 Adjustments'!$K$13,Adjustments!$J:$J,"13c")</f>
        <v>0</v>
      </c>
      <c r="M80" s="414">
        <f>SUM(K80:L80)</f>
        <v>0</v>
      </c>
      <c r="N80" s="90"/>
      <c r="O80" s="350"/>
      <c r="P80" s="88"/>
      <c r="Q80" s="346"/>
      <c r="R80" s="350"/>
      <c r="S80" s="88"/>
      <c r="T80" s="350"/>
      <c r="U80" s="88"/>
      <c r="V80" s="346"/>
      <c r="W80" s="350"/>
      <c r="X80" s="88"/>
      <c r="Y80" s="350"/>
      <c r="Z80" s="88"/>
      <c r="AA80" s="350"/>
      <c r="AB80" s="88"/>
      <c r="AC80" s="350"/>
    </row>
    <row r="81" spans="1:29" x14ac:dyDescent="0.35">
      <c r="J81" s="100"/>
      <c r="N81" s="28"/>
      <c r="O81" s="342"/>
    </row>
    <row r="82" spans="1:29" s="34" customFormat="1" x14ac:dyDescent="0.35">
      <c r="A82" s="84">
        <v>14</v>
      </c>
      <c r="B82" s="529">
        <f>'As-Filed Schedule 3'!B82:C82</f>
        <v>0</v>
      </c>
      <c r="C82" s="530"/>
      <c r="D82" s="360">
        <f>'As-Filed Schedule 3'!D82</f>
        <v>0</v>
      </c>
      <c r="E82" s="360">
        <f>'As-Filed Schedule 3'!E82</f>
        <v>0</v>
      </c>
      <c r="F82" s="359">
        <f>'As-Filed Schedule 3'!F82</f>
        <v>0</v>
      </c>
      <c r="G82" s="358">
        <f>'As-Filed Schedule 3'!G82</f>
        <v>0</v>
      </c>
      <c r="H82" s="358">
        <f>'As-Filed Schedule 3'!H82</f>
        <v>0</v>
      </c>
      <c r="I82" s="138" t="str">
        <f>IF(B82=0,"",IF(AND(G82=0,H82=0),365,IF(AND(G82&gt;0,H82=0),$C$6-G82+1,IF(AND(G82=0,H82&gt;0),H82-($C$6-365),H82-G82+1))))</f>
        <v/>
      </c>
      <c r="J82" s="98"/>
      <c r="K82" s="409">
        <f>SUM(K83:K85)</f>
        <v>0</v>
      </c>
      <c r="L82" s="411">
        <f>SUM(L83:L85)</f>
        <v>0</v>
      </c>
      <c r="M82" s="413">
        <f>SUM(M83:M85)</f>
        <v>0</v>
      </c>
      <c r="N82" s="91" t="str">
        <f>IF(K82&gt;0,K82/(F82*I82),"")</f>
        <v/>
      </c>
      <c r="O82" s="341" t="str">
        <f>IF(M82&gt;0,M82/(F82*I82),"")</f>
        <v/>
      </c>
      <c r="P82" s="125">
        <f>'As-Filed Schedule 3'!M82</f>
        <v>0</v>
      </c>
      <c r="Q82" s="344">
        <f>SUMIFS(Adjustments!$G:$G,Adjustments!$H:$H,"3",Adjustments!$I:$I,'Schedule 3 Adjustments'!$P$13,Adjustments!$J:$J,'As-Filed Schedule 3'!A82)</f>
        <v>0</v>
      </c>
      <c r="R82" s="348">
        <f>SUM(P82:Q82)</f>
        <v>0</v>
      </c>
      <c r="S82" s="85" t="str">
        <f>IFERROR(P82/K82,"")</f>
        <v/>
      </c>
      <c r="T82" s="352" t="str">
        <f>IFERROR(R82/M82,"")</f>
        <v/>
      </c>
      <c r="U82" s="125">
        <f>'As-Filed Schedule 3'!O82</f>
        <v>0</v>
      </c>
      <c r="V82" s="344">
        <f>SUMIFS(Adjustments!$G:$G,Adjustments!$H:$H,"3",Adjustments!$I:$I,'Schedule 3 Adjustments'!$U$13,Adjustments!$J:$J,$A82)</f>
        <v>0</v>
      </c>
      <c r="W82" s="348">
        <f>SUM(U82:V82)</f>
        <v>0</v>
      </c>
      <c r="X82" s="85" t="str">
        <f>IFERROR(U82/K82,"")</f>
        <v/>
      </c>
      <c r="Y82" s="85" t="str">
        <f>IFERROR(W82/M82,"")</f>
        <v/>
      </c>
      <c r="Z82" s="86" t="str">
        <f>IF(P82=0,"",P82-U82)</f>
        <v/>
      </c>
      <c r="AA82" s="354" t="str">
        <f>IF(R82=0,"",R82-W82)</f>
        <v/>
      </c>
      <c r="AB82" s="85" t="str">
        <f>IFERROR(Z82/K82,"")</f>
        <v/>
      </c>
      <c r="AC82" s="352" t="str">
        <f>IFERROR(AA82/M82,"")</f>
        <v/>
      </c>
    </row>
    <row r="83" spans="1:29" x14ac:dyDescent="0.35">
      <c r="A83" s="101" t="s">
        <v>447</v>
      </c>
      <c r="B83" s="87"/>
      <c r="C83" s="87"/>
      <c r="D83" s="87"/>
      <c r="E83" s="87"/>
      <c r="F83" s="131"/>
      <c r="G83" s="134"/>
      <c r="H83" s="134"/>
      <c r="I83" s="104"/>
      <c r="J83" s="364">
        <f>'As-Filed Schedule 3'!J83</f>
        <v>0</v>
      </c>
      <c r="K83" s="410">
        <f>'As-Filed Schedule 3'!K83</f>
        <v>0</v>
      </c>
      <c r="L83" s="412">
        <f>SUMIFS(Adjustments!$G:$G,Adjustments!$H:$H,"3",Adjustments!$I:$I,'Schedule 3 Adjustments'!$K$13,Adjustments!$J:$J,"14a")</f>
        <v>0</v>
      </c>
      <c r="M83" s="414">
        <f>SUM(K83:L83)</f>
        <v>0</v>
      </c>
      <c r="N83" s="89"/>
      <c r="O83" s="349"/>
      <c r="P83" s="87"/>
      <c r="Q83" s="345"/>
      <c r="R83" s="349"/>
      <c r="S83" s="87"/>
      <c r="T83" s="349"/>
      <c r="U83" s="87"/>
      <c r="V83" s="345"/>
      <c r="W83" s="349"/>
      <c r="X83" s="87"/>
      <c r="Y83" s="349"/>
      <c r="Z83" s="87"/>
      <c r="AA83" s="349"/>
      <c r="AB83" s="87"/>
      <c r="AC83" s="349"/>
    </row>
    <row r="84" spans="1:29" x14ac:dyDescent="0.35">
      <c r="A84" s="102" t="s">
        <v>448</v>
      </c>
      <c r="B84" s="88"/>
      <c r="C84" s="88"/>
      <c r="D84" s="88"/>
      <c r="E84" s="88"/>
      <c r="F84" s="132"/>
      <c r="G84" s="135"/>
      <c r="H84" s="135"/>
      <c r="I84" s="105"/>
      <c r="J84" s="364">
        <f>'As-Filed Schedule 3'!J84</f>
        <v>0</v>
      </c>
      <c r="K84" s="410">
        <f>'As-Filed Schedule 3'!K84</f>
        <v>0</v>
      </c>
      <c r="L84" s="412">
        <f>SUMIFS(Adjustments!$G:$G,Adjustments!$H:$H,"3",Adjustments!$I:$I,'Schedule 3 Adjustments'!$K$13,Adjustments!$J:$J,"14b")</f>
        <v>0</v>
      </c>
      <c r="M84" s="414">
        <f>SUM(K84:L84)</f>
        <v>0</v>
      </c>
      <c r="N84" s="90"/>
      <c r="O84" s="350"/>
      <c r="P84" s="88"/>
      <c r="Q84" s="346"/>
      <c r="R84" s="350"/>
      <c r="S84" s="88"/>
      <c r="T84" s="350"/>
      <c r="U84" s="88"/>
      <c r="V84" s="346"/>
      <c r="W84" s="350"/>
      <c r="X84" s="88"/>
      <c r="Y84" s="350"/>
      <c r="Z84" s="88"/>
      <c r="AA84" s="350"/>
      <c r="AB84" s="88"/>
      <c r="AC84" s="350"/>
    </row>
    <row r="85" spans="1:29" x14ac:dyDescent="0.35">
      <c r="A85" s="103" t="s">
        <v>449</v>
      </c>
      <c r="B85" s="88"/>
      <c r="C85" s="88"/>
      <c r="D85" s="88"/>
      <c r="E85" s="88"/>
      <c r="F85" s="132"/>
      <c r="G85" s="135"/>
      <c r="H85" s="135"/>
      <c r="I85" s="105"/>
      <c r="J85" s="364">
        <f>'As-Filed Schedule 3'!J85</f>
        <v>0</v>
      </c>
      <c r="K85" s="410">
        <f>'As-Filed Schedule 3'!K85</f>
        <v>0</v>
      </c>
      <c r="L85" s="412">
        <f>SUMIFS(Adjustments!$G:$G,Adjustments!$H:$H,"3",Adjustments!$I:$I,'Schedule 3 Adjustments'!$K$13,Adjustments!$J:$J,"14c")</f>
        <v>0</v>
      </c>
      <c r="M85" s="414">
        <f>SUM(K85:L85)</f>
        <v>0</v>
      </c>
      <c r="N85" s="90"/>
      <c r="O85" s="350"/>
      <c r="P85" s="88"/>
      <c r="Q85" s="346"/>
      <c r="R85" s="350"/>
      <c r="S85" s="88"/>
      <c r="T85" s="350"/>
      <c r="U85" s="88"/>
      <c r="V85" s="346"/>
      <c r="W85" s="350"/>
      <c r="X85" s="88"/>
      <c r="Y85" s="350"/>
      <c r="Z85" s="88"/>
      <c r="AA85" s="350"/>
      <c r="AB85" s="88"/>
      <c r="AC85" s="350"/>
    </row>
    <row r="86" spans="1:29" x14ac:dyDescent="0.35">
      <c r="J86" s="100"/>
      <c r="N86" s="28"/>
      <c r="O86" s="342"/>
    </row>
    <row r="87" spans="1:29" s="34" customFormat="1" x14ac:dyDescent="0.35">
      <c r="A87" s="84">
        <v>15</v>
      </c>
      <c r="B87" s="529">
        <f>'As-Filed Schedule 3'!B87:C87</f>
        <v>0</v>
      </c>
      <c r="C87" s="530"/>
      <c r="D87" s="360">
        <f>'As-Filed Schedule 3'!D87</f>
        <v>0</v>
      </c>
      <c r="E87" s="360">
        <f>'As-Filed Schedule 3'!E87</f>
        <v>0</v>
      </c>
      <c r="F87" s="359">
        <f>'As-Filed Schedule 3'!F87</f>
        <v>0</v>
      </c>
      <c r="G87" s="358">
        <f>'As-Filed Schedule 3'!G87</f>
        <v>0</v>
      </c>
      <c r="H87" s="358">
        <f>'As-Filed Schedule 3'!H87</f>
        <v>0</v>
      </c>
      <c r="I87" s="138" t="str">
        <f>IF(B87=0,"",IF(AND(G87=0,H87=0),365,IF(AND(G87&gt;0,H87=0),$C$6-G87+1,IF(AND(G87=0,H87&gt;0),H87-($C$6-365),H87-G87+1))))</f>
        <v/>
      </c>
      <c r="J87" s="98"/>
      <c r="K87" s="409">
        <f>SUM(K88:K90)</f>
        <v>0</v>
      </c>
      <c r="L87" s="411">
        <f>SUM(L88:L90)</f>
        <v>0</v>
      </c>
      <c r="M87" s="413">
        <f>SUM(M88:M90)</f>
        <v>0</v>
      </c>
      <c r="N87" s="91" t="str">
        <f>IF(K87&gt;0,K87/(F87*I87),"")</f>
        <v/>
      </c>
      <c r="O87" s="341" t="str">
        <f>IF(M87&gt;0,M87/(F87*I87),"")</f>
        <v/>
      </c>
      <c r="P87" s="125">
        <f>'As-Filed Schedule 3'!M87</f>
        <v>0</v>
      </c>
      <c r="Q87" s="344">
        <f>SUMIFS(Adjustments!$G:$G,Adjustments!$H:$H,"3",Adjustments!$I:$I,'Schedule 3 Adjustments'!$P$13,Adjustments!$J:$J,'As-Filed Schedule 3'!A87)</f>
        <v>0</v>
      </c>
      <c r="R87" s="348">
        <f>SUM(P87:Q87)</f>
        <v>0</v>
      </c>
      <c r="S87" s="85" t="str">
        <f>IFERROR(P87/K87,"")</f>
        <v/>
      </c>
      <c r="T87" s="352" t="str">
        <f>IFERROR(R87/M87,"")</f>
        <v/>
      </c>
      <c r="U87" s="125">
        <f>'As-Filed Schedule 3'!O87</f>
        <v>0</v>
      </c>
      <c r="V87" s="344">
        <f>SUMIFS(Adjustments!$G:$G,Adjustments!$H:$H,"3",Adjustments!$I:$I,'Schedule 3 Adjustments'!$U$13,Adjustments!$J:$J,$A87)</f>
        <v>0</v>
      </c>
      <c r="W87" s="348">
        <f>SUM(U87:V87)</f>
        <v>0</v>
      </c>
      <c r="X87" s="85" t="str">
        <f>IFERROR(U87/K87,"")</f>
        <v/>
      </c>
      <c r="Y87" s="85" t="str">
        <f>IFERROR(W87/M87,"")</f>
        <v/>
      </c>
      <c r="Z87" s="86" t="str">
        <f>IF(P87=0,"",P87-U87)</f>
        <v/>
      </c>
      <c r="AA87" s="354" t="str">
        <f>IF(R87=0,"",R87-W87)</f>
        <v/>
      </c>
      <c r="AB87" s="85" t="str">
        <f>IFERROR(Z87/K87,"")</f>
        <v/>
      </c>
      <c r="AC87" s="352" t="str">
        <f>IFERROR(AA87/M87,"")</f>
        <v/>
      </c>
    </row>
    <row r="88" spans="1:29" x14ac:dyDescent="0.35">
      <c r="A88" s="101" t="s">
        <v>447</v>
      </c>
      <c r="B88" s="87"/>
      <c r="C88" s="87"/>
      <c r="D88" s="87"/>
      <c r="E88" s="87"/>
      <c r="F88" s="131"/>
      <c r="G88" s="134"/>
      <c r="H88" s="134"/>
      <c r="I88" s="104"/>
      <c r="J88" s="364">
        <f>'As-Filed Schedule 3'!J88</f>
        <v>0</v>
      </c>
      <c r="K88" s="410">
        <f>'As-Filed Schedule 3'!K88</f>
        <v>0</v>
      </c>
      <c r="L88" s="412">
        <f>SUMIFS(Adjustments!$G:$G,Adjustments!$H:$H,"3",Adjustments!$I:$I,'Schedule 3 Adjustments'!$K$13,Adjustments!$J:$J,"15a")</f>
        <v>0</v>
      </c>
      <c r="M88" s="414">
        <f>SUM(K88:L88)</f>
        <v>0</v>
      </c>
      <c r="N88" s="89"/>
      <c r="O88" s="349"/>
      <c r="P88" s="87"/>
      <c r="Q88" s="345"/>
      <c r="R88" s="349"/>
      <c r="S88" s="87"/>
      <c r="T88" s="349"/>
      <c r="U88" s="87"/>
      <c r="V88" s="345"/>
      <c r="W88" s="349"/>
      <c r="X88" s="87"/>
      <c r="Y88" s="349"/>
      <c r="Z88" s="87"/>
      <c r="AA88" s="349"/>
      <c r="AB88" s="87"/>
      <c r="AC88" s="349"/>
    </row>
    <row r="89" spans="1:29" x14ac:dyDescent="0.35">
      <c r="A89" s="102" t="s">
        <v>448</v>
      </c>
      <c r="B89" s="88"/>
      <c r="C89" s="88"/>
      <c r="D89" s="88"/>
      <c r="E89" s="88"/>
      <c r="F89" s="132"/>
      <c r="G89" s="135"/>
      <c r="H89" s="135"/>
      <c r="I89" s="105"/>
      <c r="J89" s="364">
        <f>'As-Filed Schedule 3'!J89</f>
        <v>0</v>
      </c>
      <c r="K89" s="410">
        <f>'As-Filed Schedule 3'!K89</f>
        <v>0</v>
      </c>
      <c r="L89" s="412">
        <f>SUMIFS(Adjustments!$G:$G,Adjustments!$H:$H,"3",Adjustments!$I:$I,'Schedule 3 Adjustments'!$K$13,Adjustments!$J:$J,"15b")</f>
        <v>0</v>
      </c>
      <c r="M89" s="414">
        <f>SUM(K89:L89)</f>
        <v>0</v>
      </c>
      <c r="N89" s="90"/>
      <c r="O89" s="350"/>
      <c r="P89" s="88"/>
      <c r="Q89" s="346"/>
      <c r="R89" s="350"/>
      <c r="S89" s="88"/>
      <c r="T89" s="350"/>
      <c r="U89" s="88"/>
      <c r="V89" s="346"/>
      <c r="W89" s="350"/>
      <c r="X89" s="88"/>
      <c r="Y89" s="350"/>
      <c r="Z89" s="88"/>
      <c r="AA89" s="350"/>
      <c r="AB89" s="88"/>
      <c r="AC89" s="350"/>
    </row>
    <row r="90" spans="1:29" x14ac:dyDescent="0.35">
      <c r="A90" s="103" t="s">
        <v>449</v>
      </c>
      <c r="B90" s="88"/>
      <c r="C90" s="88"/>
      <c r="D90" s="88"/>
      <c r="E90" s="88"/>
      <c r="F90" s="132"/>
      <c r="G90" s="135"/>
      <c r="H90" s="135"/>
      <c r="I90" s="105"/>
      <c r="J90" s="364">
        <f>'As-Filed Schedule 3'!J90</f>
        <v>0</v>
      </c>
      <c r="K90" s="410">
        <f>'As-Filed Schedule 3'!K90</f>
        <v>0</v>
      </c>
      <c r="L90" s="412">
        <f>SUMIFS(Adjustments!$G:$G,Adjustments!$H:$H,"3",Adjustments!$I:$I,'Schedule 3 Adjustments'!$K$13,Adjustments!$J:$J,"15c")</f>
        <v>0</v>
      </c>
      <c r="M90" s="414">
        <f>SUM(K90:L90)</f>
        <v>0</v>
      </c>
      <c r="N90" s="90"/>
      <c r="O90" s="350"/>
      <c r="P90" s="88"/>
      <c r="Q90" s="346"/>
      <c r="R90" s="350"/>
      <c r="S90" s="88"/>
      <c r="T90" s="350"/>
      <c r="U90" s="88"/>
      <c r="V90" s="346"/>
      <c r="W90" s="350"/>
      <c r="X90" s="88"/>
      <c r="Y90" s="350"/>
      <c r="Z90" s="88"/>
      <c r="AA90" s="350"/>
      <c r="AB90" s="88"/>
      <c r="AC90" s="350"/>
    </row>
    <row r="91" spans="1:29" x14ac:dyDescent="0.35">
      <c r="J91" s="100"/>
      <c r="N91" s="28"/>
      <c r="O91" s="342"/>
    </row>
    <row r="92" spans="1:29" s="34" customFormat="1" x14ac:dyDescent="0.35">
      <c r="A92" s="84">
        <v>16</v>
      </c>
      <c r="B92" s="529">
        <f>'As-Filed Schedule 3'!B92:C92</f>
        <v>0</v>
      </c>
      <c r="C92" s="530"/>
      <c r="D92" s="360">
        <f>'As-Filed Schedule 3'!D92</f>
        <v>0</v>
      </c>
      <c r="E92" s="360">
        <f>'As-Filed Schedule 3'!E92</f>
        <v>0</v>
      </c>
      <c r="F92" s="359">
        <f>'As-Filed Schedule 3'!F92</f>
        <v>0</v>
      </c>
      <c r="G92" s="358">
        <f>'As-Filed Schedule 3'!G92</f>
        <v>0</v>
      </c>
      <c r="H92" s="358">
        <f>'As-Filed Schedule 3'!H92</f>
        <v>0</v>
      </c>
      <c r="I92" s="138" t="str">
        <f>IF(B92=0,"",IF(AND(G92=0,H92=0),365,IF(AND(G92&gt;0,H92=0),$C$6-G92+1,IF(AND(G92=0,H92&gt;0),H92-($C$6-365),H92-G92+1))))</f>
        <v/>
      </c>
      <c r="J92" s="98"/>
      <c r="K92" s="409">
        <f>SUM(K93:K95)</f>
        <v>0</v>
      </c>
      <c r="L92" s="411">
        <f>SUM(L93:L95)</f>
        <v>0</v>
      </c>
      <c r="M92" s="413">
        <f>SUM(M93:M95)</f>
        <v>0</v>
      </c>
      <c r="N92" s="91" t="str">
        <f>IF(K92&gt;0,K92/(F92*I92),"")</f>
        <v/>
      </c>
      <c r="O92" s="341" t="str">
        <f>IF(M92&gt;0,M92/(F92*I92),"")</f>
        <v/>
      </c>
      <c r="P92" s="125">
        <f>'As-Filed Schedule 3'!M92</f>
        <v>0</v>
      </c>
      <c r="Q92" s="344">
        <f>SUMIFS(Adjustments!$G:$G,Adjustments!$H:$H,"3",Adjustments!$I:$I,'Schedule 3 Adjustments'!$P$13,Adjustments!$J:$J,'As-Filed Schedule 3'!A92)</f>
        <v>0</v>
      </c>
      <c r="R92" s="348">
        <f>SUM(P92:Q92)</f>
        <v>0</v>
      </c>
      <c r="S92" s="85" t="str">
        <f>IFERROR(P92/K92,"")</f>
        <v/>
      </c>
      <c r="T92" s="352" t="str">
        <f>IFERROR(R92/M92,"")</f>
        <v/>
      </c>
      <c r="U92" s="125">
        <f>'As-Filed Schedule 3'!O92</f>
        <v>0</v>
      </c>
      <c r="V92" s="344">
        <f>SUMIFS(Adjustments!$G:$G,Adjustments!$H:$H,"3",Adjustments!$I:$I,'Schedule 3 Adjustments'!$U$13,Adjustments!$J:$J,$A92)</f>
        <v>0</v>
      </c>
      <c r="W92" s="348">
        <f>SUM(U92:V92)</f>
        <v>0</v>
      </c>
      <c r="X92" s="85" t="str">
        <f>IFERROR(U92/K92,"")</f>
        <v/>
      </c>
      <c r="Y92" s="85" t="str">
        <f>IFERROR(W92/M92,"")</f>
        <v/>
      </c>
      <c r="Z92" s="86" t="str">
        <f>IF(P92=0,"",P92-U92)</f>
        <v/>
      </c>
      <c r="AA92" s="354" t="str">
        <f>IF(R92=0,"",R92-W92)</f>
        <v/>
      </c>
      <c r="AB92" s="85" t="str">
        <f>IFERROR(Z92/K92,"")</f>
        <v/>
      </c>
      <c r="AC92" s="352" t="str">
        <f>IFERROR(AA92/M92,"")</f>
        <v/>
      </c>
    </row>
    <row r="93" spans="1:29" x14ac:dyDescent="0.35">
      <c r="A93" s="101" t="s">
        <v>447</v>
      </c>
      <c r="B93" s="87"/>
      <c r="C93" s="87"/>
      <c r="D93" s="87"/>
      <c r="E93" s="87"/>
      <c r="F93" s="131"/>
      <c r="G93" s="134"/>
      <c r="H93" s="134"/>
      <c r="I93" s="104"/>
      <c r="J93" s="364">
        <f>'As-Filed Schedule 3'!J93</f>
        <v>0</v>
      </c>
      <c r="K93" s="410">
        <f>'As-Filed Schedule 3'!K93</f>
        <v>0</v>
      </c>
      <c r="L93" s="412">
        <f>SUMIFS(Adjustments!$G:$G,Adjustments!$H:$H,"3",Adjustments!$I:$I,'Schedule 3 Adjustments'!$K$13,Adjustments!$J:$J,"16a")</f>
        <v>0</v>
      </c>
      <c r="M93" s="414">
        <f>SUM(K93:L93)</f>
        <v>0</v>
      </c>
      <c r="N93" s="89"/>
      <c r="O93" s="349"/>
      <c r="P93" s="87"/>
      <c r="Q93" s="345"/>
      <c r="R93" s="349"/>
      <c r="S93" s="87"/>
      <c r="T93" s="349"/>
      <c r="U93" s="87"/>
      <c r="V93" s="345"/>
      <c r="W93" s="349"/>
      <c r="X93" s="87"/>
      <c r="Y93" s="349"/>
      <c r="Z93" s="87"/>
      <c r="AA93" s="349"/>
      <c r="AB93" s="87"/>
      <c r="AC93" s="349"/>
    </row>
    <row r="94" spans="1:29" x14ac:dyDescent="0.35">
      <c r="A94" s="102" t="s">
        <v>448</v>
      </c>
      <c r="B94" s="88"/>
      <c r="C94" s="88"/>
      <c r="D94" s="88"/>
      <c r="E94" s="88"/>
      <c r="F94" s="132"/>
      <c r="G94" s="135"/>
      <c r="H94" s="135"/>
      <c r="I94" s="105"/>
      <c r="J94" s="364">
        <f>'As-Filed Schedule 3'!J94</f>
        <v>0</v>
      </c>
      <c r="K94" s="410">
        <f>'As-Filed Schedule 3'!K94</f>
        <v>0</v>
      </c>
      <c r="L94" s="412">
        <f>SUMIFS(Adjustments!$G:$G,Adjustments!$H:$H,"3",Adjustments!$I:$I,'Schedule 3 Adjustments'!$K$13,Adjustments!$J:$J,"16b")</f>
        <v>0</v>
      </c>
      <c r="M94" s="414">
        <f>SUM(K94:L94)</f>
        <v>0</v>
      </c>
      <c r="N94" s="90"/>
      <c r="O94" s="350"/>
      <c r="P94" s="88"/>
      <c r="Q94" s="346"/>
      <c r="R94" s="350"/>
      <c r="S94" s="88"/>
      <c r="T94" s="350"/>
      <c r="U94" s="88"/>
      <c r="V94" s="346"/>
      <c r="W94" s="350"/>
      <c r="X94" s="88"/>
      <c r="Y94" s="350"/>
      <c r="Z94" s="88"/>
      <c r="AA94" s="350"/>
      <c r="AB94" s="88"/>
      <c r="AC94" s="350"/>
    </row>
    <row r="95" spans="1:29" x14ac:dyDescent="0.35">
      <c r="A95" s="103" t="s">
        <v>449</v>
      </c>
      <c r="B95" s="88"/>
      <c r="C95" s="88"/>
      <c r="D95" s="88"/>
      <c r="E95" s="88"/>
      <c r="F95" s="132"/>
      <c r="G95" s="135"/>
      <c r="H95" s="135"/>
      <c r="I95" s="105"/>
      <c r="J95" s="364">
        <f>'As-Filed Schedule 3'!J95</f>
        <v>0</v>
      </c>
      <c r="K95" s="410">
        <f>'As-Filed Schedule 3'!K95</f>
        <v>0</v>
      </c>
      <c r="L95" s="412">
        <f>SUMIFS(Adjustments!$G:$G,Adjustments!$H:$H,"3",Adjustments!$I:$I,'Schedule 3 Adjustments'!$K$13,Adjustments!$J:$J,"16c")</f>
        <v>0</v>
      </c>
      <c r="M95" s="414">
        <f>SUM(K95:L95)</f>
        <v>0</v>
      </c>
      <c r="N95" s="90"/>
      <c r="O95" s="350"/>
      <c r="P95" s="88"/>
      <c r="Q95" s="346"/>
      <c r="R95" s="350"/>
      <c r="S95" s="88"/>
      <c r="T95" s="350"/>
      <c r="U95" s="88"/>
      <c r="V95" s="346"/>
      <c r="W95" s="350"/>
      <c r="X95" s="88"/>
      <c r="Y95" s="350"/>
      <c r="Z95" s="88"/>
      <c r="AA95" s="350"/>
      <c r="AB95" s="88"/>
      <c r="AC95" s="350"/>
    </row>
    <row r="96" spans="1:29" x14ac:dyDescent="0.35">
      <c r="J96" s="100"/>
      <c r="N96" s="28"/>
      <c r="O96" s="342"/>
    </row>
    <row r="97" spans="1:29" s="34" customFormat="1" x14ac:dyDescent="0.35">
      <c r="A97" s="84">
        <v>17</v>
      </c>
      <c r="B97" s="529">
        <f>'As-Filed Schedule 3'!B97:C97</f>
        <v>0</v>
      </c>
      <c r="C97" s="530"/>
      <c r="D97" s="360">
        <f>'As-Filed Schedule 3'!D97</f>
        <v>0</v>
      </c>
      <c r="E97" s="360">
        <f>'As-Filed Schedule 3'!E97</f>
        <v>0</v>
      </c>
      <c r="F97" s="359">
        <f>'As-Filed Schedule 3'!F97</f>
        <v>0</v>
      </c>
      <c r="G97" s="358">
        <f>'As-Filed Schedule 3'!G97</f>
        <v>0</v>
      </c>
      <c r="H97" s="358">
        <f>'As-Filed Schedule 3'!H97</f>
        <v>0</v>
      </c>
      <c r="I97" s="138" t="str">
        <f>IF(B97=0,"",IF(AND(G97=0,H97=0),365,IF(AND(G97&gt;0,H97=0),$C$6-G97+1,IF(AND(G97=0,H97&gt;0),H97-($C$6-365),H97-G97+1))))</f>
        <v/>
      </c>
      <c r="J97" s="98"/>
      <c r="K97" s="409">
        <f>SUM(K98:K100)</f>
        <v>0</v>
      </c>
      <c r="L97" s="411">
        <f>SUM(L98:L100)</f>
        <v>0</v>
      </c>
      <c r="M97" s="413">
        <f>SUM(M98:M100)</f>
        <v>0</v>
      </c>
      <c r="N97" s="91" t="str">
        <f>IF(K97&gt;0,K97/(F97*I97),"")</f>
        <v/>
      </c>
      <c r="O97" s="341" t="str">
        <f>IF(M97&gt;0,M97/(F97*I97),"")</f>
        <v/>
      </c>
      <c r="P97" s="125">
        <f>'As-Filed Schedule 3'!M97</f>
        <v>0</v>
      </c>
      <c r="Q97" s="344">
        <f>SUMIFS(Adjustments!$G:$G,Adjustments!$H:$H,"3",Adjustments!$I:$I,'Schedule 3 Adjustments'!$P$13,Adjustments!$J:$J,'As-Filed Schedule 3'!A97)</f>
        <v>0</v>
      </c>
      <c r="R97" s="348">
        <f>SUM(P97:Q97)</f>
        <v>0</v>
      </c>
      <c r="S97" s="85" t="str">
        <f>IFERROR(P97/K97,"")</f>
        <v/>
      </c>
      <c r="T97" s="352" t="str">
        <f>IFERROR(R97/M97,"")</f>
        <v/>
      </c>
      <c r="U97" s="125">
        <f>'As-Filed Schedule 3'!O97</f>
        <v>0</v>
      </c>
      <c r="V97" s="344">
        <f>SUMIFS(Adjustments!$G:$G,Adjustments!$H:$H,"3",Adjustments!$I:$I,'Schedule 3 Adjustments'!$U$13,Adjustments!$J:$J,$A97)</f>
        <v>0</v>
      </c>
      <c r="W97" s="348">
        <f>SUM(U97:V97)</f>
        <v>0</v>
      </c>
      <c r="X97" s="85" t="str">
        <f>IFERROR(U97/K97,"")</f>
        <v/>
      </c>
      <c r="Y97" s="85" t="str">
        <f>IFERROR(W97/M97,"")</f>
        <v/>
      </c>
      <c r="Z97" s="86" t="str">
        <f>IF(P97=0,"",P97-U97)</f>
        <v/>
      </c>
      <c r="AA97" s="354" t="str">
        <f>IF(R97=0,"",R97-W97)</f>
        <v/>
      </c>
      <c r="AB97" s="85" t="str">
        <f>IFERROR(Z97/K97,"")</f>
        <v/>
      </c>
      <c r="AC97" s="352" t="str">
        <f>IFERROR(AA97/M97,"")</f>
        <v/>
      </c>
    </row>
    <row r="98" spans="1:29" x14ac:dyDescent="0.35">
      <c r="A98" s="101" t="s">
        <v>447</v>
      </c>
      <c r="B98" s="87"/>
      <c r="C98" s="87"/>
      <c r="D98" s="87"/>
      <c r="E98" s="87"/>
      <c r="F98" s="131"/>
      <c r="G98" s="134"/>
      <c r="H98" s="134"/>
      <c r="I98" s="104"/>
      <c r="J98" s="364">
        <f>'As-Filed Schedule 3'!J98</f>
        <v>0</v>
      </c>
      <c r="K98" s="410">
        <f>'As-Filed Schedule 3'!K98</f>
        <v>0</v>
      </c>
      <c r="L98" s="412">
        <f>SUMIFS(Adjustments!$G:$G,Adjustments!$H:$H,"3",Adjustments!$I:$I,'Schedule 3 Adjustments'!$K$13,Adjustments!$J:$J,"17a")</f>
        <v>0</v>
      </c>
      <c r="M98" s="414">
        <f>SUM(K98:L98)</f>
        <v>0</v>
      </c>
      <c r="N98" s="89"/>
      <c r="O98" s="349"/>
      <c r="P98" s="87"/>
      <c r="Q98" s="345"/>
      <c r="R98" s="349"/>
      <c r="S98" s="87"/>
      <c r="T98" s="349"/>
      <c r="U98" s="87"/>
      <c r="V98" s="345"/>
      <c r="W98" s="349"/>
      <c r="X98" s="87"/>
      <c r="Y98" s="349"/>
      <c r="Z98" s="87"/>
      <c r="AA98" s="349"/>
      <c r="AB98" s="87"/>
      <c r="AC98" s="349"/>
    </row>
    <row r="99" spans="1:29" x14ac:dyDescent="0.35">
      <c r="A99" s="102" t="s">
        <v>448</v>
      </c>
      <c r="B99" s="88"/>
      <c r="C99" s="88"/>
      <c r="D99" s="88"/>
      <c r="E99" s="88"/>
      <c r="F99" s="132"/>
      <c r="G99" s="135"/>
      <c r="H99" s="135"/>
      <c r="I99" s="105"/>
      <c r="J99" s="364">
        <f>'As-Filed Schedule 3'!J99</f>
        <v>0</v>
      </c>
      <c r="K99" s="410">
        <f>'As-Filed Schedule 3'!K99</f>
        <v>0</v>
      </c>
      <c r="L99" s="412">
        <f>SUMIFS(Adjustments!$G:$G,Adjustments!$H:$H,"3",Adjustments!$I:$I,'Schedule 3 Adjustments'!$K$13,Adjustments!$J:$J,"17b")</f>
        <v>0</v>
      </c>
      <c r="M99" s="414">
        <f>SUM(K99:L99)</f>
        <v>0</v>
      </c>
      <c r="N99" s="90"/>
      <c r="O99" s="350"/>
      <c r="P99" s="88"/>
      <c r="Q99" s="346"/>
      <c r="R99" s="350"/>
      <c r="S99" s="88"/>
      <c r="T99" s="350"/>
      <c r="U99" s="88"/>
      <c r="V99" s="346"/>
      <c r="W99" s="350"/>
      <c r="X99" s="88"/>
      <c r="Y99" s="350"/>
      <c r="Z99" s="88"/>
      <c r="AA99" s="350"/>
      <c r="AB99" s="88"/>
      <c r="AC99" s="350"/>
    </row>
    <row r="100" spans="1:29" x14ac:dyDescent="0.35">
      <c r="A100" s="103" t="s">
        <v>449</v>
      </c>
      <c r="B100" s="88"/>
      <c r="C100" s="88"/>
      <c r="D100" s="88"/>
      <c r="E100" s="88"/>
      <c r="F100" s="132"/>
      <c r="G100" s="135"/>
      <c r="H100" s="135"/>
      <c r="I100" s="105"/>
      <c r="J100" s="364">
        <f>'As-Filed Schedule 3'!J100</f>
        <v>0</v>
      </c>
      <c r="K100" s="410">
        <f>'As-Filed Schedule 3'!K100</f>
        <v>0</v>
      </c>
      <c r="L100" s="412">
        <f>SUMIFS(Adjustments!$G:$G,Adjustments!$H:$H,"3",Adjustments!$I:$I,'Schedule 3 Adjustments'!$K$13,Adjustments!$J:$J,"17c")</f>
        <v>0</v>
      </c>
      <c r="M100" s="414">
        <f>SUM(K100:L100)</f>
        <v>0</v>
      </c>
      <c r="N100" s="90"/>
      <c r="O100" s="350"/>
      <c r="P100" s="88"/>
      <c r="Q100" s="346"/>
      <c r="R100" s="350"/>
      <c r="S100" s="88"/>
      <c r="T100" s="350"/>
      <c r="U100" s="88"/>
      <c r="V100" s="346"/>
      <c r="W100" s="350"/>
      <c r="X100" s="88"/>
      <c r="Y100" s="350"/>
      <c r="Z100" s="88"/>
      <c r="AA100" s="350"/>
      <c r="AB100" s="88"/>
      <c r="AC100" s="350"/>
    </row>
    <row r="101" spans="1:29" x14ac:dyDescent="0.35">
      <c r="J101" s="100"/>
      <c r="N101" s="28"/>
      <c r="O101" s="342"/>
    </row>
    <row r="102" spans="1:29" s="34" customFormat="1" x14ac:dyDescent="0.35">
      <c r="A102" s="84">
        <v>18</v>
      </c>
      <c r="B102" s="529">
        <f>'As-Filed Schedule 3'!B102:C102</f>
        <v>0</v>
      </c>
      <c r="C102" s="530"/>
      <c r="D102" s="360">
        <f>'As-Filed Schedule 3'!D102</f>
        <v>0</v>
      </c>
      <c r="E102" s="360">
        <f>'As-Filed Schedule 3'!E102</f>
        <v>0</v>
      </c>
      <c r="F102" s="359">
        <f>'As-Filed Schedule 3'!F102</f>
        <v>0</v>
      </c>
      <c r="G102" s="358">
        <f>'As-Filed Schedule 3'!G102</f>
        <v>0</v>
      </c>
      <c r="H102" s="358">
        <f>'As-Filed Schedule 3'!H102</f>
        <v>0</v>
      </c>
      <c r="I102" s="138" t="str">
        <f>IF(B102=0,"",IF(AND(G102=0,H102=0),365,IF(AND(G102&gt;0,H102=0),$C$6-G102+1,IF(AND(G102=0,H102&gt;0),H102-($C$6-365),H102-G102+1))))</f>
        <v/>
      </c>
      <c r="J102" s="98"/>
      <c r="K102" s="409">
        <f>SUM(K103:K105)</f>
        <v>0</v>
      </c>
      <c r="L102" s="411">
        <f>SUM(L103:L105)</f>
        <v>0</v>
      </c>
      <c r="M102" s="413">
        <f>SUM(M103:M105)</f>
        <v>0</v>
      </c>
      <c r="N102" s="91" t="str">
        <f>IF(K102&gt;0,K102/(F102*I102),"")</f>
        <v/>
      </c>
      <c r="O102" s="341" t="str">
        <f>IF(M102&gt;0,M102/(F102*I102),"")</f>
        <v/>
      </c>
      <c r="P102" s="125">
        <f>'As-Filed Schedule 3'!M102</f>
        <v>0</v>
      </c>
      <c r="Q102" s="344">
        <f>SUMIFS(Adjustments!$G:$G,Adjustments!$H:$H,"3",Adjustments!$I:$I,'Schedule 3 Adjustments'!$P$13,Adjustments!$J:$J,'As-Filed Schedule 3'!A102)</f>
        <v>0</v>
      </c>
      <c r="R102" s="348">
        <f>SUM(P102:Q102)</f>
        <v>0</v>
      </c>
      <c r="S102" s="85" t="str">
        <f>IFERROR(P102/K102,"")</f>
        <v/>
      </c>
      <c r="T102" s="352" t="str">
        <f>IFERROR(R102/M102,"")</f>
        <v/>
      </c>
      <c r="U102" s="125">
        <f>'As-Filed Schedule 3'!O102</f>
        <v>0</v>
      </c>
      <c r="V102" s="344">
        <f>SUMIFS(Adjustments!$G:$G,Adjustments!$H:$H,"3",Adjustments!$I:$I,'Schedule 3 Adjustments'!$U$13,Adjustments!$J:$J,$A102)</f>
        <v>0</v>
      </c>
      <c r="W102" s="348">
        <f>SUM(U102:V102)</f>
        <v>0</v>
      </c>
      <c r="X102" s="85" t="str">
        <f>IFERROR(U102/K102,"")</f>
        <v/>
      </c>
      <c r="Y102" s="85" t="str">
        <f>IFERROR(W102/M102,"")</f>
        <v/>
      </c>
      <c r="Z102" s="86" t="str">
        <f>IF(P102=0,"",P102-U102)</f>
        <v/>
      </c>
      <c r="AA102" s="354" t="str">
        <f>IF(R102=0,"",R102-W102)</f>
        <v/>
      </c>
      <c r="AB102" s="85" t="str">
        <f>IFERROR(Z102/K102,"")</f>
        <v/>
      </c>
      <c r="AC102" s="352" t="str">
        <f>IFERROR(AA102/M102,"")</f>
        <v/>
      </c>
    </row>
    <row r="103" spans="1:29" x14ac:dyDescent="0.35">
      <c r="A103" s="101" t="s">
        <v>447</v>
      </c>
      <c r="B103" s="87"/>
      <c r="C103" s="87"/>
      <c r="D103" s="87"/>
      <c r="E103" s="87"/>
      <c r="F103" s="131"/>
      <c r="G103" s="134"/>
      <c r="H103" s="134"/>
      <c r="I103" s="104"/>
      <c r="J103" s="364">
        <f>'As-Filed Schedule 3'!J103</f>
        <v>0</v>
      </c>
      <c r="K103" s="410">
        <f>'As-Filed Schedule 3'!K103</f>
        <v>0</v>
      </c>
      <c r="L103" s="412">
        <f>SUMIFS(Adjustments!$G:$G,Adjustments!$H:$H,"3",Adjustments!$I:$I,'Schedule 3 Adjustments'!$K$13,Adjustments!$J:$J,"18a")</f>
        <v>0</v>
      </c>
      <c r="M103" s="414">
        <f>SUM(K103:L103)</f>
        <v>0</v>
      </c>
      <c r="N103" s="89"/>
      <c r="O103" s="349"/>
      <c r="P103" s="87"/>
      <c r="Q103" s="345"/>
      <c r="R103" s="349"/>
      <c r="S103" s="87"/>
      <c r="T103" s="349"/>
      <c r="U103" s="87"/>
      <c r="V103" s="345"/>
      <c r="W103" s="349"/>
      <c r="X103" s="87"/>
      <c r="Y103" s="349"/>
      <c r="Z103" s="87"/>
      <c r="AA103" s="349"/>
      <c r="AB103" s="87"/>
      <c r="AC103" s="349"/>
    </row>
    <row r="104" spans="1:29" x14ac:dyDescent="0.35">
      <c r="A104" s="102" t="s">
        <v>448</v>
      </c>
      <c r="B104" s="88"/>
      <c r="C104" s="88"/>
      <c r="D104" s="88"/>
      <c r="E104" s="88"/>
      <c r="F104" s="132"/>
      <c r="G104" s="135"/>
      <c r="H104" s="135"/>
      <c r="I104" s="105"/>
      <c r="J104" s="364">
        <f>'As-Filed Schedule 3'!J104</f>
        <v>0</v>
      </c>
      <c r="K104" s="410">
        <f>'As-Filed Schedule 3'!K104</f>
        <v>0</v>
      </c>
      <c r="L104" s="412">
        <f>SUMIFS(Adjustments!$G:$G,Adjustments!$H:$H,"3",Adjustments!$I:$I,'Schedule 3 Adjustments'!$K$13,Adjustments!$J:$J,"18b")</f>
        <v>0</v>
      </c>
      <c r="M104" s="414">
        <f>SUM(K104:L104)</f>
        <v>0</v>
      </c>
      <c r="N104" s="90"/>
      <c r="O104" s="350"/>
      <c r="P104" s="88"/>
      <c r="Q104" s="346"/>
      <c r="R104" s="350"/>
      <c r="S104" s="88"/>
      <c r="T104" s="350"/>
      <c r="U104" s="88"/>
      <c r="V104" s="346"/>
      <c r="W104" s="350"/>
      <c r="X104" s="88"/>
      <c r="Y104" s="350"/>
      <c r="Z104" s="88"/>
      <c r="AA104" s="350"/>
      <c r="AB104" s="88"/>
      <c r="AC104" s="350"/>
    </row>
    <row r="105" spans="1:29" x14ac:dyDescent="0.35">
      <c r="A105" s="103" t="s">
        <v>449</v>
      </c>
      <c r="B105" s="88"/>
      <c r="C105" s="88"/>
      <c r="D105" s="88"/>
      <c r="E105" s="88"/>
      <c r="F105" s="132"/>
      <c r="G105" s="135"/>
      <c r="H105" s="135"/>
      <c r="I105" s="105"/>
      <c r="J105" s="364">
        <f>'As-Filed Schedule 3'!J105</f>
        <v>0</v>
      </c>
      <c r="K105" s="410">
        <f>'As-Filed Schedule 3'!K105</f>
        <v>0</v>
      </c>
      <c r="L105" s="412">
        <f>SUMIFS(Adjustments!$G:$G,Adjustments!$H:$H,"3",Adjustments!$I:$I,'Schedule 3 Adjustments'!$K$13,Adjustments!$J:$J,"18c")</f>
        <v>0</v>
      </c>
      <c r="M105" s="414">
        <f>SUM(K105:L105)</f>
        <v>0</v>
      </c>
      <c r="N105" s="90"/>
      <c r="O105" s="350"/>
      <c r="P105" s="88"/>
      <c r="Q105" s="346"/>
      <c r="R105" s="350"/>
      <c r="S105" s="88"/>
      <c r="T105" s="350"/>
      <c r="U105" s="88"/>
      <c r="V105" s="346"/>
      <c r="W105" s="350"/>
      <c r="X105" s="88"/>
      <c r="Y105" s="350"/>
      <c r="Z105" s="88"/>
      <c r="AA105" s="350"/>
      <c r="AB105" s="88"/>
      <c r="AC105" s="350"/>
    </row>
    <row r="106" spans="1:29" x14ac:dyDescent="0.35">
      <c r="J106" s="100"/>
      <c r="K106" s="387"/>
      <c r="L106" s="390"/>
      <c r="M106" s="391"/>
      <c r="N106" s="28"/>
      <c r="O106" s="342"/>
    </row>
    <row r="107" spans="1:29" s="34" customFormat="1" x14ac:dyDescent="0.35">
      <c r="A107" s="84">
        <v>19</v>
      </c>
      <c r="B107" s="529">
        <f>'As-Filed Schedule 3'!B107:C107</f>
        <v>0</v>
      </c>
      <c r="C107" s="530"/>
      <c r="D107" s="360">
        <f>'As-Filed Schedule 3'!D107</f>
        <v>0</v>
      </c>
      <c r="E107" s="360">
        <f>'As-Filed Schedule 3'!E107</f>
        <v>0</v>
      </c>
      <c r="F107" s="359">
        <f>'As-Filed Schedule 3'!F107</f>
        <v>0</v>
      </c>
      <c r="G107" s="358">
        <f>'As-Filed Schedule 3'!G107</f>
        <v>0</v>
      </c>
      <c r="H107" s="358">
        <f>'As-Filed Schedule 3'!H107</f>
        <v>0</v>
      </c>
      <c r="I107" s="138" t="str">
        <f>IF(B107=0,"",IF(AND(G107=0,H107=0),365,IF(AND(G107&gt;0,H107=0),$C$6-G107+1,IF(AND(G107=0,H107&gt;0),H107-($C$6-365),H107-G107+1))))</f>
        <v/>
      </c>
      <c r="J107" s="98"/>
      <c r="K107" s="409">
        <f>SUM(K108:K110)</f>
        <v>0</v>
      </c>
      <c r="L107" s="411">
        <f>SUM(L108:L110)</f>
        <v>0</v>
      </c>
      <c r="M107" s="413">
        <f>SUM(M108:M110)</f>
        <v>0</v>
      </c>
      <c r="N107" s="91" t="str">
        <f>IF(K107&gt;0,K107/(F107*I107),"")</f>
        <v/>
      </c>
      <c r="O107" s="341" t="str">
        <f>IF(M107&gt;0,M107/(F107*I107),"")</f>
        <v/>
      </c>
      <c r="P107" s="125">
        <f>'As-Filed Schedule 3'!M107</f>
        <v>0</v>
      </c>
      <c r="Q107" s="344">
        <f>SUMIFS(Adjustments!$G:$G,Adjustments!$H:$H,"3",Adjustments!$I:$I,'Schedule 3 Adjustments'!$P$13,Adjustments!$J:$J,'As-Filed Schedule 3'!A107)</f>
        <v>0</v>
      </c>
      <c r="R107" s="348">
        <f>SUM(P107:Q107)</f>
        <v>0</v>
      </c>
      <c r="S107" s="85" t="str">
        <f>IFERROR(P107/K107,"")</f>
        <v/>
      </c>
      <c r="T107" s="352" t="str">
        <f>IFERROR(R107/M107,"")</f>
        <v/>
      </c>
      <c r="U107" s="125">
        <f>'As-Filed Schedule 3'!O107</f>
        <v>0</v>
      </c>
      <c r="V107" s="344">
        <f>SUMIFS(Adjustments!$G:$G,Adjustments!$H:$H,"3",Adjustments!$I:$I,'Schedule 3 Adjustments'!$U$13,Adjustments!$J:$J,$A107)</f>
        <v>0</v>
      </c>
      <c r="W107" s="348">
        <f>SUM(U107:V107)</f>
        <v>0</v>
      </c>
      <c r="X107" s="85" t="str">
        <f>IFERROR(U107/K107,"")</f>
        <v/>
      </c>
      <c r="Y107" s="85" t="str">
        <f>IFERROR(W107/M107,"")</f>
        <v/>
      </c>
      <c r="Z107" s="86" t="str">
        <f>IF(P107=0,"",P107-U107)</f>
        <v/>
      </c>
      <c r="AA107" s="354" t="str">
        <f>IF(R107=0,"",R107-W107)</f>
        <v/>
      </c>
      <c r="AB107" s="85" t="str">
        <f>IFERROR(Z107/K107,"")</f>
        <v/>
      </c>
      <c r="AC107" s="352" t="str">
        <f>IFERROR(AA107/M107,"")</f>
        <v/>
      </c>
    </row>
    <row r="108" spans="1:29" x14ac:dyDescent="0.35">
      <c r="A108" s="101" t="s">
        <v>447</v>
      </c>
      <c r="B108" s="87"/>
      <c r="C108" s="87"/>
      <c r="D108" s="87"/>
      <c r="E108" s="87"/>
      <c r="F108" s="131"/>
      <c r="G108" s="134"/>
      <c r="H108" s="134"/>
      <c r="I108" s="104"/>
      <c r="J108" s="364">
        <f>'As-Filed Schedule 3'!J108</f>
        <v>0</v>
      </c>
      <c r="K108" s="410">
        <f>'As-Filed Schedule 3'!K108</f>
        <v>0</v>
      </c>
      <c r="L108" s="412">
        <f>SUMIFS(Adjustments!$G:$G,Adjustments!$H:$H,"3",Adjustments!$I:$I,'Schedule 3 Adjustments'!$K$13,Adjustments!$J:$J,"19a")</f>
        <v>0</v>
      </c>
      <c r="M108" s="414">
        <f>SUM(K108:L108)</f>
        <v>0</v>
      </c>
      <c r="N108" s="89"/>
      <c r="O108" s="349"/>
      <c r="P108" s="87"/>
      <c r="Q108" s="345"/>
      <c r="R108" s="349"/>
      <c r="S108" s="87"/>
      <c r="T108" s="349"/>
      <c r="U108" s="87"/>
      <c r="V108" s="345"/>
      <c r="W108" s="349"/>
      <c r="X108" s="87"/>
      <c r="Y108" s="349"/>
      <c r="Z108" s="87"/>
      <c r="AA108" s="349"/>
      <c r="AB108" s="87"/>
      <c r="AC108" s="349"/>
    </row>
    <row r="109" spans="1:29" x14ac:dyDescent="0.35">
      <c r="A109" s="102" t="s">
        <v>448</v>
      </c>
      <c r="B109" s="88"/>
      <c r="C109" s="88"/>
      <c r="D109" s="88"/>
      <c r="E109" s="88"/>
      <c r="F109" s="132"/>
      <c r="G109" s="135"/>
      <c r="H109" s="135"/>
      <c r="I109" s="105"/>
      <c r="J109" s="364">
        <f>'As-Filed Schedule 3'!J109</f>
        <v>0</v>
      </c>
      <c r="K109" s="410">
        <f>'As-Filed Schedule 3'!K109</f>
        <v>0</v>
      </c>
      <c r="L109" s="412">
        <f>SUMIFS(Adjustments!$G:$G,Adjustments!$H:$H,"3",Adjustments!$I:$I,'Schedule 3 Adjustments'!$K$13,Adjustments!$J:$J,"19b")</f>
        <v>0</v>
      </c>
      <c r="M109" s="414">
        <f>SUM(K109:L109)</f>
        <v>0</v>
      </c>
      <c r="N109" s="90"/>
      <c r="O109" s="350"/>
      <c r="P109" s="88"/>
      <c r="Q109" s="346"/>
      <c r="R109" s="350"/>
      <c r="S109" s="88"/>
      <c r="T109" s="350"/>
      <c r="U109" s="88"/>
      <c r="V109" s="346"/>
      <c r="W109" s="350"/>
      <c r="X109" s="88"/>
      <c r="Y109" s="350"/>
      <c r="Z109" s="88"/>
      <c r="AA109" s="350"/>
      <c r="AB109" s="88"/>
      <c r="AC109" s="350"/>
    </row>
    <row r="110" spans="1:29" x14ac:dyDescent="0.35">
      <c r="A110" s="103" t="s">
        <v>449</v>
      </c>
      <c r="B110" s="88"/>
      <c r="C110" s="88"/>
      <c r="D110" s="88"/>
      <c r="E110" s="88"/>
      <c r="F110" s="132"/>
      <c r="G110" s="135"/>
      <c r="H110" s="135"/>
      <c r="I110" s="105"/>
      <c r="J110" s="364">
        <f>'As-Filed Schedule 3'!J110</f>
        <v>0</v>
      </c>
      <c r="K110" s="410">
        <f>'As-Filed Schedule 3'!K110</f>
        <v>0</v>
      </c>
      <c r="L110" s="412">
        <f>SUMIFS(Adjustments!$G:$G,Adjustments!$H:$H,"3",Adjustments!$I:$I,'Schedule 3 Adjustments'!$K$13,Adjustments!$J:$J,"19c")</f>
        <v>0</v>
      </c>
      <c r="M110" s="414">
        <f>SUM(K110:L110)</f>
        <v>0</v>
      </c>
      <c r="N110" s="90"/>
      <c r="O110" s="350"/>
      <c r="P110" s="88"/>
      <c r="Q110" s="346"/>
      <c r="R110" s="350"/>
      <c r="S110" s="88"/>
      <c r="T110" s="350"/>
      <c r="U110" s="88"/>
      <c r="V110" s="346"/>
      <c r="W110" s="350"/>
      <c r="X110" s="88"/>
      <c r="Y110" s="350"/>
      <c r="Z110" s="88"/>
      <c r="AA110" s="350"/>
      <c r="AB110" s="88"/>
      <c r="AC110" s="350"/>
    </row>
    <row r="111" spans="1:29" x14ac:dyDescent="0.35">
      <c r="J111" s="100"/>
      <c r="N111" s="28"/>
      <c r="O111" s="342"/>
    </row>
    <row r="112" spans="1:29" s="34" customFormat="1" x14ac:dyDescent="0.35">
      <c r="A112" s="84">
        <v>20</v>
      </c>
      <c r="B112" s="529">
        <f>'As-Filed Schedule 3'!B112:C112</f>
        <v>0</v>
      </c>
      <c r="C112" s="530"/>
      <c r="D112" s="360">
        <f>'As-Filed Schedule 3'!D112</f>
        <v>0</v>
      </c>
      <c r="E112" s="360">
        <f>'As-Filed Schedule 3'!E112</f>
        <v>0</v>
      </c>
      <c r="F112" s="359">
        <f>'As-Filed Schedule 3'!F112</f>
        <v>0</v>
      </c>
      <c r="G112" s="358">
        <f>'As-Filed Schedule 3'!G112</f>
        <v>0</v>
      </c>
      <c r="H112" s="358">
        <f>'As-Filed Schedule 3'!H112</f>
        <v>0</v>
      </c>
      <c r="I112" s="138" t="str">
        <f>IF(B112=0,"",IF(AND(G112=0,H112=0),365,IF(AND(G112&gt;0,H112=0),$C$6-G112+1,IF(AND(G112=0,H112&gt;0),H112-($C$6-365),H112-G112+1))))</f>
        <v/>
      </c>
      <c r="J112" s="98"/>
      <c r="K112" s="409">
        <f>SUM(K113:K115)</f>
        <v>0</v>
      </c>
      <c r="L112" s="411">
        <f>SUM(L113:L115)</f>
        <v>0</v>
      </c>
      <c r="M112" s="413">
        <f>SUM(M113:M115)</f>
        <v>0</v>
      </c>
      <c r="N112" s="91" t="str">
        <f>IF(K112&gt;0,K112/(F112*I112),"")</f>
        <v/>
      </c>
      <c r="O112" s="341" t="str">
        <f>IF(M112&gt;0,M112/(F112*I112),"")</f>
        <v/>
      </c>
      <c r="P112" s="125">
        <f>'As-Filed Schedule 3'!M112</f>
        <v>0</v>
      </c>
      <c r="Q112" s="344">
        <f>SUMIFS(Adjustments!$G:$G,Adjustments!$H:$H,"3",Adjustments!$I:$I,'Schedule 3 Adjustments'!$P$13,Adjustments!$J:$J,'As-Filed Schedule 3'!A112)</f>
        <v>0</v>
      </c>
      <c r="R112" s="348">
        <f>SUM(P112:Q112)</f>
        <v>0</v>
      </c>
      <c r="S112" s="85" t="str">
        <f>IFERROR(P112/K112,"")</f>
        <v/>
      </c>
      <c r="T112" s="352" t="str">
        <f>IFERROR(R112/M112,"")</f>
        <v/>
      </c>
      <c r="U112" s="125">
        <f>'As-Filed Schedule 3'!O112</f>
        <v>0</v>
      </c>
      <c r="V112" s="344">
        <f>SUMIFS(Adjustments!$G:$G,Adjustments!$H:$H,"3",Adjustments!$I:$I,'Schedule 3 Adjustments'!$U$13,Adjustments!$J:$J,$A112)</f>
        <v>0</v>
      </c>
      <c r="W112" s="348">
        <f>SUM(U112:V112)</f>
        <v>0</v>
      </c>
      <c r="X112" s="85" t="str">
        <f>IFERROR(U112/K112,"")</f>
        <v/>
      </c>
      <c r="Y112" s="85" t="str">
        <f>IFERROR(W112/M112,"")</f>
        <v/>
      </c>
      <c r="Z112" s="86" t="str">
        <f>IF(P112=0,"",P112-U112)</f>
        <v/>
      </c>
      <c r="AA112" s="354" t="str">
        <f>IF(R112=0,"",R112-W112)</f>
        <v/>
      </c>
      <c r="AB112" s="85" t="str">
        <f>IFERROR(Z112/K112,"")</f>
        <v/>
      </c>
      <c r="AC112" s="352" t="str">
        <f>IFERROR(AA112/M112,"")</f>
        <v/>
      </c>
    </row>
    <row r="113" spans="1:29" x14ac:dyDescent="0.35">
      <c r="A113" s="101" t="s">
        <v>447</v>
      </c>
      <c r="B113" s="87"/>
      <c r="C113" s="87"/>
      <c r="D113" s="87"/>
      <c r="E113" s="87"/>
      <c r="F113" s="131"/>
      <c r="G113" s="134"/>
      <c r="H113" s="134"/>
      <c r="I113" s="104"/>
      <c r="J113" s="364">
        <f>'As-Filed Schedule 3'!J113</f>
        <v>0</v>
      </c>
      <c r="K113" s="410">
        <f>'As-Filed Schedule 3'!K113</f>
        <v>0</v>
      </c>
      <c r="L113" s="412">
        <f>SUMIFS(Adjustments!$G:$G,Adjustments!$H:$H,"3",Adjustments!$I:$I,'Schedule 3 Adjustments'!$K$13,Adjustments!$J:$J,"20a")</f>
        <v>0</v>
      </c>
      <c r="M113" s="414">
        <f>SUM(K113:L113)</f>
        <v>0</v>
      </c>
      <c r="N113" s="89"/>
      <c r="O113" s="349"/>
      <c r="P113" s="87"/>
      <c r="Q113" s="345"/>
      <c r="R113" s="349"/>
      <c r="S113" s="87"/>
      <c r="T113" s="349"/>
      <c r="U113" s="87"/>
      <c r="V113" s="345"/>
      <c r="W113" s="349"/>
      <c r="X113" s="87"/>
      <c r="Y113" s="349"/>
      <c r="Z113" s="87"/>
      <c r="AA113" s="349"/>
      <c r="AB113" s="87"/>
      <c r="AC113" s="349"/>
    </row>
    <row r="114" spans="1:29" x14ac:dyDescent="0.35">
      <c r="A114" s="102" t="s">
        <v>448</v>
      </c>
      <c r="B114" s="88"/>
      <c r="C114" s="88"/>
      <c r="D114" s="88"/>
      <c r="E114" s="88"/>
      <c r="F114" s="132"/>
      <c r="G114" s="135"/>
      <c r="H114" s="135"/>
      <c r="I114" s="105"/>
      <c r="J114" s="364">
        <f>'As-Filed Schedule 3'!J114</f>
        <v>0</v>
      </c>
      <c r="K114" s="410">
        <f>'As-Filed Schedule 3'!K114</f>
        <v>0</v>
      </c>
      <c r="L114" s="412">
        <f>SUMIFS(Adjustments!$G:$G,Adjustments!$H:$H,"3",Adjustments!$I:$I,'Schedule 3 Adjustments'!$K$13,Adjustments!$J:$J,"20b")</f>
        <v>0</v>
      </c>
      <c r="M114" s="414">
        <f>SUM(K114:L114)</f>
        <v>0</v>
      </c>
      <c r="N114" s="90"/>
      <c r="O114" s="350"/>
      <c r="P114" s="88"/>
      <c r="Q114" s="346"/>
      <c r="R114" s="350"/>
      <c r="S114" s="88"/>
      <c r="T114" s="350"/>
      <c r="U114" s="88"/>
      <c r="V114" s="346"/>
      <c r="W114" s="350"/>
      <c r="X114" s="88"/>
      <c r="Y114" s="350"/>
      <c r="Z114" s="88"/>
      <c r="AA114" s="350"/>
      <c r="AB114" s="88"/>
      <c r="AC114" s="350"/>
    </row>
    <row r="115" spans="1:29" x14ac:dyDescent="0.35">
      <c r="A115" s="103" t="s">
        <v>449</v>
      </c>
      <c r="B115" s="88"/>
      <c r="C115" s="88"/>
      <c r="D115" s="88"/>
      <c r="E115" s="88"/>
      <c r="F115" s="132"/>
      <c r="G115" s="135"/>
      <c r="H115" s="135"/>
      <c r="I115" s="105"/>
      <c r="J115" s="364">
        <f>'As-Filed Schedule 3'!J115</f>
        <v>0</v>
      </c>
      <c r="K115" s="410">
        <f>'As-Filed Schedule 3'!K115</f>
        <v>0</v>
      </c>
      <c r="L115" s="412">
        <f>SUMIFS(Adjustments!$G:$G,Adjustments!$H:$H,"3",Adjustments!$I:$I,'Schedule 3 Adjustments'!$K$13,Adjustments!$J:$J,"20c")</f>
        <v>0</v>
      </c>
      <c r="M115" s="414">
        <f>SUM(K115:L115)</f>
        <v>0</v>
      </c>
      <c r="N115" s="90"/>
      <c r="O115" s="350"/>
      <c r="P115" s="88"/>
      <c r="Q115" s="346"/>
      <c r="R115" s="350"/>
      <c r="S115" s="88"/>
      <c r="T115" s="350"/>
      <c r="U115" s="88"/>
      <c r="V115" s="346"/>
      <c r="W115" s="350"/>
      <c r="X115" s="88"/>
      <c r="Y115" s="350"/>
      <c r="Z115" s="88"/>
      <c r="AA115" s="350"/>
      <c r="AB115" s="88"/>
      <c r="AC115" s="350"/>
    </row>
    <row r="116" spans="1:29" x14ac:dyDescent="0.35">
      <c r="J116" s="100"/>
      <c r="N116" s="28"/>
      <c r="O116" s="342"/>
    </row>
    <row r="117" spans="1:29" s="34" customFormat="1" x14ac:dyDescent="0.35">
      <c r="A117" s="84">
        <v>21</v>
      </c>
      <c r="B117" s="529">
        <f>'As-Filed Schedule 3'!B117:C117</f>
        <v>0</v>
      </c>
      <c r="C117" s="530"/>
      <c r="D117" s="360">
        <f>'As-Filed Schedule 3'!D117</f>
        <v>0</v>
      </c>
      <c r="E117" s="360">
        <f>'As-Filed Schedule 3'!E117</f>
        <v>0</v>
      </c>
      <c r="F117" s="359">
        <f>'As-Filed Schedule 3'!F117</f>
        <v>0</v>
      </c>
      <c r="G117" s="358">
        <f>'As-Filed Schedule 3'!G117</f>
        <v>0</v>
      </c>
      <c r="H117" s="358">
        <f>'As-Filed Schedule 3'!H117</f>
        <v>0</v>
      </c>
      <c r="I117" s="138" t="str">
        <f>IF(B117=0,"",IF(AND(G117=0,H117=0),365,IF(AND(G117&gt;0,H117=0),$C$6-G117+1,IF(AND(G117=0,H117&gt;0),H117-($C$6-365),H117-G117+1))))</f>
        <v/>
      </c>
      <c r="J117" s="98"/>
      <c r="K117" s="409">
        <f>SUM(K118:K120)</f>
        <v>0</v>
      </c>
      <c r="L117" s="411">
        <f>SUM(L118:L120)</f>
        <v>0</v>
      </c>
      <c r="M117" s="413">
        <f>SUM(M118:M120)</f>
        <v>0</v>
      </c>
      <c r="N117" s="91" t="str">
        <f>IF(K117&gt;0,K117/(F117*I117),"")</f>
        <v/>
      </c>
      <c r="O117" s="341" t="str">
        <f>IF(M117&gt;0,M117/(F117*I117),"")</f>
        <v/>
      </c>
      <c r="P117" s="125">
        <f>'As-Filed Schedule 3'!M117</f>
        <v>0</v>
      </c>
      <c r="Q117" s="344">
        <f>SUMIFS(Adjustments!$G:$G,Adjustments!$H:$H,"3",Adjustments!$I:$I,'Schedule 3 Adjustments'!$P$13,Adjustments!$J:$J,'As-Filed Schedule 3'!A117)</f>
        <v>0</v>
      </c>
      <c r="R117" s="348">
        <f>SUM(P117:Q117)</f>
        <v>0</v>
      </c>
      <c r="S117" s="85" t="str">
        <f>IFERROR(P117/K117,"")</f>
        <v/>
      </c>
      <c r="T117" s="352" t="str">
        <f>IFERROR(R117/M117,"")</f>
        <v/>
      </c>
      <c r="U117" s="125">
        <f>'As-Filed Schedule 3'!O117</f>
        <v>0</v>
      </c>
      <c r="V117" s="344">
        <f>SUMIFS(Adjustments!$G:$G,Adjustments!$H:$H,"3",Adjustments!$I:$I,'Schedule 3 Adjustments'!$U$13,Adjustments!$J:$J,$A117)</f>
        <v>0</v>
      </c>
      <c r="W117" s="348">
        <f>SUM(U117:V117)</f>
        <v>0</v>
      </c>
      <c r="X117" s="85" t="str">
        <f>IFERROR(U117/K117,"")</f>
        <v/>
      </c>
      <c r="Y117" s="85" t="str">
        <f>IFERROR(W117/M117,"")</f>
        <v/>
      </c>
      <c r="Z117" s="86" t="str">
        <f>IF(P117=0,"",P117-U117)</f>
        <v/>
      </c>
      <c r="AA117" s="354" t="str">
        <f>IF(R117=0,"",R117-W117)</f>
        <v/>
      </c>
      <c r="AB117" s="85" t="str">
        <f>IFERROR(Z117/K117,"")</f>
        <v/>
      </c>
      <c r="AC117" s="352" t="str">
        <f>IFERROR(AA117/M117,"")</f>
        <v/>
      </c>
    </row>
    <row r="118" spans="1:29" x14ac:dyDescent="0.35">
      <c r="A118" s="101" t="s">
        <v>447</v>
      </c>
      <c r="B118" s="87"/>
      <c r="C118" s="87"/>
      <c r="D118" s="87"/>
      <c r="E118" s="87"/>
      <c r="F118" s="131"/>
      <c r="G118" s="134"/>
      <c r="H118" s="134"/>
      <c r="I118" s="104"/>
      <c r="J118" s="364">
        <f>'As-Filed Schedule 3'!J118</f>
        <v>0</v>
      </c>
      <c r="K118" s="410">
        <f>'As-Filed Schedule 3'!K118</f>
        <v>0</v>
      </c>
      <c r="L118" s="412">
        <f>SUMIFS(Adjustments!$G:$G,Adjustments!$H:$H,"3",Adjustments!$I:$I,'Schedule 3 Adjustments'!$K$13,Adjustments!$J:$J,"21a")</f>
        <v>0</v>
      </c>
      <c r="M118" s="414">
        <f>SUM(K118:L118)</f>
        <v>0</v>
      </c>
      <c r="N118" s="89"/>
      <c r="O118" s="349"/>
      <c r="P118" s="87"/>
      <c r="Q118" s="345"/>
      <c r="R118" s="349"/>
      <c r="S118" s="87"/>
      <c r="T118" s="349"/>
      <c r="U118" s="87"/>
      <c r="V118" s="345"/>
      <c r="W118" s="349"/>
      <c r="X118" s="87"/>
      <c r="Y118" s="349"/>
      <c r="Z118" s="87"/>
      <c r="AA118" s="349"/>
      <c r="AB118" s="87"/>
      <c r="AC118" s="349"/>
    </row>
    <row r="119" spans="1:29" x14ac:dyDescent="0.35">
      <c r="A119" s="102" t="s">
        <v>448</v>
      </c>
      <c r="B119" s="88"/>
      <c r="C119" s="88"/>
      <c r="D119" s="88"/>
      <c r="E119" s="88"/>
      <c r="F119" s="132"/>
      <c r="G119" s="135"/>
      <c r="H119" s="135"/>
      <c r="I119" s="105"/>
      <c r="J119" s="364">
        <f>'As-Filed Schedule 3'!J119</f>
        <v>0</v>
      </c>
      <c r="K119" s="410">
        <f>'As-Filed Schedule 3'!K119</f>
        <v>0</v>
      </c>
      <c r="L119" s="412">
        <f>SUMIFS(Adjustments!$G:$G,Adjustments!$H:$H,"3",Adjustments!$I:$I,'Schedule 3 Adjustments'!$K$13,Adjustments!$J:$J,"21b")</f>
        <v>0</v>
      </c>
      <c r="M119" s="414">
        <f>SUM(K119:L119)</f>
        <v>0</v>
      </c>
      <c r="N119" s="90"/>
      <c r="O119" s="350"/>
      <c r="P119" s="88"/>
      <c r="Q119" s="346"/>
      <c r="R119" s="350"/>
      <c r="S119" s="88"/>
      <c r="T119" s="350"/>
      <c r="U119" s="88"/>
      <c r="V119" s="346"/>
      <c r="W119" s="350"/>
      <c r="X119" s="88"/>
      <c r="Y119" s="350"/>
      <c r="Z119" s="88"/>
      <c r="AA119" s="350"/>
      <c r="AB119" s="88"/>
      <c r="AC119" s="350"/>
    </row>
    <row r="120" spans="1:29" x14ac:dyDescent="0.35">
      <c r="A120" s="103" t="s">
        <v>449</v>
      </c>
      <c r="B120" s="88"/>
      <c r="C120" s="88"/>
      <c r="D120" s="88"/>
      <c r="E120" s="88"/>
      <c r="F120" s="132"/>
      <c r="G120" s="135"/>
      <c r="H120" s="135"/>
      <c r="I120" s="105"/>
      <c r="J120" s="364">
        <f>'As-Filed Schedule 3'!J120</f>
        <v>0</v>
      </c>
      <c r="K120" s="410">
        <f>'As-Filed Schedule 3'!K120</f>
        <v>0</v>
      </c>
      <c r="L120" s="412">
        <f>SUMIFS(Adjustments!$G:$G,Adjustments!$H:$H,"3",Adjustments!$I:$I,'Schedule 3 Adjustments'!$K$13,Adjustments!$J:$J,"21c")</f>
        <v>0</v>
      </c>
      <c r="M120" s="414">
        <f>SUM(K120:L120)</f>
        <v>0</v>
      </c>
      <c r="N120" s="90"/>
      <c r="O120" s="350"/>
      <c r="P120" s="88"/>
      <c r="Q120" s="346"/>
      <c r="R120" s="350"/>
      <c r="S120" s="88"/>
      <c r="T120" s="350"/>
      <c r="U120" s="88"/>
      <c r="V120" s="346"/>
      <c r="W120" s="350"/>
      <c r="X120" s="88"/>
      <c r="Y120" s="350"/>
      <c r="Z120" s="88"/>
      <c r="AA120" s="350"/>
      <c r="AB120" s="88"/>
      <c r="AC120" s="350"/>
    </row>
    <row r="121" spans="1:29" x14ac:dyDescent="0.35">
      <c r="J121" s="100"/>
      <c r="N121" s="28"/>
      <c r="O121" s="342"/>
    </row>
    <row r="122" spans="1:29" s="34" customFormat="1" x14ac:dyDescent="0.35">
      <c r="A122" s="84">
        <v>22</v>
      </c>
      <c r="B122" s="529">
        <f>'As-Filed Schedule 3'!B122:C122</f>
        <v>0</v>
      </c>
      <c r="C122" s="530"/>
      <c r="D122" s="360">
        <f>'As-Filed Schedule 3'!D122</f>
        <v>0</v>
      </c>
      <c r="E122" s="360">
        <f>'As-Filed Schedule 3'!E122</f>
        <v>0</v>
      </c>
      <c r="F122" s="359">
        <f>'As-Filed Schedule 3'!F122</f>
        <v>0</v>
      </c>
      <c r="G122" s="358">
        <f>'As-Filed Schedule 3'!G122</f>
        <v>0</v>
      </c>
      <c r="H122" s="358">
        <f>'As-Filed Schedule 3'!H122</f>
        <v>0</v>
      </c>
      <c r="I122" s="138" t="str">
        <f>IF(B122=0,"",IF(AND(G122=0,H122=0),365,IF(AND(G122&gt;0,H122=0),$C$6-G122+1,IF(AND(G122=0,H122&gt;0),H122-($C$6-365),H122-G122+1))))</f>
        <v/>
      </c>
      <c r="J122" s="98"/>
      <c r="K122" s="409">
        <f>SUM(K123:K125)</f>
        <v>0</v>
      </c>
      <c r="L122" s="411">
        <f>SUM(L123:L125)</f>
        <v>0</v>
      </c>
      <c r="M122" s="413">
        <f>SUM(M123:M125)</f>
        <v>0</v>
      </c>
      <c r="N122" s="91" t="str">
        <f>IF(K122&gt;0,K122/(F122*I122),"")</f>
        <v/>
      </c>
      <c r="O122" s="341" t="str">
        <f>IF(M122&gt;0,M122/(F122*I122),"")</f>
        <v/>
      </c>
      <c r="P122" s="125">
        <f>'As-Filed Schedule 3'!M122</f>
        <v>0</v>
      </c>
      <c r="Q122" s="344">
        <f>SUMIFS(Adjustments!$G:$G,Adjustments!$H:$H,"3",Adjustments!$I:$I,'Schedule 3 Adjustments'!$P$13,Adjustments!$J:$J,'As-Filed Schedule 3'!A122)</f>
        <v>0</v>
      </c>
      <c r="R122" s="348">
        <f>SUM(P122:Q122)</f>
        <v>0</v>
      </c>
      <c r="S122" s="85" t="str">
        <f>IFERROR(P122/K122,"")</f>
        <v/>
      </c>
      <c r="T122" s="352" t="str">
        <f>IFERROR(R122/M122,"")</f>
        <v/>
      </c>
      <c r="U122" s="125">
        <f>'As-Filed Schedule 3'!O122</f>
        <v>0</v>
      </c>
      <c r="V122" s="344">
        <f>SUMIFS(Adjustments!$G:$G,Adjustments!$H:$H,"3",Adjustments!$I:$I,'Schedule 3 Adjustments'!$U$13,Adjustments!$J:$J,$A122)</f>
        <v>0</v>
      </c>
      <c r="W122" s="348">
        <f>SUM(U122:V122)</f>
        <v>0</v>
      </c>
      <c r="X122" s="85" t="str">
        <f>IFERROR(U122/K122,"")</f>
        <v/>
      </c>
      <c r="Y122" s="85" t="str">
        <f>IFERROR(W122/M122,"")</f>
        <v/>
      </c>
      <c r="Z122" s="86" t="str">
        <f>IF(P122=0,"",P122-U122)</f>
        <v/>
      </c>
      <c r="AA122" s="354" t="str">
        <f>IF(R122=0,"",R122-W122)</f>
        <v/>
      </c>
      <c r="AB122" s="85" t="str">
        <f>IFERROR(Z122/K122,"")</f>
        <v/>
      </c>
      <c r="AC122" s="352" t="str">
        <f>IFERROR(AA122/M122,"")</f>
        <v/>
      </c>
    </row>
    <row r="123" spans="1:29" x14ac:dyDescent="0.35">
      <c r="A123" s="101" t="s">
        <v>447</v>
      </c>
      <c r="B123" s="87"/>
      <c r="C123" s="87"/>
      <c r="D123" s="87"/>
      <c r="E123" s="87"/>
      <c r="F123" s="131"/>
      <c r="G123" s="134"/>
      <c r="H123" s="134"/>
      <c r="I123" s="104"/>
      <c r="J123" s="364">
        <f>'As-Filed Schedule 3'!J123</f>
        <v>0</v>
      </c>
      <c r="K123" s="410">
        <f>'As-Filed Schedule 3'!K123</f>
        <v>0</v>
      </c>
      <c r="L123" s="412">
        <f>SUMIFS(Adjustments!$G:$G,Adjustments!$H:$H,"3",Adjustments!$I:$I,'Schedule 3 Adjustments'!$K$13,Adjustments!$J:$J,"22a")</f>
        <v>0</v>
      </c>
      <c r="M123" s="414">
        <f>SUM(K123:L123)</f>
        <v>0</v>
      </c>
      <c r="N123" s="89"/>
      <c r="O123" s="349"/>
      <c r="P123" s="87"/>
      <c r="Q123" s="345"/>
      <c r="R123" s="349"/>
      <c r="S123" s="87"/>
      <c r="T123" s="349"/>
      <c r="U123" s="87"/>
      <c r="V123" s="345"/>
      <c r="W123" s="349"/>
      <c r="X123" s="87"/>
      <c r="Y123" s="349"/>
      <c r="Z123" s="87"/>
      <c r="AA123" s="349"/>
      <c r="AB123" s="87"/>
      <c r="AC123" s="349"/>
    </row>
    <row r="124" spans="1:29" x14ac:dyDescent="0.35">
      <c r="A124" s="102" t="s">
        <v>448</v>
      </c>
      <c r="B124" s="88"/>
      <c r="C124" s="88"/>
      <c r="D124" s="88"/>
      <c r="E124" s="88"/>
      <c r="F124" s="132"/>
      <c r="G124" s="135"/>
      <c r="H124" s="135"/>
      <c r="I124" s="105"/>
      <c r="J124" s="364">
        <f>'As-Filed Schedule 3'!J124</f>
        <v>0</v>
      </c>
      <c r="K124" s="410">
        <f>'As-Filed Schedule 3'!K124</f>
        <v>0</v>
      </c>
      <c r="L124" s="412">
        <f>SUMIFS(Adjustments!$G:$G,Adjustments!$H:$H,"3",Adjustments!$I:$I,'Schedule 3 Adjustments'!$K$13,Adjustments!$J:$J,"22b")</f>
        <v>0</v>
      </c>
      <c r="M124" s="414">
        <f>SUM(K124:L124)</f>
        <v>0</v>
      </c>
      <c r="N124" s="90"/>
      <c r="O124" s="350"/>
      <c r="P124" s="88"/>
      <c r="Q124" s="346"/>
      <c r="R124" s="350"/>
      <c r="S124" s="88"/>
      <c r="T124" s="350"/>
      <c r="U124" s="88"/>
      <c r="V124" s="346"/>
      <c r="W124" s="350"/>
      <c r="X124" s="88"/>
      <c r="Y124" s="350"/>
      <c r="Z124" s="88"/>
      <c r="AA124" s="350"/>
      <c r="AB124" s="88"/>
      <c r="AC124" s="350"/>
    </row>
    <row r="125" spans="1:29" x14ac:dyDescent="0.35">
      <c r="A125" s="103" t="s">
        <v>449</v>
      </c>
      <c r="B125" s="88"/>
      <c r="C125" s="88"/>
      <c r="D125" s="88"/>
      <c r="E125" s="88"/>
      <c r="F125" s="132"/>
      <c r="G125" s="135"/>
      <c r="H125" s="135"/>
      <c r="I125" s="105"/>
      <c r="J125" s="364">
        <f>'As-Filed Schedule 3'!J125</f>
        <v>0</v>
      </c>
      <c r="K125" s="410">
        <f>'As-Filed Schedule 3'!K125</f>
        <v>0</v>
      </c>
      <c r="L125" s="412">
        <f>SUMIFS(Adjustments!$G:$G,Adjustments!$H:$H,"3",Adjustments!$I:$I,'Schedule 3 Adjustments'!$K$13,Adjustments!$J:$J,"22c")</f>
        <v>0</v>
      </c>
      <c r="M125" s="414">
        <f>SUM(K125:L125)</f>
        <v>0</v>
      </c>
      <c r="N125" s="90"/>
      <c r="O125" s="350"/>
      <c r="P125" s="88"/>
      <c r="Q125" s="346"/>
      <c r="R125" s="350"/>
      <c r="S125" s="88"/>
      <c r="T125" s="350"/>
      <c r="U125" s="88"/>
      <c r="V125" s="346"/>
      <c r="W125" s="350"/>
      <c r="X125" s="88"/>
      <c r="Y125" s="350"/>
      <c r="Z125" s="88"/>
      <c r="AA125" s="350"/>
      <c r="AB125" s="88"/>
      <c r="AC125" s="350"/>
    </row>
    <row r="126" spans="1:29" x14ac:dyDescent="0.35">
      <c r="J126" s="100"/>
      <c r="N126" s="28"/>
      <c r="O126" s="342"/>
    </row>
    <row r="127" spans="1:29" s="34" customFormat="1" x14ac:dyDescent="0.35">
      <c r="A127" s="84">
        <v>23</v>
      </c>
      <c r="B127" s="529">
        <f>'As-Filed Schedule 3'!B127:C127</f>
        <v>0</v>
      </c>
      <c r="C127" s="530"/>
      <c r="D127" s="360">
        <f>'As-Filed Schedule 3'!D127</f>
        <v>0</v>
      </c>
      <c r="E127" s="360">
        <f>'As-Filed Schedule 3'!E127</f>
        <v>0</v>
      </c>
      <c r="F127" s="359">
        <f>'As-Filed Schedule 3'!F127</f>
        <v>0</v>
      </c>
      <c r="G127" s="358">
        <f>'As-Filed Schedule 3'!G127</f>
        <v>0</v>
      </c>
      <c r="H127" s="358">
        <f>'As-Filed Schedule 3'!H127</f>
        <v>0</v>
      </c>
      <c r="I127" s="138" t="str">
        <f>IF(B127=0,"",IF(AND(G127=0,H127=0),365,IF(AND(G127&gt;0,H127=0),$C$6-G127+1,IF(AND(G127=0,H127&gt;0),H127-($C$6-365),H127-G127+1))))</f>
        <v/>
      </c>
      <c r="J127" s="98"/>
      <c r="K127" s="409">
        <f>SUM(K128:K130)</f>
        <v>0</v>
      </c>
      <c r="L127" s="411">
        <f>SUM(L128:L130)</f>
        <v>0</v>
      </c>
      <c r="M127" s="413">
        <f>SUM(M128:M130)</f>
        <v>0</v>
      </c>
      <c r="N127" s="91" t="str">
        <f>IF(K127&gt;0,K127/(F127*I127),"")</f>
        <v/>
      </c>
      <c r="O127" s="341" t="str">
        <f>IF(M127&gt;0,M127/(F127*I127),"")</f>
        <v/>
      </c>
      <c r="P127" s="125">
        <f>'As-Filed Schedule 3'!M127</f>
        <v>0</v>
      </c>
      <c r="Q127" s="344">
        <f>SUMIFS(Adjustments!$G:$G,Adjustments!$H:$H,"3",Adjustments!$I:$I,'Schedule 3 Adjustments'!$P$13,Adjustments!$J:$J,'As-Filed Schedule 3'!A127)</f>
        <v>0</v>
      </c>
      <c r="R127" s="348">
        <f>SUM(P127:Q127)</f>
        <v>0</v>
      </c>
      <c r="S127" s="85" t="str">
        <f>IFERROR(P127/K127,"")</f>
        <v/>
      </c>
      <c r="T127" s="352" t="str">
        <f>IFERROR(R127/M127,"")</f>
        <v/>
      </c>
      <c r="U127" s="125">
        <f>'As-Filed Schedule 3'!O127</f>
        <v>0</v>
      </c>
      <c r="V127" s="344">
        <f>SUMIFS(Adjustments!$G:$G,Adjustments!$H:$H,"3",Adjustments!$I:$I,'Schedule 3 Adjustments'!$U$13,Adjustments!$J:$J,$A127)</f>
        <v>0</v>
      </c>
      <c r="W127" s="348">
        <f>SUM(U127:V127)</f>
        <v>0</v>
      </c>
      <c r="X127" s="85" t="str">
        <f>IFERROR(U127/K127,"")</f>
        <v/>
      </c>
      <c r="Y127" s="85" t="str">
        <f>IFERROR(W127/M127,"")</f>
        <v/>
      </c>
      <c r="Z127" s="86" t="str">
        <f>IF(P127=0,"",P127-U127)</f>
        <v/>
      </c>
      <c r="AA127" s="354" t="str">
        <f>IF(R127=0,"",R127-W127)</f>
        <v/>
      </c>
      <c r="AB127" s="85" t="str">
        <f>IFERROR(Z127/K127,"")</f>
        <v/>
      </c>
      <c r="AC127" s="352" t="str">
        <f>IFERROR(AA127/M127,"")</f>
        <v/>
      </c>
    </row>
    <row r="128" spans="1:29" x14ac:dyDescent="0.35">
      <c r="A128" s="101" t="s">
        <v>447</v>
      </c>
      <c r="B128" s="87"/>
      <c r="C128" s="87"/>
      <c r="D128" s="87"/>
      <c r="E128" s="87"/>
      <c r="F128" s="131"/>
      <c r="G128" s="134"/>
      <c r="H128" s="134"/>
      <c r="I128" s="104"/>
      <c r="J128" s="364">
        <f>'As-Filed Schedule 3'!J128</f>
        <v>0</v>
      </c>
      <c r="K128" s="410">
        <f>'As-Filed Schedule 3'!K128</f>
        <v>0</v>
      </c>
      <c r="L128" s="412">
        <f>SUMIFS(Adjustments!$G:$G,Adjustments!$H:$H,"3",Adjustments!$I:$I,'Schedule 3 Adjustments'!$K$13,Adjustments!$J:$J,"23a")</f>
        <v>0</v>
      </c>
      <c r="M128" s="414">
        <f>SUM(K128:L128)</f>
        <v>0</v>
      </c>
      <c r="N128" s="89"/>
      <c r="O128" s="349"/>
      <c r="P128" s="87"/>
      <c r="Q128" s="345"/>
      <c r="R128" s="349"/>
      <c r="S128" s="87"/>
      <c r="T128" s="349"/>
      <c r="U128" s="87"/>
      <c r="V128" s="345"/>
      <c r="W128" s="349"/>
      <c r="X128" s="87"/>
      <c r="Y128" s="349"/>
      <c r="Z128" s="87"/>
      <c r="AA128" s="349"/>
      <c r="AB128" s="87"/>
      <c r="AC128" s="349"/>
    </row>
    <row r="129" spans="1:29" x14ac:dyDescent="0.35">
      <c r="A129" s="102" t="s">
        <v>448</v>
      </c>
      <c r="B129" s="88"/>
      <c r="C129" s="88"/>
      <c r="D129" s="88"/>
      <c r="E129" s="88"/>
      <c r="F129" s="132"/>
      <c r="G129" s="135"/>
      <c r="H129" s="135"/>
      <c r="I129" s="105"/>
      <c r="J129" s="364">
        <f>'As-Filed Schedule 3'!J129</f>
        <v>0</v>
      </c>
      <c r="K129" s="410">
        <f>'As-Filed Schedule 3'!K129</f>
        <v>0</v>
      </c>
      <c r="L129" s="412">
        <f>SUMIFS(Adjustments!$G:$G,Adjustments!$H:$H,"3",Adjustments!$I:$I,'Schedule 3 Adjustments'!$K$13,Adjustments!$J:$J,"23b")</f>
        <v>0</v>
      </c>
      <c r="M129" s="414">
        <f>SUM(K129:L129)</f>
        <v>0</v>
      </c>
      <c r="N129" s="90"/>
      <c r="O129" s="350"/>
      <c r="P129" s="88"/>
      <c r="Q129" s="346"/>
      <c r="R129" s="350"/>
      <c r="S129" s="88"/>
      <c r="T129" s="350"/>
      <c r="U129" s="88"/>
      <c r="V129" s="346"/>
      <c r="W129" s="350"/>
      <c r="X129" s="88"/>
      <c r="Y129" s="350"/>
      <c r="Z129" s="88"/>
      <c r="AA129" s="350"/>
      <c r="AB129" s="88"/>
      <c r="AC129" s="350"/>
    </row>
    <row r="130" spans="1:29" x14ac:dyDescent="0.35">
      <c r="A130" s="103" t="s">
        <v>449</v>
      </c>
      <c r="B130" s="88"/>
      <c r="C130" s="88"/>
      <c r="D130" s="88"/>
      <c r="E130" s="88"/>
      <c r="F130" s="132"/>
      <c r="G130" s="135"/>
      <c r="H130" s="135"/>
      <c r="I130" s="105"/>
      <c r="J130" s="364">
        <f>'As-Filed Schedule 3'!J130</f>
        <v>0</v>
      </c>
      <c r="K130" s="410">
        <f>'As-Filed Schedule 3'!K130</f>
        <v>0</v>
      </c>
      <c r="L130" s="412">
        <f>SUMIFS(Adjustments!$G:$G,Adjustments!$H:$H,"3",Adjustments!$I:$I,'Schedule 3 Adjustments'!$K$13,Adjustments!$J:$J,"23c")</f>
        <v>0</v>
      </c>
      <c r="M130" s="414">
        <f>SUM(K130:L130)</f>
        <v>0</v>
      </c>
      <c r="N130" s="90"/>
      <c r="O130" s="350"/>
      <c r="P130" s="88"/>
      <c r="Q130" s="346"/>
      <c r="R130" s="350"/>
      <c r="S130" s="88"/>
      <c r="T130" s="350"/>
      <c r="U130" s="88"/>
      <c r="V130" s="346"/>
      <c r="W130" s="350"/>
      <c r="X130" s="88"/>
      <c r="Y130" s="350"/>
      <c r="Z130" s="88"/>
      <c r="AA130" s="350"/>
      <c r="AB130" s="88"/>
      <c r="AC130" s="350"/>
    </row>
    <row r="131" spans="1:29" x14ac:dyDescent="0.35">
      <c r="J131" s="100"/>
      <c r="N131" s="28"/>
      <c r="O131" s="342"/>
    </row>
    <row r="132" spans="1:29" s="34" customFormat="1" x14ac:dyDescent="0.35">
      <c r="A132" s="84">
        <v>24</v>
      </c>
      <c r="B132" s="529">
        <f>'As-Filed Schedule 3'!B132:C132</f>
        <v>0</v>
      </c>
      <c r="C132" s="530"/>
      <c r="D132" s="360">
        <f>'As-Filed Schedule 3'!D132</f>
        <v>0</v>
      </c>
      <c r="E132" s="360">
        <f>'As-Filed Schedule 3'!E132</f>
        <v>0</v>
      </c>
      <c r="F132" s="359">
        <f>'As-Filed Schedule 3'!F132</f>
        <v>0</v>
      </c>
      <c r="G132" s="358">
        <f>'As-Filed Schedule 3'!G132</f>
        <v>0</v>
      </c>
      <c r="H132" s="358">
        <f>'As-Filed Schedule 3'!H132</f>
        <v>0</v>
      </c>
      <c r="I132" s="138" t="str">
        <f>IF(B132=0,"",IF(AND(G132=0,H132=0),365,IF(AND(G132&gt;0,H132=0),$C$6-G132+1,IF(AND(G132=0,H132&gt;0),H132-($C$6-365),H132-G132+1))))</f>
        <v/>
      </c>
      <c r="J132" s="98"/>
      <c r="K132" s="409">
        <f>SUM(K133:K135)</f>
        <v>0</v>
      </c>
      <c r="L132" s="411">
        <f>SUM(L133:L135)</f>
        <v>0</v>
      </c>
      <c r="M132" s="413">
        <f>SUM(M133:M135)</f>
        <v>0</v>
      </c>
      <c r="N132" s="91" t="str">
        <f>IF(K132&gt;0,K132/(F132*I132),"")</f>
        <v/>
      </c>
      <c r="O132" s="341" t="str">
        <f>IF(M132&gt;0,M132/(F132*I132),"")</f>
        <v/>
      </c>
      <c r="P132" s="125">
        <f>'As-Filed Schedule 3'!M132</f>
        <v>0</v>
      </c>
      <c r="Q132" s="344">
        <f>SUMIFS(Adjustments!$G:$G,Adjustments!$H:$H,"3",Adjustments!$I:$I,'Schedule 3 Adjustments'!$P$13,Adjustments!$J:$J,'As-Filed Schedule 3'!A132)</f>
        <v>0</v>
      </c>
      <c r="R132" s="348">
        <f>SUM(P132:Q132)</f>
        <v>0</v>
      </c>
      <c r="S132" s="85" t="str">
        <f>IFERROR(P132/K132,"")</f>
        <v/>
      </c>
      <c r="T132" s="352" t="str">
        <f>IFERROR(R132/M132,"")</f>
        <v/>
      </c>
      <c r="U132" s="125">
        <f>'As-Filed Schedule 3'!O132</f>
        <v>0</v>
      </c>
      <c r="V132" s="344">
        <f>SUMIFS(Adjustments!$G:$G,Adjustments!$H:$H,"3",Adjustments!$I:$I,'Schedule 3 Adjustments'!$U$13,Adjustments!$J:$J,$A132)</f>
        <v>0</v>
      </c>
      <c r="W132" s="348">
        <f>SUM(U132:V132)</f>
        <v>0</v>
      </c>
      <c r="X132" s="85" t="str">
        <f>IFERROR(U132/K132,"")</f>
        <v/>
      </c>
      <c r="Y132" s="85" t="str">
        <f>IFERROR(W132/M132,"")</f>
        <v/>
      </c>
      <c r="Z132" s="86" t="str">
        <f>IF(P132=0,"",P132-U132)</f>
        <v/>
      </c>
      <c r="AA132" s="354" t="str">
        <f>IF(R132=0,"",R132-W132)</f>
        <v/>
      </c>
      <c r="AB132" s="85" t="str">
        <f>IFERROR(Z132/K132,"")</f>
        <v/>
      </c>
      <c r="AC132" s="352" t="str">
        <f>IFERROR(AA132/M132,"")</f>
        <v/>
      </c>
    </row>
    <row r="133" spans="1:29" x14ac:dyDescent="0.35">
      <c r="A133" s="101" t="s">
        <v>447</v>
      </c>
      <c r="B133" s="87"/>
      <c r="C133" s="87"/>
      <c r="D133" s="87"/>
      <c r="E133" s="87"/>
      <c r="F133" s="131"/>
      <c r="G133" s="134"/>
      <c r="H133" s="134"/>
      <c r="I133" s="104"/>
      <c r="J133" s="364">
        <f>'As-Filed Schedule 3'!J133</f>
        <v>0</v>
      </c>
      <c r="K133" s="410">
        <f>'As-Filed Schedule 3'!K133</f>
        <v>0</v>
      </c>
      <c r="L133" s="412">
        <f>SUMIFS(Adjustments!$G:$G,Adjustments!$H:$H,"3",Adjustments!$I:$I,'Schedule 3 Adjustments'!$K$13,Adjustments!$J:$J,"24a")</f>
        <v>0</v>
      </c>
      <c r="M133" s="414">
        <f>SUM(K133:L133)</f>
        <v>0</v>
      </c>
      <c r="N133" s="89"/>
      <c r="O133" s="349"/>
      <c r="P133" s="87"/>
      <c r="Q133" s="345"/>
      <c r="R133" s="349"/>
      <c r="S133" s="87"/>
      <c r="T133" s="349"/>
      <c r="U133" s="87"/>
      <c r="V133" s="345"/>
      <c r="W133" s="349"/>
      <c r="X133" s="87"/>
      <c r="Y133" s="349"/>
      <c r="Z133" s="87"/>
      <c r="AA133" s="349"/>
      <c r="AB133" s="87"/>
      <c r="AC133" s="349"/>
    </row>
    <row r="134" spans="1:29" x14ac:dyDescent="0.35">
      <c r="A134" s="102" t="s">
        <v>448</v>
      </c>
      <c r="B134" s="88"/>
      <c r="C134" s="88"/>
      <c r="D134" s="88"/>
      <c r="E134" s="88"/>
      <c r="F134" s="132"/>
      <c r="G134" s="135"/>
      <c r="H134" s="135"/>
      <c r="I134" s="105"/>
      <c r="J134" s="364">
        <f>'As-Filed Schedule 3'!J134</f>
        <v>0</v>
      </c>
      <c r="K134" s="410">
        <f>'As-Filed Schedule 3'!K134</f>
        <v>0</v>
      </c>
      <c r="L134" s="412">
        <f>SUMIFS(Adjustments!$G:$G,Adjustments!$H:$H,"3",Adjustments!$I:$I,'Schedule 3 Adjustments'!$K$13,Adjustments!$J:$J,"24b")</f>
        <v>0</v>
      </c>
      <c r="M134" s="414">
        <f>SUM(K134:L134)</f>
        <v>0</v>
      </c>
      <c r="N134" s="90"/>
      <c r="O134" s="350"/>
      <c r="P134" s="88"/>
      <c r="Q134" s="346"/>
      <c r="R134" s="350"/>
      <c r="S134" s="88"/>
      <c r="T134" s="350"/>
      <c r="U134" s="88"/>
      <c r="V134" s="346"/>
      <c r="W134" s="350"/>
      <c r="X134" s="88"/>
      <c r="Y134" s="350"/>
      <c r="Z134" s="88"/>
      <c r="AA134" s="350"/>
      <c r="AB134" s="88"/>
      <c r="AC134" s="350"/>
    </row>
    <row r="135" spans="1:29" x14ac:dyDescent="0.35">
      <c r="A135" s="103" t="s">
        <v>449</v>
      </c>
      <c r="B135" s="88"/>
      <c r="C135" s="88"/>
      <c r="D135" s="88"/>
      <c r="E135" s="88"/>
      <c r="F135" s="132"/>
      <c r="G135" s="135"/>
      <c r="H135" s="135"/>
      <c r="I135" s="105"/>
      <c r="J135" s="364">
        <f>'As-Filed Schedule 3'!J135</f>
        <v>0</v>
      </c>
      <c r="K135" s="410">
        <f>'As-Filed Schedule 3'!K135</f>
        <v>0</v>
      </c>
      <c r="L135" s="412">
        <f>SUMIFS(Adjustments!$G:$G,Adjustments!$H:$H,"3",Adjustments!$I:$I,'Schedule 3 Adjustments'!$K$13,Adjustments!$J:$J,"24c")</f>
        <v>0</v>
      </c>
      <c r="M135" s="414">
        <f>SUM(K135:L135)</f>
        <v>0</v>
      </c>
      <c r="N135" s="90"/>
      <c r="O135" s="350"/>
      <c r="P135" s="88"/>
      <c r="Q135" s="346"/>
      <c r="R135" s="350"/>
      <c r="S135" s="88"/>
      <c r="T135" s="350"/>
      <c r="U135" s="88"/>
      <c r="V135" s="346"/>
      <c r="W135" s="350"/>
      <c r="X135" s="88"/>
      <c r="Y135" s="350"/>
      <c r="Z135" s="88"/>
      <c r="AA135" s="350"/>
      <c r="AB135" s="88"/>
      <c r="AC135" s="350"/>
    </row>
    <row r="136" spans="1:29" x14ac:dyDescent="0.35">
      <c r="J136" s="100"/>
      <c r="N136" s="28"/>
      <c r="O136" s="342"/>
    </row>
    <row r="137" spans="1:29" s="34" customFormat="1" x14ac:dyDescent="0.35">
      <c r="A137" s="84">
        <v>25</v>
      </c>
      <c r="B137" s="529">
        <f>'As-Filed Schedule 3'!B137:C137</f>
        <v>0</v>
      </c>
      <c r="C137" s="530"/>
      <c r="D137" s="360">
        <f>'As-Filed Schedule 3'!D137</f>
        <v>0</v>
      </c>
      <c r="E137" s="360">
        <f>'As-Filed Schedule 3'!E137</f>
        <v>0</v>
      </c>
      <c r="F137" s="359">
        <f>'As-Filed Schedule 3'!F137</f>
        <v>0</v>
      </c>
      <c r="G137" s="358">
        <f>'As-Filed Schedule 3'!G137</f>
        <v>0</v>
      </c>
      <c r="H137" s="358">
        <f>'As-Filed Schedule 3'!H137</f>
        <v>0</v>
      </c>
      <c r="I137" s="138" t="str">
        <f>IF(B137=0,"",IF(AND(G137=0,H137=0),365,IF(AND(G137&gt;0,H137=0),$C$6-G137+1,IF(AND(G137=0,H137&gt;0),H137-($C$6-365),H137-G137+1))))</f>
        <v/>
      </c>
      <c r="J137" s="98"/>
      <c r="K137" s="409">
        <f>SUM(K138:K140)</f>
        <v>0</v>
      </c>
      <c r="L137" s="411">
        <f>SUM(L138:L140)</f>
        <v>0</v>
      </c>
      <c r="M137" s="413">
        <f>SUM(M138:M140)</f>
        <v>0</v>
      </c>
      <c r="N137" s="91" t="str">
        <f>IF(K137&gt;0,K137/(F137*I137),"")</f>
        <v/>
      </c>
      <c r="O137" s="341" t="str">
        <f>IF(M137&gt;0,M137/(F137*I137),"")</f>
        <v/>
      </c>
      <c r="P137" s="125">
        <f>'As-Filed Schedule 3'!M137</f>
        <v>0</v>
      </c>
      <c r="Q137" s="344">
        <f>SUMIFS(Adjustments!$G:$G,Adjustments!$H:$H,"3",Adjustments!$I:$I,'Schedule 3 Adjustments'!$P$13,Adjustments!$J:$J,'As-Filed Schedule 3'!A137)</f>
        <v>0</v>
      </c>
      <c r="R137" s="348">
        <f>SUM(P137:Q137)</f>
        <v>0</v>
      </c>
      <c r="S137" s="85" t="str">
        <f>IFERROR(P137/K137,"")</f>
        <v/>
      </c>
      <c r="T137" s="352" t="str">
        <f>IFERROR(R137/M137,"")</f>
        <v/>
      </c>
      <c r="U137" s="125">
        <f>'As-Filed Schedule 3'!O137</f>
        <v>0</v>
      </c>
      <c r="V137" s="344">
        <f>SUMIFS(Adjustments!$G:$G,Adjustments!$H:$H,"3",Adjustments!$I:$I,'Schedule 3 Adjustments'!$U$13,Adjustments!$J:$J,$A137)</f>
        <v>0</v>
      </c>
      <c r="W137" s="348">
        <f>SUM(U137:V137)</f>
        <v>0</v>
      </c>
      <c r="X137" s="85" t="str">
        <f>IFERROR(U137/K137,"")</f>
        <v/>
      </c>
      <c r="Y137" s="85" t="str">
        <f>IFERROR(W137/M137,"")</f>
        <v/>
      </c>
      <c r="Z137" s="86" t="str">
        <f>IF(P137=0,"",P137-U137)</f>
        <v/>
      </c>
      <c r="AA137" s="354" t="str">
        <f>IF(R137=0,"",R137-W137)</f>
        <v/>
      </c>
      <c r="AB137" s="85" t="str">
        <f>IFERROR(Z137/K137,"")</f>
        <v/>
      </c>
      <c r="AC137" s="352" t="str">
        <f>IFERROR(AA137/M137,"")</f>
        <v/>
      </c>
    </row>
    <row r="138" spans="1:29" x14ac:dyDescent="0.35">
      <c r="A138" s="101" t="s">
        <v>447</v>
      </c>
      <c r="B138" s="87"/>
      <c r="C138" s="87"/>
      <c r="D138" s="87"/>
      <c r="E138" s="87"/>
      <c r="F138" s="131"/>
      <c r="G138" s="134"/>
      <c r="H138" s="134"/>
      <c r="I138" s="104"/>
      <c r="J138" s="364">
        <f>'As-Filed Schedule 3'!J138</f>
        <v>0</v>
      </c>
      <c r="K138" s="410">
        <f>'As-Filed Schedule 3'!K138</f>
        <v>0</v>
      </c>
      <c r="L138" s="412">
        <f>SUMIFS(Adjustments!$G:$G,Adjustments!$H:$H,"3",Adjustments!$I:$I,'Schedule 3 Adjustments'!$K$13,Adjustments!$J:$J,"25a")</f>
        <v>0</v>
      </c>
      <c r="M138" s="414">
        <f>SUM(K138:L138)</f>
        <v>0</v>
      </c>
      <c r="N138" s="89"/>
      <c r="O138" s="349"/>
      <c r="P138" s="87"/>
      <c r="Q138" s="345"/>
      <c r="R138" s="349"/>
      <c r="S138" s="87"/>
      <c r="T138" s="349"/>
      <c r="U138" s="87"/>
      <c r="V138" s="345"/>
      <c r="W138" s="349"/>
      <c r="X138" s="87"/>
      <c r="Y138" s="349"/>
      <c r="Z138" s="87"/>
      <c r="AA138" s="349"/>
      <c r="AB138" s="87"/>
      <c r="AC138" s="349"/>
    </row>
    <row r="139" spans="1:29" x14ac:dyDescent="0.35">
      <c r="A139" s="102" t="s">
        <v>448</v>
      </c>
      <c r="B139" s="88"/>
      <c r="C139" s="88"/>
      <c r="D139" s="88"/>
      <c r="E139" s="88"/>
      <c r="F139" s="132"/>
      <c r="G139" s="135"/>
      <c r="H139" s="135"/>
      <c r="I139" s="105"/>
      <c r="J139" s="364">
        <f>'As-Filed Schedule 3'!J139</f>
        <v>0</v>
      </c>
      <c r="K139" s="410">
        <f>'As-Filed Schedule 3'!K139</f>
        <v>0</v>
      </c>
      <c r="L139" s="412">
        <f>SUMIFS(Adjustments!$G:$G,Adjustments!$H:$H,"3",Adjustments!$I:$I,'Schedule 3 Adjustments'!$K$13,Adjustments!$J:$J,"25b")</f>
        <v>0</v>
      </c>
      <c r="M139" s="414">
        <f>SUM(K139:L139)</f>
        <v>0</v>
      </c>
      <c r="N139" s="90"/>
      <c r="O139" s="350"/>
      <c r="P139" s="88"/>
      <c r="Q139" s="346"/>
      <c r="R139" s="350"/>
      <c r="S139" s="88"/>
      <c r="T139" s="350"/>
      <c r="U139" s="88"/>
      <c r="V139" s="346"/>
      <c r="W139" s="350"/>
      <c r="X139" s="88"/>
      <c r="Y139" s="350"/>
      <c r="Z139" s="88"/>
      <c r="AA139" s="350"/>
      <c r="AB139" s="88"/>
      <c r="AC139" s="350"/>
    </row>
    <row r="140" spans="1:29" x14ac:dyDescent="0.35">
      <c r="A140" s="103" t="s">
        <v>449</v>
      </c>
      <c r="B140" s="88"/>
      <c r="C140" s="88"/>
      <c r="D140" s="88"/>
      <c r="E140" s="88"/>
      <c r="F140" s="132"/>
      <c r="G140" s="135"/>
      <c r="H140" s="135"/>
      <c r="I140" s="105"/>
      <c r="J140" s="364">
        <f>'As-Filed Schedule 3'!J140</f>
        <v>0</v>
      </c>
      <c r="K140" s="410">
        <f>'As-Filed Schedule 3'!K140</f>
        <v>0</v>
      </c>
      <c r="L140" s="412">
        <f>SUMIFS(Adjustments!$G:$G,Adjustments!$H:$H,"3",Adjustments!$I:$I,'Schedule 3 Adjustments'!$K$13,Adjustments!$J:$J,"25c")</f>
        <v>0</v>
      </c>
      <c r="M140" s="414">
        <f>SUM(K140:L140)</f>
        <v>0</v>
      </c>
      <c r="N140" s="90"/>
      <c r="O140" s="350"/>
      <c r="P140" s="88"/>
      <c r="Q140" s="346"/>
      <c r="R140" s="350"/>
      <c r="S140" s="88"/>
      <c r="T140" s="350"/>
      <c r="U140" s="88"/>
      <c r="V140" s="346"/>
      <c r="W140" s="350"/>
      <c r="X140" s="88"/>
      <c r="Y140" s="350"/>
      <c r="Z140" s="88"/>
      <c r="AA140" s="350"/>
      <c r="AB140" s="88"/>
      <c r="AC140" s="350"/>
    </row>
    <row r="141" spans="1:29" x14ac:dyDescent="0.35">
      <c r="J141" s="100"/>
      <c r="N141" s="28"/>
      <c r="O141" s="342"/>
    </row>
    <row r="142" spans="1:29" s="34" customFormat="1" x14ac:dyDescent="0.35">
      <c r="A142" s="84">
        <v>26</v>
      </c>
      <c r="B142" s="529">
        <f>'As-Filed Schedule 3'!B142:C142</f>
        <v>0</v>
      </c>
      <c r="C142" s="530"/>
      <c r="D142" s="360">
        <f>'As-Filed Schedule 3'!D142</f>
        <v>0</v>
      </c>
      <c r="E142" s="360">
        <f>'As-Filed Schedule 3'!E142</f>
        <v>0</v>
      </c>
      <c r="F142" s="359">
        <f>'As-Filed Schedule 3'!F142</f>
        <v>0</v>
      </c>
      <c r="G142" s="358">
        <f>'As-Filed Schedule 3'!G142</f>
        <v>0</v>
      </c>
      <c r="H142" s="358">
        <f>'As-Filed Schedule 3'!H142</f>
        <v>0</v>
      </c>
      <c r="I142" s="138" t="str">
        <f>IF(B142=0,"",IF(AND(G142=0,H142=0),365,IF(AND(G142&gt;0,H142=0),$C$6-G142+1,IF(AND(G142=0,H142&gt;0),H142-($C$6-365),H142-G142+1))))</f>
        <v/>
      </c>
      <c r="J142" s="98"/>
      <c r="K142" s="409">
        <f>SUM(K143:K145)</f>
        <v>0</v>
      </c>
      <c r="L142" s="411">
        <f>SUM(L143:L145)</f>
        <v>0</v>
      </c>
      <c r="M142" s="413">
        <f>SUM(M143:M145)</f>
        <v>0</v>
      </c>
      <c r="N142" s="91" t="str">
        <f>IF(K142&gt;0,K142/(F142*I142),"")</f>
        <v/>
      </c>
      <c r="O142" s="341" t="str">
        <f>IF(M142&gt;0,M142/(F142*I142),"")</f>
        <v/>
      </c>
      <c r="P142" s="125">
        <f>'As-Filed Schedule 3'!M142</f>
        <v>0</v>
      </c>
      <c r="Q142" s="344">
        <f>SUMIFS(Adjustments!$G:$G,Adjustments!$H:$H,"3",Adjustments!$I:$I,'Schedule 3 Adjustments'!$P$13,Adjustments!$J:$J,'As-Filed Schedule 3'!A142)</f>
        <v>0</v>
      </c>
      <c r="R142" s="348">
        <f>SUM(P142:Q142)</f>
        <v>0</v>
      </c>
      <c r="S142" s="85" t="str">
        <f>IFERROR(P142/K142,"")</f>
        <v/>
      </c>
      <c r="T142" s="352" t="str">
        <f>IFERROR(R142/M142,"")</f>
        <v/>
      </c>
      <c r="U142" s="125">
        <f>'As-Filed Schedule 3'!O142</f>
        <v>0</v>
      </c>
      <c r="V142" s="344">
        <f>SUMIFS(Adjustments!$G:$G,Adjustments!$H:$H,"3",Adjustments!$I:$I,'Schedule 3 Adjustments'!$U$13,Adjustments!$J:$J,$A142)</f>
        <v>0</v>
      </c>
      <c r="W142" s="348">
        <f>SUM(U142:V142)</f>
        <v>0</v>
      </c>
      <c r="X142" s="85" t="str">
        <f>IFERROR(U142/K142,"")</f>
        <v/>
      </c>
      <c r="Y142" s="85" t="str">
        <f>IFERROR(W142/M142,"")</f>
        <v/>
      </c>
      <c r="Z142" s="86" t="str">
        <f>IF(P142=0,"",P142-U142)</f>
        <v/>
      </c>
      <c r="AA142" s="354" t="str">
        <f>IF(R142=0,"",R142-W142)</f>
        <v/>
      </c>
      <c r="AB142" s="85" t="str">
        <f>IFERROR(Z142/K142,"")</f>
        <v/>
      </c>
      <c r="AC142" s="352" t="str">
        <f>IFERROR(AA142/M142,"")</f>
        <v/>
      </c>
    </row>
    <row r="143" spans="1:29" x14ac:dyDescent="0.35">
      <c r="A143" s="101" t="s">
        <v>447</v>
      </c>
      <c r="B143" s="87"/>
      <c r="C143" s="87"/>
      <c r="D143" s="87"/>
      <c r="E143" s="87"/>
      <c r="F143" s="131"/>
      <c r="G143" s="134"/>
      <c r="H143" s="134"/>
      <c r="I143" s="104"/>
      <c r="J143" s="364">
        <f>'As-Filed Schedule 3'!J143</f>
        <v>0</v>
      </c>
      <c r="K143" s="410">
        <f>'As-Filed Schedule 3'!K143</f>
        <v>0</v>
      </c>
      <c r="L143" s="412">
        <f>SUMIFS(Adjustments!$G:$G,Adjustments!$H:$H,"3",Adjustments!$I:$I,'Schedule 3 Adjustments'!$K$13,Adjustments!$J:$J,"26a")</f>
        <v>0</v>
      </c>
      <c r="M143" s="414">
        <f>SUM(K143:L143)</f>
        <v>0</v>
      </c>
      <c r="N143" s="89"/>
      <c r="O143" s="349"/>
      <c r="P143" s="87"/>
      <c r="Q143" s="345"/>
      <c r="R143" s="349"/>
      <c r="S143" s="87"/>
      <c r="T143" s="349"/>
      <c r="U143" s="87"/>
      <c r="V143" s="345"/>
      <c r="W143" s="349"/>
      <c r="X143" s="87"/>
      <c r="Y143" s="349"/>
      <c r="Z143" s="87"/>
      <c r="AA143" s="349"/>
      <c r="AB143" s="87"/>
      <c r="AC143" s="349"/>
    </row>
    <row r="144" spans="1:29" x14ac:dyDescent="0.35">
      <c r="A144" s="102" t="s">
        <v>448</v>
      </c>
      <c r="B144" s="88"/>
      <c r="C144" s="88"/>
      <c r="D144" s="88"/>
      <c r="E144" s="88"/>
      <c r="F144" s="132"/>
      <c r="G144" s="135"/>
      <c r="H144" s="135"/>
      <c r="I144" s="105"/>
      <c r="J144" s="364">
        <f>'As-Filed Schedule 3'!J144</f>
        <v>0</v>
      </c>
      <c r="K144" s="410">
        <f>'As-Filed Schedule 3'!K144</f>
        <v>0</v>
      </c>
      <c r="L144" s="412">
        <f>SUMIFS(Adjustments!$G:$G,Adjustments!$H:$H,"3",Adjustments!$I:$I,'Schedule 3 Adjustments'!$K$13,Adjustments!$J:$J,"26b")</f>
        <v>0</v>
      </c>
      <c r="M144" s="414">
        <f>SUM(K144:L144)</f>
        <v>0</v>
      </c>
      <c r="N144" s="90"/>
      <c r="O144" s="350"/>
      <c r="P144" s="88"/>
      <c r="Q144" s="346"/>
      <c r="R144" s="350"/>
      <c r="S144" s="88"/>
      <c r="T144" s="350"/>
      <c r="U144" s="88"/>
      <c r="V144" s="346"/>
      <c r="W144" s="350"/>
      <c r="X144" s="88"/>
      <c r="Y144" s="350"/>
      <c r="Z144" s="88"/>
      <c r="AA144" s="350"/>
      <c r="AB144" s="88"/>
      <c r="AC144" s="350"/>
    </row>
    <row r="145" spans="1:29" x14ac:dyDescent="0.35">
      <c r="A145" s="103" t="s">
        <v>449</v>
      </c>
      <c r="B145" s="88"/>
      <c r="C145" s="88"/>
      <c r="D145" s="88"/>
      <c r="E145" s="88"/>
      <c r="F145" s="132"/>
      <c r="G145" s="135"/>
      <c r="H145" s="135"/>
      <c r="I145" s="105"/>
      <c r="J145" s="364">
        <f>'As-Filed Schedule 3'!J145</f>
        <v>0</v>
      </c>
      <c r="K145" s="410">
        <f>'As-Filed Schedule 3'!K145</f>
        <v>0</v>
      </c>
      <c r="L145" s="412">
        <f>SUMIFS(Adjustments!$G:$G,Adjustments!$H:$H,"3",Adjustments!$I:$I,'Schedule 3 Adjustments'!$K$13,Adjustments!$J:$J,"26c")</f>
        <v>0</v>
      </c>
      <c r="M145" s="414">
        <f>SUM(K145:L145)</f>
        <v>0</v>
      </c>
      <c r="N145" s="90"/>
      <c r="O145" s="350"/>
      <c r="P145" s="88"/>
      <c r="Q145" s="346"/>
      <c r="R145" s="350"/>
      <c r="S145" s="88"/>
      <c r="T145" s="350"/>
      <c r="U145" s="88"/>
      <c r="V145" s="346"/>
      <c r="W145" s="350"/>
      <c r="X145" s="88"/>
      <c r="Y145" s="350"/>
      <c r="Z145" s="88"/>
      <c r="AA145" s="350"/>
      <c r="AB145" s="88"/>
      <c r="AC145" s="350"/>
    </row>
    <row r="146" spans="1:29" x14ac:dyDescent="0.35">
      <c r="J146" s="100"/>
      <c r="N146" s="28"/>
      <c r="O146" s="342"/>
    </row>
    <row r="147" spans="1:29" s="34" customFormat="1" x14ac:dyDescent="0.35">
      <c r="A147" s="84">
        <v>27</v>
      </c>
      <c r="B147" s="529">
        <f>'As-Filed Schedule 3'!B147:C147</f>
        <v>0</v>
      </c>
      <c r="C147" s="530"/>
      <c r="D147" s="360">
        <f>'As-Filed Schedule 3'!D147</f>
        <v>0</v>
      </c>
      <c r="E147" s="360">
        <f>'As-Filed Schedule 3'!E147</f>
        <v>0</v>
      </c>
      <c r="F147" s="359">
        <f>'As-Filed Schedule 3'!F147</f>
        <v>0</v>
      </c>
      <c r="G147" s="358">
        <f>'As-Filed Schedule 3'!G147</f>
        <v>0</v>
      </c>
      <c r="H147" s="358">
        <f>'As-Filed Schedule 3'!H147</f>
        <v>0</v>
      </c>
      <c r="I147" s="138" t="str">
        <f>IF(B147=0,"",IF(AND(G147=0,H147=0),365,IF(AND(G147&gt;0,H147=0),$C$6-G147+1,IF(AND(G147=0,H147&gt;0),H147-($C$6-365),H147-G147+1))))</f>
        <v/>
      </c>
      <c r="J147" s="98"/>
      <c r="K147" s="409">
        <f>SUM(K148:K150)</f>
        <v>0</v>
      </c>
      <c r="L147" s="411">
        <f>SUM(L148:L150)</f>
        <v>0</v>
      </c>
      <c r="M147" s="413">
        <f>SUM(M148:M150)</f>
        <v>0</v>
      </c>
      <c r="N147" s="91" t="str">
        <f>IF(K147&gt;0,K147/(F147*I147),"")</f>
        <v/>
      </c>
      <c r="O147" s="341" t="str">
        <f>IF(M147&gt;0,M147/(F147*I147),"")</f>
        <v/>
      </c>
      <c r="P147" s="125">
        <f>'As-Filed Schedule 3'!M147</f>
        <v>0</v>
      </c>
      <c r="Q147" s="344">
        <f>SUMIFS(Adjustments!$G:$G,Adjustments!$H:$H,"3",Adjustments!$I:$I,'Schedule 3 Adjustments'!$P$13,Adjustments!$J:$J,'As-Filed Schedule 3'!A147)</f>
        <v>0</v>
      </c>
      <c r="R147" s="348">
        <f>SUM(P147:Q147)</f>
        <v>0</v>
      </c>
      <c r="S147" s="85" t="str">
        <f>IFERROR(P147/K147,"")</f>
        <v/>
      </c>
      <c r="T147" s="352" t="str">
        <f>IFERROR(R147/M147,"")</f>
        <v/>
      </c>
      <c r="U147" s="125">
        <f>'As-Filed Schedule 3'!O147</f>
        <v>0</v>
      </c>
      <c r="V147" s="344">
        <f>SUMIFS(Adjustments!$G:$G,Adjustments!$H:$H,"3",Adjustments!$I:$I,'Schedule 3 Adjustments'!$U$13,Adjustments!$J:$J,$A147)</f>
        <v>0</v>
      </c>
      <c r="W147" s="348">
        <f>SUM(U147:V147)</f>
        <v>0</v>
      </c>
      <c r="X147" s="85" t="str">
        <f>IFERROR(U147/K147,"")</f>
        <v/>
      </c>
      <c r="Y147" s="85" t="str">
        <f>IFERROR(W147/M147,"")</f>
        <v/>
      </c>
      <c r="Z147" s="86" t="str">
        <f>IF(P147=0,"",P147-U147)</f>
        <v/>
      </c>
      <c r="AA147" s="354" t="str">
        <f>IF(R147=0,"",R147-W147)</f>
        <v/>
      </c>
      <c r="AB147" s="85" t="str">
        <f>IFERROR(Z147/K147,"")</f>
        <v/>
      </c>
      <c r="AC147" s="352" t="str">
        <f>IFERROR(AA147/M147,"")</f>
        <v/>
      </c>
    </row>
    <row r="148" spans="1:29" x14ac:dyDescent="0.35">
      <c r="A148" s="101" t="s">
        <v>447</v>
      </c>
      <c r="B148" s="87"/>
      <c r="C148" s="87"/>
      <c r="D148" s="87"/>
      <c r="E148" s="87"/>
      <c r="F148" s="131"/>
      <c r="G148" s="134"/>
      <c r="H148" s="134"/>
      <c r="I148" s="104"/>
      <c r="J148" s="364">
        <f>'As-Filed Schedule 3'!J148</f>
        <v>0</v>
      </c>
      <c r="K148" s="410">
        <f>'As-Filed Schedule 3'!K148</f>
        <v>0</v>
      </c>
      <c r="L148" s="412">
        <f>SUMIFS(Adjustments!$G:$G,Adjustments!$H:$H,"3",Adjustments!$I:$I,'Schedule 3 Adjustments'!$K$13,Adjustments!$J:$J,"27a")</f>
        <v>0</v>
      </c>
      <c r="M148" s="414">
        <f>SUM(K148:L148)</f>
        <v>0</v>
      </c>
      <c r="N148" s="89"/>
      <c r="O148" s="349"/>
      <c r="P148" s="87"/>
      <c r="Q148" s="345"/>
      <c r="R148" s="349"/>
      <c r="S148" s="87"/>
      <c r="T148" s="349"/>
      <c r="U148" s="87"/>
      <c r="V148" s="345"/>
      <c r="W148" s="349"/>
      <c r="X148" s="87"/>
      <c r="Y148" s="349"/>
      <c r="Z148" s="87"/>
      <c r="AA148" s="349"/>
      <c r="AB148" s="87"/>
      <c r="AC148" s="349"/>
    </row>
    <row r="149" spans="1:29" x14ac:dyDescent="0.35">
      <c r="A149" s="102" t="s">
        <v>448</v>
      </c>
      <c r="B149" s="88"/>
      <c r="C149" s="88"/>
      <c r="D149" s="88"/>
      <c r="E149" s="88"/>
      <c r="F149" s="132"/>
      <c r="G149" s="135"/>
      <c r="H149" s="135"/>
      <c r="I149" s="105"/>
      <c r="J149" s="364">
        <f>'As-Filed Schedule 3'!J149</f>
        <v>0</v>
      </c>
      <c r="K149" s="410">
        <f>'As-Filed Schedule 3'!K149</f>
        <v>0</v>
      </c>
      <c r="L149" s="412">
        <f>SUMIFS(Adjustments!$G:$G,Adjustments!$H:$H,"3",Adjustments!$I:$I,'Schedule 3 Adjustments'!$K$13,Adjustments!$J:$J,"27b")</f>
        <v>0</v>
      </c>
      <c r="M149" s="414">
        <f>SUM(K149:L149)</f>
        <v>0</v>
      </c>
      <c r="N149" s="90"/>
      <c r="O149" s="350"/>
      <c r="P149" s="88"/>
      <c r="Q149" s="346"/>
      <c r="R149" s="350"/>
      <c r="S149" s="88"/>
      <c r="T149" s="350"/>
      <c r="U149" s="88"/>
      <c r="V149" s="346"/>
      <c r="W149" s="350"/>
      <c r="X149" s="88"/>
      <c r="Y149" s="350"/>
      <c r="Z149" s="88"/>
      <c r="AA149" s="350"/>
      <c r="AB149" s="88"/>
      <c r="AC149" s="350"/>
    </row>
    <row r="150" spans="1:29" x14ac:dyDescent="0.35">
      <c r="A150" s="103" t="s">
        <v>449</v>
      </c>
      <c r="B150" s="88"/>
      <c r="C150" s="88"/>
      <c r="D150" s="88"/>
      <c r="E150" s="88"/>
      <c r="F150" s="132"/>
      <c r="G150" s="135"/>
      <c r="H150" s="135"/>
      <c r="I150" s="105"/>
      <c r="J150" s="364">
        <f>'As-Filed Schedule 3'!J150</f>
        <v>0</v>
      </c>
      <c r="K150" s="410">
        <f>'As-Filed Schedule 3'!K150</f>
        <v>0</v>
      </c>
      <c r="L150" s="412">
        <f>SUMIFS(Adjustments!$G:$G,Adjustments!$H:$H,"3",Adjustments!$I:$I,'Schedule 3 Adjustments'!$K$13,Adjustments!$J:$J,"27c")</f>
        <v>0</v>
      </c>
      <c r="M150" s="414">
        <f>SUM(K150:L150)</f>
        <v>0</v>
      </c>
      <c r="N150" s="90"/>
      <c r="O150" s="350"/>
      <c r="P150" s="88"/>
      <c r="Q150" s="346"/>
      <c r="R150" s="350"/>
      <c r="S150" s="88"/>
      <c r="T150" s="350"/>
      <c r="U150" s="88"/>
      <c r="V150" s="346"/>
      <c r="W150" s="350"/>
      <c r="X150" s="88"/>
      <c r="Y150" s="350"/>
      <c r="Z150" s="88"/>
      <c r="AA150" s="350"/>
      <c r="AB150" s="88"/>
      <c r="AC150" s="350"/>
    </row>
    <row r="151" spans="1:29" x14ac:dyDescent="0.35">
      <c r="J151" s="100"/>
      <c r="N151" s="28"/>
      <c r="O151" s="342"/>
    </row>
    <row r="152" spans="1:29" s="34" customFormat="1" x14ac:dyDescent="0.35">
      <c r="A152" s="84">
        <v>28</v>
      </c>
      <c r="B152" s="529">
        <f>'As-Filed Schedule 3'!B152:C152</f>
        <v>0</v>
      </c>
      <c r="C152" s="530"/>
      <c r="D152" s="360">
        <f>'As-Filed Schedule 3'!D152</f>
        <v>0</v>
      </c>
      <c r="E152" s="360">
        <f>'As-Filed Schedule 3'!E152</f>
        <v>0</v>
      </c>
      <c r="F152" s="359">
        <f>'As-Filed Schedule 3'!F152</f>
        <v>0</v>
      </c>
      <c r="G152" s="358">
        <f>'As-Filed Schedule 3'!G152</f>
        <v>0</v>
      </c>
      <c r="H152" s="358">
        <f>'As-Filed Schedule 3'!H152</f>
        <v>0</v>
      </c>
      <c r="I152" s="138" t="str">
        <f>IF(B152=0,"",IF(AND(G152=0,H152=0),365,IF(AND(G152&gt;0,H152=0),$C$6-G152+1,IF(AND(G152=0,H152&gt;0),H152-($C$6-365),H152-G152+1))))</f>
        <v/>
      </c>
      <c r="J152" s="98"/>
      <c r="K152" s="409">
        <f>SUM(K153:K155)</f>
        <v>0</v>
      </c>
      <c r="L152" s="411">
        <f>SUM(L153:L155)</f>
        <v>0</v>
      </c>
      <c r="M152" s="413">
        <f>SUM(M153:M155)</f>
        <v>0</v>
      </c>
      <c r="N152" s="91" t="str">
        <f>IF(K152&gt;0,K152/(F152*I152),"")</f>
        <v/>
      </c>
      <c r="O152" s="341" t="str">
        <f>IF(M152&gt;0,M152/(F152*I152),"")</f>
        <v/>
      </c>
      <c r="P152" s="125">
        <f>'As-Filed Schedule 3'!M152</f>
        <v>0</v>
      </c>
      <c r="Q152" s="344">
        <f>SUMIFS(Adjustments!$G:$G,Adjustments!$H:$H,"3",Adjustments!$I:$I,'Schedule 3 Adjustments'!$P$13,Adjustments!$J:$J,'As-Filed Schedule 3'!A152)</f>
        <v>0</v>
      </c>
      <c r="R152" s="348">
        <f>SUM(P152:Q152)</f>
        <v>0</v>
      </c>
      <c r="S152" s="85" t="str">
        <f>IFERROR(P152/K152,"")</f>
        <v/>
      </c>
      <c r="T152" s="352" t="str">
        <f>IFERROR(R152/M152,"")</f>
        <v/>
      </c>
      <c r="U152" s="125">
        <f>'As-Filed Schedule 3'!O152</f>
        <v>0</v>
      </c>
      <c r="V152" s="344">
        <f>SUMIFS(Adjustments!$G:$G,Adjustments!$H:$H,"3",Adjustments!$I:$I,'Schedule 3 Adjustments'!$U$13,Adjustments!$J:$J,$A152)</f>
        <v>0</v>
      </c>
      <c r="W152" s="348">
        <f>SUM(U152:V152)</f>
        <v>0</v>
      </c>
      <c r="X152" s="85" t="str">
        <f>IFERROR(U152/K152,"")</f>
        <v/>
      </c>
      <c r="Y152" s="85" t="str">
        <f>IFERROR(W152/M152,"")</f>
        <v/>
      </c>
      <c r="Z152" s="86" t="str">
        <f>IF(P152=0,"",P152-U152)</f>
        <v/>
      </c>
      <c r="AA152" s="354" t="str">
        <f>IF(R152=0,"",R152-W152)</f>
        <v/>
      </c>
      <c r="AB152" s="85" t="str">
        <f>IFERROR(Z152/K152,"")</f>
        <v/>
      </c>
      <c r="AC152" s="352" t="str">
        <f>IFERROR(AA152/M152,"")</f>
        <v/>
      </c>
    </row>
    <row r="153" spans="1:29" x14ac:dyDescent="0.35">
      <c r="A153" s="101" t="s">
        <v>447</v>
      </c>
      <c r="B153" s="87"/>
      <c r="C153" s="87"/>
      <c r="D153" s="87"/>
      <c r="E153" s="87"/>
      <c r="F153" s="131"/>
      <c r="G153" s="134"/>
      <c r="H153" s="134"/>
      <c r="I153" s="104"/>
      <c r="J153" s="364">
        <f>'As-Filed Schedule 3'!J153</f>
        <v>0</v>
      </c>
      <c r="K153" s="410">
        <f>'As-Filed Schedule 3'!K153</f>
        <v>0</v>
      </c>
      <c r="L153" s="412">
        <f>SUMIFS(Adjustments!$G:$G,Adjustments!$H:$H,"3",Adjustments!$I:$I,'Schedule 3 Adjustments'!$K$13,Adjustments!$J:$J,"28a")</f>
        <v>0</v>
      </c>
      <c r="M153" s="414">
        <f>SUM(K153:L153)</f>
        <v>0</v>
      </c>
      <c r="N153" s="89"/>
      <c r="O153" s="349"/>
      <c r="P153" s="87"/>
      <c r="Q153" s="345"/>
      <c r="R153" s="349"/>
      <c r="S153" s="87"/>
      <c r="T153" s="349"/>
      <c r="U153" s="87"/>
      <c r="V153" s="345"/>
      <c r="W153" s="349"/>
      <c r="X153" s="87"/>
      <c r="Y153" s="349"/>
      <c r="Z153" s="87"/>
      <c r="AA153" s="349"/>
      <c r="AB153" s="87"/>
      <c r="AC153" s="349"/>
    </row>
    <row r="154" spans="1:29" x14ac:dyDescent="0.35">
      <c r="A154" s="102" t="s">
        <v>448</v>
      </c>
      <c r="B154" s="88"/>
      <c r="C154" s="88"/>
      <c r="D154" s="88"/>
      <c r="E154" s="88"/>
      <c r="F154" s="132"/>
      <c r="G154" s="135"/>
      <c r="H154" s="135"/>
      <c r="I154" s="105"/>
      <c r="J154" s="364">
        <f>'As-Filed Schedule 3'!J154</f>
        <v>0</v>
      </c>
      <c r="K154" s="410">
        <f>'As-Filed Schedule 3'!K154</f>
        <v>0</v>
      </c>
      <c r="L154" s="412">
        <f>SUMIFS(Adjustments!$G:$G,Adjustments!$H:$H,"3",Adjustments!$I:$I,'Schedule 3 Adjustments'!$K$13,Adjustments!$J:$J,"28b")</f>
        <v>0</v>
      </c>
      <c r="M154" s="414">
        <f>SUM(K154:L154)</f>
        <v>0</v>
      </c>
      <c r="N154" s="90"/>
      <c r="O154" s="350"/>
      <c r="P154" s="88"/>
      <c r="Q154" s="346"/>
      <c r="R154" s="350"/>
      <c r="S154" s="88"/>
      <c r="T154" s="350"/>
      <c r="U154" s="88"/>
      <c r="V154" s="346"/>
      <c r="W154" s="350"/>
      <c r="X154" s="88"/>
      <c r="Y154" s="350"/>
      <c r="Z154" s="88"/>
      <c r="AA154" s="350"/>
      <c r="AB154" s="88"/>
      <c r="AC154" s="350"/>
    </row>
    <row r="155" spans="1:29" x14ac:dyDescent="0.35">
      <c r="A155" s="103" t="s">
        <v>449</v>
      </c>
      <c r="B155" s="88"/>
      <c r="C155" s="88"/>
      <c r="D155" s="88"/>
      <c r="E155" s="88"/>
      <c r="F155" s="132"/>
      <c r="G155" s="135"/>
      <c r="H155" s="135"/>
      <c r="I155" s="105"/>
      <c r="J155" s="364">
        <f>'As-Filed Schedule 3'!J155</f>
        <v>0</v>
      </c>
      <c r="K155" s="410">
        <f>'As-Filed Schedule 3'!K155</f>
        <v>0</v>
      </c>
      <c r="L155" s="412">
        <f>SUMIFS(Adjustments!$G:$G,Adjustments!$H:$H,"3",Adjustments!$I:$I,'Schedule 3 Adjustments'!$K$13,Adjustments!$J:$J,"28c")</f>
        <v>0</v>
      </c>
      <c r="M155" s="414">
        <f>SUM(K155:L155)</f>
        <v>0</v>
      </c>
      <c r="N155" s="90"/>
      <c r="O155" s="350"/>
      <c r="P155" s="88"/>
      <c r="Q155" s="346"/>
      <c r="R155" s="350"/>
      <c r="S155" s="88"/>
      <c r="T155" s="350"/>
      <c r="U155" s="88"/>
      <c r="V155" s="346"/>
      <c r="W155" s="350"/>
      <c r="X155" s="88"/>
      <c r="Y155" s="350"/>
      <c r="Z155" s="88"/>
      <c r="AA155" s="350"/>
      <c r="AB155" s="88"/>
      <c r="AC155" s="350"/>
    </row>
    <row r="156" spans="1:29" x14ac:dyDescent="0.35">
      <c r="J156" s="100"/>
      <c r="N156" s="28"/>
      <c r="O156" s="342"/>
    </row>
    <row r="157" spans="1:29" s="34" customFormat="1" x14ac:dyDescent="0.35">
      <c r="A157" s="84">
        <v>29</v>
      </c>
      <c r="B157" s="529">
        <f>'As-Filed Schedule 3'!B157:C157</f>
        <v>0</v>
      </c>
      <c r="C157" s="530"/>
      <c r="D157" s="360">
        <f>'As-Filed Schedule 3'!D157</f>
        <v>0</v>
      </c>
      <c r="E157" s="360">
        <f>'As-Filed Schedule 3'!E157</f>
        <v>0</v>
      </c>
      <c r="F157" s="359">
        <f>'As-Filed Schedule 3'!F157</f>
        <v>0</v>
      </c>
      <c r="G157" s="358">
        <f>'As-Filed Schedule 3'!G157</f>
        <v>0</v>
      </c>
      <c r="H157" s="358">
        <f>'As-Filed Schedule 3'!H157</f>
        <v>0</v>
      </c>
      <c r="I157" s="138" t="str">
        <f>IF(B157=0,"",IF(AND(G157=0,H157=0),365,IF(AND(G157&gt;0,H157=0),$C$6-G157+1,IF(AND(G157=0,H157&gt;0),H157-($C$6-365),H157-G157+1))))</f>
        <v/>
      </c>
      <c r="J157" s="98"/>
      <c r="K157" s="409">
        <f>SUM(K158:K160)</f>
        <v>0</v>
      </c>
      <c r="L157" s="411">
        <f>SUM(L158:L160)</f>
        <v>0</v>
      </c>
      <c r="M157" s="413">
        <f>SUM(M158:M160)</f>
        <v>0</v>
      </c>
      <c r="N157" s="91" t="str">
        <f>IF(K157&gt;0,K157/(F157*I157),"")</f>
        <v/>
      </c>
      <c r="O157" s="341" t="str">
        <f>IF(M157&gt;0,M157/(F157*I157),"")</f>
        <v/>
      </c>
      <c r="P157" s="125">
        <f>'As-Filed Schedule 3'!M157</f>
        <v>0</v>
      </c>
      <c r="Q157" s="344">
        <f>SUMIFS(Adjustments!$G:$G,Adjustments!$H:$H,"3",Adjustments!$I:$I,'Schedule 3 Adjustments'!$P$13,Adjustments!$J:$J,'As-Filed Schedule 3'!A157)</f>
        <v>0</v>
      </c>
      <c r="R157" s="348">
        <f>SUM(P157:Q157)</f>
        <v>0</v>
      </c>
      <c r="S157" s="85" t="str">
        <f>IFERROR(P157/K157,"")</f>
        <v/>
      </c>
      <c r="T157" s="352" t="str">
        <f>IFERROR(R157/M157,"")</f>
        <v/>
      </c>
      <c r="U157" s="125">
        <f>'As-Filed Schedule 3'!O157</f>
        <v>0</v>
      </c>
      <c r="V157" s="344">
        <f>SUMIFS(Adjustments!$G:$G,Adjustments!$H:$H,"3",Adjustments!$I:$I,'Schedule 3 Adjustments'!$U$13,Adjustments!$J:$J,$A157)</f>
        <v>0</v>
      </c>
      <c r="W157" s="348">
        <f>SUM(U157:V157)</f>
        <v>0</v>
      </c>
      <c r="X157" s="85" t="str">
        <f>IFERROR(U157/K157,"")</f>
        <v/>
      </c>
      <c r="Y157" s="85" t="str">
        <f>IFERROR(W157/M157,"")</f>
        <v/>
      </c>
      <c r="Z157" s="86" t="str">
        <f>IF(P157=0,"",P157-U157)</f>
        <v/>
      </c>
      <c r="AA157" s="354" t="str">
        <f>IF(R157=0,"",R157-W157)</f>
        <v/>
      </c>
      <c r="AB157" s="85" t="str">
        <f>IFERROR(Z157/K157,"")</f>
        <v/>
      </c>
      <c r="AC157" s="352" t="str">
        <f>IFERROR(AA157/M157,"")</f>
        <v/>
      </c>
    </row>
    <row r="158" spans="1:29" x14ac:dyDescent="0.35">
      <c r="A158" s="101" t="s">
        <v>447</v>
      </c>
      <c r="B158" s="87"/>
      <c r="C158" s="87"/>
      <c r="D158" s="87"/>
      <c r="E158" s="87"/>
      <c r="F158" s="131"/>
      <c r="G158" s="134"/>
      <c r="H158" s="134"/>
      <c r="I158" s="104"/>
      <c r="J158" s="364">
        <f>'As-Filed Schedule 3'!J158</f>
        <v>0</v>
      </c>
      <c r="K158" s="410">
        <f>'As-Filed Schedule 3'!K158</f>
        <v>0</v>
      </c>
      <c r="L158" s="412">
        <f>SUMIFS(Adjustments!$G:$G,Adjustments!$H:$H,"3",Adjustments!$I:$I,'Schedule 3 Adjustments'!$K$13,Adjustments!$J:$J,"29a")</f>
        <v>0</v>
      </c>
      <c r="M158" s="414">
        <f>SUM(K158:L158)</f>
        <v>0</v>
      </c>
      <c r="N158" s="89"/>
      <c r="O158" s="349"/>
      <c r="P158" s="87"/>
      <c r="Q158" s="345"/>
      <c r="R158" s="349"/>
      <c r="S158" s="87"/>
      <c r="T158" s="349"/>
      <c r="U158" s="87"/>
      <c r="V158" s="345"/>
      <c r="W158" s="349"/>
      <c r="X158" s="87"/>
      <c r="Y158" s="349"/>
      <c r="Z158" s="87"/>
      <c r="AA158" s="349"/>
      <c r="AB158" s="87"/>
      <c r="AC158" s="349"/>
    </row>
    <row r="159" spans="1:29" x14ac:dyDescent="0.35">
      <c r="A159" s="102" t="s">
        <v>448</v>
      </c>
      <c r="B159" s="88"/>
      <c r="C159" s="88"/>
      <c r="D159" s="88"/>
      <c r="E159" s="88"/>
      <c r="F159" s="132"/>
      <c r="G159" s="135"/>
      <c r="H159" s="135"/>
      <c r="I159" s="105"/>
      <c r="J159" s="364">
        <f>'As-Filed Schedule 3'!J159</f>
        <v>0</v>
      </c>
      <c r="K159" s="410">
        <f>'As-Filed Schedule 3'!K159</f>
        <v>0</v>
      </c>
      <c r="L159" s="412">
        <f>SUMIFS(Adjustments!$G:$G,Adjustments!$H:$H,"3",Adjustments!$I:$I,'Schedule 3 Adjustments'!$K$13,Adjustments!$J:$J,"29b")</f>
        <v>0</v>
      </c>
      <c r="M159" s="414">
        <f>SUM(K159:L159)</f>
        <v>0</v>
      </c>
      <c r="N159" s="90"/>
      <c r="O159" s="350"/>
      <c r="P159" s="88"/>
      <c r="Q159" s="346"/>
      <c r="R159" s="350"/>
      <c r="S159" s="88"/>
      <c r="T159" s="350"/>
      <c r="U159" s="88"/>
      <c r="V159" s="346"/>
      <c r="W159" s="350"/>
      <c r="X159" s="88"/>
      <c r="Y159" s="350"/>
      <c r="Z159" s="88"/>
      <c r="AA159" s="350"/>
      <c r="AB159" s="88"/>
      <c r="AC159" s="350"/>
    </row>
    <row r="160" spans="1:29" x14ac:dyDescent="0.35">
      <c r="A160" s="103" t="s">
        <v>449</v>
      </c>
      <c r="B160" s="88"/>
      <c r="C160" s="88"/>
      <c r="D160" s="88"/>
      <c r="E160" s="88"/>
      <c r="F160" s="132"/>
      <c r="G160" s="135"/>
      <c r="H160" s="135"/>
      <c r="I160" s="105"/>
      <c r="J160" s="364">
        <f>'As-Filed Schedule 3'!J160</f>
        <v>0</v>
      </c>
      <c r="K160" s="410">
        <f>'As-Filed Schedule 3'!K160</f>
        <v>0</v>
      </c>
      <c r="L160" s="412">
        <f>SUMIFS(Adjustments!$G:$G,Adjustments!$H:$H,"3",Adjustments!$I:$I,'Schedule 3 Adjustments'!$K$13,Adjustments!$J:$J,"29c")</f>
        <v>0</v>
      </c>
      <c r="M160" s="414">
        <f>SUM(K160:L160)</f>
        <v>0</v>
      </c>
      <c r="N160" s="90"/>
      <c r="O160" s="350"/>
      <c r="P160" s="88"/>
      <c r="Q160" s="346"/>
      <c r="R160" s="350"/>
      <c r="S160" s="88"/>
      <c r="T160" s="350"/>
      <c r="U160" s="88"/>
      <c r="V160" s="346"/>
      <c r="W160" s="350"/>
      <c r="X160" s="88"/>
      <c r="Y160" s="350"/>
      <c r="Z160" s="88"/>
      <c r="AA160" s="350"/>
      <c r="AB160" s="88"/>
      <c r="AC160" s="350"/>
    </row>
    <row r="161" spans="1:29" x14ac:dyDescent="0.35">
      <c r="J161" s="100"/>
      <c r="N161" s="28"/>
      <c r="O161" s="342"/>
    </row>
    <row r="162" spans="1:29" s="34" customFormat="1" x14ac:dyDescent="0.35">
      <c r="A162" s="84">
        <v>30</v>
      </c>
      <c r="B162" s="529">
        <f>'As-Filed Schedule 3'!B162:C162</f>
        <v>0</v>
      </c>
      <c r="C162" s="530"/>
      <c r="D162" s="360">
        <f>'As-Filed Schedule 3'!D162</f>
        <v>0</v>
      </c>
      <c r="E162" s="360">
        <f>'As-Filed Schedule 3'!E162</f>
        <v>0</v>
      </c>
      <c r="F162" s="359">
        <f>'As-Filed Schedule 3'!F162</f>
        <v>0</v>
      </c>
      <c r="G162" s="358">
        <f>'As-Filed Schedule 3'!G162</f>
        <v>0</v>
      </c>
      <c r="H162" s="358">
        <f>'As-Filed Schedule 3'!H162</f>
        <v>0</v>
      </c>
      <c r="I162" s="138" t="str">
        <f>IF(B162=0,"",IF(AND(G162=0,H162=0),365,IF(AND(G162&gt;0,H162=0),$C$6-G162+1,IF(AND(G162=0,H162&gt;0),H162-($C$6-365),H162-G162+1))))</f>
        <v/>
      </c>
      <c r="J162" s="98"/>
      <c r="K162" s="409">
        <f>SUM(K163:K165)</f>
        <v>0</v>
      </c>
      <c r="L162" s="411">
        <f>SUM(L163:L165)</f>
        <v>0</v>
      </c>
      <c r="M162" s="413">
        <f>SUM(M163:M165)</f>
        <v>0</v>
      </c>
      <c r="N162" s="91" t="str">
        <f>IF(K162&gt;0,K162/(F162*I162),"")</f>
        <v/>
      </c>
      <c r="O162" s="341" t="str">
        <f>IF(M162&gt;0,M162/(F162*I162),"")</f>
        <v/>
      </c>
      <c r="P162" s="125">
        <f>'As-Filed Schedule 3'!M162</f>
        <v>0</v>
      </c>
      <c r="Q162" s="344">
        <f>SUMIFS(Adjustments!$G:$G,Adjustments!$H:$H,"3",Adjustments!$I:$I,'Schedule 3 Adjustments'!$P$13,Adjustments!$J:$J,'As-Filed Schedule 3'!A162)</f>
        <v>0</v>
      </c>
      <c r="R162" s="348">
        <f>SUM(P162:Q162)</f>
        <v>0</v>
      </c>
      <c r="S162" s="85" t="str">
        <f>IFERROR(P162/K162,"")</f>
        <v/>
      </c>
      <c r="T162" s="352" t="str">
        <f>IFERROR(R162/M162,"")</f>
        <v/>
      </c>
      <c r="U162" s="125">
        <f>'As-Filed Schedule 3'!O162</f>
        <v>0</v>
      </c>
      <c r="V162" s="344">
        <f>SUMIFS(Adjustments!$G:$G,Adjustments!$H:$H,"3",Adjustments!$I:$I,'Schedule 3 Adjustments'!$U$13,Adjustments!$J:$J,$A162)</f>
        <v>0</v>
      </c>
      <c r="W162" s="348">
        <f>SUM(U162:V162)</f>
        <v>0</v>
      </c>
      <c r="X162" s="85" t="str">
        <f>IFERROR(U162/K162,"")</f>
        <v/>
      </c>
      <c r="Y162" s="85" t="str">
        <f>IFERROR(W162/M162,"")</f>
        <v/>
      </c>
      <c r="Z162" s="86" t="str">
        <f>IF(P162=0,"",P162-U162)</f>
        <v/>
      </c>
      <c r="AA162" s="354" t="str">
        <f>IF(R162=0,"",R162-W162)</f>
        <v/>
      </c>
      <c r="AB162" s="85" t="str">
        <f>IFERROR(Z162/K162,"")</f>
        <v/>
      </c>
      <c r="AC162" s="352" t="str">
        <f>IFERROR(AA162/M162,"")</f>
        <v/>
      </c>
    </row>
    <row r="163" spans="1:29" x14ac:dyDescent="0.35">
      <c r="A163" s="101" t="s">
        <v>447</v>
      </c>
      <c r="B163" s="87"/>
      <c r="C163" s="87"/>
      <c r="D163" s="87"/>
      <c r="E163" s="87"/>
      <c r="F163" s="131"/>
      <c r="G163" s="134"/>
      <c r="H163" s="134"/>
      <c r="I163" s="104"/>
      <c r="J163" s="364">
        <f>'As-Filed Schedule 3'!J163</f>
        <v>0</v>
      </c>
      <c r="K163" s="410">
        <f>'As-Filed Schedule 3'!K163</f>
        <v>0</v>
      </c>
      <c r="L163" s="412">
        <f>SUMIFS(Adjustments!$G:$G,Adjustments!$H:$H,"3",Adjustments!$I:$I,'Schedule 3 Adjustments'!$K$13,Adjustments!$J:$J,"30a")</f>
        <v>0</v>
      </c>
      <c r="M163" s="414">
        <f>SUM(K163:L163)</f>
        <v>0</v>
      </c>
      <c r="N163" s="89"/>
      <c r="O163" s="349"/>
      <c r="P163" s="87"/>
      <c r="Q163" s="345"/>
      <c r="R163" s="349"/>
      <c r="S163" s="87"/>
      <c r="T163" s="349"/>
      <c r="U163" s="87"/>
      <c r="V163" s="345"/>
      <c r="W163" s="349"/>
      <c r="X163" s="87"/>
      <c r="Y163" s="349"/>
      <c r="Z163" s="87"/>
      <c r="AA163" s="349"/>
      <c r="AB163" s="87"/>
      <c r="AC163" s="349"/>
    </row>
    <row r="164" spans="1:29" x14ac:dyDescent="0.35">
      <c r="A164" s="102" t="s">
        <v>448</v>
      </c>
      <c r="B164" s="88"/>
      <c r="C164" s="88"/>
      <c r="D164" s="88"/>
      <c r="E164" s="88"/>
      <c r="F164" s="132"/>
      <c r="G164" s="135"/>
      <c r="H164" s="135"/>
      <c r="I164" s="105"/>
      <c r="J164" s="364">
        <f>'As-Filed Schedule 3'!J164</f>
        <v>0</v>
      </c>
      <c r="K164" s="410">
        <f>'As-Filed Schedule 3'!K164</f>
        <v>0</v>
      </c>
      <c r="L164" s="412">
        <f>SUMIFS(Adjustments!$G:$G,Adjustments!$H:$H,"3",Adjustments!$I:$I,'Schedule 3 Adjustments'!$K$13,Adjustments!$J:$J,"30b")</f>
        <v>0</v>
      </c>
      <c r="M164" s="414">
        <f>SUM(K164:L164)</f>
        <v>0</v>
      </c>
      <c r="N164" s="90"/>
      <c r="O164" s="350"/>
      <c r="P164" s="88"/>
      <c r="Q164" s="346"/>
      <c r="R164" s="350"/>
      <c r="S164" s="88"/>
      <c r="T164" s="350"/>
      <c r="U164" s="88"/>
      <c r="V164" s="346"/>
      <c r="W164" s="350"/>
      <c r="X164" s="88"/>
      <c r="Y164" s="350"/>
      <c r="Z164" s="88"/>
      <c r="AA164" s="350"/>
      <c r="AB164" s="88"/>
      <c r="AC164" s="350"/>
    </row>
    <row r="165" spans="1:29" x14ac:dyDescent="0.35">
      <c r="A165" s="103" t="s">
        <v>449</v>
      </c>
      <c r="B165" s="88"/>
      <c r="C165" s="88"/>
      <c r="D165" s="88"/>
      <c r="E165" s="88"/>
      <c r="F165" s="132"/>
      <c r="G165" s="135"/>
      <c r="H165" s="135"/>
      <c r="I165" s="105"/>
      <c r="J165" s="364">
        <f>'As-Filed Schedule 3'!J165</f>
        <v>0</v>
      </c>
      <c r="K165" s="410">
        <f>'As-Filed Schedule 3'!K165</f>
        <v>0</v>
      </c>
      <c r="L165" s="412">
        <f>SUMIFS(Adjustments!$G:$G,Adjustments!$H:$H,"3",Adjustments!$I:$I,'Schedule 3 Adjustments'!$K$13,Adjustments!$J:$J,"30c")</f>
        <v>0</v>
      </c>
      <c r="M165" s="414">
        <f>SUM(K165:L165)</f>
        <v>0</v>
      </c>
      <c r="N165" s="90"/>
      <c r="O165" s="350"/>
      <c r="P165" s="88"/>
      <c r="Q165" s="346"/>
      <c r="R165" s="350"/>
      <c r="S165" s="88"/>
      <c r="T165" s="350"/>
      <c r="U165" s="88"/>
      <c r="V165" s="346"/>
      <c r="W165" s="350"/>
      <c r="X165" s="88"/>
      <c r="Y165" s="350"/>
      <c r="Z165" s="88"/>
      <c r="AA165" s="350"/>
      <c r="AB165" s="88"/>
      <c r="AC165" s="350"/>
    </row>
    <row r="166" spans="1:29" x14ac:dyDescent="0.35">
      <c r="J166" s="100"/>
      <c r="N166" s="28"/>
      <c r="O166" s="342"/>
    </row>
    <row r="167" spans="1:29" x14ac:dyDescent="0.35">
      <c r="A167" s="19">
        <v>31</v>
      </c>
      <c r="B167" s="539" t="s">
        <v>173</v>
      </c>
      <c r="C167" s="539"/>
      <c r="D167" s="539"/>
      <c r="E167" s="539"/>
      <c r="F167" s="27">
        <f>F162+F157+F152+F147+F142+F137+F132+F127+F122+F117+F112+F107+F102+F97+F92+F87+F82+F77+F72+F67+F62+F57+F52+F47+F42+F37+F32+F27+F22+F17</f>
        <v>31</v>
      </c>
      <c r="G167" s="32"/>
      <c r="H167" s="32"/>
      <c r="I167" s="32"/>
      <c r="J167" s="32"/>
      <c r="K167" s="27">
        <f>K162+K157+K152+K147+K142+K137+K132+K127+K122+K117+K112+K107+K102+K97+K92+K87+K82+K77+K72+K67+K62+K57+K52+K47+K42+K37+K32+K27+K22+K17</f>
        <v>7086</v>
      </c>
      <c r="L167" s="340">
        <f>L162+L157+L152+L147+L142+L137+L132+L127+L122+L117+L112+L107+L102+L97+L92+L87+L82+L77+L72+L67+L62+L57+L52+L47+L42+L37+L32+L27+L22+L17</f>
        <v>0</v>
      </c>
      <c r="M167" s="334">
        <f>M162+M157+M152+M147+M142+M137+M132+M127+M122+M117+M112+M107+M102+M97+M92+M87+M82+M77+M72+M67+M62+M57+M52+M47+M42+M37+M32+M27+M22+M17</f>
        <v>7086</v>
      </c>
      <c r="N167" s="29">
        <f>IF(K167&gt;0,K167/(F167*365),"")</f>
        <v>0.62624834290764475</v>
      </c>
      <c r="O167" s="343">
        <f>IF(M167&gt;0,M167/(F167*365),"")</f>
        <v>0.62624834290764475</v>
      </c>
      <c r="P167" s="27">
        <f>P162+P157+P152+P147+P142+P137+P132+P127+P122+P117+P112+P107+P102+P97+P92+P87+P82+P77+P72+P67+P62+P57+P52+P47+P42+P37+P32+P27+P22+P17</f>
        <v>8909516</v>
      </c>
      <c r="Q167" s="340">
        <f>Q162+Q157+Q152+Q147+Q142+Q137+Q132+Q127+Q122+Q117+Q112+Q107+Q102+Q97+Q92+Q87+Q82+Q77+Q72+Q67+Q62+Q57+Q52+Q47+Q42+Q37+Q32+Q27+Q22+Q17</f>
        <v>3128720</v>
      </c>
      <c r="R167" s="334">
        <f>R162+R157+R152+R147+R142+R137+R132+R127+R122+R117+R112+R107+R102+R97+R92+R87+R82+R77+R72+R67+R62+R57+R52+R47+R42+R37+R32+R27+R22+R17</f>
        <v>12038236</v>
      </c>
      <c r="S167" s="17">
        <f>IFERROR(P167/K167,"")</f>
        <v>1257.3406717471071</v>
      </c>
      <c r="T167" s="353">
        <f>IFERROR(R167/M167,"")</f>
        <v>1698.8760937058989</v>
      </c>
      <c r="U167" s="27">
        <f>U162+U157+U152+U147+U142+U137+U132+U127+U122+U117+U112+U107+U102+U97+U92+U87+U82+U77+U72+U67+U62+U57+U52+U47+U42+U37+U32+U27+U22+U17</f>
        <v>1413093</v>
      </c>
      <c r="V167" s="340">
        <f>V162+V157+V152+V147+V142+V137+V132+V127+V122+V117+V112+V107+V102+V97+V92+V87+V82+V77+V72+V67+V62+V57+V52+V47+V42+V37+V32+V27+V22+V17</f>
        <v>0</v>
      </c>
      <c r="W167" s="334">
        <f>W162+W157+W152+W147+W142+W137+W132+W127+W122+W117+W112+W107+W102+W97+W92+W87+W82+W77+W72+W67+W62+W57+W52+W47+W42+W37+W32+W27+W22+W17</f>
        <v>1413093</v>
      </c>
      <c r="X167" s="17">
        <f t="shared" ref="X167" si="0">IFERROR(U167/K167,"")</f>
        <v>199.42040643522438</v>
      </c>
      <c r="Y167" s="353">
        <f>IFERROR(W167/M167,"")</f>
        <v>199.42040643522438</v>
      </c>
      <c r="Z167" s="30">
        <f t="shared" ref="Z167" si="1">IF(P167=0,"",P167-U167)</f>
        <v>7496423</v>
      </c>
      <c r="AA167" s="355">
        <f>IF(R167=0,"",R167-W167)</f>
        <v>10625143</v>
      </c>
      <c r="AB167" s="17">
        <f>IFERROR(Z167/K167,"")</f>
        <v>1057.9202653118825</v>
      </c>
      <c r="AC167" s="353">
        <f>IFERROR(AA167/M167,"")</f>
        <v>1499.4556872706746</v>
      </c>
    </row>
    <row r="169" spans="1:29" x14ac:dyDescent="0.35">
      <c r="A169" s="19">
        <v>32</v>
      </c>
      <c r="O169" s="37" t="s">
        <v>199</v>
      </c>
      <c r="P169" s="39">
        <f>'As-Filed Schedule 1'!G91</f>
        <v>8682866</v>
      </c>
      <c r="Q169"/>
      <c r="R169" s="306">
        <f>'Schedule 1 Adjustments'!O92</f>
        <v>8909518</v>
      </c>
    </row>
    <row r="170" spans="1:29" x14ac:dyDescent="0.35">
      <c r="A170" s="19">
        <v>33</v>
      </c>
      <c r="O170" s="37" t="s">
        <v>186</v>
      </c>
      <c r="P170" s="39">
        <f>'As-Filed Schedule 1'!G93</f>
        <v>3259742</v>
      </c>
      <c r="Q170"/>
      <c r="R170" s="306">
        <f>'Schedule 1 Adjustments'!O94</f>
        <v>3128720</v>
      </c>
    </row>
    <row r="171" spans="1:29" x14ac:dyDescent="0.35">
      <c r="A171" s="19">
        <v>34</v>
      </c>
      <c r="O171" s="37" t="s">
        <v>200</v>
      </c>
      <c r="P171" s="18">
        <f>SUM(P169:P170)</f>
        <v>11942608</v>
      </c>
      <c r="Q171"/>
      <c r="R171" s="307">
        <f>SUM(R169:R170)</f>
        <v>12038238</v>
      </c>
    </row>
    <row r="172" spans="1:29" x14ac:dyDescent="0.35">
      <c r="A172" s="19">
        <v>35</v>
      </c>
      <c r="O172" s="37" t="s">
        <v>10</v>
      </c>
      <c r="P172" s="18">
        <f>P167-P171</f>
        <v>-3033092</v>
      </c>
      <c r="Q172"/>
      <c r="R172" s="307">
        <f>R167-R171</f>
        <v>-2</v>
      </c>
    </row>
    <row r="173" spans="1:29" x14ac:dyDescent="0.35">
      <c r="P173" s="38" t="str">
        <f>IF(P172&lt;&gt;0,"ERROR","")</f>
        <v>ERROR</v>
      </c>
      <c r="Q173" s="347" t="str">
        <f>IF(Q172&lt;&gt;0,"ERROR","")</f>
        <v/>
      </c>
      <c r="R173" s="38" t="str">
        <f>IF(R172&lt;&gt;0,"ERROR","")</f>
        <v>ERROR</v>
      </c>
    </row>
    <row r="174" spans="1:29" ht="43.5" x14ac:dyDescent="0.35">
      <c r="J174" s="6" t="s">
        <v>40</v>
      </c>
      <c r="K174" s="6" t="s">
        <v>446</v>
      </c>
      <c r="L174" s="128" t="s">
        <v>658</v>
      </c>
      <c r="M174" s="6" t="s">
        <v>445</v>
      </c>
      <c r="N174" s="128" t="s">
        <v>659</v>
      </c>
      <c r="O174" s="78" t="s">
        <v>10</v>
      </c>
      <c r="P174" s="128" t="s">
        <v>660</v>
      </c>
      <c r="Q174"/>
    </row>
    <row r="175" spans="1:29" x14ac:dyDescent="0.35">
      <c r="A175" s="19">
        <v>36</v>
      </c>
      <c r="J175" s="93" t="s">
        <v>442</v>
      </c>
      <c r="K175" s="27">
        <f>SUMIF($J$17:$J$167,"H0010 3.2 WM",$K$17:$K$167)</f>
        <v>0</v>
      </c>
      <c r="L175" s="334">
        <f>SUMIF($J$17:$J$167,"H0010 3.2 WM",$M$17:$M$167)</f>
        <v>0</v>
      </c>
      <c r="M175" s="27">
        <f>'As-Filed Schedule 4'!D122+'As-Filed Schedule 4'!H122</f>
        <v>0</v>
      </c>
      <c r="N175" s="334">
        <f>'Adjusted Schedule 4'!D123+'Adjusted Schedule 4'!H123</f>
        <v>0</v>
      </c>
      <c r="O175" s="27">
        <f t="shared" ref="O175:P179" si="2">M175-K175</f>
        <v>0</v>
      </c>
      <c r="P175" s="334">
        <f t="shared" si="2"/>
        <v>0</v>
      </c>
      <c r="Q175"/>
      <c r="S175" s="92" t="str">
        <f>IF(O175&lt;&gt;0,"ERROR","")</f>
        <v/>
      </c>
      <c r="T175" s="92" t="str">
        <f>IF(Q175&lt;&gt;0,"ERROR","")</f>
        <v/>
      </c>
    </row>
    <row r="176" spans="1:29" x14ac:dyDescent="0.35">
      <c r="A176" s="19">
        <v>37</v>
      </c>
      <c r="J176" s="94" t="s">
        <v>443</v>
      </c>
      <c r="K176" s="27">
        <f>SUMIF($J$17:$J$167,"H0011 3.7 WM",$K$17:$K$167)</f>
        <v>0</v>
      </c>
      <c r="L176" s="334">
        <f>SUMIF($J$17:$J$167,"H0011 3.7 WM",$M$17:$M$167)</f>
        <v>0</v>
      </c>
      <c r="M176" s="27">
        <f>'As-Filed Schedule 4'!D123+'As-Filed Schedule 4'!H123</f>
        <v>0</v>
      </c>
      <c r="N176" s="334">
        <f>'Adjusted Schedule 4'!D124+'Adjusted Schedule 4'!H124</f>
        <v>0</v>
      </c>
      <c r="O176" s="27">
        <f t="shared" si="2"/>
        <v>0</v>
      </c>
      <c r="P176" s="334">
        <f t="shared" si="2"/>
        <v>0</v>
      </c>
      <c r="Q176"/>
      <c r="S176" s="92" t="str">
        <f>IF(O176&lt;&gt;0,"ERROR","")</f>
        <v/>
      </c>
      <c r="T176" s="92" t="str">
        <f t="shared" ref="T176:T179" si="3">IF(Q176&lt;&gt;0,"ERROR","")</f>
        <v/>
      </c>
    </row>
    <row r="177" spans="1:20" x14ac:dyDescent="0.35">
      <c r="A177" s="19">
        <v>38</v>
      </c>
      <c r="C177" s="231" t="s">
        <v>476</v>
      </c>
      <c r="D177" s="232"/>
      <c r="E177" s="232"/>
      <c r="F177" s="232"/>
      <c r="G177" s="144"/>
      <c r="J177" s="94" t="s">
        <v>51</v>
      </c>
      <c r="K177" s="27">
        <f t="shared" ref="K177:K184" si="4">SUMIF($J$17:$J$167,J177,$K$17:$K$167)</f>
        <v>3878</v>
      </c>
      <c r="L177" s="334">
        <f>SUMIF($J$17:$J$167,#REF!,$M$17:$M$167)</f>
        <v>0</v>
      </c>
      <c r="M177" s="27">
        <f>'As-Filed Schedule 4'!D125+'As-Filed Schedule 4'!H125</f>
        <v>3055</v>
      </c>
      <c r="N177" s="334">
        <f>'Adjusted Schedule 4'!D126+'Adjusted Schedule 4'!H126</f>
        <v>3055</v>
      </c>
      <c r="O177" s="27">
        <f t="shared" si="2"/>
        <v>-823</v>
      </c>
      <c r="P177" s="334">
        <f t="shared" si="2"/>
        <v>3055</v>
      </c>
      <c r="Q177"/>
      <c r="S177" s="92" t="str">
        <f>IF(O177&lt;&gt;0,"ERROR","")</f>
        <v>ERROR</v>
      </c>
      <c r="T177" s="92" t="str">
        <f t="shared" si="3"/>
        <v/>
      </c>
    </row>
    <row r="178" spans="1:20" x14ac:dyDescent="0.35">
      <c r="A178" s="19">
        <v>39</v>
      </c>
      <c r="C178" s="233" t="s">
        <v>468</v>
      </c>
      <c r="D178" s="234"/>
      <c r="E178" s="234" t="s">
        <v>472</v>
      </c>
      <c r="F178" s="100"/>
      <c r="G178" s="145"/>
      <c r="J178" s="94" t="s">
        <v>52</v>
      </c>
      <c r="K178" s="27">
        <f t="shared" si="4"/>
        <v>3208</v>
      </c>
      <c r="L178" s="334">
        <f>SUMIF($J$17:$J$167,#REF!,$M$17:$M$167)</f>
        <v>0</v>
      </c>
      <c r="M178" s="27">
        <f>'As-Filed Schedule 4'!D126+'As-Filed Schedule 4'!H126</f>
        <v>2169</v>
      </c>
      <c r="N178" s="334">
        <f>'Adjusted Schedule 4'!D127+'Adjusted Schedule 4'!H127</f>
        <v>2169</v>
      </c>
      <c r="O178" s="27">
        <f t="shared" si="2"/>
        <v>-1039</v>
      </c>
      <c r="P178" s="334">
        <f t="shared" si="2"/>
        <v>2169</v>
      </c>
      <c r="Q178"/>
      <c r="S178" s="92" t="str">
        <f>IF(O178&lt;&gt;0,"ERROR","")</f>
        <v>ERROR</v>
      </c>
      <c r="T178" s="92" t="str">
        <f t="shared" si="3"/>
        <v/>
      </c>
    </row>
    <row r="179" spans="1:20" x14ac:dyDescent="0.35">
      <c r="A179" s="19">
        <v>40</v>
      </c>
      <c r="C179" s="233" t="s">
        <v>477</v>
      </c>
      <c r="D179" s="234"/>
      <c r="E179" s="234" t="s">
        <v>474</v>
      </c>
      <c r="F179" s="100"/>
      <c r="G179" s="145"/>
      <c r="J179" s="94" t="s">
        <v>53</v>
      </c>
      <c r="K179" s="27">
        <f t="shared" si="4"/>
        <v>0</v>
      </c>
      <c r="L179" s="334">
        <f>SUMIF($J$17:$J$167,#REF!,$M$17:$M$167)</f>
        <v>0</v>
      </c>
      <c r="M179" s="27">
        <f>'As-Filed Schedule 4'!D127+'As-Filed Schedule 4'!H127</f>
        <v>0</v>
      </c>
      <c r="N179" s="334">
        <f>'Adjusted Schedule 4'!D128+'Adjusted Schedule 4'!H128</f>
        <v>0</v>
      </c>
      <c r="O179" s="27">
        <f t="shared" si="2"/>
        <v>0</v>
      </c>
      <c r="P179" s="334">
        <f t="shared" si="2"/>
        <v>0</v>
      </c>
      <c r="Q179"/>
      <c r="S179" s="92" t="str">
        <f>IF(O179&lt;&gt;0,"ERROR","")</f>
        <v/>
      </c>
      <c r="T179" s="92" t="str">
        <f t="shared" si="3"/>
        <v/>
      </c>
    </row>
    <row r="180" spans="1:20" x14ac:dyDescent="0.35">
      <c r="A180" s="19">
        <v>41</v>
      </c>
      <c r="C180" s="233" t="s">
        <v>469</v>
      </c>
      <c r="D180" s="234"/>
      <c r="E180" s="234" t="s">
        <v>473</v>
      </c>
      <c r="F180" s="100"/>
      <c r="G180" s="145"/>
      <c r="J180" s="95" t="s">
        <v>440</v>
      </c>
      <c r="K180" s="106">
        <f t="shared" si="4"/>
        <v>0</v>
      </c>
      <c r="L180" s="335">
        <f>SUMIF($J$17:$J$167,#REF!,$M$17:$M$167)</f>
        <v>0</v>
      </c>
      <c r="M180" s="89"/>
      <c r="N180" s="349"/>
      <c r="O180" s="87"/>
      <c r="P180" s="349"/>
      <c r="Q180"/>
    </row>
    <row r="181" spans="1:20" x14ac:dyDescent="0.35">
      <c r="A181" s="19">
        <v>42</v>
      </c>
      <c r="C181" s="233" t="s">
        <v>470</v>
      </c>
      <c r="D181" s="234"/>
      <c r="E181" s="234" t="s">
        <v>471</v>
      </c>
      <c r="F181" s="100"/>
      <c r="G181" s="145"/>
      <c r="J181" s="95" t="s">
        <v>444</v>
      </c>
      <c r="K181" s="108">
        <f t="shared" si="4"/>
        <v>0</v>
      </c>
      <c r="L181" s="336">
        <f>SUMIF($J$17:$J$167,#REF!,$M$17:$M$167)</f>
        <v>0</v>
      </c>
      <c r="M181" s="90"/>
      <c r="N181" s="350"/>
      <c r="O181" s="88"/>
      <c r="P181" s="350"/>
      <c r="Q181"/>
    </row>
    <row r="182" spans="1:20" x14ac:dyDescent="0.35">
      <c r="A182" s="19">
        <v>43</v>
      </c>
      <c r="C182" s="235" t="s">
        <v>478</v>
      </c>
      <c r="D182" s="236"/>
      <c r="E182" s="236" t="s">
        <v>475</v>
      </c>
      <c r="F182" s="237"/>
      <c r="G182" s="146"/>
      <c r="J182" s="95" t="s">
        <v>439</v>
      </c>
      <c r="K182" s="108">
        <f t="shared" si="4"/>
        <v>0</v>
      </c>
      <c r="L182" s="336">
        <f>SUMIF($J$17:$J$167,#REF!,$M$17:$M$167)</f>
        <v>0</v>
      </c>
      <c r="M182" s="109"/>
      <c r="N182" s="351"/>
      <c r="O182" s="110"/>
      <c r="P182" s="351"/>
      <c r="Q182"/>
    </row>
    <row r="183" spans="1:20" x14ac:dyDescent="0.35">
      <c r="A183" s="19">
        <v>44</v>
      </c>
      <c r="C183" s="100"/>
      <c r="D183" s="100"/>
      <c r="E183" s="100"/>
      <c r="F183" s="100"/>
      <c r="J183" s="96" t="s">
        <v>438</v>
      </c>
      <c r="K183" s="107">
        <f t="shared" si="4"/>
        <v>0</v>
      </c>
      <c r="L183" s="337">
        <f>SUMIF($J$17:$J$167,#REF!,$M$17:$M$167)</f>
        <v>0</v>
      </c>
      <c r="M183" s="27">
        <f>'As-Filed Schedule 4'!D180+'As-Filed Schedule 4'!H180</f>
        <v>0</v>
      </c>
      <c r="N183" s="334">
        <f>'Adjusted Schedule 4'!E181+'Adjusted Schedule 4'!I181</f>
        <v>0</v>
      </c>
      <c r="O183" s="27">
        <f>M183-SUM(K180:K183)</f>
        <v>0</v>
      </c>
      <c r="P183" s="334">
        <f>N183-SUM(L180:L183)</f>
        <v>0</v>
      </c>
      <c r="Q183"/>
      <c r="S183" s="92" t="str">
        <f>IF(O183&lt;&gt;0,"ERROR","")</f>
        <v/>
      </c>
      <c r="T183" s="92" t="str">
        <f t="shared" ref="T183" si="5">IF(Q183&lt;&gt;0,"ERROR","")</f>
        <v/>
      </c>
    </row>
    <row r="184" spans="1:20" x14ac:dyDescent="0.35">
      <c r="A184" s="19">
        <v>45</v>
      </c>
      <c r="C184" s="100"/>
      <c r="D184" s="100"/>
      <c r="E184" s="100"/>
      <c r="F184" s="100"/>
      <c r="J184" s="94" t="s">
        <v>481</v>
      </c>
      <c r="K184" s="27">
        <f t="shared" si="4"/>
        <v>0</v>
      </c>
      <c r="L184" s="334">
        <f>SUMIF($J$17:$J$167,#REF!,$M$17:$M$167)</f>
        <v>0</v>
      </c>
      <c r="M184" s="90"/>
      <c r="N184" s="349"/>
      <c r="O184" s="88"/>
      <c r="P184" s="350"/>
      <c r="Q184" s="346"/>
    </row>
    <row r="185" spans="1:20" x14ac:dyDescent="0.35">
      <c r="C185" s="100"/>
      <c r="D185" s="100"/>
      <c r="E185" s="100"/>
      <c r="F185" s="100"/>
      <c r="L185" s="48"/>
      <c r="M185"/>
      <c r="N185" s="48"/>
      <c r="O185"/>
      <c r="P185" s="48"/>
    </row>
    <row r="249" spans="4:10" ht="17.25" customHeight="1" x14ac:dyDescent="0.35"/>
    <row r="251" spans="4:10" hidden="1" x14ac:dyDescent="0.35">
      <c r="D251" t="s">
        <v>456</v>
      </c>
      <c r="E251" t="s">
        <v>159</v>
      </c>
      <c r="J251" s="111" t="s">
        <v>450</v>
      </c>
    </row>
    <row r="252" spans="4:10" hidden="1" x14ac:dyDescent="0.35">
      <c r="D252" t="s">
        <v>176</v>
      </c>
      <c r="E252" t="s">
        <v>456</v>
      </c>
      <c r="J252" s="112" t="s">
        <v>451</v>
      </c>
    </row>
    <row r="253" spans="4:10" hidden="1" x14ac:dyDescent="0.35">
      <c r="D253" t="s">
        <v>175</v>
      </c>
      <c r="E253" t="s">
        <v>467</v>
      </c>
      <c r="J253" s="112" t="s">
        <v>51</v>
      </c>
    </row>
    <row r="254" spans="4:10" hidden="1" x14ac:dyDescent="0.35">
      <c r="D254" t="s">
        <v>435</v>
      </c>
      <c r="E254" t="s">
        <v>466</v>
      </c>
      <c r="J254" s="112" t="s">
        <v>52</v>
      </c>
    </row>
    <row r="255" spans="4:10" hidden="1" x14ac:dyDescent="0.35">
      <c r="D255" t="s">
        <v>170</v>
      </c>
      <c r="E255" t="s">
        <v>174</v>
      </c>
      <c r="J255" s="112" t="s">
        <v>53</v>
      </c>
    </row>
    <row r="256" spans="4:10" hidden="1" x14ac:dyDescent="0.35">
      <c r="D256" t="s">
        <v>482</v>
      </c>
      <c r="E256" t="s">
        <v>172</v>
      </c>
      <c r="J256" s="112" t="s">
        <v>440</v>
      </c>
    </row>
    <row r="257" spans="5:10" hidden="1" x14ac:dyDescent="0.35">
      <c r="E257" t="s">
        <v>171</v>
      </c>
      <c r="J257" s="112" t="s">
        <v>444</v>
      </c>
    </row>
    <row r="258" spans="5:10" hidden="1" x14ac:dyDescent="0.35">
      <c r="E258" t="s">
        <v>465</v>
      </c>
      <c r="J258" s="112" t="s">
        <v>439</v>
      </c>
    </row>
    <row r="259" spans="5:10" hidden="1" x14ac:dyDescent="0.35">
      <c r="E259" t="s">
        <v>436</v>
      </c>
      <c r="J259" s="113" t="s">
        <v>438</v>
      </c>
    </row>
    <row r="260" spans="5:10" hidden="1" x14ac:dyDescent="0.35">
      <c r="J260" s="113" t="s">
        <v>481</v>
      </c>
    </row>
    <row r="261" spans="5:10" hidden="1" x14ac:dyDescent="0.35">
      <c r="J261" s="113" t="s">
        <v>455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47">
    <mergeCell ref="B167:E167"/>
    <mergeCell ref="B112:C112"/>
    <mergeCell ref="B117:C117"/>
    <mergeCell ref="B122:C122"/>
    <mergeCell ref="B127:C127"/>
    <mergeCell ref="B132:C132"/>
    <mergeCell ref="B137:C137"/>
    <mergeCell ref="B142:C142"/>
    <mergeCell ref="B147:C147"/>
    <mergeCell ref="B152:C152"/>
    <mergeCell ref="B157:C157"/>
    <mergeCell ref="B162:C162"/>
    <mergeCell ref="B107:C107"/>
    <mergeCell ref="B52:C52"/>
    <mergeCell ref="B57:C57"/>
    <mergeCell ref="B62:C62"/>
    <mergeCell ref="B67:C67"/>
    <mergeCell ref="B72:C72"/>
    <mergeCell ref="B77:C77"/>
    <mergeCell ref="B82:C82"/>
    <mergeCell ref="B87:C87"/>
    <mergeCell ref="B92:C92"/>
    <mergeCell ref="B97:C97"/>
    <mergeCell ref="B102:C102"/>
    <mergeCell ref="B47:C47"/>
    <mergeCell ref="K14:K15"/>
    <mergeCell ref="N14:N15"/>
    <mergeCell ref="B22:C22"/>
    <mergeCell ref="B27:C27"/>
    <mergeCell ref="B32:C32"/>
    <mergeCell ref="B37:C37"/>
    <mergeCell ref="B42:C42"/>
    <mergeCell ref="L14:L15"/>
    <mergeCell ref="M14:M15"/>
    <mergeCell ref="A9:K11"/>
    <mergeCell ref="B13:C13"/>
    <mergeCell ref="B14:C15"/>
    <mergeCell ref="D14:D15"/>
    <mergeCell ref="E14:E15"/>
    <mergeCell ref="F14:F15"/>
    <mergeCell ref="G14:G15"/>
    <mergeCell ref="H14:H15"/>
    <mergeCell ref="Z14:AC14"/>
    <mergeCell ref="O14:O15"/>
    <mergeCell ref="P14:T14"/>
    <mergeCell ref="U14:Y14"/>
    <mergeCell ref="B17:C17"/>
  </mergeCells>
  <pageMargins left="0.7" right="0.7" top="0.75" bottom="0.75" header="0.3" footer="0.3"/>
  <pageSetup orientation="portrait" horizontalDpi="1200" verticalDpi="1200"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4"/>
  <dimension ref="A1:T197"/>
  <sheetViews>
    <sheetView workbookViewId="0"/>
  </sheetViews>
  <sheetFormatPr defaultColWidth="9.1796875" defaultRowHeight="14.5" x14ac:dyDescent="0.35"/>
  <cols>
    <col min="2" max="2" width="15.54296875" customWidth="1"/>
    <col min="3" max="3" width="77" style="4" customWidth="1"/>
    <col min="4" max="4" width="18.54296875" style="4" customWidth="1"/>
    <col min="5" max="5" width="18.54296875" style="382" customWidth="1"/>
    <col min="6" max="6" width="18.54296875" style="49" customWidth="1"/>
    <col min="7" max="8" width="18.54296875" style="4" customWidth="1"/>
    <col min="9" max="9" width="18.54296875" style="49" customWidth="1"/>
    <col min="10" max="10" width="21" style="13" customWidth="1"/>
    <col min="11" max="11" width="21" style="50" customWidth="1"/>
    <col min="12" max="12" width="21" style="13" customWidth="1"/>
    <col min="13" max="13" width="21" style="384" customWidth="1"/>
    <col min="14" max="14" width="21" style="50" customWidth="1"/>
    <col min="15" max="16" width="21" style="13" customWidth="1"/>
    <col min="17" max="17" width="21" style="50" customWidth="1"/>
    <col min="18" max="18" width="21" style="13" customWidth="1"/>
    <col min="19" max="19" width="21" style="50" customWidth="1"/>
    <col min="20" max="20" width="16" customWidth="1"/>
  </cols>
  <sheetData>
    <row r="1" spans="1:20" ht="26" x14ac:dyDescent="0.6">
      <c r="A1" s="3" t="s">
        <v>774</v>
      </c>
      <c r="D1" s="48"/>
      <c r="E1" s="260"/>
      <c r="F1" s="48"/>
      <c r="G1" s="49"/>
      <c r="H1" s="49"/>
      <c r="J1" s="50"/>
      <c r="L1" s="50"/>
    </row>
    <row r="2" spans="1:20" ht="21" x14ac:dyDescent="0.5">
      <c r="A2" s="2" t="s">
        <v>772</v>
      </c>
      <c r="D2" s="54"/>
      <c r="E2" s="380"/>
      <c r="F2" s="54"/>
      <c r="G2" s="49"/>
      <c r="H2" s="49"/>
      <c r="J2" s="50"/>
      <c r="L2" s="50"/>
    </row>
    <row r="3" spans="1:20" ht="25" customHeight="1" x14ac:dyDescent="0.5">
      <c r="A3" s="5" t="s">
        <v>931</v>
      </c>
      <c r="B3" s="5"/>
      <c r="C3" s="7"/>
      <c r="D3" s="54"/>
      <c r="E3" s="380"/>
      <c r="F3" s="54"/>
      <c r="G3" s="51"/>
      <c r="H3" s="51"/>
      <c r="I3" s="51"/>
      <c r="J3" s="52"/>
      <c r="K3" s="52"/>
      <c r="L3" s="52"/>
      <c r="M3" s="385"/>
      <c r="N3" s="52"/>
      <c r="O3" s="14"/>
      <c r="P3" s="14"/>
      <c r="Q3" s="52"/>
    </row>
    <row r="4" spans="1:20" x14ac:dyDescent="0.35">
      <c r="D4" s="54"/>
      <c r="E4" s="380"/>
      <c r="F4" s="54"/>
      <c r="G4" s="49"/>
      <c r="H4" s="49"/>
      <c r="J4" s="50"/>
      <c r="L4" s="50"/>
      <c r="R4" s="540"/>
      <c r="S4" s="573"/>
      <c r="T4" s="540"/>
    </row>
    <row r="5" spans="1:20" ht="15" customHeight="1" x14ac:dyDescent="0.35">
      <c r="A5" s="1" t="s">
        <v>773</v>
      </c>
      <c r="C5" s="416" t="str">
        <f>Results!$C$6</f>
        <v>AllHealth Network</v>
      </c>
      <c r="D5" s="55"/>
      <c r="E5" s="381"/>
      <c r="F5" s="55"/>
      <c r="G5" s="53"/>
      <c r="H5" s="53"/>
      <c r="I5" s="53"/>
      <c r="J5" s="50"/>
      <c r="L5" s="50"/>
      <c r="R5" s="540"/>
      <c r="S5" s="573"/>
      <c r="T5" s="540"/>
    </row>
    <row r="6" spans="1:20" x14ac:dyDescent="0.35">
      <c r="A6" s="1" t="s">
        <v>0</v>
      </c>
      <c r="C6" s="35">
        <f>Results!$C$7</f>
        <v>45473</v>
      </c>
      <c r="D6" s="35"/>
      <c r="E6" s="315"/>
      <c r="F6" s="60"/>
      <c r="G6" s="35"/>
      <c r="H6" s="35"/>
      <c r="I6" s="60"/>
      <c r="R6" s="540"/>
      <c r="S6" s="573"/>
      <c r="T6" s="540"/>
    </row>
    <row r="7" spans="1:20" x14ac:dyDescent="0.35">
      <c r="A7" s="1"/>
      <c r="C7" s="35"/>
      <c r="D7" s="23">
        <v>1</v>
      </c>
      <c r="E7" s="255" t="s">
        <v>552</v>
      </c>
      <c r="F7" s="256" t="s">
        <v>553</v>
      </c>
      <c r="G7" s="35"/>
      <c r="H7" s="23">
        <v>3</v>
      </c>
      <c r="I7" s="256" t="s">
        <v>561</v>
      </c>
      <c r="L7" s="204"/>
      <c r="M7" s="174">
        <v>6</v>
      </c>
      <c r="N7" s="255" t="s">
        <v>570</v>
      </c>
      <c r="O7" s="256" t="s">
        <v>571</v>
      </c>
      <c r="P7" s="204"/>
      <c r="Q7" s="174">
        <v>8</v>
      </c>
      <c r="R7" s="255" t="s">
        <v>616</v>
      </c>
      <c r="S7" s="256" t="s">
        <v>617</v>
      </c>
      <c r="T7" s="81"/>
    </row>
    <row r="8" spans="1:20" x14ac:dyDescent="0.35">
      <c r="A8" s="19">
        <v>1</v>
      </c>
      <c r="C8" s="46" t="s">
        <v>193</v>
      </c>
      <c r="D8" s="26">
        <f>'As-Filed Schedule 1'!F95</f>
        <v>45153224</v>
      </c>
      <c r="E8" s="402" t="s">
        <v>761</v>
      </c>
      <c r="F8" s="379">
        <f>'Schedule 1 Adjustments'!L96</f>
        <v>44277755</v>
      </c>
      <c r="G8" s="46" t="s">
        <v>197</v>
      </c>
      <c r="H8" s="31">
        <f>H197</f>
        <v>59667.61</v>
      </c>
      <c r="I8" s="377">
        <f>I197</f>
        <v>64828.62</v>
      </c>
      <c r="L8" s="422" t="s">
        <v>857</v>
      </c>
      <c r="M8" s="26">
        <f>'As-Filed Schedule 1'!F95</f>
        <v>45153224</v>
      </c>
      <c r="N8" s="402" t="s">
        <v>761</v>
      </c>
      <c r="O8" s="379">
        <f>'Schedule 1 Adjustments'!L96</f>
        <v>44277755</v>
      </c>
      <c r="P8" s="422" t="s">
        <v>858</v>
      </c>
      <c r="Q8" s="179">
        <f>'As-Filed Schedule 4'!K8</f>
        <v>143182</v>
      </c>
      <c r="R8" s="383">
        <f>SUMIFS(Adjustments!$G:$G,Adjustments!$H:$H,"4",Adjustments!$I:$I,'Schedule 4 Adjustments'!$Q$7,Adjustments!$J:$J,'Schedule 4 Adjustments'!$A8)</f>
        <v>-4672</v>
      </c>
      <c r="S8" s="305">
        <f>SUM(Q8:R8)</f>
        <v>138510</v>
      </c>
      <c r="T8" s="25"/>
    </row>
    <row r="9" spans="1:20" x14ac:dyDescent="0.35">
      <c r="A9" s="19">
        <v>2</v>
      </c>
      <c r="C9" s="46" t="s">
        <v>251</v>
      </c>
      <c r="D9" s="117">
        <f>'As-Filed Schedule 4'!D9</f>
        <v>0</v>
      </c>
      <c r="E9" s="383">
        <f>SUMIFS(Adjustments!$G:$G,Adjustments!$H:$H,"4",Adjustments!$I:$I,'Schedule 4 Adjustments'!$D$7,Adjustments!$J:$J,'Schedule 4 Adjustments'!$A9)</f>
        <v>0</v>
      </c>
      <c r="F9" s="305">
        <f>SUM(D9:E9)</f>
        <v>0</v>
      </c>
      <c r="G9" s="46" t="s">
        <v>198</v>
      </c>
      <c r="H9" s="31">
        <f>P197</f>
        <v>391070.84999999992</v>
      </c>
      <c r="I9" s="377">
        <f>Q197</f>
        <v>400989.84999999992</v>
      </c>
      <c r="L9" s="422" t="s">
        <v>859</v>
      </c>
      <c r="M9" s="179">
        <f>'As-Filed Schedule 4'!I9</f>
        <v>0</v>
      </c>
      <c r="N9" s="383">
        <f>SUMIFS(Adjustments!$G:$G,Adjustments!$H:$H,"4",Adjustments!$I:$I,'Schedule 4 Adjustments'!$M$7,Adjustments!$J:$J,'Schedule 4 Adjustments'!$A9)</f>
        <v>0</v>
      </c>
      <c r="O9" s="305">
        <f>SUM(M9:N9)</f>
        <v>0</v>
      </c>
      <c r="P9" s="427"/>
      <c r="Q9" s="427"/>
      <c r="T9" s="45"/>
    </row>
    <row r="10" spans="1:20" x14ac:dyDescent="0.35">
      <c r="A10" s="19">
        <v>3</v>
      </c>
      <c r="C10" s="42" t="s">
        <v>194</v>
      </c>
      <c r="D10" s="18">
        <f>D8-D9</f>
        <v>45153224</v>
      </c>
      <c r="E10" s="403" t="s">
        <v>761</v>
      </c>
      <c r="F10" s="307">
        <f>F8-F9</f>
        <v>44277755</v>
      </c>
      <c r="G10" s="42" t="s">
        <v>195</v>
      </c>
      <c r="H10" s="9">
        <f>SUM(H8:H9)</f>
        <v>450738.4599999999</v>
      </c>
      <c r="I10" s="374">
        <f>SUM(I8:I9)</f>
        <v>465818.46999999991</v>
      </c>
      <c r="L10" s="423" t="s">
        <v>860</v>
      </c>
      <c r="M10" s="184">
        <f>M8-M9</f>
        <v>45153224</v>
      </c>
      <c r="N10" s="403" t="s">
        <v>761</v>
      </c>
      <c r="O10" s="307">
        <f>O8-O9</f>
        <v>44277755</v>
      </c>
      <c r="P10" s="427"/>
      <c r="Q10" s="427"/>
      <c r="T10" s="45"/>
    </row>
    <row r="11" spans="1:20" x14ac:dyDescent="0.35">
      <c r="A11" s="1"/>
      <c r="L11" s="205"/>
      <c r="M11" s="205"/>
      <c r="N11" s="426"/>
      <c r="O11" s="426"/>
      <c r="P11" s="427"/>
      <c r="Q11" s="428"/>
      <c r="T11" s="45"/>
    </row>
    <row r="12" spans="1:20" ht="18.5" x14ac:dyDescent="0.45">
      <c r="A12" s="19">
        <v>4</v>
      </c>
      <c r="G12" s="44" t="s">
        <v>196</v>
      </c>
      <c r="H12" s="43">
        <f>D10/H10</f>
        <v>100.17610656077586</v>
      </c>
      <c r="I12" s="378">
        <f>F10/I10</f>
        <v>95.053669726750016</v>
      </c>
      <c r="L12" s="205"/>
      <c r="M12" s="205"/>
      <c r="N12" s="424"/>
      <c r="O12" s="448"/>
      <c r="P12" s="424" t="s">
        <v>861</v>
      </c>
      <c r="Q12" s="425">
        <f>M10/Q8</f>
        <v>315.35544970736544</v>
      </c>
      <c r="S12" s="425">
        <f>O10/S8</f>
        <v>319.67190094578007</v>
      </c>
      <c r="T12" s="45"/>
    </row>
    <row r="13" spans="1:20" x14ac:dyDescent="0.35">
      <c r="A13" s="1"/>
      <c r="C13" s="35"/>
      <c r="D13" s="35"/>
      <c r="E13" s="315"/>
      <c r="F13" s="60"/>
      <c r="G13" s="35"/>
      <c r="H13" s="35"/>
      <c r="I13" s="60"/>
      <c r="K13" s="13"/>
      <c r="L13" s="143"/>
      <c r="M13" s="13"/>
      <c r="N13" s="143"/>
      <c r="P13" s="50"/>
      <c r="Q13" s="13"/>
      <c r="R13" s="50"/>
    </row>
    <row r="14" spans="1:20" x14ac:dyDescent="0.35">
      <c r="D14" s="23">
        <v>1</v>
      </c>
      <c r="E14" s="255" t="s">
        <v>552</v>
      </c>
      <c r="F14" s="256" t="s">
        <v>553</v>
      </c>
      <c r="G14" s="23">
        <v>2</v>
      </c>
      <c r="H14" s="23">
        <v>3</v>
      </c>
      <c r="I14" s="256" t="s">
        <v>561</v>
      </c>
      <c r="J14" s="23">
        <v>4</v>
      </c>
      <c r="K14" s="256" t="s">
        <v>565</v>
      </c>
      <c r="L14" s="23">
        <v>5</v>
      </c>
      <c r="M14" s="255" t="s">
        <v>566</v>
      </c>
      <c r="N14" s="256" t="s">
        <v>567</v>
      </c>
      <c r="O14" s="23">
        <v>6</v>
      </c>
      <c r="P14" s="23">
        <v>7</v>
      </c>
      <c r="Q14" s="256" t="s">
        <v>575</v>
      </c>
      <c r="R14" s="23">
        <v>8</v>
      </c>
      <c r="S14" s="256" t="s">
        <v>617</v>
      </c>
    </row>
    <row r="15" spans="1:20" x14ac:dyDescent="0.35">
      <c r="A15" s="1"/>
      <c r="C15" s="35"/>
      <c r="D15" s="541" t="s">
        <v>191</v>
      </c>
      <c r="E15" s="542"/>
      <c r="F15" s="542"/>
      <c r="G15" s="542"/>
      <c r="H15" s="542"/>
      <c r="I15" s="542"/>
      <c r="J15" s="543"/>
      <c r="K15" s="376"/>
      <c r="L15" s="541" t="s">
        <v>192</v>
      </c>
      <c r="M15" s="542"/>
      <c r="N15" s="542"/>
      <c r="O15" s="542"/>
      <c r="P15" s="542"/>
      <c r="Q15" s="542"/>
      <c r="R15" s="543"/>
      <c r="S15" s="369"/>
    </row>
    <row r="16" spans="1:20" ht="43.5" x14ac:dyDescent="0.35">
      <c r="B16" s="207" t="s">
        <v>40</v>
      </c>
      <c r="C16" s="207" t="s">
        <v>11</v>
      </c>
      <c r="D16" s="207" t="s">
        <v>187</v>
      </c>
      <c r="E16" s="357" t="s">
        <v>661</v>
      </c>
      <c r="F16" s="404" t="s">
        <v>662</v>
      </c>
      <c r="G16" s="238" t="s">
        <v>483</v>
      </c>
      <c r="H16" s="238" t="s">
        <v>189</v>
      </c>
      <c r="I16" s="372" t="s">
        <v>663</v>
      </c>
      <c r="J16" s="239" t="s">
        <v>156</v>
      </c>
      <c r="K16" s="370" t="s">
        <v>664</v>
      </c>
      <c r="L16" s="239" t="s">
        <v>188</v>
      </c>
      <c r="M16" s="386" t="s">
        <v>665</v>
      </c>
      <c r="N16" s="370" t="s">
        <v>666</v>
      </c>
      <c r="O16" s="238" t="s">
        <v>484</v>
      </c>
      <c r="P16" s="16" t="s">
        <v>190</v>
      </c>
      <c r="Q16" s="372" t="s">
        <v>667</v>
      </c>
      <c r="R16" s="15" t="s">
        <v>157</v>
      </c>
      <c r="S16" s="370" t="s">
        <v>668</v>
      </c>
    </row>
    <row r="17" spans="1:19" s="22" customFormat="1" x14ac:dyDescent="0.35">
      <c r="A17" s="19">
        <v>5</v>
      </c>
      <c r="B17" s="419" t="s">
        <v>787</v>
      </c>
      <c r="C17" s="20" t="s">
        <v>788</v>
      </c>
      <c r="D17" s="116">
        <f>'As-Filed Schedule 4'!D17</f>
        <v>0</v>
      </c>
      <c r="E17" s="383">
        <f>SUMIFS(Adjustments!$G:$G,Adjustments!$H:$H,"4",Adjustments!$I:$I,'Schedule 4 Adjustments'!$D$14,Adjustments!$J:$J,'Schedule 4 Adjustments'!$A17)</f>
        <v>0</v>
      </c>
      <c r="F17" s="375">
        <f>SUM(D17:E17)</f>
        <v>0</v>
      </c>
      <c r="G17" s="405">
        <v>0</v>
      </c>
      <c r="H17" s="147">
        <f>D17*G17</f>
        <v>0</v>
      </c>
      <c r="I17" s="373">
        <f>F17*G17</f>
        <v>0</v>
      </c>
      <c r="J17" s="148">
        <f>G17*$H$12</f>
        <v>0</v>
      </c>
      <c r="K17" s="371">
        <f>G17*$I$12</f>
        <v>0</v>
      </c>
      <c r="L17" s="149">
        <f>'As-Filed Schedule 4'!H17</f>
        <v>0</v>
      </c>
      <c r="M17" s="383">
        <f>SUMIFS(Adjustments!$G:$G,Adjustments!$H:$H,"4",Adjustments!$I:$I,'Schedule 4 Adjustments'!$L$14,Adjustments!$J:$J,'Schedule 4 Adjustments'!$A17)</f>
        <v>0</v>
      </c>
      <c r="N17" s="375">
        <f>SUM(L17:M17)</f>
        <v>0</v>
      </c>
      <c r="O17" s="405">
        <v>0</v>
      </c>
      <c r="P17" s="47">
        <f>L17*O17</f>
        <v>0</v>
      </c>
      <c r="Q17" s="373">
        <f>N17*O17</f>
        <v>0</v>
      </c>
      <c r="R17" s="21">
        <f>O17*$H$12</f>
        <v>0</v>
      </c>
      <c r="S17" s="371">
        <f>O17*$I$12</f>
        <v>0</v>
      </c>
    </row>
    <row r="18" spans="1:19" s="22" customFormat="1" x14ac:dyDescent="0.35">
      <c r="A18" s="19">
        <v>6</v>
      </c>
      <c r="B18" s="19">
        <v>80305</v>
      </c>
      <c r="C18" s="20" t="s">
        <v>111</v>
      </c>
      <c r="D18" s="116">
        <f>'As-Filed Schedule 4'!D18</f>
        <v>0</v>
      </c>
      <c r="E18" s="383">
        <f>SUMIFS(Adjustments!$G:$G,Adjustments!$H:$H,"4",Adjustments!$I:$I,'Schedule 4 Adjustments'!$D$14,Adjustments!$J:$J,'Schedule 4 Adjustments'!$A18)</f>
        <v>0</v>
      </c>
      <c r="F18" s="375">
        <f>SUM(D18:E18)</f>
        <v>0</v>
      </c>
      <c r="G18" s="405">
        <v>0</v>
      </c>
      <c r="H18" s="147">
        <f>D18*G18</f>
        <v>0</v>
      </c>
      <c r="I18" s="373">
        <f>F18*G18</f>
        <v>0</v>
      </c>
      <c r="J18" s="148">
        <f>G18*$H$12</f>
        <v>0</v>
      </c>
      <c r="K18" s="371">
        <f>G18*$I$12</f>
        <v>0</v>
      </c>
      <c r="L18" s="149">
        <f>'As-Filed Schedule 4'!H18</f>
        <v>819</v>
      </c>
      <c r="M18" s="383">
        <f>SUMIFS(Adjustments!$G:$G,Adjustments!$H:$H,"4",Adjustments!$I:$I,'Schedule 4 Adjustments'!$L$14,Adjustments!$J:$J,'Schedule 4 Adjustments'!$A18)</f>
        <v>0</v>
      </c>
      <c r="N18" s="375">
        <f>SUM(L18:M18)</f>
        <v>819</v>
      </c>
      <c r="O18" s="405">
        <v>0</v>
      </c>
      <c r="P18" s="47">
        <f>L18*O18</f>
        <v>0</v>
      </c>
      <c r="Q18" s="373">
        <f>N18*O18</f>
        <v>0</v>
      </c>
      <c r="R18" s="21">
        <f>O18*$H$12</f>
        <v>0</v>
      </c>
      <c r="S18" s="371">
        <f>O18*$I$12</f>
        <v>0</v>
      </c>
    </row>
    <row r="19" spans="1:19" s="22" customFormat="1" x14ac:dyDescent="0.35">
      <c r="A19" s="19">
        <v>7</v>
      </c>
      <c r="B19" s="19">
        <v>80306</v>
      </c>
      <c r="C19" s="20" t="s">
        <v>41</v>
      </c>
      <c r="D19" s="116">
        <f>'As-Filed Schedule 4'!D19</f>
        <v>0</v>
      </c>
      <c r="E19" s="383">
        <f>SUMIFS(Adjustments!$G:$G,Adjustments!$H:$H,"4",Adjustments!$I:$I,'Schedule 4 Adjustments'!$D$14,Adjustments!$J:$J,'Schedule 4 Adjustments'!$A19)</f>
        <v>0</v>
      </c>
      <c r="F19" s="375">
        <f t="shared" ref="F19:F82" si="0">SUM(D19:E19)</f>
        <v>0</v>
      </c>
      <c r="G19" s="405">
        <v>0</v>
      </c>
      <c r="H19" s="147">
        <f>D19*G19</f>
        <v>0</v>
      </c>
      <c r="I19" s="373">
        <f t="shared" ref="I19:I82" si="1">F19*G19</f>
        <v>0</v>
      </c>
      <c r="J19" s="148">
        <f t="shared" ref="J19:J81" si="2">G19*$H$12</f>
        <v>0</v>
      </c>
      <c r="K19" s="371">
        <f t="shared" ref="K19:K82" si="3">G19*$I$12</f>
        <v>0</v>
      </c>
      <c r="L19" s="149">
        <f>'As-Filed Schedule 4'!H19</f>
        <v>0</v>
      </c>
      <c r="M19" s="383">
        <f>SUMIFS(Adjustments!$G:$G,Adjustments!$H:$H,"4",Adjustments!$I:$I,'Schedule 4 Adjustments'!$L$14,Adjustments!$J:$J,'Schedule 4 Adjustments'!$A19)</f>
        <v>0</v>
      </c>
      <c r="N19" s="375">
        <f t="shared" ref="N19:N82" si="4">SUM(L19:M19)</f>
        <v>0</v>
      </c>
      <c r="O19" s="405">
        <v>0</v>
      </c>
      <c r="P19" s="47">
        <f>L19*O19</f>
        <v>0</v>
      </c>
      <c r="Q19" s="373">
        <f t="shared" ref="Q19:Q82" si="5">N19*O19</f>
        <v>0</v>
      </c>
      <c r="R19" s="21">
        <f t="shared" ref="R19:R81" si="6">O19*$H$12</f>
        <v>0</v>
      </c>
      <c r="S19" s="371">
        <f t="shared" ref="S19:S82" si="7">O19*$I$12</f>
        <v>0</v>
      </c>
    </row>
    <row r="20" spans="1:19" s="22" customFormat="1" x14ac:dyDescent="0.35">
      <c r="A20" s="19">
        <v>8</v>
      </c>
      <c r="B20" s="19">
        <v>82075</v>
      </c>
      <c r="C20" s="20" t="s">
        <v>112</v>
      </c>
      <c r="D20" s="116">
        <f>'As-Filed Schedule 4'!D20</f>
        <v>1</v>
      </c>
      <c r="E20" s="383">
        <f>SUMIFS(Adjustments!$G:$G,Adjustments!$H:$H,"4",Adjustments!$I:$I,'Schedule 4 Adjustments'!$D$14,Adjustments!$J:$J,'Schedule 4 Adjustments'!$A20)</f>
        <v>0</v>
      </c>
      <c r="F20" s="375">
        <f>SUM(D20:E20)</f>
        <v>1</v>
      </c>
      <c r="G20" s="405">
        <v>0</v>
      </c>
      <c r="H20" s="147">
        <f t="shared" ref="H20:H83" si="8">D20*G20</f>
        <v>0</v>
      </c>
      <c r="I20" s="373">
        <f t="shared" si="1"/>
        <v>0</v>
      </c>
      <c r="J20" s="148">
        <f t="shared" si="2"/>
        <v>0</v>
      </c>
      <c r="K20" s="371">
        <f t="shared" si="3"/>
        <v>0</v>
      </c>
      <c r="L20" s="149">
        <f>'As-Filed Schedule 4'!H20</f>
        <v>785</v>
      </c>
      <c r="M20" s="383">
        <f>SUMIFS(Adjustments!$G:$G,Adjustments!$H:$H,"4",Adjustments!$I:$I,'Schedule 4 Adjustments'!$L$14,Adjustments!$J:$J,'Schedule 4 Adjustments'!$A20)</f>
        <v>0</v>
      </c>
      <c r="N20" s="375">
        <f t="shared" si="4"/>
        <v>785</v>
      </c>
      <c r="O20" s="405">
        <v>0</v>
      </c>
      <c r="P20" s="47">
        <f t="shared" ref="P20:P82" si="9">L20*O20</f>
        <v>0</v>
      </c>
      <c r="Q20" s="373">
        <f>N20*O20</f>
        <v>0</v>
      </c>
      <c r="R20" s="21">
        <f t="shared" si="6"/>
        <v>0</v>
      </c>
      <c r="S20" s="371">
        <f t="shared" si="7"/>
        <v>0</v>
      </c>
    </row>
    <row r="21" spans="1:19" s="22" customFormat="1" x14ac:dyDescent="0.35">
      <c r="A21" s="19">
        <v>9</v>
      </c>
      <c r="B21" s="19">
        <v>90785</v>
      </c>
      <c r="C21" s="20" t="s">
        <v>319</v>
      </c>
      <c r="D21" s="116">
        <f>'As-Filed Schedule 4'!D21</f>
        <v>444</v>
      </c>
      <c r="E21" s="383">
        <f>SUMIFS(Adjustments!$G:$G,Adjustments!$H:$H,"4",Adjustments!$I:$I,'Schedule 4 Adjustments'!$D$14,Adjustments!$J:$J,'Schedule 4 Adjustments'!$A21)</f>
        <v>0</v>
      </c>
      <c r="F21" s="375">
        <f t="shared" si="0"/>
        <v>444</v>
      </c>
      <c r="G21" s="405">
        <v>0.44</v>
      </c>
      <c r="H21" s="47">
        <f t="shared" si="8"/>
        <v>195.36</v>
      </c>
      <c r="I21" s="373">
        <f t="shared" si="1"/>
        <v>195.36</v>
      </c>
      <c r="J21" s="21">
        <f t="shared" si="2"/>
        <v>44.077486886741383</v>
      </c>
      <c r="K21" s="371">
        <f t="shared" si="3"/>
        <v>41.82361467977001</v>
      </c>
      <c r="L21" s="149">
        <f>'As-Filed Schedule 4'!H21</f>
        <v>2883</v>
      </c>
      <c r="M21" s="383">
        <f>SUMIFS(Adjustments!$G:$G,Adjustments!$H:$H,"4",Adjustments!$I:$I,'Schedule 4 Adjustments'!$L$14,Adjustments!$J:$J,'Schedule 4 Adjustments'!$A21)</f>
        <v>0</v>
      </c>
      <c r="N21" s="375">
        <f t="shared" si="4"/>
        <v>2883</v>
      </c>
      <c r="O21" s="405">
        <v>0.39</v>
      </c>
      <c r="P21" s="47">
        <f t="shared" si="9"/>
        <v>1124.3700000000001</v>
      </c>
      <c r="Q21" s="373">
        <f>N21*O21</f>
        <v>1124.3700000000001</v>
      </c>
      <c r="R21" s="21">
        <f t="shared" si="6"/>
        <v>39.068681558702586</v>
      </c>
      <c r="S21" s="371">
        <f t="shared" si="7"/>
        <v>37.070931193432507</v>
      </c>
    </row>
    <row r="22" spans="1:19" s="22" customFormat="1" x14ac:dyDescent="0.35">
      <c r="A22" s="19">
        <v>10</v>
      </c>
      <c r="B22" s="19">
        <v>90791</v>
      </c>
      <c r="C22" s="20" t="s">
        <v>320</v>
      </c>
      <c r="D22" s="116">
        <f>'As-Filed Schedule 4'!D22</f>
        <v>794</v>
      </c>
      <c r="E22" s="383">
        <f>SUMIFS(Adjustments!$G:$G,Adjustments!$H:$H,"4",Adjustments!$I:$I,'Schedule 4 Adjustments'!$D$14,Adjustments!$J:$J,'Schedule 4 Adjustments'!$A22)</f>
        <v>0</v>
      </c>
      <c r="F22" s="375">
        <f t="shared" si="0"/>
        <v>794</v>
      </c>
      <c r="G22" s="405">
        <v>5.17</v>
      </c>
      <c r="H22" s="47">
        <f t="shared" si="8"/>
        <v>4104.9799999999996</v>
      </c>
      <c r="I22" s="373">
        <f t="shared" si="1"/>
        <v>4104.9799999999996</v>
      </c>
      <c r="J22" s="21">
        <f t="shared" si="2"/>
        <v>517.91047091921121</v>
      </c>
      <c r="K22" s="371">
        <f t="shared" si="3"/>
        <v>491.42747248729756</v>
      </c>
      <c r="L22" s="149">
        <f>'As-Filed Schedule 4'!H22</f>
        <v>6032</v>
      </c>
      <c r="M22" s="383">
        <f>SUMIFS(Adjustments!$G:$G,Adjustments!$H:$H,"4",Adjustments!$I:$I,'Schedule 4 Adjustments'!$L$14,Adjustments!$J:$J,'Schedule 4 Adjustments'!$A22)</f>
        <v>0</v>
      </c>
      <c r="N22" s="375">
        <f t="shared" si="4"/>
        <v>6032</v>
      </c>
      <c r="O22" s="405">
        <v>4.43</v>
      </c>
      <c r="P22" s="47">
        <f t="shared" si="9"/>
        <v>26721.759999999998</v>
      </c>
      <c r="Q22" s="373">
        <f>N22*O22</f>
        <v>26721.759999999998</v>
      </c>
      <c r="R22" s="21">
        <f t="shared" si="6"/>
        <v>443.78015206423703</v>
      </c>
      <c r="S22" s="371">
        <f t="shared" si="7"/>
        <v>421.08775688950254</v>
      </c>
    </row>
    <row r="23" spans="1:19" s="22" customFormat="1" x14ac:dyDescent="0.35">
      <c r="A23" s="19">
        <v>11</v>
      </c>
      <c r="B23" s="19">
        <v>90792</v>
      </c>
      <c r="C23" s="20" t="s">
        <v>321</v>
      </c>
      <c r="D23" s="116">
        <f>'As-Filed Schedule 4'!D23</f>
        <v>0</v>
      </c>
      <c r="E23" s="383">
        <f>SUMIFS(Adjustments!$G:$G,Adjustments!$H:$H,"4",Adjustments!$I:$I,'Schedule 4 Adjustments'!$D$14,Adjustments!$J:$J,'Schedule 4 Adjustments'!$A23)</f>
        <v>0</v>
      </c>
      <c r="F23" s="375">
        <f t="shared" si="0"/>
        <v>0</v>
      </c>
      <c r="G23" s="405">
        <v>5.82</v>
      </c>
      <c r="H23" s="47">
        <f t="shared" si="8"/>
        <v>0</v>
      </c>
      <c r="I23" s="373">
        <f t="shared" si="1"/>
        <v>0</v>
      </c>
      <c r="J23" s="21">
        <f t="shared" si="2"/>
        <v>583.02494018371556</v>
      </c>
      <c r="K23" s="371">
        <f t="shared" si="3"/>
        <v>553.21235780968516</v>
      </c>
      <c r="L23" s="149">
        <f>'As-Filed Schedule 4'!H23</f>
        <v>3</v>
      </c>
      <c r="M23" s="383">
        <f>SUMIFS(Adjustments!$G:$G,Adjustments!$H:$H,"4",Adjustments!$I:$I,'Schedule 4 Adjustments'!$L$14,Adjustments!$J:$J,'Schedule 4 Adjustments'!$A23)</f>
        <v>0</v>
      </c>
      <c r="N23" s="375">
        <f t="shared" si="4"/>
        <v>3</v>
      </c>
      <c r="O23" s="405">
        <v>5.08</v>
      </c>
      <c r="P23" s="47">
        <f t="shared" si="9"/>
        <v>15.24</v>
      </c>
      <c r="Q23" s="373">
        <f t="shared" si="5"/>
        <v>15.24</v>
      </c>
      <c r="R23" s="21">
        <f t="shared" si="6"/>
        <v>508.89462132874138</v>
      </c>
      <c r="S23" s="371">
        <f>O23*$I$12</f>
        <v>482.87264221189008</v>
      </c>
    </row>
    <row r="24" spans="1:19" s="22" customFormat="1" x14ac:dyDescent="0.35">
      <c r="A24" s="19">
        <v>12</v>
      </c>
      <c r="B24" s="19">
        <v>90832</v>
      </c>
      <c r="C24" s="20" t="s">
        <v>325</v>
      </c>
      <c r="D24" s="116">
        <f>'As-Filed Schedule 4'!D24</f>
        <v>2564</v>
      </c>
      <c r="E24" s="383">
        <f>SUMIFS(Adjustments!$G:$G,Adjustments!$H:$H,"4",Adjustments!$I:$I,'Schedule 4 Adjustments'!$D$14,Adjustments!$J:$J,'Schedule 4 Adjustments'!$A24)</f>
        <v>0</v>
      </c>
      <c r="F24" s="375">
        <f t="shared" si="0"/>
        <v>2564</v>
      </c>
      <c r="G24" s="405">
        <v>2.35</v>
      </c>
      <c r="H24" s="47">
        <f t="shared" si="8"/>
        <v>6025.4000000000005</v>
      </c>
      <c r="I24" s="373">
        <f t="shared" si="1"/>
        <v>6025.4000000000005</v>
      </c>
      <c r="J24" s="21">
        <f t="shared" si="2"/>
        <v>235.41385041782328</v>
      </c>
      <c r="K24" s="371">
        <f t="shared" si="3"/>
        <v>223.37612385786255</v>
      </c>
      <c r="L24" s="149">
        <f>'As-Filed Schedule 4'!H24</f>
        <v>5814</v>
      </c>
      <c r="M24" s="383">
        <f>SUMIFS(Adjustments!$G:$G,Adjustments!$H:$H,"4",Adjustments!$I:$I,'Schedule 4 Adjustments'!$L$14,Adjustments!$J:$J,'Schedule 4 Adjustments'!$A24)</f>
        <v>0</v>
      </c>
      <c r="N24" s="375">
        <f t="shared" si="4"/>
        <v>5814</v>
      </c>
      <c r="O24" s="405">
        <v>2.0499999999999998</v>
      </c>
      <c r="P24" s="47">
        <f t="shared" si="9"/>
        <v>11918.699999999999</v>
      </c>
      <c r="Q24" s="373">
        <f t="shared" si="5"/>
        <v>11918.699999999999</v>
      </c>
      <c r="R24" s="21">
        <f t="shared" si="6"/>
        <v>205.36101844959049</v>
      </c>
      <c r="S24" s="371">
        <f>O24*$I$12</f>
        <v>194.86002293983751</v>
      </c>
    </row>
    <row r="25" spans="1:19" s="22" customFormat="1" x14ac:dyDescent="0.35">
      <c r="A25" s="19">
        <v>13</v>
      </c>
      <c r="B25" s="19">
        <v>90833</v>
      </c>
      <c r="C25" s="20" t="s">
        <v>322</v>
      </c>
      <c r="D25" s="116">
        <f>'As-Filed Schedule 4'!D25</f>
        <v>2</v>
      </c>
      <c r="E25" s="383">
        <f>SUMIFS(Adjustments!$G:$G,Adjustments!$H:$H,"4",Adjustments!$I:$I,'Schedule 4 Adjustments'!$D$14,Adjustments!$J:$J,'Schedule 4 Adjustments'!$A25)</f>
        <v>0</v>
      </c>
      <c r="F25" s="375">
        <f t="shared" si="0"/>
        <v>2</v>
      </c>
      <c r="G25" s="405">
        <v>2.16</v>
      </c>
      <c r="H25" s="47">
        <f t="shared" si="8"/>
        <v>4.32</v>
      </c>
      <c r="I25" s="373">
        <f t="shared" si="1"/>
        <v>4.32</v>
      </c>
      <c r="J25" s="21">
        <f t="shared" si="2"/>
        <v>216.38039017127588</v>
      </c>
      <c r="K25" s="371">
        <f t="shared" si="3"/>
        <v>205.31592660978004</v>
      </c>
      <c r="L25" s="149">
        <f>'As-Filed Schedule 4'!H25</f>
        <v>356</v>
      </c>
      <c r="M25" s="383">
        <f>SUMIFS(Adjustments!$G:$G,Adjustments!$H:$H,"4",Adjustments!$I:$I,'Schedule 4 Adjustments'!$L$14,Adjustments!$J:$J,'Schedule 4 Adjustments'!$A25)</f>
        <v>0</v>
      </c>
      <c r="N25" s="375">
        <f t="shared" si="4"/>
        <v>356</v>
      </c>
      <c r="O25" s="405">
        <v>1.92</v>
      </c>
      <c r="P25" s="47">
        <f t="shared" si="9"/>
        <v>683.52</v>
      </c>
      <c r="Q25" s="373">
        <f t="shared" si="5"/>
        <v>683.52</v>
      </c>
      <c r="R25" s="21">
        <f t="shared" si="6"/>
        <v>192.33812459668965</v>
      </c>
      <c r="S25" s="371">
        <f t="shared" si="7"/>
        <v>182.50304587536002</v>
      </c>
    </row>
    <row r="26" spans="1:19" s="22" customFormat="1" x14ac:dyDescent="0.35">
      <c r="A26" s="19">
        <v>14</v>
      </c>
      <c r="B26" s="19">
        <v>90834</v>
      </c>
      <c r="C26" s="20" t="s">
        <v>323</v>
      </c>
      <c r="D26" s="116">
        <f>'As-Filed Schedule 4'!D26</f>
        <v>5509</v>
      </c>
      <c r="E26" s="383">
        <f>SUMIFS(Adjustments!$G:$G,Adjustments!$H:$H,"4",Adjustments!$I:$I,'Schedule 4 Adjustments'!$D$14,Adjustments!$J:$J,'Schedule 4 Adjustments'!$A26)</f>
        <v>0</v>
      </c>
      <c r="F26" s="375">
        <f t="shared" si="0"/>
        <v>5509</v>
      </c>
      <c r="G26" s="405">
        <v>3.1</v>
      </c>
      <c r="H26" s="47">
        <f t="shared" si="8"/>
        <v>17077.900000000001</v>
      </c>
      <c r="I26" s="373">
        <f t="shared" si="1"/>
        <v>17077.900000000001</v>
      </c>
      <c r="J26" s="21">
        <f t="shared" si="2"/>
        <v>310.54593033840519</v>
      </c>
      <c r="K26" s="371">
        <f t="shared" si="3"/>
        <v>294.66637615292507</v>
      </c>
      <c r="L26" s="149">
        <f>'As-Filed Schedule 4'!H26</f>
        <v>29973</v>
      </c>
      <c r="M26" s="383">
        <f>SUMIFS(Adjustments!$G:$G,Adjustments!$H:$H,"4",Adjustments!$I:$I,'Schedule 4 Adjustments'!$L$14,Adjustments!$J:$J,'Schedule 4 Adjustments'!$A26)</f>
        <v>0</v>
      </c>
      <c r="N26" s="375">
        <f t="shared" si="4"/>
        <v>29973</v>
      </c>
      <c r="O26" s="405">
        <v>2.71</v>
      </c>
      <c r="P26" s="47">
        <f t="shared" si="9"/>
        <v>81226.83</v>
      </c>
      <c r="Q26" s="373">
        <f t="shared" si="5"/>
        <v>81226.83</v>
      </c>
      <c r="R26" s="21">
        <f t="shared" si="6"/>
        <v>271.47724877970256</v>
      </c>
      <c r="S26" s="371">
        <f t="shared" si="7"/>
        <v>257.59544495949257</v>
      </c>
    </row>
    <row r="27" spans="1:19" s="22" customFormat="1" x14ac:dyDescent="0.35">
      <c r="A27" s="19">
        <v>15</v>
      </c>
      <c r="B27" s="19">
        <v>90836</v>
      </c>
      <c r="C27" s="20" t="s">
        <v>326</v>
      </c>
      <c r="D27" s="116">
        <f>'As-Filed Schedule 4'!D27</f>
        <v>0</v>
      </c>
      <c r="E27" s="383">
        <f>SUMIFS(Adjustments!$G:$G,Adjustments!$H:$H,"4",Adjustments!$I:$I,'Schedule 4 Adjustments'!$D$14,Adjustments!$J:$J,'Schedule 4 Adjustments'!$A27)</f>
        <v>0</v>
      </c>
      <c r="F27" s="375">
        <f t="shared" si="0"/>
        <v>0</v>
      </c>
      <c r="G27" s="405">
        <v>2.73</v>
      </c>
      <c r="H27" s="47">
        <f t="shared" si="8"/>
        <v>0</v>
      </c>
      <c r="I27" s="373">
        <f t="shared" si="1"/>
        <v>0</v>
      </c>
      <c r="J27" s="21">
        <f t="shared" si="2"/>
        <v>273.48077091091812</v>
      </c>
      <c r="K27" s="371">
        <f t="shared" si="3"/>
        <v>259.49651835402756</v>
      </c>
      <c r="L27" s="149">
        <f>'As-Filed Schedule 4'!H27</f>
        <v>0</v>
      </c>
      <c r="M27" s="383">
        <f>SUMIFS(Adjustments!$G:$G,Adjustments!$H:$H,"4",Adjustments!$I:$I,'Schedule 4 Adjustments'!$L$14,Adjustments!$J:$J,'Schedule 4 Adjustments'!$A27)</f>
        <v>0</v>
      </c>
      <c r="N27" s="375">
        <f t="shared" si="4"/>
        <v>0</v>
      </c>
      <c r="O27" s="405">
        <v>2.4300000000000002</v>
      </c>
      <c r="P27" s="47">
        <f t="shared" si="9"/>
        <v>0</v>
      </c>
      <c r="Q27" s="373">
        <f t="shared" si="5"/>
        <v>0</v>
      </c>
      <c r="R27" s="21">
        <f t="shared" si="6"/>
        <v>243.42793894268536</v>
      </c>
      <c r="S27" s="371">
        <f>O27*$I$12</f>
        <v>230.98041743600254</v>
      </c>
    </row>
    <row r="28" spans="1:19" s="22" customFormat="1" x14ac:dyDescent="0.35">
      <c r="A28" s="19">
        <v>16</v>
      </c>
      <c r="B28" s="19">
        <v>90837</v>
      </c>
      <c r="C28" s="20" t="s">
        <v>324</v>
      </c>
      <c r="D28" s="116">
        <f>'As-Filed Schedule 4'!D28</f>
        <v>2201</v>
      </c>
      <c r="E28" s="383">
        <f>SUMIFS(Adjustments!$G:$G,Adjustments!$H:$H,"4",Adjustments!$I:$I,'Schedule 4 Adjustments'!$D$14,Adjustments!$J:$J,'Schedule 4 Adjustments'!$A28)</f>
        <v>0</v>
      </c>
      <c r="F28" s="375">
        <f t="shared" si="0"/>
        <v>2201</v>
      </c>
      <c r="G28" s="405">
        <v>4.57</v>
      </c>
      <c r="H28" s="47">
        <f t="shared" si="8"/>
        <v>10058.570000000002</v>
      </c>
      <c r="I28" s="373">
        <f t="shared" si="1"/>
        <v>10058.570000000002</v>
      </c>
      <c r="J28" s="21">
        <f t="shared" si="2"/>
        <v>457.80480698274573</v>
      </c>
      <c r="K28" s="371">
        <f t="shared" si="3"/>
        <v>434.39527065124759</v>
      </c>
      <c r="L28" s="149">
        <f>'As-Filed Schedule 4'!H28</f>
        <v>24645</v>
      </c>
      <c r="M28" s="383">
        <f>SUMIFS(Adjustments!$G:$G,Adjustments!$H:$H,"4",Adjustments!$I:$I,'Schedule 4 Adjustments'!$L$14,Adjustments!$J:$J,'Schedule 4 Adjustments'!$A28)</f>
        <v>0</v>
      </c>
      <c r="N28" s="375">
        <f t="shared" si="4"/>
        <v>24645</v>
      </c>
      <c r="O28" s="405">
        <v>4</v>
      </c>
      <c r="P28" s="47">
        <f t="shared" si="9"/>
        <v>98580</v>
      </c>
      <c r="Q28" s="373">
        <f t="shared" si="5"/>
        <v>98580</v>
      </c>
      <c r="R28" s="21">
        <f t="shared" si="6"/>
        <v>400.70442624310346</v>
      </c>
      <c r="S28" s="371">
        <f t="shared" si="7"/>
        <v>380.21467890700006</v>
      </c>
    </row>
    <row r="29" spans="1:19" s="22" customFormat="1" x14ac:dyDescent="0.35">
      <c r="A29" s="19">
        <v>17</v>
      </c>
      <c r="B29" s="19">
        <v>90838</v>
      </c>
      <c r="C29" s="20" t="s">
        <v>327</v>
      </c>
      <c r="D29" s="116">
        <f>'As-Filed Schedule 4'!D29</f>
        <v>0</v>
      </c>
      <c r="E29" s="383">
        <f>SUMIFS(Adjustments!$G:$G,Adjustments!$H:$H,"4",Adjustments!$I:$I,'Schedule 4 Adjustments'!$D$14,Adjustments!$J:$J,'Schedule 4 Adjustments'!$A29)</f>
        <v>0</v>
      </c>
      <c r="F29" s="375">
        <f t="shared" si="0"/>
        <v>0</v>
      </c>
      <c r="G29" s="405">
        <v>3.62</v>
      </c>
      <c r="H29" s="47">
        <f t="shared" si="8"/>
        <v>0</v>
      </c>
      <c r="I29" s="373">
        <f t="shared" si="1"/>
        <v>0</v>
      </c>
      <c r="J29" s="21">
        <f t="shared" si="2"/>
        <v>362.63750575000864</v>
      </c>
      <c r="K29" s="371">
        <f t="shared" si="3"/>
        <v>344.09428441083509</v>
      </c>
      <c r="L29" s="149">
        <f>'As-Filed Schedule 4'!H29</f>
        <v>0</v>
      </c>
      <c r="M29" s="383">
        <f>SUMIFS(Adjustments!$G:$G,Adjustments!$H:$H,"4",Adjustments!$I:$I,'Schedule 4 Adjustments'!$L$14,Adjustments!$J:$J,'Schedule 4 Adjustments'!$A29)</f>
        <v>0</v>
      </c>
      <c r="N29" s="375">
        <f t="shared" si="4"/>
        <v>0</v>
      </c>
      <c r="O29" s="405">
        <v>3.22</v>
      </c>
      <c r="P29" s="47">
        <f t="shared" si="9"/>
        <v>0</v>
      </c>
      <c r="Q29" s="373">
        <f t="shared" si="5"/>
        <v>0</v>
      </c>
      <c r="R29" s="21">
        <f t="shared" si="6"/>
        <v>322.56706312569833</v>
      </c>
      <c r="S29" s="371">
        <f t="shared" si="7"/>
        <v>306.07281652013506</v>
      </c>
    </row>
    <row r="30" spans="1:19" s="22" customFormat="1" x14ac:dyDescent="0.35">
      <c r="A30" s="19">
        <v>18</v>
      </c>
      <c r="B30" s="19">
        <v>90839</v>
      </c>
      <c r="C30" s="20" t="s">
        <v>329</v>
      </c>
      <c r="D30" s="116">
        <f>'As-Filed Schedule 4'!D30</f>
        <v>2</v>
      </c>
      <c r="E30" s="383">
        <f>SUMIFS(Adjustments!$G:$G,Adjustments!$H:$H,"4",Adjustments!$I:$I,'Schedule 4 Adjustments'!$D$14,Adjustments!$J:$J,'Schedule 4 Adjustments'!$A30)</f>
        <v>0</v>
      </c>
      <c r="F30" s="375">
        <f t="shared" si="0"/>
        <v>2</v>
      </c>
      <c r="G30" s="405">
        <v>4.4000000000000004</v>
      </c>
      <c r="H30" s="47">
        <f t="shared" si="8"/>
        <v>8.8000000000000007</v>
      </c>
      <c r="I30" s="373">
        <f t="shared" si="1"/>
        <v>8.8000000000000007</v>
      </c>
      <c r="J30" s="21">
        <f t="shared" si="2"/>
        <v>440.77486886741383</v>
      </c>
      <c r="K30" s="371">
        <f t="shared" si="3"/>
        <v>418.23614679770009</v>
      </c>
      <c r="L30" s="149">
        <f>'As-Filed Schedule 4'!H30</f>
        <v>15</v>
      </c>
      <c r="M30" s="383">
        <f>SUMIFS(Adjustments!$G:$G,Adjustments!$H:$H,"4",Adjustments!$I:$I,'Schedule 4 Adjustments'!$L$14,Adjustments!$J:$J,'Schedule 4 Adjustments'!$A30)</f>
        <v>0</v>
      </c>
      <c r="N30" s="375">
        <f t="shared" si="4"/>
        <v>15</v>
      </c>
      <c r="O30" s="405">
        <v>3.87</v>
      </c>
      <c r="P30" s="47">
        <f t="shared" si="9"/>
        <v>58.050000000000004</v>
      </c>
      <c r="Q30" s="373">
        <f t="shared" si="5"/>
        <v>58.050000000000004</v>
      </c>
      <c r="R30" s="21">
        <f t="shared" si="6"/>
        <v>387.68153239020262</v>
      </c>
      <c r="S30" s="371">
        <f t="shared" si="7"/>
        <v>367.85770184252254</v>
      </c>
    </row>
    <row r="31" spans="1:19" s="22" customFormat="1" x14ac:dyDescent="0.35">
      <c r="A31" s="19">
        <v>19</v>
      </c>
      <c r="B31" s="19">
        <v>90840</v>
      </c>
      <c r="C31" s="20" t="s">
        <v>328</v>
      </c>
      <c r="D31" s="116">
        <f>'As-Filed Schedule 4'!D31</f>
        <v>0</v>
      </c>
      <c r="E31" s="383">
        <f>SUMIFS(Adjustments!$G:$G,Adjustments!$H:$H,"4",Adjustments!$I:$I,'Schedule 4 Adjustments'!$D$14,Adjustments!$J:$J,'Schedule 4 Adjustments'!$A31)</f>
        <v>0</v>
      </c>
      <c r="F31" s="375">
        <f t="shared" si="0"/>
        <v>0</v>
      </c>
      <c r="G31" s="405">
        <v>2.1800000000000002</v>
      </c>
      <c r="H31" s="47">
        <f t="shared" si="8"/>
        <v>0</v>
      </c>
      <c r="I31" s="373">
        <f t="shared" si="1"/>
        <v>0</v>
      </c>
      <c r="J31" s="21">
        <f t="shared" si="2"/>
        <v>218.38391230249141</v>
      </c>
      <c r="K31" s="371">
        <f t="shared" si="3"/>
        <v>207.21700000431505</v>
      </c>
      <c r="L31" s="149">
        <f>'As-Filed Schedule 4'!H31</f>
        <v>6</v>
      </c>
      <c r="M31" s="383">
        <f>SUMIFS(Adjustments!$G:$G,Adjustments!$H:$H,"4",Adjustments!$I:$I,'Schedule 4 Adjustments'!$L$14,Adjustments!$J:$J,'Schedule 4 Adjustments'!$A31)</f>
        <v>0</v>
      </c>
      <c r="N31" s="375">
        <f t="shared" si="4"/>
        <v>6</v>
      </c>
      <c r="O31" s="405">
        <v>1.94</v>
      </c>
      <c r="P31" s="47">
        <f t="shared" si="9"/>
        <v>11.64</v>
      </c>
      <c r="Q31" s="373">
        <f>N31*O31</f>
        <v>11.64</v>
      </c>
      <c r="R31" s="21">
        <f t="shared" si="6"/>
        <v>194.34164672790516</v>
      </c>
      <c r="S31" s="371">
        <f t="shared" si="7"/>
        <v>184.40411926989503</v>
      </c>
    </row>
    <row r="32" spans="1:19" s="22" customFormat="1" x14ac:dyDescent="0.35">
      <c r="A32" s="19">
        <v>20</v>
      </c>
      <c r="B32" s="19">
        <v>90846</v>
      </c>
      <c r="C32" s="20" t="s">
        <v>113</v>
      </c>
      <c r="D32" s="116">
        <f>'As-Filed Schedule 4'!D32</f>
        <v>66</v>
      </c>
      <c r="E32" s="383">
        <f>SUMIFS(Adjustments!$G:$G,Adjustments!$H:$H,"4",Adjustments!$I:$I,'Schedule 4 Adjustments'!$D$14,Adjustments!$J:$J,'Schedule 4 Adjustments'!$A32)</f>
        <v>0</v>
      </c>
      <c r="F32" s="375">
        <f t="shared" si="0"/>
        <v>66</v>
      </c>
      <c r="G32" s="405">
        <v>2.93</v>
      </c>
      <c r="H32" s="47">
        <f t="shared" si="8"/>
        <v>193.38000000000002</v>
      </c>
      <c r="I32" s="373">
        <f t="shared" si="1"/>
        <v>193.38000000000002</v>
      </c>
      <c r="J32" s="21">
        <f t="shared" si="2"/>
        <v>293.51599222307328</v>
      </c>
      <c r="K32" s="371">
        <f t="shared" si="3"/>
        <v>278.50725229937757</v>
      </c>
      <c r="L32" s="149">
        <f>'As-Filed Schedule 4'!H32</f>
        <v>1077</v>
      </c>
      <c r="M32" s="383">
        <f>SUMIFS(Adjustments!$G:$G,Adjustments!$H:$H,"4",Adjustments!$I:$I,'Schedule 4 Adjustments'!$L$14,Adjustments!$J:$J,'Schedule 4 Adjustments'!$A32)</f>
        <v>0</v>
      </c>
      <c r="N32" s="375">
        <f t="shared" si="4"/>
        <v>1077</v>
      </c>
      <c r="O32" s="405">
        <v>2.92</v>
      </c>
      <c r="P32" s="47">
        <f t="shared" si="9"/>
        <v>3144.84</v>
      </c>
      <c r="Q32" s="373">
        <f t="shared" si="5"/>
        <v>3144.84</v>
      </c>
      <c r="R32" s="21">
        <f t="shared" si="6"/>
        <v>292.51423115746553</v>
      </c>
      <c r="S32" s="371">
        <f t="shared" si="7"/>
        <v>277.55671560211005</v>
      </c>
    </row>
    <row r="33" spans="1:19" s="22" customFormat="1" x14ac:dyDescent="0.35">
      <c r="A33" s="19">
        <v>21</v>
      </c>
      <c r="B33" s="19">
        <v>90847</v>
      </c>
      <c r="C33" s="20" t="s">
        <v>114</v>
      </c>
      <c r="D33" s="116">
        <f>'As-Filed Schedule 4'!D33</f>
        <v>234</v>
      </c>
      <c r="E33" s="383">
        <f>SUMIFS(Adjustments!$G:$G,Adjustments!$H:$H,"4",Adjustments!$I:$I,'Schedule 4 Adjustments'!$D$14,Adjustments!$J:$J,'Schedule 4 Adjustments'!$A33)</f>
        <v>0</v>
      </c>
      <c r="F33" s="375">
        <f t="shared" si="0"/>
        <v>234</v>
      </c>
      <c r="G33" s="405">
        <v>3.07</v>
      </c>
      <c r="H33" s="47">
        <f t="shared" si="8"/>
        <v>718.38</v>
      </c>
      <c r="I33" s="373">
        <f t="shared" si="1"/>
        <v>718.38</v>
      </c>
      <c r="J33" s="21">
        <f t="shared" si="2"/>
        <v>307.54064714158187</v>
      </c>
      <c r="K33" s="371">
        <f t="shared" si="3"/>
        <v>291.81476606112255</v>
      </c>
      <c r="L33" s="149">
        <f>'As-Filed Schedule 4'!H33</f>
        <v>2847</v>
      </c>
      <c r="M33" s="383">
        <f>SUMIFS(Adjustments!$G:$G,Adjustments!$H:$H,"4",Adjustments!$I:$I,'Schedule 4 Adjustments'!$L$14,Adjustments!$J:$J,'Schedule 4 Adjustments'!$A33)</f>
        <v>0</v>
      </c>
      <c r="N33" s="375">
        <f t="shared" si="4"/>
        <v>2847</v>
      </c>
      <c r="O33" s="405">
        <v>3.05</v>
      </c>
      <c r="P33" s="47">
        <f t="shared" si="9"/>
        <v>8683.35</v>
      </c>
      <c r="Q33" s="373">
        <f t="shared" si="5"/>
        <v>8683.35</v>
      </c>
      <c r="R33" s="21">
        <f t="shared" si="6"/>
        <v>305.53712501036637</v>
      </c>
      <c r="S33" s="371">
        <f t="shared" si="7"/>
        <v>289.91369266658751</v>
      </c>
    </row>
    <row r="34" spans="1:19" s="22" customFormat="1" x14ac:dyDescent="0.35">
      <c r="A34" s="19">
        <v>22</v>
      </c>
      <c r="B34" s="19">
        <v>90849</v>
      </c>
      <c r="C34" s="20" t="s">
        <v>115</v>
      </c>
      <c r="D34" s="116">
        <f>'As-Filed Schedule 4'!D34</f>
        <v>0</v>
      </c>
      <c r="E34" s="383">
        <f>SUMIFS(Adjustments!$G:$G,Adjustments!$H:$H,"4",Adjustments!$I:$I,'Schedule 4 Adjustments'!$D$14,Adjustments!$J:$J,'Schedule 4 Adjustments'!$A34)</f>
        <v>0</v>
      </c>
      <c r="F34" s="375">
        <f t="shared" si="0"/>
        <v>0</v>
      </c>
      <c r="G34" s="405">
        <v>1.1299999999999999</v>
      </c>
      <c r="H34" s="47">
        <f t="shared" si="8"/>
        <v>0</v>
      </c>
      <c r="I34" s="373">
        <f t="shared" si="1"/>
        <v>0</v>
      </c>
      <c r="J34" s="21">
        <f t="shared" si="2"/>
        <v>113.19900041367671</v>
      </c>
      <c r="K34" s="371">
        <f t="shared" si="3"/>
        <v>107.41064679122751</v>
      </c>
      <c r="L34" s="149">
        <f>'As-Filed Schedule 4'!H34</f>
        <v>0</v>
      </c>
      <c r="M34" s="383">
        <f>SUMIFS(Adjustments!$G:$G,Adjustments!$H:$H,"4",Adjustments!$I:$I,'Schedule 4 Adjustments'!$L$14,Adjustments!$J:$J,'Schedule 4 Adjustments'!$A34)</f>
        <v>0</v>
      </c>
      <c r="N34" s="375">
        <f t="shared" si="4"/>
        <v>0</v>
      </c>
      <c r="O34" s="405">
        <v>0.88</v>
      </c>
      <c r="P34" s="47">
        <f t="shared" si="9"/>
        <v>0</v>
      </c>
      <c r="Q34" s="373">
        <f t="shared" si="5"/>
        <v>0</v>
      </c>
      <c r="R34" s="21">
        <f t="shared" si="6"/>
        <v>88.154973773482766</v>
      </c>
      <c r="S34" s="371">
        <f t="shared" si="7"/>
        <v>83.64722935954002</v>
      </c>
    </row>
    <row r="35" spans="1:19" s="22" customFormat="1" x14ac:dyDescent="0.35">
      <c r="A35" s="19">
        <v>23</v>
      </c>
      <c r="B35" s="19">
        <v>90853</v>
      </c>
      <c r="C35" s="20" t="s">
        <v>116</v>
      </c>
      <c r="D35" s="116">
        <f>'As-Filed Schedule 4'!D35</f>
        <v>63</v>
      </c>
      <c r="E35" s="383">
        <f>SUMIFS(Adjustments!$G:$G,Adjustments!$H:$H,"4",Adjustments!$I:$I,'Schedule 4 Adjustments'!$D$14,Adjustments!$J:$J,'Schedule 4 Adjustments'!$A35)</f>
        <v>0</v>
      </c>
      <c r="F35" s="375">
        <f t="shared" si="0"/>
        <v>63</v>
      </c>
      <c r="G35" s="405">
        <v>0.83</v>
      </c>
      <c r="H35" s="47">
        <f t="shared" si="8"/>
        <v>52.29</v>
      </c>
      <c r="I35" s="373">
        <f t="shared" si="1"/>
        <v>52.29</v>
      </c>
      <c r="J35" s="21">
        <f t="shared" si="2"/>
        <v>83.146168445443962</v>
      </c>
      <c r="K35" s="371">
        <f t="shared" si="3"/>
        <v>78.894545873202503</v>
      </c>
      <c r="L35" s="149">
        <f>'As-Filed Schedule 4'!H35</f>
        <v>2493</v>
      </c>
      <c r="M35" s="383">
        <f>SUMIFS(Adjustments!$G:$G,Adjustments!$H:$H,"4",Adjustments!$I:$I,'Schedule 4 Adjustments'!$L$14,Adjustments!$J:$J,'Schedule 4 Adjustments'!$A35)</f>
        <v>0</v>
      </c>
      <c r="N35" s="375">
        <f t="shared" si="4"/>
        <v>2493</v>
      </c>
      <c r="O35" s="405">
        <v>0.72</v>
      </c>
      <c r="P35" s="47">
        <f t="shared" si="9"/>
        <v>1794.96</v>
      </c>
      <c r="Q35" s="373">
        <f t="shared" si="5"/>
        <v>1794.96</v>
      </c>
      <c r="R35" s="21">
        <f t="shared" si="6"/>
        <v>72.126796723758616</v>
      </c>
      <c r="S35" s="371">
        <f t="shared" si="7"/>
        <v>68.438642203260002</v>
      </c>
    </row>
    <row r="36" spans="1:19" s="22" customFormat="1" x14ac:dyDescent="0.35">
      <c r="A36" s="19">
        <v>24</v>
      </c>
      <c r="B36" s="19">
        <v>90870</v>
      </c>
      <c r="C36" s="20" t="s">
        <v>117</v>
      </c>
      <c r="D36" s="116">
        <f>'As-Filed Schedule 4'!D36</f>
        <v>0</v>
      </c>
      <c r="E36" s="383">
        <f>SUMIFS(Adjustments!$G:$G,Adjustments!$H:$H,"4",Adjustments!$I:$I,'Schedule 4 Adjustments'!$D$14,Adjustments!$J:$J,'Schedule 4 Adjustments'!$A36)</f>
        <v>0</v>
      </c>
      <c r="F36" s="375">
        <f t="shared" si="0"/>
        <v>0</v>
      </c>
      <c r="G36" s="405">
        <v>5.18</v>
      </c>
      <c r="H36" s="47">
        <f t="shared" si="8"/>
        <v>0</v>
      </c>
      <c r="I36" s="373">
        <f t="shared" si="1"/>
        <v>0</v>
      </c>
      <c r="J36" s="21">
        <f t="shared" si="2"/>
        <v>518.91223198481896</v>
      </c>
      <c r="K36" s="371">
        <f t="shared" si="3"/>
        <v>492.37800918456503</v>
      </c>
      <c r="L36" s="149">
        <f>'As-Filed Schedule 4'!H36</f>
        <v>0</v>
      </c>
      <c r="M36" s="383">
        <f>SUMIFS(Adjustments!$G:$G,Adjustments!$H:$H,"4",Adjustments!$I:$I,'Schedule 4 Adjustments'!$L$14,Adjustments!$J:$J,'Schedule 4 Adjustments'!$A36)</f>
        <v>0</v>
      </c>
      <c r="N36" s="375">
        <f t="shared" si="4"/>
        <v>0</v>
      </c>
      <c r="O36" s="405">
        <v>3.12</v>
      </c>
      <c r="P36" s="47">
        <f t="shared" si="9"/>
        <v>0</v>
      </c>
      <c r="Q36" s="373">
        <f t="shared" si="5"/>
        <v>0</v>
      </c>
      <c r="R36" s="21">
        <f t="shared" si="6"/>
        <v>312.54945246962069</v>
      </c>
      <c r="S36" s="371">
        <f t="shared" si="7"/>
        <v>296.56744954746006</v>
      </c>
    </row>
    <row r="37" spans="1:19" s="22" customFormat="1" x14ac:dyDescent="0.35">
      <c r="A37" s="19">
        <v>25</v>
      </c>
      <c r="B37" s="19">
        <v>90875</v>
      </c>
      <c r="C37" s="20" t="s">
        <v>152</v>
      </c>
      <c r="D37" s="116">
        <f>'As-Filed Schedule 4'!D37</f>
        <v>0</v>
      </c>
      <c r="E37" s="383">
        <f>SUMIFS(Adjustments!$G:$G,Adjustments!$H:$H,"4",Adjustments!$I:$I,'Schedule 4 Adjustments'!$D$14,Adjustments!$J:$J,'Schedule 4 Adjustments'!$A37)</f>
        <v>0</v>
      </c>
      <c r="F37" s="375">
        <f t="shared" si="0"/>
        <v>0</v>
      </c>
      <c r="G37" s="405">
        <v>1.75</v>
      </c>
      <c r="H37" s="47">
        <f t="shared" si="8"/>
        <v>0</v>
      </c>
      <c r="I37" s="373">
        <f t="shared" si="1"/>
        <v>0</v>
      </c>
      <c r="J37" s="21">
        <f t="shared" si="2"/>
        <v>175.30818648135775</v>
      </c>
      <c r="K37" s="371">
        <f t="shared" si="3"/>
        <v>166.34392202181252</v>
      </c>
      <c r="L37" s="149">
        <f>'As-Filed Schedule 4'!H37</f>
        <v>0</v>
      </c>
      <c r="M37" s="383">
        <f>SUMIFS(Adjustments!$G:$G,Adjustments!$H:$H,"4",Adjustments!$I:$I,'Schedule 4 Adjustments'!$L$14,Adjustments!$J:$J,'Schedule 4 Adjustments'!$A37)</f>
        <v>0</v>
      </c>
      <c r="N37" s="375">
        <f t="shared" si="4"/>
        <v>0</v>
      </c>
      <c r="O37" s="405">
        <v>1.74</v>
      </c>
      <c r="P37" s="47">
        <f t="shared" si="9"/>
        <v>0</v>
      </c>
      <c r="Q37" s="373">
        <f t="shared" si="5"/>
        <v>0</v>
      </c>
      <c r="R37" s="21">
        <f t="shared" si="6"/>
        <v>174.30642541575</v>
      </c>
      <c r="S37" s="371">
        <f t="shared" si="7"/>
        <v>165.39338532454502</v>
      </c>
    </row>
    <row r="38" spans="1:19" s="22" customFormat="1" x14ac:dyDescent="0.35">
      <c r="A38" s="19">
        <v>26</v>
      </c>
      <c r="B38" s="19">
        <v>90876</v>
      </c>
      <c r="C38" s="20" t="s">
        <v>153</v>
      </c>
      <c r="D38" s="116">
        <f>'As-Filed Schedule 4'!D38</f>
        <v>0</v>
      </c>
      <c r="E38" s="383">
        <f>SUMIFS(Adjustments!$G:$G,Adjustments!$H:$H,"4",Adjustments!$I:$I,'Schedule 4 Adjustments'!$D$14,Adjustments!$J:$J,'Schedule 4 Adjustments'!$A38)</f>
        <v>0</v>
      </c>
      <c r="F38" s="375">
        <f t="shared" si="0"/>
        <v>0</v>
      </c>
      <c r="G38" s="405">
        <v>3.08</v>
      </c>
      <c r="H38" s="47">
        <f t="shared" si="8"/>
        <v>0</v>
      </c>
      <c r="I38" s="373">
        <f t="shared" si="1"/>
        <v>0</v>
      </c>
      <c r="J38" s="21">
        <f t="shared" si="2"/>
        <v>308.54240820718968</v>
      </c>
      <c r="K38" s="371">
        <f t="shared" si="3"/>
        <v>292.76530275839008</v>
      </c>
      <c r="L38" s="149">
        <f>'As-Filed Schedule 4'!H38</f>
        <v>0</v>
      </c>
      <c r="M38" s="383">
        <f>SUMIFS(Adjustments!$G:$G,Adjustments!$H:$H,"4",Adjustments!$I:$I,'Schedule 4 Adjustments'!$L$14,Adjustments!$J:$J,'Schedule 4 Adjustments'!$A38)</f>
        <v>0</v>
      </c>
      <c r="N38" s="375">
        <f t="shared" si="4"/>
        <v>0</v>
      </c>
      <c r="O38" s="405">
        <v>2.76</v>
      </c>
      <c r="P38" s="47">
        <f t="shared" si="9"/>
        <v>0</v>
      </c>
      <c r="Q38" s="373">
        <f t="shared" si="5"/>
        <v>0</v>
      </c>
      <c r="R38" s="21">
        <f t="shared" si="6"/>
        <v>276.48605410774138</v>
      </c>
      <c r="S38" s="371">
        <f t="shared" si="7"/>
        <v>262.34812844583001</v>
      </c>
    </row>
    <row r="39" spans="1:19" s="22" customFormat="1" x14ac:dyDescent="0.35">
      <c r="A39" s="19">
        <v>27</v>
      </c>
      <c r="B39" s="19">
        <v>90887</v>
      </c>
      <c r="C39" s="20" t="s">
        <v>330</v>
      </c>
      <c r="D39" s="116">
        <f>'As-Filed Schedule 4'!D39</f>
        <v>0</v>
      </c>
      <c r="E39" s="383">
        <f>SUMIFS(Adjustments!$G:$G,Adjustments!$H:$H,"4",Adjustments!$I:$I,'Schedule 4 Adjustments'!$D$14,Adjustments!$J:$J,'Schedule 4 Adjustments'!$A39)</f>
        <v>0</v>
      </c>
      <c r="F39" s="375">
        <f t="shared" si="0"/>
        <v>0</v>
      </c>
      <c r="G39" s="405">
        <v>2.56</v>
      </c>
      <c r="H39" s="47">
        <f t="shared" si="8"/>
        <v>0</v>
      </c>
      <c r="I39" s="373">
        <f t="shared" si="1"/>
        <v>0</v>
      </c>
      <c r="J39" s="21">
        <f t="shared" si="2"/>
        <v>256.45083279558622</v>
      </c>
      <c r="K39" s="371">
        <f t="shared" si="3"/>
        <v>243.33739450048006</v>
      </c>
      <c r="L39" s="149">
        <f>'As-Filed Schedule 4'!H39</f>
        <v>13</v>
      </c>
      <c r="M39" s="383">
        <f>SUMIFS(Adjustments!$G:$G,Adjustments!$H:$H,"4",Adjustments!$I:$I,'Schedule 4 Adjustments'!$L$14,Adjustments!$J:$J,'Schedule 4 Adjustments'!$A39)</f>
        <v>0</v>
      </c>
      <c r="N39" s="375">
        <f t="shared" si="4"/>
        <v>13</v>
      </c>
      <c r="O39" s="405">
        <v>2.14</v>
      </c>
      <c r="P39" s="47">
        <f t="shared" si="9"/>
        <v>27.82</v>
      </c>
      <c r="Q39" s="373">
        <f t="shared" si="5"/>
        <v>27.82</v>
      </c>
      <c r="R39" s="21">
        <f t="shared" si="6"/>
        <v>214.37686804006037</v>
      </c>
      <c r="S39" s="371">
        <f t="shared" si="7"/>
        <v>203.41485321524505</v>
      </c>
    </row>
    <row r="40" spans="1:19" s="22" customFormat="1" x14ac:dyDescent="0.35">
      <c r="A40" s="19">
        <v>28</v>
      </c>
      <c r="B40" s="19">
        <v>96116</v>
      </c>
      <c r="C40" s="20" t="s">
        <v>341</v>
      </c>
      <c r="D40" s="116">
        <f>'As-Filed Schedule 4'!D40</f>
        <v>0</v>
      </c>
      <c r="E40" s="383">
        <f>SUMIFS(Adjustments!$G:$G,Adjustments!$H:$H,"4",Adjustments!$I:$I,'Schedule 4 Adjustments'!$D$14,Adjustments!$J:$J,'Schedule 4 Adjustments'!$A40)</f>
        <v>0</v>
      </c>
      <c r="F40" s="375">
        <f t="shared" si="0"/>
        <v>0</v>
      </c>
      <c r="G40" s="405">
        <v>2.76</v>
      </c>
      <c r="H40" s="47">
        <f t="shared" si="8"/>
        <v>0</v>
      </c>
      <c r="I40" s="373">
        <f t="shared" si="1"/>
        <v>0</v>
      </c>
      <c r="J40" s="21">
        <f t="shared" si="2"/>
        <v>276.48605410774138</v>
      </c>
      <c r="K40" s="371">
        <f t="shared" si="3"/>
        <v>262.34812844583001</v>
      </c>
      <c r="L40" s="149">
        <f>'As-Filed Schedule 4'!H40</f>
        <v>0</v>
      </c>
      <c r="M40" s="383">
        <f>SUMIFS(Adjustments!$G:$G,Adjustments!$H:$H,"4",Adjustments!$I:$I,'Schedule 4 Adjustments'!$L$14,Adjustments!$J:$J,'Schedule 4 Adjustments'!$A40)</f>
        <v>0</v>
      </c>
      <c r="N40" s="375">
        <f t="shared" si="4"/>
        <v>0</v>
      </c>
      <c r="O40" s="405">
        <v>2.37</v>
      </c>
      <c r="P40" s="47">
        <f t="shared" si="9"/>
        <v>0</v>
      </c>
      <c r="Q40" s="373">
        <f t="shared" si="5"/>
        <v>0</v>
      </c>
      <c r="R40" s="21">
        <f t="shared" si="6"/>
        <v>237.41737254903882</v>
      </c>
      <c r="S40" s="371">
        <f t="shared" si="7"/>
        <v>225.27719725239754</v>
      </c>
    </row>
    <row r="41" spans="1:19" s="22" customFormat="1" x14ac:dyDescent="0.35">
      <c r="A41" s="19">
        <v>29</v>
      </c>
      <c r="B41" s="19">
        <v>96121</v>
      </c>
      <c r="C41" s="20" t="s">
        <v>340</v>
      </c>
      <c r="D41" s="116">
        <f>'As-Filed Schedule 4'!D41</f>
        <v>0</v>
      </c>
      <c r="E41" s="383">
        <f>SUMIFS(Adjustments!$G:$G,Adjustments!$H:$H,"4",Adjustments!$I:$I,'Schedule 4 Adjustments'!$D$14,Adjustments!$J:$J,'Schedule 4 Adjustments'!$A41)</f>
        <v>0</v>
      </c>
      <c r="F41" s="375">
        <f t="shared" si="0"/>
        <v>0</v>
      </c>
      <c r="G41" s="405">
        <v>2.25</v>
      </c>
      <c r="H41" s="47">
        <f t="shared" si="8"/>
        <v>0</v>
      </c>
      <c r="I41" s="373">
        <f t="shared" si="1"/>
        <v>0</v>
      </c>
      <c r="J41" s="21">
        <f t="shared" si="2"/>
        <v>225.3962397617457</v>
      </c>
      <c r="K41" s="371">
        <f t="shared" si="3"/>
        <v>213.87075688518755</v>
      </c>
      <c r="L41" s="149">
        <f>'As-Filed Schedule 4'!H41</f>
        <v>0</v>
      </c>
      <c r="M41" s="383">
        <f>SUMIFS(Adjustments!$G:$G,Adjustments!$H:$H,"4",Adjustments!$I:$I,'Schedule 4 Adjustments'!$L$14,Adjustments!$J:$J,'Schedule 4 Adjustments'!$A41)</f>
        <v>0</v>
      </c>
      <c r="N41" s="375">
        <f t="shared" si="4"/>
        <v>0</v>
      </c>
      <c r="O41" s="405">
        <v>1.97</v>
      </c>
      <c r="P41" s="47">
        <f t="shared" si="9"/>
        <v>0</v>
      </c>
      <c r="Q41" s="373">
        <f t="shared" si="5"/>
        <v>0</v>
      </c>
      <c r="R41" s="21">
        <f t="shared" si="6"/>
        <v>197.34692992472844</v>
      </c>
      <c r="S41" s="371">
        <f t="shared" si="7"/>
        <v>187.25572936169752</v>
      </c>
    </row>
    <row r="42" spans="1:19" s="22" customFormat="1" x14ac:dyDescent="0.35">
      <c r="A42" s="19">
        <v>30</v>
      </c>
      <c r="B42" s="19">
        <v>96130</v>
      </c>
      <c r="C42" s="20" t="s">
        <v>338</v>
      </c>
      <c r="D42" s="116">
        <f>'As-Filed Schedule 4'!D42</f>
        <v>0</v>
      </c>
      <c r="E42" s="383">
        <f>SUMIFS(Adjustments!$G:$G,Adjustments!$H:$H,"4",Adjustments!$I:$I,'Schedule 4 Adjustments'!$D$14,Adjustments!$J:$J,'Schedule 4 Adjustments'!$A42)</f>
        <v>0</v>
      </c>
      <c r="F42" s="375">
        <f t="shared" si="0"/>
        <v>0</v>
      </c>
      <c r="G42" s="405">
        <v>3.6</v>
      </c>
      <c r="H42" s="47">
        <f t="shared" si="8"/>
        <v>0</v>
      </c>
      <c r="I42" s="373">
        <f t="shared" si="1"/>
        <v>0</v>
      </c>
      <c r="J42" s="21">
        <f t="shared" si="2"/>
        <v>360.63398361879314</v>
      </c>
      <c r="K42" s="371">
        <f t="shared" si="3"/>
        <v>342.19321101630004</v>
      </c>
      <c r="L42" s="149">
        <f>'As-Filed Schedule 4'!H42</f>
        <v>0</v>
      </c>
      <c r="M42" s="383">
        <f>SUMIFS(Adjustments!$G:$G,Adjustments!$H:$H,"4",Adjustments!$I:$I,'Schedule 4 Adjustments'!$L$14,Adjustments!$J:$J,'Schedule 4 Adjustments'!$A42)</f>
        <v>0</v>
      </c>
      <c r="N42" s="375">
        <f t="shared" si="4"/>
        <v>0</v>
      </c>
      <c r="O42" s="405">
        <v>3.25</v>
      </c>
      <c r="P42" s="47">
        <f t="shared" si="9"/>
        <v>0</v>
      </c>
      <c r="Q42" s="373">
        <f t="shared" si="5"/>
        <v>0</v>
      </c>
      <c r="R42" s="21">
        <f t="shared" si="6"/>
        <v>325.57234632252158</v>
      </c>
      <c r="S42" s="371">
        <f t="shared" si="7"/>
        <v>308.92442661193758</v>
      </c>
    </row>
    <row r="43" spans="1:19" s="22" customFormat="1" x14ac:dyDescent="0.35">
      <c r="A43" s="19">
        <v>31</v>
      </c>
      <c r="B43" s="19">
        <v>96131</v>
      </c>
      <c r="C43" s="20" t="s">
        <v>339</v>
      </c>
      <c r="D43" s="116">
        <f>'As-Filed Schedule 4'!D43</f>
        <v>0</v>
      </c>
      <c r="E43" s="383">
        <f>SUMIFS(Adjustments!$G:$G,Adjustments!$H:$H,"4",Adjustments!$I:$I,'Schedule 4 Adjustments'!$D$14,Adjustments!$J:$J,'Schedule 4 Adjustments'!$A43)</f>
        <v>0</v>
      </c>
      <c r="F43" s="375">
        <f t="shared" si="0"/>
        <v>0</v>
      </c>
      <c r="G43" s="405">
        <v>2.57</v>
      </c>
      <c r="H43" s="47">
        <f t="shared" si="8"/>
        <v>0</v>
      </c>
      <c r="I43" s="373">
        <f t="shared" si="1"/>
        <v>0</v>
      </c>
      <c r="J43" s="21">
        <f t="shared" si="2"/>
        <v>257.45259386119398</v>
      </c>
      <c r="K43" s="371">
        <f t="shared" si="3"/>
        <v>244.28793119774753</v>
      </c>
      <c r="L43" s="149">
        <f>'As-Filed Schedule 4'!H43</f>
        <v>0</v>
      </c>
      <c r="M43" s="383">
        <f>SUMIFS(Adjustments!$G:$G,Adjustments!$H:$H,"4",Adjustments!$I:$I,'Schedule 4 Adjustments'!$L$14,Adjustments!$J:$J,'Schedule 4 Adjustments'!$A43)</f>
        <v>0</v>
      </c>
      <c r="N43" s="375">
        <f t="shared" si="4"/>
        <v>0</v>
      </c>
      <c r="O43" s="405">
        <v>2.25</v>
      </c>
      <c r="P43" s="47">
        <f t="shared" si="9"/>
        <v>0</v>
      </c>
      <c r="Q43" s="373">
        <f t="shared" si="5"/>
        <v>0</v>
      </c>
      <c r="R43" s="21">
        <f t="shared" si="6"/>
        <v>225.3962397617457</v>
      </c>
      <c r="S43" s="371">
        <f t="shared" si="7"/>
        <v>213.87075688518755</v>
      </c>
    </row>
    <row r="44" spans="1:19" s="22" customFormat="1" x14ac:dyDescent="0.35">
      <c r="A44" s="19">
        <v>32</v>
      </c>
      <c r="B44" s="19">
        <v>96132</v>
      </c>
      <c r="C44" s="20" t="s">
        <v>332</v>
      </c>
      <c r="D44" s="116">
        <f>'As-Filed Schedule 4'!D44</f>
        <v>0</v>
      </c>
      <c r="E44" s="383">
        <f>SUMIFS(Adjustments!$G:$G,Adjustments!$H:$H,"4",Adjustments!$I:$I,'Schedule 4 Adjustments'!$D$14,Adjustments!$J:$J,'Schedule 4 Adjustments'!$A44)</f>
        <v>0</v>
      </c>
      <c r="F44" s="375">
        <f t="shared" si="0"/>
        <v>0</v>
      </c>
      <c r="G44" s="405">
        <v>3.85</v>
      </c>
      <c r="H44" s="47">
        <f t="shared" si="8"/>
        <v>0</v>
      </c>
      <c r="I44" s="373">
        <f t="shared" si="1"/>
        <v>0</v>
      </c>
      <c r="J44" s="21">
        <f t="shared" si="2"/>
        <v>385.67801025898706</v>
      </c>
      <c r="K44" s="371">
        <f t="shared" si="3"/>
        <v>365.95662844798755</v>
      </c>
      <c r="L44" s="149">
        <f>'As-Filed Schedule 4'!H44</f>
        <v>0</v>
      </c>
      <c r="M44" s="383">
        <f>SUMIFS(Adjustments!$G:$G,Adjustments!$H:$H,"4",Adjustments!$I:$I,'Schedule 4 Adjustments'!$L$14,Adjustments!$J:$J,'Schedule 4 Adjustments'!$A44)</f>
        <v>0</v>
      </c>
      <c r="N44" s="375">
        <f t="shared" si="4"/>
        <v>0</v>
      </c>
      <c r="O44" s="405">
        <v>3.14</v>
      </c>
      <c r="P44" s="47">
        <f t="shared" si="9"/>
        <v>0</v>
      </c>
      <c r="Q44" s="373">
        <f t="shared" si="5"/>
        <v>0</v>
      </c>
      <c r="R44" s="21">
        <f t="shared" si="6"/>
        <v>314.55297460083625</v>
      </c>
      <c r="S44" s="371">
        <f t="shared" si="7"/>
        <v>298.46852294199505</v>
      </c>
    </row>
    <row r="45" spans="1:19" s="22" customFormat="1" x14ac:dyDescent="0.35">
      <c r="A45" s="19">
        <v>33</v>
      </c>
      <c r="B45" s="19">
        <v>96133</v>
      </c>
      <c r="C45" s="20" t="s">
        <v>333</v>
      </c>
      <c r="D45" s="116">
        <f>'As-Filed Schedule 4'!D45</f>
        <v>0</v>
      </c>
      <c r="E45" s="383">
        <f>SUMIFS(Adjustments!$G:$G,Adjustments!$H:$H,"4",Adjustments!$I:$I,'Schedule 4 Adjustments'!$D$14,Adjustments!$J:$J,'Schedule 4 Adjustments'!$A45)</f>
        <v>0</v>
      </c>
      <c r="F45" s="375">
        <f t="shared" si="0"/>
        <v>0</v>
      </c>
      <c r="G45" s="405">
        <v>2.92</v>
      </c>
      <c r="H45" s="47">
        <f t="shared" si="8"/>
        <v>0</v>
      </c>
      <c r="I45" s="373">
        <f t="shared" si="1"/>
        <v>0</v>
      </c>
      <c r="J45" s="21">
        <f t="shared" si="2"/>
        <v>292.51423115746553</v>
      </c>
      <c r="K45" s="371">
        <f t="shared" si="3"/>
        <v>277.55671560211005</v>
      </c>
      <c r="L45" s="149">
        <f>'As-Filed Schedule 4'!H45</f>
        <v>0</v>
      </c>
      <c r="M45" s="383">
        <f>SUMIFS(Adjustments!$G:$G,Adjustments!$H:$H,"4",Adjustments!$I:$I,'Schedule 4 Adjustments'!$L$14,Adjustments!$J:$J,'Schedule 4 Adjustments'!$A45)</f>
        <v>0</v>
      </c>
      <c r="N45" s="375">
        <f t="shared" si="4"/>
        <v>0</v>
      </c>
      <c r="O45" s="405">
        <v>2.2599999999999998</v>
      </c>
      <c r="P45" s="47">
        <f t="shared" si="9"/>
        <v>0</v>
      </c>
      <c r="Q45" s="373">
        <f t="shared" si="5"/>
        <v>0</v>
      </c>
      <c r="R45" s="21">
        <f t="shared" si="6"/>
        <v>226.39800082735343</v>
      </c>
      <c r="S45" s="371">
        <f t="shared" si="7"/>
        <v>214.82129358245501</v>
      </c>
    </row>
    <row r="46" spans="1:19" s="22" customFormat="1" x14ac:dyDescent="0.35">
      <c r="A46" s="19">
        <v>34</v>
      </c>
      <c r="B46" s="19">
        <v>96136</v>
      </c>
      <c r="C46" s="20" t="s">
        <v>334</v>
      </c>
      <c r="D46" s="116">
        <f>'As-Filed Schedule 4'!D46</f>
        <v>0</v>
      </c>
      <c r="E46" s="383">
        <f>SUMIFS(Adjustments!$G:$G,Adjustments!$H:$H,"4",Adjustments!$I:$I,'Schedule 4 Adjustments'!$D$14,Adjustments!$J:$J,'Schedule 4 Adjustments'!$A46)</f>
        <v>0</v>
      </c>
      <c r="F46" s="375">
        <f t="shared" si="0"/>
        <v>0</v>
      </c>
      <c r="G46" s="405">
        <v>1.25</v>
      </c>
      <c r="H46" s="47">
        <f t="shared" si="8"/>
        <v>0</v>
      </c>
      <c r="I46" s="373">
        <f t="shared" si="1"/>
        <v>0</v>
      </c>
      <c r="J46" s="21">
        <f t="shared" si="2"/>
        <v>125.22013320096983</v>
      </c>
      <c r="K46" s="371">
        <f t="shared" si="3"/>
        <v>118.81708715843752</v>
      </c>
      <c r="L46" s="149">
        <f>'As-Filed Schedule 4'!H46</f>
        <v>0</v>
      </c>
      <c r="M46" s="383">
        <f>SUMIFS(Adjustments!$G:$G,Adjustments!$H:$H,"4",Adjustments!$I:$I,'Schedule 4 Adjustments'!$L$14,Adjustments!$J:$J,'Schedule 4 Adjustments'!$A46)</f>
        <v>0</v>
      </c>
      <c r="N46" s="375">
        <f t="shared" si="4"/>
        <v>0</v>
      </c>
      <c r="O46" s="405">
        <v>0.69</v>
      </c>
      <c r="P46" s="47">
        <f t="shared" si="9"/>
        <v>0</v>
      </c>
      <c r="Q46" s="373">
        <f t="shared" si="5"/>
        <v>0</v>
      </c>
      <c r="R46" s="21">
        <f t="shared" si="6"/>
        <v>69.121513526935345</v>
      </c>
      <c r="S46" s="371">
        <f t="shared" si="7"/>
        <v>65.587032111457503</v>
      </c>
    </row>
    <row r="47" spans="1:19" s="22" customFormat="1" x14ac:dyDescent="0.35">
      <c r="A47" s="19">
        <v>35</v>
      </c>
      <c r="B47" s="19">
        <v>96137</v>
      </c>
      <c r="C47" s="20" t="s">
        <v>335</v>
      </c>
      <c r="D47" s="116">
        <f>'As-Filed Schedule 4'!D47</f>
        <v>0</v>
      </c>
      <c r="E47" s="383">
        <f>SUMIFS(Adjustments!$G:$G,Adjustments!$H:$H,"4",Adjustments!$I:$I,'Schedule 4 Adjustments'!$D$14,Adjustments!$J:$J,'Schedule 4 Adjustments'!$A47)</f>
        <v>0</v>
      </c>
      <c r="F47" s="375">
        <f t="shared" si="0"/>
        <v>0</v>
      </c>
      <c r="G47" s="405">
        <v>1.1299999999999999</v>
      </c>
      <c r="H47" s="47">
        <f t="shared" si="8"/>
        <v>0</v>
      </c>
      <c r="I47" s="373">
        <f t="shared" si="1"/>
        <v>0</v>
      </c>
      <c r="J47" s="21">
        <f t="shared" si="2"/>
        <v>113.19900041367671</v>
      </c>
      <c r="K47" s="371">
        <f t="shared" si="3"/>
        <v>107.41064679122751</v>
      </c>
      <c r="L47" s="149">
        <f>'As-Filed Schedule 4'!H47</f>
        <v>0</v>
      </c>
      <c r="M47" s="383">
        <f>SUMIFS(Adjustments!$G:$G,Adjustments!$H:$H,"4",Adjustments!$I:$I,'Schedule 4 Adjustments'!$L$14,Adjustments!$J:$J,'Schedule 4 Adjustments'!$A47)</f>
        <v>0</v>
      </c>
      <c r="N47" s="375">
        <f t="shared" si="4"/>
        <v>0</v>
      </c>
      <c r="O47" s="405">
        <v>0.53</v>
      </c>
      <c r="P47" s="47">
        <f t="shared" si="9"/>
        <v>0</v>
      </c>
      <c r="Q47" s="373">
        <f t="shared" si="5"/>
        <v>0</v>
      </c>
      <c r="R47" s="21">
        <f t="shared" si="6"/>
        <v>53.09333647721121</v>
      </c>
      <c r="S47" s="371">
        <f t="shared" si="7"/>
        <v>50.378444955177514</v>
      </c>
    </row>
    <row r="48" spans="1:19" s="22" customFormat="1" x14ac:dyDescent="0.35">
      <c r="A48" s="19">
        <v>36</v>
      </c>
      <c r="B48" s="19">
        <v>96138</v>
      </c>
      <c r="C48" s="20" t="s">
        <v>336</v>
      </c>
      <c r="D48" s="116">
        <f>'As-Filed Schedule 4'!D48</f>
        <v>0</v>
      </c>
      <c r="E48" s="383">
        <f>SUMIFS(Adjustments!$G:$G,Adjustments!$H:$H,"4",Adjustments!$I:$I,'Schedule 4 Adjustments'!$D$14,Adjustments!$J:$J,'Schedule 4 Adjustments'!$A48)</f>
        <v>0</v>
      </c>
      <c r="F48" s="375">
        <f t="shared" si="0"/>
        <v>0</v>
      </c>
      <c r="G48" s="405">
        <v>1.03</v>
      </c>
      <c r="H48" s="47">
        <f t="shared" si="8"/>
        <v>0</v>
      </c>
      <c r="I48" s="373">
        <f t="shared" si="1"/>
        <v>0</v>
      </c>
      <c r="J48" s="21">
        <f t="shared" si="2"/>
        <v>103.18138975759915</v>
      </c>
      <c r="K48" s="371">
        <f t="shared" si="3"/>
        <v>97.905279818552515</v>
      </c>
      <c r="L48" s="149">
        <f>'As-Filed Schedule 4'!H48</f>
        <v>0</v>
      </c>
      <c r="M48" s="383">
        <f>SUMIFS(Adjustments!$G:$G,Adjustments!$H:$H,"4",Adjustments!$I:$I,'Schedule 4 Adjustments'!$L$14,Adjustments!$J:$J,'Schedule 4 Adjustments'!$A48)</f>
        <v>0</v>
      </c>
      <c r="N48" s="375">
        <f t="shared" si="4"/>
        <v>0</v>
      </c>
      <c r="O48" s="405">
        <v>0.56999999999999995</v>
      </c>
      <c r="P48" s="47">
        <f t="shared" si="9"/>
        <v>0</v>
      </c>
      <c r="Q48" s="373">
        <f t="shared" si="5"/>
        <v>0</v>
      </c>
      <c r="R48" s="21">
        <f t="shared" si="6"/>
        <v>57.10038073964224</v>
      </c>
      <c r="S48" s="371">
        <f t="shared" si="7"/>
        <v>54.180591744247508</v>
      </c>
    </row>
    <row r="49" spans="1:19" s="22" customFormat="1" x14ac:dyDescent="0.35">
      <c r="A49" s="19">
        <v>37</v>
      </c>
      <c r="B49" s="19">
        <v>96139</v>
      </c>
      <c r="C49" s="20" t="s">
        <v>337</v>
      </c>
      <c r="D49" s="116">
        <f>'As-Filed Schedule 4'!D49</f>
        <v>0</v>
      </c>
      <c r="E49" s="383">
        <f>SUMIFS(Adjustments!$G:$G,Adjustments!$H:$H,"4",Adjustments!$I:$I,'Schedule 4 Adjustments'!$D$14,Adjustments!$J:$J,'Schedule 4 Adjustments'!$A49)</f>
        <v>0</v>
      </c>
      <c r="F49" s="375">
        <f t="shared" si="0"/>
        <v>0</v>
      </c>
      <c r="G49" s="405">
        <v>1.06</v>
      </c>
      <c r="H49" s="47">
        <f t="shared" si="8"/>
        <v>0</v>
      </c>
      <c r="I49" s="373">
        <f t="shared" si="1"/>
        <v>0</v>
      </c>
      <c r="J49" s="21">
        <f t="shared" si="2"/>
        <v>106.18667295442242</v>
      </c>
      <c r="K49" s="371">
        <f t="shared" si="3"/>
        <v>100.75688991035503</v>
      </c>
      <c r="L49" s="149">
        <f>'As-Filed Schedule 4'!H49</f>
        <v>0</v>
      </c>
      <c r="M49" s="383">
        <f>SUMIFS(Adjustments!$G:$G,Adjustments!$H:$H,"4",Adjustments!$I:$I,'Schedule 4 Adjustments'!$L$14,Adjustments!$J:$J,'Schedule 4 Adjustments'!$A49)</f>
        <v>0</v>
      </c>
      <c r="N49" s="375">
        <f t="shared" si="4"/>
        <v>0</v>
      </c>
      <c r="O49" s="405">
        <v>0.5</v>
      </c>
      <c r="P49" s="47">
        <f t="shared" si="9"/>
        <v>0</v>
      </c>
      <c r="Q49" s="373">
        <f t="shared" si="5"/>
        <v>0</v>
      </c>
      <c r="R49" s="21">
        <f t="shared" si="6"/>
        <v>50.088053280387932</v>
      </c>
      <c r="S49" s="371">
        <f t="shared" si="7"/>
        <v>47.526834863375008</v>
      </c>
    </row>
    <row r="50" spans="1:19" s="22" customFormat="1" x14ac:dyDescent="0.35">
      <c r="A50" s="19">
        <v>38</v>
      </c>
      <c r="B50" s="19">
        <v>96146</v>
      </c>
      <c r="C50" s="20" t="s">
        <v>331</v>
      </c>
      <c r="D50" s="116">
        <f>'As-Filed Schedule 4'!D50</f>
        <v>0</v>
      </c>
      <c r="E50" s="383">
        <f>SUMIFS(Adjustments!$G:$G,Adjustments!$H:$H,"4",Adjustments!$I:$I,'Schedule 4 Adjustments'!$D$14,Adjustments!$J:$J,'Schedule 4 Adjustments'!$A50)</f>
        <v>0</v>
      </c>
      <c r="F50" s="375">
        <f t="shared" si="0"/>
        <v>0</v>
      </c>
      <c r="G50" s="405">
        <v>7.0000000000000007E-2</v>
      </c>
      <c r="H50" s="47">
        <f t="shared" si="8"/>
        <v>0</v>
      </c>
      <c r="I50" s="373">
        <f t="shared" si="1"/>
        <v>0</v>
      </c>
      <c r="J50" s="21">
        <f t="shared" si="2"/>
        <v>7.012327459254311</v>
      </c>
      <c r="K50" s="371">
        <f t="shared" si="3"/>
        <v>6.6537568808725016</v>
      </c>
      <c r="L50" s="149">
        <f>'As-Filed Schedule 4'!H50</f>
        <v>0</v>
      </c>
      <c r="M50" s="383">
        <f>SUMIFS(Adjustments!$G:$G,Adjustments!$H:$H,"4",Adjustments!$I:$I,'Schedule 4 Adjustments'!$L$14,Adjustments!$J:$J,'Schedule 4 Adjustments'!$A50)</f>
        <v>0</v>
      </c>
      <c r="N50" s="375">
        <f t="shared" si="4"/>
        <v>0</v>
      </c>
      <c r="O50" s="405">
        <v>7.0000000000000007E-2</v>
      </c>
      <c r="P50" s="47">
        <f t="shared" si="9"/>
        <v>0</v>
      </c>
      <c r="Q50" s="373">
        <f t="shared" si="5"/>
        <v>0</v>
      </c>
      <c r="R50" s="21">
        <f t="shared" si="6"/>
        <v>7.012327459254311</v>
      </c>
      <c r="S50" s="371">
        <f t="shared" si="7"/>
        <v>6.6537568808725016</v>
      </c>
    </row>
    <row r="51" spans="1:19" s="22" customFormat="1" x14ac:dyDescent="0.35">
      <c r="A51" s="19">
        <v>39</v>
      </c>
      <c r="B51" s="19">
        <v>96372</v>
      </c>
      <c r="C51" s="20" t="s">
        <v>118</v>
      </c>
      <c r="D51" s="116">
        <f>'As-Filed Schedule 4'!D51</f>
        <v>398</v>
      </c>
      <c r="E51" s="383">
        <f>SUMIFS(Adjustments!$G:$G,Adjustments!$H:$H,"4",Adjustments!$I:$I,'Schedule 4 Adjustments'!$D$14,Adjustments!$J:$J,'Schedule 4 Adjustments'!$A51)</f>
        <v>0</v>
      </c>
      <c r="F51" s="375">
        <f t="shared" si="0"/>
        <v>398</v>
      </c>
      <c r="G51" s="405">
        <v>0.43</v>
      </c>
      <c r="H51" s="47">
        <f t="shared" si="8"/>
        <v>171.14</v>
      </c>
      <c r="I51" s="373">
        <f t="shared" si="1"/>
        <v>171.14</v>
      </c>
      <c r="J51" s="21">
        <f t="shared" si="2"/>
        <v>43.075725821133624</v>
      </c>
      <c r="K51" s="371">
        <f t="shared" si="3"/>
        <v>40.873077982502508</v>
      </c>
      <c r="L51" s="149">
        <f>'As-Filed Schedule 4'!H51</f>
        <v>24444</v>
      </c>
      <c r="M51" s="383">
        <f>SUMIFS(Adjustments!$G:$G,Adjustments!$H:$H,"4",Adjustments!$I:$I,'Schedule 4 Adjustments'!$L$14,Adjustments!$J:$J,'Schedule 4 Adjustments'!$A51)</f>
        <v>0</v>
      </c>
      <c r="N51" s="375">
        <f t="shared" si="4"/>
        <v>24444</v>
      </c>
      <c r="O51" s="405">
        <v>0.43</v>
      </c>
      <c r="P51" s="47">
        <f t="shared" si="9"/>
        <v>10510.92</v>
      </c>
      <c r="Q51" s="373">
        <f t="shared" si="5"/>
        <v>10510.92</v>
      </c>
      <c r="R51" s="21">
        <f t="shared" si="6"/>
        <v>43.075725821133624</v>
      </c>
      <c r="S51" s="371">
        <f t="shared" si="7"/>
        <v>40.873077982502508</v>
      </c>
    </row>
    <row r="52" spans="1:19" s="22" customFormat="1" x14ac:dyDescent="0.35">
      <c r="A52" s="19">
        <v>40</v>
      </c>
      <c r="B52" s="19">
        <v>97535</v>
      </c>
      <c r="C52" s="20" t="s">
        <v>119</v>
      </c>
      <c r="D52" s="116">
        <f>'As-Filed Schedule 4'!D52</f>
        <v>0</v>
      </c>
      <c r="E52" s="383">
        <f>SUMIFS(Adjustments!$G:$G,Adjustments!$H:$H,"4",Adjustments!$I:$I,'Schedule 4 Adjustments'!$D$14,Adjustments!$J:$J,'Schedule 4 Adjustments'!$A52)</f>
        <v>0</v>
      </c>
      <c r="F52" s="375">
        <f t="shared" si="0"/>
        <v>0</v>
      </c>
      <c r="G52" s="405">
        <v>0.98</v>
      </c>
      <c r="H52" s="47">
        <f t="shared" si="8"/>
        <v>0</v>
      </c>
      <c r="I52" s="373">
        <f t="shared" si="1"/>
        <v>0</v>
      </c>
      <c r="J52" s="21">
        <f t="shared" si="2"/>
        <v>98.172584429560345</v>
      </c>
      <c r="K52" s="371">
        <f t="shared" si="3"/>
        <v>93.152596332215012</v>
      </c>
      <c r="L52" s="149">
        <f>'As-Filed Schedule 4'!H52</f>
        <v>0</v>
      </c>
      <c r="M52" s="383">
        <f>SUMIFS(Adjustments!$G:$G,Adjustments!$H:$H,"4",Adjustments!$I:$I,'Schedule 4 Adjustments'!$L$14,Adjustments!$J:$J,'Schedule 4 Adjustments'!$A52)</f>
        <v>0</v>
      </c>
      <c r="N52" s="375">
        <f t="shared" si="4"/>
        <v>0</v>
      </c>
      <c r="O52" s="405">
        <v>0.98</v>
      </c>
      <c r="P52" s="47">
        <f t="shared" si="9"/>
        <v>0</v>
      </c>
      <c r="Q52" s="373">
        <f t="shared" si="5"/>
        <v>0</v>
      </c>
      <c r="R52" s="21">
        <f t="shared" si="6"/>
        <v>98.172584429560345</v>
      </c>
      <c r="S52" s="371">
        <f t="shared" si="7"/>
        <v>93.152596332215012</v>
      </c>
    </row>
    <row r="53" spans="1:19" s="22" customFormat="1" x14ac:dyDescent="0.35">
      <c r="A53" s="19">
        <v>41</v>
      </c>
      <c r="B53" s="19">
        <v>97537</v>
      </c>
      <c r="C53" s="20" t="s">
        <v>120</v>
      </c>
      <c r="D53" s="116">
        <f>'As-Filed Schedule 4'!D53</f>
        <v>0</v>
      </c>
      <c r="E53" s="383">
        <f>SUMIFS(Adjustments!$G:$G,Adjustments!$H:$H,"4",Adjustments!$I:$I,'Schedule 4 Adjustments'!$D$14,Adjustments!$J:$J,'Schedule 4 Adjustments'!$A53)</f>
        <v>0</v>
      </c>
      <c r="F53" s="375">
        <f t="shared" si="0"/>
        <v>0</v>
      </c>
      <c r="G53" s="405">
        <v>0.95</v>
      </c>
      <c r="H53" s="47">
        <f t="shared" si="8"/>
        <v>0</v>
      </c>
      <c r="I53" s="373">
        <f t="shared" si="1"/>
        <v>0</v>
      </c>
      <c r="J53" s="21">
        <f t="shared" si="2"/>
        <v>95.16730123273706</v>
      </c>
      <c r="K53" s="371">
        <f t="shared" si="3"/>
        <v>90.300986240412513</v>
      </c>
      <c r="L53" s="149">
        <f>'As-Filed Schedule 4'!H53</f>
        <v>0</v>
      </c>
      <c r="M53" s="383">
        <f>SUMIFS(Adjustments!$G:$G,Adjustments!$H:$H,"4",Adjustments!$I:$I,'Schedule 4 Adjustments'!$L$14,Adjustments!$J:$J,'Schedule 4 Adjustments'!$A53)</f>
        <v>0</v>
      </c>
      <c r="N53" s="375">
        <f t="shared" si="4"/>
        <v>0</v>
      </c>
      <c r="O53" s="405">
        <v>0.95</v>
      </c>
      <c r="P53" s="47">
        <f t="shared" si="9"/>
        <v>0</v>
      </c>
      <c r="Q53" s="373">
        <f t="shared" si="5"/>
        <v>0</v>
      </c>
      <c r="R53" s="21">
        <f t="shared" si="6"/>
        <v>95.16730123273706</v>
      </c>
      <c r="S53" s="371">
        <f t="shared" si="7"/>
        <v>90.300986240412513</v>
      </c>
    </row>
    <row r="54" spans="1:19" s="22" customFormat="1" x14ac:dyDescent="0.35">
      <c r="A54" s="19">
        <v>42</v>
      </c>
      <c r="B54" s="19">
        <v>98966</v>
      </c>
      <c r="C54" s="20" t="s">
        <v>342</v>
      </c>
      <c r="D54" s="116">
        <f>'As-Filed Schedule 4'!D54</f>
        <v>0</v>
      </c>
      <c r="E54" s="383">
        <f>SUMIFS(Adjustments!$G:$G,Adjustments!$H:$H,"4",Adjustments!$I:$I,'Schedule 4 Adjustments'!$D$14,Adjustments!$J:$J,'Schedule 4 Adjustments'!$A54)</f>
        <v>0</v>
      </c>
      <c r="F54" s="375">
        <f t="shared" si="0"/>
        <v>0</v>
      </c>
      <c r="G54" s="405">
        <v>0.39</v>
      </c>
      <c r="H54" s="47">
        <f t="shared" si="8"/>
        <v>0</v>
      </c>
      <c r="I54" s="373">
        <f t="shared" si="1"/>
        <v>0</v>
      </c>
      <c r="J54" s="21">
        <f t="shared" si="2"/>
        <v>39.068681558702586</v>
      </c>
      <c r="K54" s="371">
        <f t="shared" si="3"/>
        <v>37.070931193432507</v>
      </c>
      <c r="L54" s="149">
        <f>'As-Filed Schedule 4'!H54</f>
        <v>407</v>
      </c>
      <c r="M54" s="383">
        <f>SUMIFS(Adjustments!$G:$G,Adjustments!$H:$H,"4",Adjustments!$I:$I,'Schedule 4 Adjustments'!$L$14,Adjustments!$J:$J,'Schedule 4 Adjustments'!$A54)</f>
        <v>0</v>
      </c>
      <c r="N54" s="375">
        <f t="shared" si="4"/>
        <v>407</v>
      </c>
      <c r="O54" s="405">
        <v>0.34</v>
      </c>
      <c r="P54" s="47">
        <f t="shared" si="9"/>
        <v>138.38000000000002</v>
      </c>
      <c r="Q54" s="373">
        <f t="shared" si="5"/>
        <v>138.38000000000002</v>
      </c>
      <c r="R54" s="21">
        <f t="shared" si="6"/>
        <v>34.059876230663797</v>
      </c>
      <c r="S54" s="371">
        <f t="shared" si="7"/>
        <v>32.318247707095004</v>
      </c>
    </row>
    <row r="55" spans="1:19" s="22" customFormat="1" x14ac:dyDescent="0.35">
      <c r="A55" s="19">
        <v>43</v>
      </c>
      <c r="B55" s="19">
        <v>98967</v>
      </c>
      <c r="C55" s="20" t="s">
        <v>343</v>
      </c>
      <c r="D55" s="116">
        <f>'As-Filed Schedule 4'!D55</f>
        <v>1</v>
      </c>
      <c r="E55" s="383">
        <f>SUMIFS(Adjustments!$G:$G,Adjustments!$H:$H,"4",Adjustments!$I:$I,'Schedule 4 Adjustments'!$D$14,Adjustments!$J:$J,'Schedule 4 Adjustments'!$A55)</f>
        <v>0</v>
      </c>
      <c r="F55" s="375">
        <f t="shared" si="0"/>
        <v>1</v>
      </c>
      <c r="G55" s="405">
        <v>0.72</v>
      </c>
      <c r="H55" s="47">
        <f t="shared" si="8"/>
        <v>0.72</v>
      </c>
      <c r="I55" s="373">
        <f t="shared" si="1"/>
        <v>0.72</v>
      </c>
      <c r="J55" s="21">
        <f t="shared" si="2"/>
        <v>72.126796723758616</v>
      </c>
      <c r="K55" s="371">
        <f t="shared" si="3"/>
        <v>68.438642203260002</v>
      </c>
      <c r="L55" s="149">
        <f>'As-Filed Schedule 4'!H55</f>
        <v>214</v>
      </c>
      <c r="M55" s="383">
        <f>SUMIFS(Adjustments!$G:$G,Adjustments!$H:$H,"4",Adjustments!$I:$I,'Schedule 4 Adjustments'!$L$14,Adjustments!$J:$J,'Schedule 4 Adjustments'!$A55)</f>
        <v>0</v>
      </c>
      <c r="N55" s="375">
        <f t="shared" si="4"/>
        <v>214</v>
      </c>
      <c r="O55" s="405">
        <v>0.66</v>
      </c>
      <c r="P55" s="47">
        <f t="shared" si="9"/>
        <v>141.24</v>
      </c>
      <c r="Q55" s="373">
        <f t="shared" si="5"/>
        <v>141.24</v>
      </c>
      <c r="R55" s="21">
        <f t="shared" si="6"/>
        <v>66.116230330112074</v>
      </c>
      <c r="S55" s="371">
        <f t="shared" si="7"/>
        <v>62.735422019655012</v>
      </c>
    </row>
    <row r="56" spans="1:19" s="22" customFormat="1" x14ac:dyDescent="0.35">
      <c r="A56" s="19">
        <v>44</v>
      </c>
      <c r="B56" s="19">
        <v>98968</v>
      </c>
      <c r="C56" s="20" t="s">
        <v>344</v>
      </c>
      <c r="D56" s="116">
        <f>'As-Filed Schedule 4'!D56</f>
        <v>0</v>
      </c>
      <c r="E56" s="383">
        <f>SUMIFS(Adjustments!$G:$G,Adjustments!$H:$H,"4",Adjustments!$I:$I,'Schedule 4 Adjustments'!$D$14,Adjustments!$J:$J,'Schedule 4 Adjustments'!$A56)</f>
        <v>0</v>
      </c>
      <c r="F56" s="375">
        <f t="shared" si="0"/>
        <v>0</v>
      </c>
      <c r="G56" s="405">
        <v>0.99</v>
      </c>
      <c r="H56" s="47">
        <f t="shared" si="8"/>
        <v>0</v>
      </c>
      <c r="I56" s="373">
        <f t="shared" si="1"/>
        <v>0</v>
      </c>
      <c r="J56" s="21">
        <f t="shared" si="2"/>
        <v>99.174345495168097</v>
      </c>
      <c r="K56" s="371">
        <f t="shared" si="3"/>
        <v>94.103133029482521</v>
      </c>
      <c r="L56" s="149">
        <f>'As-Filed Schedule 4'!H56</f>
        <v>116</v>
      </c>
      <c r="M56" s="383">
        <f>SUMIFS(Adjustments!$G:$G,Adjustments!$H:$H,"4",Adjustments!$I:$I,'Schedule 4 Adjustments'!$L$14,Adjustments!$J:$J,'Schedule 4 Adjustments'!$A56)</f>
        <v>0</v>
      </c>
      <c r="N56" s="375">
        <f t="shared" si="4"/>
        <v>116</v>
      </c>
      <c r="O56" s="405">
        <v>0.92</v>
      </c>
      <c r="P56" s="47">
        <f t="shared" si="9"/>
        <v>106.72</v>
      </c>
      <c r="Q56" s="373">
        <f t="shared" si="5"/>
        <v>106.72</v>
      </c>
      <c r="R56" s="21">
        <f t="shared" si="6"/>
        <v>92.162018035913803</v>
      </c>
      <c r="S56" s="371">
        <f t="shared" si="7"/>
        <v>87.449376148610014</v>
      </c>
    </row>
    <row r="57" spans="1:19" s="22" customFormat="1" x14ac:dyDescent="0.35">
      <c r="A57" s="19">
        <v>45</v>
      </c>
      <c r="B57" s="19">
        <v>99202</v>
      </c>
      <c r="C57" s="20" t="s">
        <v>154</v>
      </c>
      <c r="D57" s="116">
        <f>'As-Filed Schedule 4'!D57</f>
        <v>0</v>
      </c>
      <c r="E57" s="383">
        <f>SUMIFS(Adjustments!$G:$G,Adjustments!$H:$H,"4",Adjustments!$I:$I,'Schedule 4 Adjustments'!$D$14,Adjustments!$J:$J,'Schedule 4 Adjustments'!$A57)</f>
        <v>0</v>
      </c>
      <c r="F57" s="375">
        <f t="shared" si="0"/>
        <v>0</v>
      </c>
      <c r="G57" s="405">
        <v>2.17</v>
      </c>
      <c r="H57" s="47">
        <f t="shared" si="8"/>
        <v>0</v>
      </c>
      <c r="I57" s="373">
        <f t="shared" si="1"/>
        <v>0</v>
      </c>
      <c r="J57" s="21">
        <f t="shared" si="2"/>
        <v>217.38215123688363</v>
      </c>
      <c r="K57" s="371">
        <f t="shared" si="3"/>
        <v>206.26646330704753</v>
      </c>
      <c r="L57" s="149">
        <f>'As-Filed Schedule 4'!H57</f>
        <v>11</v>
      </c>
      <c r="M57" s="383">
        <f>SUMIFS(Adjustments!$G:$G,Adjustments!$H:$H,"4",Adjustments!$I:$I,'Schedule 4 Adjustments'!$L$14,Adjustments!$J:$J,'Schedule 4 Adjustments'!$A57)</f>
        <v>0</v>
      </c>
      <c r="N57" s="375">
        <f t="shared" si="4"/>
        <v>11</v>
      </c>
      <c r="O57" s="405">
        <v>1.41</v>
      </c>
      <c r="P57" s="47">
        <f t="shared" si="9"/>
        <v>15.51</v>
      </c>
      <c r="Q57" s="373">
        <f t="shared" si="5"/>
        <v>15.51</v>
      </c>
      <c r="R57" s="21">
        <f t="shared" si="6"/>
        <v>141.24831025069395</v>
      </c>
      <c r="S57" s="371">
        <f t="shared" si="7"/>
        <v>134.02567431471752</v>
      </c>
    </row>
    <row r="58" spans="1:19" s="22" customFormat="1" x14ac:dyDescent="0.35">
      <c r="A58" s="19">
        <v>46</v>
      </c>
      <c r="B58" s="19">
        <v>99203</v>
      </c>
      <c r="C58" s="20" t="s">
        <v>154</v>
      </c>
      <c r="D58" s="116">
        <f>'As-Filed Schedule 4'!D58</f>
        <v>0</v>
      </c>
      <c r="E58" s="383">
        <f>SUMIFS(Adjustments!$G:$G,Adjustments!$H:$H,"4",Adjustments!$I:$I,'Schedule 4 Adjustments'!$D$14,Adjustments!$J:$J,'Schedule 4 Adjustments'!$A58)</f>
        <v>0</v>
      </c>
      <c r="F58" s="375">
        <f t="shared" si="0"/>
        <v>0</v>
      </c>
      <c r="G58" s="405">
        <v>3.35</v>
      </c>
      <c r="H58" s="47">
        <f t="shared" si="8"/>
        <v>0</v>
      </c>
      <c r="I58" s="373">
        <f t="shared" si="1"/>
        <v>0</v>
      </c>
      <c r="J58" s="21">
        <f t="shared" si="2"/>
        <v>335.58995697859916</v>
      </c>
      <c r="K58" s="371">
        <f t="shared" si="3"/>
        <v>318.42979358461258</v>
      </c>
      <c r="L58" s="149">
        <f>'As-Filed Schedule 4'!H58</f>
        <v>33</v>
      </c>
      <c r="M58" s="383">
        <f>SUMIFS(Adjustments!$G:$G,Adjustments!$H:$H,"4",Adjustments!$I:$I,'Schedule 4 Adjustments'!$L$14,Adjustments!$J:$J,'Schedule 4 Adjustments'!$A58)</f>
        <v>0</v>
      </c>
      <c r="N58" s="375">
        <f t="shared" si="4"/>
        <v>33</v>
      </c>
      <c r="O58" s="405">
        <v>2.44</v>
      </c>
      <c r="P58" s="47">
        <f t="shared" si="9"/>
        <v>80.52</v>
      </c>
      <c r="Q58" s="373">
        <f t="shared" si="5"/>
        <v>80.52</v>
      </c>
      <c r="R58" s="21">
        <f t="shared" si="6"/>
        <v>244.42970000829311</v>
      </c>
      <c r="S58" s="371">
        <f t="shared" si="7"/>
        <v>231.93095413327003</v>
      </c>
    </row>
    <row r="59" spans="1:19" s="22" customFormat="1" x14ac:dyDescent="0.35">
      <c r="A59" s="19">
        <v>47</v>
      </c>
      <c r="B59" s="19">
        <v>99204</v>
      </c>
      <c r="C59" s="20" t="s">
        <v>154</v>
      </c>
      <c r="D59" s="116">
        <f>'As-Filed Schedule 4'!D59</f>
        <v>1</v>
      </c>
      <c r="E59" s="383">
        <f>SUMIFS(Adjustments!$G:$G,Adjustments!$H:$H,"4",Adjustments!$I:$I,'Schedule 4 Adjustments'!$D$14,Adjustments!$J:$J,'Schedule 4 Adjustments'!$A59)</f>
        <v>0</v>
      </c>
      <c r="F59" s="375">
        <f t="shared" si="0"/>
        <v>1</v>
      </c>
      <c r="G59" s="405">
        <v>5.0199999999999996</v>
      </c>
      <c r="H59" s="47">
        <f t="shared" si="8"/>
        <v>5.0199999999999996</v>
      </c>
      <c r="I59" s="373">
        <f t="shared" si="1"/>
        <v>5.0199999999999996</v>
      </c>
      <c r="J59" s="21">
        <f t="shared" si="2"/>
        <v>502.88405493509481</v>
      </c>
      <c r="K59" s="371">
        <f t="shared" si="3"/>
        <v>477.16942202828506</v>
      </c>
      <c r="L59" s="149">
        <f>'As-Filed Schedule 4'!H59</f>
        <v>439</v>
      </c>
      <c r="M59" s="383">
        <f>SUMIFS(Adjustments!$G:$G,Adjustments!$H:$H,"4",Adjustments!$I:$I,'Schedule 4 Adjustments'!$L$14,Adjustments!$J:$J,'Schedule 4 Adjustments'!$A59)</f>
        <v>0</v>
      </c>
      <c r="N59" s="375">
        <f t="shared" si="4"/>
        <v>439</v>
      </c>
      <c r="O59" s="405">
        <v>3.97</v>
      </c>
      <c r="P59" s="47">
        <f t="shared" si="9"/>
        <v>1742.8300000000002</v>
      </c>
      <c r="Q59" s="373">
        <f t="shared" si="5"/>
        <v>1742.8300000000002</v>
      </c>
      <c r="R59" s="21">
        <f t="shared" si="6"/>
        <v>397.6991430462802</v>
      </c>
      <c r="S59" s="371">
        <f t="shared" si="7"/>
        <v>377.36306881519761</v>
      </c>
    </row>
    <row r="60" spans="1:19" s="22" customFormat="1" x14ac:dyDescent="0.35">
      <c r="A60" s="19">
        <v>48</v>
      </c>
      <c r="B60" s="19">
        <v>99205</v>
      </c>
      <c r="C60" s="20" t="s">
        <v>154</v>
      </c>
      <c r="D60" s="116">
        <f>'As-Filed Schedule 4'!D60</f>
        <v>1</v>
      </c>
      <c r="E60" s="383">
        <f>SUMIFS(Adjustments!$G:$G,Adjustments!$H:$H,"4",Adjustments!$I:$I,'Schedule 4 Adjustments'!$D$14,Adjustments!$J:$J,'Schedule 4 Adjustments'!$A60)</f>
        <v>0</v>
      </c>
      <c r="F60" s="375">
        <f t="shared" si="0"/>
        <v>1</v>
      </c>
      <c r="G60" s="405">
        <v>6.62</v>
      </c>
      <c r="H60" s="47">
        <f t="shared" si="8"/>
        <v>6.62</v>
      </c>
      <c r="I60" s="373">
        <f t="shared" si="1"/>
        <v>6.62</v>
      </c>
      <c r="J60" s="21">
        <f t="shared" si="2"/>
        <v>663.16582543233619</v>
      </c>
      <c r="K60" s="371">
        <f t="shared" si="3"/>
        <v>629.25529359108509</v>
      </c>
      <c r="L60" s="149">
        <f>'As-Filed Schedule 4'!H60</f>
        <v>700</v>
      </c>
      <c r="M60" s="383">
        <f>SUMIFS(Adjustments!$G:$G,Adjustments!$H:$H,"4",Adjustments!$I:$I,'Schedule 4 Adjustments'!$L$14,Adjustments!$J:$J,'Schedule 4 Adjustments'!$A60)</f>
        <v>0</v>
      </c>
      <c r="N60" s="375">
        <f t="shared" si="4"/>
        <v>700</v>
      </c>
      <c r="O60" s="405">
        <v>5.4</v>
      </c>
      <c r="P60" s="47">
        <f t="shared" si="9"/>
        <v>3780.0000000000005</v>
      </c>
      <c r="Q60" s="373">
        <f t="shared" si="5"/>
        <v>3780.0000000000005</v>
      </c>
      <c r="R60" s="21">
        <f t="shared" si="6"/>
        <v>540.95097542818974</v>
      </c>
      <c r="S60" s="371">
        <f t="shared" si="7"/>
        <v>513.28981652445009</v>
      </c>
    </row>
    <row r="61" spans="1:19" s="22" customFormat="1" ht="43.5" x14ac:dyDescent="0.35">
      <c r="A61" s="19">
        <v>49</v>
      </c>
      <c r="B61" s="19">
        <v>99211</v>
      </c>
      <c r="C61" s="20" t="s">
        <v>345</v>
      </c>
      <c r="D61" s="116">
        <f>'As-Filed Schedule 4'!D61</f>
        <v>0</v>
      </c>
      <c r="E61" s="383">
        <f>SUMIFS(Adjustments!$G:$G,Adjustments!$H:$H,"4",Adjustments!$I:$I,'Schedule 4 Adjustments'!$D$14,Adjustments!$J:$J,'Schedule 4 Adjustments'!$A61)</f>
        <v>0</v>
      </c>
      <c r="F61" s="375">
        <f t="shared" si="0"/>
        <v>0</v>
      </c>
      <c r="G61" s="405">
        <v>0.7</v>
      </c>
      <c r="H61" s="47">
        <f t="shared" si="8"/>
        <v>0</v>
      </c>
      <c r="I61" s="373">
        <f t="shared" si="1"/>
        <v>0</v>
      </c>
      <c r="J61" s="21">
        <f t="shared" si="2"/>
        <v>70.123274592543098</v>
      </c>
      <c r="K61" s="371">
        <f t="shared" si="3"/>
        <v>66.537568808725013</v>
      </c>
      <c r="L61" s="149">
        <f>'As-Filed Schedule 4'!H61</f>
        <v>0</v>
      </c>
      <c r="M61" s="383">
        <f>SUMIFS(Adjustments!$G:$G,Adjustments!$H:$H,"4",Adjustments!$I:$I,'Schedule 4 Adjustments'!$L$14,Adjustments!$J:$J,'Schedule 4 Adjustments'!$A61)</f>
        <v>0</v>
      </c>
      <c r="N61" s="375">
        <f t="shared" si="4"/>
        <v>0</v>
      </c>
      <c r="O61" s="405">
        <v>0.26</v>
      </c>
      <c r="P61" s="47">
        <f t="shared" si="9"/>
        <v>0</v>
      </c>
      <c r="Q61" s="373">
        <f t="shared" si="5"/>
        <v>0</v>
      </c>
      <c r="R61" s="21">
        <f t="shared" si="6"/>
        <v>26.045787705801725</v>
      </c>
      <c r="S61" s="371">
        <f t="shared" si="7"/>
        <v>24.713954128955006</v>
      </c>
    </row>
    <row r="62" spans="1:19" s="22" customFormat="1" x14ac:dyDescent="0.35">
      <c r="A62" s="19">
        <v>50</v>
      </c>
      <c r="B62" s="19">
        <v>99212</v>
      </c>
      <c r="C62" s="20" t="s">
        <v>155</v>
      </c>
      <c r="D62" s="116">
        <f>'As-Filed Schedule 4'!D62</f>
        <v>0</v>
      </c>
      <c r="E62" s="383">
        <f>SUMIFS(Adjustments!$G:$G,Adjustments!$H:$H,"4",Adjustments!$I:$I,'Schedule 4 Adjustments'!$D$14,Adjustments!$J:$J,'Schedule 4 Adjustments'!$A62)</f>
        <v>0</v>
      </c>
      <c r="F62" s="375">
        <f t="shared" si="0"/>
        <v>0</v>
      </c>
      <c r="G62" s="405">
        <v>1.7</v>
      </c>
      <c r="H62" s="47">
        <f t="shared" si="8"/>
        <v>0</v>
      </c>
      <c r="I62" s="373">
        <f t="shared" si="1"/>
        <v>0</v>
      </c>
      <c r="J62" s="21">
        <f t="shared" si="2"/>
        <v>170.29938115331896</v>
      </c>
      <c r="K62" s="371">
        <f t="shared" si="3"/>
        <v>161.59123853547501</v>
      </c>
      <c r="L62" s="149">
        <f>'As-Filed Schedule 4'!H62</f>
        <v>7</v>
      </c>
      <c r="M62" s="383">
        <f>SUMIFS(Adjustments!$G:$G,Adjustments!$H:$H,"4",Adjustments!$I:$I,'Schedule 4 Adjustments'!$L$14,Adjustments!$J:$J,'Schedule 4 Adjustments'!$A62)</f>
        <v>0</v>
      </c>
      <c r="N62" s="375">
        <f t="shared" si="4"/>
        <v>7</v>
      </c>
      <c r="O62" s="405">
        <v>1.05</v>
      </c>
      <c r="P62" s="47">
        <f t="shared" si="9"/>
        <v>7.3500000000000005</v>
      </c>
      <c r="Q62" s="373">
        <f t="shared" si="5"/>
        <v>7.3500000000000005</v>
      </c>
      <c r="R62" s="21">
        <f t="shared" si="6"/>
        <v>105.18491188881467</v>
      </c>
      <c r="S62" s="371">
        <f t="shared" si="7"/>
        <v>99.806353213087519</v>
      </c>
    </row>
    <row r="63" spans="1:19" s="22" customFormat="1" x14ac:dyDescent="0.35">
      <c r="A63" s="19">
        <v>51</v>
      </c>
      <c r="B63" s="19">
        <v>99213</v>
      </c>
      <c r="C63" s="20" t="s">
        <v>155</v>
      </c>
      <c r="D63" s="116">
        <f>'As-Filed Schedule 4'!D63</f>
        <v>7</v>
      </c>
      <c r="E63" s="383">
        <f>SUMIFS(Adjustments!$G:$G,Adjustments!$H:$H,"4",Adjustments!$I:$I,'Schedule 4 Adjustments'!$D$14,Adjustments!$J:$J,'Schedule 4 Adjustments'!$A63)</f>
        <v>0</v>
      </c>
      <c r="F63" s="375">
        <f t="shared" si="0"/>
        <v>7</v>
      </c>
      <c r="G63" s="405">
        <v>2.73</v>
      </c>
      <c r="H63" s="47">
        <f t="shared" si="8"/>
        <v>19.11</v>
      </c>
      <c r="I63" s="373">
        <f t="shared" si="1"/>
        <v>19.11</v>
      </c>
      <c r="J63" s="21">
        <f t="shared" si="2"/>
        <v>273.48077091091812</v>
      </c>
      <c r="K63" s="371">
        <f t="shared" si="3"/>
        <v>259.49651835402756</v>
      </c>
      <c r="L63" s="149">
        <f>'As-Filed Schedule 4'!H63</f>
        <v>1158</v>
      </c>
      <c r="M63" s="383">
        <f>SUMIFS(Adjustments!$G:$G,Adjustments!$H:$H,"4",Adjustments!$I:$I,'Schedule 4 Adjustments'!$L$14,Adjustments!$J:$J,'Schedule 4 Adjustments'!$A63)</f>
        <v>0</v>
      </c>
      <c r="N63" s="375">
        <f t="shared" si="4"/>
        <v>1158</v>
      </c>
      <c r="O63" s="405">
        <v>1.96</v>
      </c>
      <c r="P63" s="47">
        <f t="shared" si="9"/>
        <v>2269.6799999999998</v>
      </c>
      <c r="Q63" s="373">
        <f t="shared" si="5"/>
        <v>2269.6799999999998</v>
      </c>
      <c r="R63" s="21">
        <f t="shared" si="6"/>
        <v>196.34516885912069</v>
      </c>
      <c r="S63" s="371">
        <f t="shared" si="7"/>
        <v>186.30519266443002</v>
      </c>
    </row>
    <row r="64" spans="1:19" s="22" customFormat="1" x14ac:dyDescent="0.35">
      <c r="A64" s="19">
        <v>52</v>
      </c>
      <c r="B64" s="19">
        <v>99214</v>
      </c>
      <c r="C64" s="20" t="s">
        <v>155</v>
      </c>
      <c r="D64" s="116">
        <f>'As-Filed Schedule 4'!D64</f>
        <v>53</v>
      </c>
      <c r="E64" s="383">
        <f>SUMIFS(Adjustments!$G:$G,Adjustments!$H:$H,"4",Adjustments!$I:$I,'Schedule 4 Adjustments'!$D$14,Adjustments!$J:$J,'Schedule 4 Adjustments'!$A64)</f>
        <v>0</v>
      </c>
      <c r="F64" s="375">
        <f t="shared" si="0"/>
        <v>53</v>
      </c>
      <c r="G64" s="405">
        <v>3.85</v>
      </c>
      <c r="H64" s="47">
        <f t="shared" si="8"/>
        <v>204.05</v>
      </c>
      <c r="I64" s="373">
        <f t="shared" si="1"/>
        <v>204.05</v>
      </c>
      <c r="J64" s="21">
        <f t="shared" si="2"/>
        <v>385.67801025898706</v>
      </c>
      <c r="K64" s="371">
        <f t="shared" si="3"/>
        <v>365.95662844798755</v>
      </c>
      <c r="L64" s="149">
        <f>'As-Filed Schedule 4'!H64</f>
        <v>16000</v>
      </c>
      <c r="M64" s="383">
        <f>SUMIFS(Adjustments!$G:$G,Adjustments!$H:$H,"4",Adjustments!$I:$I,'Schedule 4 Adjustments'!$L$14,Adjustments!$J:$J,'Schedule 4 Adjustments'!$A64)</f>
        <v>0</v>
      </c>
      <c r="N64" s="375">
        <f t="shared" si="4"/>
        <v>16000</v>
      </c>
      <c r="O64" s="405">
        <v>2.89</v>
      </c>
      <c r="P64" s="47">
        <f t="shared" si="9"/>
        <v>46240</v>
      </c>
      <c r="Q64" s="373">
        <f t="shared" si="5"/>
        <v>46240</v>
      </c>
      <c r="R64" s="21">
        <f t="shared" si="6"/>
        <v>289.50894796064227</v>
      </c>
      <c r="S64" s="371">
        <f t="shared" si="7"/>
        <v>274.70510551030753</v>
      </c>
    </row>
    <row r="65" spans="1:19" s="22" customFormat="1" x14ac:dyDescent="0.35">
      <c r="A65" s="19">
        <v>53</v>
      </c>
      <c r="B65" s="19">
        <v>99215</v>
      </c>
      <c r="C65" s="20" t="s">
        <v>155</v>
      </c>
      <c r="D65" s="116">
        <f>'As-Filed Schedule 4'!D65</f>
        <v>6</v>
      </c>
      <c r="E65" s="383">
        <f>SUMIFS(Adjustments!$G:$G,Adjustments!$H:$H,"4",Adjustments!$I:$I,'Schedule 4 Adjustments'!$D$14,Adjustments!$J:$J,'Schedule 4 Adjustments'!$A65)</f>
        <v>0</v>
      </c>
      <c r="F65" s="375">
        <f t="shared" si="0"/>
        <v>6</v>
      </c>
      <c r="G65" s="405">
        <v>5.42</v>
      </c>
      <c r="H65" s="47">
        <f t="shared" si="8"/>
        <v>32.519999999999996</v>
      </c>
      <c r="I65" s="373">
        <f t="shared" si="1"/>
        <v>32.519999999999996</v>
      </c>
      <c r="J65" s="21">
        <f t="shared" si="2"/>
        <v>542.95449755940513</v>
      </c>
      <c r="K65" s="371">
        <f t="shared" si="3"/>
        <v>515.19088991898514</v>
      </c>
      <c r="L65" s="149">
        <f>'As-Filed Schedule 4'!H65</f>
        <v>2384</v>
      </c>
      <c r="M65" s="383">
        <f>SUMIFS(Adjustments!$G:$G,Adjustments!$H:$H,"4",Adjustments!$I:$I,'Schedule 4 Adjustments'!$L$14,Adjustments!$J:$J,'Schedule 4 Adjustments'!$A65)</f>
        <v>0</v>
      </c>
      <c r="N65" s="375">
        <f t="shared" si="4"/>
        <v>2384</v>
      </c>
      <c r="O65" s="405">
        <v>4.29</v>
      </c>
      <c r="P65" s="47">
        <f t="shared" si="9"/>
        <v>10227.36</v>
      </c>
      <c r="Q65" s="373">
        <f t="shared" si="5"/>
        <v>10227.36</v>
      </c>
      <c r="R65" s="21">
        <f t="shared" si="6"/>
        <v>429.75549714572844</v>
      </c>
      <c r="S65" s="371">
        <f t="shared" si="7"/>
        <v>407.78024312775756</v>
      </c>
    </row>
    <row r="66" spans="1:19" s="22" customFormat="1" x14ac:dyDescent="0.35">
      <c r="A66" s="19">
        <v>54</v>
      </c>
      <c r="B66" s="19">
        <v>99221</v>
      </c>
      <c r="C66" s="20" t="s">
        <v>121</v>
      </c>
      <c r="D66" s="116">
        <f>'As-Filed Schedule 4'!D66</f>
        <v>0</v>
      </c>
      <c r="E66" s="383">
        <f>SUMIFS(Adjustments!$G:$G,Adjustments!$H:$H,"4",Adjustments!$I:$I,'Schedule 4 Adjustments'!$D$14,Adjustments!$J:$J,'Schedule 4 Adjustments'!$A66)</f>
        <v>0</v>
      </c>
      <c r="F66" s="375">
        <f t="shared" si="0"/>
        <v>0</v>
      </c>
      <c r="G66" s="405">
        <v>2.46</v>
      </c>
      <c r="H66" s="47">
        <f t="shared" si="8"/>
        <v>0</v>
      </c>
      <c r="I66" s="373">
        <f t="shared" si="1"/>
        <v>0</v>
      </c>
      <c r="J66" s="21">
        <f t="shared" si="2"/>
        <v>246.43322213950862</v>
      </c>
      <c r="K66" s="371">
        <f t="shared" si="3"/>
        <v>233.83202752780502</v>
      </c>
      <c r="L66" s="149">
        <f>'As-Filed Schedule 4'!H66</f>
        <v>0</v>
      </c>
      <c r="M66" s="383">
        <f>SUMIFS(Adjustments!$G:$G,Adjustments!$H:$H,"4",Adjustments!$I:$I,'Schedule 4 Adjustments'!$L$14,Adjustments!$J:$J,'Schedule 4 Adjustments'!$A66)</f>
        <v>0</v>
      </c>
      <c r="N66" s="375">
        <f t="shared" si="4"/>
        <v>0</v>
      </c>
      <c r="O66" s="405">
        <v>2.46</v>
      </c>
      <c r="P66" s="47">
        <f t="shared" si="9"/>
        <v>0</v>
      </c>
      <c r="Q66" s="373">
        <f t="shared" si="5"/>
        <v>0</v>
      </c>
      <c r="R66" s="21">
        <f t="shared" si="6"/>
        <v>246.43322213950862</v>
      </c>
      <c r="S66" s="371">
        <f t="shared" si="7"/>
        <v>233.83202752780502</v>
      </c>
    </row>
    <row r="67" spans="1:19" s="22" customFormat="1" x14ac:dyDescent="0.35">
      <c r="A67" s="19">
        <v>55</v>
      </c>
      <c r="B67" s="19">
        <v>99222</v>
      </c>
      <c r="C67" s="20" t="s">
        <v>122</v>
      </c>
      <c r="D67" s="116">
        <f>'As-Filed Schedule 4'!D67</f>
        <v>0</v>
      </c>
      <c r="E67" s="383">
        <f>SUMIFS(Adjustments!$G:$G,Adjustments!$H:$H,"4",Adjustments!$I:$I,'Schedule 4 Adjustments'!$D$14,Adjustments!$J:$J,'Schedule 4 Adjustments'!$A67)</f>
        <v>0</v>
      </c>
      <c r="F67" s="375">
        <f t="shared" si="0"/>
        <v>0</v>
      </c>
      <c r="G67" s="405">
        <v>3.88</v>
      </c>
      <c r="H67" s="47">
        <f t="shared" si="8"/>
        <v>0</v>
      </c>
      <c r="I67" s="373">
        <f t="shared" si="1"/>
        <v>0</v>
      </c>
      <c r="J67" s="21">
        <f t="shared" si="2"/>
        <v>388.68329345581031</v>
      </c>
      <c r="K67" s="371">
        <f t="shared" si="3"/>
        <v>368.80823853979007</v>
      </c>
      <c r="L67" s="149">
        <f>'As-Filed Schedule 4'!H67</f>
        <v>0</v>
      </c>
      <c r="M67" s="383">
        <f>SUMIFS(Adjustments!$G:$G,Adjustments!$H:$H,"4",Adjustments!$I:$I,'Schedule 4 Adjustments'!$L$14,Adjustments!$J:$J,'Schedule 4 Adjustments'!$A67)</f>
        <v>0</v>
      </c>
      <c r="N67" s="375">
        <f t="shared" si="4"/>
        <v>0</v>
      </c>
      <c r="O67" s="405">
        <v>3.88</v>
      </c>
      <c r="P67" s="47">
        <f t="shared" si="9"/>
        <v>0</v>
      </c>
      <c r="Q67" s="373">
        <f t="shared" si="5"/>
        <v>0</v>
      </c>
      <c r="R67" s="21">
        <f t="shared" si="6"/>
        <v>388.68329345581031</v>
      </c>
      <c r="S67" s="371">
        <f t="shared" si="7"/>
        <v>368.80823853979007</v>
      </c>
    </row>
    <row r="68" spans="1:19" s="22" customFormat="1" x14ac:dyDescent="0.35">
      <c r="A68" s="19">
        <v>56</v>
      </c>
      <c r="B68" s="19">
        <v>99223</v>
      </c>
      <c r="C68" s="20" t="s">
        <v>123</v>
      </c>
      <c r="D68" s="116">
        <f>'As-Filed Schedule 4'!D68</f>
        <v>0</v>
      </c>
      <c r="E68" s="383">
        <f>SUMIFS(Adjustments!$G:$G,Adjustments!$H:$H,"4",Adjustments!$I:$I,'Schedule 4 Adjustments'!$D$14,Adjustments!$J:$J,'Schedule 4 Adjustments'!$A68)</f>
        <v>0</v>
      </c>
      <c r="F68" s="375">
        <f t="shared" si="0"/>
        <v>0</v>
      </c>
      <c r="G68" s="405">
        <v>5.14</v>
      </c>
      <c r="H68" s="47">
        <f t="shared" si="8"/>
        <v>0</v>
      </c>
      <c r="I68" s="373">
        <f t="shared" si="1"/>
        <v>0</v>
      </c>
      <c r="J68" s="21">
        <f t="shared" si="2"/>
        <v>514.90518772238795</v>
      </c>
      <c r="K68" s="371">
        <f t="shared" si="3"/>
        <v>488.57586239549505</v>
      </c>
      <c r="L68" s="149">
        <f>'As-Filed Schedule 4'!H68</f>
        <v>0</v>
      </c>
      <c r="M68" s="383">
        <f>SUMIFS(Adjustments!$G:$G,Adjustments!$H:$H,"4",Adjustments!$I:$I,'Schedule 4 Adjustments'!$L$14,Adjustments!$J:$J,'Schedule 4 Adjustments'!$A68)</f>
        <v>0</v>
      </c>
      <c r="N68" s="375">
        <f t="shared" si="4"/>
        <v>0</v>
      </c>
      <c r="O68" s="405">
        <v>5.14</v>
      </c>
      <c r="P68" s="47">
        <f t="shared" si="9"/>
        <v>0</v>
      </c>
      <c r="Q68" s="373">
        <f t="shared" si="5"/>
        <v>0</v>
      </c>
      <c r="R68" s="21">
        <f t="shared" si="6"/>
        <v>514.90518772238795</v>
      </c>
      <c r="S68" s="371">
        <f t="shared" si="7"/>
        <v>488.57586239549505</v>
      </c>
    </row>
    <row r="69" spans="1:19" s="22" customFormat="1" x14ac:dyDescent="0.35">
      <c r="A69" s="19">
        <v>57</v>
      </c>
      <c r="B69" s="19">
        <v>99231</v>
      </c>
      <c r="C69" s="20" t="s">
        <v>124</v>
      </c>
      <c r="D69" s="116">
        <f>'As-Filed Schedule 4'!D69</f>
        <v>0</v>
      </c>
      <c r="E69" s="383">
        <f>SUMIFS(Adjustments!$G:$G,Adjustments!$H:$H,"4",Adjustments!$I:$I,'Schedule 4 Adjustments'!$D$14,Adjustments!$J:$J,'Schedule 4 Adjustments'!$A69)</f>
        <v>0</v>
      </c>
      <c r="F69" s="375">
        <f t="shared" si="0"/>
        <v>0</v>
      </c>
      <c r="G69" s="405">
        <v>1.47</v>
      </c>
      <c r="H69" s="47">
        <f t="shared" si="8"/>
        <v>0</v>
      </c>
      <c r="I69" s="373">
        <f t="shared" si="1"/>
        <v>0</v>
      </c>
      <c r="J69" s="21">
        <f t="shared" si="2"/>
        <v>147.25887664434052</v>
      </c>
      <c r="K69" s="371">
        <f t="shared" si="3"/>
        <v>139.72889449832252</v>
      </c>
      <c r="L69" s="149">
        <f>'As-Filed Schedule 4'!H69</f>
        <v>0</v>
      </c>
      <c r="M69" s="383">
        <f>SUMIFS(Adjustments!$G:$G,Adjustments!$H:$H,"4",Adjustments!$I:$I,'Schedule 4 Adjustments'!$L$14,Adjustments!$J:$J,'Schedule 4 Adjustments'!$A69)</f>
        <v>0</v>
      </c>
      <c r="N69" s="375">
        <f t="shared" si="4"/>
        <v>0</v>
      </c>
      <c r="O69" s="405">
        <v>1.47</v>
      </c>
      <c r="P69" s="47">
        <f t="shared" si="9"/>
        <v>0</v>
      </c>
      <c r="Q69" s="373">
        <f t="shared" si="5"/>
        <v>0</v>
      </c>
      <c r="R69" s="21">
        <f t="shared" si="6"/>
        <v>147.25887664434052</v>
      </c>
      <c r="S69" s="371">
        <f t="shared" si="7"/>
        <v>139.72889449832252</v>
      </c>
    </row>
    <row r="70" spans="1:19" s="22" customFormat="1" x14ac:dyDescent="0.35">
      <c r="A70" s="19">
        <v>58</v>
      </c>
      <c r="B70" s="19">
        <v>99232</v>
      </c>
      <c r="C70" s="20" t="s">
        <v>125</v>
      </c>
      <c r="D70" s="116">
        <f>'As-Filed Schedule 4'!D70</f>
        <v>0</v>
      </c>
      <c r="E70" s="383">
        <f>SUMIFS(Adjustments!$G:$G,Adjustments!$H:$H,"4",Adjustments!$I:$I,'Schedule 4 Adjustments'!$D$14,Adjustments!$J:$J,'Schedule 4 Adjustments'!$A70)</f>
        <v>0</v>
      </c>
      <c r="F70" s="375">
        <f t="shared" si="0"/>
        <v>0</v>
      </c>
      <c r="G70" s="405">
        <v>2.34</v>
      </c>
      <c r="H70" s="47">
        <f t="shared" si="8"/>
        <v>0</v>
      </c>
      <c r="I70" s="373">
        <f t="shared" si="1"/>
        <v>0</v>
      </c>
      <c r="J70" s="21">
        <f t="shared" si="2"/>
        <v>234.4120893522155</v>
      </c>
      <c r="K70" s="371">
        <f t="shared" si="3"/>
        <v>222.42558716059503</v>
      </c>
      <c r="L70" s="149">
        <f>'As-Filed Schedule 4'!H70</f>
        <v>0</v>
      </c>
      <c r="M70" s="383">
        <f>SUMIFS(Adjustments!$G:$G,Adjustments!$H:$H,"4",Adjustments!$I:$I,'Schedule 4 Adjustments'!$L$14,Adjustments!$J:$J,'Schedule 4 Adjustments'!$A70)</f>
        <v>0</v>
      </c>
      <c r="N70" s="375">
        <f t="shared" si="4"/>
        <v>0</v>
      </c>
      <c r="O70" s="405">
        <v>2.34</v>
      </c>
      <c r="P70" s="47">
        <f t="shared" si="9"/>
        <v>0</v>
      </c>
      <c r="Q70" s="373">
        <f t="shared" si="5"/>
        <v>0</v>
      </c>
      <c r="R70" s="21">
        <f t="shared" si="6"/>
        <v>234.4120893522155</v>
      </c>
      <c r="S70" s="371">
        <f t="shared" si="7"/>
        <v>222.42558716059503</v>
      </c>
    </row>
    <row r="71" spans="1:19" s="22" customFormat="1" x14ac:dyDescent="0.35">
      <c r="A71" s="19">
        <v>59</v>
      </c>
      <c r="B71" s="19">
        <v>99233</v>
      </c>
      <c r="C71" s="20" t="s">
        <v>126</v>
      </c>
      <c r="D71" s="116">
        <f>'As-Filed Schedule 4'!D71</f>
        <v>0</v>
      </c>
      <c r="E71" s="383">
        <f>SUMIFS(Adjustments!$G:$G,Adjustments!$H:$H,"4",Adjustments!$I:$I,'Schedule 4 Adjustments'!$D$14,Adjustments!$J:$J,'Schedule 4 Adjustments'!$A71)</f>
        <v>0</v>
      </c>
      <c r="F71" s="375">
        <f t="shared" si="0"/>
        <v>0</v>
      </c>
      <c r="G71" s="405">
        <v>3.52</v>
      </c>
      <c r="H71" s="47">
        <f t="shared" si="8"/>
        <v>0</v>
      </c>
      <c r="I71" s="373">
        <f t="shared" si="1"/>
        <v>0</v>
      </c>
      <c r="J71" s="21">
        <f t="shared" si="2"/>
        <v>352.61989509393106</v>
      </c>
      <c r="K71" s="371">
        <f t="shared" si="3"/>
        <v>334.58891743816008</v>
      </c>
      <c r="L71" s="149">
        <f>'As-Filed Schedule 4'!H71</f>
        <v>0</v>
      </c>
      <c r="M71" s="383">
        <f>SUMIFS(Adjustments!$G:$G,Adjustments!$H:$H,"4",Adjustments!$I:$I,'Schedule 4 Adjustments'!$L$14,Adjustments!$J:$J,'Schedule 4 Adjustments'!$A71)</f>
        <v>0</v>
      </c>
      <c r="N71" s="375">
        <f t="shared" si="4"/>
        <v>0</v>
      </c>
      <c r="O71" s="405">
        <v>3.52</v>
      </c>
      <c r="P71" s="47">
        <f t="shared" si="9"/>
        <v>0</v>
      </c>
      <c r="Q71" s="373">
        <f t="shared" si="5"/>
        <v>0</v>
      </c>
      <c r="R71" s="21">
        <f t="shared" si="6"/>
        <v>352.61989509393106</v>
      </c>
      <c r="S71" s="371">
        <f t="shared" si="7"/>
        <v>334.58891743816008</v>
      </c>
    </row>
    <row r="72" spans="1:19" s="22" customFormat="1" ht="29" x14ac:dyDescent="0.35">
      <c r="A72" s="19">
        <v>60</v>
      </c>
      <c r="B72" s="19">
        <v>99234</v>
      </c>
      <c r="C72" s="20" t="s">
        <v>360</v>
      </c>
      <c r="D72" s="116">
        <f>'As-Filed Schedule 4'!D72</f>
        <v>0</v>
      </c>
      <c r="E72" s="383">
        <f>SUMIFS(Adjustments!$G:$G,Adjustments!$H:$H,"4",Adjustments!$I:$I,'Schedule 4 Adjustments'!$D$14,Adjustments!$J:$J,'Schedule 4 Adjustments'!$A72)</f>
        <v>0</v>
      </c>
      <c r="F72" s="375">
        <f t="shared" si="0"/>
        <v>0</v>
      </c>
      <c r="G72" s="405">
        <v>2.9</v>
      </c>
      <c r="H72" s="47">
        <f t="shared" si="8"/>
        <v>0</v>
      </c>
      <c r="I72" s="373">
        <f t="shared" si="1"/>
        <v>0</v>
      </c>
      <c r="J72" s="21">
        <f t="shared" si="2"/>
        <v>290.51070902624997</v>
      </c>
      <c r="K72" s="371">
        <f t="shared" si="3"/>
        <v>275.65564220757506</v>
      </c>
      <c r="L72" s="149">
        <f>'As-Filed Schedule 4'!H72</f>
        <v>0</v>
      </c>
      <c r="M72" s="383">
        <f>SUMIFS(Adjustments!$G:$G,Adjustments!$H:$H,"4",Adjustments!$I:$I,'Schedule 4 Adjustments'!$L$14,Adjustments!$J:$J,'Schedule 4 Adjustments'!$A72)</f>
        <v>0</v>
      </c>
      <c r="N72" s="375">
        <f t="shared" si="4"/>
        <v>0</v>
      </c>
      <c r="O72" s="405">
        <v>2.9</v>
      </c>
      <c r="P72" s="47">
        <f t="shared" si="9"/>
        <v>0</v>
      </c>
      <c r="Q72" s="373">
        <f t="shared" si="5"/>
        <v>0</v>
      </c>
      <c r="R72" s="21">
        <f t="shared" si="6"/>
        <v>290.51070902624997</v>
      </c>
      <c r="S72" s="371">
        <f t="shared" si="7"/>
        <v>275.65564220757506</v>
      </c>
    </row>
    <row r="73" spans="1:19" s="22" customFormat="1" ht="29" x14ac:dyDescent="0.35">
      <c r="A73" s="19">
        <v>61</v>
      </c>
      <c r="B73" s="19">
        <v>99235</v>
      </c>
      <c r="C73" s="20" t="s">
        <v>361</v>
      </c>
      <c r="D73" s="116">
        <f>'As-Filed Schedule 4'!D73</f>
        <v>0</v>
      </c>
      <c r="E73" s="383">
        <f>SUMIFS(Adjustments!$G:$G,Adjustments!$H:$H,"4",Adjustments!$I:$I,'Schedule 4 Adjustments'!$D$14,Adjustments!$J:$J,'Schedule 4 Adjustments'!$A73)</f>
        <v>0</v>
      </c>
      <c r="F73" s="375">
        <f t="shared" si="0"/>
        <v>0</v>
      </c>
      <c r="G73" s="405">
        <v>4.7300000000000004</v>
      </c>
      <c r="H73" s="47">
        <f t="shared" si="8"/>
        <v>0</v>
      </c>
      <c r="I73" s="373">
        <f t="shared" si="1"/>
        <v>0</v>
      </c>
      <c r="J73" s="21">
        <f t="shared" si="2"/>
        <v>473.83298403246988</v>
      </c>
      <c r="K73" s="371">
        <f t="shared" si="3"/>
        <v>449.60385780752762</v>
      </c>
      <c r="L73" s="149">
        <f>'As-Filed Schedule 4'!H73</f>
        <v>0</v>
      </c>
      <c r="M73" s="383">
        <f>SUMIFS(Adjustments!$G:$G,Adjustments!$H:$H,"4",Adjustments!$I:$I,'Schedule 4 Adjustments'!$L$14,Adjustments!$J:$J,'Schedule 4 Adjustments'!$A73)</f>
        <v>0</v>
      </c>
      <c r="N73" s="375">
        <f t="shared" si="4"/>
        <v>0</v>
      </c>
      <c r="O73" s="405">
        <v>4.7300000000000004</v>
      </c>
      <c r="P73" s="47">
        <f t="shared" si="9"/>
        <v>0</v>
      </c>
      <c r="Q73" s="373">
        <f t="shared" si="5"/>
        <v>0</v>
      </c>
      <c r="R73" s="21">
        <f t="shared" si="6"/>
        <v>473.83298403246988</v>
      </c>
      <c r="S73" s="371">
        <f t="shared" si="7"/>
        <v>449.60385780752762</v>
      </c>
    </row>
    <row r="74" spans="1:19" s="22" customFormat="1" ht="29" x14ac:dyDescent="0.35">
      <c r="A74" s="19">
        <v>62</v>
      </c>
      <c r="B74" s="19">
        <v>99236</v>
      </c>
      <c r="C74" s="20" t="s">
        <v>362</v>
      </c>
      <c r="D74" s="116">
        <f>'As-Filed Schedule 4'!D74</f>
        <v>0</v>
      </c>
      <c r="E74" s="383">
        <f>SUMIFS(Adjustments!$G:$G,Adjustments!$H:$H,"4",Adjustments!$I:$I,'Schedule 4 Adjustments'!$D$14,Adjustments!$J:$J,'Schedule 4 Adjustments'!$A74)</f>
        <v>0</v>
      </c>
      <c r="F74" s="375">
        <f t="shared" si="0"/>
        <v>0</v>
      </c>
      <c r="G74" s="405">
        <v>6.18</v>
      </c>
      <c r="H74" s="47">
        <f t="shared" si="8"/>
        <v>0</v>
      </c>
      <c r="I74" s="373">
        <f t="shared" si="1"/>
        <v>0</v>
      </c>
      <c r="J74" s="21">
        <f t="shared" si="2"/>
        <v>619.08833854559487</v>
      </c>
      <c r="K74" s="371">
        <f t="shared" si="3"/>
        <v>587.43167891131509</v>
      </c>
      <c r="L74" s="149">
        <f>'As-Filed Schedule 4'!H74</f>
        <v>0</v>
      </c>
      <c r="M74" s="383">
        <f>SUMIFS(Adjustments!$G:$G,Adjustments!$H:$H,"4",Adjustments!$I:$I,'Schedule 4 Adjustments'!$L$14,Adjustments!$J:$J,'Schedule 4 Adjustments'!$A74)</f>
        <v>0</v>
      </c>
      <c r="N74" s="375">
        <f t="shared" si="4"/>
        <v>0</v>
      </c>
      <c r="O74" s="405">
        <v>6.18</v>
      </c>
      <c r="P74" s="47">
        <f t="shared" si="9"/>
        <v>0</v>
      </c>
      <c r="Q74" s="373">
        <f t="shared" si="5"/>
        <v>0</v>
      </c>
      <c r="R74" s="21">
        <f t="shared" si="6"/>
        <v>619.08833854559487</v>
      </c>
      <c r="S74" s="371">
        <f t="shared" si="7"/>
        <v>587.43167891131509</v>
      </c>
    </row>
    <row r="75" spans="1:19" s="22" customFormat="1" x14ac:dyDescent="0.35">
      <c r="A75" s="19">
        <v>63</v>
      </c>
      <c r="B75" s="19">
        <v>99238</v>
      </c>
      <c r="C75" s="20" t="s">
        <v>346</v>
      </c>
      <c r="D75" s="116">
        <f>'As-Filed Schedule 4'!D75</f>
        <v>0</v>
      </c>
      <c r="E75" s="383">
        <f>SUMIFS(Adjustments!$G:$G,Adjustments!$H:$H,"4",Adjustments!$I:$I,'Schedule 4 Adjustments'!$D$14,Adjustments!$J:$J,'Schedule 4 Adjustments'!$A75)</f>
        <v>0</v>
      </c>
      <c r="F75" s="375">
        <f t="shared" si="0"/>
        <v>0</v>
      </c>
      <c r="G75" s="405">
        <v>2.41</v>
      </c>
      <c r="H75" s="47">
        <f t="shared" si="8"/>
        <v>0</v>
      </c>
      <c r="I75" s="373">
        <f t="shared" si="1"/>
        <v>0</v>
      </c>
      <c r="J75" s="21">
        <f t="shared" si="2"/>
        <v>241.42441681146985</v>
      </c>
      <c r="K75" s="371">
        <f t="shared" si="3"/>
        <v>229.07934404146755</v>
      </c>
      <c r="L75" s="149">
        <f>'As-Filed Schedule 4'!H75</f>
        <v>0</v>
      </c>
      <c r="M75" s="383">
        <f>SUMIFS(Adjustments!$G:$G,Adjustments!$H:$H,"4",Adjustments!$I:$I,'Schedule 4 Adjustments'!$L$14,Adjustments!$J:$J,'Schedule 4 Adjustments'!$A75)</f>
        <v>0</v>
      </c>
      <c r="N75" s="375">
        <f t="shared" si="4"/>
        <v>0</v>
      </c>
      <c r="O75" s="405">
        <v>2.41</v>
      </c>
      <c r="P75" s="47">
        <f t="shared" si="9"/>
        <v>0</v>
      </c>
      <c r="Q75" s="373">
        <f t="shared" si="5"/>
        <v>0</v>
      </c>
      <c r="R75" s="21">
        <f t="shared" si="6"/>
        <v>241.42441681146985</v>
      </c>
      <c r="S75" s="371">
        <f t="shared" si="7"/>
        <v>229.07934404146755</v>
      </c>
    </row>
    <row r="76" spans="1:19" s="22" customFormat="1" x14ac:dyDescent="0.35">
      <c r="A76" s="19">
        <v>64</v>
      </c>
      <c r="B76" s="19">
        <v>99239</v>
      </c>
      <c r="C76" s="20" t="s">
        <v>127</v>
      </c>
      <c r="D76" s="116">
        <f>'As-Filed Schedule 4'!D76</f>
        <v>0</v>
      </c>
      <c r="E76" s="383">
        <f>SUMIFS(Adjustments!$G:$G,Adjustments!$H:$H,"4",Adjustments!$I:$I,'Schedule 4 Adjustments'!$D$14,Adjustments!$J:$J,'Schedule 4 Adjustments'!$A76)</f>
        <v>0</v>
      </c>
      <c r="F76" s="375">
        <f t="shared" si="0"/>
        <v>0</v>
      </c>
      <c r="G76" s="405">
        <v>3.4</v>
      </c>
      <c r="H76" s="47">
        <f t="shared" si="8"/>
        <v>0</v>
      </c>
      <c r="I76" s="373">
        <f t="shared" si="1"/>
        <v>0</v>
      </c>
      <c r="J76" s="21">
        <f t="shared" si="2"/>
        <v>340.59876230663792</v>
      </c>
      <c r="K76" s="371">
        <f t="shared" si="3"/>
        <v>323.18247707095003</v>
      </c>
      <c r="L76" s="149">
        <f>'As-Filed Schedule 4'!H76</f>
        <v>0</v>
      </c>
      <c r="M76" s="383">
        <f>SUMIFS(Adjustments!$G:$G,Adjustments!$H:$H,"4",Adjustments!$I:$I,'Schedule 4 Adjustments'!$L$14,Adjustments!$J:$J,'Schedule 4 Adjustments'!$A76)</f>
        <v>0</v>
      </c>
      <c r="N76" s="375">
        <f t="shared" si="4"/>
        <v>0</v>
      </c>
      <c r="O76" s="405">
        <v>3.4</v>
      </c>
      <c r="P76" s="47">
        <f t="shared" si="9"/>
        <v>0</v>
      </c>
      <c r="Q76" s="373">
        <f t="shared" si="5"/>
        <v>0</v>
      </c>
      <c r="R76" s="21">
        <f t="shared" si="6"/>
        <v>340.59876230663792</v>
      </c>
      <c r="S76" s="371">
        <f t="shared" si="7"/>
        <v>323.18247707095003</v>
      </c>
    </row>
    <row r="77" spans="1:19" s="22" customFormat="1" x14ac:dyDescent="0.35">
      <c r="A77" s="19">
        <v>65</v>
      </c>
      <c r="B77" s="19">
        <v>99242</v>
      </c>
      <c r="C77" s="20" t="s">
        <v>347</v>
      </c>
      <c r="D77" s="116">
        <f>'As-Filed Schedule 4'!D77</f>
        <v>0</v>
      </c>
      <c r="E77" s="383">
        <f>SUMIFS(Adjustments!$G:$G,Adjustments!$H:$H,"4",Adjustments!$I:$I,'Schedule 4 Adjustments'!$D$14,Adjustments!$J:$J,'Schedule 4 Adjustments'!$A77)</f>
        <v>0</v>
      </c>
      <c r="F77" s="375">
        <f t="shared" si="0"/>
        <v>0</v>
      </c>
      <c r="G77" s="405">
        <v>2.25</v>
      </c>
      <c r="H77" s="147">
        <f t="shared" si="8"/>
        <v>0</v>
      </c>
      <c r="I77" s="373">
        <f t="shared" si="1"/>
        <v>0</v>
      </c>
      <c r="J77" s="148">
        <f t="shared" si="2"/>
        <v>225.3962397617457</v>
      </c>
      <c r="K77" s="371">
        <f t="shared" si="3"/>
        <v>213.87075688518755</v>
      </c>
      <c r="L77" s="149">
        <f>'As-Filed Schedule 4'!H77</f>
        <v>0</v>
      </c>
      <c r="M77" s="383">
        <f>SUMIFS(Adjustments!$G:$G,Adjustments!$H:$H,"4",Adjustments!$I:$I,'Schedule 4 Adjustments'!$L$14,Adjustments!$J:$J,'Schedule 4 Adjustments'!$A77)</f>
        <v>0</v>
      </c>
      <c r="N77" s="375">
        <f t="shared" si="4"/>
        <v>0</v>
      </c>
      <c r="O77" s="405">
        <v>1.66</v>
      </c>
      <c r="P77" s="47">
        <f t="shared" si="9"/>
        <v>0</v>
      </c>
      <c r="Q77" s="373">
        <f t="shared" si="5"/>
        <v>0</v>
      </c>
      <c r="R77" s="21">
        <f t="shared" si="6"/>
        <v>166.29233689088792</v>
      </c>
      <c r="S77" s="371">
        <f t="shared" si="7"/>
        <v>157.78909174640501</v>
      </c>
    </row>
    <row r="78" spans="1:19" s="22" customFormat="1" x14ac:dyDescent="0.35">
      <c r="A78" s="19">
        <v>66</v>
      </c>
      <c r="B78" s="19">
        <v>99243</v>
      </c>
      <c r="C78" s="20" t="s">
        <v>348</v>
      </c>
      <c r="D78" s="116">
        <f>'As-Filed Schedule 4'!D78</f>
        <v>0</v>
      </c>
      <c r="E78" s="383">
        <f>SUMIFS(Adjustments!$G:$G,Adjustments!$H:$H,"4",Adjustments!$I:$I,'Schedule 4 Adjustments'!$D$14,Adjustments!$J:$J,'Schedule 4 Adjustments'!$A78)</f>
        <v>0</v>
      </c>
      <c r="F78" s="375">
        <f t="shared" si="0"/>
        <v>0</v>
      </c>
      <c r="G78" s="405">
        <v>3.37</v>
      </c>
      <c r="H78" s="47">
        <f t="shared" si="8"/>
        <v>0</v>
      </c>
      <c r="I78" s="373">
        <f t="shared" si="1"/>
        <v>0</v>
      </c>
      <c r="J78" s="21">
        <f t="shared" si="2"/>
        <v>337.59347910981467</v>
      </c>
      <c r="K78" s="371">
        <f t="shared" si="3"/>
        <v>320.33086697914757</v>
      </c>
      <c r="L78" s="149">
        <f>'As-Filed Schedule 4'!H78</f>
        <v>0</v>
      </c>
      <c r="M78" s="383">
        <f>SUMIFS(Adjustments!$G:$G,Adjustments!$H:$H,"4",Adjustments!$I:$I,'Schedule 4 Adjustments'!$L$14,Adjustments!$J:$J,'Schedule 4 Adjustments'!$A78)</f>
        <v>0</v>
      </c>
      <c r="N78" s="375">
        <f t="shared" si="4"/>
        <v>0</v>
      </c>
      <c r="O78" s="405">
        <v>2.62</v>
      </c>
      <c r="P78" s="47">
        <f t="shared" si="9"/>
        <v>0</v>
      </c>
      <c r="Q78" s="373">
        <f t="shared" si="5"/>
        <v>0</v>
      </c>
      <c r="R78" s="21">
        <f t="shared" si="6"/>
        <v>262.46139918923279</v>
      </c>
      <c r="S78" s="371">
        <f t="shared" si="7"/>
        <v>249.04061468408506</v>
      </c>
    </row>
    <row r="79" spans="1:19" s="22" customFormat="1" x14ac:dyDescent="0.35">
      <c r="A79" s="19">
        <v>67</v>
      </c>
      <c r="B79" s="19">
        <v>99244</v>
      </c>
      <c r="C79" s="20" t="s">
        <v>349</v>
      </c>
      <c r="D79" s="116">
        <f>'As-Filed Schedule 4'!D79</f>
        <v>0</v>
      </c>
      <c r="E79" s="383">
        <f>SUMIFS(Adjustments!$G:$G,Adjustments!$H:$H,"4",Adjustments!$I:$I,'Schedule 4 Adjustments'!$D$14,Adjustments!$J:$J,'Schedule 4 Adjustments'!$A79)</f>
        <v>0</v>
      </c>
      <c r="F79" s="375">
        <f t="shared" si="0"/>
        <v>0</v>
      </c>
      <c r="G79" s="405">
        <v>4.8099999999999996</v>
      </c>
      <c r="H79" s="47">
        <f t="shared" si="8"/>
        <v>0</v>
      </c>
      <c r="I79" s="373">
        <f t="shared" si="1"/>
        <v>0</v>
      </c>
      <c r="J79" s="21">
        <f t="shared" si="2"/>
        <v>481.84707255733184</v>
      </c>
      <c r="K79" s="371">
        <f t="shared" si="3"/>
        <v>457.20815138566752</v>
      </c>
      <c r="L79" s="149">
        <f>'As-Filed Schedule 4'!H79</f>
        <v>0</v>
      </c>
      <c r="M79" s="383">
        <f>SUMIFS(Adjustments!$G:$G,Adjustments!$H:$H,"4",Adjustments!$I:$I,'Schedule 4 Adjustments'!$L$14,Adjustments!$J:$J,'Schedule 4 Adjustments'!$A79)</f>
        <v>0</v>
      </c>
      <c r="N79" s="375">
        <f t="shared" si="4"/>
        <v>0</v>
      </c>
      <c r="O79" s="405">
        <v>3.99</v>
      </c>
      <c r="P79" s="47">
        <f t="shared" si="9"/>
        <v>0</v>
      </c>
      <c r="Q79" s="373">
        <f t="shared" si="5"/>
        <v>0</v>
      </c>
      <c r="R79" s="21">
        <f t="shared" si="6"/>
        <v>399.7026651774957</v>
      </c>
      <c r="S79" s="371">
        <f t="shared" si="7"/>
        <v>379.2641422097326</v>
      </c>
    </row>
    <row r="80" spans="1:19" s="22" customFormat="1" x14ac:dyDescent="0.35">
      <c r="A80" s="19">
        <v>68</v>
      </c>
      <c r="B80" s="19">
        <v>99245</v>
      </c>
      <c r="C80" s="20" t="s">
        <v>350</v>
      </c>
      <c r="D80" s="116">
        <f>'As-Filed Schedule 4'!D80</f>
        <v>0</v>
      </c>
      <c r="E80" s="383">
        <f>SUMIFS(Adjustments!$G:$G,Adjustments!$H:$H,"4",Adjustments!$I:$I,'Schedule 4 Adjustments'!$D$14,Adjustments!$J:$J,'Schedule 4 Adjustments'!$A80)</f>
        <v>0</v>
      </c>
      <c r="F80" s="375">
        <f t="shared" si="0"/>
        <v>0</v>
      </c>
      <c r="G80" s="405">
        <v>6.28</v>
      </c>
      <c r="H80" s="47">
        <f t="shared" si="8"/>
        <v>0</v>
      </c>
      <c r="I80" s="373">
        <f t="shared" si="1"/>
        <v>0</v>
      </c>
      <c r="J80" s="21">
        <f t="shared" si="2"/>
        <v>629.1059492016725</v>
      </c>
      <c r="K80" s="371">
        <f t="shared" si="3"/>
        <v>596.93704588399009</v>
      </c>
      <c r="L80" s="149">
        <f>'As-Filed Schedule 4'!H80</f>
        <v>0</v>
      </c>
      <c r="M80" s="383">
        <f>SUMIFS(Adjustments!$G:$G,Adjustments!$H:$H,"4",Adjustments!$I:$I,'Schedule 4 Adjustments'!$L$14,Adjustments!$J:$J,'Schedule 4 Adjustments'!$A80)</f>
        <v>0</v>
      </c>
      <c r="N80" s="375">
        <f t="shared" si="4"/>
        <v>0</v>
      </c>
      <c r="O80" s="405">
        <v>5.36</v>
      </c>
      <c r="P80" s="47">
        <f t="shared" si="9"/>
        <v>0</v>
      </c>
      <c r="Q80" s="373">
        <f t="shared" si="5"/>
        <v>0</v>
      </c>
      <c r="R80" s="21">
        <f t="shared" si="6"/>
        <v>536.94393116575861</v>
      </c>
      <c r="S80" s="371">
        <f t="shared" si="7"/>
        <v>509.48766973538011</v>
      </c>
    </row>
    <row r="81" spans="1:19" s="22" customFormat="1" x14ac:dyDescent="0.35">
      <c r="A81" s="19">
        <v>69</v>
      </c>
      <c r="B81" s="19">
        <v>99252</v>
      </c>
      <c r="C81" s="20" t="s">
        <v>351</v>
      </c>
      <c r="D81" s="116">
        <f>'As-Filed Schedule 4'!D81</f>
        <v>0</v>
      </c>
      <c r="E81" s="383">
        <f>SUMIFS(Adjustments!$G:$G,Adjustments!$H:$H,"4",Adjustments!$I:$I,'Schedule 4 Adjustments'!$D$14,Adjustments!$J:$J,'Schedule 4 Adjustments'!$A81)</f>
        <v>0</v>
      </c>
      <c r="F81" s="375">
        <f t="shared" si="0"/>
        <v>0</v>
      </c>
      <c r="G81" s="405">
        <v>2.11</v>
      </c>
      <c r="H81" s="47">
        <f t="shared" si="8"/>
        <v>0</v>
      </c>
      <c r="I81" s="373">
        <f t="shared" si="1"/>
        <v>0</v>
      </c>
      <c r="J81" s="21">
        <f t="shared" si="2"/>
        <v>211.37158484323706</v>
      </c>
      <c r="K81" s="371">
        <f t="shared" si="3"/>
        <v>200.56324312344253</v>
      </c>
      <c r="L81" s="149">
        <f>'As-Filed Schedule 4'!H81</f>
        <v>0</v>
      </c>
      <c r="M81" s="383">
        <f>SUMIFS(Adjustments!$G:$G,Adjustments!$H:$H,"4",Adjustments!$I:$I,'Schedule 4 Adjustments'!$L$14,Adjustments!$J:$J,'Schedule 4 Adjustments'!$A81)</f>
        <v>0</v>
      </c>
      <c r="N81" s="375">
        <f t="shared" si="4"/>
        <v>0</v>
      </c>
      <c r="O81" s="405">
        <v>2.11</v>
      </c>
      <c r="P81" s="47">
        <f t="shared" si="9"/>
        <v>0</v>
      </c>
      <c r="Q81" s="373">
        <f t="shared" si="5"/>
        <v>0</v>
      </c>
      <c r="R81" s="21">
        <f t="shared" si="6"/>
        <v>211.37158484323706</v>
      </c>
      <c r="S81" s="371">
        <f t="shared" si="7"/>
        <v>200.56324312344253</v>
      </c>
    </row>
    <row r="82" spans="1:19" s="22" customFormat="1" x14ac:dyDescent="0.35">
      <c r="A82" s="19">
        <v>70</v>
      </c>
      <c r="B82" s="19">
        <v>99253</v>
      </c>
      <c r="C82" s="20" t="s">
        <v>352</v>
      </c>
      <c r="D82" s="116">
        <f>'As-Filed Schedule 4'!D82</f>
        <v>0</v>
      </c>
      <c r="E82" s="383">
        <f>SUMIFS(Adjustments!$G:$G,Adjustments!$H:$H,"4",Adjustments!$I:$I,'Schedule 4 Adjustments'!$D$14,Adjustments!$J:$J,'Schedule 4 Adjustments'!$A82)</f>
        <v>0</v>
      </c>
      <c r="F82" s="375">
        <f t="shared" si="0"/>
        <v>0</v>
      </c>
      <c r="G82" s="405">
        <v>2.96</v>
      </c>
      <c r="H82" s="47">
        <f t="shared" si="8"/>
        <v>0</v>
      </c>
      <c r="I82" s="373">
        <f t="shared" si="1"/>
        <v>0</v>
      </c>
      <c r="J82" s="21">
        <f t="shared" ref="J82:J145" si="10">G82*$H$12</f>
        <v>296.52127541989654</v>
      </c>
      <c r="K82" s="371">
        <f t="shared" si="3"/>
        <v>281.35886239118003</v>
      </c>
      <c r="L82" s="149">
        <f>'As-Filed Schedule 4'!H82</f>
        <v>0</v>
      </c>
      <c r="M82" s="383">
        <f>SUMIFS(Adjustments!$G:$G,Adjustments!$H:$H,"4",Adjustments!$I:$I,'Schedule 4 Adjustments'!$L$14,Adjustments!$J:$J,'Schedule 4 Adjustments'!$A82)</f>
        <v>0</v>
      </c>
      <c r="N82" s="375">
        <f t="shared" si="4"/>
        <v>0</v>
      </c>
      <c r="O82" s="405">
        <v>2.96</v>
      </c>
      <c r="P82" s="47">
        <f t="shared" si="9"/>
        <v>0</v>
      </c>
      <c r="Q82" s="373">
        <f t="shared" si="5"/>
        <v>0</v>
      </c>
      <c r="R82" s="21">
        <f t="shared" ref="R82:R145" si="11">O82*$H$12</f>
        <v>296.52127541989654</v>
      </c>
      <c r="S82" s="371">
        <f t="shared" si="7"/>
        <v>281.35886239118003</v>
      </c>
    </row>
    <row r="83" spans="1:19" s="22" customFormat="1" x14ac:dyDescent="0.35">
      <c r="A83" s="19">
        <v>71</v>
      </c>
      <c r="B83" s="19">
        <v>99254</v>
      </c>
      <c r="C83" s="20" t="s">
        <v>353</v>
      </c>
      <c r="D83" s="116">
        <f>'As-Filed Schedule 4'!D83</f>
        <v>0</v>
      </c>
      <c r="E83" s="383">
        <f>SUMIFS(Adjustments!$G:$G,Adjustments!$H:$H,"4",Adjustments!$I:$I,'Schedule 4 Adjustments'!$D$14,Adjustments!$J:$J,'Schedule 4 Adjustments'!$A83)</f>
        <v>0</v>
      </c>
      <c r="F83" s="375">
        <f t="shared" ref="F83:F146" si="12">SUM(D83:E83)</f>
        <v>0</v>
      </c>
      <c r="G83" s="405">
        <v>4.1100000000000003</v>
      </c>
      <c r="H83" s="47">
        <f t="shared" si="8"/>
        <v>0</v>
      </c>
      <c r="I83" s="373">
        <f t="shared" ref="I83:I146" si="13">F83*G83</f>
        <v>0</v>
      </c>
      <c r="J83" s="21">
        <f t="shared" si="10"/>
        <v>411.72379796478884</v>
      </c>
      <c r="K83" s="371">
        <f t="shared" ref="K83:K146" si="14">G83*$I$12</f>
        <v>390.67058257694259</v>
      </c>
      <c r="L83" s="149">
        <f>'As-Filed Schedule 4'!H83</f>
        <v>0</v>
      </c>
      <c r="M83" s="383">
        <f>SUMIFS(Adjustments!$G:$G,Adjustments!$H:$H,"4",Adjustments!$I:$I,'Schedule 4 Adjustments'!$L$14,Adjustments!$J:$J,'Schedule 4 Adjustments'!$A83)</f>
        <v>0</v>
      </c>
      <c r="N83" s="375">
        <f t="shared" ref="N83:N146" si="15">SUM(L83:M83)</f>
        <v>0</v>
      </c>
      <c r="O83" s="405">
        <v>4.1100000000000003</v>
      </c>
      <c r="P83" s="47">
        <f t="shared" ref="P83:P146" si="16">L83*O83</f>
        <v>0</v>
      </c>
      <c r="Q83" s="373">
        <f t="shared" ref="Q83:Q146" si="17">N83*O83</f>
        <v>0</v>
      </c>
      <c r="R83" s="21">
        <f t="shared" si="11"/>
        <v>411.72379796478884</v>
      </c>
      <c r="S83" s="371">
        <f t="shared" ref="S83:S146" si="18">O83*$I$12</f>
        <v>390.67058257694259</v>
      </c>
    </row>
    <row r="84" spans="1:19" s="22" customFormat="1" x14ac:dyDescent="0.35">
      <c r="A84" s="19">
        <v>72</v>
      </c>
      <c r="B84" s="19">
        <v>99255</v>
      </c>
      <c r="C84" s="20" t="s">
        <v>354</v>
      </c>
      <c r="D84" s="116">
        <f>'As-Filed Schedule 4'!D84</f>
        <v>0</v>
      </c>
      <c r="E84" s="383">
        <f>SUMIFS(Adjustments!$G:$G,Adjustments!$H:$H,"4",Adjustments!$I:$I,'Schedule 4 Adjustments'!$D$14,Adjustments!$J:$J,'Schedule 4 Adjustments'!$A84)</f>
        <v>0</v>
      </c>
      <c r="F84" s="375">
        <f t="shared" si="12"/>
        <v>0</v>
      </c>
      <c r="G84" s="405">
        <v>5.53</v>
      </c>
      <c r="H84" s="47">
        <f t="shared" ref="H84:H147" si="19">D84*G84</f>
        <v>0</v>
      </c>
      <c r="I84" s="373">
        <f t="shared" si="13"/>
        <v>0</v>
      </c>
      <c r="J84" s="21">
        <f t="shared" si="10"/>
        <v>553.97386928109051</v>
      </c>
      <c r="K84" s="371">
        <f t="shared" si="14"/>
        <v>525.64679358892761</v>
      </c>
      <c r="L84" s="149">
        <f>'As-Filed Schedule 4'!H84</f>
        <v>0</v>
      </c>
      <c r="M84" s="383">
        <f>SUMIFS(Adjustments!$G:$G,Adjustments!$H:$H,"4",Adjustments!$I:$I,'Schedule 4 Adjustments'!$L$14,Adjustments!$J:$J,'Schedule 4 Adjustments'!$A84)</f>
        <v>0</v>
      </c>
      <c r="N84" s="375">
        <f t="shared" si="15"/>
        <v>0</v>
      </c>
      <c r="O84" s="405">
        <v>5.53</v>
      </c>
      <c r="P84" s="47">
        <f t="shared" si="16"/>
        <v>0</v>
      </c>
      <c r="Q84" s="373">
        <f t="shared" si="17"/>
        <v>0</v>
      </c>
      <c r="R84" s="21">
        <f t="shared" si="11"/>
        <v>553.97386928109051</v>
      </c>
      <c r="S84" s="371">
        <f t="shared" si="18"/>
        <v>525.64679358892761</v>
      </c>
    </row>
    <row r="85" spans="1:19" s="22" customFormat="1" x14ac:dyDescent="0.35">
      <c r="A85" s="19">
        <v>73</v>
      </c>
      <c r="B85" s="19">
        <v>99281</v>
      </c>
      <c r="C85" s="20" t="s">
        <v>355</v>
      </c>
      <c r="D85" s="116">
        <f>'As-Filed Schedule 4'!D85</f>
        <v>0</v>
      </c>
      <c r="E85" s="383">
        <f>SUMIFS(Adjustments!$G:$G,Adjustments!$H:$H,"4",Adjustments!$I:$I,'Schedule 4 Adjustments'!$D$14,Adjustments!$J:$J,'Schedule 4 Adjustments'!$A85)</f>
        <v>0</v>
      </c>
      <c r="F85" s="375">
        <f t="shared" si="12"/>
        <v>0</v>
      </c>
      <c r="G85" s="405">
        <v>0.34</v>
      </c>
      <c r="H85" s="47">
        <f t="shared" si="19"/>
        <v>0</v>
      </c>
      <c r="I85" s="373">
        <f t="shared" si="13"/>
        <v>0</v>
      </c>
      <c r="J85" s="21">
        <f t="shared" si="10"/>
        <v>34.059876230663797</v>
      </c>
      <c r="K85" s="371">
        <f t="shared" si="14"/>
        <v>32.318247707095004</v>
      </c>
      <c r="L85" s="149">
        <f>'As-Filed Schedule 4'!H85</f>
        <v>0</v>
      </c>
      <c r="M85" s="383">
        <f>SUMIFS(Adjustments!$G:$G,Adjustments!$H:$H,"4",Adjustments!$I:$I,'Schedule 4 Adjustments'!$L$14,Adjustments!$J:$J,'Schedule 4 Adjustments'!$A85)</f>
        <v>0</v>
      </c>
      <c r="N85" s="375">
        <f t="shared" si="15"/>
        <v>0</v>
      </c>
      <c r="O85" s="405">
        <v>0.34</v>
      </c>
      <c r="P85" s="47">
        <f t="shared" si="16"/>
        <v>0</v>
      </c>
      <c r="Q85" s="373">
        <f t="shared" si="17"/>
        <v>0</v>
      </c>
      <c r="R85" s="21">
        <f t="shared" si="11"/>
        <v>34.059876230663797</v>
      </c>
      <c r="S85" s="371">
        <f t="shared" si="18"/>
        <v>32.318247707095004</v>
      </c>
    </row>
    <row r="86" spans="1:19" s="22" customFormat="1" x14ac:dyDescent="0.35">
      <c r="A86" s="19">
        <v>74</v>
      </c>
      <c r="B86" s="19">
        <v>99282</v>
      </c>
      <c r="C86" s="20" t="s">
        <v>356</v>
      </c>
      <c r="D86" s="116">
        <f>'As-Filed Schedule 4'!D86</f>
        <v>0</v>
      </c>
      <c r="E86" s="383">
        <f>SUMIFS(Adjustments!$G:$G,Adjustments!$H:$H,"4",Adjustments!$I:$I,'Schedule 4 Adjustments'!$D$14,Adjustments!$J:$J,'Schedule 4 Adjustments'!$A86)</f>
        <v>0</v>
      </c>
      <c r="F86" s="375">
        <f t="shared" si="12"/>
        <v>0</v>
      </c>
      <c r="G86" s="405">
        <v>1.24</v>
      </c>
      <c r="H86" s="47">
        <f t="shared" si="19"/>
        <v>0</v>
      </c>
      <c r="I86" s="373">
        <f t="shared" si="13"/>
        <v>0</v>
      </c>
      <c r="J86" s="21">
        <f t="shared" si="10"/>
        <v>124.21837213536207</v>
      </c>
      <c r="K86" s="371">
        <f t="shared" si="14"/>
        <v>117.86655046117002</v>
      </c>
      <c r="L86" s="149">
        <f>'As-Filed Schedule 4'!H86</f>
        <v>0</v>
      </c>
      <c r="M86" s="383">
        <f>SUMIFS(Adjustments!$G:$G,Adjustments!$H:$H,"4",Adjustments!$I:$I,'Schedule 4 Adjustments'!$L$14,Adjustments!$J:$J,'Schedule 4 Adjustments'!$A86)</f>
        <v>0</v>
      </c>
      <c r="N86" s="375">
        <f t="shared" si="15"/>
        <v>0</v>
      </c>
      <c r="O86" s="405">
        <v>1.24</v>
      </c>
      <c r="P86" s="47">
        <f t="shared" si="16"/>
        <v>0</v>
      </c>
      <c r="Q86" s="373">
        <f t="shared" si="17"/>
        <v>0</v>
      </c>
      <c r="R86" s="21">
        <f t="shared" si="11"/>
        <v>124.21837213536207</v>
      </c>
      <c r="S86" s="371">
        <f t="shared" si="18"/>
        <v>117.86655046117002</v>
      </c>
    </row>
    <row r="87" spans="1:19" s="22" customFormat="1" x14ac:dyDescent="0.35">
      <c r="A87" s="19">
        <v>75</v>
      </c>
      <c r="B87" s="19">
        <v>99283</v>
      </c>
      <c r="C87" s="20" t="s">
        <v>357</v>
      </c>
      <c r="D87" s="116">
        <f>'As-Filed Schedule 4'!D87</f>
        <v>0</v>
      </c>
      <c r="E87" s="383">
        <f>SUMIFS(Adjustments!$G:$G,Adjustments!$H:$H,"4",Adjustments!$I:$I,'Schedule 4 Adjustments'!$D$14,Adjustments!$J:$J,'Schedule 4 Adjustments'!$A87)</f>
        <v>0</v>
      </c>
      <c r="F87" s="375">
        <f t="shared" si="12"/>
        <v>0</v>
      </c>
      <c r="G87" s="405">
        <v>2.11</v>
      </c>
      <c r="H87" s="47">
        <f t="shared" si="19"/>
        <v>0</v>
      </c>
      <c r="I87" s="373">
        <f t="shared" si="13"/>
        <v>0</v>
      </c>
      <c r="J87" s="21">
        <f t="shared" si="10"/>
        <v>211.37158484323706</v>
      </c>
      <c r="K87" s="371">
        <f t="shared" si="14"/>
        <v>200.56324312344253</v>
      </c>
      <c r="L87" s="149">
        <f>'As-Filed Schedule 4'!H87</f>
        <v>0</v>
      </c>
      <c r="M87" s="383">
        <f>SUMIFS(Adjustments!$G:$G,Adjustments!$H:$H,"4",Adjustments!$I:$I,'Schedule 4 Adjustments'!$L$14,Adjustments!$J:$J,'Schedule 4 Adjustments'!$A87)</f>
        <v>0</v>
      </c>
      <c r="N87" s="375">
        <f t="shared" si="15"/>
        <v>0</v>
      </c>
      <c r="O87" s="405">
        <v>2.11</v>
      </c>
      <c r="P87" s="47">
        <f t="shared" si="16"/>
        <v>0</v>
      </c>
      <c r="Q87" s="373">
        <f t="shared" si="17"/>
        <v>0</v>
      </c>
      <c r="R87" s="21">
        <f t="shared" si="11"/>
        <v>211.37158484323706</v>
      </c>
      <c r="S87" s="371">
        <f t="shared" si="18"/>
        <v>200.56324312344253</v>
      </c>
    </row>
    <row r="88" spans="1:19" s="22" customFormat="1" x14ac:dyDescent="0.35">
      <c r="A88" s="19">
        <v>76</v>
      </c>
      <c r="B88" s="19">
        <v>99284</v>
      </c>
      <c r="C88" s="20" t="s">
        <v>358</v>
      </c>
      <c r="D88" s="116">
        <f>'As-Filed Schedule 4'!D88</f>
        <v>0</v>
      </c>
      <c r="E88" s="383">
        <f>SUMIFS(Adjustments!$G:$G,Adjustments!$H:$H,"4",Adjustments!$I:$I,'Schedule 4 Adjustments'!$D$14,Adjustments!$J:$J,'Schedule 4 Adjustments'!$A88)</f>
        <v>0</v>
      </c>
      <c r="F88" s="375">
        <f t="shared" si="12"/>
        <v>0</v>
      </c>
      <c r="G88" s="405">
        <v>3.59</v>
      </c>
      <c r="H88" s="47">
        <f t="shared" si="19"/>
        <v>0</v>
      </c>
      <c r="I88" s="373">
        <f t="shared" si="13"/>
        <v>0</v>
      </c>
      <c r="J88" s="21">
        <f t="shared" si="10"/>
        <v>359.63222255318533</v>
      </c>
      <c r="K88" s="371">
        <f t="shared" si="14"/>
        <v>341.24267431903252</v>
      </c>
      <c r="L88" s="149">
        <f>'As-Filed Schedule 4'!H88</f>
        <v>0</v>
      </c>
      <c r="M88" s="383">
        <f>SUMIFS(Adjustments!$G:$G,Adjustments!$H:$H,"4",Adjustments!$I:$I,'Schedule 4 Adjustments'!$L$14,Adjustments!$J:$J,'Schedule 4 Adjustments'!$A88)</f>
        <v>0</v>
      </c>
      <c r="N88" s="375">
        <f t="shared" si="15"/>
        <v>0</v>
      </c>
      <c r="O88" s="405">
        <v>3.59</v>
      </c>
      <c r="P88" s="47">
        <f t="shared" si="16"/>
        <v>0</v>
      </c>
      <c r="Q88" s="373">
        <f t="shared" si="17"/>
        <v>0</v>
      </c>
      <c r="R88" s="21">
        <f t="shared" si="11"/>
        <v>359.63222255318533</v>
      </c>
      <c r="S88" s="371">
        <f t="shared" si="18"/>
        <v>341.24267431903252</v>
      </c>
    </row>
    <row r="89" spans="1:19" s="22" customFormat="1" x14ac:dyDescent="0.35">
      <c r="A89" s="19">
        <v>77</v>
      </c>
      <c r="B89" s="19">
        <v>99285</v>
      </c>
      <c r="C89" s="20" t="s">
        <v>359</v>
      </c>
      <c r="D89" s="116">
        <f>'As-Filed Schedule 4'!D89</f>
        <v>0</v>
      </c>
      <c r="E89" s="383">
        <f>SUMIFS(Adjustments!$G:$G,Adjustments!$H:$H,"4",Adjustments!$I:$I,'Schedule 4 Adjustments'!$D$14,Adjustments!$J:$J,'Schedule 4 Adjustments'!$A89)</f>
        <v>0</v>
      </c>
      <c r="F89" s="375">
        <f t="shared" si="12"/>
        <v>0</v>
      </c>
      <c r="G89" s="405">
        <v>5.2</v>
      </c>
      <c r="H89" s="47">
        <f t="shared" si="19"/>
        <v>0</v>
      </c>
      <c r="I89" s="373">
        <f t="shared" si="13"/>
        <v>0</v>
      </c>
      <c r="J89" s="21">
        <f t="shared" si="10"/>
        <v>520.91575411603446</v>
      </c>
      <c r="K89" s="371">
        <f t="shared" si="14"/>
        <v>494.27908257910008</v>
      </c>
      <c r="L89" s="149">
        <f>'As-Filed Schedule 4'!H89</f>
        <v>0</v>
      </c>
      <c r="M89" s="383">
        <f>SUMIFS(Adjustments!$G:$G,Adjustments!$H:$H,"4",Adjustments!$I:$I,'Schedule 4 Adjustments'!$L$14,Adjustments!$J:$J,'Schedule 4 Adjustments'!$A89)</f>
        <v>0</v>
      </c>
      <c r="N89" s="375">
        <f t="shared" si="15"/>
        <v>0</v>
      </c>
      <c r="O89" s="405">
        <v>5.2</v>
      </c>
      <c r="P89" s="47">
        <f t="shared" si="16"/>
        <v>0</v>
      </c>
      <c r="Q89" s="373">
        <f t="shared" si="17"/>
        <v>0</v>
      </c>
      <c r="R89" s="21">
        <f t="shared" si="11"/>
        <v>520.91575411603446</v>
      </c>
      <c r="S89" s="371">
        <f t="shared" si="18"/>
        <v>494.27908257910008</v>
      </c>
    </row>
    <row r="90" spans="1:19" s="22" customFormat="1" x14ac:dyDescent="0.35">
      <c r="A90" s="19">
        <v>78</v>
      </c>
      <c r="B90" s="19">
        <v>99304</v>
      </c>
      <c r="C90" s="20" t="s">
        <v>363</v>
      </c>
      <c r="D90" s="116">
        <f>'As-Filed Schedule 4'!D90</f>
        <v>0</v>
      </c>
      <c r="E90" s="383">
        <f>SUMIFS(Adjustments!$G:$G,Adjustments!$H:$H,"4",Adjustments!$I:$I,'Schedule 4 Adjustments'!$D$14,Adjustments!$J:$J,'Schedule 4 Adjustments'!$A90)</f>
        <v>0</v>
      </c>
      <c r="F90" s="375">
        <f t="shared" si="12"/>
        <v>0</v>
      </c>
      <c r="G90" s="405">
        <v>2.39</v>
      </c>
      <c r="H90" s="47">
        <f t="shared" si="19"/>
        <v>0</v>
      </c>
      <c r="I90" s="373">
        <f t="shared" si="13"/>
        <v>0</v>
      </c>
      <c r="J90" s="21">
        <f t="shared" si="10"/>
        <v>239.42089468025432</v>
      </c>
      <c r="K90" s="371">
        <f t="shared" si="14"/>
        <v>227.17827064693256</v>
      </c>
      <c r="L90" s="149">
        <f>'As-Filed Schedule 4'!H90</f>
        <v>0</v>
      </c>
      <c r="M90" s="383">
        <f>SUMIFS(Adjustments!$G:$G,Adjustments!$H:$H,"4",Adjustments!$I:$I,'Schedule 4 Adjustments'!$L$14,Adjustments!$J:$J,'Schedule 4 Adjustments'!$A90)</f>
        <v>0</v>
      </c>
      <c r="N90" s="375">
        <f t="shared" si="15"/>
        <v>0</v>
      </c>
      <c r="O90" s="405">
        <v>2.39</v>
      </c>
      <c r="P90" s="47">
        <f t="shared" si="16"/>
        <v>0</v>
      </c>
      <c r="Q90" s="373">
        <f t="shared" si="17"/>
        <v>0</v>
      </c>
      <c r="R90" s="21">
        <f t="shared" si="11"/>
        <v>239.42089468025432</v>
      </c>
      <c r="S90" s="371">
        <f t="shared" si="18"/>
        <v>227.17827064693256</v>
      </c>
    </row>
    <row r="91" spans="1:19" s="22" customFormat="1" x14ac:dyDescent="0.35">
      <c r="A91" s="19">
        <v>79</v>
      </c>
      <c r="B91" s="19">
        <v>99305</v>
      </c>
      <c r="C91" s="20" t="s">
        <v>364</v>
      </c>
      <c r="D91" s="116">
        <f>'As-Filed Schedule 4'!D91</f>
        <v>0</v>
      </c>
      <c r="E91" s="383">
        <f>SUMIFS(Adjustments!$G:$G,Adjustments!$H:$H,"4",Adjustments!$I:$I,'Schedule 4 Adjustments'!$D$14,Adjustments!$J:$J,'Schedule 4 Adjustments'!$A91)</f>
        <v>0</v>
      </c>
      <c r="F91" s="375">
        <f t="shared" si="12"/>
        <v>0</v>
      </c>
      <c r="G91" s="405">
        <v>3.97</v>
      </c>
      <c r="H91" s="47">
        <f t="shared" si="19"/>
        <v>0</v>
      </c>
      <c r="I91" s="373">
        <f t="shared" si="13"/>
        <v>0</v>
      </c>
      <c r="J91" s="21">
        <f t="shared" si="10"/>
        <v>397.6991430462802</v>
      </c>
      <c r="K91" s="371">
        <f t="shared" si="14"/>
        <v>377.36306881519761</v>
      </c>
      <c r="L91" s="149">
        <f>'As-Filed Schedule 4'!H91</f>
        <v>0</v>
      </c>
      <c r="M91" s="383">
        <f>SUMIFS(Adjustments!$G:$G,Adjustments!$H:$H,"4",Adjustments!$I:$I,'Schedule 4 Adjustments'!$L$14,Adjustments!$J:$J,'Schedule 4 Adjustments'!$A91)</f>
        <v>0</v>
      </c>
      <c r="N91" s="375">
        <f t="shared" si="15"/>
        <v>0</v>
      </c>
      <c r="O91" s="405">
        <v>3.97</v>
      </c>
      <c r="P91" s="47">
        <f t="shared" si="16"/>
        <v>0</v>
      </c>
      <c r="Q91" s="373">
        <f t="shared" si="17"/>
        <v>0</v>
      </c>
      <c r="R91" s="21">
        <f t="shared" si="11"/>
        <v>397.6991430462802</v>
      </c>
      <c r="S91" s="371">
        <f t="shared" si="18"/>
        <v>377.36306881519761</v>
      </c>
    </row>
    <row r="92" spans="1:19" s="22" customFormat="1" x14ac:dyDescent="0.35">
      <c r="A92" s="19">
        <v>80</v>
      </c>
      <c r="B92" s="19">
        <v>99306</v>
      </c>
      <c r="C92" s="20" t="s">
        <v>365</v>
      </c>
      <c r="D92" s="116">
        <f>'As-Filed Schedule 4'!D92</f>
        <v>0</v>
      </c>
      <c r="E92" s="383">
        <f>SUMIFS(Adjustments!$G:$G,Adjustments!$H:$H,"4",Adjustments!$I:$I,'Schedule 4 Adjustments'!$D$14,Adjustments!$J:$J,'Schedule 4 Adjustments'!$A92)</f>
        <v>0</v>
      </c>
      <c r="F92" s="375">
        <f t="shared" si="12"/>
        <v>0</v>
      </c>
      <c r="G92" s="405">
        <v>5.42</v>
      </c>
      <c r="H92" s="47">
        <f t="shared" si="19"/>
        <v>0</v>
      </c>
      <c r="I92" s="373">
        <f t="shared" si="13"/>
        <v>0</v>
      </c>
      <c r="J92" s="21">
        <f t="shared" si="10"/>
        <v>542.95449755940513</v>
      </c>
      <c r="K92" s="371">
        <f t="shared" si="14"/>
        <v>515.19088991898514</v>
      </c>
      <c r="L92" s="149">
        <f>'As-Filed Schedule 4'!H92</f>
        <v>0</v>
      </c>
      <c r="M92" s="383">
        <f>SUMIFS(Adjustments!$G:$G,Adjustments!$H:$H,"4",Adjustments!$I:$I,'Schedule 4 Adjustments'!$L$14,Adjustments!$J:$J,'Schedule 4 Adjustments'!$A92)</f>
        <v>0</v>
      </c>
      <c r="N92" s="375">
        <f t="shared" si="15"/>
        <v>0</v>
      </c>
      <c r="O92" s="405">
        <v>5.42</v>
      </c>
      <c r="P92" s="47">
        <f t="shared" si="16"/>
        <v>0</v>
      </c>
      <c r="Q92" s="373">
        <f t="shared" si="17"/>
        <v>0</v>
      </c>
      <c r="R92" s="21">
        <f t="shared" si="11"/>
        <v>542.95449755940513</v>
      </c>
      <c r="S92" s="371">
        <f t="shared" si="18"/>
        <v>515.19088991898514</v>
      </c>
    </row>
    <row r="93" spans="1:19" s="22" customFormat="1" x14ac:dyDescent="0.35">
      <c r="A93" s="19">
        <v>81</v>
      </c>
      <c r="B93" s="19">
        <v>99307</v>
      </c>
      <c r="C93" s="20" t="s">
        <v>366</v>
      </c>
      <c r="D93" s="116">
        <f>'As-Filed Schedule 4'!D93</f>
        <v>0</v>
      </c>
      <c r="E93" s="383">
        <f>SUMIFS(Adjustments!$G:$G,Adjustments!$H:$H,"4",Adjustments!$I:$I,'Schedule 4 Adjustments'!$D$14,Adjustments!$J:$J,'Schedule 4 Adjustments'!$A93)</f>
        <v>0</v>
      </c>
      <c r="F93" s="375">
        <f t="shared" si="12"/>
        <v>0</v>
      </c>
      <c r="G93" s="405">
        <v>1.2</v>
      </c>
      <c r="H93" s="47">
        <f t="shared" si="19"/>
        <v>0</v>
      </c>
      <c r="I93" s="373">
        <f t="shared" si="13"/>
        <v>0</v>
      </c>
      <c r="J93" s="21">
        <f t="shared" si="10"/>
        <v>120.21132787293104</v>
      </c>
      <c r="K93" s="371">
        <f t="shared" si="14"/>
        <v>114.06440367210001</v>
      </c>
      <c r="L93" s="149">
        <f>'As-Filed Schedule 4'!H93</f>
        <v>0</v>
      </c>
      <c r="M93" s="383">
        <f>SUMIFS(Adjustments!$G:$G,Adjustments!$H:$H,"4",Adjustments!$I:$I,'Schedule 4 Adjustments'!$L$14,Adjustments!$J:$J,'Schedule 4 Adjustments'!$A93)</f>
        <v>0</v>
      </c>
      <c r="N93" s="375">
        <f t="shared" si="15"/>
        <v>0</v>
      </c>
      <c r="O93" s="405">
        <v>1.2</v>
      </c>
      <c r="P93" s="47">
        <f t="shared" si="16"/>
        <v>0</v>
      </c>
      <c r="Q93" s="373">
        <f t="shared" si="17"/>
        <v>0</v>
      </c>
      <c r="R93" s="21">
        <f t="shared" si="11"/>
        <v>120.21132787293104</v>
      </c>
      <c r="S93" s="371">
        <f t="shared" si="18"/>
        <v>114.06440367210001</v>
      </c>
    </row>
    <row r="94" spans="1:19" s="22" customFormat="1" x14ac:dyDescent="0.35">
      <c r="A94" s="19">
        <v>82</v>
      </c>
      <c r="B94" s="19">
        <v>99308</v>
      </c>
      <c r="C94" s="20" t="s">
        <v>367</v>
      </c>
      <c r="D94" s="116">
        <f>'As-Filed Schedule 4'!D94</f>
        <v>0</v>
      </c>
      <c r="E94" s="383">
        <f>SUMIFS(Adjustments!$G:$G,Adjustments!$H:$H,"4",Adjustments!$I:$I,'Schedule 4 Adjustments'!$D$14,Adjustments!$J:$J,'Schedule 4 Adjustments'!$A94)</f>
        <v>0</v>
      </c>
      <c r="F94" s="375">
        <f t="shared" si="12"/>
        <v>0</v>
      </c>
      <c r="G94" s="405">
        <v>2.2200000000000002</v>
      </c>
      <c r="H94" s="47">
        <f t="shared" si="19"/>
        <v>0</v>
      </c>
      <c r="I94" s="373">
        <f t="shared" si="13"/>
        <v>0</v>
      </c>
      <c r="J94" s="21">
        <f t="shared" si="10"/>
        <v>222.39095656492245</v>
      </c>
      <c r="K94" s="371">
        <f t="shared" si="14"/>
        <v>211.01914679338506</v>
      </c>
      <c r="L94" s="149">
        <f>'As-Filed Schedule 4'!H94</f>
        <v>0</v>
      </c>
      <c r="M94" s="383">
        <f>SUMIFS(Adjustments!$G:$G,Adjustments!$H:$H,"4",Adjustments!$I:$I,'Schedule 4 Adjustments'!$L$14,Adjustments!$J:$J,'Schedule 4 Adjustments'!$A94)</f>
        <v>0</v>
      </c>
      <c r="N94" s="375">
        <f t="shared" si="15"/>
        <v>0</v>
      </c>
      <c r="O94" s="405">
        <v>2.2200000000000002</v>
      </c>
      <c r="P94" s="47">
        <f t="shared" si="16"/>
        <v>0</v>
      </c>
      <c r="Q94" s="373">
        <f t="shared" si="17"/>
        <v>0</v>
      </c>
      <c r="R94" s="21">
        <f t="shared" si="11"/>
        <v>222.39095656492245</v>
      </c>
      <c r="S94" s="371">
        <f t="shared" si="18"/>
        <v>211.01914679338506</v>
      </c>
    </row>
    <row r="95" spans="1:19" s="22" customFormat="1" x14ac:dyDescent="0.35">
      <c r="A95" s="19">
        <v>83</v>
      </c>
      <c r="B95" s="19">
        <v>99309</v>
      </c>
      <c r="C95" s="20" t="s">
        <v>368</v>
      </c>
      <c r="D95" s="116">
        <f>'As-Filed Schedule 4'!D95</f>
        <v>0</v>
      </c>
      <c r="E95" s="383">
        <f>SUMIFS(Adjustments!$G:$G,Adjustments!$H:$H,"4",Adjustments!$I:$I,'Schedule 4 Adjustments'!$D$14,Adjustments!$J:$J,'Schedule 4 Adjustments'!$A95)</f>
        <v>0</v>
      </c>
      <c r="F95" s="375">
        <f t="shared" si="12"/>
        <v>0</v>
      </c>
      <c r="G95" s="405">
        <v>3.21</v>
      </c>
      <c r="H95" s="47">
        <f t="shared" si="19"/>
        <v>0</v>
      </c>
      <c r="I95" s="373">
        <f t="shared" si="13"/>
        <v>0</v>
      </c>
      <c r="J95" s="21">
        <f t="shared" si="10"/>
        <v>321.56530206009052</v>
      </c>
      <c r="K95" s="371">
        <f t="shared" si="14"/>
        <v>305.12227982286754</v>
      </c>
      <c r="L95" s="149">
        <f>'As-Filed Schedule 4'!H95</f>
        <v>0</v>
      </c>
      <c r="M95" s="383">
        <f>SUMIFS(Adjustments!$G:$G,Adjustments!$H:$H,"4",Adjustments!$I:$I,'Schedule 4 Adjustments'!$L$14,Adjustments!$J:$J,'Schedule 4 Adjustments'!$A95)</f>
        <v>0</v>
      </c>
      <c r="N95" s="375">
        <f t="shared" si="15"/>
        <v>0</v>
      </c>
      <c r="O95" s="405">
        <v>3.21</v>
      </c>
      <c r="P95" s="47">
        <f t="shared" si="16"/>
        <v>0</v>
      </c>
      <c r="Q95" s="373">
        <f t="shared" si="17"/>
        <v>0</v>
      </c>
      <c r="R95" s="21">
        <f t="shared" si="11"/>
        <v>321.56530206009052</v>
      </c>
      <c r="S95" s="371">
        <f t="shared" si="18"/>
        <v>305.12227982286754</v>
      </c>
    </row>
    <row r="96" spans="1:19" s="22" customFormat="1" x14ac:dyDescent="0.35">
      <c r="A96" s="19">
        <v>84</v>
      </c>
      <c r="B96" s="19">
        <v>99310</v>
      </c>
      <c r="C96" s="20" t="s">
        <v>369</v>
      </c>
      <c r="D96" s="116">
        <f>'As-Filed Schedule 4'!D96</f>
        <v>0</v>
      </c>
      <c r="E96" s="383">
        <f>SUMIFS(Adjustments!$G:$G,Adjustments!$H:$H,"4",Adjustments!$I:$I,'Schedule 4 Adjustments'!$D$14,Adjustments!$J:$J,'Schedule 4 Adjustments'!$A96)</f>
        <v>0</v>
      </c>
      <c r="F96" s="375">
        <f t="shared" si="12"/>
        <v>0</v>
      </c>
      <c r="G96" s="405">
        <v>4.58</v>
      </c>
      <c r="H96" s="47">
        <f t="shared" si="19"/>
        <v>0</v>
      </c>
      <c r="I96" s="373">
        <f t="shared" si="13"/>
        <v>0</v>
      </c>
      <c r="J96" s="21">
        <f t="shared" si="10"/>
        <v>458.80656804835348</v>
      </c>
      <c r="K96" s="371">
        <f t="shared" si="14"/>
        <v>435.34580734851505</v>
      </c>
      <c r="L96" s="149">
        <f>'As-Filed Schedule 4'!H96</f>
        <v>0</v>
      </c>
      <c r="M96" s="383">
        <f>SUMIFS(Adjustments!$G:$G,Adjustments!$H:$H,"4",Adjustments!$I:$I,'Schedule 4 Adjustments'!$L$14,Adjustments!$J:$J,'Schedule 4 Adjustments'!$A96)</f>
        <v>0</v>
      </c>
      <c r="N96" s="375">
        <f t="shared" si="15"/>
        <v>0</v>
      </c>
      <c r="O96" s="405">
        <v>4.58</v>
      </c>
      <c r="P96" s="47">
        <f t="shared" si="16"/>
        <v>0</v>
      </c>
      <c r="Q96" s="373">
        <f t="shared" si="17"/>
        <v>0</v>
      </c>
      <c r="R96" s="21">
        <f t="shared" si="11"/>
        <v>458.80656804835348</v>
      </c>
      <c r="S96" s="371">
        <f t="shared" si="18"/>
        <v>435.34580734851505</v>
      </c>
    </row>
    <row r="97" spans="1:19" s="22" customFormat="1" x14ac:dyDescent="0.35">
      <c r="A97" s="19">
        <v>85</v>
      </c>
      <c r="B97" s="19">
        <v>99315</v>
      </c>
      <c r="C97" s="20" t="s">
        <v>370</v>
      </c>
      <c r="D97" s="116">
        <f>'As-Filed Schedule 4'!D97</f>
        <v>0</v>
      </c>
      <c r="E97" s="383">
        <f>SUMIFS(Adjustments!$G:$G,Adjustments!$H:$H,"4",Adjustments!$I:$I,'Schedule 4 Adjustments'!$D$14,Adjustments!$J:$J,'Schedule 4 Adjustments'!$A97)</f>
        <v>0</v>
      </c>
      <c r="F97" s="375">
        <f t="shared" si="12"/>
        <v>0</v>
      </c>
      <c r="G97" s="405">
        <v>2.4300000000000002</v>
      </c>
      <c r="H97" s="47">
        <f t="shared" si="19"/>
        <v>0</v>
      </c>
      <c r="I97" s="373">
        <f t="shared" si="13"/>
        <v>0</v>
      </c>
      <c r="J97" s="21">
        <f t="shared" si="10"/>
        <v>243.42793894268536</v>
      </c>
      <c r="K97" s="371">
        <f t="shared" si="14"/>
        <v>230.98041743600254</v>
      </c>
      <c r="L97" s="149">
        <f>'As-Filed Schedule 4'!H97</f>
        <v>0</v>
      </c>
      <c r="M97" s="383">
        <f>SUMIFS(Adjustments!$G:$G,Adjustments!$H:$H,"4",Adjustments!$I:$I,'Schedule 4 Adjustments'!$L$14,Adjustments!$J:$J,'Schedule 4 Adjustments'!$A97)</f>
        <v>0</v>
      </c>
      <c r="N97" s="375">
        <f t="shared" si="15"/>
        <v>0</v>
      </c>
      <c r="O97" s="405">
        <v>2.4300000000000002</v>
      </c>
      <c r="P97" s="47">
        <f t="shared" si="16"/>
        <v>0</v>
      </c>
      <c r="Q97" s="373">
        <f t="shared" si="17"/>
        <v>0</v>
      </c>
      <c r="R97" s="21">
        <f t="shared" si="11"/>
        <v>243.42793894268536</v>
      </c>
      <c r="S97" s="371">
        <f t="shared" si="18"/>
        <v>230.98041743600254</v>
      </c>
    </row>
    <row r="98" spans="1:19" s="22" customFormat="1" x14ac:dyDescent="0.35">
      <c r="A98" s="19">
        <v>86</v>
      </c>
      <c r="B98" s="19">
        <v>99316</v>
      </c>
      <c r="C98" s="20" t="s">
        <v>128</v>
      </c>
      <c r="D98" s="116">
        <f>'As-Filed Schedule 4'!D98</f>
        <v>0</v>
      </c>
      <c r="E98" s="383">
        <f>SUMIFS(Adjustments!$G:$G,Adjustments!$H:$H,"4",Adjustments!$I:$I,'Schedule 4 Adjustments'!$D$14,Adjustments!$J:$J,'Schedule 4 Adjustments'!$A98)</f>
        <v>0</v>
      </c>
      <c r="F98" s="375">
        <f t="shared" si="12"/>
        <v>0</v>
      </c>
      <c r="G98" s="405">
        <v>3.9</v>
      </c>
      <c r="H98" s="47">
        <f t="shared" si="19"/>
        <v>0</v>
      </c>
      <c r="I98" s="373">
        <f t="shared" si="13"/>
        <v>0</v>
      </c>
      <c r="J98" s="21">
        <f t="shared" si="10"/>
        <v>390.68681558702588</v>
      </c>
      <c r="K98" s="371">
        <f t="shared" si="14"/>
        <v>370.70931193432506</v>
      </c>
      <c r="L98" s="149">
        <f>'As-Filed Schedule 4'!H98</f>
        <v>0</v>
      </c>
      <c r="M98" s="383">
        <f>SUMIFS(Adjustments!$G:$G,Adjustments!$H:$H,"4",Adjustments!$I:$I,'Schedule 4 Adjustments'!$L$14,Adjustments!$J:$J,'Schedule 4 Adjustments'!$A98)</f>
        <v>0</v>
      </c>
      <c r="N98" s="375">
        <f t="shared" si="15"/>
        <v>0</v>
      </c>
      <c r="O98" s="405">
        <v>3.9</v>
      </c>
      <c r="P98" s="47">
        <f t="shared" si="16"/>
        <v>0</v>
      </c>
      <c r="Q98" s="373">
        <f t="shared" si="17"/>
        <v>0</v>
      </c>
      <c r="R98" s="21">
        <f t="shared" si="11"/>
        <v>390.68681558702588</v>
      </c>
      <c r="S98" s="371">
        <f t="shared" si="18"/>
        <v>370.70931193432506</v>
      </c>
    </row>
    <row r="99" spans="1:19" s="22" customFormat="1" x14ac:dyDescent="0.35">
      <c r="A99" s="19">
        <v>87</v>
      </c>
      <c r="B99" s="19">
        <v>99341</v>
      </c>
      <c r="C99" s="20" t="s">
        <v>371</v>
      </c>
      <c r="D99" s="116">
        <f>'As-Filed Schedule 4'!D99</f>
        <v>0</v>
      </c>
      <c r="E99" s="383">
        <f>SUMIFS(Adjustments!$G:$G,Adjustments!$H:$H,"4",Adjustments!$I:$I,'Schedule 4 Adjustments'!$D$14,Adjustments!$J:$J,'Schedule 4 Adjustments'!$A99)</f>
        <v>0</v>
      </c>
      <c r="F99" s="375">
        <f t="shared" si="12"/>
        <v>0</v>
      </c>
      <c r="G99" s="405">
        <v>1.47</v>
      </c>
      <c r="H99" s="47">
        <f t="shared" si="19"/>
        <v>0</v>
      </c>
      <c r="I99" s="373">
        <f t="shared" si="13"/>
        <v>0</v>
      </c>
      <c r="J99" s="21">
        <f t="shared" si="10"/>
        <v>147.25887664434052</v>
      </c>
      <c r="K99" s="371">
        <f t="shared" si="14"/>
        <v>139.72889449832252</v>
      </c>
      <c r="L99" s="149">
        <f>'As-Filed Schedule 4'!H99</f>
        <v>0</v>
      </c>
      <c r="M99" s="383">
        <f>SUMIFS(Adjustments!$G:$G,Adjustments!$H:$H,"4",Adjustments!$I:$I,'Schedule 4 Adjustments'!$L$14,Adjustments!$J:$J,'Schedule 4 Adjustments'!$A99)</f>
        <v>0</v>
      </c>
      <c r="N99" s="375">
        <f t="shared" si="15"/>
        <v>0</v>
      </c>
      <c r="O99" s="405">
        <v>1.47</v>
      </c>
      <c r="P99" s="47">
        <f t="shared" si="16"/>
        <v>0</v>
      </c>
      <c r="Q99" s="373">
        <f t="shared" si="17"/>
        <v>0</v>
      </c>
      <c r="R99" s="21">
        <f t="shared" si="11"/>
        <v>147.25887664434052</v>
      </c>
      <c r="S99" s="371">
        <f t="shared" si="18"/>
        <v>139.72889449832252</v>
      </c>
    </row>
    <row r="100" spans="1:19" s="22" customFormat="1" x14ac:dyDescent="0.35">
      <c r="A100" s="19">
        <v>88</v>
      </c>
      <c r="B100" s="19">
        <v>99342</v>
      </c>
      <c r="C100" s="20" t="s">
        <v>372</v>
      </c>
      <c r="D100" s="116">
        <f>'As-Filed Schedule 4'!D100</f>
        <v>0</v>
      </c>
      <c r="E100" s="383">
        <f>SUMIFS(Adjustments!$G:$G,Adjustments!$H:$H,"4",Adjustments!$I:$I,'Schedule 4 Adjustments'!$D$14,Adjustments!$J:$J,'Schedule 4 Adjustments'!$A100)</f>
        <v>0</v>
      </c>
      <c r="F100" s="375">
        <f t="shared" si="12"/>
        <v>0</v>
      </c>
      <c r="G100" s="405">
        <v>2.33</v>
      </c>
      <c r="H100" s="47">
        <f t="shared" si="19"/>
        <v>0</v>
      </c>
      <c r="I100" s="373">
        <f t="shared" si="13"/>
        <v>0</v>
      </c>
      <c r="J100" s="21">
        <f t="shared" si="10"/>
        <v>233.41032828660778</v>
      </c>
      <c r="K100" s="371">
        <f t="shared" si="14"/>
        <v>221.47505046332753</v>
      </c>
      <c r="L100" s="149">
        <f>'As-Filed Schedule 4'!H100</f>
        <v>0</v>
      </c>
      <c r="M100" s="383">
        <f>SUMIFS(Adjustments!$G:$G,Adjustments!$H:$H,"4",Adjustments!$I:$I,'Schedule 4 Adjustments'!$L$14,Adjustments!$J:$J,'Schedule 4 Adjustments'!$A100)</f>
        <v>0</v>
      </c>
      <c r="N100" s="375">
        <f t="shared" si="15"/>
        <v>0</v>
      </c>
      <c r="O100" s="405">
        <v>2.33</v>
      </c>
      <c r="P100" s="47">
        <f t="shared" si="16"/>
        <v>0</v>
      </c>
      <c r="Q100" s="373">
        <f t="shared" si="17"/>
        <v>0</v>
      </c>
      <c r="R100" s="21">
        <f t="shared" si="11"/>
        <v>233.41032828660778</v>
      </c>
      <c r="S100" s="371">
        <f t="shared" si="18"/>
        <v>221.47505046332753</v>
      </c>
    </row>
    <row r="101" spans="1:19" s="22" customFormat="1" x14ac:dyDescent="0.35">
      <c r="A101" s="19">
        <v>89</v>
      </c>
      <c r="B101" s="19">
        <v>99344</v>
      </c>
      <c r="C101" s="20" t="s">
        <v>373</v>
      </c>
      <c r="D101" s="116">
        <f>'As-Filed Schedule 4'!D101</f>
        <v>0</v>
      </c>
      <c r="E101" s="383">
        <f>SUMIFS(Adjustments!$G:$G,Adjustments!$H:$H,"4",Adjustments!$I:$I,'Schedule 4 Adjustments'!$D$14,Adjustments!$J:$J,'Schedule 4 Adjustments'!$A101)</f>
        <v>0</v>
      </c>
      <c r="F101" s="375">
        <f t="shared" si="12"/>
        <v>0</v>
      </c>
      <c r="G101" s="405">
        <v>4.2300000000000004</v>
      </c>
      <c r="H101" s="47">
        <f t="shared" si="19"/>
        <v>0</v>
      </c>
      <c r="I101" s="373">
        <f t="shared" si="13"/>
        <v>0</v>
      </c>
      <c r="J101" s="21">
        <f t="shared" si="10"/>
        <v>423.74493075208193</v>
      </c>
      <c r="K101" s="371">
        <f t="shared" si="14"/>
        <v>402.07702294415259</v>
      </c>
      <c r="L101" s="149">
        <f>'As-Filed Schedule 4'!H101</f>
        <v>0</v>
      </c>
      <c r="M101" s="383">
        <f>SUMIFS(Adjustments!$G:$G,Adjustments!$H:$H,"4",Adjustments!$I:$I,'Schedule 4 Adjustments'!$L$14,Adjustments!$J:$J,'Schedule 4 Adjustments'!$A101)</f>
        <v>0</v>
      </c>
      <c r="N101" s="375">
        <f t="shared" si="15"/>
        <v>0</v>
      </c>
      <c r="O101" s="405">
        <v>4.2300000000000004</v>
      </c>
      <c r="P101" s="47">
        <f t="shared" si="16"/>
        <v>0</v>
      </c>
      <c r="Q101" s="373">
        <f t="shared" si="17"/>
        <v>0</v>
      </c>
      <c r="R101" s="21">
        <f t="shared" si="11"/>
        <v>423.74493075208193</v>
      </c>
      <c r="S101" s="371">
        <f t="shared" si="18"/>
        <v>402.07702294415259</v>
      </c>
    </row>
    <row r="102" spans="1:19" s="22" customFormat="1" x14ac:dyDescent="0.35">
      <c r="A102" s="19">
        <v>90</v>
      </c>
      <c r="B102" s="19">
        <v>99345</v>
      </c>
      <c r="C102" s="20" t="s">
        <v>374</v>
      </c>
      <c r="D102" s="116">
        <f>'As-Filed Schedule 4'!D102</f>
        <v>0</v>
      </c>
      <c r="E102" s="383">
        <f>SUMIFS(Adjustments!$G:$G,Adjustments!$H:$H,"4",Adjustments!$I:$I,'Schedule 4 Adjustments'!$D$14,Adjustments!$J:$J,'Schedule 4 Adjustments'!$A102)</f>
        <v>0</v>
      </c>
      <c r="F102" s="375">
        <f t="shared" si="12"/>
        <v>0</v>
      </c>
      <c r="G102" s="405">
        <v>6.01</v>
      </c>
      <c r="H102" s="47">
        <f t="shared" si="19"/>
        <v>0</v>
      </c>
      <c r="I102" s="373">
        <f t="shared" si="13"/>
        <v>0</v>
      </c>
      <c r="J102" s="21">
        <f t="shared" si="10"/>
        <v>602.05840043026296</v>
      </c>
      <c r="K102" s="371">
        <f t="shared" si="14"/>
        <v>571.27255505776759</v>
      </c>
      <c r="L102" s="149">
        <f>'As-Filed Schedule 4'!H102</f>
        <v>0</v>
      </c>
      <c r="M102" s="383">
        <f>SUMIFS(Adjustments!$G:$G,Adjustments!$H:$H,"4",Adjustments!$I:$I,'Schedule 4 Adjustments'!$L$14,Adjustments!$J:$J,'Schedule 4 Adjustments'!$A102)</f>
        <v>0</v>
      </c>
      <c r="N102" s="375">
        <f t="shared" si="15"/>
        <v>0</v>
      </c>
      <c r="O102" s="405">
        <v>6.01</v>
      </c>
      <c r="P102" s="47">
        <f t="shared" si="16"/>
        <v>0</v>
      </c>
      <c r="Q102" s="373">
        <f t="shared" si="17"/>
        <v>0</v>
      </c>
      <c r="R102" s="21">
        <f t="shared" si="11"/>
        <v>602.05840043026296</v>
      </c>
      <c r="S102" s="371">
        <f t="shared" si="18"/>
        <v>571.27255505776759</v>
      </c>
    </row>
    <row r="103" spans="1:19" s="22" customFormat="1" x14ac:dyDescent="0.35">
      <c r="A103" s="19">
        <v>91</v>
      </c>
      <c r="B103" s="19">
        <v>99347</v>
      </c>
      <c r="C103" s="20" t="s">
        <v>375</v>
      </c>
      <c r="D103" s="116">
        <f>'As-Filed Schedule 4'!D103</f>
        <v>0</v>
      </c>
      <c r="E103" s="383">
        <f>SUMIFS(Adjustments!$G:$G,Adjustments!$H:$H,"4",Adjustments!$I:$I,'Schedule 4 Adjustments'!$D$14,Adjustments!$J:$J,'Schedule 4 Adjustments'!$A103)</f>
        <v>0</v>
      </c>
      <c r="F103" s="375">
        <f t="shared" si="12"/>
        <v>0</v>
      </c>
      <c r="G103" s="405">
        <v>1.35</v>
      </c>
      <c r="H103" s="47">
        <f t="shared" si="19"/>
        <v>0</v>
      </c>
      <c r="I103" s="373">
        <f t="shared" si="13"/>
        <v>0</v>
      </c>
      <c r="J103" s="21">
        <f t="shared" si="10"/>
        <v>135.23774385704743</v>
      </c>
      <c r="K103" s="371">
        <f t="shared" si="14"/>
        <v>128.32245413111252</v>
      </c>
      <c r="L103" s="149">
        <f>'As-Filed Schedule 4'!H103</f>
        <v>0</v>
      </c>
      <c r="M103" s="383">
        <f>SUMIFS(Adjustments!$G:$G,Adjustments!$H:$H,"4",Adjustments!$I:$I,'Schedule 4 Adjustments'!$L$14,Adjustments!$J:$J,'Schedule 4 Adjustments'!$A103)</f>
        <v>0</v>
      </c>
      <c r="N103" s="375">
        <f t="shared" si="15"/>
        <v>0</v>
      </c>
      <c r="O103" s="405">
        <v>1.35</v>
      </c>
      <c r="P103" s="47">
        <f t="shared" si="16"/>
        <v>0</v>
      </c>
      <c r="Q103" s="373">
        <f t="shared" si="17"/>
        <v>0</v>
      </c>
      <c r="R103" s="21">
        <f t="shared" si="11"/>
        <v>135.23774385704743</v>
      </c>
      <c r="S103" s="371">
        <f t="shared" si="18"/>
        <v>128.32245413111252</v>
      </c>
    </row>
    <row r="104" spans="1:19" s="22" customFormat="1" x14ac:dyDescent="0.35">
      <c r="A104" s="19">
        <v>92</v>
      </c>
      <c r="B104" s="19">
        <v>99348</v>
      </c>
      <c r="C104" s="20" t="s">
        <v>376</v>
      </c>
      <c r="D104" s="116">
        <f>'As-Filed Schedule 4'!D104</f>
        <v>0</v>
      </c>
      <c r="E104" s="383">
        <f>SUMIFS(Adjustments!$G:$G,Adjustments!$H:$H,"4",Adjustments!$I:$I,'Schedule 4 Adjustments'!$D$14,Adjustments!$J:$J,'Schedule 4 Adjustments'!$A104)</f>
        <v>0</v>
      </c>
      <c r="F104" s="375">
        <f t="shared" si="12"/>
        <v>0</v>
      </c>
      <c r="G104" s="405">
        <v>2.2799999999999998</v>
      </c>
      <c r="H104" s="47">
        <f t="shared" si="19"/>
        <v>0</v>
      </c>
      <c r="I104" s="373">
        <f t="shared" si="13"/>
        <v>0</v>
      </c>
      <c r="J104" s="21">
        <f t="shared" si="10"/>
        <v>228.40152295856896</v>
      </c>
      <c r="K104" s="371">
        <f t="shared" si="14"/>
        <v>216.72236697699003</v>
      </c>
      <c r="L104" s="149">
        <f>'As-Filed Schedule 4'!H104</f>
        <v>0</v>
      </c>
      <c r="M104" s="383">
        <f>SUMIFS(Adjustments!$G:$G,Adjustments!$H:$H,"4",Adjustments!$I:$I,'Schedule 4 Adjustments'!$L$14,Adjustments!$J:$J,'Schedule 4 Adjustments'!$A104)</f>
        <v>0</v>
      </c>
      <c r="N104" s="375">
        <f t="shared" si="15"/>
        <v>0</v>
      </c>
      <c r="O104" s="405">
        <v>2.2799999999999998</v>
      </c>
      <c r="P104" s="47">
        <f t="shared" si="16"/>
        <v>0</v>
      </c>
      <c r="Q104" s="373">
        <f t="shared" si="17"/>
        <v>0</v>
      </c>
      <c r="R104" s="21">
        <f t="shared" si="11"/>
        <v>228.40152295856896</v>
      </c>
      <c r="S104" s="371">
        <f t="shared" si="18"/>
        <v>216.72236697699003</v>
      </c>
    </row>
    <row r="105" spans="1:19" s="22" customFormat="1" x14ac:dyDescent="0.35">
      <c r="A105" s="19">
        <v>93</v>
      </c>
      <c r="B105" s="19">
        <v>99349</v>
      </c>
      <c r="C105" s="20" t="s">
        <v>377</v>
      </c>
      <c r="D105" s="116">
        <f>'As-Filed Schedule 4'!D105</f>
        <v>0</v>
      </c>
      <c r="E105" s="383">
        <f>SUMIFS(Adjustments!$G:$G,Adjustments!$H:$H,"4",Adjustments!$I:$I,'Schedule 4 Adjustments'!$D$14,Adjustments!$J:$J,'Schedule 4 Adjustments'!$A105)</f>
        <v>0</v>
      </c>
      <c r="F105" s="375">
        <f t="shared" si="12"/>
        <v>0</v>
      </c>
      <c r="G105" s="405">
        <v>3.79</v>
      </c>
      <c r="H105" s="47">
        <f t="shared" si="19"/>
        <v>0</v>
      </c>
      <c r="I105" s="373">
        <f t="shared" si="13"/>
        <v>0</v>
      </c>
      <c r="J105" s="21">
        <f t="shared" si="10"/>
        <v>379.66744386534054</v>
      </c>
      <c r="K105" s="371">
        <f t="shared" si="14"/>
        <v>360.25340826438259</v>
      </c>
      <c r="L105" s="149">
        <f>'As-Filed Schedule 4'!H105</f>
        <v>0</v>
      </c>
      <c r="M105" s="383">
        <f>SUMIFS(Adjustments!$G:$G,Adjustments!$H:$H,"4",Adjustments!$I:$I,'Schedule 4 Adjustments'!$L$14,Adjustments!$J:$J,'Schedule 4 Adjustments'!$A105)</f>
        <v>0</v>
      </c>
      <c r="N105" s="375">
        <f t="shared" si="15"/>
        <v>0</v>
      </c>
      <c r="O105" s="405">
        <v>3.79</v>
      </c>
      <c r="P105" s="47">
        <f t="shared" si="16"/>
        <v>0</v>
      </c>
      <c r="Q105" s="373">
        <f t="shared" si="17"/>
        <v>0</v>
      </c>
      <c r="R105" s="21">
        <f t="shared" si="11"/>
        <v>379.66744386534054</v>
      </c>
      <c r="S105" s="371">
        <f t="shared" si="18"/>
        <v>360.25340826438259</v>
      </c>
    </row>
    <row r="106" spans="1:19" s="22" customFormat="1" x14ac:dyDescent="0.35">
      <c r="A106" s="19">
        <v>94</v>
      </c>
      <c r="B106" s="19">
        <v>99350</v>
      </c>
      <c r="C106" s="20" t="s">
        <v>378</v>
      </c>
      <c r="D106" s="116">
        <f>'As-Filed Schedule 4'!D106</f>
        <v>0</v>
      </c>
      <c r="E106" s="383">
        <f>SUMIFS(Adjustments!$G:$G,Adjustments!$H:$H,"4",Adjustments!$I:$I,'Schedule 4 Adjustments'!$D$14,Adjustments!$J:$J,'Schedule 4 Adjustments'!$A106)</f>
        <v>0</v>
      </c>
      <c r="F106" s="375">
        <f t="shared" si="12"/>
        <v>0</v>
      </c>
      <c r="G106" s="405">
        <v>5.52</v>
      </c>
      <c r="H106" s="47">
        <f t="shared" si="19"/>
        <v>0</v>
      </c>
      <c r="I106" s="373">
        <f t="shared" si="13"/>
        <v>0</v>
      </c>
      <c r="J106" s="21">
        <f t="shared" si="10"/>
        <v>552.97210821548276</v>
      </c>
      <c r="K106" s="371">
        <f t="shared" si="14"/>
        <v>524.69625689166003</v>
      </c>
      <c r="L106" s="149">
        <f>'As-Filed Schedule 4'!H106</f>
        <v>0</v>
      </c>
      <c r="M106" s="383">
        <f>SUMIFS(Adjustments!$G:$G,Adjustments!$H:$H,"4",Adjustments!$I:$I,'Schedule 4 Adjustments'!$L$14,Adjustments!$J:$J,'Schedule 4 Adjustments'!$A106)</f>
        <v>0</v>
      </c>
      <c r="N106" s="375">
        <f t="shared" si="15"/>
        <v>0</v>
      </c>
      <c r="O106" s="405">
        <v>5.52</v>
      </c>
      <c r="P106" s="47">
        <f t="shared" si="16"/>
        <v>0</v>
      </c>
      <c r="Q106" s="373">
        <f t="shared" si="17"/>
        <v>0</v>
      </c>
      <c r="R106" s="21">
        <f t="shared" si="11"/>
        <v>552.97210821548276</v>
      </c>
      <c r="S106" s="371">
        <f t="shared" si="18"/>
        <v>524.69625689166003</v>
      </c>
    </row>
    <row r="107" spans="1:19" s="22" customFormat="1" x14ac:dyDescent="0.35">
      <c r="A107" s="19">
        <v>95</v>
      </c>
      <c r="B107" s="19">
        <v>99366</v>
      </c>
      <c r="C107" s="20" t="s">
        <v>379</v>
      </c>
      <c r="D107" s="116">
        <f>'As-Filed Schedule 4'!D107</f>
        <v>0</v>
      </c>
      <c r="E107" s="383">
        <f>SUMIFS(Adjustments!$G:$G,Adjustments!$H:$H,"4",Adjustments!$I:$I,'Schedule 4 Adjustments'!$D$14,Adjustments!$J:$J,'Schedule 4 Adjustments'!$A107)</f>
        <v>0</v>
      </c>
      <c r="F107" s="375">
        <f t="shared" si="12"/>
        <v>0</v>
      </c>
      <c r="G107" s="405">
        <v>1.22</v>
      </c>
      <c r="H107" s="47">
        <f t="shared" si="19"/>
        <v>0</v>
      </c>
      <c r="I107" s="373">
        <f t="shared" si="13"/>
        <v>0</v>
      </c>
      <c r="J107" s="21">
        <f t="shared" si="10"/>
        <v>122.21485000414656</v>
      </c>
      <c r="K107" s="371">
        <f t="shared" si="14"/>
        <v>115.96547706663502</v>
      </c>
      <c r="L107" s="149">
        <f>'As-Filed Schedule 4'!H107</f>
        <v>10</v>
      </c>
      <c r="M107" s="383">
        <f>SUMIFS(Adjustments!$G:$G,Adjustments!$H:$H,"4",Adjustments!$I:$I,'Schedule 4 Adjustments'!$L$14,Adjustments!$J:$J,'Schedule 4 Adjustments'!$A107)</f>
        <v>0</v>
      </c>
      <c r="N107" s="375">
        <f t="shared" si="15"/>
        <v>10</v>
      </c>
      <c r="O107" s="405">
        <v>1.19</v>
      </c>
      <c r="P107" s="47">
        <f t="shared" si="16"/>
        <v>11.899999999999999</v>
      </c>
      <c r="Q107" s="373">
        <f t="shared" si="17"/>
        <v>11.899999999999999</v>
      </c>
      <c r="R107" s="21">
        <f t="shared" si="11"/>
        <v>119.20956680732327</v>
      </c>
      <c r="S107" s="371">
        <f t="shared" si="18"/>
        <v>113.11386697483252</v>
      </c>
    </row>
    <row r="108" spans="1:19" s="22" customFormat="1" x14ac:dyDescent="0.35">
      <c r="A108" s="19">
        <v>96</v>
      </c>
      <c r="B108" s="19">
        <v>99367</v>
      </c>
      <c r="C108" s="20" t="s">
        <v>380</v>
      </c>
      <c r="D108" s="116">
        <f>'As-Filed Schedule 4'!D108</f>
        <v>0</v>
      </c>
      <c r="E108" s="383">
        <f>SUMIFS(Adjustments!$G:$G,Adjustments!$H:$H,"4",Adjustments!$I:$I,'Schedule 4 Adjustments'!$D$14,Adjustments!$J:$J,'Schedule 4 Adjustments'!$A108)</f>
        <v>0</v>
      </c>
      <c r="F108" s="375">
        <f t="shared" si="12"/>
        <v>0</v>
      </c>
      <c r="G108" s="405">
        <v>1.6</v>
      </c>
      <c r="H108" s="47">
        <f t="shared" si="19"/>
        <v>0</v>
      </c>
      <c r="I108" s="373">
        <f t="shared" si="13"/>
        <v>0</v>
      </c>
      <c r="J108" s="21">
        <f t="shared" si="10"/>
        <v>160.28177049724138</v>
      </c>
      <c r="K108" s="371">
        <f t="shared" si="14"/>
        <v>152.08587156280004</v>
      </c>
      <c r="L108" s="149">
        <f>'As-Filed Schedule 4'!H108</f>
        <v>0</v>
      </c>
      <c r="M108" s="383">
        <f>SUMIFS(Adjustments!$G:$G,Adjustments!$H:$H,"4",Adjustments!$I:$I,'Schedule 4 Adjustments'!$L$14,Adjustments!$J:$J,'Schedule 4 Adjustments'!$A108)</f>
        <v>0</v>
      </c>
      <c r="N108" s="375">
        <f t="shared" si="15"/>
        <v>0</v>
      </c>
      <c r="O108" s="405">
        <v>1.6</v>
      </c>
      <c r="P108" s="47">
        <f t="shared" si="16"/>
        <v>0</v>
      </c>
      <c r="Q108" s="373">
        <f t="shared" si="17"/>
        <v>0</v>
      </c>
      <c r="R108" s="21">
        <f t="shared" si="11"/>
        <v>160.28177049724138</v>
      </c>
      <c r="S108" s="371">
        <f t="shared" si="18"/>
        <v>152.08587156280004</v>
      </c>
    </row>
    <row r="109" spans="1:19" s="22" customFormat="1" x14ac:dyDescent="0.35">
      <c r="A109" s="19">
        <v>97</v>
      </c>
      <c r="B109" s="19">
        <v>99368</v>
      </c>
      <c r="C109" s="20" t="s">
        <v>381</v>
      </c>
      <c r="D109" s="116">
        <f>'As-Filed Schedule 4'!D109</f>
        <v>0</v>
      </c>
      <c r="E109" s="383">
        <f>SUMIFS(Adjustments!$G:$G,Adjustments!$H:$H,"4",Adjustments!$I:$I,'Schedule 4 Adjustments'!$D$14,Adjustments!$J:$J,'Schedule 4 Adjustments'!$A109)</f>
        <v>0</v>
      </c>
      <c r="F109" s="375">
        <f t="shared" si="12"/>
        <v>0</v>
      </c>
      <c r="G109" s="405">
        <v>1.04</v>
      </c>
      <c r="H109" s="47">
        <f t="shared" si="19"/>
        <v>0</v>
      </c>
      <c r="I109" s="373">
        <f t="shared" si="13"/>
        <v>0</v>
      </c>
      <c r="J109" s="21">
        <f t="shared" si="10"/>
        <v>104.1831508232069</v>
      </c>
      <c r="K109" s="371">
        <f t="shared" si="14"/>
        <v>98.855816515820024</v>
      </c>
      <c r="L109" s="149">
        <f>'As-Filed Schedule 4'!H109</f>
        <v>4</v>
      </c>
      <c r="M109" s="383">
        <f>SUMIFS(Adjustments!$G:$G,Adjustments!$H:$H,"4",Adjustments!$I:$I,'Schedule 4 Adjustments'!$L$14,Adjustments!$J:$J,'Schedule 4 Adjustments'!$A109)</f>
        <v>0</v>
      </c>
      <c r="N109" s="375">
        <f t="shared" si="15"/>
        <v>4</v>
      </c>
      <c r="O109" s="405">
        <v>1.04</v>
      </c>
      <c r="P109" s="47">
        <f t="shared" si="16"/>
        <v>4.16</v>
      </c>
      <c r="Q109" s="373">
        <f t="shared" si="17"/>
        <v>4.16</v>
      </c>
      <c r="R109" s="21">
        <f t="shared" si="11"/>
        <v>104.1831508232069</v>
      </c>
      <c r="S109" s="371">
        <f t="shared" si="18"/>
        <v>98.855816515820024</v>
      </c>
    </row>
    <row r="110" spans="1:19" s="22" customFormat="1" x14ac:dyDescent="0.35">
      <c r="A110" s="19">
        <v>98</v>
      </c>
      <c r="B110" s="19">
        <v>99441</v>
      </c>
      <c r="C110" s="20" t="s">
        <v>382</v>
      </c>
      <c r="D110" s="116">
        <f>'As-Filed Schedule 4'!D110</f>
        <v>1</v>
      </c>
      <c r="E110" s="383">
        <f>SUMIFS(Adjustments!$G:$G,Adjustments!$H:$H,"4",Adjustments!$I:$I,'Schedule 4 Adjustments'!$D$14,Adjustments!$J:$J,'Schedule 4 Adjustments'!$A110)</f>
        <v>0</v>
      </c>
      <c r="F110" s="375">
        <f t="shared" si="12"/>
        <v>1</v>
      </c>
      <c r="G110" s="405">
        <v>1.69</v>
      </c>
      <c r="H110" s="47">
        <f t="shared" si="19"/>
        <v>1.69</v>
      </c>
      <c r="I110" s="373">
        <f t="shared" si="13"/>
        <v>1.69</v>
      </c>
      <c r="J110" s="21">
        <f t="shared" si="10"/>
        <v>169.29762008771121</v>
      </c>
      <c r="K110" s="371">
        <f t="shared" si="14"/>
        <v>160.64070183820752</v>
      </c>
      <c r="L110" s="149">
        <f>'As-Filed Schedule 4'!H110</f>
        <v>6</v>
      </c>
      <c r="M110" s="383">
        <f>SUMIFS(Adjustments!$G:$G,Adjustments!$H:$H,"4",Adjustments!$I:$I,'Schedule 4 Adjustments'!$L$14,Adjustments!$J:$J,'Schedule 4 Adjustments'!$A110)</f>
        <v>0</v>
      </c>
      <c r="N110" s="375">
        <f t="shared" si="15"/>
        <v>6</v>
      </c>
      <c r="O110" s="405">
        <v>1.04</v>
      </c>
      <c r="P110" s="47">
        <f t="shared" si="16"/>
        <v>6.24</v>
      </c>
      <c r="Q110" s="373">
        <f t="shared" si="17"/>
        <v>6.24</v>
      </c>
      <c r="R110" s="21">
        <f t="shared" si="11"/>
        <v>104.1831508232069</v>
      </c>
      <c r="S110" s="371">
        <f t="shared" si="18"/>
        <v>98.855816515820024</v>
      </c>
    </row>
    <row r="111" spans="1:19" s="22" customFormat="1" x14ac:dyDescent="0.35">
      <c r="A111" s="19">
        <v>99</v>
      </c>
      <c r="B111" s="19">
        <v>99442</v>
      </c>
      <c r="C111" s="20" t="s">
        <v>383</v>
      </c>
      <c r="D111" s="116">
        <f>'As-Filed Schedule 4'!D111</f>
        <v>8</v>
      </c>
      <c r="E111" s="383">
        <f>SUMIFS(Adjustments!$G:$G,Adjustments!$H:$H,"4",Adjustments!$I:$I,'Schedule 4 Adjustments'!$D$14,Adjustments!$J:$J,'Schedule 4 Adjustments'!$A111)</f>
        <v>0</v>
      </c>
      <c r="F111" s="375">
        <f t="shared" si="12"/>
        <v>8</v>
      </c>
      <c r="G111" s="405">
        <v>2.72</v>
      </c>
      <c r="H111" s="47">
        <f t="shared" si="19"/>
        <v>21.76</v>
      </c>
      <c r="I111" s="373">
        <f t="shared" si="13"/>
        <v>21.76</v>
      </c>
      <c r="J111" s="21">
        <f t="shared" si="10"/>
        <v>272.47900984531037</v>
      </c>
      <c r="K111" s="371">
        <f t="shared" si="14"/>
        <v>258.54598165676003</v>
      </c>
      <c r="L111" s="149">
        <f>'As-Filed Schedule 4'!H111</f>
        <v>10</v>
      </c>
      <c r="M111" s="383">
        <f>SUMIFS(Adjustments!$G:$G,Adjustments!$H:$H,"4",Adjustments!$I:$I,'Schedule 4 Adjustments'!$L$14,Adjustments!$J:$J,'Schedule 4 Adjustments'!$A111)</f>
        <v>0</v>
      </c>
      <c r="N111" s="375">
        <f t="shared" si="15"/>
        <v>10</v>
      </c>
      <c r="O111" s="405">
        <v>1.95</v>
      </c>
      <c r="P111" s="47">
        <f t="shared" si="16"/>
        <v>19.5</v>
      </c>
      <c r="Q111" s="373">
        <f t="shared" si="17"/>
        <v>19.5</v>
      </c>
      <c r="R111" s="21">
        <f t="shared" si="11"/>
        <v>195.34340779351294</v>
      </c>
      <c r="S111" s="371">
        <f t="shared" si="18"/>
        <v>185.35465596716253</v>
      </c>
    </row>
    <row r="112" spans="1:19" s="22" customFormat="1" x14ac:dyDescent="0.35">
      <c r="A112" s="19">
        <v>100</v>
      </c>
      <c r="B112" s="19">
        <v>99443</v>
      </c>
      <c r="C112" s="20" t="s">
        <v>384</v>
      </c>
      <c r="D112" s="116">
        <f>'As-Filed Schedule 4'!D112</f>
        <v>6</v>
      </c>
      <c r="E112" s="383">
        <f>SUMIFS(Adjustments!$G:$G,Adjustments!$H:$H,"4",Adjustments!$I:$I,'Schedule 4 Adjustments'!$D$14,Adjustments!$J:$J,'Schedule 4 Adjustments'!$A112)</f>
        <v>0</v>
      </c>
      <c r="F112" s="375">
        <f t="shared" si="12"/>
        <v>6</v>
      </c>
      <c r="G112" s="405">
        <v>3.85</v>
      </c>
      <c r="H112" s="47">
        <f t="shared" si="19"/>
        <v>23.1</v>
      </c>
      <c r="I112" s="373">
        <f t="shared" si="13"/>
        <v>23.1</v>
      </c>
      <c r="J112" s="21">
        <f t="shared" si="10"/>
        <v>385.67801025898706</v>
      </c>
      <c r="K112" s="371">
        <f t="shared" si="14"/>
        <v>365.95662844798755</v>
      </c>
      <c r="L112" s="149">
        <f>'As-Filed Schedule 4'!H112</f>
        <v>5</v>
      </c>
      <c r="M112" s="383">
        <f>SUMIFS(Adjustments!$G:$G,Adjustments!$H:$H,"4",Adjustments!$I:$I,'Schedule 4 Adjustments'!$L$14,Adjustments!$J:$J,'Schedule 4 Adjustments'!$A112)</f>
        <v>0</v>
      </c>
      <c r="N112" s="375">
        <f t="shared" si="15"/>
        <v>5</v>
      </c>
      <c r="O112" s="405">
        <v>2.89</v>
      </c>
      <c r="P112" s="47">
        <f t="shared" si="16"/>
        <v>14.450000000000001</v>
      </c>
      <c r="Q112" s="373">
        <f t="shared" si="17"/>
        <v>14.450000000000001</v>
      </c>
      <c r="R112" s="21">
        <f t="shared" si="11"/>
        <v>289.50894796064227</v>
      </c>
      <c r="S112" s="371">
        <f t="shared" si="18"/>
        <v>274.70510551030753</v>
      </c>
    </row>
    <row r="113" spans="1:19" s="22" customFormat="1" ht="34.5" customHeight="1" x14ac:dyDescent="0.35">
      <c r="A113" s="19">
        <v>101</v>
      </c>
      <c r="B113" s="19" t="s">
        <v>42</v>
      </c>
      <c r="C113" s="20" t="s">
        <v>385</v>
      </c>
      <c r="D113" s="116">
        <f>'As-Filed Schedule 4'!D113</f>
        <v>0</v>
      </c>
      <c r="E113" s="383">
        <f>SUMIFS(Adjustments!$G:$G,Adjustments!$H:$H,"4",Adjustments!$I:$I,'Schedule 4 Adjustments'!$D$14,Adjustments!$J:$J,'Schedule 4 Adjustments'!$A113)</f>
        <v>0</v>
      </c>
      <c r="F113" s="375">
        <f t="shared" si="12"/>
        <v>0</v>
      </c>
      <c r="G113" s="405">
        <v>1.27</v>
      </c>
      <c r="H113" s="47">
        <f t="shared" si="19"/>
        <v>0</v>
      </c>
      <c r="I113" s="373">
        <f t="shared" si="13"/>
        <v>0</v>
      </c>
      <c r="J113" s="21">
        <f t="shared" si="10"/>
        <v>127.22365533218534</v>
      </c>
      <c r="K113" s="371">
        <f t="shared" si="14"/>
        <v>120.71816055297252</v>
      </c>
      <c r="L113" s="149">
        <f>'As-Filed Schedule 4'!H113</f>
        <v>0</v>
      </c>
      <c r="M113" s="383">
        <f>SUMIFS(Adjustments!$G:$G,Adjustments!$H:$H,"4",Adjustments!$I:$I,'Schedule 4 Adjustments'!$L$14,Adjustments!$J:$J,'Schedule 4 Adjustments'!$A113)</f>
        <v>0</v>
      </c>
      <c r="N113" s="375">
        <f t="shared" si="15"/>
        <v>0</v>
      </c>
      <c r="O113" s="405">
        <v>1.1100000000000001</v>
      </c>
      <c r="P113" s="47">
        <f t="shared" si="16"/>
        <v>0</v>
      </c>
      <c r="Q113" s="373">
        <f t="shared" si="17"/>
        <v>0</v>
      </c>
      <c r="R113" s="21">
        <f t="shared" si="11"/>
        <v>111.19547828246122</v>
      </c>
      <c r="S113" s="371">
        <f t="shared" si="18"/>
        <v>105.50957339669253</v>
      </c>
    </row>
    <row r="114" spans="1:19" s="22" customFormat="1" ht="29" x14ac:dyDescent="0.35">
      <c r="A114" s="19">
        <v>102</v>
      </c>
      <c r="B114" s="19" t="s">
        <v>43</v>
      </c>
      <c r="C114" s="20" t="s">
        <v>386</v>
      </c>
      <c r="D114" s="116">
        <f>'As-Filed Schedule 4'!D114</f>
        <v>0</v>
      </c>
      <c r="E114" s="383">
        <f>SUMIFS(Adjustments!$G:$G,Adjustments!$H:$H,"4",Adjustments!$I:$I,'Schedule 4 Adjustments'!$D$14,Adjustments!$J:$J,'Schedule 4 Adjustments'!$A114)</f>
        <v>0</v>
      </c>
      <c r="F114" s="375">
        <f t="shared" si="12"/>
        <v>0</v>
      </c>
      <c r="G114" s="405">
        <v>0.75</v>
      </c>
      <c r="H114" s="47">
        <f t="shared" si="19"/>
        <v>0</v>
      </c>
      <c r="I114" s="373">
        <f t="shared" si="13"/>
        <v>0</v>
      </c>
      <c r="J114" s="21">
        <f t="shared" si="10"/>
        <v>75.132079920581901</v>
      </c>
      <c r="K114" s="371">
        <f t="shared" si="14"/>
        <v>71.290252295062515</v>
      </c>
      <c r="L114" s="149">
        <f>'As-Filed Schedule 4'!H114</f>
        <v>0</v>
      </c>
      <c r="M114" s="383">
        <f>SUMIFS(Adjustments!$G:$G,Adjustments!$H:$H,"4",Adjustments!$I:$I,'Schedule 4 Adjustments'!$L$14,Adjustments!$J:$J,'Schedule 4 Adjustments'!$A114)</f>
        <v>0</v>
      </c>
      <c r="N114" s="375">
        <f t="shared" si="15"/>
        <v>0</v>
      </c>
      <c r="O114" s="405">
        <v>0.37</v>
      </c>
      <c r="P114" s="47">
        <f t="shared" si="16"/>
        <v>0</v>
      </c>
      <c r="Q114" s="373">
        <f t="shared" si="17"/>
        <v>0</v>
      </c>
      <c r="R114" s="21">
        <f t="shared" si="11"/>
        <v>37.065159427487067</v>
      </c>
      <c r="S114" s="371">
        <f t="shared" si="18"/>
        <v>35.169857798897503</v>
      </c>
    </row>
    <row r="115" spans="1:19" s="22" customFormat="1" x14ac:dyDescent="0.35">
      <c r="A115" s="19">
        <v>103</v>
      </c>
      <c r="B115" s="19" t="s">
        <v>44</v>
      </c>
      <c r="C115" s="20" t="s">
        <v>129</v>
      </c>
      <c r="D115" s="116">
        <f>'As-Filed Schedule 4'!D115</f>
        <v>0</v>
      </c>
      <c r="E115" s="383">
        <f>SUMIFS(Adjustments!$G:$G,Adjustments!$H:$H,"4",Adjustments!$I:$I,'Schedule 4 Adjustments'!$D$14,Adjustments!$J:$J,'Schedule 4 Adjustments'!$A115)</f>
        <v>0</v>
      </c>
      <c r="F115" s="375">
        <f t="shared" si="12"/>
        <v>0</v>
      </c>
      <c r="G115" s="405">
        <v>5.17</v>
      </c>
      <c r="H115" s="47">
        <f t="shared" si="19"/>
        <v>0</v>
      </c>
      <c r="I115" s="373">
        <f t="shared" si="13"/>
        <v>0</v>
      </c>
      <c r="J115" s="21">
        <f t="shared" si="10"/>
        <v>517.91047091921121</v>
      </c>
      <c r="K115" s="371">
        <f t="shared" si="14"/>
        <v>491.42747248729756</v>
      </c>
      <c r="L115" s="149">
        <f>'As-Filed Schedule 4'!H115</f>
        <v>494</v>
      </c>
      <c r="M115" s="383">
        <f>SUMIFS(Adjustments!$G:$G,Adjustments!$H:$H,"4",Adjustments!$I:$I,'Schedule 4 Adjustments'!$L$14,Adjustments!$J:$J,'Schedule 4 Adjustments'!$A115)</f>
        <v>0</v>
      </c>
      <c r="N115" s="375">
        <f t="shared" si="15"/>
        <v>494</v>
      </c>
      <c r="O115" s="405">
        <v>4.43</v>
      </c>
      <c r="P115" s="47">
        <f t="shared" si="16"/>
        <v>2188.42</v>
      </c>
      <c r="Q115" s="373">
        <f t="shared" si="17"/>
        <v>2188.42</v>
      </c>
      <c r="R115" s="21">
        <f t="shared" si="11"/>
        <v>443.78015206423703</v>
      </c>
      <c r="S115" s="371">
        <f t="shared" si="18"/>
        <v>421.08775688950254</v>
      </c>
    </row>
    <row r="116" spans="1:19" s="22" customFormat="1" x14ac:dyDescent="0.35">
      <c r="A116" s="19">
        <v>104</v>
      </c>
      <c r="B116" s="19" t="s">
        <v>45</v>
      </c>
      <c r="C116" s="20" t="s">
        <v>387</v>
      </c>
      <c r="D116" s="116">
        <f>'As-Filed Schedule 4'!D116</f>
        <v>368</v>
      </c>
      <c r="E116" s="383">
        <f>SUMIFS(Adjustments!$G:$G,Adjustments!$H:$H,"4",Adjustments!$I:$I,'Schedule 4 Adjustments'!$D$14,Adjustments!$J:$J,'Schedule 4 Adjustments'!$A116)</f>
        <v>0</v>
      </c>
      <c r="F116" s="375">
        <f t="shared" si="12"/>
        <v>368</v>
      </c>
      <c r="G116" s="405">
        <v>0.72</v>
      </c>
      <c r="H116" s="47">
        <f t="shared" si="19"/>
        <v>264.95999999999998</v>
      </c>
      <c r="I116" s="373">
        <f t="shared" si="13"/>
        <v>264.95999999999998</v>
      </c>
      <c r="J116" s="21">
        <f t="shared" si="10"/>
        <v>72.126796723758616</v>
      </c>
      <c r="K116" s="371">
        <f t="shared" si="14"/>
        <v>68.438642203260002</v>
      </c>
      <c r="L116" s="149">
        <f>'As-Filed Schedule 4'!H116</f>
        <v>4269</v>
      </c>
      <c r="M116" s="383">
        <f>SUMIFS(Adjustments!$G:$G,Adjustments!$H:$H,"4",Adjustments!$I:$I,'Schedule 4 Adjustments'!$L$14,Adjustments!$J:$J,'Schedule 4 Adjustments'!$A116)</f>
        <v>0</v>
      </c>
      <c r="N116" s="375">
        <f t="shared" si="15"/>
        <v>4269</v>
      </c>
      <c r="O116" s="405">
        <v>0.66</v>
      </c>
      <c r="P116" s="47">
        <f t="shared" si="16"/>
        <v>2817.54</v>
      </c>
      <c r="Q116" s="373">
        <f t="shared" si="17"/>
        <v>2817.54</v>
      </c>
      <c r="R116" s="21">
        <f t="shared" si="11"/>
        <v>66.116230330112074</v>
      </c>
      <c r="S116" s="371">
        <f t="shared" si="18"/>
        <v>62.735422019655012</v>
      </c>
    </row>
    <row r="117" spans="1:19" s="22" customFormat="1" ht="29" x14ac:dyDescent="0.35">
      <c r="A117" s="19">
        <v>105</v>
      </c>
      <c r="B117" s="19" t="s">
        <v>19</v>
      </c>
      <c r="C117" s="20" t="s">
        <v>39</v>
      </c>
      <c r="D117" s="116">
        <f>'As-Filed Schedule 4'!D117</f>
        <v>0</v>
      </c>
      <c r="E117" s="383">
        <f>SUMIFS(Adjustments!$G:$G,Adjustments!$H:$H,"4",Adjustments!$I:$I,'Schedule 4 Adjustments'!$D$14,Adjustments!$J:$J,'Schedule 4 Adjustments'!$A117)</f>
        <v>0</v>
      </c>
      <c r="F117" s="375">
        <f t="shared" si="12"/>
        <v>0</v>
      </c>
      <c r="G117" s="405">
        <v>0</v>
      </c>
      <c r="H117" s="47">
        <f t="shared" si="19"/>
        <v>0</v>
      </c>
      <c r="I117" s="373">
        <f t="shared" si="13"/>
        <v>0</v>
      </c>
      <c r="J117" s="21">
        <f t="shared" si="10"/>
        <v>0</v>
      </c>
      <c r="K117" s="371">
        <f t="shared" si="14"/>
        <v>0</v>
      </c>
      <c r="L117" s="149">
        <f>'As-Filed Schedule 4'!H117</f>
        <v>0</v>
      </c>
      <c r="M117" s="383">
        <f>SUMIFS(Adjustments!$G:$G,Adjustments!$H:$H,"4",Adjustments!$I:$I,'Schedule 4 Adjustments'!$L$14,Adjustments!$J:$J,'Schedule 4 Adjustments'!$A117)</f>
        <v>0</v>
      </c>
      <c r="N117" s="375">
        <f t="shared" si="15"/>
        <v>0</v>
      </c>
      <c r="O117" s="405">
        <v>0</v>
      </c>
      <c r="P117" s="47">
        <f t="shared" si="16"/>
        <v>0</v>
      </c>
      <c r="Q117" s="373">
        <f t="shared" si="17"/>
        <v>0</v>
      </c>
      <c r="R117" s="21">
        <f t="shared" si="11"/>
        <v>0</v>
      </c>
      <c r="S117" s="371">
        <f t="shared" si="18"/>
        <v>0</v>
      </c>
    </row>
    <row r="118" spans="1:19" s="22" customFormat="1" x14ac:dyDescent="0.35">
      <c r="A118" s="19">
        <v>106</v>
      </c>
      <c r="B118" s="19" t="s">
        <v>46</v>
      </c>
      <c r="C118" s="20" t="s">
        <v>130</v>
      </c>
      <c r="D118" s="116">
        <f>'As-Filed Schedule 4'!D118</f>
        <v>1374</v>
      </c>
      <c r="E118" s="383">
        <f>SUMIFS(Adjustments!$G:$G,Adjustments!$H:$H,"4",Adjustments!$I:$I,'Schedule 4 Adjustments'!$D$14,Adjustments!$J:$J,'Schedule 4 Adjustments'!$A118)</f>
        <v>0</v>
      </c>
      <c r="F118" s="375">
        <f t="shared" si="12"/>
        <v>1374</v>
      </c>
      <c r="G118" s="405">
        <v>1.18</v>
      </c>
      <c r="H118" s="47">
        <f t="shared" si="19"/>
        <v>1621.32</v>
      </c>
      <c r="I118" s="373">
        <f t="shared" si="13"/>
        <v>1621.32</v>
      </c>
      <c r="J118" s="21">
        <f t="shared" si="10"/>
        <v>118.20780574171552</v>
      </c>
      <c r="K118" s="371">
        <f t="shared" si="14"/>
        <v>112.16333027756501</v>
      </c>
      <c r="L118" s="149">
        <f>'As-Filed Schedule 4'!H118</f>
        <v>7981</v>
      </c>
      <c r="M118" s="383">
        <f>SUMIFS(Adjustments!$G:$G,Adjustments!$H:$H,"4",Adjustments!$I:$I,'Schedule 4 Adjustments'!$L$14,Adjustments!$J:$J,'Schedule 4 Adjustments'!$A118)</f>
        <v>0</v>
      </c>
      <c r="N118" s="375">
        <f t="shared" si="15"/>
        <v>7981</v>
      </c>
      <c r="O118" s="405">
        <v>1.03</v>
      </c>
      <c r="P118" s="47">
        <f t="shared" si="16"/>
        <v>8220.43</v>
      </c>
      <c r="Q118" s="373">
        <f t="shared" si="17"/>
        <v>8220.43</v>
      </c>
      <c r="R118" s="21">
        <f t="shared" si="11"/>
        <v>103.18138975759915</v>
      </c>
      <c r="S118" s="371">
        <f t="shared" si="18"/>
        <v>97.905279818552515</v>
      </c>
    </row>
    <row r="119" spans="1:19" s="22" customFormat="1" x14ac:dyDescent="0.35">
      <c r="A119" s="19">
        <v>107</v>
      </c>
      <c r="B119" s="19" t="s">
        <v>47</v>
      </c>
      <c r="C119" s="20" t="s">
        <v>131</v>
      </c>
      <c r="D119" s="116">
        <f>'As-Filed Schedule 4'!D119</f>
        <v>0</v>
      </c>
      <c r="E119" s="383">
        <f>SUMIFS(Adjustments!$G:$G,Adjustments!$H:$H,"4",Adjustments!$I:$I,'Schedule 4 Adjustments'!$D$14,Adjustments!$J:$J,'Schedule 4 Adjustments'!$A119)</f>
        <v>0</v>
      </c>
      <c r="F119" s="375">
        <f t="shared" si="12"/>
        <v>0</v>
      </c>
      <c r="G119" s="405">
        <v>0.83</v>
      </c>
      <c r="H119" s="47">
        <f t="shared" si="19"/>
        <v>0</v>
      </c>
      <c r="I119" s="373">
        <f t="shared" si="13"/>
        <v>0</v>
      </c>
      <c r="J119" s="21">
        <f t="shared" si="10"/>
        <v>83.146168445443962</v>
      </c>
      <c r="K119" s="371">
        <f t="shared" si="14"/>
        <v>78.894545873202503</v>
      </c>
      <c r="L119" s="149">
        <f>'As-Filed Schedule 4'!H119</f>
        <v>563</v>
      </c>
      <c r="M119" s="383">
        <f>SUMIFS(Adjustments!$G:$G,Adjustments!$H:$H,"4",Adjustments!$I:$I,'Schedule 4 Adjustments'!$L$14,Adjustments!$J:$J,'Schedule 4 Adjustments'!$A119)</f>
        <v>0</v>
      </c>
      <c r="N119" s="375">
        <f t="shared" si="15"/>
        <v>563</v>
      </c>
      <c r="O119" s="405">
        <v>0.72</v>
      </c>
      <c r="P119" s="47">
        <f t="shared" si="16"/>
        <v>405.35999999999996</v>
      </c>
      <c r="Q119" s="373">
        <f t="shared" si="17"/>
        <v>405.35999999999996</v>
      </c>
      <c r="R119" s="21">
        <f t="shared" si="11"/>
        <v>72.126796723758616</v>
      </c>
      <c r="S119" s="371">
        <f t="shared" si="18"/>
        <v>68.438642203260002</v>
      </c>
    </row>
    <row r="120" spans="1:19" s="22" customFormat="1" x14ac:dyDescent="0.35">
      <c r="A120" s="19">
        <v>108</v>
      </c>
      <c r="B120" s="19" t="s">
        <v>48</v>
      </c>
      <c r="C120" s="20" t="s">
        <v>132</v>
      </c>
      <c r="D120" s="116">
        <f>'As-Filed Schedule 4'!D120</f>
        <v>71</v>
      </c>
      <c r="E120" s="383">
        <f>SUMIFS(Adjustments!$G:$G,Adjustments!$H:$H,"4",Adjustments!$I:$I,'Schedule 4 Adjustments'!$D$14,Adjustments!$J:$J,'Schedule 4 Adjustments'!$A120)</f>
        <v>0</v>
      </c>
      <c r="F120" s="375">
        <f t="shared" si="12"/>
        <v>71</v>
      </c>
      <c r="G120" s="405">
        <v>0.64</v>
      </c>
      <c r="H120" s="47">
        <f t="shared" si="19"/>
        <v>45.44</v>
      </c>
      <c r="I120" s="373">
        <f t="shared" si="13"/>
        <v>45.44</v>
      </c>
      <c r="J120" s="21">
        <f t="shared" si="10"/>
        <v>64.112708198896556</v>
      </c>
      <c r="K120" s="371">
        <f t="shared" si="14"/>
        <v>60.834348625120015</v>
      </c>
      <c r="L120" s="149">
        <f>'As-Filed Schedule 4'!H120</f>
        <v>649</v>
      </c>
      <c r="M120" s="383">
        <f>SUMIFS(Adjustments!$G:$G,Adjustments!$H:$H,"4",Adjustments!$I:$I,'Schedule 4 Adjustments'!$L$14,Adjustments!$J:$J,'Schedule 4 Adjustments'!$A120)</f>
        <v>0</v>
      </c>
      <c r="N120" s="375">
        <f t="shared" si="15"/>
        <v>649</v>
      </c>
      <c r="O120" s="405">
        <v>0.6</v>
      </c>
      <c r="P120" s="47">
        <f t="shared" si="16"/>
        <v>389.4</v>
      </c>
      <c r="Q120" s="373">
        <f t="shared" si="17"/>
        <v>389.4</v>
      </c>
      <c r="R120" s="21">
        <f t="shared" si="11"/>
        <v>60.105663936465518</v>
      </c>
      <c r="S120" s="371">
        <f t="shared" si="18"/>
        <v>57.032201836050007</v>
      </c>
    </row>
    <row r="121" spans="1:19" s="22" customFormat="1" x14ac:dyDescent="0.35">
      <c r="A121" s="19">
        <v>109</v>
      </c>
      <c r="B121" s="19" t="s">
        <v>21</v>
      </c>
      <c r="C121" s="20" t="s">
        <v>24</v>
      </c>
      <c r="D121" s="116">
        <f>'As-Filed Schedule 4'!D121</f>
        <v>0</v>
      </c>
      <c r="E121" s="383">
        <f>SUMIFS(Adjustments!$G:$G,Adjustments!$H:$H,"4",Adjustments!$I:$I,'Schedule 4 Adjustments'!$D$14,Adjustments!$J:$J,'Schedule 4 Adjustments'!$A121)</f>
        <v>0</v>
      </c>
      <c r="F121" s="375">
        <f t="shared" si="12"/>
        <v>0</v>
      </c>
      <c r="G121" s="405">
        <v>0</v>
      </c>
      <c r="H121" s="47">
        <f t="shared" si="19"/>
        <v>0</v>
      </c>
      <c r="I121" s="373">
        <f t="shared" si="13"/>
        <v>0</v>
      </c>
      <c r="J121" s="21">
        <f t="shared" si="10"/>
        <v>0</v>
      </c>
      <c r="K121" s="371">
        <f t="shared" si="14"/>
        <v>0</v>
      </c>
      <c r="L121" s="149">
        <f>'As-Filed Schedule 4'!H121</f>
        <v>0</v>
      </c>
      <c r="M121" s="383">
        <f>SUMIFS(Adjustments!$G:$G,Adjustments!$H:$H,"4",Adjustments!$I:$I,'Schedule 4 Adjustments'!$L$14,Adjustments!$J:$J,'Schedule 4 Adjustments'!$A121)</f>
        <v>0</v>
      </c>
      <c r="N121" s="375">
        <f t="shared" si="15"/>
        <v>0</v>
      </c>
      <c r="O121" s="405">
        <v>0</v>
      </c>
      <c r="P121" s="47">
        <f t="shared" si="16"/>
        <v>0</v>
      </c>
      <c r="Q121" s="373">
        <f t="shared" si="17"/>
        <v>0</v>
      </c>
      <c r="R121" s="21">
        <f t="shared" si="11"/>
        <v>0</v>
      </c>
      <c r="S121" s="371">
        <f t="shared" si="18"/>
        <v>0</v>
      </c>
    </row>
    <row r="122" spans="1:19" s="22" customFormat="1" ht="29" x14ac:dyDescent="0.35">
      <c r="A122" s="19">
        <v>110</v>
      </c>
      <c r="B122" s="19" t="s">
        <v>49</v>
      </c>
      <c r="C122" s="20" t="s">
        <v>388</v>
      </c>
      <c r="D122" s="116">
        <f>'As-Filed Schedule 4'!D122</f>
        <v>0</v>
      </c>
      <c r="E122" s="383">
        <f>SUMIFS(Adjustments!$G:$G,Adjustments!$H:$H,"4",Adjustments!$I:$I,'Schedule 4 Adjustments'!$D$14,Adjustments!$J:$J,'Schedule 4 Adjustments'!$A122)</f>
        <v>0</v>
      </c>
      <c r="F122" s="375">
        <f t="shared" si="12"/>
        <v>0</v>
      </c>
      <c r="G122" s="405">
        <v>0</v>
      </c>
      <c r="H122" s="47">
        <f t="shared" si="19"/>
        <v>0</v>
      </c>
      <c r="I122" s="373">
        <f t="shared" si="13"/>
        <v>0</v>
      </c>
      <c r="J122" s="21">
        <f t="shared" si="10"/>
        <v>0</v>
      </c>
      <c r="K122" s="371">
        <f t="shared" si="14"/>
        <v>0</v>
      </c>
      <c r="L122" s="149">
        <f>'As-Filed Schedule 4'!H122</f>
        <v>0</v>
      </c>
      <c r="M122" s="383">
        <f>SUMIFS(Adjustments!$G:$G,Adjustments!$H:$H,"4",Adjustments!$I:$I,'Schedule 4 Adjustments'!$L$14,Adjustments!$J:$J,'Schedule 4 Adjustments'!$A122)</f>
        <v>0</v>
      </c>
      <c r="N122" s="375">
        <f t="shared" si="15"/>
        <v>0</v>
      </c>
      <c r="O122" s="405">
        <v>0</v>
      </c>
      <c r="P122" s="47">
        <f t="shared" si="16"/>
        <v>0</v>
      </c>
      <c r="Q122" s="373">
        <f t="shared" si="17"/>
        <v>0</v>
      </c>
      <c r="R122" s="21">
        <f t="shared" si="11"/>
        <v>0</v>
      </c>
      <c r="S122" s="371">
        <f t="shared" si="18"/>
        <v>0</v>
      </c>
    </row>
    <row r="123" spans="1:19" s="22" customFormat="1" ht="29" x14ac:dyDescent="0.35">
      <c r="A123" s="19">
        <v>111</v>
      </c>
      <c r="B123" s="19" t="s">
        <v>33</v>
      </c>
      <c r="C123" s="20" t="s">
        <v>389</v>
      </c>
      <c r="D123" s="116">
        <f>'As-Filed Schedule 4'!D123</f>
        <v>0</v>
      </c>
      <c r="E123" s="383">
        <f>SUMIFS(Adjustments!$G:$G,Adjustments!$H:$H,"4",Adjustments!$I:$I,'Schedule 4 Adjustments'!$D$14,Adjustments!$J:$J,'Schedule 4 Adjustments'!$A123)</f>
        <v>0</v>
      </c>
      <c r="F123" s="375">
        <f t="shared" si="12"/>
        <v>0</v>
      </c>
      <c r="G123" s="405">
        <v>0</v>
      </c>
      <c r="H123" s="47">
        <f t="shared" si="19"/>
        <v>0</v>
      </c>
      <c r="I123" s="373">
        <f t="shared" si="13"/>
        <v>0</v>
      </c>
      <c r="J123" s="21">
        <f t="shared" si="10"/>
        <v>0</v>
      </c>
      <c r="K123" s="371">
        <f t="shared" si="14"/>
        <v>0</v>
      </c>
      <c r="L123" s="149">
        <f>'As-Filed Schedule 4'!H123</f>
        <v>0</v>
      </c>
      <c r="M123" s="383">
        <f>SUMIFS(Adjustments!$G:$G,Adjustments!$H:$H,"4",Adjustments!$I:$I,'Schedule 4 Adjustments'!$L$14,Adjustments!$J:$J,'Schedule 4 Adjustments'!$A123)</f>
        <v>0</v>
      </c>
      <c r="N123" s="375">
        <f t="shared" si="15"/>
        <v>0</v>
      </c>
      <c r="O123" s="405">
        <v>0</v>
      </c>
      <c r="P123" s="47">
        <f t="shared" si="16"/>
        <v>0</v>
      </c>
      <c r="Q123" s="373">
        <f t="shared" si="17"/>
        <v>0</v>
      </c>
      <c r="R123" s="21">
        <f t="shared" si="11"/>
        <v>0</v>
      </c>
      <c r="S123" s="371">
        <f t="shared" si="18"/>
        <v>0</v>
      </c>
    </row>
    <row r="124" spans="1:19" s="22" customFormat="1" x14ac:dyDescent="0.35">
      <c r="A124" s="19">
        <v>112</v>
      </c>
      <c r="B124" s="19" t="s">
        <v>50</v>
      </c>
      <c r="C124" s="20" t="s">
        <v>390</v>
      </c>
      <c r="D124" s="116">
        <f>'As-Filed Schedule 4'!D124</f>
        <v>0</v>
      </c>
      <c r="E124" s="383">
        <f>SUMIFS(Adjustments!$G:$G,Adjustments!$H:$H,"4",Adjustments!$I:$I,'Schedule 4 Adjustments'!$D$14,Adjustments!$J:$J,'Schedule 4 Adjustments'!$A124)</f>
        <v>0</v>
      </c>
      <c r="F124" s="375">
        <f t="shared" si="12"/>
        <v>0</v>
      </c>
      <c r="G124" s="405">
        <v>2.64</v>
      </c>
      <c r="H124" s="47">
        <f t="shared" si="19"/>
        <v>0</v>
      </c>
      <c r="I124" s="373">
        <f t="shared" si="13"/>
        <v>0</v>
      </c>
      <c r="J124" s="21">
        <f t="shared" si="10"/>
        <v>264.4649213204483</v>
      </c>
      <c r="K124" s="371">
        <f t="shared" si="14"/>
        <v>250.94168807862005</v>
      </c>
      <c r="L124" s="149">
        <f>'As-Filed Schedule 4'!H124</f>
        <v>1844</v>
      </c>
      <c r="M124" s="383">
        <f>SUMIFS(Adjustments!$G:$G,Adjustments!$H:$H,"4",Adjustments!$I:$I,'Schedule 4 Adjustments'!$L$14,Adjustments!$J:$J,'Schedule 4 Adjustments'!$A124)</f>
        <v>0</v>
      </c>
      <c r="N124" s="375">
        <f t="shared" si="15"/>
        <v>1844</v>
      </c>
      <c r="O124" s="405">
        <v>2.64</v>
      </c>
      <c r="P124" s="47">
        <f t="shared" si="16"/>
        <v>4868.16</v>
      </c>
      <c r="Q124" s="373">
        <f t="shared" si="17"/>
        <v>4868.16</v>
      </c>
      <c r="R124" s="21">
        <f t="shared" si="11"/>
        <v>264.4649213204483</v>
      </c>
      <c r="S124" s="371">
        <f t="shared" si="18"/>
        <v>250.94168807862005</v>
      </c>
    </row>
    <row r="125" spans="1:19" s="22" customFormat="1" x14ac:dyDescent="0.35">
      <c r="A125" s="19">
        <v>113</v>
      </c>
      <c r="B125" s="19" t="s">
        <v>51</v>
      </c>
      <c r="C125" s="20" t="s">
        <v>133</v>
      </c>
      <c r="D125" s="116">
        <f>'As-Filed Schedule 4'!D125</f>
        <v>0</v>
      </c>
      <c r="E125" s="383">
        <f>SUMIFS(Adjustments!$G:$G,Adjustments!$H:$H,"4",Adjustments!$I:$I,'Schedule 4 Adjustments'!$D$14,Adjustments!$J:$J,'Schedule 4 Adjustments'!$A125)</f>
        <v>0</v>
      </c>
      <c r="F125" s="375">
        <f t="shared" si="12"/>
        <v>0</v>
      </c>
      <c r="G125" s="405">
        <v>0</v>
      </c>
      <c r="H125" s="47">
        <f t="shared" si="19"/>
        <v>0</v>
      </c>
      <c r="I125" s="373">
        <f t="shared" si="13"/>
        <v>0</v>
      </c>
      <c r="J125" s="21">
        <f t="shared" si="10"/>
        <v>0</v>
      </c>
      <c r="K125" s="371">
        <f t="shared" si="14"/>
        <v>0</v>
      </c>
      <c r="L125" s="149">
        <f>'As-Filed Schedule 4'!H125</f>
        <v>3055</v>
      </c>
      <c r="M125" s="383">
        <f>SUMIFS(Adjustments!$G:$G,Adjustments!$H:$H,"4",Adjustments!$I:$I,'Schedule 4 Adjustments'!$L$14,Adjustments!$J:$J,'Schedule 4 Adjustments'!$A125)</f>
        <v>0</v>
      </c>
      <c r="N125" s="375">
        <f t="shared" si="15"/>
        <v>3055</v>
      </c>
      <c r="O125" s="405">
        <v>0</v>
      </c>
      <c r="P125" s="47">
        <f t="shared" si="16"/>
        <v>0</v>
      </c>
      <c r="Q125" s="373">
        <f t="shared" si="17"/>
        <v>0</v>
      </c>
      <c r="R125" s="21">
        <f t="shared" si="11"/>
        <v>0</v>
      </c>
      <c r="S125" s="371">
        <f t="shared" si="18"/>
        <v>0</v>
      </c>
    </row>
    <row r="126" spans="1:19" s="22" customFormat="1" x14ac:dyDescent="0.35">
      <c r="A126" s="19">
        <v>114</v>
      </c>
      <c r="B126" s="19" t="s">
        <v>52</v>
      </c>
      <c r="C126" s="20" t="s">
        <v>134</v>
      </c>
      <c r="D126" s="116">
        <f>'As-Filed Schedule 4'!D126</f>
        <v>0</v>
      </c>
      <c r="E126" s="383">
        <f>SUMIFS(Adjustments!$G:$G,Adjustments!$H:$H,"4",Adjustments!$I:$I,'Schedule 4 Adjustments'!$D$14,Adjustments!$J:$J,'Schedule 4 Adjustments'!$A126)</f>
        <v>0</v>
      </c>
      <c r="F126" s="375">
        <f t="shared" si="12"/>
        <v>0</v>
      </c>
      <c r="G126" s="405">
        <v>0</v>
      </c>
      <c r="H126" s="47">
        <f t="shared" si="19"/>
        <v>0</v>
      </c>
      <c r="I126" s="373">
        <f t="shared" si="13"/>
        <v>0</v>
      </c>
      <c r="J126" s="21">
        <f t="shared" si="10"/>
        <v>0</v>
      </c>
      <c r="K126" s="371">
        <f t="shared" si="14"/>
        <v>0</v>
      </c>
      <c r="L126" s="149">
        <f>'As-Filed Schedule 4'!H126</f>
        <v>2169</v>
      </c>
      <c r="M126" s="383">
        <f>SUMIFS(Adjustments!$G:$G,Adjustments!$H:$H,"4",Adjustments!$I:$I,'Schedule 4 Adjustments'!$L$14,Adjustments!$J:$J,'Schedule 4 Adjustments'!$A126)</f>
        <v>0</v>
      </c>
      <c r="N126" s="375">
        <f t="shared" si="15"/>
        <v>2169</v>
      </c>
      <c r="O126" s="405">
        <v>0</v>
      </c>
      <c r="P126" s="47">
        <f t="shared" si="16"/>
        <v>0</v>
      </c>
      <c r="Q126" s="373">
        <f t="shared" si="17"/>
        <v>0</v>
      </c>
      <c r="R126" s="21">
        <f t="shared" si="11"/>
        <v>0</v>
      </c>
      <c r="S126" s="371">
        <f t="shared" si="18"/>
        <v>0</v>
      </c>
    </row>
    <row r="127" spans="1:19" s="22" customFormat="1" x14ac:dyDescent="0.35">
      <c r="A127" s="19">
        <v>115</v>
      </c>
      <c r="B127" s="19" t="s">
        <v>53</v>
      </c>
      <c r="C127" s="20" t="s">
        <v>135</v>
      </c>
      <c r="D127" s="116">
        <f>'As-Filed Schedule 4'!D127</f>
        <v>0</v>
      </c>
      <c r="E127" s="383">
        <f>SUMIFS(Adjustments!$G:$G,Adjustments!$H:$H,"4",Adjustments!$I:$I,'Schedule 4 Adjustments'!$D$14,Adjustments!$J:$J,'Schedule 4 Adjustments'!$A127)</f>
        <v>0</v>
      </c>
      <c r="F127" s="375">
        <f t="shared" si="12"/>
        <v>0</v>
      </c>
      <c r="G127" s="405">
        <v>0</v>
      </c>
      <c r="H127" s="47">
        <f t="shared" si="19"/>
        <v>0</v>
      </c>
      <c r="I127" s="373">
        <f t="shared" si="13"/>
        <v>0</v>
      </c>
      <c r="J127" s="21">
        <f t="shared" si="10"/>
        <v>0</v>
      </c>
      <c r="K127" s="371">
        <f t="shared" si="14"/>
        <v>0</v>
      </c>
      <c r="L127" s="149">
        <f>'As-Filed Schedule 4'!H127</f>
        <v>0</v>
      </c>
      <c r="M127" s="383">
        <f>SUMIFS(Adjustments!$G:$G,Adjustments!$H:$H,"4",Adjustments!$I:$I,'Schedule 4 Adjustments'!$L$14,Adjustments!$J:$J,'Schedule 4 Adjustments'!$A127)</f>
        <v>0</v>
      </c>
      <c r="N127" s="375">
        <f t="shared" si="15"/>
        <v>0</v>
      </c>
      <c r="O127" s="405">
        <v>0</v>
      </c>
      <c r="P127" s="47">
        <f t="shared" si="16"/>
        <v>0</v>
      </c>
      <c r="Q127" s="373">
        <f t="shared" si="17"/>
        <v>0</v>
      </c>
      <c r="R127" s="21">
        <f t="shared" si="11"/>
        <v>0</v>
      </c>
      <c r="S127" s="371">
        <f t="shared" si="18"/>
        <v>0</v>
      </c>
    </row>
    <row r="128" spans="1:19" s="22" customFormat="1" ht="29" x14ac:dyDescent="0.35">
      <c r="A128" s="19">
        <v>116</v>
      </c>
      <c r="B128" s="19" t="s">
        <v>54</v>
      </c>
      <c r="C128" s="20" t="s">
        <v>391</v>
      </c>
      <c r="D128" s="116">
        <f>'As-Filed Schedule 4'!D128</f>
        <v>0</v>
      </c>
      <c r="E128" s="383">
        <f>SUMIFS(Adjustments!$G:$G,Adjustments!$H:$H,"4",Adjustments!$I:$I,'Schedule 4 Adjustments'!$D$14,Adjustments!$J:$J,'Schedule 4 Adjustments'!$A128)</f>
        <v>0</v>
      </c>
      <c r="F128" s="375">
        <f t="shared" si="12"/>
        <v>0</v>
      </c>
      <c r="G128" s="405">
        <v>1.02</v>
      </c>
      <c r="H128" s="47">
        <f t="shared" si="19"/>
        <v>0</v>
      </c>
      <c r="I128" s="373">
        <f t="shared" si="13"/>
        <v>0</v>
      </c>
      <c r="J128" s="21">
        <f t="shared" si="10"/>
        <v>102.17962869199138</v>
      </c>
      <c r="K128" s="371">
        <f t="shared" si="14"/>
        <v>96.95474312128502</v>
      </c>
      <c r="L128" s="149">
        <f>'As-Filed Schedule 4'!H128</f>
        <v>0</v>
      </c>
      <c r="M128" s="383">
        <f>SUMIFS(Adjustments!$G:$G,Adjustments!$H:$H,"4",Adjustments!$I:$I,'Schedule 4 Adjustments'!$L$14,Adjustments!$J:$J,'Schedule 4 Adjustments'!$A128)</f>
        <v>0</v>
      </c>
      <c r="N128" s="375">
        <f t="shared" si="15"/>
        <v>0</v>
      </c>
      <c r="O128" s="405">
        <v>0.94</v>
      </c>
      <c r="P128" s="47">
        <f t="shared" si="16"/>
        <v>0</v>
      </c>
      <c r="Q128" s="373">
        <f t="shared" si="17"/>
        <v>0</v>
      </c>
      <c r="R128" s="21">
        <f t="shared" si="11"/>
        <v>94.165540167129308</v>
      </c>
      <c r="S128" s="371">
        <f t="shared" si="18"/>
        <v>89.350449543145004</v>
      </c>
    </row>
    <row r="129" spans="1:19" s="22" customFormat="1" x14ac:dyDescent="0.35">
      <c r="A129" s="19">
        <v>117</v>
      </c>
      <c r="B129" s="19" t="s">
        <v>22</v>
      </c>
      <c r="C129" s="20" t="s">
        <v>25</v>
      </c>
      <c r="D129" s="116">
        <f>'As-Filed Schedule 4'!D129</f>
        <v>0</v>
      </c>
      <c r="E129" s="383">
        <f>SUMIFS(Adjustments!$G:$G,Adjustments!$H:$H,"4",Adjustments!$I:$I,'Schedule 4 Adjustments'!$D$14,Adjustments!$J:$J,'Schedule 4 Adjustments'!$A129)</f>
        <v>0</v>
      </c>
      <c r="F129" s="375">
        <f t="shared" si="12"/>
        <v>0</v>
      </c>
      <c r="G129" s="405">
        <v>0</v>
      </c>
      <c r="H129" s="47">
        <f t="shared" si="19"/>
        <v>0</v>
      </c>
      <c r="I129" s="373">
        <f t="shared" si="13"/>
        <v>0</v>
      </c>
      <c r="J129" s="21">
        <f t="shared" si="10"/>
        <v>0</v>
      </c>
      <c r="K129" s="371">
        <f t="shared" si="14"/>
        <v>0</v>
      </c>
      <c r="L129" s="149">
        <f>'As-Filed Schedule 4'!H129</f>
        <v>0</v>
      </c>
      <c r="M129" s="383">
        <f>SUMIFS(Adjustments!$G:$G,Adjustments!$H:$H,"4",Adjustments!$I:$I,'Schedule 4 Adjustments'!$L$14,Adjustments!$J:$J,'Schedule 4 Adjustments'!$A129)</f>
        <v>0</v>
      </c>
      <c r="N129" s="375">
        <f t="shared" si="15"/>
        <v>0</v>
      </c>
      <c r="O129" s="405">
        <v>0</v>
      </c>
      <c r="P129" s="47">
        <f t="shared" si="16"/>
        <v>0</v>
      </c>
      <c r="Q129" s="373">
        <f t="shared" si="17"/>
        <v>0</v>
      </c>
      <c r="R129" s="21">
        <f t="shared" si="11"/>
        <v>0</v>
      </c>
      <c r="S129" s="371">
        <f t="shared" si="18"/>
        <v>0</v>
      </c>
    </row>
    <row r="130" spans="1:19" s="22" customFormat="1" x14ac:dyDescent="0.35">
      <c r="A130" s="19">
        <v>118</v>
      </c>
      <c r="B130" s="19" t="s">
        <v>55</v>
      </c>
      <c r="C130" s="20" t="s">
        <v>392</v>
      </c>
      <c r="D130" s="116">
        <f>'As-Filed Schedule 4'!D130</f>
        <v>22</v>
      </c>
      <c r="E130" s="383">
        <f>SUMIFS(Adjustments!$G:$G,Adjustments!$H:$H,"4",Adjustments!$I:$I,'Schedule 4 Adjustments'!$D$14,Adjustments!$J:$J,'Schedule 4 Adjustments'!$A130)</f>
        <v>0</v>
      </c>
      <c r="F130" s="375">
        <f t="shared" si="12"/>
        <v>22</v>
      </c>
      <c r="G130" s="405">
        <v>0.12</v>
      </c>
      <c r="H130" s="47">
        <f t="shared" si="19"/>
        <v>2.6399999999999997</v>
      </c>
      <c r="I130" s="373">
        <f t="shared" si="13"/>
        <v>2.6399999999999997</v>
      </c>
      <c r="J130" s="21">
        <f t="shared" si="10"/>
        <v>12.021132787293103</v>
      </c>
      <c r="K130" s="371">
        <f t="shared" si="14"/>
        <v>11.406440367210001</v>
      </c>
      <c r="L130" s="149">
        <f>'As-Filed Schedule 4'!H130</f>
        <v>28431</v>
      </c>
      <c r="M130" s="383">
        <f>SUMIFS(Adjustments!$G:$G,Adjustments!$H:$H,"4",Adjustments!$I:$I,'Schedule 4 Adjustments'!$L$14,Adjustments!$J:$J,'Schedule 4 Adjustments'!$A130)</f>
        <v>0</v>
      </c>
      <c r="N130" s="375">
        <f t="shared" si="15"/>
        <v>28431</v>
      </c>
      <c r="O130" s="405">
        <v>0.09</v>
      </c>
      <c r="P130" s="47">
        <f t="shared" si="16"/>
        <v>2558.79</v>
      </c>
      <c r="Q130" s="373">
        <f t="shared" si="17"/>
        <v>2558.79</v>
      </c>
      <c r="R130" s="21">
        <f t="shared" si="11"/>
        <v>9.015849590469827</v>
      </c>
      <c r="S130" s="371">
        <f t="shared" si="18"/>
        <v>8.5548302754075003</v>
      </c>
    </row>
    <row r="131" spans="1:19" s="22" customFormat="1" x14ac:dyDescent="0.35">
      <c r="A131" s="19">
        <v>119</v>
      </c>
      <c r="B131" s="19" t="s">
        <v>56</v>
      </c>
      <c r="C131" s="20" t="s">
        <v>393</v>
      </c>
      <c r="D131" s="116">
        <f>'As-Filed Schedule 4'!D131</f>
        <v>698</v>
      </c>
      <c r="E131" s="383">
        <f>SUMIFS(Adjustments!$G:$G,Adjustments!$H:$H,"4",Adjustments!$I:$I,'Schedule 4 Adjustments'!$D$14,Adjustments!$J:$J,'Schedule 4 Adjustments'!$A131)</f>
        <v>379</v>
      </c>
      <c r="F131" s="375">
        <f t="shared" si="12"/>
        <v>1077</v>
      </c>
      <c r="G131" s="405">
        <v>0.59</v>
      </c>
      <c r="H131" s="47">
        <f t="shared" si="19"/>
        <v>411.82</v>
      </c>
      <c r="I131" s="373">
        <f t="shared" si="13"/>
        <v>635.42999999999995</v>
      </c>
      <c r="J131" s="21">
        <f t="shared" si="10"/>
        <v>59.103902870857759</v>
      </c>
      <c r="K131" s="371">
        <f t="shared" si="14"/>
        <v>56.081665138782505</v>
      </c>
      <c r="L131" s="149">
        <f>'As-Filed Schedule 4'!H131</f>
        <v>360</v>
      </c>
      <c r="M131" s="383">
        <f>SUMIFS(Adjustments!$G:$G,Adjustments!$H:$H,"4",Adjustments!$I:$I,'Schedule 4 Adjustments'!$L$14,Adjustments!$J:$J,'Schedule 4 Adjustments'!$A131)</f>
        <v>4</v>
      </c>
      <c r="N131" s="375">
        <f t="shared" si="15"/>
        <v>364</v>
      </c>
      <c r="O131" s="405">
        <v>0.55000000000000004</v>
      </c>
      <c r="P131" s="47">
        <f t="shared" si="16"/>
        <v>198.00000000000003</v>
      </c>
      <c r="Q131" s="373">
        <f t="shared" si="17"/>
        <v>200.20000000000002</v>
      </c>
      <c r="R131" s="21">
        <f t="shared" si="11"/>
        <v>55.096858608426729</v>
      </c>
      <c r="S131" s="371">
        <f t="shared" si="18"/>
        <v>52.279518349712511</v>
      </c>
    </row>
    <row r="132" spans="1:19" s="22" customFormat="1" ht="29" x14ac:dyDescent="0.35">
      <c r="A132" s="19">
        <v>120</v>
      </c>
      <c r="B132" s="19" t="s">
        <v>57</v>
      </c>
      <c r="C132" s="20" t="s">
        <v>136</v>
      </c>
      <c r="D132" s="116">
        <f>'As-Filed Schedule 4'!D132</f>
        <v>0</v>
      </c>
      <c r="E132" s="383">
        <f>SUMIFS(Adjustments!$G:$G,Adjustments!$H:$H,"4",Adjustments!$I:$I,'Schedule 4 Adjustments'!$D$14,Adjustments!$J:$J,'Schedule 4 Adjustments'!$A132)</f>
        <v>0</v>
      </c>
      <c r="F132" s="375">
        <f t="shared" si="12"/>
        <v>0</v>
      </c>
      <c r="G132" s="405">
        <v>0.75</v>
      </c>
      <c r="H132" s="47">
        <f t="shared" si="19"/>
        <v>0</v>
      </c>
      <c r="I132" s="373">
        <f t="shared" si="13"/>
        <v>0</v>
      </c>
      <c r="J132" s="21">
        <f t="shared" si="10"/>
        <v>75.132079920581901</v>
      </c>
      <c r="K132" s="371">
        <f t="shared" si="14"/>
        <v>71.290252295062515</v>
      </c>
      <c r="L132" s="149">
        <f>'As-Filed Schedule 4'!H132</f>
        <v>0</v>
      </c>
      <c r="M132" s="383">
        <f>SUMIFS(Adjustments!$G:$G,Adjustments!$H:$H,"4",Adjustments!$I:$I,'Schedule 4 Adjustments'!$L$14,Adjustments!$J:$J,'Schedule 4 Adjustments'!$A132)</f>
        <v>0</v>
      </c>
      <c r="N132" s="375">
        <f t="shared" si="15"/>
        <v>0</v>
      </c>
      <c r="O132" s="405">
        <v>0.37</v>
      </c>
      <c r="P132" s="47">
        <f t="shared" si="16"/>
        <v>0</v>
      </c>
      <c r="Q132" s="373">
        <f t="shared" si="17"/>
        <v>0</v>
      </c>
      <c r="R132" s="21">
        <f t="shared" si="11"/>
        <v>37.065159427487067</v>
      </c>
      <c r="S132" s="371">
        <f t="shared" si="18"/>
        <v>35.169857798897503</v>
      </c>
    </row>
    <row r="133" spans="1:19" s="22" customFormat="1" ht="29" x14ac:dyDescent="0.35">
      <c r="A133" s="19">
        <v>121</v>
      </c>
      <c r="B133" s="19" t="s">
        <v>58</v>
      </c>
      <c r="C133" s="20" t="s">
        <v>137</v>
      </c>
      <c r="D133" s="116">
        <f>'As-Filed Schedule 4'!D133</f>
        <v>7</v>
      </c>
      <c r="E133" s="383">
        <f>SUMIFS(Adjustments!$G:$G,Adjustments!$H:$H,"4",Adjustments!$I:$I,'Schedule 4 Adjustments'!$D$14,Adjustments!$J:$J,'Schedule 4 Adjustments'!$A133)</f>
        <v>0</v>
      </c>
      <c r="F133" s="375">
        <f t="shared" si="12"/>
        <v>7</v>
      </c>
      <c r="G133" s="405">
        <v>0.75</v>
      </c>
      <c r="H133" s="47">
        <f t="shared" si="19"/>
        <v>5.25</v>
      </c>
      <c r="I133" s="373">
        <f t="shared" si="13"/>
        <v>5.25</v>
      </c>
      <c r="J133" s="21">
        <f t="shared" si="10"/>
        <v>75.132079920581901</v>
      </c>
      <c r="K133" s="371">
        <f t="shared" si="14"/>
        <v>71.290252295062515</v>
      </c>
      <c r="L133" s="149">
        <f>'As-Filed Schedule 4'!H133</f>
        <v>0</v>
      </c>
      <c r="M133" s="383">
        <f>SUMIFS(Adjustments!$G:$G,Adjustments!$H:$H,"4",Adjustments!$I:$I,'Schedule 4 Adjustments'!$L$14,Adjustments!$J:$J,'Schedule 4 Adjustments'!$A133)</f>
        <v>0</v>
      </c>
      <c r="N133" s="375">
        <f t="shared" si="15"/>
        <v>0</v>
      </c>
      <c r="O133" s="405">
        <v>0.37</v>
      </c>
      <c r="P133" s="47">
        <f t="shared" si="16"/>
        <v>0</v>
      </c>
      <c r="Q133" s="373">
        <f t="shared" si="17"/>
        <v>0</v>
      </c>
      <c r="R133" s="21">
        <f t="shared" si="11"/>
        <v>37.065159427487067</v>
      </c>
      <c r="S133" s="371">
        <f t="shared" si="18"/>
        <v>35.169857798897503</v>
      </c>
    </row>
    <row r="134" spans="1:19" s="22" customFormat="1" ht="43.5" x14ac:dyDescent="0.35">
      <c r="A134" s="19">
        <v>122</v>
      </c>
      <c r="B134" s="19" t="s">
        <v>15</v>
      </c>
      <c r="C134" s="20" t="s">
        <v>18</v>
      </c>
      <c r="D134" s="116">
        <f>'As-Filed Schedule 4'!D134</f>
        <v>0</v>
      </c>
      <c r="E134" s="383">
        <f>SUMIFS(Adjustments!$G:$G,Adjustments!$H:$H,"4",Adjustments!$I:$I,'Schedule 4 Adjustments'!$D$14,Adjustments!$J:$J,'Schedule 4 Adjustments'!$A134)</f>
        <v>0</v>
      </c>
      <c r="F134" s="375">
        <f t="shared" si="12"/>
        <v>0</v>
      </c>
      <c r="G134" s="405">
        <v>0</v>
      </c>
      <c r="H134" s="47">
        <f t="shared" si="19"/>
        <v>0</v>
      </c>
      <c r="I134" s="373">
        <f t="shared" si="13"/>
        <v>0</v>
      </c>
      <c r="J134" s="21">
        <f t="shared" si="10"/>
        <v>0</v>
      </c>
      <c r="K134" s="371">
        <f t="shared" si="14"/>
        <v>0</v>
      </c>
      <c r="L134" s="149">
        <f>'As-Filed Schedule 4'!H134</f>
        <v>0</v>
      </c>
      <c r="M134" s="383">
        <f>SUMIFS(Adjustments!$G:$G,Adjustments!$H:$H,"4",Adjustments!$I:$I,'Schedule 4 Adjustments'!$L$14,Adjustments!$J:$J,'Schedule 4 Adjustments'!$A134)</f>
        <v>0</v>
      </c>
      <c r="N134" s="375">
        <f t="shared" si="15"/>
        <v>0</v>
      </c>
      <c r="O134" s="405">
        <v>0</v>
      </c>
      <c r="P134" s="47">
        <f t="shared" si="16"/>
        <v>0</v>
      </c>
      <c r="Q134" s="373">
        <f t="shared" si="17"/>
        <v>0</v>
      </c>
      <c r="R134" s="21">
        <f t="shared" si="11"/>
        <v>0</v>
      </c>
      <c r="S134" s="371">
        <f t="shared" si="18"/>
        <v>0</v>
      </c>
    </row>
    <row r="135" spans="1:19" s="22" customFormat="1" ht="29" x14ac:dyDescent="0.35">
      <c r="A135" s="19">
        <v>123</v>
      </c>
      <c r="B135" s="19" t="s">
        <v>16</v>
      </c>
      <c r="C135" s="20" t="s">
        <v>138</v>
      </c>
      <c r="D135" s="116">
        <f>'As-Filed Schedule 4'!D135</f>
        <v>0</v>
      </c>
      <c r="E135" s="383">
        <f>SUMIFS(Adjustments!$G:$G,Adjustments!$H:$H,"4",Adjustments!$I:$I,'Schedule 4 Adjustments'!$D$14,Adjustments!$J:$J,'Schedule 4 Adjustments'!$A135)</f>
        <v>0</v>
      </c>
      <c r="F135" s="375">
        <f t="shared" si="12"/>
        <v>0</v>
      </c>
      <c r="G135" s="405">
        <v>0</v>
      </c>
      <c r="H135" s="47">
        <f t="shared" si="19"/>
        <v>0</v>
      </c>
      <c r="I135" s="373">
        <f t="shared" si="13"/>
        <v>0</v>
      </c>
      <c r="J135" s="21">
        <f t="shared" si="10"/>
        <v>0</v>
      </c>
      <c r="K135" s="371">
        <f t="shared" si="14"/>
        <v>0</v>
      </c>
      <c r="L135" s="149">
        <f>'As-Filed Schedule 4'!H135</f>
        <v>0</v>
      </c>
      <c r="M135" s="383">
        <f>SUMIFS(Adjustments!$G:$G,Adjustments!$H:$H,"4",Adjustments!$I:$I,'Schedule 4 Adjustments'!$L$14,Adjustments!$J:$J,'Schedule 4 Adjustments'!$A135)</f>
        <v>0</v>
      </c>
      <c r="N135" s="375">
        <f t="shared" si="15"/>
        <v>0</v>
      </c>
      <c r="O135" s="405">
        <v>0</v>
      </c>
      <c r="P135" s="47">
        <f t="shared" si="16"/>
        <v>0</v>
      </c>
      <c r="Q135" s="373">
        <f t="shared" si="17"/>
        <v>0</v>
      </c>
      <c r="R135" s="21">
        <f t="shared" si="11"/>
        <v>0</v>
      </c>
      <c r="S135" s="371">
        <f t="shared" si="18"/>
        <v>0</v>
      </c>
    </row>
    <row r="136" spans="1:19" s="22" customFormat="1" ht="29" x14ac:dyDescent="0.35">
      <c r="A136" s="19">
        <v>124</v>
      </c>
      <c r="B136" s="19" t="s">
        <v>17</v>
      </c>
      <c r="C136" s="20" t="s">
        <v>139</v>
      </c>
      <c r="D136" s="116">
        <f>'As-Filed Schedule 4'!D136</f>
        <v>0</v>
      </c>
      <c r="E136" s="383">
        <f>SUMIFS(Adjustments!$G:$G,Adjustments!$H:$H,"4",Adjustments!$I:$I,'Schedule 4 Adjustments'!$D$14,Adjustments!$J:$J,'Schedule 4 Adjustments'!$A136)</f>
        <v>0</v>
      </c>
      <c r="F136" s="375">
        <f t="shared" si="12"/>
        <v>0</v>
      </c>
      <c r="G136" s="405">
        <v>0</v>
      </c>
      <c r="H136" s="47">
        <f t="shared" si="19"/>
        <v>0</v>
      </c>
      <c r="I136" s="373">
        <f t="shared" si="13"/>
        <v>0</v>
      </c>
      <c r="J136" s="21">
        <f t="shared" si="10"/>
        <v>0</v>
      </c>
      <c r="K136" s="371">
        <f t="shared" si="14"/>
        <v>0</v>
      </c>
      <c r="L136" s="149">
        <f>'As-Filed Schedule 4'!H136</f>
        <v>0</v>
      </c>
      <c r="M136" s="383">
        <f>SUMIFS(Adjustments!$G:$G,Adjustments!$H:$H,"4",Adjustments!$I:$I,'Schedule 4 Adjustments'!$L$14,Adjustments!$J:$J,'Schedule 4 Adjustments'!$A136)</f>
        <v>0</v>
      </c>
      <c r="N136" s="375">
        <f t="shared" si="15"/>
        <v>0</v>
      </c>
      <c r="O136" s="405">
        <v>0</v>
      </c>
      <c r="P136" s="47">
        <f t="shared" si="16"/>
        <v>0</v>
      </c>
      <c r="Q136" s="373">
        <f t="shared" si="17"/>
        <v>0</v>
      </c>
      <c r="R136" s="21">
        <f t="shared" si="11"/>
        <v>0</v>
      </c>
      <c r="S136" s="371">
        <f t="shared" si="18"/>
        <v>0</v>
      </c>
    </row>
    <row r="137" spans="1:19" s="22" customFormat="1" x14ac:dyDescent="0.35">
      <c r="A137" s="19">
        <v>125</v>
      </c>
      <c r="B137" s="19" t="s">
        <v>23</v>
      </c>
      <c r="C137" s="20" t="s">
        <v>140</v>
      </c>
      <c r="D137" s="116">
        <f>'As-Filed Schedule 4'!D137</f>
        <v>0</v>
      </c>
      <c r="E137" s="383">
        <f>SUMIFS(Adjustments!$G:$G,Adjustments!$H:$H,"4",Adjustments!$I:$I,'Schedule 4 Adjustments'!$D$14,Adjustments!$J:$J,'Schedule 4 Adjustments'!$A137)</f>
        <v>0</v>
      </c>
      <c r="F137" s="375">
        <f t="shared" si="12"/>
        <v>0</v>
      </c>
      <c r="G137" s="405">
        <v>0</v>
      </c>
      <c r="H137" s="47">
        <f t="shared" si="19"/>
        <v>0</v>
      </c>
      <c r="I137" s="373">
        <f t="shared" si="13"/>
        <v>0</v>
      </c>
      <c r="J137" s="21">
        <f t="shared" si="10"/>
        <v>0</v>
      </c>
      <c r="K137" s="371">
        <f t="shared" si="14"/>
        <v>0</v>
      </c>
      <c r="L137" s="149">
        <f>'As-Filed Schedule 4'!H137</f>
        <v>0</v>
      </c>
      <c r="M137" s="383">
        <f>SUMIFS(Adjustments!$G:$G,Adjustments!$H:$H,"4",Adjustments!$I:$I,'Schedule 4 Adjustments'!$L$14,Adjustments!$J:$J,'Schedule 4 Adjustments'!$A137)</f>
        <v>0</v>
      </c>
      <c r="N137" s="375">
        <f t="shared" si="15"/>
        <v>0</v>
      </c>
      <c r="O137" s="405">
        <v>0</v>
      </c>
      <c r="P137" s="47">
        <f t="shared" si="16"/>
        <v>0</v>
      </c>
      <c r="Q137" s="373">
        <f t="shared" si="17"/>
        <v>0</v>
      </c>
      <c r="R137" s="21">
        <f t="shared" si="11"/>
        <v>0</v>
      </c>
      <c r="S137" s="371">
        <f t="shared" si="18"/>
        <v>0</v>
      </c>
    </row>
    <row r="138" spans="1:19" s="22" customFormat="1" x14ac:dyDescent="0.35">
      <c r="A138" s="19">
        <v>126</v>
      </c>
      <c r="B138" s="19" t="s">
        <v>59</v>
      </c>
      <c r="C138" s="20" t="s">
        <v>395</v>
      </c>
      <c r="D138" s="116">
        <f>'As-Filed Schedule 4'!D138</f>
        <v>21</v>
      </c>
      <c r="E138" s="383">
        <f>SUMIFS(Adjustments!$G:$G,Adjustments!$H:$H,"4",Adjustments!$I:$I,'Schedule 4 Adjustments'!$D$14,Adjustments!$J:$J,'Schedule 4 Adjustments'!$A138)</f>
        <v>0</v>
      </c>
      <c r="F138" s="375">
        <f t="shared" si="12"/>
        <v>21</v>
      </c>
      <c r="G138" s="405">
        <v>3.27</v>
      </c>
      <c r="H138" s="47">
        <f t="shared" si="19"/>
        <v>68.67</v>
      </c>
      <c r="I138" s="373">
        <f t="shared" si="13"/>
        <v>68.67</v>
      </c>
      <c r="J138" s="21">
        <f t="shared" si="10"/>
        <v>327.57586845373709</v>
      </c>
      <c r="K138" s="371">
        <f t="shared" si="14"/>
        <v>310.82550000647257</v>
      </c>
      <c r="L138" s="149">
        <f>'As-Filed Schedule 4'!H138</f>
        <v>68</v>
      </c>
      <c r="M138" s="383">
        <f>SUMIFS(Adjustments!$G:$G,Adjustments!$H:$H,"4",Adjustments!$I:$I,'Schedule 4 Adjustments'!$L$14,Adjustments!$J:$J,'Schedule 4 Adjustments'!$A138)</f>
        <v>0</v>
      </c>
      <c r="N138" s="375">
        <f t="shared" si="15"/>
        <v>68</v>
      </c>
      <c r="O138" s="405">
        <v>2.17</v>
      </c>
      <c r="P138" s="47">
        <f t="shared" si="16"/>
        <v>147.56</v>
      </c>
      <c r="Q138" s="373">
        <f t="shared" si="17"/>
        <v>147.56</v>
      </c>
      <c r="R138" s="21">
        <f t="shared" si="11"/>
        <v>217.38215123688363</v>
      </c>
      <c r="S138" s="371">
        <f t="shared" si="18"/>
        <v>206.26646330704753</v>
      </c>
    </row>
    <row r="139" spans="1:19" s="22" customFormat="1" x14ac:dyDescent="0.35">
      <c r="A139" s="19">
        <v>127</v>
      </c>
      <c r="B139" s="19" t="s">
        <v>60</v>
      </c>
      <c r="C139" s="20" t="s">
        <v>394</v>
      </c>
      <c r="D139" s="116">
        <f>'As-Filed Schedule 4'!D139</f>
        <v>492</v>
      </c>
      <c r="E139" s="383">
        <f>SUMIFS(Adjustments!$G:$G,Adjustments!$H:$H,"4",Adjustments!$I:$I,'Schedule 4 Adjustments'!$D$14,Adjustments!$J:$J,'Schedule 4 Adjustments'!$A139)</f>
        <v>0</v>
      </c>
      <c r="F139" s="375">
        <f t="shared" si="12"/>
        <v>492</v>
      </c>
      <c r="G139" s="405">
        <v>1.1499999999999999</v>
      </c>
      <c r="H139" s="47">
        <f t="shared" si="19"/>
        <v>565.79999999999995</v>
      </c>
      <c r="I139" s="373">
        <f t="shared" si="13"/>
        <v>565.79999999999995</v>
      </c>
      <c r="J139" s="21">
        <f t="shared" si="10"/>
        <v>115.20252254489223</v>
      </c>
      <c r="K139" s="371">
        <f t="shared" si="14"/>
        <v>109.31172018576251</v>
      </c>
      <c r="L139" s="149">
        <f>'As-Filed Schedule 4'!H139</f>
        <v>2646</v>
      </c>
      <c r="M139" s="383">
        <f>SUMIFS(Adjustments!$G:$G,Adjustments!$H:$H,"4",Adjustments!$I:$I,'Schedule 4 Adjustments'!$L$14,Adjustments!$J:$J,'Schedule 4 Adjustments'!$A139)</f>
        <v>0</v>
      </c>
      <c r="N139" s="375">
        <f t="shared" si="15"/>
        <v>2646</v>
      </c>
      <c r="O139" s="405">
        <v>0.7</v>
      </c>
      <c r="P139" s="47">
        <f t="shared" si="16"/>
        <v>1852.1999999999998</v>
      </c>
      <c r="Q139" s="373">
        <f t="shared" si="17"/>
        <v>1852.1999999999998</v>
      </c>
      <c r="R139" s="21">
        <f t="shared" si="11"/>
        <v>70.123274592543098</v>
      </c>
      <c r="S139" s="371">
        <f t="shared" si="18"/>
        <v>66.537568808725013</v>
      </c>
    </row>
    <row r="140" spans="1:19" s="22" customFormat="1" x14ac:dyDescent="0.35">
      <c r="A140" s="19">
        <v>128</v>
      </c>
      <c r="B140" s="19" t="s">
        <v>61</v>
      </c>
      <c r="C140" s="20" t="s">
        <v>141</v>
      </c>
      <c r="D140" s="116">
        <f>'As-Filed Schedule 4'!D140</f>
        <v>0</v>
      </c>
      <c r="E140" s="383">
        <f>SUMIFS(Adjustments!$G:$G,Adjustments!$H:$H,"4",Adjustments!$I:$I,'Schedule 4 Adjustments'!$D$14,Adjustments!$J:$J,'Schedule 4 Adjustments'!$A140)</f>
        <v>0</v>
      </c>
      <c r="F140" s="375">
        <f t="shared" si="12"/>
        <v>0</v>
      </c>
      <c r="G140" s="405">
        <v>0.44</v>
      </c>
      <c r="H140" s="47">
        <f t="shared" si="19"/>
        <v>0</v>
      </c>
      <c r="I140" s="373">
        <f t="shared" si="13"/>
        <v>0</v>
      </c>
      <c r="J140" s="21">
        <f t="shared" si="10"/>
        <v>44.077486886741383</v>
      </c>
      <c r="K140" s="371">
        <f t="shared" si="14"/>
        <v>41.82361467977001</v>
      </c>
      <c r="L140" s="149">
        <f>'As-Filed Schedule 4'!H140</f>
        <v>0</v>
      </c>
      <c r="M140" s="383">
        <f>SUMIFS(Adjustments!$G:$G,Adjustments!$H:$H,"4",Adjustments!$I:$I,'Schedule 4 Adjustments'!$L$14,Adjustments!$J:$J,'Schedule 4 Adjustments'!$A140)</f>
        <v>0</v>
      </c>
      <c r="N140" s="375">
        <f t="shared" si="15"/>
        <v>0</v>
      </c>
      <c r="O140" s="405">
        <v>0.44</v>
      </c>
      <c r="P140" s="47">
        <f t="shared" si="16"/>
        <v>0</v>
      </c>
      <c r="Q140" s="373">
        <f t="shared" si="17"/>
        <v>0</v>
      </c>
      <c r="R140" s="21">
        <f t="shared" si="11"/>
        <v>44.077486886741383</v>
      </c>
      <c r="S140" s="371">
        <f t="shared" si="18"/>
        <v>41.82361467977001</v>
      </c>
    </row>
    <row r="141" spans="1:19" s="22" customFormat="1" x14ac:dyDescent="0.35">
      <c r="A141" s="19">
        <v>129</v>
      </c>
      <c r="B141" s="19" t="s">
        <v>62</v>
      </c>
      <c r="C141" s="20" t="s">
        <v>396</v>
      </c>
      <c r="D141" s="116">
        <f>'As-Filed Schedule 4'!D141</f>
        <v>58</v>
      </c>
      <c r="E141" s="383">
        <f>SUMIFS(Adjustments!$G:$G,Adjustments!$H:$H,"4",Adjustments!$I:$I,'Schedule 4 Adjustments'!$D$14,Adjustments!$J:$J,'Schedule 4 Adjustments'!$A141)</f>
        <v>0</v>
      </c>
      <c r="F141" s="375">
        <f t="shared" si="12"/>
        <v>58</v>
      </c>
      <c r="G141" s="405">
        <v>0.92</v>
      </c>
      <c r="H141" s="47">
        <f t="shared" si="19"/>
        <v>53.36</v>
      </c>
      <c r="I141" s="373">
        <f t="shared" si="13"/>
        <v>53.36</v>
      </c>
      <c r="J141" s="21">
        <f t="shared" si="10"/>
        <v>92.162018035913803</v>
      </c>
      <c r="K141" s="371">
        <f t="shared" si="14"/>
        <v>87.449376148610014</v>
      </c>
      <c r="L141" s="149">
        <f>'As-Filed Schedule 4'!H141</f>
        <v>1605</v>
      </c>
      <c r="M141" s="383">
        <f>SUMIFS(Adjustments!$G:$G,Adjustments!$H:$H,"4",Adjustments!$I:$I,'Schedule 4 Adjustments'!$L$14,Adjustments!$J:$J,'Schedule 4 Adjustments'!$A141)</f>
        <v>0</v>
      </c>
      <c r="N141" s="375">
        <f t="shared" si="15"/>
        <v>1605</v>
      </c>
      <c r="O141" s="405">
        <v>0.92</v>
      </c>
      <c r="P141" s="47">
        <f t="shared" si="16"/>
        <v>1476.6000000000001</v>
      </c>
      <c r="Q141" s="373">
        <f t="shared" si="17"/>
        <v>1476.6000000000001</v>
      </c>
      <c r="R141" s="21">
        <f t="shared" si="11"/>
        <v>92.162018035913803</v>
      </c>
      <c r="S141" s="371">
        <f t="shared" si="18"/>
        <v>87.449376148610014</v>
      </c>
    </row>
    <row r="142" spans="1:19" s="22" customFormat="1" x14ac:dyDescent="0.35">
      <c r="A142" s="19">
        <v>130</v>
      </c>
      <c r="B142" s="19" t="s">
        <v>63</v>
      </c>
      <c r="C142" s="20" t="s">
        <v>397</v>
      </c>
      <c r="D142" s="116">
        <f>'As-Filed Schedule 4'!D142</f>
        <v>0</v>
      </c>
      <c r="E142" s="383">
        <f>SUMIFS(Adjustments!$G:$G,Adjustments!$H:$H,"4",Adjustments!$I:$I,'Schedule 4 Adjustments'!$D$14,Adjustments!$J:$J,'Schedule 4 Adjustments'!$A142)</f>
        <v>0</v>
      </c>
      <c r="F142" s="375">
        <f t="shared" si="12"/>
        <v>0</v>
      </c>
      <c r="G142" s="405">
        <v>5.28</v>
      </c>
      <c r="H142" s="47">
        <f t="shared" si="19"/>
        <v>0</v>
      </c>
      <c r="I142" s="373">
        <f t="shared" si="13"/>
        <v>0</v>
      </c>
      <c r="J142" s="21">
        <f t="shared" si="10"/>
        <v>528.9298426408966</v>
      </c>
      <c r="K142" s="371">
        <f t="shared" si="14"/>
        <v>501.88337615724009</v>
      </c>
      <c r="L142" s="149">
        <f>'As-Filed Schedule 4'!H142</f>
        <v>0</v>
      </c>
      <c r="M142" s="383">
        <f>SUMIFS(Adjustments!$G:$G,Adjustments!$H:$H,"4",Adjustments!$I:$I,'Schedule 4 Adjustments'!$L$14,Adjustments!$J:$J,'Schedule 4 Adjustments'!$A142)</f>
        <v>0</v>
      </c>
      <c r="N142" s="375">
        <f t="shared" si="15"/>
        <v>0</v>
      </c>
      <c r="O142" s="405">
        <v>5.28</v>
      </c>
      <c r="P142" s="47">
        <f t="shared" si="16"/>
        <v>0</v>
      </c>
      <c r="Q142" s="373">
        <f t="shared" si="17"/>
        <v>0</v>
      </c>
      <c r="R142" s="21">
        <f t="shared" si="11"/>
        <v>528.9298426408966</v>
      </c>
      <c r="S142" s="371">
        <f t="shared" si="18"/>
        <v>501.88337615724009</v>
      </c>
    </row>
    <row r="143" spans="1:19" s="22" customFormat="1" x14ac:dyDescent="0.35">
      <c r="A143" s="19">
        <v>131</v>
      </c>
      <c r="B143" s="19" t="s">
        <v>64</v>
      </c>
      <c r="C143" s="20" t="s">
        <v>399</v>
      </c>
      <c r="D143" s="116">
        <f>'As-Filed Schedule 4'!D143</f>
        <v>0</v>
      </c>
      <c r="E143" s="383">
        <f>SUMIFS(Adjustments!$G:$G,Adjustments!$H:$H,"4",Adjustments!$I:$I,'Schedule 4 Adjustments'!$D$14,Adjustments!$J:$J,'Schedule 4 Adjustments'!$A143)</f>
        <v>0</v>
      </c>
      <c r="F143" s="375">
        <f t="shared" si="12"/>
        <v>0</v>
      </c>
      <c r="G143" s="405">
        <v>0.44</v>
      </c>
      <c r="H143" s="47">
        <f t="shared" si="19"/>
        <v>0</v>
      </c>
      <c r="I143" s="373">
        <f t="shared" si="13"/>
        <v>0</v>
      </c>
      <c r="J143" s="21">
        <f t="shared" si="10"/>
        <v>44.077486886741383</v>
      </c>
      <c r="K143" s="371">
        <f t="shared" si="14"/>
        <v>41.82361467977001</v>
      </c>
      <c r="L143" s="149">
        <f>'As-Filed Schedule 4'!H143</f>
        <v>8</v>
      </c>
      <c r="M143" s="383">
        <f>SUMIFS(Adjustments!$G:$G,Adjustments!$H:$H,"4",Adjustments!$I:$I,'Schedule 4 Adjustments'!$L$14,Adjustments!$J:$J,'Schedule 4 Adjustments'!$A143)</f>
        <v>0</v>
      </c>
      <c r="N143" s="375">
        <f t="shared" si="15"/>
        <v>8</v>
      </c>
      <c r="O143" s="405">
        <v>0.44</v>
      </c>
      <c r="P143" s="47">
        <f t="shared" si="16"/>
        <v>3.52</v>
      </c>
      <c r="Q143" s="373">
        <f t="shared" si="17"/>
        <v>3.52</v>
      </c>
      <c r="R143" s="21">
        <f t="shared" si="11"/>
        <v>44.077486886741383</v>
      </c>
      <c r="S143" s="371">
        <f t="shared" si="18"/>
        <v>41.82361467977001</v>
      </c>
    </row>
    <row r="144" spans="1:19" s="22" customFormat="1" x14ac:dyDescent="0.35">
      <c r="A144" s="19">
        <v>132</v>
      </c>
      <c r="B144" s="19" t="s">
        <v>65</v>
      </c>
      <c r="C144" s="20" t="s">
        <v>398</v>
      </c>
      <c r="D144" s="116">
        <f>'As-Filed Schedule 4'!D144</f>
        <v>0</v>
      </c>
      <c r="E144" s="383">
        <f>SUMIFS(Adjustments!$G:$G,Adjustments!$H:$H,"4",Adjustments!$I:$I,'Schedule 4 Adjustments'!$D$14,Adjustments!$J:$J,'Schedule 4 Adjustments'!$A144)</f>
        <v>0</v>
      </c>
      <c r="F144" s="375">
        <f t="shared" si="12"/>
        <v>0</v>
      </c>
      <c r="G144" s="405">
        <v>5.28</v>
      </c>
      <c r="H144" s="47">
        <f t="shared" si="19"/>
        <v>0</v>
      </c>
      <c r="I144" s="373">
        <f t="shared" si="13"/>
        <v>0</v>
      </c>
      <c r="J144" s="21">
        <f t="shared" si="10"/>
        <v>528.9298426408966</v>
      </c>
      <c r="K144" s="371">
        <f t="shared" si="14"/>
        <v>501.88337615724009</v>
      </c>
      <c r="L144" s="149">
        <f>'As-Filed Schedule 4'!H144</f>
        <v>0</v>
      </c>
      <c r="M144" s="383">
        <f>SUMIFS(Adjustments!$G:$G,Adjustments!$H:$H,"4",Adjustments!$I:$I,'Schedule 4 Adjustments'!$L$14,Adjustments!$J:$J,'Schedule 4 Adjustments'!$A144)</f>
        <v>0</v>
      </c>
      <c r="N144" s="375">
        <f t="shared" si="15"/>
        <v>0</v>
      </c>
      <c r="O144" s="405">
        <v>5.28</v>
      </c>
      <c r="P144" s="47">
        <f t="shared" si="16"/>
        <v>0</v>
      </c>
      <c r="Q144" s="373">
        <f t="shared" si="17"/>
        <v>0</v>
      </c>
      <c r="R144" s="21">
        <f t="shared" si="11"/>
        <v>528.9298426408966</v>
      </c>
      <c r="S144" s="371">
        <f t="shared" si="18"/>
        <v>501.88337615724009</v>
      </c>
    </row>
    <row r="145" spans="1:19" s="22" customFormat="1" x14ac:dyDescent="0.35">
      <c r="A145" s="19">
        <v>133</v>
      </c>
      <c r="B145" s="19" t="s">
        <v>66</v>
      </c>
      <c r="C145" s="20" t="s">
        <v>142</v>
      </c>
      <c r="D145" s="116">
        <f>'As-Filed Schedule 4'!D145</f>
        <v>2384</v>
      </c>
      <c r="E145" s="383">
        <f>SUMIFS(Adjustments!$G:$G,Adjustments!$H:$H,"4",Adjustments!$I:$I,'Schedule 4 Adjustments'!$D$14,Adjustments!$J:$J,'Schedule 4 Adjustments'!$A145)</f>
        <v>0</v>
      </c>
      <c r="F145" s="375">
        <f t="shared" si="12"/>
        <v>2384</v>
      </c>
      <c r="G145" s="405">
        <v>0.54</v>
      </c>
      <c r="H145" s="47">
        <f t="shared" si="19"/>
        <v>1287.3600000000001</v>
      </c>
      <c r="I145" s="373">
        <f t="shared" si="13"/>
        <v>1287.3600000000001</v>
      </c>
      <c r="J145" s="21">
        <f t="shared" si="10"/>
        <v>54.095097542818969</v>
      </c>
      <c r="K145" s="371">
        <f t="shared" si="14"/>
        <v>51.328981652445009</v>
      </c>
      <c r="L145" s="149">
        <f>'As-Filed Schedule 4'!H145</f>
        <v>5757</v>
      </c>
      <c r="M145" s="383">
        <f>SUMIFS(Adjustments!$G:$G,Adjustments!$H:$H,"4",Adjustments!$I:$I,'Schedule 4 Adjustments'!$L$14,Adjustments!$J:$J,'Schedule 4 Adjustments'!$A145)</f>
        <v>0</v>
      </c>
      <c r="N145" s="375">
        <f t="shared" si="15"/>
        <v>5757</v>
      </c>
      <c r="O145" s="405">
        <v>0.54</v>
      </c>
      <c r="P145" s="47">
        <f t="shared" si="16"/>
        <v>3108.78</v>
      </c>
      <c r="Q145" s="373">
        <f t="shared" si="17"/>
        <v>3108.78</v>
      </c>
      <c r="R145" s="21">
        <f t="shared" si="11"/>
        <v>54.095097542818969</v>
      </c>
      <c r="S145" s="371">
        <f t="shared" si="18"/>
        <v>51.328981652445009</v>
      </c>
    </row>
    <row r="146" spans="1:19" s="22" customFormat="1" x14ac:dyDescent="0.35">
      <c r="A146" s="19">
        <v>134</v>
      </c>
      <c r="B146" s="19" t="s">
        <v>67</v>
      </c>
      <c r="C146" s="20" t="s">
        <v>400</v>
      </c>
      <c r="D146" s="116">
        <f>'As-Filed Schedule 4'!D146</f>
        <v>6300</v>
      </c>
      <c r="E146" s="383">
        <f>SUMIFS(Adjustments!$G:$G,Adjustments!$H:$H,"4",Adjustments!$I:$I,'Schedule 4 Adjustments'!$D$14,Adjustments!$J:$J,'Schedule 4 Adjustments'!$A146)</f>
        <v>0</v>
      </c>
      <c r="F146" s="375">
        <f t="shared" si="12"/>
        <v>6300</v>
      </c>
      <c r="G146" s="405">
        <v>1.29</v>
      </c>
      <c r="H146" s="47">
        <f t="shared" si="19"/>
        <v>8127</v>
      </c>
      <c r="I146" s="373">
        <f t="shared" si="13"/>
        <v>8127</v>
      </c>
      <c r="J146" s="21">
        <f t="shared" ref="J146:J196" si="20">G146*$H$12</f>
        <v>129.22717746340086</v>
      </c>
      <c r="K146" s="371">
        <f t="shared" si="14"/>
        <v>122.61923394750752</v>
      </c>
      <c r="L146" s="149">
        <f>'As-Filed Schedule 4'!H146</f>
        <v>1613</v>
      </c>
      <c r="M146" s="383">
        <f>SUMIFS(Adjustments!$G:$G,Adjustments!$H:$H,"4",Adjustments!$I:$I,'Schedule 4 Adjustments'!$L$14,Adjustments!$J:$J,'Schedule 4 Adjustments'!$A146)</f>
        <v>0</v>
      </c>
      <c r="N146" s="375">
        <f t="shared" si="15"/>
        <v>1613</v>
      </c>
      <c r="O146" s="405">
        <v>1.1299999999999999</v>
      </c>
      <c r="P146" s="47">
        <f t="shared" si="16"/>
        <v>1822.6899999999998</v>
      </c>
      <c r="Q146" s="373">
        <f t="shared" si="17"/>
        <v>1822.6899999999998</v>
      </c>
      <c r="R146" s="21">
        <f t="shared" ref="R146:R196" si="21">O146*$H$12</f>
        <v>113.19900041367671</v>
      </c>
      <c r="S146" s="371">
        <f t="shared" si="18"/>
        <v>107.41064679122751</v>
      </c>
    </row>
    <row r="147" spans="1:19" s="22" customFormat="1" x14ac:dyDescent="0.35">
      <c r="A147" s="19">
        <v>135</v>
      </c>
      <c r="B147" s="19" t="s">
        <v>68</v>
      </c>
      <c r="C147" s="20" t="s">
        <v>401</v>
      </c>
      <c r="D147" s="116">
        <f>'As-Filed Schedule 4'!D147</f>
        <v>10</v>
      </c>
      <c r="E147" s="383">
        <f>SUMIFS(Adjustments!$G:$G,Adjustments!$H:$H,"4",Adjustments!$I:$I,'Schedule 4 Adjustments'!$D$14,Adjustments!$J:$J,'Schedule 4 Adjustments'!$A147)</f>
        <v>0</v>
      </c>
      <c r="F147" s="375">
        <f t="shared" ref="F147:F196" si="22">SUM(D147:E147)</f>
        <v>10</v>
      </c>
      <c r="G147" s="405">
        <v>5.28</v>
      </c>
      <c r="H147" s="47">
        <f t="shared" si="19"/>
        <v>52.800000000000004</v>
      </c>
      <c r="I147" s="373">
        <f t="shared" ref="I147:I196" si="23">F147*G147</f>
        <v>52.800000000000004</v>
      </c>
      <c r="J147" s="21">
        <f t="shared" si="20"/>
        <v>528.9298426408966</v>
      </c>
      <c r="K147" s="371">
        <f t="shared" ref="K147:K196" si="24">G147*$I$12</f>
        <v>501.88337615724009</v>
      </c>
      <c r="L147" s="149">
        <f>'As-Filed Schedule 4'!H147</f>
        <v>0</v>
      </c>
      <c r="M147" s="383">
        <f>SUMIFS(Adjustments!$G:$G,Adjustments!$H:$H,"4",Adjustments!$I:$I,'Schedule 4 Adjustments'!$L$14,Adjustments!$J:$J,'Schedule 4 Adjustments'!$A147)</f>
        <v>0</v>
      </c>
      <c r="N147" s="375">
        <f t="shared" ref="N147:N196" si="25">SUM(L147:M147)</f>
        <v>0</v>
      </c>
      <c r="O147" s="405">
        <v>5.28</v>
      </c>
      <c r="P147" s="47">
        <f t="shared" ref="P147:P196" si="26">L147*O147</f>
        <v>0</v>
      </c>
      <c r="Q147" s="373">
        <f t="shared" ref="Q147:Q196" si="27">N147*O147</f>
        <v>0</v>
      </c>
      <c r="R147" s="21">
        <f t="shared" si="21"/>
        <v>528.9298426408966</v>
      </c>
      <c r="S147" s="371">
        <f t="shared" ref="S147:S196" si="28">O147*$I$12</f>
        <v>501.88337615724009</v>
      </c>
    </row>
    <row r="148" spans="1:19" s="22" customFormat="1" x14ac:dyDescent="0.35">
      <c r="A148" s="19">
        <v>136</v>
      </c>
      <c r="B148" s="19" t="s">
        <v>69</v>
      </c>
      <c r="C148" s="20" t="s">
        <v>402</v>
      </c>
      <c r="D148" s="116">
        <f>'As-Filed Schedule 4'!D148</f>
        <v>0</v>
      </c>
      <c r="E148" s="383">
        <f>SUMIFS(Adjustments!$G:$G,Adjustments!$H:$H,"4",Adjustments!$I:$I,'Schedule 4 Adjustments'!$D$14,Adjustments!$J:$J,'Schedule 4 Adjustments'!$A148)</f>
        <v>0</v>
      </c>
      <c r="F148" s="375">
        <f t="shared" si="22"/>
        <v>0</v>
      </c>
      <c r="G148" s="405">
        <v>0.14000000000000001</v>
      </c>
      <c r="H148" s="47">
        <f t="shared" ref="H148:H196" si="29">D148*G148</f>
        <v>0</v>
      </c>
      <c r="I148" s="373">
        <f t="shared" si="23"/>
        <v>0</v>
      </c>
      <c r="J148" s="21">
        <f t="shared" si="20"/>
        <v>14.024654918508622</v>
      </c>
      <c r="K148" s="371">
        <f t="shared" si="24"/>
        <v>13.307513761745003</v>
      </c>
      <c r="L148" s="149">
        <f>'As-Filed Schedule 4'!H148</f>
        <v>0</v>
      </c>
      <c r="M148" s="383">
        <f>SUMIFS(Adjustments!$G:$G,Adjustments!$H:$H,"4",Adjustments!$I:$I,'Schedule 4 Adjustments'!$L$14,Adjustments!$J:$J,'Schedule 4 Adjustments'!$A148)</f>
        <v>0</v>
      </c>
      <c r="N148" s="375">
        <f t="shared" si="25"/>
        <v>0</v>
      </c>
      <c r="O148" s="405">
        <v>0.12</v>
      </c>
      <c r="P148" s="47">
        <f t="shared" si="26"/>
        <v>0</v>
      </c>
      <c r="Q148" s="373">
        <f t="shared" si="27"/>
        <v>0</v>
      </c>
      <c r="R148" s="21">
        <f t="shared" si="21"/>
        <v>12.021132787293103</v>
      </c>
      <c r="S148" s="371">
        <f t="shared" si="28"/>
        <v>11.406440367210001</v>
      </c>
    </row>
    <row r="149" spans="1:19" s="22" customFormat="1" x14ac:dyDescent="0.35">
      <c r="A149" s="19">
        <v>137</v>
      </c>
      <c r="B149" s="19" t="s">
        <v>70</v>
      </c>
      <c r="C149" s="20" t="s">
        <v>403</v>
      </c>
      <c r="D149" s="116">
        <f>'As-Filed Schedule 4'!D149</f>
        <v>0</v>
      </c>
      <c r="E149" s="383">
        <f>SUMIFS(Adjustments!$G:$G,Adjustments!$H:$H,"4",Adjustments!$I:$I,'Schedule 4 Adjustments'!$D$14,Adjustments!$J:$J,'Schedule 4 Adjustments'!$A149)</f>
        <v>0</v>
      </c>
      <c r="F149" s="375">
        <f t="shared" si="22"/>
        <v>0</v>
      </c>
      <c r="G149" s="405">
        <v>3.08</v>
      </c>
      <c r="H149" s="47">
        <f t="shared" si="29"/>
        <v>0</v>
      </c>
      <c r="I149" s="373">
        <f t="shared" si="23"/>
        <v>0</v>
      </c>
      <c r="J149" s="21">
        <f t="shared" si="20"/>
        <v>308.54240820718968</v>
      </c>
      <c r="K149" s="371">
        <f t="shared" si="24"/>
        <v>292.76530275839008</v>
      </c>
      <c r="L149" s="149">
        <f>'As-Filed Schedule 4'!H149</f>
        <v>0</v>
      </c>
      <c r="M149" s="383">
        <f>SUMIFS(Adjustments!$G:$G,Adjustments!$H:$H,"4",Adjustments!$I:$I,'Schedule 4 Adjustments'!$L$14,Adjustments!$J:$J,'Schedule 4 Adjustments'!$A149)</f>
        <v>0</v>
      </c>
      <c r="N149" s="375">
        <f t="shared" si="25"/>
        <v>0</v>
      </c>
      <c r="O149" s="405">
        <v>2.6399999999999997</v>
      </c>
      <c r="P149" s="47">
        <f t="shared" si="26"/>
        <v>0</v>
      </c>
      <c r="Q149" s="373">
        <f t="shared" si="27"/>
        <v>0</v>
      </c>
      <c r="R149" s="21">
        <f t="shared" si="21"/>
        <v>264.46492132044824</v>
      </c>
      <c r="S149" s="371">
        <f t="shared" si="28"/>
        <v>250.94168807862002</v>
      </c>
    </row>
    <row r="150" spans="1:19" s="22" customFormat="1" x14ac:dyDescent="0.35">
      <c r="A150" s="19">
        <v>138</v>
      </c>
      <c r="B150" s="19" t="s">
        <v>71</v>
      </c>
      <c r="C150" s="20" t="s">
        <v>404</v>
      </c>
      <c r="D150" s="116">
        <f>'As-Filed Schedule 4'!D150</f>
        <v>0</v>
      </c>
      <c r="E150" s="383">
        <f>SUMIFS(Adjustments!$G:$G,Adjustments!$H:$H,"4",Adjustments!$I:$I,'Schedule 4 Adjustments'!$D$14,Adjustments!$J:$J,'Schedule 4 Adjustments'!$A150)</f>
        <v>0</v>
      </c>
      <c r="F150" s="375">
        <f t="shared" si="22"/>
        <v>0</v>
      </c>
      <c r="G150" s="405">
        <v>5.28</v>
      </c>
      <c r="H150" s="47">
        <f t="shared" si="29"/>
        <v>0</v>
      </c>
      <c r="I150" s="373">
        <f t="shared" si="23"/>
        <v>0</v>
      </c>
      <c r="J150" s="21">
        <f t="shared" si="20"/>
        <v>528.9298426408966</v>
      </c>
      <c r="K150" s="371">
        <f t="shared" si="24"/>
        <v>501.88337615724009</v>
      </c>
      <c r="L150" s="149">
        <f>'As-Filed Schedule 4'!H150</f>
        <v>0</v>
      </c>
      <c r="M150" s="383">
        <f>SUMIFS(Adjustments!$G:$G,Adjustments!$H:$H,"4",Adjustments!$I:$I,'Schedule 4 Adjustments'!$L$14,Adjustments!$J:$J,'Schedule 4 Adjustments'!$A150)</f>
        <v>0</v>
      </c>
      <c r="N150" s="375">
        <f t="shared" si="25"/>
        <v>0</v>
      </c>
      <c r="O150" s="405">
        <v>5.28</v>
      </c>
      <c r="P150" s="47">
        <f t="shared" si="26"/>
        <v>0</v>
      </c>
      <c r="Q150" s="373">
        <f t="shared" si="27"/>
        <v>0</v>
      </c>
      <c r="R150" s="21">
        <f t="shared" si="21"/>
        <v>528.9298426408966</v>
      </c>
      <c r="S150" s="371">
        <f t="shared" si="28"/>
        <v>501.88337615724009</v>
      </c>
    </row>
    <row r="151" spans="1:19" s="22" customFormat="1" x14ac:dyDescent="0.35">
      <c r="A151" s="19">
        <v>139</v>
      </c>
      <c r="B151" s="19" t="s">
        <v>789</v>
      </c>
      <c r="C151" s="20" t="s">
        <v>790</v>
      </c>
      <c r="D151" s="116">
        <f>'As-Filed Schedule 4'!D151</f>
        <v>0</v>
      </c>
      <c r="E151" s="383">
        <f>SUMIFS(Adjustments!$G:$G,Adjustments!$H:$H,"4",Adjustments!$I:$I,'Schedule 4 Adjustments'!$D$14,Adjustments!$J:$J,'Schedule 4 Adjustments'!$A151)</f>
        <v>0</v>
      </c>
      <c r="F151" s="375">
        <f t="shared" ref="F151" si="30">SUM(D151:E151)</f>
        <v>0</v>
      </c>
      <c r="G151" s="405">
        <v>0.12</v>
      </c>
      <c r="H151" s="47">
        <f t="shared" ref="H151" si="31">D151*G151</f>
        <v>0</v>
      </c>
      <c r="I151" s="373">
        <f t="shared" ref="I151" si="32">F151*G151</f>
        <v>0</v>
      </c>
      <c r="J151" s="21">
        <f t="shared" ref="J151" si="33">G151*$H$12</f>
        <v>12.021132787293103</v>
      </c>
      <c r="K151" s="371">
        <f t="shared" ref="K151" si="34">G151*$I$12</f>
        <v>11.406440367210001</v>
      </c>
      <c r="L151" s="149">
        <f>'As-Filed Schedule 4'!H151</f>
        <v>0</v>
      </c>
      <c r="M151" s="383">
        <f>SUMIFS(Adjustments!$G:$G,Adjustments!$H:$H,"4",Adjustments!$I:$I,'Schedule 4 Adjustments'!$L$14,Adjustments!$J:$J,'Schedule 4 Adjustments'!$A151)</f>
        <v>0</v>
      </c>
      <c r="N151" s="375">
        <f t="shared" ref="N151" si="35">SUM(L151:M151)</f>
        <v>0</v>
      </c>
      <c r="O151" s="405">
        <v>0.09</v>
      </c>
      <c r="P151" s="47">
        <f t="shared" ref="P151" si="36">L151*O151</f>
        <v>0</v>
      </c>
      <c r="Q151" s="373">
        <f t="shared" ref="Q151" si="37">N151*O151</f>
        <v>0</v>
      </c>
      <c r="R151" s="21">
        <f t="shared" ref="R151" si="38">O151*$H$12</f>
        <v>9.015849590469827</v>
      </c>
      <c r="S151" s="371">
        <f t="shared" ref="S151" si="39">O151*$I$12</f>
        <v>8.5548302754075003</v>
      </c>
    </row>
    <row r="152" spans="1:19" s="22" customFormat="1" x14ac:dyDescent="0.35">
      <c r="A152" s="19">
        <v>140</v>
      </c>
      <c r="B152" s="19" t="s">
        <v>72</v>
      </c>
      <c r="C152" s="20" t="s">
        <v>405</v>
      </c>
      <c r="D152" s="116">
        <f>'As-Filed Schedule 4'!D152</f>
        <v>0</v>
      </c>
      <c r="E152" s="383">
        <f>SUMIFS(Adjustments!$G:$G,Adjustments!$H:$H,"4",Adjustments!$I:$I,'Schedule 4 Adjustments'!$D$14,Adjustments!$J:$J,'Schedule 4 Adjustments'!$A152)</f>
        <v>0</v>
      </c>
      <c r="F152" s="375">
        <f t="shared" si="22"/>
        <v>0</v>
      </c>
      <c r="G152" s="405">
        <v>1.02</v>
      </c>
      <c r="H152" s="47">
        <f t="shared" si="29"/>
        <v>0</v>
      </c>
      <c r="I152" s="373">
        <f t="shared" si="23"/>
        <v>0</v>
      </c>
      <c r="J152" s="21">
        <f t="shared" si="20"/>
        <v>102.17962869199138</v>
      </c>
      <c r="K152" s="371">
        <f t="shared" si="24"/>
        <v>96.95474312128502</v>
      </c>
      <c r="L152" s="149">
        <f>'As-Filed Schedule 4'!H152</f>
        <v>0</v>
      </c>
      <c r="M152" s="383">
        <f>SUMIFS(Adjustments!$G:$G,Adjustments!$H:$H,"4",Adjustments!$I:$I,'Schedule 4 Adjustments'!$L$14,Adjustments!$J:$J,'Schedule 4 Adjustments'!$A152)</f>
        <v>0</v>
      </c>
      <c r="N152" s="375">
        <f t="shared" si="25"/>
        <v>0</v>
      </c>
      <c r="O152" s="405">
        <v>0.94</v>
      </c>
      <c r="P152" s="47">
        <f t="shared" si="26"/>
        <v>0</v>
      </c>
      <c r="Q152" s="373">
        <f t="shared" si="27"/>
        <v>0</v>
      </c>
      <c r="R152" s="21">
        <f t="shared" si="21"/>
        <v>94.165540167129308</v>
      </c>
      <c r="S152" s="371">
        <f t="shared" si="28"/>
        <v>89.350449543145004</v>
      </c>
    </row>
    <row r="153" spans="1:19" s="22" customFormat="1" x14ac:dyDescent="0.35">
      <c r="A153" s="19">
        <v>141</v>
      </c>
      <c r="B153" s="19" t="s">
        <v>20</v>
      </c>
      <c r="C153" s="20" t="s">
        <v>406</v>
      </c>
      <c r="D153" s="116">
        <f>'As-Filed Schedule 4'!D153</f>
        <v>0</v>
      </c>
      <c r="E153" s="383">
        <f>SUMIFS(Adjustments!$G:$G,Adjustments!$H:$H,"4",Adjustments!$I:$I,'Schedule 4 Adjustments'!$D$14,Adjustments!$J:$J,'Schedule 4 Adjustments'!$A153)</f>
        <v>0</v>
      </c>
      <c r="F153" s="375">
        <f t="shared" si="22"/>
        <v>0</v>
      </c>
      <c r="G153" s="405">
        <v>0</v>
      </c>
      <c r="H153" s="47">
        <f t="shared" si="29"/>
        <v>0</v>
      </c>
      <c r="I153" s="373">
        <f t="shared" si="23"/>
        <v>0</v>
      </c>
      <c r="J153" s="21">
        <f t="shared" si="20"/>
        <v>0</v>
      </c>
      <c r="K153" s="371">
        <f t="shared" si="24"/>
        <v>0</v>
      </c>
      <c r="L153" s="149">
        <f>'As-Filed Schedule 4'!H153</f>
        <v>0</v>
      </c>
      <c r="M153" s="383">
        <f>SUMIFS(Adjustments!$G:$G,Adjustments!$H:$H,"4",Adjustments!$I:$I,'Schedule 4 Adjustments'!$L$14,Adjustments!$J:$J,'Schedule 4 Adjustments'!$A153)</f>
        <v>0</v>
      </c>
      <c r="N153" s="375">
        <f t="shared" si="25"/>
        <v>0</v>
      </c>
      <c r="O153" s="405">
        <v>0</v>
      </c>
      <c r="P153" s="47">
        <f t="shared" si="26"/>
        <v>0</v>
      </c>
      <c r="Q153" s="373">
        <f t="shared" si="27"/>
        <v>0</v>
      </c>
      <c r="R153" s="21">
        <f t="shared" si="21"/>
        <v>0</v>
      </c>
      <c r="S153" s="371">
        <f t="shared" si="28"/>
        <v>0</v>
      </c>
    </row>
    <row r="154" spans="1:19" s="22" customFormat="1" x14ac:dyDescent="0.35">
      <c r="A154" s="19">
        <v>142</v>
      </c>
      <c r="B154" s="19" t="s">
        <v>73</v>
      </c>
      <c r="C154" s="20" t="s">
        <v>143</v>
      </c>
      <c r="D154" s="116">
        <f>'As-Filed Schedule 4'!D154</f>
        <v>0</v>
      </c>
      <c r="E154" s="383">
        <f>SUMIFS(Adjustments!$G:$G,Adjustments!$H:$H,"4",Adjustments!$I:$I,'Schedule 4 Adjustments'!$D$14,Adjustments!$J:$J,'Schedule 4 Adjustments'!$A154)</f>
        <v>0</v>
      </c>
      <c r="F154" s="375">
        <f t="shared" si="22"/>
        <v>0</v>
      </c>
      <c r="G154" s="405">
        <v>5.17</v>
      </c>
      <c r="H154" s="47">
        <f t="shared" si="29"/>
        <v>0</v>
      </c>
      <c r="I154" s="373">
        <f t="shared" si="23"/>
        <v>0</v>
      </c>
      <c r="J154" s="21">
        <f t="shared" si="20"/>
        <v>517.91047091921121</v>
      </c>
      <c r="K154" s="371">
        <f t="shared" si="24"/>
        <v>491.42747248729756</v>
      </c>
      <c r="L154" s="149">
        <f>'As-Filed Schedule 4'!H154</f>
        <v>0</v>
      </c>
      <c r="M154" s="383">
        <f>SUMIFS(Adjustments!$G:$G,Adjustments!$H:$H,"4",Adjustments!$I:$I,'Schedule 4 Adjustments'!$L$14,Adjustments!$J:$J,'Schedule 4 Adjustments'!$A154)</f>
        <v>0</v>
      </c>
      <c r="N154" s="375">
        <f t="shared" si="25"/>
        <v>0</v>
      </c>
      <c r="O154" s="405">
        <v>4.43</v>
      </c>
      <c r="P154" s="47">
        <f t="shared" si="26"/>
        <v>0</v>
      </c>
      <c r="Q154" s="373">
        <f t="shared" si="27"/>
        <v>0</v>
      </c>
      <c r="R154" s="21">
        <f t="shared" si="21"/>
        <v>443.78015206423703</v>
      </c>
      <c r="S154" s="371">
        <f t="shared" si="28"/>
        <v>421.08775688950254</v>
      </c>
    </row>
    <row r="155" spans="1:19" s="22" customFormat="1" x14ac:dyDescent="0.35">
      <c r="A155" s="19">
        <v>143</v>
      </c>
      <c r="B155" s="19" t="s">
        <v>74</v>
      </c>
      <c r="C155" s="20" t="s">
        <v>144</v>
      </c>
      <c r="D155" s="116">
        <f>'As-Filed Schedule 4'!D155</f>
        <v>0</v>
      </c>
      <c r="E155" s="383">
        <f>SUMIFS(Adjustments!$G:$G,Adjustments!$H:$H,"4",Adjustments!$I:$I,'Schedule 4 Adjustments'!$D$14,Adjustments!$J:$J,'Schedule 4 Adjustments'!$A155)</f>
        <v>0</v>
      </c>
      <c r="F155" s="375">
        <f t="shared" si="22"/>
        <v>0</v>
      </c>
      <c r="G155" s="405">
        <v>1.7</v>
      </c>
      <c r="H155" s="47">
        <f t="shared" si="29"/>
        <v>0</v>
      </c>
      <c r="I155" s="373">
        <f t="shared" si="23"/>
        <v>0</v>
      </c>
      <c r="J155" s="21">
        <f t="shared" si="20"/>
        <v>170.29938115331896</v>
      </c>
      <c r="K155" s="371">
        <f t="shared" si="24"/>
        <v>161.59123853547501</v>
      </c>
      <c r="L155" s="149">
        <f>'As-Filed Schedule 4'!H155</f>
        <v>0</v>
      </c>
      <c r="M155" s="383">
        <f>SUMIFS(Adjustments!$G:$G,Adjustments!$H:$H,"4",Adjustments!$I:$I,'Schedule 4 Adjustments'!$L$14,Adjustments!$J:$J,'Schedule 4 Adjustments'!$A155)</f>
        <v>0</v>
      </c>
      <c r="N155" s="375">
        <f t="shared" si="25"/>
        <v>0</v>
      </c>
      <c r="O155" s="405">
        <v>1.05</v>
      </c>
      <c r="P155" s="47">
        <f t="shared" si="26"/>
        <v>0</v>
      </c>
      <c r="Q155" s="373">
        <f t="shared" si="27"/>
        <v>0</v>
      </c>
      <c r="R155" s="21">
        <f t="shared" si="21"/>
        <v>105.18491188881467</v>
      </c>
      <c r="S155" s="371">
        <f t="shared" si="28"/>
        <v>99.806353213087519</v>
      </c>
    </row>
    <row r="156" spans="1:19" s="22" customFormat="1" x14ac:dyDescent="0.35">
      <c r="A156" s="19">
        <v>144</v>
      </c>
      <c r="B156" s="19" t="s">
        <v>26</v>
      </c>
      <c r="C156" s="20" t="s">
        <v>143</v>
      </c>
      <c r="D156" s="116">
        <f>'As-Filed Schedule 4'!D156</f>
        <v>0</v>
      </c>
      <c r="E156" s="383">
        <f>SUMIFS(Adjustments!$G:$G,Adjustments!$H:$H,"4",Adjustments!$I:$I,'Schedule 4 Adjustments'!$D$14,Adjustments!$J:$J,'Schedule 4 Adjustments'!$A156)</f>
        <v>0</v>
      </c>
      <c r="F156" s="375">
        <f t="shared" si="22"/>
        <v>0</v>
      </c>
      <c r="G156" s="405">
        <v>0</v>
      </c>
      <c r="H156" s="47">
        <f t="shared" si="29"/>
        <v>0</v>
      </c>
      <c r="I156" s="373">
        <f t="shared" si="23"/>
        <v>0</v>
      </c>
      <c r="J156" s="21">
        <f t="shared" si="20"/>
        <v>0</v>
      </c>
      <c r="K156" s="371">
        <f t="shared" si="24"/>
        <v>0</v>
      </c>
      <c r="L156" s="149">
        <f>'As-Filed Schedule 4'!H156</f>
        <v>0</v>
      </c>
      <c r="M156" s="383">
        <f>SUMIFS(Adjustments!$G:$G,Adjustments!$H:$H,"4",Adjustments!$I:$I,'Schedule 4 Adjustments'!$L$14,Adjustments!$J:$J,'Schedule 4 Adjustments'!$A156)</f>
        <v>0</v>
      </c>
      <c r="N156" s="375">
        <f t="shared" si="25"/>
        <v>0</v>
      </c>
      <c r="O156" s="405">
        <v>0</v>
      </c>
      <c r="P156" s="47">
        <f t="shared" si="26"/>
        <v>0</v>
      </c>
      <c r="Q156" s="373">
        <f t="shared" si="27"/>
        <v>0</v>
      </c>
      <c r="R156" s="21">
        <f t="shared" si="21"/>
        <v>0</v>
      </c>
      <c r="S156" s="371">
        <f t="shared" si="28"/>
        <v>0</v>
      </c>
    </row>
    <row r="157" spans="1:19" s="22" customFormat="1" x14ac:dyDescent="0.35">
      <c r="A157" s="19">
        <v>145</v>
      </c>
      <c r="B157" s="19" t="s">
        <v>75</v>
      </c>
      <c r="C157" s="20" t="s">
        <v>145</v>
      </c>
      <c r="D157" s="116">
        <f>'As-Filed Schedule 4'!D157</f>
        <v>0</v>
      </c>
      <c r="E157" s="383">
        <f>SUMIFS(Adjustments!$G:$G,Adjustments!$H:$H,"4",Adjustments!$I:$I,'Schedule 4 Adjustments'!$D$14,Adjustments!$J:$J,'Schedule 4 Adjustments'!$A157)</f>
        <v>0</v>
      </c>
      <c r="F157" s="375">
        <f t="shared" si="22"/>
        <v>0</v>
      </c>
      <c r="G157" s="405">
        <v>1.35</v>
      </c>
      <c r="H157" s="47">
        <f t="shared" si="29"/>
        <v>0</v>
      </c>
      <c r="I157" s="373">
        <f t="shared" si="23"/>
        <v>0</v>
      </c>
      <c r="J157" s="21">
        <f t="shared" si="20"/>
        <v>135.23774385704743</v>
      </c>
      <c r="K157" s="371">
        <f t="shared" si="24"/>
        <v>128.32245413111252</v>
      </c>
      <c r="L157" s="149">
        <f>'As-Filed Schedule 4'!H157</f>
        <v>0</v>
      </c>
      <c r="M157" s="383">
        <f>SUMIFS(Adjustments!$G:$G,Adjustments!$H:$H,"4",Adjustments!$I:$I,'Schedule 4 Adjustments'!$L$14,Adjustments!$J:$J,'Schedule 4 Adjustments'!$A157)</f>
        <v>0</v>
      </c>
      <c r="N157" s="375">
        <f t="shared" si="25"/>
        <v>0</v>
      </c>
      <c r="O157" s="405">
        <v>1.35</v>
      </c>
      <c r="P157" s="47">
        <f t="shared" si="26"/>
        <v>0</v>
      </c>
      <c r="Q157" s="373">
        <f t="shared" si="27"/>
        <v>0</v>
      </c>
      <c r="R157" s="21">
        <f t="shared" si="21"/>
        <v>135.23774385704743</v>
      </c>
      <c r="S157" s="371">
        <f t="shared" si="28"/>
        <v>128.32245413111252</v>
      </c>
    </row>
    <row r="158" spans="1:19" s="22" customFormat="1" x14ac:dyDescent="0.35">
      <c r="A158" s="19">
        <v>146</v>
      </c>
      <c r="B158" s="19" t="s">
        <v>76</v>
      </c>
      <c r="C158" s="20" t="s">
        <v>146</v>
      </c>
      <c r="D158" s="116">
        <f>'As-Filed Schedule 4'!D158</f>
        <v>0</v>
      </c>
      <c r="E158" s="383">
        <f>SUMIFS(Adjustments!$G:$G,Adjustments!$H:$H,"4",Adjustments!$I:$I,'Schedule 4 Adjustments'!$D$14,Adjustments!$J:$J,'Schedule 4 Adjustments'!$A158)</f>
        <v>0</v>
      </c>
      <c r="F158" s="375">
        <f t="shared" si="22"/>
        <v>0</v>
      </c>
      <c r="G158" s="405">
        <v>2.56</v>
      </c>
      <c r="H158" s="47">
        <f t="shared" si="29"/>
        <v>0</v>
      </c>
      <c r="I158" s="373">
        <f t="shared" si="23"/>
        <v>0</v>
      </c>
      <c r="J158" s="21">
        <f t="shared" si="20"/>
        <v>256.45083279558622</v>
      </c>
      <c r="K158" s="371">
        <f t="shared" si="24"/>
        <v>243.33739450048006</v>
      </c>
      <c r="L158" s="149">
        <f>'As-Filed Schedule 4'!H158</f>
        <v>0</v>
      </c>
      <c r="M158" s="383">
        <f>SUMIFS(Adjustments!$G:$G,Adjustments!$H:$H,"4",Adjustments!$I:$I,'Schedule 4 Adjustments'!$L$14,Adjustments!$J:$J,'Schedule 4 Adjustments'!$A158)</f>
        <v>0</v>
      </c>
      <c r="N158" s="375">
        <f t="shared" si="25"/>
        <v>0</v>
      </c>
      <c r="O158" s="405">
        <v>2.14</v>
      </c>
      <c r="P158" s="47">
        <f t="shared" si="26"/>
        <v>0</v>
      </c>
      <c r="Q158" s="373">
        <f t="shared" si="27"/>
        <v>0</v>
      </c>
      <c r="R158" s="21">
        <f t="shared" si="21"/>
        <v>214.37686804006037</v>
      </c>
      <c r="S158" s="371">
        <f t="shared" si="28"/>
        <v>203.41485321524505</v>
      </c>
    </row>
    <row r="159" spans="1:19" s="22" customFormat="1" x14ac:dyDescent="0.35">
      <c r="A159" s="19">
        <v>147</v>
      </c>
      <c r="B159" s="19" t="s">
        <v>77</v>
      </c>
      <c r="C159" s="20" t="s">
        <v>407</v>
      </c>
      <c r="D159" s="116">
        <f>'As-Filed Schedule 4'!D159</f>
        <v>0</v>
      </c>
      <c r="E159" s="383">
        <f>SUMIFS(Adjustments!$G:$G,Adjustments!$H:$H,"4",Adjustments!$I:$I,'Schedule 4 Adjustments'!$D$14,Adjustments!$J:$J,'Schedule 4 Adjustments'!$A159)</f>
        <v>0</v>
      </c>
      <c r="F159" s="375">
        <f t="shared" si="22"/>
        <v>0</v>
      </c>
      <c r="G159" s="405">
        <v>1.6</v>
      </c>
      <c r="H159" s="47">
        <f t="shared" si="29"/>
        <v>0</v>
      </c>
      <c r="I159" s="373">
        <f t="shared" si="23"/>
        <v>0</v>
      </c>
      <c r="J159" s="21">
        <f t="shared" si="20"/>
        <v>160.28177049724138</v>
      </c>
      <c r="K159" s="371">
        <f t="shared" si="24"/>
        <v>152.08587156280004</v>
      </c>
      <c r="L159" s="149">
        <f>'As-Filed Schedule 4'!H159</f>
        <v>0</v>
      </c>
      <c r="M159" s="383">
        <f>SUMIFS(Adjustments!$G:$G,Adjustments!$H:$H,"4",Adjustments!$I:$I,'Schedule 4 Adjustments'!$L$14,Adjustments!$J:$J,'Schedule 4 Adjustments'!$A159)</f>
        <v>0</v>
      </c>
      <c r="N159" s="375">
        <f t="shared" si="25"/>
        <v>0</v>
      </c>
      <c r="O159" s="405">
        <v>1.6</v>
      </c>
      <c r="P159" s="47">
        <f t="shared" si="26"/>
        <v>0</v>
      </c>
      <c r="Q159" s="373">
        <f t="shared" si="27"/>
        <v>0</v>
      </c>
      <c r="R159" s="21">
        <f t="shared" si="21"/>
        <v>160.28177049724138</v>
      </c>
      <c r="S159" s="371">
        <f t="shared" si="28"/>
        <v>152.08587156280004</v>
      </c>
    </row>
    <row r="160" spans="1:19" s="22" customFormat="1" x14ac:dyDescent="0.35">
      <c r="A160" s="19">
        <v>148</v>
      </c>
      <c r="B160" s="19" t="s">
        <v>78</v>
      </c>
      <c r="C160" s="20" t="s">
        <v>408</v>
      </c>
      <c r="D160" s="116">
        <f>'As-Filed Schedule 4'!D160</f>
        <v>0</v>
      </c>
      <c r="E160" s="383">
        <f>SUMIFS(Adjustments!$G:$G,Adjustments!$H:$H,"4",Adjustments!$I:$I,'Schedule 4 Adjustments'!$D$14,Adjustments!$J:$J,'Schedule 4 Adjustments'!$A160)</f>
        <v>0</v>
      </c>
      <c r="F160" s="375">
        <f t="shared" si="22"/>
        <v>0</v>
      </c>
      <c r="G160" s="405">
        <v>2.64</v>
      </c>
      <c r="H160" s="47">
        <f t="shared" si="29"/>
        <v>0</v>
      </c>
      <c r="I160" s="373">
        <f t="shared" si="23"/>
        <v>0</v>
      </c>
      <c r="J160" s="21">
        <f t="shared" si="20"/>
        <v>264.4649213204483</v>
      </c>
      <c r="K160" s="371">
        <f t="shared" si="24"/>
        <v>250.94168807862005</v>
      </c>
      <c r="L160" s="149">
        <f>'As-Filed Schedule 4'!H160</f>
        <v>0</v>
      </c>
      <c r="M160" s="383">
        <f>SUMIFS(Adjustments!$G:$G,Adjustments!$H:$H,"4",Adjustments!$I:$I,'Schedule 4 Adjustments'!$L$14,Adjustments!$J:$J,'Schedule 4 Adjustments'!$A160)</f>
        <v>0</v>
      </c>
      <c r="N160" s="375">
        <f t="shared" si="25"/>
        <v>0</v>
      </c>
      <c r="O160" s="405">
        <v>2.64</v>
      </c>
      <c r="P160" s="47">
        <f t="shared" si="26"/>
        <v>0</v>
      </c>
      <c r="Q160" s="373">
        <f t="shared" si="27"/>
        <v>0</v>
      </c>
      <c r="R160" s="21">
        <f t="shared" si="21"/>
        <v>264.4649213204483</v>
      </c>
      <c r="S160" s="371">
        <f t="shared" si="28"/>
        <v>250.94168807862005</v>
      </c>
    </row>
    <row r="161" spans="1:19" s="22" customFormat="1" x14ac:dyDescent="0.35">
      <c r="A161" s="19">
        <v>149</v>
      </c>
      <c r="B161" s="19" t="s">
        <v>79</v>
      </c>
      <c r="C161" s="20" t="s">
        <v>409</v>
      </c>
      <c r="D161" s="116">
        <f>'As-Filed Schedule 4'!D161</f>
        <v>1408</v>
      </c>
      <c r="E161" s="383">
        <f>SUMIFS(Adjustments!$G:$G,Adjustments!$H:$H,"4",Adjustments!$I:$I,'Schedule 4 Adjustments'!$D$14,Adjustments!$J:$J,'Schedule 4 Adjustments'!$A161)</f>
        <v>0</v>
      </c>
      <c r="F161" s="375">
        <f t="shared" si="22"/>
        <v>1408</v>
      </c>
      <c r="G161" s="405">
        <v>1.24</v>
      </c>
      <c r="H161" s="47">
        <f t="shared" si="29"/>
        <v>1745.92</v>
      </c>
      <c r="I161" s="373">
        <f t="shared" si="23"/>
        <v>1745.92</v>
      </c>
      <c r="J161" s="21">
        <f t="shared" si="20"/>
        <v>124.21837213536207</v>
      </c>
      <c r="K161" s="371">
        <f t="shared" si="24"/>
        <v>117.86655046117002</v>
      </c>
      <c r="L161" s="149">
        <f>'As-Filed Schedule 4'!H161</f>
        <v>2985</v>
      </c>
      <c r="M161" s="383">
        <f>SUMIFS(Adjustments!$G:$G,Adjustments!$H:$H,"4",Adjustments!$I:$I,'Schedule 4 Adjustments'!$L$14,Adjustments!$J:$J,'Schedule 4 Adjustments'!$A161)</f>
        <v>0</v>
      </c>
      <c r="N161" s="375">
        <f t="shared" si="25"/>
        <v>2985</v>
      </c>
      <c r="O161" s="405">
        <v>1.24</v>
      </c>
      <c r="P161" s="47">
        <f t="shared" si="26"/>
        <v>3701.4</v>
      </c>
      <c r="Q161" s="373">
        <f t="shared" si="27"/>
        <v>3701.4</v>
      </c>
      <c r="R161" s="21">
        <f t="shared" si="21"/>
        <v>124.21837213536207</v>
      </c>
      <c r="S161" s="371">
        <f t="shared" si="28"/>
        <v>117.86655046117002</v>
      </c>
    </row>
    <row r="162" spans="1:19" s="22" customFormat="1" x14ac:dyDescent="0.35">
      <c r="A162" s="19">
        <v>150</v>
      </c>
      <c r="B162" s="19" t="s">
        <v>80</v>
      </c>
      <c r="C162" s="20" t="s">
        <v>410</v>
      </c>
      <c r="D162" s="116">
        <f>'As-Filed Schedule 4'!D162</f>
        <v>0</v>
      </c>
      <c r="E162" s="383">
        <f>SUMIFS(Adjustments!$G:$G,Adjustments!$H:$H,"4",Adjustments!$I:$I,'Schedule 4 Adjustments'!$D$14,Adjustments!$J:$J,'Schedule 4 Adjustments'!$A162)</f>
        <v>0</v>
      </c>
      <c r="F162" s="375">
        <f t="shared" si="22"/>
        <v>0</v>
      </c>
      <c r="G162" s="405">
        <v>0.83</v>
      </c>
      <c r="H162" s="47">
        <f t="shared" si="29"/>
        <v>0</v>
      </c>
      <c r="I162" s="373">
        <f t="shared" si="23"/>
        <v>0</v>
      </c>
      <c r="J162" s="21">
        <f t="shared" si="20"/>
        <v>83.146168445443962</v>
      </c>
      <c r="K162" s="371">
        <f t="shared" si="24"/>
        <v>78.894545873202503</v>
      </c>
      <c r="L162" s="149">
        <f>'As-Filed Schedule 4'!H162</f>
        <v>0</v>
      </c>
      <c r="M162" s="383">
        <f>SUMIFS(Adjustments!$G:$G,Adjustments!$H:$H,"4",Adjustments!$I:$I,'Schedule 4 Adjustments'!$L$14,Adjustments!$J:$J,'Schedule 4 Adjustments'!$A162)</f>
        <v>0</v>
      </c>
      <c r="N162" s="375">
        <f t="shared" si="25"/>
        <v>0</v>
      </c>
      <c r="O162" s="405">
        <v>0.72</v>
      </c>
      <c r="P162" s="47">
        <f t="shared" si="26"/>
        <v>0</v>
      </c>
      <c r="Q162" s="373">
        <f t="shared" si="27"/>
        <v>0</v>
      </c>
      <c r="R162" s="21">
        <f t="shared" si="21"/>
        <v>72.126796723758616</v>
      </c>
      <c r="S162" s="371">
        <f t="shared" si="28"/>
        <v>68.438642203260002</v>
      </c>
    </row>
    <row r="163" spans="1:19" s="22" customFormat="1" x14ac:dyDescent="0.35">
      <c r="A163" s="19">
        <v>151</v>
      </c>
      <c r="B163" s="19" t="s">
        <v>81</v>
      </c>
      <c r="C163" s="20" t="s">
        <v>411</v>
      </c>
      <c r="D163" s="116">
        <f>'As-Filed Schedule 4'!D163</f>
        <v>7046</v>
      </c>
      <c r="E163" s="383">
        <f>SUMIFS(Adjustments!$G:$G,Adjustments!$H:$H,"4",Adjustments!$I:$I,'Schedule 4 Adjustments'!$D$14,Adjustments!$J:$J,'Schedule 4 Adjustments'!$A163)</f>
        <v>0</v>
      </c>
      <c r="F163" s="375">
        <f t="shared" si="22"/>
        <v>7046</v>
      </c>
      <c r="G163" s="405">
        <v>0.92</v>
      </c>
      <c r="H163" s="47">
        <f t="shared" si="29"/>
        <v>6482.3200000000006</v>
      </c>
      <c r="I163" s="373">
        <f t="shared" si="23"/>
        <v>6482.3200000000006</v>
      </c>
      <c r="J163" s="21">
        <f t="shared" si="20"/>
        <v>92.162018035913803</v>
      </c>
      <c r="K163" s="371">
        <f t="shared" si="24"/>
        <v>87.449376148610014</v>
      </c>
      <c r="L163" s="149">
        <f>'As-Filed Schedule 4'!H163</f>
        <v>42003</v>
      </c>
      <c r="M163" s="383">
        <f>SUMIFS(Adjustments!$G:$G,Adjustments!$H:$H,"4",Adjustments!$I:$I,'Schedule 4 Adjustments'!$L$14,Adjustments!$J:$J,'Schedule 4 Adjustments'!$A163)</f>
        <v>0</v>
      </c>
      <c r="N163" s="375">
        <f t="shared" si="25"/>
        <v>42003</v>
      </c>
      <c r="O163" s="405">
        <v>0.92</v>
      </c>
      <c r="P163" s="47">
        <f t="shared" si="26"/>
        <v>38642.76</v>
      </c>
      <c r="Q163" s="373">
        <f t="shared" si="27"/>
        <v>38642.76</v>
      </c>
      <c r="R163" s="21">
        <f t="shared" si="21"/>
        <v>92.162018035913803</v>
      </c>
      <c r="S163" s="371">
        <f t="shared" si="28"/>
        <v>87.449376148610014</v>
      </c>
    </row>
    <row r="164" spans="1:19" s="22" customFormat="1" x14ac:dyDescent="0.35">
      <c r="A164" s="19">
        <v>152</v>
      </c>
      <c r="B164" s="19" t="s">
        <v>82</v>
      </c>
      <c r="C164" s="20" t="s">
        <v>412</v>
      </c>
      <c r="D164" s="116">
        <f>'As-Filed Schedule 4'!D164</f>
        <v>0</v>
      </c>
      <c r="E164" s="383">
        <f>SUMIFS(Adjustments!$G:$G,Adjustments!$H:$H,"4",Adjustments!$I:$I,'Schedule 4 Adjustments'!$D$14,Adjustments!$J:$J,'Schedule 4 Adjustments'!$A164)</f>
        <v>0</v>
      </c>
      <c r="F164" s="375">
        <f t="shared" si="22"/>
        <v>0</v>
      </c>
      <c r="G164" s="405">
        <v>0.14000000000000001</v>
      </c>
      <c r="H164" s="47">
        <f t="shared" si="29"/>
        <v>0</v>
      </c>
      <c r="I164" s="373">
        <f t="shared" si="23"/>
        <v>0</v>
      </c>
      <c r="J164" s="21">
        <f t="shared" si="20"/>
        <v>14.024654918508622</v>
      </c>
      <c r="K164" s="371">
        <f t="shared" si="24"/>
        <v>13.307513761745003</v>
      </c>
      <c r="L164" s="149">
        <f>'As-Filed Schedule 4'!H164</f>
        <v>0</v>
      </c>
      <c r="M164" s="383">
        <f>SUMIFS(Adjustments!$G:$G,Adjustments!$H:$H,"4",Adjustments!$I:$I,'Schedule 4 Adjustments'!$L$14,Adjustments!$J:$J,'Schedule 4 Adjustments'!$A164)</f>
        <v>0</v>
      </c>
      <c r="N164" s="375">
        <f t="shared" si="25"/>
        <v>0</v>
      </c>
      <c r="O164" s="405">
        <v>0.12</v>
      </c>
      <c r="P164" s="47">
        <f t="shared" si="26"/>
        <v>0</v>
      </c>
      <c r="Q164" s="373">
        <f t="shared" si="27"/>
        <v>0</v>
      </c>
      <c r="R164" s="21">
        <f t="shared" si="21"/>
        <v>12.021132787293103</v>
      </c>
      <c r="S164" s="371">
        <f t="shared" si="28"/>
        <v>11.406440367210001</v>
      </c>
    </row>
    <row r="165" spans="1:19" s="22" customFormat="1" x14ac:dyDescent="0.35">
      <c r="A165" s="19">
        <v>153</v>
      </c>
      <c r="B165" s="19" t="s">
        <v>83</v>
      </c>
      <c r="C165" s="20" t="s">
        <v>417</v>
      </c>
      <c r="D165" s="116">
        <f>'As-Filed Schedule 4'!D165</f>
        <v>0</v>
      </c>
      <c r="E165" s="383">
        <f>SUMIFS(Adjustments!$G:$G,Adjustments!$H:$H,"4",Adjustments!$I:$I,'Schedule 4 Adjustments'!$D$14,Adjustments!$J:$J,'Schedule 4 Adjustments'!$A165)</f>
        <v>0</v>
      </c>
      <c r="F165" s="375">
        <f t="shared" si="22"/>
        <v>0</v>
      </c>
      <c r="G165" s="405">
        <v>3.3600000000000003</v>
      </c>
      <c r="H165" s="47">
        <f t="shared" si="29"/>
        <v>0</v>
      </c>
      <c r="I165" s="373">
        <f t="shared" si="23"/>
        <v>0</v>
      </c>
      <c r="J165" s="21">
        <f t="shared" si="20"/>
        <v>336.59171804420691</v>
      </c>
      <c r="K165" s="371">
        <f t="shared" si="24"/>
        <v>319.38033028188011</v>
      </c>
      <c r="L165" s="149">
        <f>'As-Filed Schedule 4'!H165</f>
        <v>0</v>
      </c>
      <c r="M165" s="383">
        <f>SUMIFS(Adjustments!$G:$G,Adjustments!$H:$H,"4",Adjustments!$I:$I,'Schedule 4 Adjustments'!$L$14,Adjustments!$J:$J,'Schedule 4 Adjustments'!$A165)</f>
        <v>0</v>
      </c>
      <c r="N165" s="375">
        <f t="shared" si="25"/>
        <v>0</v>
      </c>
      <c r="O165" s="405">
        <v>2.88</v>
      </c>
      <c r="P165" s="47">
        <f t="shared" si="26"/>
        <v>0</v>
      </c>
      <c r="Q165" s="373">
        <f t="shared" si="27"/>
        <v>0</v>
      </c>
      <c r="R165" s="21">
        <f t="shared" si="21"/>
        <v>288.50718689503447</v>
      </c>
      <c r="S165" s="371">
        <f t="shared" si="28"/>
        <v>273.75456881304001</v>
      </c>
    </row>
    <row r="166" spans="1:19" s="22" customFormat="1" x14ac:dyDescent="0.35">
      <c r="A166" s="19">
        <v>154</v>
      </c>
      <c r="B166" s="19" t="s">
        <v>84</v>
      </c>
      <c r="C166" s="20" t="s">
        <v>415</v>
      </c>
      <c r="D166" s="116">
        <f>'As-Filed Schedule 4'!D166</f>
        <v>0</v>
      </c>
      <c r="E166" s="383">
        <f>SUMIFS(Adjustments!$G:$G,Adjustments!$H:$H,"4",Adjustments!$I:$I,'Schedule 4 Adjustments'!$D$14,Adjustments!$J:$J,'Schedule 4 Adjustments'!$A166)</f>
        <v>0</v>
      </c>
      <c r="F166" s="375">
        <f t="shared" si="22"/>
        <v>0</v>
      </c>
      <c r="G166" s="405">
        <v>0.44</v>
      </c>
      <c r="H166" s="47">
        <f t="shared" si="29"/>
        <v>0</v>
      </c>
      <c r="I166" s="373">
        <f t="shared" si="23"/>
        <v>0</v>
      </c>
      <c r="J166" s="21">
        <f t="shared" si="20"/>
        <v>44.077486886741383</v>
      </c>
      <c r="K166" s="371">
        <f t="shared" si="24"/>
        <v>41.82361467977001</v>
      </c>
      <c r="L166" s="149">
        <f>'As-Filed Schedule 4'!H166</f>
        <v>1468</v>
      </c>
      <c r="M166" s="383">
        <f>SUMIFS(Adjustments!$G:$G,Adjustments!$H:$H,"4",Adjustments!$I:$I,'Schedule 4 Adjustments'!$L$14,Adjustments!$J:$J,'Schedule 4 Adjustments'!$A166)</f>
        <v>0</v>
      </c>
      <c r="N166" s="375">
        <f t="shared" si="25"/>
        <v>1468</v>
      </c>
      <c r="O166" s="405">
        <v>0.44</v>
      </c>
      <c r="P166" s="47">
        <f t="shared" si="26"/>
        <v>645.91999999999996</v>
      </c>
      <c r="Q166" s="373">
        <f t="shared" si="27"/>
        <v>645.91999999999996</v>
      </c>
      <c r="R166" s="21">
        <f t="shared" si="21"/>
        <v>44.077486886741383</v>
      </c>
      <c r="S166" s="371">
        <f t="shared" si="28"/>
        <v>41.82361467977001</v>
      </c>
    </row>
    <row r="167" spans="1:19" s="22" customFormat="1" x14ac:dyDescent="0.35">
      <c r="A167" s="19">
        <v>155</v>
      </c>
      <c r="B167" s="19" t="s">
        <v>85</v>
      </c>
      <c r="C167" s="20" t="s">
        <v>416</v>
      </c>
      <c r="D167" s="116">
        <f>'As-Filed Schedule 4'!D167</f>
        <v>0</v>
      </c>
      <c r="E167" s="383">
        <f>SUMIFS(Adjustments!$G:$G,Adjustments!$H:$H,"4",Adjustments!$I:$I,'Schedule 4 Adjustments'!$D$14,Adjustments!$J:$J,'Schedule 4 Adjustments'!$A167)</f>
        <v>0</v>
      </c>
      <c r="F167" s="375">
        <f t="shared" si="22"/>
        <v>0</v>
      </c>
      <c r="G167" s="405">
        <v>5.28</v>
      </c>
      <c r="H167" s="47">
        <f t="shared" si="29"/>
        <v>0</v>
      </c>
      <c r="I167" s="373">
        <f t="shared" si="23"/>
        <v>0</v>
      </c>
      <c r="J167" s="21">
        <f t="shared" si="20"/>
        <v>528.9298426408966</v>
      </c>
      <c r="K167" s="371">
        <f t="shared" si="24"/>
        <v>501.88337615724009</v>
      </c>
      <c r="L167" s="149">
        <f>'As-Filed Schedule 4'!H167</f>
        <v>0</v>
      </c>
      <c r="M167" s="383">
        <f>SUMIFS(Adjustments!$G:$G,Adjustments!$H:$H,"4",Adjustments!$I:$I,'Schedule 4 Adjustments'!$L$14,Adjustments!$J:$J,'Schedule 4 Adjustments'!$A167)</f>
        <v>0</v>
      </c>
      <c r="N167" s="375">
        <f t="shared" si="25"/>
        <v>0</v>
      </c>
      <c r="O167" s="405">
        <v>5.28</v>
      </c>
      <c r="P167" s="47">
        <f t="shared" si="26"/>
        <v>0</v>
      </c>
      <c r="Q167" s="373">
        <f t="shared" si="27"/>
        <v>0</v>
      </c>
      <c r="R167" s="21">
        <f t="shared" si="21"/>
        <v>528.9298426408966</v>
      </c>
      <c r="S167" s="371">
        <f t="shared" si="28"/>
        <v>501.88337615724009</v>
      </c>
    </row>
    <row r="168" spans="1:19" s="22" customFormat="1" x14ac:dyDescent="0.35">
      <c r="A168" s="19">
        <v>156</v>
      </c>
      <c r="B168" s="19" t="s">
        <v>86</v>
      </c>
      <c r="C168" s="20" t="s">
        <v>414</v>
      </c>
      <c r="D168" s="116">
        <f>'As-Filed Schedule 4'!D168</f>
        <v>0</v>
      </c>
      <c r="E168" s="383">
        <f>SUMIFS(Adjustments!$G:$G,Adjustments!$H:$H,"4",Adjustments!$I:$I,'Schedule 4 Adjustments'!$D$14,Adjustments!$J:$J,'Schedule 4 Adjustments'!$A168)</f>
        <v>0</v>
      </c>
      <c r="F168" s="375">
        <f t="shared" si="22"/>
        <v>0</v>
      </c>
      <c r="G168" s="405">
        <v>0.44</v>
      </c>
      <c r="H168" s="47">
        <f t="shared" si="29"/>
        <v>0</v>
      </c>
      <c r="I168" s="373">
        <f t="shared" si="23"/>
        <v>0</v>
      </c>
      <c r="J168" s="21">
        <f t="shared" si="20"/>
        <v>44.077486886741383</v>
      </c>
      <c r="K168" s="371">
        <f t="shared" si="24"/>
        <v>41.82361467977001</v>
      </c>
      <c r="L168" s="149">
        <f>'As-Filed Schedule 4'!H168</f>
        <v>0</v>
      </c>
      <c r="M168" s="383">
        <f>SUMIFS(Adjustments!$G:$G,Adjustments!$H:$H,"4",Adjustments!$I:$I,'Schedule 4 Adjustments'!$L$14,Adjustments!$J:$J,'Schedule 4 Adjustments'!$A168)</f>
        <v>0</v>
      </c>
      <c r="N168" s="375">
        <f t="shared" si="25"/>
        <v>0</v>
      </c>
      <c r="O168" s="405">
        <v>0.44</v>
      </c>
      <c r="P168" s="47">
        <f t="shared" si="26"/>
        <v>0</v>
      </c>
      <c r="Q168" s="373">
        <f t="shared" si="27"/>
        <v>0</v>
      </c>
      <c r="R168" s="21">
        <f t="shared" si="21"/>
        <v>44.077486886741383</v>
      </c>
      <c r="S168" s="371">
        <f t="shared" si="28"/>
        <v>41.82361467977001</v>
      </c>
    </row>
    <row r="169" spans="1:19" s="22" customFormat="1" x14ac:dyDescent="0.35">
      <c r="A169" s="19">
        <v>157</v>
      </c>
      <c r="B169" s="19" t="s">
        <v>87</v>
      </c>
      <c r="C169" s="20" t="s">
        <v>413</v>
      </c>
      <c r="D169" s="116">
        <f>'As-Filed Schedule 4'!D169</f>
        <v>0</v>
      </c>
      <c r="E169" s="383">
        <f>SUMIFS(Adjustments!$G:$G,Adjustments!$H:$H,"4",Adjustments!$I:$I,'Schedule 4 Adjustments'!$D$14,Adjustments!$J:$J,'Schedule 4 Adjustments'!$A169)</f>
        <v>0</v>
      </c>
      <c r="F169" s="375">
        <f t="shared" si="22"/>
        <v>0</v>
      </c>
      <c r="G169" s="405">
        <v>5.28</v>
      </c>
      <c r="H169" s="47">
        <f t="shared" si="29"/>
        <v>0</v>
      </c>
      <c r="I169" s="373">
        <f t="shared" si="23"/>
        <v>0</v>
      </c>
      <c r="J169" s="21">
        <f t="shared" si="20"/>
        <v>528.9298426408966</v>
      </c>
      <c r="K169" s="371">
        <f t="shared" si="24"/>
        <v>501.88337615724009</v>
      </c>
      <c r="L169" s="149">
        <f>'As-Filed Schedule 4'!H169</f>
        <v>0</v>
      </c>
      <c r="M169" s="383">
        <f>SUMIFS(Adjustments!$G:$G,Adjustments!$H:$H,"4",Adjustments!$I:$I,'Schedule 4 Adjustments'!$L$14,Adjustments!$J:$J,'Schedule 4 Adjustments'!$A169)</f>
        <v>0</v>
      </c>
      <c r="N169" s="375">
        <f t="shared" si="25"/>
        <v>0</v>
      </c>
      <c r="O169" s="405">
        <v>5.28</v>
      </c>
      <c r="P169" s="47">
        <f t="shared" si="26"/>
        <v>0</v>
      </c>
      <c r="Q169" s="373">
        <f t="shared" si="27"/>
        <v>0</v>
      </c>
      <c r="R169" s="21">
        <f t="shared" si="21"/>
        <v>528.9298426408966</v>
      </c>
      <c r="S169" s="371">
        <f t="shared" si="28"/>
        <v>501.88337615724009</v>
      </c>
    </row>
    <row r="170" spans="1:19" s="22" customFormat="1" x14ac:dyDescent="0.35">
      <c r="A170" s="19">
        <v>158</v>
      </c>
      <c r="B170" s="19" t="s">
        <v>88</v>
      </c>
      <c r="C170" s="20" t="s">
        <v>418</v>
      </c>
      <c r="D170" s="116">
        <f>'As-Filed Schedule 4'!D170</f>
        <v>56</v>
      </c>
      <c r="E170" s="383">
        <f>SUMIFS(Adjustments!$G:$G,Adjustments!$H:$H,"4",Adjustments!$I:$I,'Schedule 4 Adjustments'!$D$14,Adjustments!$J:$J,'Schedule 4 Adjustments'!$A170)</f>
        <v>0</v>
      </c>
      <c r="F170" s="375">
        <f t="shared" si="22"/>
        <v>56</v>
      </c>
      <c r="G170" s="405">
        <v>0.14000000000000001</v>
      </c>
      <c r="H170" s="47">
        <f t="shared" si="29"/>
        <v>7.8400000000000007</v>
      </c>
      <c r="I170" s="373">
        <f t="shared" si="23"/>
        <v>7.8400000000000007</v>
      </c>
      <c r="J170" s="21">
        <f t="shared" si="20"/>
        <v>14.024654918508622</v>
      </c>
      <c r="K170" s="371">
        <f t="shared" si="24"/>
        <v>13.307513761745003</v>
      </c>
      <c r="L170" s="149">
        <f>'As-Filed Schedule 4'!H170</f>
        <v>28</v>
      </c>
      <c r="M170" s="383">
        <f>SUMIFS(Adjustments!$G:$G,Adjustments!$H:$H,"4",Adjustments!$I:$I,'Schedule 4 Adjustments'!$L$14,Adjustments!$J:$J,'Schedule 4 Adjustments'!$A170)</f>
        <v>0</v>
      </c>
      <c r="N170" s="375">
        <f t="shared" si="25"/>
        <v>28</v>
      </c>
      <c r="O170" s="405">
        <v>0.12</v>
      </c>
      <c r="P170" s="47">
        <f t="shared" si="26"/>
        <v>3.36</v>
      </c>
      <c r="Q170" s="373">
        <f t="shared" si="27"/>
        <v>3.36</v>
      </c>
      <c r="R170" s="21">
        <f t="shared" si="21"/>
        <v>12.021132787293103</v>
      </c>
      <c r="S170" s="371">
        <f t="shared" si="28"/>
        <v>11.406440367210001</v>
      </c>
    </row>
    <row r="171" spans="1:19" s="22" customFormat="1" x14ac:dyDescent="0.35">
      <c r="A171" s="19">
        <v>159</v>
      </c>
      <c r="B171" s="19" t="s">
        <v>89</v>
      </c>
      <c r="C171" s="20" t="s">
        <v>419</v>
      </c>
      <c r="D171" s="116">
        <f>'As-Filed Schedule 4'!D171</f>
        <v>0</v>
      </c>
      <c r="E171" s="383">
        <f>SUMIFS(Adjustments!$G:$G,Adjustments!$H:$H,"4",Adjustments!$I:$I,'Schedule 4 Adjustments'!$D$14,Adjustments!$J:$J,'Schedule 4 Adjustments'!$A171)</f>
        <v>0</v>
      </c>
      <c r="F171" s="375">
        <f t="shared" si="22"/>
        <v>0</v>
      </c>
      <c r="G171" s="405">
        <v>3.3600000000000003</v>
      </c>
      <c r="H171" s="47">
        <f t="shared" si="29"/>
        <v>0</v>
      </c>
      <c r="I171" s="373">
        <f t="shared" si="23"/>
        <v>0</v>
      </c>
      <c r="J171" s="21">
        <f t="shared" si="20"/>
        <v>336.59171804420691</v>
      </c>
      <c r="K171" s="371">
        <f t="shared" si="24"/>
        <v>319.38033028188011</v>
      </c>
      <c r="L171" s="149">
        <f>'As-Filed Schedule 4'!H171</f>
        <v>0</v>
      </c>
      <c r="M171" s="383">
        <f>SUMIFS(Adjustments!$G:$G,Adjustments!$H:$H,"4",Adjustments!$I:$I,'Schedule 4 Adjustments'!$L$14,Adjustments!$J:$J,'Schedule 4 Adjustments'!$A171)</f>
        <v>0</v>
      </c>
      <c r="N171" s="375">
        <f t="shared" si="25"/>
        <v>0</v>
      </c>
      <c r="O171" s="405">
        <v>2.88</v>
      </c>
      <c r="P171" s="47">
        <f t="shared" si="26"/>
        <v>0</v>
      </c>
      <c r="Q171" s="373">
        <f t="shared" si="27"/>
        <v>0</v>
      </c>
      <c r="R171" s="21">
        <f t="shared" si="21"/>
        <v>288.50718689503447</v>
      </c>
      <c r="S171" s="371">
        <f t="shared" si="28"/>
        <v>273.75456881304001</v>
      </c>
    </row>
    <row r="172" spans="1:19" s="22" customFormat="1" x14ac:dyDescent="0.35">
      <c r="A172" s="19">
        <v>160</v>
      </c>
      <c r="B172" s="19" t="s">
        <v>90</v>
      </c>
      <c r="C172" s="20" t="s">
        <v>420</v>
      </c>
      <c r="D172" s="116">
        <f>'As-Filed Schedule 4'!D172</f>
        <v>0</v>
      </c>
      <c r="E172" s="383">
        <f>SUMIFS(Adjustments!$G:$G,Adjustments!$H:$H,"4",Adjustments!$I:$I,'Schedule 4 Adjustments'!$D$14,Adjustments!$J:$J,'Schedule 4 Adjustments'!$A172)</f>
        <v>0</v>
      </c>
      <c r="F172" s="375">
        <f t="shared" si="22"/>
        <v>0</v>
      </c>
      <c r="G172" s="405">
        <v>0.14000000000000001</v>
      </c>
      <c r="H172" s="47">
        <f t="shared" si="29"/>
        <v>0</v>
      </c>
      <c r="I172" s="373">
        <f t="shared" si="23"/>
        <v>0</v>
      </c>
      <c r="J172" s="21">
        <f t="shared" si="20"/>
        <v>14.024654918508622</v>
      </c>
      <c r="K172" s="371">
        <f t="shared" si="24"/>
        <v>13.307513761745003</v>
      </c>
      <c r="L172" s="149">
        <f>'As-Filed Schedule 4'!H172</f>
        <v>0</v>
      </c>
      <c r="M172" s="383">
        <f>SUMIFS(Adjustments!$G:$G,Adjustments!$H:$H,"4",Adjustments!$I:$I,'Schedule 4 Adjustments'!$L$14,Adjustments!$J:$J,'Schedule 4 Adjustments'!$A172)</f>
        <v>0</v>
      </c>
      <c r="N172" s="375">
        <f t="shared" si="25"/>
        <v>0</v>
      </c>
      <c r="O172" s="405">
        <v>0.12</v>
      </c>
      <c r="P172" s="47">
        <f t="shared" si="26"/>
        <v>0</v>
      </c>
      <c r="Q172" s="373">
        <f t="shared" si="27"/>
        <v>0</v>
      </c>
      <c r="R172" s="21">
        <f t="shared" si="21"/>
        <v>12.021132787293103</v>
      </c>
      <c r="S172" s="371">
        <f t="shared" si="28"/>
        <v>11.406440367210001</v>
      </c>
    </row>
    <row r="173" spans="1:19" s="22" customFormat="1" x14ac:dyDescent="0.35">
      <c r="A173" s="19">
        <v>161</v>
      </c>
      <c r="B173" s="19" t="s">
        <v>91</v>
      </c>
      <c r="C173" s="20" t="s">
        <v>421</v>
      </c>
      <c r="D173" s="116">
        <f>'As-Filed Schedule 4'!D173</f>
        <v>0</v>
      </c>
      <c r="E173" s="383">
        <f>SUMIFS(Adjustments!$G:$G,Adjustments!$H:$H,"4",Adjustments!$I:$I,'Schedule 4 Adjustments'!$D$14,Adjustments!$J:$J,'Schedule 4 Adjustments'!$A173)</f>
        <v>0</v>
      </c>
      <c r="F173" s="375">
        <f t="shared" si="22"/>
        <v>0</v>
      </c>
      <c r="G173" s="405">
        <v>3.3600000000000003</v>
      </c>
      <c r="H173" s="47">
        <f t="shared" si="29"/>
        <v>0</v>
      </c>
      <c r="I173" s="373">
        <f t="shared" si="23"/>
        <v>0</v>
      </c>
      <c r="J173" s="21">
        <f t="shared" si="20"/>
        <v>336.59171804420691</v>
      </c>
      <c r="K173" s="371">
        <f t="shared" si="24"/>
        <v>319.38033028188011</v>
      </c>
      <c r="L173" s="149">
        <f>'As-Filed Schedule 4'!H173</f>
        <v>0</v>
      </c>
      <c r="M173" s="383">
        <f>SUMIFS(Adjustments!$G:$G,Adjustments!$H:$H,"4",Adjustments!$I:$I,'Schedule 4 Adjustments'!$L$14,Adjustments!$J:$J,'Schedule 4 Adjustments'!$A173)</f>
        <v>0</v>
      </c>
      <c r="N173" s="375">
        <f t="shared" si="25"/>
        <v>0</v>
      </c>
      <c r="O173" s="405">
        <v>2.88</v>
      </c>
      <c r="P173" s="47">
        <f t="shared" si="26"/>
        <v>0</v>
      </c>
      <c r="Q173" s="373">
        <f t="shared" si="27"/>
        <v>0</v>
      </c>
      <c r="R173" s="21">
        <f t="shared" si="21"/>
        <v>288.50718689503447</v>
      </c>
      <c r="S173" s="371">
        <f t="shared" si="28"/>
        <v>273.75456881304001</v>
      </c>
    </row>
    <row r="174" spans="1:19" s="22" customFormat="1" x14ac:dyDescent="0.35">
      <c r="A174" s="19">
        <v>162</v>
      </c>
      <c r="B174" s="19" t="s">
        <v>92</v>
      </c>
      <c r="C174" s="20" t="s">
        <v>422</v>
      </c>
      <c r="D174" s="116">
        <f>'As-Filed Schedule 4'!D174</f>
        <v>0</v>
      </c>
      <c r="E174" s="383">
        <f>SUMIFS(Adjustments!$G:$G,Adjustments!$H:$H,"4",Adjustments!$I:$I,'Schedule 4 Adjustments'!$D$14,Adjustments!$J:$J,'Schedule 4 Adjustments'!$A174)</f>
        <v>0</v>
      </c>
      <c r="F174" s="375">
        <f t="shared" si="22"/>
        <v>0</v>
      </c>
      <c r="G174" s="405">
        <v>0.14000000000000001</v>
      </c>
      <c r="H174" s="47">
        <f t="shared" si="29"/>
        <v>0</v>
      </c>
      <c r="I174" s="373">
        <f t="shared" si="23"/>
        <v>0</v>
      </c>
      <c r="J174" s="21">
        <f t="shared" si="20"/>
        <v>14.024654918508622</v>
      </c>
      <c r="K174" s="371">
        <f t="shared" si="24"/>
        <v>13.307513761745003</v>
      </c>
      <c r="L174" s="149">
        <f>'As-Filed Schedule 4'!H174</f>
        <v>1</v>
      </c>
      <c r="M174" s="383">
        <f>SUMIFS(Adjustments!$G:$G,Adjustments!$H:$H,"4",Adjustments!$I:$I,'Schedule 4 Adjustments'!$L$14,Adjustments!$J:$J,'Schedule 4 Adjustments'!$A174)</f>
        <v>0</v>
      </c>
      <c r="N174" s="375">
        <f t="shared" si="25"/>
        <v>1</v>
      </c>
      <c r="O174" s="405">
        <v>0.12</v>
      </c>
      <c r="P174" s="47">
        <f t="shared" si="26"/>
        <v>0.12</v>
      </c>
      <c r="Q174" s="373">
        <f t="shared" si="27"/>
        <v>0.12</v>
      </c>
      <c r="R174" s="21">
        <f t="shared" si="21"/>
        <v>12.021132787293103</v>
      </c>
      <c r="S174" s="371">
        <f t="shared" si="28"/>
        <v>11.406440367210001</v>
      </c>
    </row>
    <row r="175" spans="1:19" s="22" customFormat="1" x14ac:dyDescent="0.35">
      <c r="A175" s="19">
        <v>163</v>
      </c>
      <c r="B175" s="19" t="s">
        <v>93</v>
      </c>
      <c r="C175" s="20" t="s">
        <v>423</v>
      </c>
      <c r="D175" s="116">
        <f>'As-Filed Schedule 4'!D175</f>
        <v>0</v>
      </c>
      <c r="E175" s="383">
        <f>SUMIFS(Adjustments!$G:$G,Adjustments!$H:$H,"4",Adjustments!$I:$I,'Schedule 4 Adjustments'!$D$14,Adjustments!$J:$J,'Schedule 4 Adjustments'!$A175)</f>
        <v>0</v>
      </c>
      <c r="F175" s="375">
        <f t="shared" si="22"/>
        <v>0</v>
      </c>
      <c r="G175" s="405">
        <v>0.14000000000000001</v>
      </c>
      <c r="H175" s="47">
        <f t="shared" si="29"/>
        <v>0</v>
      </c>
      <c r="I175" s="373">
        <f t="shared" si="23"/>
        <v>0</v>
      </c>
      <c r="J175" s="21">
        <f t="shared" si="20"/>
        <v>14.024654918508622</v>
      </c>
      <c r="K175" s="371">
        <f t="shared" si="24"/>
        <v>13.307513761745003</v>
      </c>
      <c r="L175" s="149">
        <f>'As-Filed Schedule 4'!H175</f>
        <v>0</v>
      </c>
      <c r="M175" s="383">
        <f>SUMIFS(Adjustments!$G:$G,Adjustments!$H:$H,"4",Adjustments!$I:$I,'Schedule 4 Adjustments'!$L$14,Adjustments!$J:$J,'Schedule 4 Adjustments'!$A175)</f>
        <v>0</v>
      </c>
      <c r="N175" s="375">
        <f t="shared" si="25"/>
        <v>0</v>
      </c>
      <c r="O175" s="405">
        <v>0.12</v>
      </c>
      <c r="P175" s="47">
        <f t="shared" si="26"/>
        <v>0</v>
      </c>
      <c r="Q175" s="373">
        <f t="shared" si="27"/>
        <v>0</v>
      </c>
      <c r="R175" s="21">
        <f t="shared" si="21"/>
        <v>12.021132787293103</v>
      </c>
      <c r="S175" s="371">
        <f t="shared" si="28"/>
        <v>11.406440367210001</v>
      </c>
    </row>
    <row r="176" spans="1:19" s="22" customFormat="1" x14ac:dyDescent="0.35">
      <c r="A176" s="19">
        <v>164</v>
      </c>
      <c r="B176" s="19" t="s">
        <v>94</v>
      </c>
      <c r="C176" s="20" t="s">
        <v>424</v>
      </c>
      <c r="D176" s="116">
        <f>'As-Filed Schedule 4'!D176</f>
        <v>0</v>
      </c>
      <c r="E176" s="383">
        <f>SUMIFS(Adjustments!$G:$G,Adjustments!$H:$H,"4",Adjustments!$I:$I,'Schedule 4 Adjustments'!$D$14,Adjustments!$J:$J,'Schedule 4 Adjustments'!$A176)</f>
        <v>0</v>
      </c>
      <c r="F176" s="375">
        <f t="shared" si="22"/>
        <v>0</v>
      </c>
      <c r="G176" s="405">
        <v>3.3600000000000003</v>
      </c>
      <c r="H176" s="47">
        <f t="shared" si="29"/>
        <v>0</v>
      </c>
      <c r="I176" s="373">
        <f t="shared" si="23"/>
        <v>0</v>
      </c>
      <c r="J176" s="21">
        <f t="shared" si="20"/>
        <v>336.59171804420691</v>
      </c>
      <c r="K176" s="371">
        <f t="shared" si="24"/>
        <v>319.38033028188011</v>
      </c>
      <c r="L176" s="149">
        <f>'As-Filed Schedule 4'!H176</f>
        <v>0</v>
      </c>
      <c r="M176" s="383">
        <f>SUMIFS(Adjustments!$G:$G,Adjustments!$H:$H,"4",Adjustments!$I:$I,'Schedule 4 Adjustments'!$L$14,Adjustments!$J:$J,'Schedule 4 Adjustments'!$A176)</f>
        <v>0</v>
      </c>
      <c r="N176" s="375">
        <f t="shared" si="25"/>
        <v>0</v>
      </c>
      <c r="O176" s="405">
        <v>2.88</v>
      </c>
      <c r="P176" s="47">
        <f t="shared" si="26"/>
        <v>0</v>
      </c>
      <c r="Q176" s="373">
        <f t="shared" si="27"/>
        <v>0</v>
      </c>
      <c r="R176" s="21">
        <f t="shared" si="21"/>
        <v>288.50718689503447</v>
      </c>
      <c r="S176" s="371">
        <f t="shared" si="28"/>
        <v>273.75456881304001</v>
      </c>
    </row>
    <row r="177" spans="1:19" s="22" customFormat="1" x14ac:dyDescent="0.35">
      <c r="A177" s="19">
        <v>165</v>
      </c>
      <c r="B177" s="19" t="s">
        <v>95</v>
      </c>
      <c r="C177" s="20" t="s">
        <v>425</v>
      </c>
      <c r="D177" s="116">
        <f>'As-Filed Schedule 4'!D177</f>
        <v>0</v>
      </c>
      <c r="E177" s="383">
        <f>SUMIFS(Adjustments!$G:$G,Adjustments!$H:$H,"4",Adjustments!$I:$I,'Schedule 4 Adjustments'!$D$14,Adjustments!$J:$J,'Schedule 4 Adjustments'!$A177)</f>
        <v>0</v>
      </c>
      <c r="F177" s="375">
        <f t="shared" si="22"/>
        <v>0</v>
      </c>
      <c r="G177" s="405">
        <v>0.14000000000000001</v>
      </c>
      <c r="H177" s="47">
        <f t="shared" si="29"/>
        <v>0</v>
      </c>
      <c r="I177" s="373">
        <f t="shared" si="23"/>
        <v>0</v>
      </c>
      <c r="J177" s="21">
        <f t="shared" si="20"/>
        <v>14.024654918508622</v>
      </c>
      <c r="K177" s="371">
        <f t="shared" si="24"/>
        <v>13.307513761745003</v>
      </c>
      <c r="L177" s="149">
        <f>'As-Filed Schedule 4'!H177</f>
        <v>0</v>
      </c>
      <c r="M177" s="383">
        <f>SUMIFS(Adjustments!$G:$G,Adjustments!$H:$H,"4",Adjustments!$I:$I,'Schedule 4 Adjustments'!$L$14,Adjustments!$J:$J,'Schedule 4 Adjustments'!$A177)</f>
        <v>0</v>
      </c>
      <c r="N177" s="375">
        <f t="shared" si="25"/>
        <v>0</v>
      </c>
      <c r="O177" s="405">
        <v>0.12</v>
      </c>
      <c r="P177" s="47">
        <f t="shared" si="26"/>
        <v>0</v>
      </c>
      <c r="Q177" s="373">
        <f t="shared" si="27"/>
        <v>0</v>
      </c>
      <c r="R177" s="21">
        <f t="shared" si="21"/>
        <v>12.021132787293103</v>
      </c>
      <c r="S177" s="371">
        <f t="shared" si="28"/>
        <v>11.406440367210001</v>
      </c>
    </row>
    <row r="178" spans="1:19" s="22" customFormat="1" x14ac:dyDescent="0.35">
      <c r="A178" s="19">
        <v>166</v>
      </c>
      <c r="B178" s="19" t="s">
        <v>96</v>
      </c>
      <c r="C178" s="20" t="s">
        <v>426</v>
      </c>
      <c r="D178" s="116">
        <f>'As-Filed Schedule 4'!D178</f>
        <v>0</v>
      </c>
      <c r="E178" s="383">
        <f>SUMIFS(Adjustments!$G:$G,Adjustments!$H:$H,"4",Adjustments!$I:$I,'Schedule 4 Adjustments'!$D$14,Adjustments!$J:$J,'Schedule 4 Adjustments'!$A178)</f>
        <v>0</v>
      </c>
      <c r="F178" s="375">
        <f t="shared" si="22"/>
        <v>0</v>
      </c>
      <c r="G178" s="405">
        <v>1.29</v>
      </c>
      <c r="H178" s="47">
        <f t="shared" si="29"/>
        <v>0</v>
      </c>
      <c r="I178" s="373">
        <f t="shared" si="23"/>
        <v>0</v>
      </c>
      <c r="J178" s="21">
        <f t="shared" si="20"/>
        <v>129.22717746340086</v>
      </c>
      <c r="K178" s="371">
        <f t="shared" si="24"/>
        <v>122.61923394750752</v>
      </c>
      <c r="L178" s="149">
        <f>'As-Filed Schedule 4'!H178</f>
        <v>0</v>
      </c>
      <c r="M178" s="383">
        <f>SUMIFS(Adjustments!$G:$G,Adjustments!$H:$H,"4",Adjustments!$I:$I,'Schedule 4 Adjustments'!$L$14,Adjustments!$J:$J,'Schedule 4 Adjustments'!$A178)</f>
        <v>0</v>
      </c>
      <c r="N178" s="375">
        <f t="shared" si="25"/>
        <v>0</v>
      </c>
      <c r="O178" s="405">
        <v>1.1299999999999999</v>
      </c>
      <c r="P178" s="47">
        <f t="shared" si="26"/>
        <v>0</v>
      </c>
      <c r="Q178" s="373">
        <f t="shared" si="27"/>
        <v>0</v>
      </c>
      <c r="R178" s="21">
        <f t="shared" si="21"/>
        <v>113.19900041367671</v>
      </c>
      <c r="S178" s="371">
        <f t="shared" si="28"/>
        <v>107.41064679122751</v>
      </c>
    </row>
    <row r="179" spans="1:19" s="22" customFormat="1" x14ac:dyDescent="0.35">
      <c r="A179" s="19">
        <v>167</v>
      </c>
      <c r="B179" s="19" t="s">
        <v>35</v>
      </c>
      <c r="C179" s="20" t="s">
        <v>37</v>
      </c>
      <c r="D179" s="116">
        <f>'As-Filed Schedule 4'!D179</f>
        <v>0</v>
      </c>
      <c r="E179" s="383">
        <f>SUMIFS(Adjustments!$G:$G,Adjustments!$H:$H,"4",Adjustments!$I:$I,'Schedule 4 Adjustments'!$D$14,Adjustments!$J:$J,'Schedule 4 Adjustments'!$A179)</f>
        <v>0</v>
      </c>
      <c r="F179" s="375">
        <f t="shared" si="22"/>
        <v>0</v>
      </c>
      <c r="G179" s="405">
        <v>0</v>
      </c>
      <c r="H179" s="47">
        <f t="shared" si="29"/>
        <v>0</v>
      </c>
      <c r="I179" s="373">
        <f t="shared" si="23"/>
        <v>0</v>
      </c>
      <c r="J179" s="21">
        <f t="shared" si="20"/>
        <v>0</v>
      </c>
      <c r="K179" s="371">
        <f t="shared" si="24"/>
        <v>0</v>
      </c>
      <c r="L179" s="149">
        <f>'As-Filed Schedule 4'!H179</f>
        <v>0</v>
      </c>
      <c r="M179" s="383">
        <f>SUMIFS(Adjustments!$G:$G,Adjustments!$H:$H,"4",Adjustments!$I:$I,'Schedule 4 Adjustments'!$L$14,Adjustments!$J:$J,'Schedule 4 Adjustments'!$A179)</f>
        <v>0</v>
      </c>
      <c r="N179" s="375">
        <f t="shared" si="25"/>
        <v>0</v>
      </c>
      <c r="O179" s="405">
        <v>0</v>
      </c>
      <c r="P179" s="47">
        <f t="shared" si="26"/>
        <v>0</v>
      </c>
      <c r="Q179" s="373">
        <f t="shared" si="27"/>
        <v>0</v>
      </c>
      <c r="R179" s="21">
        <f t="shared" si="21"/>
        <v>0</v>
      </c>
      <c r="S179" s="371">
        <f t="shared" si="28"/>
        <v>0</v>
      </c>
    </row>
    <row r="180" spans="1:19" s="22" customFormat="1" x14ac:dyDescent="0.35">
      <c r="A180" s="19">
        <v>168</v>
      </c>
      <c r="B180" s="19" t="s">
        <v>97</v>
      </c>
      <c r="C180" s="20" t="s">
        <v>427</v>
      </c>
      <c r="D180" s="116">
        <f>'As-Filed Schedule 4'!D180</f>
        <v>0</v>
      </c>
      <c r="E180" s="383">
        <f>SUMIFS(Adjustments!$G:$G,Adjustments!$H:$H,"4",Adjustments!$I:$I,'Schedule 4 Adjustments'!$D$14,Adjustments!$J:$J,'Schedule 4 Adjustments'!$A180)</f>
        <v>0</v>
      </c>
      <c r="F180" s="375">
        <f t="shared" si="22"/>
        <v>0</v>
      </c>
      <c r="G180" s="405">
        <v>0</v>
      </c>
      <c r="H180" s="47">
        <f t="shared" si="29"/>
        <v>0</v>
      </c>
      <c r="I180" s="373">
        <f t="shared" si="23"/>
        <v>0</v>
      </c>
      <c r="J180" s="21">
        <f t="shared" si="20"/>
        <v>0</v>
      </c>
      <c r="K180" s="371">
        <f t="shared" si="24"/>
        <v>0</v>
      </c>
      <c r="L180" s="149">
        <f>'As-Filed Schedule 4'!H180</f>
        <v>0</v>
      </c>
      <c r="M180" s="383">
        <f>SUMIFS(Adjustments!$G:$G,Adjustments!$H:$H,"4",Adjustments!$I:$I,'Schedule 4 Adjustments'!$L$14,Adjustments!$J:$J,'Schedule 4 Adjustments'!$A180)</f>
        <v>0</v>
      </c>
      <c r="N180" s="375">
        <f t="shared" si="25"/>
        <v>0</v>
      </c>
      <c r="O180" s="405">
        <v>0</v>
      </c>
      <c r="P180" s="47">
        <f t="shared" si="26"/>
        <v>0</v>
      </c>
      <c r="Q180" s="373">
        <f t="shared" si="27"/>
        <v>0</v>
      </c>
      <c r="R180" s="21">
        <f t="shared" si="21"/>
        <v>0</v>
      </c>
      <c r="S180" s="371">
        <f t="shared" si="28"/>
        <v>0</v>
      </c>
    </row>
    <row r="181" spans="1:19" s="22" customFormat="1" x14ac:dyDescent="0.35">
      <c r="A181" s="19">
        <v>169</v>
      </c>
      <c r="B181" s="19" t="s">
        <v>98</v>
      </c>
      <c r="C181" s="20" t="s">
        <v>428</v>
      </c>
      <c r="D181" s="116">
        <f>'As-Filed Schedule 4'!D181</f>
        <v>0</v>
      </c>
      <c r="E181" s="383">
        <f>SUMIFS(Adjustments!$G:$G,Adjustments!$H:$H,"4",Adjustments!$I:$I,'Schedule 4 Adjustments'!$D$14,Adjustments!$J:$J,'Schedule 4 Adjustments'!$A181)</f>
        <v>0</v>
      </c>
      <c r="F181" s="375">
        <f t="shared" si="22"/>
        <v>0</v>
      </c>
      <c r="G181" s="405">
        <v>0.22</v>
      </c>
      <c r="H181" s="47">
        <f t="shared" si="29"/>
        <v>0</v>
      </c>
      <c r="I181" s="373">
        <f t="shared" si="23"/>
        <v>0</v>
      </c>
      <c r="J181" s="21">
        <f t="shared" si="20"/>
        <v>22.038743443370691</v>
      </c>
      <c r="K181" s="371">
        <f t="shared" si="24"/>
        <v>20.911807339885005</v>
      </c>
      <c r="L181" s="149">
        <f>'As-Filed Schedule 4'!H181</f>
        <v>0</v>
      </c>
      <c r="M181" s="383">
        <f>SUMIFS(Adjustments!$G:$G,Adjustments!$H:$H,"4",Adjustments!$I:$I,'Schedule 4 Adjustments'!$L$14,Adjustments!$J:$J,'Schedule 4 Adjustments'!$A181)</f>
        <v>0</v>
      </c>
      <c r="N181" s="375">
        <f t="shared" si="25"/>
        <v>0</v>
      </c>
      <c r="O181" s="405">
        <v>0.22</v>
      </c>
      <c r="P181" s="47">
        <f t="shared" si="26"/>
        <v>0</v>
      </c>
      <c r="Q181" s="373">
        <f t="shared" si="27"/>
        <v>0</v>
      </c>
      <c r="R181" s="21">
        <f t="shared" si="21"/>
        <v>22.038743443370691</v>
      </c>
      <c r="S181" s="371">
        <f t="shared" si="28"/>
        <v>20.911807339885005</v>
      </c>
    </row>
    <row r="182" spans="1:19" s="22" customFormat="1" x14ac:dyDescent="0.35">
      <c r="A182" s="19">
        <v>170</v>
      </c>
      <c r="B182" s="19" t="s">
        <v>99</v>
      </c>
      <c r="C182" s="20" t="s">
        <v>429</v>
      </c>
      <c r="D182" s="116">
        <f>'As-Filed Schedule 4'!D182</f>
        <v>0</v>
      </c>
      <c r="E182" s="383">
        <f>SUMIFS(Adjustments!$G:$G,Adjustments!$H:$H,"4",Adjustments!$I:$I,'Schedule 4 Adjustments'!$D$14,Adjustments!$J:$J,'Schedule 4 Adjustments'!$A182)</f>
        <v>0</v>
      </c>
      <c r="F182" s="375">
        <f t="shared" si="22"/>
        <v>0</v>
      </c>
      <c r="G182" s="405">
        <v>4.4000000000000004</v>
      </c>
      <c r="H182" s="47">
        <f t="shared" si="29"/>
        <v>0</v>
      </c>
      <c r="I182" s="373">
        <f t="shared" si="23"/>
        <v>0</v>
      </c>
      <c r="J182" s="21">
        <f t="shared" si="20"/>
        <v>440.77486886741383</v>
      </c>
      <c r="K182" s="371">
        <f t="shared" si="24"/>
        <v>418.23614679770009</v>
      </c>
      <c r="L182" s="149">
        <f>'As-Filed Schedule 4'!H182</f>
        <v>0</v>
      </c>
      <c r="M182" s="383">
        <f>SUMIFS(Adjustments!$G:$G,Adjustments!$H:$H,"4",Adjustments!$I:$I,'Schedule 4 Adjustments'!$L$14,Adjustments!$J:$J,'Schedule 4 Adjustments'!$A182)</f>
        <v>0</v>
      </c>
      <c r="N182" s="375">
        <f t="shared" si="25"/>
        <v>0</v>
      </c>
      <c r="O182" s="405">
        <v>4.4000000000000004</v>
      </c>
      <c r="P182" s="47">
        <f t="shared" si="26"/>
        <v>0</v>
      </c>
      <c r="Q182" s="373">
        <f t="shared" si="27"/>
        <v>0</v>
      </c>
      <c r="R182" s="21">
        <f t="shared" si="21"/>
        <v>440.77486886741383</v>
      </c>
      <c r="S182" s="371">
        <f t="shared" si="28"/>
        <v>418.23614679770009</v>
      </c>
    </row>
    <row r="183" spans="1:19" s="22" customFormat="1" x14ac:dyDescent="0.35">
      <c r="A183" s="19">
        <v>171</v>
      </c>
      <c r="B183" s="19" t="s">
        <v>100</v>
      </c>
      <c r="C183" s="20" t="s">
        <v>147</v>
      </c>
      <c r="D183" s="116">
        <f>'As-Filed Schedule 4'!D183</f>
        <v>0</v>
      </c>
      <c r="E183" s="383">
        <f>SUMIFS(Adjustments!$G:$G,Adjustments!$H:$H,"4",Adjustments!$I:$I,'Schedule 4 Adjustments'!$D$14,Adjustments!$J:$J,'Schedule 4 Adjustments'!$A183)</f>
        <v>0</v>
      </c>
      <c r="F183" s="375">
        <f t="shared" si="22"/>
        <v>0</v>
      </c>
      <c r="G183" s="405">
        <v>1.02</v>
      </c>
      <c r="H183" s="47">
        <f t="shared" si="29"/>
        <v>0</v>
      </c>
      <c r="I183" s="373">
        <f t="shared" si="23"/>
        <v>0</v>
      </c>
      <c r="J183" s="21">
        <f t="shared" si="20"/>
        <v>102.17962869199138</v>
      </c>
      <c r="K183" s="371">
        <f t="shared" si="24"/>
        <v>96.95474312128502</v>
      </c>
      <c r="L183" s="149">
        <f>'As-Filed Schedule 4'!H183</f>
        <v>0</v>
      </c>
      <c r="M183" s="383">
        <f>SUMIFS(Adjustments!$G:$G,Adjustments!$H:$H,"4",Adjustments!$I:$I,'Schedule 4 Adjustments'!$L$14,Adjustments!$J:$J,'Schedule 4 Adjustments'!$A183)</f>
        <v>0</v>
      </c>
      <c r="N183" s="375">
        <f t="shared" si="25"/>
        <v>0</v>
      </c>
      <c r="O183" s="405">
        <v>0.94</v>
      </c>
      <c r="P183" s="47">
        <f t="shared" si="26"/>
        <v>0</v>
      </c>
      <c r="Q183" s="373">
        <f t="shared" si="27"/>
        <v>0</v>
      </c>
      <c r="R183" s="21">
        <f t="shared" si="21"/>
        <v>94.165540167129308</v>
      </c>
      <c r="S183" s="371">
        <f t="shared" si="28"/>
        <v>89.350449543145004</v>
      </c>
    </row>
    <row r="184" spans="1:19" s="22" customFormat="1" x14ac:dyDescent="0.35">
      <c r="A184" s="19">
        <v>172</v>
      </c>
      <c r="B184" s="19" t="s">
        <v>101</v>
      </c>
      <c r="C184" s="20" t="s">
        <v>148</v>
      </c>
      <c r="D184" s="116">
        <f>'As-Filed Schedule 4'!D184</f>
        <v>0</v>
      </c>
      <c r="E184" s="383">
        <f>SUMIFS(Adjustments!$G:$G,Adjustments!$H:$H,"4",Adjustments!$I:$I,'Schedule 4 Adjustments'!$D$14,Adjustments!$J:$J,'Schedule 4 Adjustments'!$A184)</f>
        <v>0</v>
      </c>
      <c r="F184" s="375">
        <f t="shared" si="22"/>
        <v>0</v>
      </c>
      <c r="G184" s="405">
        <v>0.75</v>
      </c>
      <c r="H184" s="47">
        <f t="shared" si="29"/>
        <v>0</v>
      </c>
      <c r="I184" s="373">
        <f t="shared" si="23"/>
        <v>0</v>
      </c>
      <c r="J184" s="21">
        <f t="shared" si="20"/>
        <v>75.132079920581901</v>
      </c>
      <c r="K184" s="371">
        <f t="shared" si="24"/>
        <v>71.290252295062515</v>
      </c>
      <c r="L184" s="149">
        <f>'As-Filed Schedule 4'!H184</f>
        <v>0</v>
      </c>
      <c r="M184" s="383">
        <f>SUMIFS(Adjustments!$G:$G,Adjustments!$H:$H,"4",Adjustments!$I:$I,'Schedule 4 Adjustments'!$L$14,Adjustments!$J:$J,'Schedule 4 Adjustments'!$A184)</f>
        <v>0</v>
      </c>
      <c r="N184" s="375">
        <f t="shared" si="25"/>
        <v>0</v>
      </c>
      <c r="O184" s="405">
        <v>0.37</v>
      </c>
      <c r="P184" s="47">
        <f t="shared" si="26"/>
        <v>0</v>
      </c>
      <c r="Q184" s="373">
        <f t="shared" si="27"/>
        <v>0</v>
      </c>
      <c r="R184" s="21">
        <f t="shared" si="21"/>
        <v>37.065159427487067</v>
      </c>
      <c r="S184" s="371">
        <f t="shared" si="28"/>
        <v>35.169857798897503</v>
      </c>
    </row>
    <row r="185" spans="1:19" s="22" customFormat="1" x14ac:dyDescent="0.35">
      <c r="A185" s="19">
        <v>173</v>
      </c>
      <c r="B185" s="19" t="s">
        <v>102</v>
      </c>
      <c r="C185" s="20" t="s">
        <v>430</v>
      </c>
      <c r="D185" s="116">
        <f>'As-Filed Schedule 4'!D185</f>
        <v>0</v>
      </c>
      <c r="E185" s="383">
        <f>SUMIFS(Adjustments!$G:$G,Adjustments!$H:$H,"4",Adjustments!$I:$I,'Schedule 4 Adjustments'!$D$14,Adjustments!$J:$J,'Schedule 4 Adjustments'!$A185)</f>
        <v>0</v>
      </c>
      <c r="F185" s="375">
        <f t="shared" si="22"/>
        <v>0</v>
      </c>
      <c r="G185" s="405">
        <v>0.75</v>
      </c>
      <c r="H185" s="47">
        <f t="shared" si="29"/>
        <v>0</v>
      </c>
      <c r="I185" s="373">
        <f t="shared" si="23"/>
        <v>0</v>
      </c>
      <c r="J185" s="21">
        <f t="shared" si="20"/>
        <v>75.132079920581901</v>
      </c>
      <c r="K185" s="371">
        <f t="shared" si="24"/>
        <v>71.290252295062515</v>
      </c>
      <c r="L185" s="149">
        <f>'As-Filed Schedule 4'!H185</f>
        <v>0</v>
      </c>
      <c r="M185" s="383">
        <f>SUMIFS(Adjustments!$G:$G,Adjustments!$H:$H,"4",Adjustments!$I:$I,'Schedule 4 Adjustments'!$L$14,Adjustments!$J:$J,'Schedule 4 Adjustments'!$A185)</f>
        <v>0</v>
      </c>
      <c r="N185" s="375">
        <f t="shared" si="25"/>
        <v>0</v>
      </c>
      <c r="O185" s="405">
        <v>0.37</v>
      </c>
      <c r="P185" s="47">
        <f t="shared" si="26"/>
        <v>0</v>
      </c>
      <c r="Q185" s="373">
        <f t="shared" si="27"/>
        <v>0</v>
      </c>
      <c r="R185" s="21">
        <f t="shared" si="21"/>
        <v>37.065159427487067</v>
      </c>
      <c r="S185" s="371">
        <f t="shared" si="28"/>
        <v>35.169857798897503</v>
      </c>
    </row>
    <row r="186" spans="1:19" s="22" customFormat="1" x14ac:dyDescent="0.35">
      <c r="A186" s="19">
        <v>174</v>
      </c>
      <c r="B186" s="19" t="s">
        <v>103</v>
      </c>
      <c r="C186" s="20" t="s">
        <v>431</v>
      </c>
      <c r="D186" s="116">
        <f>'As-Filed Schedule 4'!D186</f>
        <v>0</v>
      </c>
      <c r="E186" s="383">
        <f>SUMIFS(Adjustments!$G:$G,Adjustments!$H:$H,"4",Adjustments!$I:$I,'Schedule 4 Adjustments'!$D$14,Adjustments!$J:$J,'Schedule 4 Adjustments'!$A186)</f>
        <v>0</v>
      </c>
      <c r="F186" s="375">
        <f t="shared" si="22"/>
        <v>0</v>
      </c>
      <c r="G186" s="405">
        <v>3.96</v>
      </c>
      <c r="H186" s="47">
        <f t="shared" si="29"/>
        <v>0</v>
      </c>
      <c r="I186" s="373">
        <f t="shared" si="23"/>
        <v>0</v>
      </c>
      <c r="J186" s="21">
        <f t="shared" si="20"/>
        <v>396.69738198067239</v>
      </c>
      <c r="K186" s="371">
        <f t="shared" si="24"/>
        <v>376.41253211793008</v>
      </c>
      <c r="L186" s="149">
        <f>'As-Filed Schedule 4'!H186</f>
        <v>2200</v>
      </c>
      <c r="M186" s="383">
        <f>SUMIFS(Adjustments!$G:$G,Adjustments!$H:$H,"4",Adjustments!$I:$I,'Schedule 4 Adjustments'!$L$14,Adjustments!$J:$J,'Schedule 4 Adjustments'!$A186)</f>
        <v>0</v>
      </c>
      <c r="N186" s="375">
        <f t="shared" si="25"/>
        <v>2200</v>
      </c>
      <c r="O186" s="405">
        <v>3.96</v>
      </c>
      <c r="P186" s="47">
        <f t="shared" si="26"/>
        <v>8712</v>
      </c>
      <c r="Q186" s="373">
        <f t="shared" si="27"/>
        <v>8712</v>
      </c>
      <c r="R186" s="21">
        <f t="shared" si="21"/>
        <v>396.69738198067239</v>
      </c>
      <c r="S186" s="371">
        <f t="shared" si="28"/>
        <v>376.41253211793008</v>
      </c>
    </row>
    <row r="187" spans="1:19" s="22" customFormat="1" x14ac:dyDescent="0.35">
      <c r="A187" s="19">
        <v>175</v>
      </c>
      <c r="B187" s="19" t="s">
        <v>104</v>
      </c>
      <c r="C187" s="20" t="s">
        <v>432</v>
      </c>
      <c r="D187" s="116">
        <f>'As-Filed Schedule 4'!D187</f>
        <v>0</v>
      </c>
      <c r="E187" s="383">
        <f>SUMIFS(Adjustments!$G:$G,Adjustments!$H:$H,"4",Adjustments!$I:$I,'Schedule 4 Adjustments'!$D$14,Adjustments!$J:$J,'Schedule 4 Adjustments'!$A187)</f>
        <v>0</v>
      </c>
      <c r="F187" s="375">
        <f t="shared" si="22"/>
        <v>0</v>
      </c>
      <c r="G187" s="405">
        <v>3.59</v>
      </c>
      <c r="H187" s="47">
        <f t="shared" si="29"/>
        <v>0</v>
      </c>
      <c r="I187" s="373">
        <f t="shared" si="23"/>
        <v>0</v>
      </c>
      <c r="J187" s="21">
        <f t="shared" si="20"/>
        <v>359.63222255318533</v>
      </c>
      <c r="K187" s="371">
        <f t="shared" si="24"/>
        <v>341.24267431903252</v>
      </c>
      <c r="L187" s="149">
        <f>'As-Filed Schedule 4'!H187</f>
        <v>0</v>
      </c>
      <c r="M187" s="383">
        <f>SUMIFS(Adjustments!$G:$G,Adjustments!$H:$H,"4",Adjustments!$I:$I,'Schedule 4 Adjustments'!$L$14,Adjustments!$J:$J,'Schedule 4 Adjustments'!$A187)</f>
        <v>0</v>
      </c>
      <c r="N187" s="375">
        <f t="shared" si="25"/>
        <v>0</v>
      </c>
      <c r="O187" s="405">
        <v>3.59</v>
      </c>
      <c r="P187" s="47">
        <f t="shared" si="26"/>
        <v>0</v>
      </c>
      <c r="Q187" s="373">
        <f t="shared" si="27"/>
        <v>0</v>
      </c>
      <c r="R187" s="21">
        <f t="shared" si="21"/>
        <v>359.63222255318533</v>
      </c>
      <c r="S187" s="371">
        <f t="shared" si="28"/>
        <v>341.24267431903252</v>
      </c>
    </row>
    <row r="188" spans="1:19" s="22" customFormat="1" x14ac:dyDescent="0.35">
      <c r="A188" s="19">
        <v>176</v>
      </c>
      <c r="B188" s="19" t="s">
        <v>36</v>
      </c>
      <c r="C188" s="20" t="s">
        <v>38</v>
      </c>
      <c r="D188" s="116">
        <f>'As-Filed Schedule 4'!D188</f>
        <v>0</v>
      </c>
      <c r="E188" s="383">
        <f>SUMIFS(Adjustments!$G:$G,Adjustments!$H:$H,"4",Adjustments!$I:$I,'Schedule 4 Adjustments'!$D$14,Adjustments!$J:$J,'Schedule 4 Adjustments'!$A188)</f>
        <v>0</v>
      </c>
      <c r="F188" s="375">
        <f t="shared" si="22"/>
        <v>0</v>
      </c>
      <c r="G188" s="405">
        <v>0</v>
      </c>
      <c r="H188" s="47">
        <f t="shared" si="29"/>
        <v>0</v>
      </c>
      <c r="I188" s="373">
        <f t="shared" si="23"/>
        <v>0</v>
      </c>
      <c r="J188" s="21">
        <f t="shared" si="20"/>
        <v>0</v>
      </c>
      <c r="K188" s="371">
        <f t="shared" si="24"/>
        <v>0</v>
      </c>
      <c r="L188" s="149">
        <f>'As-Filed Schedule 4'!H188</f>
        <v>0</v>
      </c>
      <c r="M188" s="383">
        <f>SUMIFS(Adjustments!$G:$G,Adjustments!$H:$H,"4",Adjustments!$I:$I,'Schedule 4 Adjustments'!$L$14,Adjustments!$J:$J,'Schedule 4 Adjustments'!$A188)</f>
        <v>0</v>
      </c>
      <c r="N188" s="375">
        <f t="shared" si="25"/>
        <v>0</v>
      </c>
      <c r="O188" s="405">
        <v>0</v>
      </c>
      <c r="P188" s="47">
        <f t="shared" si="26"/>
        <v>0</v>
      </c>
      <c r="Q188" s="373">
        <f t="shared" si="27"/>
        <v>0</v>
      </c>
      <c r="R188" s="21">
        <f t="shared" si="21"/>
        <v>0</v>
      </c>
      <c r="S188" s="371">
        <f t="shared" si="28"/>
        <v>0</v>
      </c>
    </row>
    <row r="189" spans="1:19" s="22" customFormat="1" x14ac:dyDescent="0.35">
      <c r="A189" s="19">
        <v>177</v>
      </c>
      <c r="B189" s="19" t="s">
        <v>105</v>
      </c>
      <c r="C189" s="20" t="s">
        <v>433</v>
      </c>
      <c r="D189" s="116">
        <f>'As-Filed Schedule 4'!D189</f>
        <v>0</v>
      </c>
      <c r="E189" s="383">
        <f>SUMIFS(Adjustments!$G:$G,Adjustments!$H:$H,"4",Adjustments!$I:$I,'Schedule 4 Adjustments'!$D$14,Adjustments!$J:$J,'Schedule 4 Adjustments'!$A189)</f>
        <v>0</v>
      </c>
      <c r="F189" s="375">
        <f t="shared" si="22"/>
        <v>0</v>
      </c>
      <c r="G189" s="405">
        <v>0.28999999999999998</v>
      </c>
      <c r="H189" s="47">
        <f t="shared" si="29"/>
        <v>0</v>
      </c>
      <c r="I189" s="373">
        <f t="shared" si="23"/>
        <v>0</v>
      </c>
      <c r="J189" s="21">
        <f t="shared" si="20"/>
        <v>29.051070902625</v>
      </c>
      <c r="K189" s="371">
        <f t="shared" si="24"/>
        <v>27.565564220757501</v>
      </c>
      <c r="L189" s="149">
        <f>'As-Filed Schedule 4'!H189</f>
        <v>0</v>
      </c>
      <c r="M189" s="383">
        <f>SUMIFS(Adjustments!$G:$G,Adjustments!$H:$H,"4",Adjustments!$I:$I,'Schedule 4 Adjustments'!$L$14,Adjustments!$J:$J,'Schedule 4 Adjustments'!$A189)</f>
        <v>0</v>
      </c>
      <c r="N189" s="375">
        <f t="shared" si="25"/>
        <v>0</v>
      </c>
      <c r="O189" s="405">
        <v>0.28999999999999998</v>
      </c>
      <c r="P189" s="47">
        <f t="shared" si="26"/>
        <v>0</v>
      </c>
      <c r="Q189" s="373">
        <f t="shared" si="27"/>
        <v>0</v>
      </c>
      <c r="R189" s="21">
        <f t="shared" si="21"/>
        <v>29.051070902625</v>
      </c>
      <c r="S189" s="371">
        <f t="shared" si="28"/>
        <v>27.565564220757501</v>
      </c>
    </row>
    <row r="190" spans="1:19" s="22" customFormat="1" x14ac:dyDescent="0.35">
      <c r="A190" s="19">
        <v>178</v>
      </c>
      <c r="B190" s="19" t="s">
        <v>106</v>
      </c>
      <c r="C190" s="20" t="s">
        <v>149</v>
      </c>
      <c r="D190" s="116">
        <f>'As-Filed Schedule 4'!D190</f>
        <v>0</v>
      </c>
      <c r="E190" s="383">
        <f>SUMIFS(Adjustments!$G:$G,Adjustments!$H:$H,"4",Adjustments!$I:$I,'Schedule 4 Adjustments'!$D$14,Adjustments!$J:$J,'Schedule 4 Adjustments'!$A190)</f>
        <v>0</v>
      </c>
      <c r="F190" s="375">
        <f t="shared" si="22"/>
        <v>0</v>
      </c>
      <c r="G190" s="405">
        <v>3.07</v>
      </c>
      <c r="H190" s="47">
        <f t="shared" si="29"/>
        <v>0</v>
      </c>
      <c r="I190" s="373">
        <f t="shared" si="23"/>
        <v>0</v>
      </c>
      <c r="J190" s="21">
        <f t="shared" si="20"/>
        <v>307.54064714158187</v>
      </c>
      <c r="K190" s="371">
        <f t="shared" si="24"/>
        <v>291.81476606112255</v>
      </c>
      <c r="L190" s="149">
        <f>'As-Filed Schedule 4'!H190</f>
        <v>0</v>
      </c>
      <c r="M190" s="383">
        <f>SUMIFS(Adjustments!$G:$G,Adjustments!$H:$H,"4",Adjustments!$I:$I,'Schedule 4 Adjustments'!$L$14,Adjustments!$J:$J,'Schedule 4 Adjustments'!$A190)</f>
        <v>0</v>
      </c>
      <c r="N190" s="375">
        <f t="shared" si="25"/>
        <v>0</v>
      </c>
      <c r="O190" s="405">
        <v>3.05</v>
      </c>
      <c r="P190" s="47">
        <f t="shared" si="26"/>
        <v>0</v>
      </c>
      <c r="Q190" s="373">
        <f t="shared" si="27"/>
        <v>0</v>
      </c>
      <c r="R190" s="21">
        <f t="shared" si="21"/>
        <v>305.53712501036637</v>
      </c>
      <c r="S190" s="371">
        <f t="shared" si="28"/>
        <v>289.91369266658751</v>
      </c>
    </row>
    <row r="191" spans="1:19" s="22" customFormat="1" ht="29" x14ac:dyDescent="0.35">
      <c r="A191" s="19">
        <v>179</v>
      </c>
      <c r="B191" s="19" t="s">
        <v>27</v>
      </c>
      <c r="C191" s="20" t="s">
        <v>30</v>
      </c>
      <c r="D191" s="116">
        <f>'As-Filed Schedule 4'!D191</f>
        <v>0</v>
      </c>
      <c r="E191" s="383">
        <f>SUMIFS(Adjustments!$G:$G,Adjustments!$H:$H,"4",Adjustments!$I:$I,'Schedule 4 Adjustments'!$D$14,Adjustments!$J:$J,'Schedule 4 Adjustments'!$A191)</f>
        <v>0</v>
      </c>
      <c r="F191" s="375">
        <f t="shared" si="22"/>
        <v>0</v>
      </c>
      <c r="G191" s="405">
        <v>0</v>
      </c>
      <c r="H191" s="47">
        <f t="shared" si="29"/>
        <v>0</v>
      </c>
      <c r="I191" s="373">
        <f t="shared" si="23"/>
        <v>0</v>
      </c>
      <c r="J191" s="21">
        <f t="shared" si="20"/>
        <v>0</v>
      </c>
      <c r="K191" s="371">
        <f t="shared" si="24"/>
        <v>0</v>
      </c>
      <c r="L191" s="149">
        <f>'As-Filed Schedule 4'!H191</f>
        <v>0</v>
      </c>
      <c r="M191" s="383">
        <f>SUMIFS(Adjustments!$G:$G,Adjustments!$H:$H,"4",Adjustments!$I:$I,'Schedule 4 Adjustments'!$L$14,Adjustments!$J:$J,'Schedule 4 Adjustments'!$A191)</f>
        <v>0</v>
      </c>
      <c r="N191" s="375">
        <f t="shared" si="25"/>
        <v>0</v>
      </c>
      <c r="O191" s="405">
        <v>0</v>
      </c>
      <c r="P191" s="47">
        <f t="shared" si="26"/>
        <v>0</v>
      </c>
      <c r="Q191" s="373">
        <f t="shared" si="27"/>
        <v>0</v>
      </c>
      <c r="R191" s="21">
        <f t="shared" si="21"/>
        <v>0</v>
      </c>
      <c r="S191" s="371">
        <f t="shared" si="28"/>
        <v>0</v>
      </c>
    </row>
    <row r="192" spans="1:19" s="22" customFormat="1" x14ac:dyDescent="0.35">
      <c r="A192" s="19">
        <v>180</v>
      </c>
      <c r="B192" s="19" t="s">
        <v>107</v>
      </c>
      <c r="C192" s="20" t="s">
        <v>150</v>
      </c>
      <c r="D192" s="116">
        <f>'As-Filed Schedule 4'!D192</f>
        <v>0</v>
      </c>
      <c r="E192" s="383">
        <f>SUMIFS(Adjustments!$G:$G,Adjustments!$H:$H,"4",Adjustments!$I:$I,'Schedule 4 Adjustments'!$D$14,Adjustments!$J:$J,'Schedule 4 Adjustments'!$A192)</f>
        <v>0</v>
      </c>
      <c r="F192" s="375">
        <f t="shared" si="22"/>
        <v>0</v>
      </c>
      <c r="G192" s="405">
        <v>0.59</v>
      </c>
      <c r="H192" s="47">
        <f t="shared" si="29"/>
        <v>0</v>
      </c>
      <c r="I192" s="373">
        <f t="shared" si="23"/>
        <v>0</v>
      </c>
      <c r="J192" s="21">
        <f t="shared" si="20"/>
        <v>59.103902870857759</v>
      </c>
      <c r="K192" s="371">
        <f t="shared" si="24"/>
        <v>56.081665138782505</v>
      </c>
      <c r="L192" s="149">
        <f>'As-Filed Schedule 4'!H192</f>
        <v>0</v>
      </c>
      <c r="M192" s="383">
        <f>SUMIFS(Adjustments!$G:$G,Adjustments!$H:$H,"4",Adjustments!$I:$I,'Schedule 4 Adjustments'!$L$14,Adjustments!$J:$J,'Schedule 4 Adjustments'!$A192)</f>
        <v>0</v>
      </c>
      <c r="N192" s="375">
        <f t="shared" si="25"/>
        <v>0</v>
      </c>
      <c r="O192" s="405">
        <v>0.55000000000000004</v>
      </c>
      <c r="P192" s="47">
        <f t="shared" si="26"/>
        <v>0</v>
      </c>
      <c r="Q192" s="373">
        <f t="shared" si="27"/>
        <v>0</v>
      </c>
      <c r="R192" s="21">
        <f t="shared" si="21"/>
        <v>55.096858608426729</v>
      </c>
      <c r="S192" s="371">
        <f t="shared" si="28"/>
        <v>52.279518349712511</v>
      </c>
    </row>
    <row r="193" spans="1:19" s="22" customFormat="1" x14ac:dyDescent="0.35">
      <c r="A193" s="19">
        <v>181</v>
      </c>
      <c r="B193" s="19" t="s">
        <v>28</v>
      </c>
      <c r="C193" s="20" t="s">
        <v>31</v>
      </c>
      <c r="D193" s="116">
        <f>'As-Filed Schedule 4'!D193</f>
        <v>0</v>
      </c>
      <c r="E193" s="383">
        <f>SUMIFS(Adjustments!$G:$G,Adjustments!$H:$H,"4",Adjustments!$I:$I,'Schedule 4 Adjustments'!$D$14,Adjustments!$J:$J,'Schedule 4 Adjustments'!$A193)</f>
        <v>0</v>
      </c>
      <c r="F193" s="375">
        <f t="shared" si="22"/>
        <v>0</v>
      </c>
      <c r="G193" s="405">
        <v>0</v>
      </c>
      <c r="H193" s="47">
        <f t="shared" si="29"/>
        <v>0</v>
      </c>
      <c r="I193" s="373">
        <f t="shared" si="23"/>
        <v>0</v>
      </c>
      <c r="J193" s="21">
        <f t="shared" si="20"/>
        <v>0</v>
      </c>
      <c r="K193" s="371">
        <f t="shared" si="24"/>
        <v>0</v>
      </c>
      <c r="L193" s="149">
        <f>'As-Filed Schedule 4'!H193</f>
        <v>0</v>
      </c>
      <c r="M193" s="383">
        <f>SUMIFS(Adjustments!$G:$G,Adjustments!$H:$H,"4",Adjustments!$I:$I,'Schedule 4 Adjustments'!$L$14,Adjustments!$J:$J,'Schedule 4 Adjustments'!$A193)</f>
        <v>0</v>
      </c>
      <c r="N193" s="375">
        <f t="shared" si="25"/>
        <v>0</v>
      </c>
      <c r="O193" s="405">
        <v>0</v>
      </c>
      <c r="P193" s="47">
        <f t="shared" si="26"/>
        <v>0</v>
      </c>
      <c r="Q193" s="373">
        <f t="shared" si="27"/>
        <v>0</v>
      </c>
      <c r="R193" s="21">
        <f t="shared" si="21"/>
        <v>0</v>
      </c>
      <c r="S193" s="371">
        <f t="shared" si="28"/>
        <v>0</v>
      </c>
    </row>
    <row r="194" spans="1:19" s="22" customFormat="1" x14ac:dyDescent="0.35">
      <c r="A194" s="19">
        <v>182</v>
      </c>
      <c r="B194" s="19" t="s">
        <v>108</v>
      </c>
      <c r="C194" s="20" t="s">
        <v>434</v>
      </c>
      <c r="D194" s="116">
        <f>'As-Filed Schedule 4'!D194</f>
        <v>0</v>
      </c>
      <c r="E194" s="383">
        <f>SUMIFS(Adjustments!$G:$G,Adjustments!$H:$H,"4",Adjustments!$I:$I,'Schedule 4 Adjustments'!$D$14,Adjustments!$J:$J,'Schedule 4 Adjustments'!$A194)</f>
        <v>0</v>
      </c>
      <c r="F194" s="375">
        <f t="shared" si="22"/>
        <v>0</v>
      </c>
      <c r="G194" s="405">
        <v>0.64</v>
      </c>
      <c r="H194" s="47">
        <f t="shared" si="29"/>
        <v>0</v>
      </c>
      <c r="I194" s="373">
        <f t="shared" si="23"/>
        <v>0</v>
      </c>
      <c r="J194" s="21">
        <f t="shared" si="20"/>
        <v>64.112708198896556</v>
      </c>
      <c r="K194" s="371">
        <f t="shared" si="24"/>
        <v>60.834348625120015</v>
      </c>
      <c r="L194" s="149">
        <f>'As-Filed Schedule 4'!H194</f>
        <v>0</v>
      </c>
      <c r="M194" s="383">
        <f>SUMIFS(Adjustments!$G:$G,Adjustments!$H:$H,"4",Adjustments!$I:$I,'Schedule 4 Adjustments'!$L$14,Adjustments!$J:$J,'Schedule 4 Adjustments'!$A194)</f>
        <v>0</v>
      </c>
      <c r="N194" s="375">
        <f t="shared" si="25"/>
        <v>0</v>
      </c>
      <c r="O194" s="405">
        <v>0.6</v>
      </c>
      <c r="P194" s="47">
        <f t="shared" si="26"/>
        <v>0</v>
      </c>
      <c r="Q194" s="373">
        <f t="shared" si="27"/>
        <v>0</v>
      </c>
      <c r="R194" s="21">
        <f t="shared" si="21"/>
        <v>60.105663936465518</v>
      </c>
      <c r="S194" s="371">
        <f t="shared" si="28"/>
        <v>57.032201836050007</v>
      </c>
    </row>
    <row r="195" spans="1:19" s="22" customFormat="1" x14ac:dyDescent="0.35">
      <c r="A195" s="19">
        <v>183</v>
      </c>
      <c r="B195" s="19" t="s">
        <v>109</v>
      </c>
      <c r="C195" s="20" t="s">
        <v>151</v>
      </c>
      <c r="D195" s="116">
        <f>'As-Filed Schedule 4'!D195</f>
        <v>0</v>
      </c>
      <c r="E195" s="383">
        <f>SUMIFS(Adjustments!$G:$G,Adjustments!$H:$H,"4",Adjustments!$I:$I,'Schedule 4 Adjustments'!$D$14,Adjustments!$J:$J,'Schedule 4 Adjustments'!$A195)</f>
        <v>7596</v>
      </c>
      <c r="F195" s="375">
        <f t="shared" si="22"/>
        <v>7596</v>
      </c>
      <c r="G195" s="405">
        <v>0.65000000000000013</v>
      </c>
      <c r="H195" s="47">
        <f t="shared" si="29"/>
        <v>0</v>
      </c>
      <c r="I195" s="373">
        <f t="shared" si="23"/>
        <v>4937.4000000000015</v>
      </c>
      <c r="J195" s="21">
        <f t="shared" si="20"/>
        <v>65.114469264504322</v>
      </c>
      <c r="K195" s="371">
        <f t="shared" si="24"/>
        <v>61.784885322387524</v>
      </c>
      <c r="L195" s="149">
        <f>'As-Filed Schedule 4'!H195</f>
        <v>0</v>
      </c>
      <c r="M195" s="383">
        <f>SUMIFS(Adjustments!$G:$G,Adjustments!$H:$H,"4",Adjustments!$I:$I,'Schedule 4 Adjustments'!$L$14,Adjustments!$J:$J,'Schedule 4 Adjustments'!$A195)</f>
        <v>16528</v>
      </c>
      <c r="N195" s="375">
        <f t="shared" si="25"/>
        <v>16528</v>
      </c>
      <c r="O195" s="405">
        <v>0.59999999999999987</v>
      </c>
      <c r="P195" s="47">
        <f t="shared" si="26"/>
        <v>0</v>
      </c>
      <c r="Q195" s="373">
        <f t="shared" si="27"/>
        <v>9916.7999999999975</v>
      </c>
      <c r="R195" s="21">
        <f t="shared" si="21"/>
        <v>60.105663936465504</v>
      </c>
      <c r="S195" s="371">
        <f t="shared" si="28"/>
        <v>57.03220183605</v>
      </c>
    </row>
    <row r="196" spans="1:19" s="22" customFormat="1" x14ac:dyDescent="0.35">
      <c r="A196" s="19">
        <v>184</v>
      </c>
      <c r="B196" s="19" t="s">
        <v>29</v>
      </c>
      <c r="C196" s="20" t="s">
        <v>32</v>
      </c>
      <c r="D196" s="116">
        <f>'As-Filed Schedule 4'!D196</f>
        <v>0</v>
      </c>
      <c r="E196" s="383">
        <f>SUMIFS(Adjustments!$G:$G,Adjustments!$H:$H,"4",Adjustments!$I:$I,'Schedule 4 Adjustments'!$D$14,Adjustments!$J:$J,'Schedule 4 Adjustments'!$A196)</f>
        <v>0</v>
      </c>
      <c r="F196" s="375">
        <f t="shared" si="22"/>
        <v>0</v>
      </c>
      <c r="G196" s="405">
        <v>0</v>
      </c>
      <c r="H196" s="47">
        <f t="shared" si="29"/>
        <v>0</v>
      </c>
      <c r="I196" s="373">
        <f t="shared" si="23"/>
        <v>0</v>
      </c>
      <c r="J196" s="21">
        <f t="shared" si="20"/>
        <v>0</v>
      </c>
      <c r="K196" s="371">
        <f t="shared" si="24"/>
        <v>0</v>
      </c>
      <c r="L196" s="149">
        <f>'As-Filed Schedule 4'!H196</f>
        <v>0</v>
      </c>
      <c r="M196" s="383">
        <f>SUMIFS(Adjustments!$G:$G,Adjustments!$H:$H,"4",Adjustments!$I:$I,'Schedule 4 Adjustments'!$L$14,Adjustments!$J:$J,'Schedule 4 Adjustments'!$A196)</f>
        <v>0</v>
      </c>
      <c r="N196" s="375">
        <f t="shared" si="25"/>
        <v>0</v>
      </c>
      <c r="O196" s="405">
        <v>0</v>
      </c>
      <c r="P196" s="47">
        <f t="shared" si="26"/>
        <v>0</v>
      </c>
      <c r="Q196" s="373">
        <f t="shared" si="27"/>
        <v>0</v>
      </c>
      <c r="R196" s="21">
        <f t="shared" si="21"/>
        <v>0</v>
      </c>
      <c r="S196" s="371">
        <f t="shared" si="28"/>
        <v>0</v>
      </c>
    </row>
    <row r="197" spans="1:19" x14ac:dyDescent="0.35">
      <c r="A197" s="19">
        <v>185</v>
      </c>
      <c r="D197" s="9">
        <f>SUM(D18:D196)</f>
        <v>32677</v>
      </c>
      <c r="E197" s="9">
        <f>SUM(E18:E196)</f>
        <v>7975</v>
      </c>
      <c r="F197" s="374">
        <f>SUM(F18:F196)</f>
        <v>40652</v>
      </c>
      <c r="G197" s="13"/>
      <c r="H197" s="9">
        <f>SUM(H18:H196)</f>
        <v>59667.61</v>
      </c>
      <c r="I197" s="374">
        <f>SUM(I18:I196)</f>
        <v>64828.62</v>
      </c>
      <c r="L197" s="9">
        <f>SUM(L18:L196)</f>
        <v>233906</v>
      </c>
      <c r="M197" s="9">
        <f t="shared" ref="M197:N197" si="40">SUM(M18:M196)</f>
        <v>16532</v>
      </c>
      <c r="N197" s="9">
        <f t="shared" si="40"/>
        <v>250438</v>
      </c>
      <c r="P197" s="9">
        <f>SUM(P18:P196)</f>
        <v>391070.84999999992</v>
      </c>
      <c r="Q197" s="374">
        <f>SUM(Q18:Q196)</f>
        <v>400989.84999999992</v>
      </c>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5">
    <mergeCell ref="R4:R6"/>
    <mergeCell ref="T4:T6"/>
    <mergeCell ref="D15:J15"/>
    <mergeCell ref="L15:R15"/>
    <mergeCell ref="S4:S6"/>
  </mergeCells>
  <pageMargins left="0.7" right="0.7" top="0.75" bottom="0.75" header="0.3" footer="0.3"/>
  <pageSetup orientation="portrait" horizontalDpi="1200" verticalDpi="1200"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O46"/>
  <sheetViews>
    <sheetView workbookViewId="0">
      <selection activeCell="F45" sqref="F45"/>
    </sheetView>
  </sheetViews>
  <sheetFormatPr defaultColWidth="9.1796875" defaultRowHeight="14.5" x14ac:dyDescent="0.35"/>
  <cols>
    <col min="2" max="2" width="16.54296875" customWidth="1"/>
    <col min="3" max="3" width="40.7265625" customWidth="1"/>
    <col min="4" max="4" width="26.7265625" style="100" customWidth="1"/>
    <col min="5" max="5" width="26.7265625" style="260" customWidth="1"/>
    <col min="6" max="6" width="26.7265625" style="48" customWidth="1"/>
    <col min="7" max="7" width="3" customWidth="1"/>
    <col min="8" max="8" width="9.1796875" customWidth="1"/>
    <col min="9" max="9" width="33.26953125" style="48" customWidth="1"/>
    <col min="10" max="10" width="30.26953125" customWidth="1"/>
    <col min="11" max="11" width="23.54296875" customWidth="1"/>
  </cols>
  <sheetData>
    <row r="1" spans="1:15" ht="26" x14ac:dyDescent="0.6">
      <c r="A1" s="3" t="s">
        <v>774</v>
      </c>
      <c r="I1" s="128"/>
    </row>
    <row r="2" spans="1:15" ht="21" x14ac:dyDescent="0.5">
      <c r="A2" s="2" t="s">
        <v>772</v>
      </c>
      <c r="J2" s="40"/>
      <c r="K2" s="40"/>
      <c r="L2" s="40"/>
      <c r="M2" s="40"/>
      <c r="N2" s="40"/>
      <c r="O2" s="40"/>
    </row>
    <row r="3" spans="1:15" ht="21" x14ac:dyDescent="0.5">
      <c r="A3" s="5" t="s">
        <v>867</v>
      </c>
      <c r="I3" s="129"/>
      <c r="J3" s="129"/>
      <c r="K3" s="129"/>
      <c r="L3" s="40"/>
      <c r="M3" s="40"/>
      <c r="N3" s="40"/>
      <c r="O3" s="40"/>
    </row>
    <row r="4" spans="1:15" x14ac:dyDescent="0.35">
      <c r="I4" s="40"/>
      <c r="J4" s="40"/>
      <c r="K4" s="40"/>
      <c r="L4" s="40"/>
      <c r="M4" s="40"/>
      <c r="N4" s="40"/>
      <c r="O4" s="40"/>
    </row>
    <row r="5" spans="1:15" x14ac:dyDescent="0.35">
      <c r="A5" s="1" t="s">
        <v>773</v>
      </c>
      <c r="C5" s="416" t="str">
        <f>Results!$C$6</f>
        <v>AllHealth Network</v>
      </c>
      <c r="I5" s="40"/>
      <c r="J5" s="40"/>
      <c r="K5" s="40"/>
      <c r="L5" s="40"/>
      <c r="M5" s="40"/>
      <c r="N5" s="40"/>
      <c r="O5" s="40"/>
    </row>
    <row r="6" spans="1:15" x14ac:dyDescent="0.35">
      <c r="A6" s="1" t="s">
        <v>0</v>
      </c>
      <c r="C6" s="35">
        <f>Results!$C$7</f>
        <v>45473</v>
      </c>
      <c r="I6" s="40"/>
      <c r="J6" s="40"/>
      <c r="K6" s="40"/>
      <c r="L6" s="40"/>
      <c r="M6" s="40"/>
      <c r="N6" s="40"/>
      <c r="O6" s="40"/>
    </row>
    <row r="7" spans="1:15" s="1" customFormat="1" x14ac:dyDescent="0.35">
      <c r="D7" s="100"/>
      <c r="E7" s="260"/>
      <c r="F7" s="48"/>
      <c r="I7" s="40"/>
      <c r="J7" s="40"/>
      <c r="K7" s="40"/>
      <c r="L7" s="40"/>
      <c r="M7" s="40"/>
      <c r="N7" s="40"/>
      <c r="O7" s="40"/>
    </row>
    <row r="8" spans="1:15" x14ac:dyDescent="0.35">
      <c r="D8" s="174">
        <v>1</v>
      </c>
      <c r="E8" s="255" t="s">
        <v>552</v>
      </c>
      <c r="F8" s="256" t="s">
        <v>553</v>
      </c>
      <c r="I8" s="40"/>
      <c r="J8" s="40"/>
      <c r="K8" s="40"/>
      <c r="L8" s="40"/>
      <c r="M8" s="40"/>
      <c r="N8" s="40"/>
      <c r="O8" s="40"/>
    </row>
    <row r="9" spans="1:15" s="6" customFormat="1" x14ac:dyDescent="0.35">
      <c r="A9" s="97"/>
      <c r="B9" s="481" t="s">
        <v>868</v>
      </c>
      <c r="C9" s="481"/>
      <c r="D9" s="150" t="s">
        <v>869</v>
      </c>
      <c r="E9" s="257" t="s">
        <v>900</v>
      </c>
      <c r="F9" s="258" t="s">
        <v>901</v>
      </c>
      <c r="I9" s="128"/>
      <c r="J9" s="128"/>
      <c r="K9" s="128"/>
      <c r="L9" s="128"/>
      <c r="M9" s="128"/>
      <c r="N9" s="128"/>
      <c r="O9" s="128"/>
    </row>
    <row r="10" spans="1:15" s="6" customFormat="1" x14ac:dyDescent="0.35">
      <c r="A10" s="97"/>
      <c r="B10" s="429"/>
      <c r="C10" s="430"/>
      <c r="D10" s="431"/>
      <c r="E10" s="339"/>
      <c r="F10" s="128"/>
      <c r="I10" s="128"/>
      <c r="J10" s="128"/>
      <c r="K10" s="128"/>
      <c r="L10" s="128"/>
      <c r="M10" s="128"/>
      <c r="N10" s="128"/>
      <c r="O10" s="128"/>
    </row>
    <row r="11" spans="1:15" s="22" customFormat="1" x14ac:dyDescent="0.35">
      <c r="A11" s="574" t="s">
        <v>870</v>
      </c>
      <c r="B11" s="575"/>
      <c r="C11" s="575"/>
      <c r="D11" s="575"/>
      <c r="E11" s="575"/>
      <c r="F11" s="576"/>
      <c r="I11" s="127"/>
      <c r="J11" s="127"/>
      <c r="K11" s="127"/>
      <c r="L11" s="127"/>
      <c r="M11" s="127"/>
      <c r="N11" s="127"/>
      <c r="O11" s="127"/>
    </row>
    <row r="12" spans="1:15" s="22" customFormat="1" x14ac:dyDescent="0.35">
      <c r="A12" s="154">
        <v>1</v>
      </c>
      <c r="B12" s="485" t="s">
        <v>871</v>
      </c>
      <c r="C12" s="486"/>
      <c r="D12" s="156">
        <f>'As-Filed Schedule 5'!D12</f>
        <v>45605176</v>
      </c>
      <c r="E12" s="383">
        <f>SUMIFS(Adjustments!$G:$G,Adjustments!$H:$H,"5",Adjustments!$I:$I,'Schedule 5 Adjustments'!$D$8,Adjustments!$J:$J,A12)</f>
        <v>877836</v>
      </c>
      <c r="F12" s="273">
        <f>SUM(D12:E12)</f>
        <v>46483012</v>
      </c>
      <c r="I12" s="139"/>
    </row>
    <row r="13" spans="1:15" s="22" customFormat="1" x14ac:dyDescent="0.35">
      <c r="A13" s="154">
        <v>2</v>
      </c>
      <c r="B13" s="485" t="s">
        <v>872</v>
      </c>
      <c r="C13" s="486"/>
      <c r="D13" s="156">
        <f>'As-Filed Schedule 5'!D13</f>
        <v>7533673</v>
      </c>
      <c r="E13" s="383">
        <f>SUMIFS(Adjustments!$G:$G,Adjustments!$H:$H,"5",Adjustments!$I:$I,'Schedule 5 Adjustments'!$D$8,Adjustments!$J:$J,A13)</f>
        <v>0</v>
      </c>
      <c r="F13" s="273">
        <f t="shared" ref="F13:F18" si="0">SUM(D13:E13)</f>
        <v>7533673</v>
      </c>
      <c r="I13" s="139"/>
    </row>
    <row r="14" spans="1:15" s="22" customFormat="1" x14ac:dyDescent="0.35">
      <c r="A14" s="154">
        <v>3</v>
      </c>
      <c r="B14" s="172" t="s">
        <v>873</v>
      </c>
      <c r="C14" s="167"/>
      <c r="D14" s="156">
        <f>'As-Filed Schedule 5'!D14</f>
        <v>431784</v>
      </c>
      <c r="E14" s="383">
        <f>SUMIFS(Adjustments!$G:$G,Adjustments!$H:$H,"5",Adjustments!$I:$I,'Schedule 5 Adjustments'!$D$8,Adjustments!$J:$J,A14)</f>
        <v>0</v>
      </c>
      <c r="F14" s="273">
        <f t="shared" si="0"/>
        <v>431784</v>
      </c>
      <c r="I14" s="139"/>
    </row>
    <row r="15" spans="1:15" s="22" customFormat="1" x14ac:dyDescent="0.35">
      <c r="A15" s="154">
        <v>4</v>
      </c>
      <c r="B15" s="172" t="s">
        <v>874</v>
      </c>
      <c r="C15" s="167"/>
      <c r="D15" s="156">
        <f>'As-Filed Schedule 5'!D15</f>
        <v>4767403</v>
      </c>
      <c r="E15" s="383">
        <f>SUMIFS(Adjustments!$G:$G,Adjustments!$H:$H,"5",Adjustments!$I:$I,'Schedule 5 Adjustments'!$D$8,Adjustments!$J:$J,A15)</f>
        <v>0</v>
      </c>
      <c r="F15" s="273">
        <f t="shared" si="0"/>
        <v>4767403</v>
      </c>
      <c r="I15" s="139"/>
    </row>
    <row r="16" spans="1:15" s="22" customFormat="1" x14ac:dyDescent="0.35">
      <c r="A16" s="154">
        <v>5</v>
      </c>
      <c r="B16" s="172" t="s">
        <v>875</v>
      </c>
      <c r="C16" s="167"/>
      <c r="D16" s="156">
        <f>'As-Filed Schedule 5'!D16</f>
        <v>1742957</v>
      </c>
      <c r="E16" s="383">
        <f>SUMIFS(Adjustments!$G:$G,Adjustments!$H:$H,"5",Adjustments!$I:$I,'Schedule 5 Adjustments'!$D$8,Adjustments!$J:$J,A16)</f>
        <v>0</v>
      </c>
      <c r="F16" s="273">
        <f t="shared" si="0"/>
        <v>1742957</v>
      </c>
      <c r="I16" s="139"/>
    </row>
    <row r="17" spans="1:9" s="22" customFormat="1" x14ac:dyDescent="0.35">
      <c r="A17" s="154">
        <v>6</v>
      </c>
      <c r="B17" s="172" t="s">
        <v>876</v>
      </c>
      <c r="C17" s="167"/>
      <c r="D17" s="156">
        <f>'As-Filed Schedule 5'!D17</f>
        <v>72000</v>
      </c>
      <c r="E17" s="383">
        <f>SUMIFS(Adjustments!$G:$G,Adjustments!$H:$H,"5",Adjustments!$I:$I,'Schedule 5 Adjustments'!$D$8,Adjustments!$J:$J,A17)</f>
        <v>0</v>
      </c>
      <c r="F17" s="273">
        <f>SUM(D17:E17)</f>
        <v>72000</v>
      </c>
      <c r="I17" s="139"/>
    </row>
    <row r="18" spans="1:9" s="22" customFormat="1" x14ac:dyDescent="0.35">
      <c r="A18" s="154">
        <v>7</v>
      </c>
      <c r="B18" s="485" t="s">
        <v>877</v>
      </c>
      <c r="C18" s="486"/>
      <c r="D18" s="156">
        <f>'As-Filed Schedule 5'!D18</f>
        <v>222115</v>
      </c>
      <c r="E18" s="383">
        <f>SUMIFS(Adjustments!$G:$G,Adjustments!$H:$H,"5",Adjustments!$I:$I,'Schedule 5 Adjustments'!$D$8,Adjustments!$J:$J,A18)</f>
        <v>0</v>
      </c>
      <c r="F18" s="273">
        <f t="shared" si="0"/>
        <v>222115</v>
      </c>
      <c r="I18" s="139"/>
    </row>
    <row r="19" spans="1:9" s="22" customFormat="1" x14ac:dyDescent="0.35">
      <c r="A19" s="154">
        <v>8</v>
      </c>
      <c r="B19" s="479" t="s">
        <v>878</v>
      </c>
      <c r="C19" s="480"/>
      <c r="D19" s="159">
        <f>SUM(D12:D18)</f>
        <v>60375108</v>
      </c>
      <c r="E19" s="265">
        <f t="shared" ref="E19:F19" si="1">SUM(E12:E18)</f>
        <v>877836</v>
      </c>
      <c r="F19" s="274">
        <f t="shared" si="1"/>
        <v>61252944</v>
      </c>
      <c r="I19" s="139"/>
    </row>
    <row r="20" spans="1:9" s="22" customFormat="1" x14ac:dyDescent="0.35">
      <c r="A20" s="432"/>
      <c r="B20" s="433"/>
      <c r="C20" s="433"/>
      <c r="D20" s="434"/>
      <c r="E20" s="436"/>
      <c r="F20" s="440"/>
      <c r="I20" s="139"/>
    </row>
    <row r="21" spans="1:9" s="22" customFormat="1" x14ac:dyDescent="0.35">
      <c r="A21" s="574" t="s">
        <v>879</v>
      </c>
      <c r="B21" s="575"/>
      <c r="C21" s="575"/>
      <c r="D21" s="575"/>
      <c r="E21" s="575"/>
      <c r="F21" s="576"/>
      <c r="G21" s="139"/>
      <c r="H21" s="139"/>
      <c r="I21" s="139"/>
    </row>
    <row r="22" spans="1:9" s="22" customFormat="1" x14ac:dyDescent="0.35">
      <c r="A22" s="154">
        <v>9</v>
      </c>
      <c r="B22" s="485" t="s">
        <v>880</v>
      </c>
      <c r="C22" s="486"/>
      <c r="D22" s="156">
        <f>'As-Filed Schedule 5'!D22</f>
        <v>1345</v>
      </c>
      <c r="E22" s="383">
        <f>SUMIFS(Adjustments!$G:$G,Adjustments!$H:$H,"5",Adjustments!$I:$I,'Schedule 5 Adjustments'!$D$8,Adjustments!$J:$J,A22)</f>
        <v>0</v>
      </c>
      <c r="F22" s="273">
        <f>SUM(D22:E22)</f>
        <v>1345</v>
      </c>
      <c r="G22" s="139"/>
      <c r="H22" s="139"/>
      <c r="I22" s="139"/>
    </row>
    <row r="23" spans="1:9" s="22" customFormat="1" x14ac:dyDescent="0.35">
      <c r="A23" s="154">
        <v>10</v>
      </c>
      <c r="B23" s="172" t="s">
        <v>881</v>
      </c>
      <c r="C23" s="167"/>
      <c r="D23" s="156">
        <f>'As-Filed Schedule 5'!D23</f>
        <v>8560270</v>
      </c>
      <c r="E23" s="383">
        <f>SUMIFS(Adjustments!$G:$G,Adjustments!$H:$H,"5",Adjustments!$I:$I,'Schedule 5 Adjustments'!$D$8,Adjustments!$J:$J,A23)</f>
        <v>0</v>
      </c>
      <c r="F23" s="273">
        <f t="shared" ref="F23:F26" si="2">SUM(D23:E23)</f>
        <v>8560270</v>
      </c>
      <c r="G23" s="139"/>
      <c r="H23" s="139"/>
      <c r="I23" s="139"/>
    </row>
    <row r="24" spans="1:9" s="22" customFormat="1" x14ac:dyDescent="0.35">
      <c r="A24" s="154">
        <v>11</v>
      </c>
      <c r="B24" s="172" t="s">
        <v>882</v>
      </c>
      <c r="C24" s="167"/>
      <c r="D24" s="156" t="str">
        <f>'As-Filed Schedule 5'!D24</f>
        <v xml:space="preserve"> $                                                    -  </v>
      </c>
      <c r="E24" s="383">
        <f>SUMIFS(Adjustments!$G:$G,Adjustments!$H:$H,"5",Adjustments!$I:$I,'Schedule 5 Adjustments'!$D$8,Adjustments!$J:$J,A24)</f>
        <v>0</v>
      </c>
      <c r="F24" s="273">
        <f t="shared" si="2"/>
        <v>0</v>
      </c>
      <c r="G24" s="139"/>
      <c r="H24" s="139"/>
      <c r="I24" s="139"/>
    </row>
    <row r="25" spans="1:9" s="22" customFormat="1" x14ac:dyDescent="0.35">
      <c r="A25" s="154">
        <v>12</v>
      </c>
      <c r="B25" s="172" t="s">
        <v>883</v>
      </c>
      <c r="C25" s="167"/>
      <c r="D25" s="156">
        <f>'As-Filed Schedule 5'!D25</f>
        <v>31272</v>
      </c>
      <c r="E25" s="383">
        <f>SUMIFS(Adjustments!$G:$G,Adjustments!$H:$H,"5",Adjustments!$I:$I,'Schedule 5 Adjustments'!$D$8,Adjustments!$J:$J,A25)</f>
        <v>0</v>
      </c>
      <c r="F25" s="273">
        <f t="shared" si="2"/>
        <v>31272</v>
      </c>
      <c r="G25" s="139"/>
      <c r="H25" s="139"/>
      <c r="I25" s="139"/>
    </row>
    <row r="26" spans="1:9" s="22" customFormat="1" x14ac:dyDescent="0.35">
      <c r="A26" s="154">
        <v>13</v>
      </c>
      <c r="B26" s="172" t="s">
        <v>884</v>
      </c>
      <c r="C26" s="167"/>
      <c r="D26" s="156">
        <f>'As-Filed Schedule 5'!D26</f>
        <v>2813526</v>
      </c>
      <c r="E26" s="383">
        <f>SUMIFS(Adjustments!$G:$G,Adjustments!$H:$H,"5",Adjustments!$I:$I,'Schedule 5 Adjustments'!$D$8,Adjustments!$J:$J,A26)</f>
        <v>0</v>
      </c>
      <c r="F26" s="273">
        <f t="shared" si="2"/>
        <v>2813526</v>
      </c>
      <c r="G26" s="139"/>
      <c r="H26" s="139"/>
      <c r="I26" s="139"/>
    </row>
    <row r="27" spans="1:9" s="22" customFormat="1" x14ac:dyDescent="0.35">
      <c r="A27" s="154">
        <v>14</v>
      </c>
      <c r="B27" s="479" t="s">
        <v>885</v>
      </c>
      <c r="C27" s="480"/>
      <c r="D27" s="159">
        <f>SUM(D22:D26)</f>
        <v>11406413</v>
      </c>
      <c r="E27" s="265">
        <f>SUM(E22:E26)</f>
        <v>0</v>
      </c>
      <c r="F27" s="274">
        <f t="shared" ref="F27" si="3">SUM(F22:F26)</f>
        <v>11406413</v>
      </c>
      <c r="G27" s="139"/>
      <c r="H27" s="139"/>
      <c r="I27" s="139"/>
    </row>
    <row r="28" spans="1:9" s="22" customFormat="1" x14ac:dyDescent="0.35">
      <c r="A28" s="432"/>
      <c r="B28" s="433"/>
      <c r="C28" s="433"/>
      <c r="D28" s="434"/>
      <c r="E28" s="436"/>
      <c r="F28" s="440"/>
      <c r="H28" s="139"/>
      <c r="I28" s="139"/>
    </row>
    <row r="29" spans="1:9" s="22" customFormat="1" x14ac:dyDescent="0.35">
      <c r="A29" s="574" t="s">
        <v>886</v>
      </c>
      <c r="B29" s="575"/>
      <c r="C29" s="575"/>
      <c r="D29" s="575"/>
      <c r="E29" s="575"/>
      <c r="F29" s="576"/>
      <c r="H29" s="139"/>
      <c r="I29" s="139"/>
    </row>
    <row r="30" spans="1:9" s="22" customFormat="1" x14ac:dyDescent="0.35">
      <c r="A30" s="435">
        <v>15</v>
      </c>
      <c r="B30" s="577" t="s">
        <v>887</v>
      </c>
      <c r="C30" s="579"/>
      <c r="D30" s="156" t="str">
        <f>'As-Filed Schedule 5'!D30</f>
        <v xml:space="preserve"> $                                                    -  </v>
      </c>
      <c r="E30" s="383">
        <f>SUMIFS(Adjustments!$G:$G,Adjustments!$H:$H,"5",Adjustments!$I:$I,'Schedule 5 Adjustments'!$D$8,Adjustments!$J:$J,A30)</f>
        <v>0</v>
      </c>
      <c r="F30" s="273">
        <f t="shared" ref="F30:F34" si="4">SUM(D30:E30)</f>
        <v>0</v>
      </c>
      <c r="I30" s="139"/>
    </row>
    <row r="31" spans="1:9" s="22" customFormat="1" x14ac:dyDescent="0.35">
      <c r="A31" s="154">
        <v>16</v>
      </c>
      <c r="B31" s="172" t="s">
        <v>888</v>
      </c>
      <c r="C31" s="167"/>
      <c r="D31" s="156" t="str">
        <f>'As-Filed Schedule 5'!D31</f>
        <v xml:space="preserve"> $                                                    -  </v>
      </c>
      <c r="E31" s="383">
        <f>SUMIFS(Adjustments!$G:$G,Adjustments!$H:$H,"5",Adjustments!$I:$I,'Schedule 5 Adjustments'!$D$8,Adjustments!$J:$J,A31)</f>
        <v>0</v>
      </c>
      <c r="F31" s="273">
        <f t="shared" si="4"/>
        <v>0</v>
      </c>
      <c r="I31" s="139"/>
    </row>
    <row r="32" spans="1:9" s="22" customFormat="1" x14ac:dyDescent="0.35">
      <c r="A32" s="154">
        <v>17</v>
      </c>
      <c r="B32" s="172" t="s">
        <v>889</v>
      </c>
      <c r="C32" s="167"/>
      <c r="D32" s="156" t="str">
        <f>'As-Filed Schedule 5'!D32</f>
        <v xml:space="preserve"> $                                                    -  </v>
      </c>
      <c r="E32" s="383">
        <f>SUMIFS(Adjustments!$G:$G,Adjustments!$H:$H,"5",Adjustments!$I:$I,'Schedule 5 Adjustments'!$D$8,Adjustments!$J:$J,A32)</f>
        <v>0</v>
      </c>
      <c r="F32" s="273">
        <f t="shared" si="4"/>
        <v>0</v>
      </c>
      <c r="I32" s="139"/>
    </row>
    <row r="33" spans="1:9" s="22" customFormat="1" x14ac:dyDescent="0.35">
      <c r="A33" s="154">
        <v>18</v>
      </c>
      <c r="B33" s="172" t="s">
        <v>890</v>
      </c>
      <c r="C33" s="167"/>
      <c r="D33" s="156" t="str">
        <f>'As-Filed Schedule 5'!D33</f>
        <v xml:space="preserve"> $                                                    -  </v>
      </c>
      <c r="E33" s="383">
        <f>SUMIFS(Adjustments!$G:$G,Adjustments!$H:$H,"5",Adjustments!$I:$I,'Schedule 5 Adjustments'!$D$8,Adjustments!$J:$J,A33)</f>
        <v>0</v>
      </c>
      <c r="F33" s="273">
        <f>SUM(D33:E33)</f>
        <v>0</v>
      </c>
      <c r="I33" s="139"/>
    </row>
    <row r="34" spans="1:9" s="22" customFormat="1" x14ac:dyDescent="0.35">
      <c r="A34" s="154">
        <v>19</v>
      </c>
      <c r="B34" s="172" t="s">
        <v>891</v>
      </c>
      <c r="C34" s="167"/>
      <c r="D34" s="156">
        <f>'As-Filed Schedule 5'!D34</f>
        <v>74434</v>
      </c>
      <c r="E34" s="383">
        <f>SUMIFS(Adjustments!$G:$G,Adjustments!$H:$H,"5",Adjustments!$I:$I,'Schedule 5 Adjustments'!$D$8,Adjustments!$J:$J,A34)</f>
        <v>0</v>
      </c>
      <c r="F34" s="273">
        <f t="shared" si="4"/>
        <v>74434</v>
      </c>
      <c r="I34" s="139"/>
    </row>
    <row r="35" spans="1:9" s="22" customFormat="1" x14ac:dyDescent="0.35">
      <c r="A35" s="154">
        <v>20</v>
      </c>
      <c r="B35" s="479" t="s">
        <v>892</v>
      </c>
      <c r="C35" s="480"/>
      <c r="D35" s="159">
        <f>SUM(D30:D34)</f>
        <v>74434</v>
      </c>
      <c r="E35" s="265">
        <f t="shared" ref="E35:F35" si="5">SUM(E30:E34)</f>
        <v>0</v>
      </c>
      <c r="F35" s="274">
        <f t="shared" si="5"/>
        <v>74434</v>
      </c>
      <c r="I35" s="139"/>
    </row>
    <row r="36" spans="1:9" s="22" customFormat="1" x14ac:dyDescent="0.35">
      <c r="A36" s="432"/>
      <c r="B36" s="433"/>
      <c r="C36" s="433"/>
      <c r="D36" s="434"/>
      <c r="E36" s="436"/>
      <c r="F36" s="440"/>
      <c r="I36" s="139"/>
    </row>
    <row r="37" spans="1:9" s="22" customFormat="1" x14ac:dyDescent="0.35">
      <c r="A37" s="574" t="s">
        <v>893</v>
      </c>
      <c r="B37" s="575"/>
      <c r="C37" s="575"/>
      <c r="D37" s="575"/>
      <c r="E37" s="575"/>
      <c r="F37" s="576"/>
      <c r="I37" s="139"/>
    </row>
    <row r="38" spans="1:9" s="22" customFormat="1" x14ac:dyDescent="0.35">
      <c r="A38" s="435">
        <v>21</v>
      </c>
      <c r="B38" s="577" t="s">
        <v>304</v>
      </c>
      <c r="C38" s="578"/>
      <c r="D38" s="156">
        <f>'As-Filed Schedule 5'!D38</f>
        <v>132071</v>
      </c>
      <c r="E38" s="383">
        <f>SUMIFS(Adjustments!$G:$G,Adjustments!$H:$H,"5",Adjustments!$I:$I,'Schedule 5 Adjustments'!$D$8,Adjustments!$J:$J,A38)</f>
        <v>0</v>
      </c>
      <c r="F38" s="273">
        <f t="shared" ref="F38" si="6">SUM(D38:E38)</f>
        <v>132071</v>
      </c>
      <c r="I38" s="139"/>
    </row>
    <row r="39" spans="1:9" s="22" customFormat="1" x14ac:dyDescent="0.35">
      <c r="A39" s="154">
        <v>22</v>
      </c>
      <c r="B39" s="485" t="s">
        <v>894</v>
      </c>
      <c r="C39" s="488"/>
      <c r="D39" s="156" t="str">
        <f>'As-Filed Schedule 5'!D39</f>
        <v xml:space="preserve"> $                                                    -  </v>
      </c>
      <c r="E39" s="383">
        <f>SUMIFS(Adjustments!$G:$G,Adjustments!$H:$H,"5",Adjustments!$I:$I,'Schedule 5 Adjustments'!$D$8,Adjustments!$J:$J,A39)</f>
        <v>0</v>
      </c>
      <c r="F39" s="273">
        <f>SUM(D39:E39)</f>
        <v>0</v>
      </c>
      <c r="I39" s="139"/>
    </row>
    <row r="40" spans="1:9" s="22" customFormat="1" x14ac:dyDescent="0.35">
      <c r="A40" s="154">
        <v>23</v>
      </c>
      <c r="B40" s="485" t="s">
        <v>895</v>
      </c>
      <c r="C40" s="488"/>
      <c r="D40" s="156">
        <f>'As-Filed Schedule 5'!D40</f>
        <v>310923</v>
      </c>
      <c r="E40" s="383">
        <f>SUMIFS(Adjustments!$G:$G,Adjustments!$H:$H,"5",Adjustments!$I:$I,'Schedule 5 Adjustments'!$D$8,Adjustments!$J:$J,A40)</f>
        <v>-318066</v>
      </c>
      <c r="F40" s="273">
        <f>SUM(D40:E40)</f>
        <v>-7143</v>
      </c>
      <c r="I40" s="139"/>
    </row>
    <row r="41" spans="1:9" s="22" customFormat="1" x14ac:dyDescent="0.35">
      <c r="A41" s="154">
        <v>24</v>
      </c>
      <c r="B41" s="479" t="s">
        <v>896</v>
      </c>
      <c r="C41" s="487"/>
      <c r="D41" s="159">
        <f>SUM(D38:D40)</f>
        <v>442994</v>
      </c>
      <c r="E41" s="265">
        <f t="shared" ref="E41:F41" si="7">SUM(E38:E40)</f>
        <v>-318066</v>
      </c>
      <c r="F41" s="274">
        <f t="shared" si="7"/>
        <v>124928</v>
      </c>
      <c r="I41" s="139"/>
    </row>
    <row r="42" spans="1:9" s="22" customFormat="1" x14ac:dyDescent="0.35">
      <c r="A42" s="160"/>
      <c r="B42" s="161"/>
      <c r="C42" s="161"/>
      <c r="D42" s="163"/>
      <c r="E42" s="436"/>
      <c r="F42" s="440"/>
      <c r="I42" s="139"/>
    </row>
    <row r="43" spans="1:9" s="63" customFormat="1" ht="15.5" x14ac:dyDescent="0.35">
      <c r="A43" s="154">
        <v>25</v>
      </c>
      <c r="B43" s="491" t="s">
        <v>897</v>
      </c>
      <c r="C43" s="493"/>
      <c r="D43" s="168">
        <f>SUM(D19,D27,D35,D41)</f>
        <v>72298949</v>
      </c>
      <c r="E43" s="437">
        <f t="shared" ref="E43" si="8">SUM(E19,E27,E35,E41)</f>
        <v>559770</v>
      </c>
      <c r="F43" s="441">
        <f>SUM(F19,F27,F35,F41)</f>
        <v>72858719</v>
      </c>
      <c r="I43" s="140"/>
    </row>
    <row r="44" spans="1:9" s="22" customFormat="1" x14ac:dyDescent="0.35">
      <c r="A44" s="169"/>
      <c r="B44" s="169"/>
      <c r="C44" s="169"/>
      <c r="D44" s="169"/>
      <c r="E44" s="264"/>
      <c r="F44" s="139"/>
      <c r="I44" s="139"/>
    </row>
    <row r="45" spans="1:9" s="22" customFormat="1" x14ac:dyDescent="0.35">
      <c r="A45" s="154">
        <v>26</v>
      </c>
      <c r="B45" s="490" t="s">
        <v>898</v>
      </c>
      <c r="C45" s="490"/>
      <c r="D45" s="156">
        <f>'As-Filed Schedule 5'!D45</f>
        <v>0</v>
      </c>
      <c r="E45" s="438"/>
      <c r="F45" s="473">
        <v>72853576</v>
      </c>
      <c r="I45" s="139"/>
    </row>
    <row r="46" spans="1:9" s="22" customFormat="1" ht="15.5" x14ac:dyDescent="0.35">
      <c r="A46" s="154">
        <v>27</v>
      </c>
      <c r="B46" s="490" t="s">
        <v>10</v>
      </c>
      <c r="C46" s="490"/>
      <c r="D46" s="168">
        <f>D43-D45</f>
        <v>72298949</v>
      </c>
      <c r="E46" s="439"/>
      <c r="F46" s="441">
        <f>F43-F45</f>
        <v>5143</v>
      </c>
      <c r="G46" s="33" t="str">
        <f>IF(ABS(D46)&gt;1,"Error - This variance should be 0.","")</f>
        <v>Error - This variance should be 0.</v>
      </c>
      <c r="I46" s="139"/>
    </row>
  </sheetData>
  <sheetProtection sheet="1" objects="1" scenarios="1"/>
  <customSheetViews>
    <customSheetView guid="{D0F83CC0-0361-4280-BCA4-9A92C986158B}">
      <pageMargins left="0.7" right="0.7" top="0.75" bottom="0.75" header="0.3" footer="0.3"/>
    </customSheetView>
    <customSheetView guid="{27BAF95E-10B4-4025-9660-F5A8EBC66DC3}">
      <pageMargins left="0.7" right="0.7" top="0.75" bottom="0.75" header="0.3" footer="0.3"/>
    </customSheetView>
  </customSheetViews>
  <mergeCells count="20">
    <mergeCell ref="B45:C45"/>
    <mergeCell ref="B46:C46"/>
    <mergeCell ref="A11:F11"/>
    <mergeCell ref="A21:F21"/>
    <mergeCell ref="A29:F29"/>
    <mergeCell ref="A37:F37"/>
    <mergeCell ref="B38:C38"/>
    <mergeCell ref="B39:C39"/>
    <mergeCell ref="B40:C40"/>
    <mergeCell ref="B41:C41"/>
    <mergeCell ref="B43:C43"/>
    <mergeCell ref="B22:C22"/>
    <mergeCell ref="B27:C27"/>
    <mergeCell ref="B30:C30"/>
    <mergeCell ref="B35:C35"/>
    <mergeCell ref="B9:C9"/>
    <mergeCell ref="B12:C12"/>
    <mergeCell ref="B13:C13"/>
    <mergeCell ref="B18:C18"/>
    <mergeCell ref="B19:C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8971D"/>
  </sheetPr>
  <dimension ref="A1:X100"/>
  <sheetViews>
    <sheetView workbookViewId="0">
      <selection activeCell="I33" sqref="I33"/>
    </sheetView>
  </sheetViews>
  <sheetFormatPr defaultColWidth="9.1796875" defaultRowHeight="14.5" x14ac:dyDescent="0.35"/>
  <cols>
    <col min="1" max="1" width="6.54296875" customWidth="1"/>
    <col min="2" max="2" width="18.453125" customWidth="1"/>
    <col min="3" max="3" width="12.54296875" bestFit="1" customWidth="1"/>
    <col min="4" max="7" width="20.26953125" customWidth="1"/>
    <col min="8" max="8" width="20.81640625" style="69" customWidth="1"/>
    <col min="9" max="9" width="36.7265625" customWidth="1"/>
    <col min="11" max="11" width="43.81640625" customWidth="1"/>
    <col min="12" max="13" width="32.7265625" customWidth="1"/>
  </cols>
  <sheetData>
    <row r="1" spans="1:24" ht="26" x14ac:dyDescent="0.6">
      <c r="A1" s="3" t="s">
        <v>774</v>
      </c>
      <c r="B1" s="3"/>
      <c r="C1" s="3"/>
    </row>
    <row r="2" spans="1:24" ht="21" x14ac:dyDescent="0.5">
      <c r="A2" s="2" t="s">
        <v>772</v>
      </c>
      <c r="B2" s="2"/>
      <c r="C2" s="2"/>
    </row>
    <row r="3" spans="1:24" ht="25" customHeight="1" x14ac:dyDescent="0.5">
      <c r="A3" s="5" t="s">
        <v>680</v>
      </c>
    </row>
    <row r="4" spans="1:24" ht="25" customHeight="1" x14ac:dyDescent="0.5">
      <c r="A4" s="242" t="str">
        <f>Results!A4</f>
        <v>Final Adjustments</v>
      </c>
    </row>
    <row r="6" spans="1:24" x14ac:dyDescent="0.35">
      <c r="A6" s="1" t="s">
        <v>773</v>
      </c>
      <c r="C6" s="416" t="str">
        <f>Results!$C$6</f>
        <v>AllHealth Network</v>
      </c>
      <c r="D6" s="240"/>
    </row>
    <row r="7" spans="1:24" x14ac:dyDescent="0.35">
      <c r="A7" s="1" t="s">
        <v>0</v>
      </c>
      <c r="C7" s="35">
        <f>Results!$C$7</f>
        <v>45473</v>
      </c>
      <c r="D7" s="35"/>
      <c r="E7" s="56"/>
      <c r="G7" s="40"/>
      <c r="K7" s="129"/>
      <c r="L7" s="129"/>
      <c r="M7" s="129"/>
    </row>
    <row r="8" spans="1:24" x14ac:dyDescent="0.35">
      <c r="G8" s="40"/>
      <c r="K8" s="40"/>
      <c r="L8" s="40"/>
      <c r="M8" s="40"/>
    </row>
    <row r="9" spans="1:24" x14ac:dyDescent="0.35">
      <c r="A9" s="1" t="s">
        <v>272</v>
      </c>
      <c r="G9" s="40"/>
      <c r="K9" s="40"/>
      <c r="L9" s="40"/>
      <c r="M9" s="40"/>
    </row>
    <row r="10" spans="1:24" ht="15" customHeight="1" x14ac:dyDescent="0.35">
      <c r="A10" s="502" t="s">
        <v>922</v>
      </c>
      <c r="B10" s="502"/>
      <c r="C10" s="502"/>
      <c r="D10" s="502"/>
      <c r="E10" s="502"/>
      <c r="F10" s="502"/>
      <c r="G10" s="502"/>
      <c r="H10" s="502"/>
      <c r="I10" s="502"/>
      <c r="J10" s="64"/>
      <c r="K10" s="40"/>
      <c r="L10" s="40"/>
      <c r="M10" s="40"/>
      <c r="T10" s="65"/>
      <c r="U10" s="65"/>
      <c r="V10" s="65"/>
      <c r="W10" s="65"/>
      <c r="X10" s="65"/>
    </row>
    <row r="11" spans="1:24" ht="15" customHeight="1" x14ac:dyDescent="0.35">
      <c r="A11" s="502"/>
      <c r="B11" s="502"/>
      <c r="C11" s="502"/>
      <c r="D11" s="502"/>
      <c r="E11" s="502"/>
      <c r="F11" s="502"/>
      <c r="G11" s="502"/>
      <c r="H11" s="502"/>
      <c r="I11" s="502"/>
      <c r="J11" s="64"/>
      <c r="K11" s="40"/>
      <c r="L11" s="40"/>
      <c r="M11" s="40"/>
      <c r="T11" s="65"/>
      <c r="U11" s="65"/>
      <c r="V11" s="65"/>
      <c r="W11" s="65"/>
      <c r="X11" s="65"/>
    </row>
    <row r="12" spans="1:24" x14ac:dyDescent="0.35">
      <c r="A12" s="502"/>
      <c r="B12" s="502"/>
      <c r="C12" s="502"/>
      <c r="D12" s="502"/>
      <c r="E12" s="502"/>
      <c r="F12" s="502"/>
      <c r="G12" s="502"/>
      <c r="H12" s="502"/>
      <c r="I12" s="502"/>
      <c r="J12" s="64"/>
      <c r="T12" s="65"/>
      <c r="U12" s="65"/>
      <c r="V12" s="65"/>
      <c r="W12" s="65"/>
      <c r="X12" s="65"/>
    </row>
    <row r="13" spans="1:24" x14ac:dyDescent="0.35">
      <c r="A13" s="188"/>
      <c r="B13" s="188"/>
      <c r="C13" s="188"/>
      <c r="D13" s="188"/>
      <c r="E13" s="188"/>
      <c r="F13" s="188"/>
      <c r="G13" s="188"/>
      <c r="H13" s="188"/>
      <c r="I13" s="188"/>
      <c r="J13" s="64"/>
      <c r="T13" s="65"/>
      <c r="U13" s="65"/>
      <c r="V13" s="65"/>
      <c r="W13" s="65"/>
      <c r="X13" s="65"/>
    </row>
    <row r="14" spans="1:24" ht="15" customHeight="1" x14ac:dyDescent="0.35">
      <c r="A14" s="189"/>
      <c r="B14" s="503">
        <v>1</v>
      </c>
      <c r="C14" s="503"/>
      <c r="D14" s="174">
        <v>2</v>
      </c>
      <c r="E14" s="174">
        <v>3</v>
      </c>
      <c r="F14" s="174">
        <v>4</v>
      </c>
      <c r="G14" s="174">
        <v>5</v>
      </c>
      <c r="H14" s="174">
        <v>6</v>
      </c>
      <c r="I14" s="174">
        <v>7</v>
      </c>
      <c r="J14" s="64"/>
      <c r="T14" s="65"/>
      <c r="U14" s="65"/>
      <c r="V14" s="65"/>
      <c r="W14" s="65"/>
      <c r="X14" s="65"/>
    </row>
    <row r="15" spans="1:24" s="4" customFormat="1" ht="72.5" x14ac:dyDescent="0.35">
      <c r="A15" s="190"/>
      <c r="B15" s="499" t="s">
        <v>591</v>
      </c>
      <c r="C15" s="504"/>
      <c r="D15" s="150" t="s">
        <v>780</v>
      </c>
      <c r="E15" s="191" t="s">
        <v>683</v>
      </c>
      <c r="F15" s="150" t="s">
        <v>784</v>
      </c>
      <c r="G15" s="192" t="s">
        <v>684</v>
      </c>
      <c r="H15" s="191" t="s">
        <v>685</v>
      </c>
      <c r="I15" s="150" t="s">
        <v>686</v>
      </c>
      <c r="J15" s="66"/>
      <c r="T15" s="67"/>
      <c r="U15" s="67"/>
      <c r="V15" s="67"/>
      <c r="W15" s="67"/>
      <c r="X15" s="67"/>
    </row>
    <row r="16" spans="1:24" s="4" customFormat="1" ht="15" customHeight="1" x14ac:dyDescent="0.35">
      <c r="A16" s="181">
        <v>1</v>
      </c>
      <c r="B16" s="494" t="str">
        <f>'Schedule 1C Adjustments'!B15:C15</f>
        <v/>
      </c>
      <c r="C16" s="494"/>
      <c r="D16" s="179">
        <f>'Schedule 1C Adjustments'!F15</f>
        <v>0</v>
      </c>
      <c r="E16" s="179">
        <f>'Schedule 1C Adjustments'!I15</f>
        <v>0</v>
      </c>
      <c r="F16" s="193">
        <f>IF(D16-E16&lt;0,0,D16-E16)</f>
        <v>0</v>
      </c>
      <c r="G16" s="194" t="str">
        <f>'Schedule 1C Adjustments'!L15</f>
        <v/>
      </c>
      <c r="H16" s="177" t="str">
        <f>'Schedule 1C Adjustments'!M15</f>
        <v/>
      </c>
      <c r="I16" s="195" t="str">
        <f>'Schedule 1C Adjustments'!N15</f>
        <v/>
      </c>
      <c r="J16" s="66"/>
      <c r="T16" s="67"/>
      <c r="U16" s="67"/>
      <c r="V16" s="67"/>
      <c r="W16" s="67"/>
      <c r="X16" s="67"/>
    </row>
    <row r="17" spans="1:24" s="4" customFormat="1" ht="15" customHeight="1" x14ac:dyDescent="0.35">
      <c r="A17" s="181">
        <f>A16+1</f>
        <v>2</v>
      </c>
      <c r="B17" s="494" t="str">
        <f>'Schedule 1C Adjustments'!B16:C16</f>
        <v/>
      </c>
      <c r="C17" s="494"/>
      <c r="D17" s="179">
        <f>'Schedule 1C Adjustments'!F16</f>
        <v>0</v>
      </c>
      <c r="E17" s="179">
        <f>'Schedule 1C Adjustments'!I16</f>
        <v>0</v>
      </c>
      <c r="F17" s="193">
        <f t="shared" ref="F17:F25" si="0">IF(D17-E17&lt;0,0,D17-E17)</f>
        <v>0</v>
      </c>
      <c r="G17" s="194" t="str">
        <f>'Schedule 1C Adjustments'!L16</f>
        <v/>
      </c>
      <c r="H17" s="177" t="str">
        <f>'Schedule 1C Adjustments'!M16</f>
        <v/>
      </c>
      <c r="I17" s="195" t="str">
        <f>'Schedule 1C Adjustments'!N16</f>
        <v/>
      </c>
      <c r="J17" s="141"/>
      <c r="T17" s="67"/>
      <c r="U17" s="67"/>
      <c r="V17" s="67"/>
      <c r="W17" s="67"/>
      <c r="X17" s="67"/>
    </row>
    <row r="18" spans="1:24" s="4" customFormat="1" ht="15" customHeight="1" x14ac:dyDescent="0.35">
      <c r="A18" s="181">
        <f t="shared" ref="A18:A31" si="1">A17+1</f>
        <v>3</v>
      </c>
      <c r="B18" s="494" t="str">
        <f>'Schedule 1C Adjustments'!B17:C17</f>
        <v/>
      </c>
      <c r="C18" s="494"/>
      <c r="D18" s="179">
        <f>'Schedule 1C Adjustments'!F17</f>
        <v>0</v>
      </c>
      <c r="E18" s="179">
        <f>'Schedule 1C Adjustments'!I17</f>
        <v>0</v>
      </c>
      <c r="F18" s="193">
        <f t="shared" si="0"/>
        <v>0</v>
      </c>
      <c r="G18" s="194" t="str">
        <f>'Schedule 1C Adjustments'!L17</f>
        <v/>
      </c>
      <c r="H18" s="177" t="str">
        <f>'Schedule 1C Adjustments'!M17</f>
        <v/>
      </c>
      <c r="I18" s="195" t="str">
        <f>'Schedule 1C Adjustments'!N17</f>
        <v/>
      </c>
      <c r="J18" s="66"/>
      <c r="T18" s="67"/>
      <c r="U18" s="67"/>
      <c r="V18" s="67"/>
      <c r="W18" s="67"/>
      <c r="X18" s="67"/>
    </row>
    <row r="19" spans="1:24" s="4" customFormat="1" ht="15" customHeight="1" x14ac:dyDescent="0.35">
      <c r="A19" s="181">
        <f t="shared" si="1"/>
        <v>4</v>
      </c>
      <c r="B19" s="494" t="str">
        <f>'Schedule 1C Adjustments'!B18:C18</f>
        <v/>
      </c>
      <c r="C19" s="494"/>
      <c r="D19" s="179">
        <f>'Schedule 1C Adjustments'!F18</f>
        <v>0</v>
      </c>
      <c r="E19" s="179">
        <f>'Schedule 1C Adjustments'!I18</f>
        <v>0</v>
      </c>
      <c r="F19" s="193">
        <f t="shared" si="0"/>
        <v>0</v>
      </c>
      <c r="G19" s="194" t="str">
        <f>'Schedule 1C Adjustments'!L18</f>
        <v/>
      </c>
      <c r="H19" s="177" t="str">
        <f>'Schedule 1C Adjustments'!M18</f>
        <v/>
      </c>
      <c r="I19" s="195" t="str">
        <f>'Schedule 1C Adjustments'!N18</f>
        <v/>
      </c>
      <c r="J19" s="66"/>
      <c r="T19" s="67"/>
      <c r="U19" s="67"/>
      <c r="V19" s="67"/>
      <c r="W19" s="67"/>
      <c r="X19" s="67"/>
    </row>
    <row r="20" spans="1:24" s="4" customFormat="1" ht="15" customHeight="1" x14ac:dyDescent="0.35">
      <c r="A20" s="181">
        <f t="shared" si="1"/>
        <v>5</v>
      </c>
      <c r="B20" s="494" t="str">
        <f>'Schedule 1C Adjustments'!B19:C19</f>
        <v/>
      </c>
      <c r="C20" s="494"/>
      <c r="D20" s="179">
        <f>'Schedule 1C Adjustments'!F19</f>
        <v>0</v>
      </c>
      <c r="E20" s="179">
        <f>'Schedule 1C Adjustments'!I19</f>
        <v>0</v>
      </c>
      <c r="F20" s="193">
        <f t="shared" si="0"/>
        <v>0</v>
      </c>
      <c r="G20" s="194" t="str">
        <f>'Schedule 1C Adjustments'!L19</f>
        <v/>
      </c>
      <c r="H20" s="177" t="str">
        <f>'Schedule 1C Adjustments'!M19</f>
        <v/>
      </c>
      <c r="I20" s="195" t="str">
        <f>'Schedule 1C Adjustments'!N19</f>
        <v/>
      </c>
      <c r="J20" s="66"/>
      <c r="T20" s="67"/>
      <c r="U20" s="67"/>
      <c r="V20" s="67"/>
      <c r="W20" s="67"/>
      <c r="X20" s="67"/>
    </row>
    <row r="21" spans="1:24" s="4" customFormat="1" ht="15" customHeight="1" x14ac:dyDescent="0.35">
      <c r="A21" s="181">
        <f t="shared" si="1"/>
        <v>6</v>
      </c>
      <c r="B21" s="494" t="str">
        <f>'Schedule 1C Adjustments'!B20:C20</f>
        <v/>
      </c>
      <c r="C21" s="494"/>
      <c r="D21" s="179">
        <f>'Schedule 1C Adjustments'!F20</f>
        <v>0</v>
      </c>
      <c r="E21" s="179">
        <f>'Schedule 1C Adjustments'!I20</f>
        <v>0</v>
      </c>
      <c r="F21" s="193">
        <f t="shared" si="0"/>
        <v>0</v>
      </c>
      <c r="G21" s="194" t="str">
        <f>'Schedule 1C Adjustments'!L20</f>
        <v/>
      </c>
      <c r="H21" s="177" t="str">
        <f>'Schedule 1C Adjustments'!M20</f>
        <v/>
      </c>
      <c r="I21" s="195" t="str">
        <f>'Schedule 1C Adjustments'!N20</f>
        <v/>
      </c>
      <c r="J21" s="66"/>
      <c r="T21" s="67"/>
      <c r="U21" s="67"/>
      <c r="V21" s="67"/>
      <c r="W21" s="67"/>
      <c r="X21" s="67"/>
    </row>
    <row r="22" spans="1:24" s="4" customFormat="1" ht="15" customHeight="1" x14ac:dyDescent="0.35">
      <c r="A22" s="181">
        <f t="shared" si="1"/>
        <v>7</v>
      </c>
      <c r="B22" s="494" t="str">
        <f>'Schedule 1C Adjustments'!B21:C21</f>
        <v/>
      </c>
      <c r="C22" s="494"/>
      <c r="D22" s="179">
        <f>'Schedule 1C Adjustments'!F21</f>
        <v>0</v>
      </c>
      <c r="E22" s="179">
        <f>'Schedule 1C Adjustments'!I21</f>
        <v>0</v>
      </c>
      <c r="F22" s="193">
        <f t="shared" si="0"/>
        <v>0</v>
      </c>
      <c r="G22" s="194" t="str">
        <f>'Schedule 1C Adjustments'!L21</f>
        <v/>
      </c>
      <c r="H22" s="177" t="str">
        <f>'Schedule 1C Adjustments'!M21</f>
        <v/>
      </c>
      <c r="I22" s="195" t="str">
        <f>'Schedule 1C Adjustments'!N21</f>
        <v/>
      </c>
      <c r="J22" s="66"/>
      <c r="T22" s="67"/>
      <c r="U22" s="67"/>
      <c r="V22" s="67"/>
      <c r="W22" s="67"/>
      <c r="X22" s="67"/>
    </row>
    <row r="23" spans="1:24" s="4" customFormat="1" ht="15" customHeight="1" x14ac:dyDescent="0.35">
      <c r="A23" s="181">
        <f t="shared" si="1"/>
        <v>8</v>
      </c>
      <c r="B23" s="494" t="str">
        <f>'Schedule 1C Adjustments'!B22:C22</f>
        <v/>
      </c>
      <c r="C23" s="494"/>
      <c r="D23" s="179">
        <f>'Schedule 1C Adjustments'!F22</f>
        <v>0</v>
      </c>
      <c r="E23" s="179">
        <f>'Schedule 1C Adjustments'!I22</f>
        <v>0</v>
      </c>
      <c r="F23" s="193">
        <f t="shared" si="0"/>
        <v>0</v>
      </c>
      <c r="G23" s="194" t="str">
        <f>'Schedule 1C Adjustments'!L22</f>
        <v/>
      </c>
      <c r="H23" s="177" t="str">
        <f>'Schedule 1C Adjustments'!M22</f>
        <v/>
      </c>
      <c r="I23" s="195" t="str">
        <f>'Schedule 1C Adjustments'!N22</f>
        <v/>
      </c>
      <c r="J23" s="66"/>
      <c r="T23" s="67"/>
      <c r="U23" s="67"/>
      <c r="V23" s="67"/>
      <c r="W23" s="67"/>
      <c r="X23" s="67"/>
    </row>
    <row r="24" spans="1:24" s="4" customFormat="1" ht="15" customHeight="1" x14ac:dyDescent="0.35">
      <c r="A24" s="181">
        <f t="shared" si="1"/>
        <v>9</v>
      </c>
      <c r="B24" s="494" t="str">
        <f>'Schedule 1C Adjustments'!B23:C23</f>
        <v/>
      </c>
      <c r="C24" s="494"/>
      <c r="D24" s="179">
        <f>'Schedule 1C Adjustments'!F23</f>
        <v>0</v>
      </c>
      <c r="E24" s="179">
        <f>'Schedule 1C Adjustments'!I23</f>
        <v>0</v>
      </c>
      <c r="F24" s="193">
        <f t="shared" si="0"/>
        <v>0</v>
      </c>
      <c r="G24" s="194" t="str">
        <f>'Schedule 1C Adjustments'!L23</f>
        <v/>
      </c>
      <c r="H24" s="177" t="str">
        <f>'Schedule 1C Adjustments'!M23</f>
        <v/>
      </c>
      <c r="I24" s="195" t="str">
        <f>'Schedule 1C Adjustments'!N23</f>
        <v/>
      </c>
      <c r="J24" s="66"/>
      <c r="T24" s="67"/>
      <c r="U24" s="67"/>
      <c r="V24" s="67"/>
      <c r="W24" s="67"/>
      <c r="X24" s="67"/>
    </row>
    <row r="25" spans="1:24" s="4" customFormat="1" ht="15" customHeight="1" x14ac:dyDescent="0.35">
      <c r="A25" s="181">
        <f t="shared" si="1"/>
        <v>10</v>
      </c>
      <c r="B25" s="494" t="str">
        <f>'Schedule 1C Adjustments'!B24:C24</f>
        <v/>
      </c>
      <c r="C25" s="494"/>
      <c r="D25" s="179">
        <f>'Schedule 1C Adjustments'!F24</f>
        <v>0</v>
      </c>
      <c r="E25" s="179">
        <f>'Schedule 1C Adjustments'!I24</f>
        <v>0</v>
      </c>
      <c r="F25" s="193">
        <f t="shared" si="0"/>
        <v>0</v>
      </c>
      <c r="G25" s="194" t="str">
        <f>'Schedule 1C Adjustments'!L24</f>
        <v/>
      </c>
      <c r="H25" s="177" t="str">
        <f>'Schedule 1C Adjustments'!M24</f>
        <v/>
      </c>
      <c r="I25" s="195" t="str">
        <f>'Schedule 1C Adjustments'!N24</f>
        <v/>
      </c>
      <c r="J25" s="66"/>
      <c r="T25" s="67"/>
      <c r="U25" s="67"/>
      <c r="V25" s="67"/>
      <c r="W25" s="67"/>
      <c r="X25" s="67"/>
    </row>
    <row r="26" spans="1:24" s="4" customFormat="1" ht="15" customHeight="1" x14ac:dyDescent="0.35">
      <c r="A26" s="181">
        <f t="shared" si="1"/>
        <v>11</v>
      </c>
      <c r="B26" s="313" t="s">
        <v>598</v>
      </c>
      <c r="C26" s="190"/>
      <c r="D26" s="196"/>
      <c r="E26" s="190"/>
      <c r="F26" s="184">
        <f>SUM(F16:F25)</f>
        <v>0</v>
      </c>
      <c r="G26" s="190"/>
      <c r="H26" s="197"/>
      <c r="I26" s="190"/>
      <c r="J26" s="66"/>
      <c r="T26" s="67"/>
      <c r="U26" s="67"/>
      <c r="V26" s="67"/>
      <c r="W26" s="67"/>
      <c r="X26" s="67"/>
    </row>
    <row r="27" spans="1:24" s="4" customFormat="1" ht="15" customHeight="1" x14ac:dyDescent="0.35">
      <c r="A27" s="198"/>
      <c r="B27" s="190"/>
      <c r="C27" s="190"/>
      <c r="D27" s="196"/>
      <c r="E27" s="190"/>
      <c r="F27" s="190"/>
      <c r="G27" s="190"/>
      <c r="H27" s="197"/>
      <c r="I27" s="190"/>
      <c r="J27" s="66"/>
      <c r="T27" s="67"/>
      <c r="U27" s="67"/>
      <c r="V27" s="67"/>
      <c r="W27" s="67"/>
      <c r="X27" s="67"/>
    </row>
    <row r="28" spans="1:24" x14ac:dyDescent="0.35">
      <c r="A28" s="181">
        <v>12</v>
      </c>
      <c r="B28" s="100"/>
      <c r="C28" s="100"/>
      <c r="D28" s="100"/>
      <c r="E28" s="183" t="s">
        <v>184</v>
      </c>
      <c r="F28" s="184">
        <f>SUMIF($G$16:$G$25,2,$F$16:$F$25)</f>
        <v>0</v>
      </c>
      <c r="G28" s="190"/>
      <c r="H28" s="100"/>
      <c r="I28" s="100"/>
    </row>
    <row r="29" spans="1:24" x14ac:dyDescent="0.35">
      <c r="A29" s="181">
        <v>13</v>
      </c>
      <c r="B29" s="100"/>
      <c r="C29" s="100"/>
      <c r="D29" s="100"/>
      <c r="E29" s="183" t="s">
        <v>182</v>
      </c>
      <c r="F29" s="184">
        <f>SUMIF($G$16:$G$25,3,$F$16:$F$25)</f>
        <v>0</v>
      </c>
      <c r="G29" s="190"/>
      <c r="H29" s="100"/>
      <c r="I29" s="100"/>
    </row>
    <row r="30" spans="1:24" x14ac:dyDescent="0.35">
      <c r="A30" s="181">
        <f t="shared" si="1"/>
        <v>14</v>
      </c>
      <c r="B30" s="100"/>
      <c r="C30" s="100"/>
      <c r="D30" s="100"/>
      <c r="E30" s="183" t="s">
        <v>183</v>
      </c>
      <c r="F30" s="184">
        <f>SUMIF($G$16:$G$25,4,$F$16:$F$25)</f>
        <v>0</v>
      </c>
      <c r="G30" s="190"/>
      <c r="H30" s="100"/>
      <c r="I30" s="100"/>
    </row>
    <row r="31" spans="1:24" x14ac:dyDescent="0.35">
      <c r="A31" s="181">
        <f t="shared" si="1"/>
        <v>15</v>
      </c>
      <c r="B31" s="100"/>
      <c r="C31" s="100"/>
      <c r="D31" s="100"/>
      <c r="E31" s="183" t="s">
        <v>185</v>
      </c>
      <c r="F31" s="184">
        <f>SUMIF($G$16:$G$25,5,$F$16:$F$25)</f>
        <v>0</v>
      </c>
      <c r="G31" s="190"/>
      <c r="H31" s="100"/>
      <c r="I31" s="100"/>
    </row>
    <row r="32" spans="1:24" x14ac:dyDescent="0.35">
      <c r="A32" s="100"/>
      <c r="B32" s="100"/>
      <c r="C32" s="100"/>
      <c r="D32" s="100"/>
      <c r="E32" s="100"/>
      <c r="F32" s="185" t="str">
        <f>IF(SUM(F28:F31)&lt;&gt;F26,"error","")</f>
        <v/>
      </c>
      <c r="G32" s="190"/>
      <c r="H32" s="100"/>
      <c r="I32" s="100"/>
    </row>
    <row r="33" spans="1:24" ht="15.65" customHeight="1" x14ac:dyDescent="0.35">
      <c r="A33" s="100"/>
      <c r="B33" s="186"/>
      <c r="C33" s="186"/>
      <c r="D33" s="186"/>
      <c r="E33" s="186"/>
      <c r="F33" s="187" t="s">
        <v>271</v>
      </c>
      <c r="G33" s="187"/>
      <c r="H33" s="186"/>
      <c r="I33" s="186"/>
      <c r="J33" s="64"/>
      <c r="T33" s="65"/>
      <c r="U33" s="65"/>
      <c r="V33" s="65"/>
      <c r="W33" s="65"/>
      <c r="X33" s="65"/>
    </row>
    <row r="34" spans="1:24" x14ac:dyDescent="0.35">
      <c r="A34" s="199"/>
      <c r="B34" s="200"/>
      <c r="C34" s="200"/>
      <c r="D34" s="201"/>
      <c r="E34" s="200"/>
      <c r="F34" s="200"/>
      <c r="G34" s="200"/>
      <c r="H34" s="202"/>
      <c r="I34" s="200"/>
      <c r="J34" s="64"/>
      <c r="T34" s="65"/>
      <c r="U34" s="65"/>
      <c r="V34" s="65"/>
      <c r="W34" s="65"/>
      <c r="X34" s="65"/>
    </row>
    <row r="35" spans="1:24" ht="15.65" customHeight="1" x14ac:dyDescent="0.35">
      <c r="A35" s="505" t="s">
        <v>923</v>
      </c>
      <c r="B35" s="505"/>
      <c r="C35" s="505"/>
      <c r="D35" s="505"/>
      <c r="E35" s="505"/>
      <c r="F35" s="505"/>
      <c r="G35" s="505"/>
      <c r="H35" s="505"/>
      <c r="I35" s="505"/>
      <c r="J35" s="64"/>
      <c r="T35" s="65"/>
      <c r="U35" s="65"/>
      <c r="V35" s="65"/>
      <c r="W35" s="65"/>
      <c r="X35" s="65"/>
    </row>
    <row r="36" spans="1:24" x14ac:dyDescent="0.35">
      <c r="A36" s="505"/>
      <c r="B36" s="505"/>
      <c r="C36" s="505"/>
      <c r="D36" s="505"/>
      <c r="E36" s="505"/>
      <c r="F36" s="505"/>
      <c r="G36" s="505"/>
      <c r="H36" s="505"/>
      <c r="I36" s="505"/>
      <c r="J36" s="64"/>
      <c r="T36" s="65"/>
      <c r="U36" s="65"/>
      <c r="V36" s="65"/>
      <c r="W36" s="65"/>
      <c r="X36" s="65"/>
    </row>
    <row r="37" spans="1:24" x14ac:dyDescent="0.35">
      <c r="A37" s="505"/>
      <c r="B37" s="505"/>
      <c r="C37" s="505"/>
      <c r="D37" s="505"/>
      <c r="E37" s="505"/>
      <c r="F37" s="505"/>
      <c r="G37" s="505"/>
      <c r="H37" s="505"/>
      <c r="I37" s="505"/>
      <c r="J37" s="64"/>
      <c r="T37" s="65"/>
      <c r="U37" s="65"/>
      <c r="V37" s="65"/>
      <c r="W37" s="65"/>
      <c r="X37" s="65"/>
    </row>
    <row r="38" spans="1:24" x14ac:dyDescent="0.35">
      <c r="A38" s="505"/>
      <c r="B38" s="505"/>
      <c r="C38" s="505"/>
      <c r="D38" s="505"/>
      <c r="E38" s="505"/>
      <c r="F38" s="505"/>
      <c r="G38" s="505"/>
      <c r="H38" s="505"/>
      <c r="I38" s="505"/>
      <c r="J38" s="64"/>
      <c r="T38" s="65"/>
      <c r="U38" s="65"/>
      <c r="V38" s="65"/>
      <c r="W38" s="65"/>
      <c r="X38" s="65"/>
    </row>
    <row r="39" spans="1:24" x14ac:dyDescent="0.35">
      <c r="A39" s="505"/>
      <c r="B39" s="505"/>
      <c r="C39" s="505"/>
      <c r="D39" s="505"/>
      <c r="E39" s="505"/>
      <c r="F39" s="505"/>
      <c r="G39" s="505"/>
      <c r="H39" s="505"/>
      <c r="I39" s="505"/>
      <c r="J39" s="64"/>
      <c r="T39" s="65"/>
      <c r="U39" s="65"/>
      <c r="V39" s="65"/>
      <c r="W39" s="65"/>
      <c r="X39" s="65"/>
    </row>
    <row r="40" spans="1:24" x14ac:dyDescent="0.35">
      <c r="A40" s="505"/>
      <c r="B40" s="505"/>
      <c r="C40" s="505"/>
      <c r="D40" s="505"/>
      <c r="E40" s="505"/>
      <c r="F40" s="505"/>
      <c r="G40" s="505"/>
      <c r="H40" s="505"/>
      <c r="I40" s="505"/>
      <c r="J40" s="64"/>
      <c r="T40" s="65"/>
      <c r="U40" s="65"/>
      <c r="V40" s="65"/>
      <c r="W40" s="65"/>
      <c r="X40" s="65"/>
    </row>
    <row r="41" spans="1:24" ht="14.25" customHeight="1" x14ac:dyDescent="0.35">
      <c r="A41" s="100"/>
      <c r="B41" s="100"/>
      <c r="C41" s="100"/>
      <c r="D41" s="100"/>
      <c r="E41" s="100"/>
      <c r="F41" s="100"/>
      <c r="G41" s="100"/>
      <c r="H41" s="113"/>
      <c r="I41" s="100"/>
    </row>
    <row r="42" spans="1:24" x14ac:dyDescent="0.35">
      <c r="A42" s="100"/>
      <c r="B42" s="100"/>
      <c r="C42" s="100"/>
      <c r="D42" s="100"/>
      <c r="E42" s="100"/>
      <c r="F42" s="100"/>
      <c r="G42" s="100"/>
      <c r="H42" s="113"/>
      <c r="I42" s="100"/>
    </row>
    <row r="43" spans="1:24" x14ac:dyDescent="0.35">
      <c r="A43" s="100"/>
      <c r="B43" s="100"/>
      <c r="C43" s="100"/>
      <c r="D43" s="100"/>
      <c r="E43" s="100"/>
      <c r="F43" s="100"/>
      <c r="G43" s="100"/>
      <c r="H43" s="113"/>
      <c r="I43" s="100"/>
    </row>
    <row r="44" spans="1:24" x14ac:dyDescent="0.35">
      <c r="A44" s="100"/>
      <c r="B44" s="100"/>
      <c r="C44" s="100"/>
      <c r="D44" s="100"/>
      <c r="E44" s="100"/>
      <c r="F44" s="100"/>
      <c r="G44" s="100"/>
      <c r="H44" s="113"/>
      <c r="I44" s="100"/>
    </row>
    <row r="45" spans="1:24" x14ac:dyDescent="0.35">
      <c r="A45" s="100"/>
      <c r="B45" s="100"/>
      <c r="C45" s="100"/>
      <c r="D45" s="100"/>
      <c r="E45" s="100"/>
      <c r="F45" s="100"/>
      <c r="G45" s="100"/>
      <c r="H45" s="113"/>
      <c r="I45" s="100"/>
    </row>
    <row r="46" spans="1:24" x14ac:dyDescent="0.35">
      <c r="A46" s="100"/>
      <c r="B46" s="100"/>
      <c r="C46" s="100"/>
      <c r="D46" s="100"/>
      <c r="E46" s="100"/>
      <c r="F46" s="100"/>
      <c r="G46" s="100"/>
      <c r="H46" s="113"/>
      <c r="I46" s="100"/>
    </row>
    <row r="47" spans="1:24" x14ac:dyDescent="0.35">
      <c r="A47" s="100"/>
      <c r="B47" s="100"/>
      <c r="C47" s="100"/>
      <c r="D47" s="100"/>
      <c r="E47" s="100"/>
      <c r="F47" s="100"/>
      <c r="G47" s="100"/>
      <c r="H47" s="113"/>
      <c r="I47" s="100"/>
    </row>
    <row r="48" spans="1:24" x14ac:dyDescent="0.35">
      <c r="A48" s="100"/>
      <c r="B48" s="100"/>
      <c r="C48" s="100"/>
      <c r="D48" s="100"/>
      <c r="E48" s="100"/>
      <c r="F48" s="100"/>
      <c r="G48" s="100"/>
      <c r="H48" s="113"/>
      <c r="I48" s="100"/>
    </row>
    <row r="49" spans="1:9" x14ac:dyDescent="0.35">
      <c r="A49" s="100"/>
      <c r="B49" s="100"/>
      <c r="C49" s="100"/>
      <c r="D49" s="100"/>
      <c r="E49" s="100"/>
      <c r="F49" s="100"/>
      <c r="G49" s="100"/>
      <c r="H49" s="113"/>
      <c r="I49" s="100"/>
    </row>
    <row r="50" spans="1:9" x14ac:dyDescent="0.35">
      <c r="A50" s="100"/>
      <c r="B50" s="100"/>
      <c r="C50" s="100"/>
      <c r="D50" s="100"/>
      <c r="E50" s="100"/>
      <c r="F50" s="100"/>
      <c r="G50" s="100"/>
      <c r="H50" s="113"/>
      <c r="I50" s="100"/>
    </row>
    <row r="51" spans="1:9" x14ac:dyDescent="0.35">
      <c r="A51" s="100"/>
      <c r="B51" s="100"/>
      <c r="C51" s="100"/>
      <c r="D51" s="100"/>
      <c r="E51" s="100"/>
      <c r="F51" s="100"/>
      <c r="G51" s="100"/>
      <c r="H51" s="113"/>
      <c r="I51" s="100"/>
    </row>
    <row r="52" spans="1:9" x14ac:dyDescent="0.35">
      <c r="A52" s="100"/>
      <c r="B52" s="100"/>
      <c r="C52" s="100"/>
      <c r="D52" s="100"/>
      <c r="E52" s="100"/>
      <c r="F52" s="100"/>
      <c r="G52" s="100"/>
      <c r="H52" s="113"/>
      <c r="I52" s="100"/>
    </row>
    <row r="53" spans="1:9" x14ac:dyDescent="0.35">
      <c r="A53" s="100"/>
      <c r="B53" s="100"/>
      <c r="C53" s="100"/>
      <c r="D53" s="100"/>
      <c r="E53" s="100"/>
      <c r="F53" s="100"/>
      <c r="G53" s="100"/>
      <c r="H53" s="113"/>
      <c r="I53" s="100"/>
    </row>
    <row r="54" spans="1:9" x14ac:dyDescent="0.35">
      <c r="A54" s="100"/>
      <c r="B54" s="100"/>
      <c r="C54" s="100"/>
      <c r="D54" s="100"/>
      <c r="E54" s="100"/>
      <c r="F54" s="100"/>
      <c r="G54" s="100"/>
      <c r="H54" s="113"/>
      <c r="I54" s="100"/>
    </row>
    <row r="55" spans="1:9" x14ac:dyDescent="0.35">
      <c r="A55" s="100"/>
      <c r="B55" s="100"/>
      <c r="C55" s="100"/>
      <c r="D55" s="100"/>
      <c r="E55" s="100"/>
      <c r="F55" s="100"/>
      <c r="G55" s="100"/>
      <c r="H55" s="113"/>
      <c r="I55" s="100"/>
    </row>
    <row r="56" spans="1:9" x14ac:dyDescent="0.35">
      <c r="A56" s="100"/>
      <c r="B56" s="100"/>
      <c r="C56" s="100"/>
      <c r="D56" s="100"/>
      <c r="E56" s="100"/>
      <c r="F56" s="100"/>
      <c r="G56" s="100"/>
      <c r="H56" s="113"/>
      <c r="I56" s="100"/>
    </row>
    <row r="57" spans="1:9" x14ac:dyDescent="0.35">
      <c r="A57" s="100"/>
      <c r="B57" s="100"/>
      <c r="C57" s="100"/>
      <c r="D57" s="100"/>
      <c r="E57" s="100"/>
      <c r="F57" s="100"/>
      <c r="G57" s="100"/>
      <c r="H57" s="113"/>
      <c r="I57" s="100"/>
    </row>
    <row r="58" spans="1:9" x14ac:dyDescent="0.35">
      <c r="A58" s="100"/>
      <c r="B58" s="100"/>
      <c r="C58" s="100"/>
      <c r="D58" s="100"/>
      <c r="E58" s="100"/>
      <c r="F58" s="100"/>
      <c r="G58" s="100"/>
      <c r="H58" s="113"/>
      <c r="I58" s="100"/>
    </row>
    <row r="59" spans="1:9" x14ac:dyDescent="0.35">
      <c r="A59" s="100"/>
      <c r="B59" s="100"/>
      <c r="C59" s="100"/>
      <c r="D59" s="100"/>
      <c r="E59" s="100"/>
      <c r="F59" s="100"/>
      <c r="G59" s="100"/>
      <c r="H59" s="113"/>
      <c r="I59" s="100"/>
    </row>
    <row r="60" spans="1:9" x14ac:dyDescent="0.35">
      <c r="A60" s="100"/>
      <c r="B60" s="100"/>
      <c r="C60" s="100"/>
      <c r="D60" s="100"/>
      <c r="E60" s="100"/>
      <c r="F60" s="100"/>
      <c r="G60" s="100"/>
      <c r="H60" s="113"/>
      <c r="I60" s="100"/>
    </row>
    <row r="61" spans="1:9" x14ac:dyDescent="0.35">
      <c r="A61" s="100"/>
      <c r="B61" s="100"/>
      <c r="C61" s="100"/>
      <c r="D61" s="100"/>
      <c r="E61" s="100"/>
      <c r="F61" s="100"/>
      <c r="G61" s="100"/>
      <c r="H61" s="113"/>
      <c r="I61" s="100"/>
    </row>
    <row r="62" spans="1:9" x14ac:dyDescent="0.35">
      <c r="A62" s="100"/>
      <c r="B62" s="100"/>
      <c r="C62" s="100"/>
      <c r="D62" s="100"/>
      <c r="E62" s="100"/>
      <c r="F62" s="100"/>
      <c r="G62" s="100"/>
      <c r="H62" s="113"/>
      <c r="I62" s="100"/>
    </row>
    <row r="63" spans="1:9" x14ac:dyDescent="0.35">
      <c r="A63" s="100"/>
      <c r="B63" s="100"/>
      <c r="C63" s="100"/>
      <c r="D63" s="100"/>
      <c r="E63" s="100"/>
      <c r="F63" s="100"/>
      <c r="G63" s="100"/>
      <c r="H63" s="113"/>
      <c r="I63" s="100"/>
    </row>
    <row r="64" spans="1:9" x14ac:dyDescent="0.35">
      <c r="A64" s="100"/>
      <c r="B64" s="100"/>
      <c r="C64" s="100"/>
      <c r="D64" s="100"/>
      <c r="E64" s="100"/>
      <c r="F64" s="100"/>
      <c r="G64" s="100"/>
      <c r="H64" s="113"/>
      <c r="I64" s="100"/>
    </row>
    <row r="65" spans="1:9" x14ac:dyDescent="0.35">
      <c r="A65" s="100"/>
      <c r="B65" s="100"/>
      <c r="C65" s="100"/>
      <c r="D65" s="100"/>
      <c r="E65" s="100"/>
      <c r="F65" s="100"/>
      <c r="G65" s="100"/>
      <c r="H65" s="113"/>
      <c r="I65" s="100"/>
    </row>
    <row r="66" spans="1:9" x14ac:dyDescent="0.35">
      <c r="A66" s="100"/>
      <c r="B66" s="100"/>
      <c r="C66" s="100"/>
      <c r="D66" s="100"/>
      <c r="E66" s="100"/>
      <c r="F66" s="100"/>
      <c r="G66" s="100"/>
      <c r="H66" s="113"/>
      <c r="I66" s="100"/>
    </row>
    <row r="67" spans="1:9" x14ac:dyDescent="0.35">
      <c r="A67" s="100"/>
      <c r="B67" s="100"/>
      <c r="C67" s="100"/>
      <c r="D67" s="100"/>
      <c r="E67" s="100"/>
      <c r="F67" s="100"/>
      <c r="G67" s="100"/>
      <c r="H67" s="113"/>
      <c r="I67" s="100"/>
    </row>
    <row r="68" spans="1:9" x14ac:dyDescent="0.35">
      <c r="A68" s="100"/>
      <c r="B68" s="100"/>
      <c r="C68" s="100"/>
      <c r="D68" s="100"/>
      <c r="E68" s="100"/>
      <c r="F68" s="100"/>
      <c r="G68" s="100"/>
      <c r="H68" s="113"/>
      <c r="I68" s="100"/>
    </row>
    <row r="69" spans="1:9" x14ac:dyDescent="0.35">
      <c r="A69" s="100"/>
      <c r="B69" s="100"/>
      <c r="C69" s="100"/>
      <c r="D69" s="100"/>
      <c r="E69" s="100"/>
      <c r="F69" s="100"/>
      <c r="G69" s="100"/>
      <c r="H69" s="113"/>
      <c r="I69" s="100"/>
    </row>
    <row r="70" spans="1:9" x14ac:dyDescent="0.35">
      <c r="A70" s="100"/>
      <c r="B70" s="100"/>
      <c r="C70" s="100"/>
      <c r="D70" s="100"/>
      <c r="E70" s="100"/>
      <c r="F70" s="100"/>
      <c r="G70" s="100"/>
      <c r="H70" s="113"/>
      <c r="I70" s="100"/>
    </row>
    <row r="71" spans="1:9" x14ac:dyDescent="0.35">
      <c r="A71" s="100"/>
      <c r="B71" s="100"/>
      <c r="C71" s="100"/>
      <c r="D71" s="100"/>
      <c r="E71" s="100"/>
      <c r="F71" s="100"/>
      <c r="G71" s="100"/>
      <c r="H71" s="113"/>
      <c r="I71" s="100"/>
    </row>
    <row r="72" spans="1:9" x14ac:dyDescent="0.35">
      <c r="A72" s="100"/>
      <c r="B72" s="100"/>
      <c r="C72" s="100"/>
      <c r="D72" s="100"/>
      <c r="E72" s="100"/>
      <c r="F72" s="100"/>
      <c r="G72" s="100"/>
      <c r="H72" s="113"/>
      <c r="I72" s="100"/>
    </row>
    <row r="73" spans="1:9" x14ac:dyDescent="0.35">
      <c r="A73" s="100"/>
      <c r="B73" s="100"/>
      <c r="C73" s="100"/>
      <c r="D73" s="100"/>
      <c r="E73" s="100"/>
      <c r="F73" s="100"/>
      <c r="G73" s="100"/>
      <c r="H73" s="113"/>
      <c r="I73" s="100"/>
    </row>
    <row r="74" spans="1:9" x14ac:dyDescent="0.35">
      <c r="A74" s="100"/>
      <c r="B74" s="100"/>
      <c r="C74" s="100"/>
      <c r="D74" s="100"/>
      <c r="E74" s="100"/>
      <c r="F74" s="100"/>
      <c r="G74" s="100"/>
      <c r="H74" s="113"/>
      <c r="I74" s="100"/>
    </row>
    <row r="75" spans="1:9" x14ac:dyDescent="0.35">
      <c r="A75" s="100"/>
      <c r="B75" s="100"/>
      <c r="C75" s="100"/>
      <c r="D75" s="100"/>
      <c r="E75" s="100"/>
      <c r="F75" s="100"/>
      <c r="G75" s="100"/>
      <c r="H75" s="113"/>
      <c r="I75" s="100"/>
    </row>
    <row r="76" spans="1:9" x14ac:dyDescent="0.35">
      <c r="A76" s="100"/>
      <c r="B76" s="100"/>
      <c r="C76" s="100"/>
      <c r="D76" s="100"/>
      <c r="E76" s="100"/>
      <c r="F76" s="100"/>
      <c r="G76" s="100"/>
      <c r="H76" s="113"/>
      <c r="I76" s="100"/>
    </row>
    <row r="77" spans="1:9" x14ac:dyDescent="0.35">
      <c r="A77" s="100"/>
      <c r="B77" s="100"/>
      <c r="C77" s="100"/>
      <c r="D77" s="100"/>
      <c r="E77" s="100"/>
      <c r="F77" s="100"/>
      <c r="G77" s="100"/>
      <c r="H77" s="113"/>
      <c r="I77" s="100"/>
    </row>
    <row r="78" spans="1:9" x14ac:dyDescent="0.35">
      <c r="A78" s="100"/>
      <c r="B78" s="100"/>
      <c r="C78" s="100"/>
      <c r="D78" s="100"/>
      <c r="E78" s="100"/>
      <c r="F78" s="100"/>
      <c r="G78" s="100"/>
      <c r="H78" s="113"/>
      <c r="I78" s="100"/>
    </row>
    <row r="79" spans="1:9" x14ac:dyDescent="0.35">
      <c r="A79" s="100"/>
      <c r="B79" s="100"/>
      <c r="C79" s="100"/>
      <c r="D79" s="100"/>
      <c r="E79" s="100"/>
      <c r="F79" s="100"/>
      <c r="G79" s="100"/>
      <c r="H79" s="113"/>
      <c r="I79" s="100"/>
    </row>
    <row r="80" spans="1:9" x14ac:dyDescent="0.35">
      <c r="A80" s="100"/>
      <c r="B80" s="100"/>
      <c r="C80" s="100"/>
      <c r="D80" s="100"/>
      <c r="E80" s="100"/>
      <c r="F80" s="100"/>
      <c r="G80" s="100"/>
      <c r="H80" s="113"/>
      <c r="I80" s="100"/>
    </row>
    <row r="81" spans="1:9" x14ac:dyDescent="0.35">
      <c r="A81" s="100"/>
      <c r="B81" s="100"/>
      <c r="C81" s="100"/>
      <c r="D81" s="100"/>
      <c r="E81" s="100"/>
      <c r="F81" s="100"/>
      <c r="G81" s="100"/>
      <c r="H81" s="113"/>
      <c r="I81" s="100"/>
    </row>
    <row r="82" spans="1:9" x14ac:dyDescent="0.35">
      <c r="A82" s="100"/>
      <c r="B82" s="100"/>
      <c r="C82" s="100"/>
      <c r="D82" s="100"/>
      <c r="E82" s="100"/>
      <c r="F82" s="100"/>
      <c r="G82" s="100"/>
      <c r="H82" s="113"/>
      <c r="I82" s="100"/>
    </row>
    <row r="83" spans="1:9" x14ac:dyDescent="0.35">
      <c r="A83" s="100"/>
      <c r="B83" s="100"/>
      <c r="C83" s="100"/>
      <c r="D83" s="100"/>
      <c r="E83" s="100"/>
      <c r="F83" s="100"/>
      <c r="G83" s="100"/>
      <c r="H83" s="113"/>
      <c r="I83" s="100"/>
    </row>
    <row r="84" spans="1:9" x14ac:dyDescent="0.35">
      <c r="A84" s="100"/>
      <c r="B84" s="100"/>
      <c r="C84" s="100"/>
      <c r="D84" s="100"/>
      <c r="E84" s="100"/>
      <c r="F84" s="100"/>
      <c r="G84" s="100"/>
      <c r="H84" s="113"/>
      <c r="I84" s="100"/>
    </row>
    <row r="85" spans="1:9" x14ac:dyDescent="0.35">
      <c r="A85" s="100"/>
      <c r="B85" s="100"/>
      <c r="C85" s="100"/>
      <c r="D85" s="100"/>
      <c r="E85" s="100"/>
      <c r="F85" s="100"/>
      <c r="G85" s="100"/>
      <c r="H85" s="113"/>
      <c r="I85" s="100"/>
    </row>
    <row r="86" spans="1:9" x14ac:dyDescent="0.35">
      <c r="A86" s="100"/>
      <c r="B86" s="100"/>
      <c r="C86" s="100"/>
      <c r="D86" s="100"/>
      <c r="E86" s="100"/>
      <c r="F86" s="100"/>
      <c r="G86" s="100"/>
      <c r="H86" s="113"/>
      <c r="I86" s="100"/>
    </row>
    <row r="87" spans="1:9" x14ac:dyDescent="0.35">
      <c r="A87" s="100"/>
      <c r="B87" s="100"/>
      <c r="C87" s="100"/>
      <c r="D87" s="100"/>
      <c r="E87" s="100"/>
      <c r="F87" s="100"/>
      <c r="G87" s="100"/>
      <c r="H87" s="113"/>
      <c r="I87" s="100"/>
    </row>
    <row r="88" spans="1:9" x14ac:dyDescent="0.35">
      <c r="A88" s="100"/>
      <c r="B88" s="100"/>
      <c r="C88" s="100"/>
      <c r="D88" s="100"/>
      <c r="E88" s="100"/>
      <c r="F88" s="100"/>
      <c r="G88" s="100"/>
      <c r="H88" s="113"/>
      <c r="I88" s="100"/>
    </row>
    <row r="97" spans="7:7" hidden="1" x14ac:dyDescent="0.35">
      <c r="G97">
        <v>2</v>
      </c>
    </row>
    <row r="98" spans="7:7" hidden="1" x14ac:dyDescent="0.35">
      <c r="G98">
        <v>3</v>
      </c>
    </row>
    <row r="99" spans="7:7" hidden="1" x14ac:dyDescent="0.35">
      <c r="G99">
        <v>4</v>
      </c>
    </row>
    <row r="100" spans="7:7" hidden="1" x14ac:dyDescent="0.35">
      <c r="G100">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14">
    <mergeCell ref="B24:C24"/>
    <mergeCell ref="B25:C25"/>
    <mergeCell ref="A35:I40"/>
    <mergeCell ref="B17:C17"/>
    <mergeCell ref="B18:C18"/>
    <mergeCell ref="B19:C19"/>
    <mergeCell ref="B20:C20"/>
    <mergeCell ref="B21:C21"/>
    <mergeCell ref="B22:C22"/>
    <mergeCell ref="B16:C16"/>
    <mergeCell ref="A10:I12"/>
    <mergeCell ref="B14:C14"/>
    <mergeCell ref="B15:C15"/>
    <mergeCell ref="B23:C23"/>
  </mergeCells>
  <pageMargins left="0.7" right="0.7" top="0.75" bottom="0.75" header="0.3" footer="0.3"/>
  <pageSetup orientation="portrait" horizontalDpi="1200" verticalDpi="120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8971D"/>
  </sheetPr>
  <dimension ref="A1:K39"/>
  <sheetViews>
    <sheetView workbookViewId="0">
      <selection activeCell="H38" sqref="H38"/>
    </sheetView>
  </sheetViews>
  <sheetFormatPr defaultColWidth="9.1796875" defaultRowHeight="14.5" x14ac:dyDescent="0.35"/>
  <cols>
    <col min="1" max="1" width="4" customWidth="1"/>
    <col min="2" max="2" width="23.26953125" customWidth="1"/>
    <col min="3" max="3" width="34" customWidth="1"/>
    <col min="4" max="4" width="19.453125" customWidth="1"/>
    <col min="5" max="9" width="18.453125" customWidth="1"/>
    <col min="10" max="10" width="9.453125" customWidth="1"/>
    <col min="11" max="11" width="36.1796875" bestFit="1" customWidth="1"/>
  </cols>
  <sheetData>
    <row r="1" spans="1:10" ht="26" x14ac:dyDescent="0.6">
      <c r="A1" s="3" t="s">
        <v>774</v>
      </c>
    </row>
    <row r="2" spans="1:10" ht="21" x14ac:dyDescent="0.5">
      <c r="A2" s="2" t="s">
        <v>772</v>
      </c>
    </row>
    <row r="3" spans="1:10" ht="25" customHeight="1" x14ac:dyDescent="0.5">
      <c r="A3" s="495" t="s">
        <v>681</v>
      </c>
      <c r="B3" s="495"/>
      <c r="C3" s="495"/>
      <c r="D3" s="495"/>
      <c r="E3" s="495"/>
      <c r="F3" s="495"/>
      <c r="G3" s="495"/>
      <c r="H3" s="495"/>
      <c r="I3" s="495"/>
      <c r="J3" s="495"/>
    </row>
    <row r="4" spans="1:10" ht="25" customHeight="1" x14ac:dyDescent="0.5">
      <c r="A4" s="242" t="str">
        <f>Results!A4</f>
        <v>Final Adjustments</v>
      </c>
      <c r="B4" s="356"/>
      <c r="C4" s="356"/>
      <c r="D4" s="356"/>
      <c r="E4" s="356"/>
      <c r="F4" s="356"/>
      <c r="G4" s="356"/>
      <c r="H4" s="356"/>
      <c r="I4" s="356"/>
      <c r="J4" s="356"/>
    </row>
    <row r="6" spans="1:10" x14ac:dyDescent="0.35">
      <c r="A6" s="1" t="s">
        <v>773</v>
      </c>
      <c r="C6" s="416" t="str">
        <f>Results!$C$6</f>
        <v>AllHealth Network</v>
      </c>
    </row>
    <row r="7" spans="1:10" x14ac:dyDescent="0.35">
      <c r="A7" s="1" t="s">
        <v>0</v>
      </c>
      <c r="C7" s="35">
        <f>Results!$C$7</f>
        <v>45473</v>
      </c>
      <c r="D7" s="35"/>
    </row>
    <row r="9" spans="1:10" x14ac:dyDescent="0.35">
      <c r="A9" s="1" t="s">
        <v>311</v>
      </c>
    </row>
    <row r="10" spans="1:10" x14ac:dyDescent="0.35">
      <c r="A10" s="1"/>
      <c r="B10" s="82"/>
      <c r="C10" s="82"/>
      <c r="D10" s="82"/>
    </row>
    <row r="11" spans="1:10" x14ac:dyDescent="0.35">
      <c r="A11" s="70"/>
      <c r="B11" s="506">
        <v>1</v>
      </c>
      <c r="C11" s="506"/>
      <c r="D11" s="23">
        <v>2</v>
      </c>
      <c r="E11" s="23">
        <v>3</v>
      </c>
      <c r="F11" s="23">
        <v>4</v>
      </c>
      <c r="G11" s="23">
        <v>5</v>
      </c>
      <c r="H11" s="23">
        <v>6</v>
      </c>
      <c r="I11" s="23">
        <v>7</v>
      </c>
    </row>
    <row r="12" spans="1:10" x14ac:dyDescent="0.35">
      <c r="B12" s="507" t="s">
        <v>178</v>
      </c>
      <c r="C12" s="507"/>
      <c r="D12" s="508" t="s">
        <v>180</v>
      </c>
      <c r="E12" s="509" t="s">
        <v>207</v>
      </c>
      <c r="F12" s="510"/>
      <c r="G12" s="509" t="s">
        <v>210</v>
      </c>
      <c r="H12" s="510"/>
      <c r="I12" s="507" t="s">
        <v>218</v>
      </c>
    </row>
    <row r="13" spans="1:10" ht="30" customHeight="1" x14ac:dyDescent="0.35">
      <c r="B13" s="507"/>
      <c r="C13" s="507"/>
      <c r="D13" s="508"/>
      <c r="E13" s="10" t="s">
        <v>687</v>
      </c>
      <c r="F13" s="10" t="s">
        <v>688</v>
      </c>
      <c r="G13" s="10" t="s">
        <v>687</v>
      </c>
      <c r="H13" s="10" t="s">
        <v>688</v>
      </c>
      <c r="I13" s="507"/>
    </row>
    <row r="14" spans="1:10" x14ac:dyDescent="0.35">
      <c r="A14" s="420" t="s">
        <v>838</v>
      </c>
      <c r="B14" s="203"/>
      <c r="C14" s="203"/>
      <c r="D14" s="203"/>
      <c r="E14" s="203"/>
      <c r="F14" s="203"/>
      <c r="G14" s="203"/>
      <c r="H14" s="203"/>
      <c r="I14" s="203"/>
    </row>
    <row r="15" spans="1:10" x14ac:dyDescent="0.35">
      <c r="A15" s="24">
        <v>1</v>
      </c>
      <c r="B15" s="511" t="s">
        <v>211</v>
      </c>
      <c r="C15" s="511"/>
      <c r="D15" s="24" t="s">
        <v>12</v>
      </c>
      <c r="E15" s="26">
        <f>'Adjusted Schedule 2A'!F74</f>
        <v>2711966</v>
      </c>
      <c r="F15" s="26">
        <f>'Adjusted Schedule 2A'!G74</f>
        <v>887818.39890112204</v>
      </c>
      <c r="G15" s="26">
        <f>'Adjusted Schedule 2A'!J74</f>
        <v>423487</v>
      </c>
      <c r="H15" s="26">
        <f>'Adjusted Schedule 2A'!K74</f>
        <v>138637.26547288551</v>
      </c>
      <c r="I15" s="68">
        <f>SUM(E15:H15)</f>
        <v>4161908.6643740078</v>
      </c>
    </row>
    <row r="16" spans="1:10" x14ac:dyDescent="0.35">
      <c r="A16" s="24">
        <v>2</v>
      </c>
      <c r="B16" s="511" t="s">
        <v>213</v>
      </c>
      <c r="C16" s="511"/>
      <c r="D16" s="24" t="s">
        <v>13</v>
      </c>
      <c r="E16" s="26">
        <f>'Adjusted Schedule 2B'!$F$74</f>
        <v>0</v>
      </c>
      <c r="F16" s="26">
        <f>'Adjusted Schedule 2B'!G74</f>
        <v>0</v>
      </c>
      <c r="G16" s="26">
        <f>'Adjusted Schedule 2B'!$J$74</f>
        <v>960601</v>
      </c>
      <c r="H16" s="26">
        <f>'Adjusted Schedule 2B'!K74</f>
        <v>314472.68948165898</v>
      </c>
      <c r="I16" s="68">
        <f>SUM(E16:H16)</f>
        <v>1275073.6894816589</v>
      </c>
    </row>
    <row r="17" spans="1:11" x14ac:dyDescent="0.35">
      <c r="A17" s="24">
        <v>3</v>
      </c>
      <c r="B17" s="511" t="s">
        <v>201</v>
      </c>
      <c r="C17" s="511"/>
      <c r="D17" s="24" t="s">
        <v>14</v>
      </c>
      <c r="E17" s="26">
        <f>'Adjusted Schedule 2C'!$F$74</f>
        <v>27976933</v>
      </c>
      <c r="F17" s="26">
        <f>'Adjusted Schedule 2C'!G74</f>
        <v>9158830.1115220338</v>
      </c>
      <c r="G17" s="26">
        <f>'Adjusted Schedule 2C'!$J$74</f>
        <v>14746185</v>
      </c>
      <c r="H17" s="26">
        <f>'Adjusted Schedule 2C'!K74</f>
        <v>4827469.944903343</v>
      </c>
      <c r="I17" s="68">
        <f>SUM(E17:H17)</f>
        <v>56709418.056425378</v>
      </c>
      <c r="K17" s="48"/>
    </row>
    <row r="18" spans="1:11" x14ac:dyDescent="0.35">
      <c r="A18" s="24">
        <v>4</v>
      </c>
      <c r="B18" s="511" t="s">
        <v>212</v>
      </c>
      <c r="C18" s="511"/>
      <c r="D18" s="24" t="s">
        <v>179</v>
      </c>
      <c r="E18" s="26">
        <f>'Adjusted Schedule 2D'!$F$74</f>
        <v>0</v>
      </c>
      <c r="F18" s="26">
        <f>'Adjusted Schedule 2D'!G74</f>
        <v>0</v>
      </c>
      <c r="G18" s="26">
        <f>'Adjusted Schedule 2D'!$J$74</f>
        <v>0</v>
      </c>
      <c r="H18" s="26">
        <f>'Adjusted Schedule 2D'!K74</f>
        <v>0</v>
      </c>
      <c r="I18" s="68">
        <f>SUM(E18:H18)</f>
        <v>0</v>
      </c>
    </row>
    <row r="19" spans="1:11" x14ac:dyDescent="0.35">
      <c r="A19" s="420" t="s">
        <v>791</v>
      </c>
      <c r="B19" s="203"/>
      <c r="C19" s="203"/>
      <c r="D19" s="203"/>
      <c r="E19" s="203"/>
      <c r="F19" s="203"/>
      <c r="G19" s="203"/>
      <c r="H19" s="203"/>
      <c r="I19" s="203"/>
      <c r="J19" s="100"/>
      <c r="K19" s="48"/>
    </row>
    <row r="20" spans="1:11" x14ac:dyDescent="0.35">
      <c r="A20" s="154">
        <v>5</v>
      </c>
      <c r="B20" s="512" t="s">
        <v>792</v>
      </c>
      <c r="C20" s="512"/>
      <c r="D20" s="154" t="s">
        <v>793</v>
      </c>
      <c r="E20" s="26">
        <f>'Adjusted Schedule 2E'!F$74</f>
        <v>0</v>
      </c>
      <c r="F20" s="26">
        <f>'Adjusted Schedule 2E'!G$74</f>
        <v>0</v>
      </c>
      <c r="G20" s="26">
        <f>'Adjusted Schedule 2E'!J$74</f>
        <v>0</v>
      </c>
      <c r="H20" s="26">
        <f>'Adjusted Schedule 2E'!K$74</f>
        <v>0</v>
      </c>
      <c r="I20" s="180">
        <f t="shared" ref="I20:I27" si="0">SUM(E20:H20)</f>
        <v>0</v>
      </c>
      <c r="J20" s="100"/>
      <c r="K20" s="48"/>
    </row>
    <row r="21" spans="1:11" x14ac:dyDescent="0.35">
      <c r="A21" s="154">
        <v>6</v>
      </c>
      <c r="B21" s="512" t="s">
        <v>794</v>
      </c>
      <c r="C21" s="512"/>
      <c r="D21" s="154" t="s">
        <v>795</v>
      </c>
      <c r="E21" s="26">
        <f>'Adjusted Schedule 2F'!F$74</f>
        <v>0</v>
      </c>
      <c r="F21" s="26">
        <f>'Adjusted Schedule 2F'!G$74</f>
        <v>0</v>
      </c>
      <c r="G21" s="26">
        <f>'Adjusted Schedule 2F'!J$74</f>
        <v>0</v>
      </c>
      <c r="H21" s="26">
        <f>'Adjusted Schedule 2F'!K$74</f>
        <v>0</v>
      </c>
      <c r="I21" s="180">
        <f t="shared" si="0"/>
        <v>0</v>
      </c>
      <c r="J21" s="100"/>
      <c r="K21" s="48"/>
    </row>
    <row r="22" spans="1:11" x14ac:dyDescent="0.35">
      <c r="A22" s="154">
        <v>7</v>
      </c>
      <c r="B22" s="512" t="s">
        <v>796</v>
      </c>
      <c r="C22" s="512"/>
      <c r="D22" s="154" t="s">
        <v>797</v>
      </c>
      <c r="E22" s="26">
        <f>'Adjusted Schedule 2G'!F$74</f>
        <v>0</v>
      </c>
      <c r="F22" s="26">
        <f>'Adjusted Schedule 2G'!G$74</f>
        <v>0</v>
      </c>
      <c r="G22" s="26">
        <f>'Adjusted Schedule 2G'!J$74</f>
        <v>0</v>
      </c>
      <c r="H22" s="26">
        <f>'Adjusted Schedule 2G'!K$74</f>
        <v>0</v>
      </c>
      <c r="I22" s="180">
        <f t="shared" si="0"/>
        <v>0</v>
      </c>
      <c r="J22" s="100"/>
      <c r="K22" s="48"/>
    </row>
    <row r="23" spans="1:11" x14ac:dyDescent="0.35">
      <c r="A23" s="154">
        <v>8</v>
      </c>
      <c r="B23" s="512" t="s">
        <v>798</v>
      </c>
      <c r="C23" s="512"/>
      <c r="D23" s="154" t="s">
        <v>799</v>
      </c>
      <c r="E23" s="26">
        <f>'Adjusted Schedule 2H'!F$74</f>
        <v>0</v>
      </c>
      <c r="F23" s="26">
        <f>'Adjusted Schedule 2H'!G$74</f>
        <v>0</v>
      </c>
      <c r="G23" s="26">
        <f>'Adjusted Schedule 2H'!J$74</f>
        <v>0</v>
      </c>
      <c r="H23" s="26">
        <f>'Adjusted Schedule 2H'!K$74</f>
        <v>0</v>
      </c>
      <c r="I23" s="180">
        <f t="shared" si="0"/>
        <v>0</v>
      </c>
      <c r="J23" s="100"/>
      <c r="K23" s="48"/>
    </row>
    <row r="24" spans="1:11" x14ac:dyDescent="0.35">
      <c r="A24" s="154">
        <v>9</v>
      </c>
      <c r="B24" s="512" t="s">
        <v>800</v>
      </c>
      <c r="C24" s="512"/>
      <c r="D24" s="154" t="s">
        <v>801</v>
      </c>
      <c r="E24" s="26">
        <f>'Adjusted Schedule 2I'!F$74</f>
        <v>0</v>
      </c>
      <c r="F24" s="26">
        <f>'Adjusted Schedule 2I'!G$74</f>
        <v>0</v>
      </c>
      <c r="G24" s="26">
        <f>'Adjusted Schedule 2I'!J$74</f>
        <v>0</v>
      </c>
      <c r="H24" s="26">
        <f>'Adjusted Schedule 2I'!K$74</f>
        <v>0</v>
      </c>
      <c r="I24" s="180">
        <f t="shared" si="0"/>
        <v>0</v>
      </c>
      <c r="J24" s="100"/>
      <c r="K24" s="48"/>
    </row>
    <row r="25" spans="1:11" x14ac:dyDescent="0.35">
      <c r="A25" s="154">
        <v>10</v>
      </c>
      <c r="B25" s="512" t="s">
        <v>802</v>
      </c>
      <c r="C25" s="512"/>
      <c r="D25" s="154" t="s">
        <v>803</v>
      </c>
      <c r="E25" s="26">
        <f>'Adjusted Schedule 2J'!F$74</f>
        <v>0</v>
      </c>
      <c r="F25" s="26">
        <f>'Adjusted Schedule 2J'!G$74</f>
        <v>0</v>
      </c>
      <c r="G25" s="26">
        <f>'Adjusted Schedule 2J'!J$74</f>
        <v>0</v>
      </c>
      <c r="H25" s="26">
        <f>'Adjusted Schedule 2J'!K$74</f>
        <v>0</v>
      </c>
      <c r="I25" s="180">
        <f t="shared" si="0"/>
        <v>0</v>
      </c>
      <c r="J25" s="100"/>
      <c r="K25" s="48"/>
    </row>
    <row r="26" spans="1:11" x14ac:dyDescent="0.35">
      <c r="A26" s="154">
        <v>11</v>
      </c>
      <c r="B26" s="512" t="s">
        <v>804</v>
      </c>
      <c r="C26" s="512"/>
      <c r="D26" s="154" t="s">
        <v>805</v>
      </c>
      <c r="E26" s="26">
        <f>'Adjusted Schedule 2K'!F$74</f>
        <v>0</v>
      </c>
      <c r="F26" s="26">
        <f>'Adjusted Schedule 2K'!G$74</f>
        <v>0</v>
      </c>
      <c r="G26" s="26">
        <f>'Adjusted Schedule 2K'!J$74</f>
        <v>0</v>
      </c>
      <c r="H26" s="26">
        <f>'Adjusted Schedule 2K'!K$74</f>
        <v>0</v>
      </c>
      <c r="I26" s="180">
        <f t="shared" si="0"/>
        <v>0</v>
      </c>
      <c r="J26" s="100"/>
      <c r="K26" s="48"/>
    </row>
    <row r="27" spans="1:11" x14ac:dyDescent="0.35">
      <c r="A27" s="154">
        <v>12</v>
      </c>
      <c r="B27" s="512" t="s">
        <v>806</v>
      </c>
      <c r="C27" s="512"/>
      <c r="D27" s="154" t="s">
        <v>807</v>
      </c>
      <c r="E27" s="26">
        <f>'Adjusted Schedule 2L'!F$74</f>
        <v>0</v>
      </c>
      <c r="F27" s="26">
        <f>'Adjusted Schedule 2L'!G$74</f>
        <v>0</v>
      </c>
      <c r="G27" s="26">
        <f>'Adjusted Schedule 2L'!J$74</f>
        <v>0</v>
      </c>
      <c r="H27" s="26">
        <f>'Adjusted Schedule 2L'!K$74</f>
        <v>0</v>
      </c>
      <c r="I27" s="180">
        <f t="shared" si="0"/>
        <v>0</v>
      </c>
      <c r="J27" s="100"/>
      <c r="K27" s="48"/>
    </row>
    <row r="28" spans="1:11" ht="29.25" customHeight="1" x14ac:dyDescent="0.35">
      <c r="A28" s="154">
        <v>13</v>
      </c>
      <c r="B28" s="513" t="s">
        <v>808</v>
      </c>
      <c r="C28" s="513"/>
      <c r="D28" s="154" t="s">
        <v>809</v>
      </c>
      <c r="E28" s="26">
        <f>'Adjusted Schedule 2M'!F$74</f>
        <v>0</v>
      </c>
      <c r="F28" s="26">
        <f>'Adjusted Schedule 2M'!G$74</f>
        <v>0</v>
      </c>
      <c r="G28" s="26">
        <f>'Adjusted Schedule 2M'!J$74</f>
        <v>0</v>
      </c>
      <c r="H28" s="26">
        <f>'Adjusted Schedule 2M'!K$74</f>
        <v>0</v>
      </c>
      <c r="I28" s="180">
        <f>SUM(E28:H28)</f>
        <v>0</v>
      </c>
      <c r="J28" s="100"/>
    </row>
    <row r="29" spans="1:11" x14ac:dyDescent="0.35">
      <c r="A29" s="24">
        <v>5</v>
      </c>
      <c r="E29" s="18">
        <f>SUM(E15:E28)</f>
        <v>30688899</v>
      </c>
      <c r="F29" s="18">
        <f t="shared" ref="F29:H29" si="1">SUM(F15:F28)</f>
        <v>10046648.510423156</v>
      </c>
      <c r="G29" s="18">
        <f>SUM(G15:G28)</f>
        <v>16130273</v>
      </c>
      <c r="H29" s="18">
        <f t="shared" si="1"/>
        <v>5280579.8998578871</v>
      </c>
    </row>
    <row r="30" spans="1:11" s="57" customFormat="1" ht="12" x14ac:dyDescent="0.3">
      <c r="D30" s="76" t="s">
        <v>216</v>
      </c>
      <c r="E30" s="58">
        <f>'Adjusted Schedule 1'!F92</f>
        <v>30688897</v>
      </c>
      <c r="G30" s="58">
        <f>'Adjusted Schedule 1'!H92</f>
        <v>16130274</v>
      </c>
    </row>
    <row r="31" spans="1:11" s="57" customFormat="1" ht="12" x14ac:dyDescent="0.3">
      <c r="D31" s="76" t="s">
        <v>10</v>
      </c>
      <c r="E31" s="59">
        <f>E29-E30</f>
        <v>2</v>
      </c>
      <c r="G31" s="59">
        <f>G29-G30</f>
        <v>-1</v>
      </c>
    </row>
    <row r="32" spans="1:11" s="57" customFormat="1" ht="12" x14ac:dyDescent="0.3">
      <c r="D32" s="76"/>
      <c r="E32" s="59"/>
      <c r="G32" s="59"/>
    </row>
    <row r="34" spans="1:10" x14ac:dyDescent="0.35">
      <c r="E34" s="10" t="s">
        <v>218</v>
      </c>
    </row>
    <row r="35" spans="1:10" x14ac:dyDescent="0.35">
      <c r="A35" s="24">
        <v>6</v>
      </c>
      <c r="B35" s="511" t="s">
        <v>219</v>
      </c>
      <c r="C35" s="511"/>
      <c r="D35" s="24" t="s">
        <v>110</v>
      </c>
      <c r="E35" s="26">
        <f>'Adjusted Schedule 3'!M168</f>
        <v>12038236</v>
      </c>
      <c r="I35" s="18">
        <f>SUM(I15:I28)+E35</f>
        <v>74184636.410281047</v>
      </c>
      <c r="J35" s="71" t="s">
        <v>3</v>
      </c>
    </row>
    <row r="36" spans="1:10" ht="12.75" customHeight="1" x14ac:dyDescent="0.35">
      <c r="D36" s="76" t="s">
        <v>217</v>
      </c>
      <c r="E36" s="58">
        <f>'Adjusted Schedule 1'!G96</f>
        <v>12038238</v>
      </c>
    </row>
    <row r="37" spans="1:10" ht="12.75" customHeight="1" x14ac:dyDescent="0.35">
      <c r="D37" s="76" t="s">
        <v>10</v>
      </c>
      <c r="E37" s="59">
        <f>E35-E36</f>
        <v>-2</v>
      </c>
    </row>
    <row r="39" spans="1:10" x14ac:dyDescent="0.35">
      <c r="B39" s="48"/>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21">
    <mergeCell ref="B15:C15"/>
    <mergeCell ref="B16:C16"/>
    <mergeCell ref="B17:C17"/>
    <mergeCell ref="B18:C18"/>
    <mergeCell ref="B35:C35"/>
    <mergeCell ref="B20:C20"/>
    <mergeCell ref="B21:C21"/>
    <mergeCell ref="B22:C22"/>
    <mergeCell ref="B23:C23"/>
    <mergeCell ref="B24:C24"/>
    <mergeCell ref="B25:C25"/>
    <mergeCell ref="B26:C26"/>
    <mergeCell ref="B27:C27"/>
    <mergeCell ref="B28:C28"/>
    <mergeCell ref="A3:J3"/>
    <mergeCell ref="B11:C11"/>
    <mergeCell ref="B12:C13"/>
    <mergeCell ref="D12:D13"/>
    <mergeCell ref="E12:F12"/>
    <mergeCell ref="G12:H12"/>
    <mergeCell ref="I12:I13"/>
  </mergeCells>
  <pageMargins left="0.7" right="0.7" top="0.75" bottom="0.75" header="0.3" footer="0.3"/>
  <pageSetup orientation="portrait" horizontalDpi="1200" verticalDpi="12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8971D"/>
  </sheetPr>
  <dimension ref="A1:S76"/>
  <sheetViews>
    <sheetView workbookViewId="0">
      <selection activeCell="B18" sqref="B18:D18"/>
    </sheetView>
  </sheetViews>
  <sheetFormatPr defaultColWidth="9.1796875" defaultRowHeight="14.5" x14ac:dyDescent="0.35"/>
  <cols>
    <col min="1" max="1" width="9.7265625" customWidth="1"/>
    <col min="2" max="2" width="16" customWidth="1"/>
    <col min="3" max="3" width="19.453125" customWidth="1"/>
    <col min="4" max="4" width="15.453125" customWidth="1"/>
    <col min="5" max="5" width="2.26953125" customWidth="1"/>
    <col min="6" max="8" width="18.54296875" customWidth="1"/>
    <col min="9" max="9" width="2.7265625" customWidth="1"/>
    <col min="10" max="12" width="18.54296875" customWidth="1"/>
    <col min="13" max="13" width="2.7265625" customWidth="1"/>
    <col min="14" max="15" width="12.1796875" customWidth="1"/>
    <col min="16" max="16" width="24.54296875" customWidth="1"/>
  </cols>
  <sheetData>
    <row r="1" spans="1:19" ht="26" x14ac:dyDescent="0.6">
      <c r="A1" s="3" t="s">
        <v>774</v>
      </c>
    </row>
    <row r="2" spans="1:19" ht="21" x14ac:dyDescent="0.5">
      <c r="A2" s="2" t="s">
        <v>772</v>
      </c>
    </row>
    <row r="3" spans="1:19" ht="25" customHeight="1" x14ac:dyDescent="0.5">
      <c r="A3" s="495" t="s">
        <v>682</v>
      </c>
      <c r="B3" s="495"/>
      <c r="C3" s="495"/>
      <c r="D3" s="495"/>
      <c r="E3" s="495"/>
      <c r="F3" s="495"/>
    </row>
    <row r="4" spans="1:19" ht="25" customHeight="1" x14ac:dyDescent="0.5">
      <c r="A4" s="242" t="str">
        <f>Results!A4</f>
        <v>Final Adjustments</v>
      </c>
      <c r="B4" s="356"/>
      <c r="C4" s="356"/>
      <c r="D4" s="356"/>
      <c r="E4" s="356"/>
      <c r="F4" s="356"/>
    </row>
    <row r="5" spans="1:19" x14ac:dyDescent="0.35">
      <c r="A5" s="48"/>
    </row>
    <row r="6" spans="1:19" x14ac:dyDescent="0.35">
      <c r="A6" s="1" t="s">
        <v>773</v>
      </c>
      <c r="C6" s="416" t="str">
        <f>Results!$C$6</f>
        <v>AllHealth Network</v>
      </c>
    </row>
    <row r="7" spans="1:19" x14ac:dyDescent="0.35">
      <c r="A7" s="1" t="s">
        <v>0</v>
      </c>
      <c r="C7" s="35">
        <f>Results!$C$7</f>
        <v>45473</v>
      </c>
      <c r="F7" s="35"/>
      <c r="N7" s="129"/>
      <c r="O7" s="129"/>
      <c r="P7" s="129"/>
    </row>
    <row r="8" spans="1:19" x14ac:dyDescent="0.35">
      <c r="N8" s="40"/>
      <c r="O8" s="40"/>
      <c r="P8" s="40"/>
    </row>
    <row r="9" spans="1:19" x14ac:dyDescent="0.35">
      <c r="A9" s="1" t="s">
        <v>253</v>
      </c>
      <c r="B9" s="1" t="s">
        <v>750</v>
      </c>
      <c r="C9" s="1"/>
      <c r="D9" s="118" t="str">
        <f>'Schedule 2A Adjustments'!D8</f>
        <v>Yes</v>
      </c>
      <c r="E9" s="41" t="s">
        <v>259</v>
      </c>
      <c r="N9" s="40"/>
      <c r="O9" s="40"/>
      <c r="P9" s="40"/>
    </row>
    <row r="10" spans="1:19" x14ac:dyDescent="0.35">
      <c r="N10" s="129"/>
      <c r="O10" s="129"/>
      <c r="P10" s="129"/>
    </row>
    <row r="11" spans="1:19" x14ac:dyDescent="0.35">
      <c r="A11" s="1" t="s">
        <v>254</v>
      </c>
      <c r="B11" s="1" t="s">
        <v>256</v>
      </c>
      <c r="C11" s="1"/>
      <c r="N11" s="40"/>
      <c r="O11" s="40"/>
      <c r="P11" s="40"/>
    </row>
    <row r="12" spans="1:19" x14ac:dyDescent="0.35">
      <c r="A12" s="1"/>
      <c r="B12" s="313" t="s">
        <v>598</v>
      </c>
      <c r="C12" s="1"/>
      <c r="N12" s="40"/>
      <c r="O12" s="40"/>
      <c r="P12" s="40"/>
    </row>
    <row r="13" spans="1:19" x14ac:dyDescent="0.35">
      <c r="B13" s="506">
        <v>1</v>
      </c>
      <c r="C13" s="506"/>
      <c r="D13" s="506"/>
      <c r="F13" s="23">
        <v>2</v>
      </c>
      <c r="G13" s="23">
        <v>3</v>
      </c>
      <c r="H13" s="23">
        <v>4</v>
      </c>
      <c r="J13" s="23">
        <v>5</v>
      </c>
      <c r="K13" s="23">
        <v>6</v>
      </c>
      <c r="L13" s="23">
        <v>7</v>
      </c>
      <c r="N13" s="23">
        <v>8</v>
      </c>
      <c r="O13" s="23">
        <v>9</v>
      </c>
      <c r="Q13" s="40"/>
      <c r="R13" s="40"/>
      <c r="S13" s="40"/>
    </row>
    <row r="14" spans="1:19" x14ac:dyDescent="0.35">
      <c r="B14" s="515" t="s">
        <v>612</v>
      </c>
      <c r="C14" s="516"/>
      <c r="D14" s="517"/>
      <c r="F14" s="509" t="s">
        <v>261</v>
      </c>
      <c r="G14" s="521"/>
      <c r="H14" s="510"/>
      <c r="J14" s="509" t="s">
        <v>262</v>
      </c>
      <c r="K14" s="521"/>
      <c r="L14" s="510"/>
      <c r="N14" s="522" t="s">
        <v>692</v>
      </c>
      <c r="O14" s="522" t="s">
        <v>693</v>
      </c>
      <c r="Q14" s="40"/>
      <c r="R14" s="40"/>
      <c r="S14" s="40"/>
    </row>
    <row r="15" spans="1:19" ht="56.25" customHeight="1" x14ac:dyDescent="0.35">
      <c r="B15" s="518"/>
      <c r="C15" s="519"/>
      <c r="D15" s="520"/>
      <c r="F15" s="10" t="s">
        <v>689</v>
      </c>
      <c r="G15" s="150" t="s">
        <v>690</v>
      </c>
      <c r="H15" s="150" t="s">
        <v>691</v>
      </c>
      <c r="I15" s="100"/>
      <c r="J15" s="10" t="s">
        <v>689</v>
      </c>
      <c r="K15" s="150" t="s">
        <v>690</v>
      </c>
      <c r="L15" s="150" t="s">
        <v>691</v>
      </c>
      <c r="N15" s="523"/>
      <c r="O15" s="523"/>
    </row>
    <row r="16" spans="1:19" x14ac:dyDescent="0.35">
      <c r="A16" s="24">
        <v>1</v>
      </c>
      <c r="B16" s="514" t="str">
        <f>'Schedule 2A Adjustments'!B15:D15</f>
        <v>CRP (Co-Responder Program)</v>
      </c>
      <c r="C16" s="514"/>
      <c r="D16" s="514"/>
      <c r="F16" s="117">
        <f>'Schedule 2A Adjustments'!H15</f>
        <v>1208061</v>
      </c>
      <c r="G16" s="68">
        <f>'Schedule 2A Adjustments'!J15</f>
        <v>395483.86034149706</v>
      </c>
      <c r="H16" s="68">
        <f>SUM(F16:G16)</f>
        <v>1603544.860341497</v>
      </c>
      <c r="J16" s="117">
        <f>'Schedule 2A Adjustments'!P15</f>
        <v>0</v>
      </c>
      <c r="K16" s="68">
        <f>'Schedule 2A Adjustments'!R15</f>
        <v>0</v>
      </c>
      <c r="L16" s="68">
        <f>SUM(J16:K16)</f>
        <v>0</v>
      </c>
      <c r="N16" s="119">
        <f>'Schedule 2A Adjustments'!X15</f>
        <v>11</v>
      </c>
      <c r="O16" s="119">
        <f>'Schedule 2A Adjustments'!AA15</f>
        <v>458</v>
      </c>
    </row>
    <row r="17" spans="1:15" x14ac:dyDescent="0.35">
      <c r="A17" s="24">
        <v>2</v>
      </c>
      <c r="B17" s="514" t="str">
        <f>'Schedule 2A Adjustments'!B16:D16</f>
        <v>Crisis Response Team</v>
      </c>
      <c r="C17" s="514"/>
      <c r="D17" s="514"/>
      <c r="F17" s="117">
        <f>'Schedule 2A Adjustments'!H16</f>
        <v>1503905</v>
      </c>
      <c r="G17" s="68">
        <f>'Schedule 2A Adjustments'!J16</f>
        <v>492334.53855962498</v>
      </c>
      <c r="H17" s="68">
        <f t="shared" ref="H17:H73" si="0">SUM(F17:G17)</f>
        <v>1996239.5385596249</v>
      </c>
      <c r="J17" s="117">
        <f>'Schedule 2A Adjustments'!P16</f>
        <v>404996</v>
      </c>
      <c r="K17" s="68">
        <f>'Schedule 2A Adjustments'!R16</f>
        <v>132583.85255617468</v>
      </c>
      <c r="L17" s="68">
        <f t="shared" ref="L17:L73" si="1">SUM(J17:K17)</f>
        <v>537579.85255617462</v>
      </c>
      <c r="N17" s="119">
        <f>'Schedule 2A Adjustments'!X16</f>
        <v>17.14</v>
      </c>
      <c r="O17" s="119">
        <f>'Schedule 2A Adjustments'!AA16</f>
        <v>1204</v>
      </c>
    </row>
    <row r="18" spans="1:15" x14ac:dyDescent="0.35">
      <c r="A18" s="24">
        <v>3</v>
      </c>
      <c r="B18" s="524" t="s">
        <v>1031</v>
      </c>
      <c r="C18" s="525"/>
      <c r="D18" s="526"/>
      <c r="F18" s="117">
        <f>'Schedule 2A Adjustments'!H17</f>
        <v>0</v>
      </c>
      <c r="G18" s="68">
        <f>'Schedule 2A Adjustments'!J17</f>
        <v>0</v>
      </c>
      <c r="H18" s="68">
        <f t="shared" si="0"/>
        <v>0</v>
      </c>
      <c r="J18" s="117">
        <f>'Schedule 2A Adjustments'!P17</f>
        <v>18491</v>
      </c>
      <c r="K18" s="68">
        <f>'Schedule 2A Adjustments'!R17</f>
        <v>6053.4129167108467</v>
      </c>
      <c r="L18" s="68">
        <f t="shared" si="1"/>
        <v>24544.412916710848</v>
      </c>
      <c r="N18" s="119">
        <f>'Schedule 2A Adjustments'!X17</f>
        <v>0</v>
      </c>
      <c r="O18" s="119">
        <f>'Schedule 2A Adjustments'!AA17</f>
        <v>0</v>
      </c>
    </row>
    <row r="19" spans="1:15" x14ac:dyDescent="0.35">
      <c r="A19" s="24">
        <v>4</v>
      </c>
      <c r="B19" s="514" t="str">
        <f>'Schedule 2A Adjustments'!B18:D18</f>
        <v/>
      </c>
      <c r="C19" s="514"/>
      <c r="D19" s="514"/>
      <c r="F19" s="117">
        <f>'Schedule 2A Adjustments'!H18</f>
        <v>0</v>
      </c>
      <c r="G19" s="68">
        <f>'Schedule 2A Adjustments'!J18</f>
        <v>0</v>
      </c>
      <c r="H19" s="68">
        <f t="shared" si="0"/>
        <v>0</v>
      </c>
      <c r="J19" s="117">
        <f>'Schedule 2A Adjustments'!P18</f>
        <v>0</v>
      </c>
      <c r="K19" s="68">
        <f>'Schedule 2A Adjustments'!R18</f>
        <v>0</v>
      </c>
      <c r="L19" s="68">
        <f t="shared" si="1"/>
        <v>0</v>
      </c>
      <c r="N19" s="119">
        <f>'Schedule 2A Adjustments'!X18</f>
        <v>0</v>
      </c>
      <c r="O19" s="119">
        <f>'Schedule 2A Adjustments'!AA18</f>
        <v>0</v>
      </c>
    </row>
    <row r="20" spans="1:15" x14ac:dyDescent="0.35">
      <c r="A20" s="24">
        <v>5</v>
      </c>
      <c r="B20" s="514" t="str">
        <f>'Schedule 2A Adjustments'!B19:D19</f>
        <v/>
      </c>
      <c r="C20" s="514"/>
      <c r="D20" s="514"/>
      <c r="F20" s="117">
        <f>'Schedule 2A Adjustments'!H19</f>
        <v>0</v>
      </c>
      <c r="G20" s="68">
        <f>'Schedule 2A Adjustments'!J19</f>
        <v>0</v>
      </c>
      <c r="H20" s="68">
        <f t="shared" si="0"/>
        <v>0</v>
      </c>
      <c r="J20" s="117">
        <f>'Schedule 2A Adjustments'!P19</f>
        <v>0</v>
      </c>
      <c r="K20" s="68">
        <f>'Schedule 2A Adjustments'!R19</f>
        <v>0</v>
      </c>
      <c r="L20" s="68">
        <f t="shared" si="1"/>
        <v>0</v>
      </c>
      <c r="N20" s="119">
        <f>'Schedule 2A Adjustments'!X19</f>
        <v>0</v>
      </c>
      <c r="O20" s="119">
        <f>'Schedule 2A Adjustments'!AA19</f>
        <v>0</v>
      </c>
    </row>
    <row r="21" spans="1:15" x14ac:dyDescent="0.35">
      <c r="A21" s="24">
        <v>6</v>
      </c>
      <c r="B21" s="514" t="str">
        <f>'Schedule 2A Adjustments'!B20:D20</f>
        <v/>
      </c>
      <c r="C21" s="514"/>
      <c r="D21" s="514"/>
      <c r="F21" s="117">
        <f>'Schedule 2A Adjustments'!H20</f>
        <v>0</v>
      </c>
      <c r="G21" s="68">
        <f>'Schedule 2A Adjustments'!J20</f>
        <v>0</v>
      </c>
      <c r="H21" s="68">
        <f t="shared" si="0"/>
        <v>0</v>
      </c>
      <c r="J21" s="117">
        <f>'Schedule 2A Adjustments'!P20</f>
        <v>0</v>
      </c>
      <c r="K21" s="68">
        <f>'Schedule 2A Adjustments'!R20</f>
        <v>0</v>
      </c>
      <c r="L21" s="68">
        <f t="shared" si="1"/>
        <v>0</v>
      </c>
      <c r="N21" s="119">
        <f>'Schedule 2A Adjustments'!X20</f>
        <v>0</v>
      </c>
      <c r="O21" s="119">
        <f>'Schedule 2A Adjustments'!AA20</f>
        <v>0</v>
      </c>
    </row>
    <row r="22" spans="1:15" x14ac:dyDescent="0.35">
      <c r="A22" s="24">
        <v>7</v>
      </c>
      <c r="B22" s="514" t="str">
        <f>'Schedule 2A Adjustments'!B21:D21</f>
        <v/>
      </c>
      <c r="C22" s="514"/>
      <c r="D22" s="514"/>
      <c r="F22" s="117">
        <f>'Schedule 2A Adjustments'!H21</f>
        <v>0</v>
      </c>
      <c r="G22" s="68">
        <f>'Schedule 2A Adjustments'!J21</f>
        <v>0</v>
      </c>
      <c r="H22" s="68">
        <f t="shared" si="0"/>
        <v>0</v>
      </c>
      <c r="J22" s="117">
        <f>'Schedule 2A Adjustments'!P21</f>
        <v>0</v>
      </c>
      <c r="K22" s="68">
        <f>'Schedule 2A Adjustments'!R21</f>
        <v>0</v>
      </c>
      <c r="L22" s="68">
        <f t="shared" si="1"/>
        <v>0</v>
      </c>
      <c r="N22" s="119">
        <f>'Schedule 2A Adjustments'!X21</f>
        <v>0</v>
      </c>
      <c r="O22" s="119">
        <f>'Schedule 2A Adjustments'!AA21</f>
        <v>0</v>
      </c>
    </row>
    <row r="23" spans="1:15" x14ac:dyDescent="0.35">
      <c r="A23" s="24">
        <v>8</v>
      </c>
      <c r="B23" s="514" t="str">
        <f>'Schedule 2A Adjustments'!B22:D22</f>
        <v/>
      </c>
      <c r="C23" s="514"/>
      <c r="D23" s="514"/>
      <c r="F23" s="117">
        <f>'Schedule 2A Adjustments'!H22</f>
        <v>0</v>
      </c>
      <c r="G23" s="68">
        <f>'Schedule 2A Adjustments'!J22</f>
        <v>0</v>
      </c>
      <c r="H23" s="68">
        <f t="shared" si="0"/>
        <v>0</v>
      </c>
      <c r="J23" s="117">
        <f>'Schedule 2A Adjustments'!P22</f>
        <v>0</v>
      </c>
      <c r="K23" s="68">
        <f>'Schedule 2A Adjustments'!R22</f>
        <v>0</v>
      </c>
      <c r="L23" s="68">
        <f t="shared" si="1"/>
        <v>0</v>
      </c>
      <c r="N23" s="119">
        <f>'Schedule 2A Adjustments'!X22</f>
        <v>0</v>
      </c>
      <c r="O23" s="119">
        <f>'Schedule 2A Adjustments'!AA22</f>
        <v>0</v>
      </c>
    </row>
    <row r="24" spans="1:15" x14ac:dyDescent="0.35">
      <c r="A24" s="24">
        <v>9</v>
      </c>
      <c r="B24" s="514" t="str">
        <f>'Schedule 2A Adjustments'!B23:D23</f>
        <v/>
      </c>
      <c r="C24" s="514"/>
      <c r="D24" s="514"/>
      <c r="F24" s="117">
        <f>'Schedule 2A Adjustments'!H23</f>
        <v>0</v>
      </c>
      <c r="G24" s="68">
        <f>'Schedule 2A Adjustments'!J23</f>
        <v>0</v>
      </c>
      <c r="H24" s="68">
        <f t="shared" si="0"/>
        <v>0</v>
      </c>
      <c r="J24" s="117">
        <f>'Schedule 2A Adjustments'!P23</f>
        <v>0</v>
      </c>
      <c r="K24" s="68">
        <f>'Schedule 2A Adjustments'!R23</f>
        <v>0</v>
      </c>
      <c r="L24" s="68">
        <f t="shared" si="1"/>
        <v>0</v>
      </c>
      <c r="N24" s="119">
        <f>'Schedule 2A Adjustments'!X23</f>
        <v>0</v>
      </c>
      <c r="O24" s="119">
        <f>'Schedule 2A Adjustments'!AA23</f>
        <v>0</v>
      </c>
    </row>
    <row r="25" spans="1:15" x14ac:dyDescent="0.35">
      <c r="A25" s="24">
        <v>10</v>
      </c>
      <c r="B25" s="514" t="str">
        <f>'Schedule 2A Adjustments'!B24:D24</f>
        <v/>
      </c>
      <c r="C25" s="514"/>
      <c r="D25" s="514"/>
      <c r="F25" s="117">
        <f>'Schedule 2A Adjustments'!H24</f>
        <v>0</v>
      </c>
      <c r="G25" s="68">
        <f>'Schedule 2A Adjustments'!J24</f>
        <v>0</v>
      </c>
      <c r="H25" s="68">
        <f t="shared" si="0"/>
        <v>0</v>
      </c>
      <c r="J25" s="117">
        <f>'Schedule 2A Adjustments'!P24</f>
        <v>0</v>
      </c>
      <c r="K25" s="68">
        <f>'Schedule 2A Adjustments'!R24</f>
        <v>0</v>
      </c>
      <c r="L25" s="68">
        <f t="shared" si="1"/>
        <v>0</v>
      </c>
      <c r="N25" s="119">
        <f>'Schedule 2A Adjustments'!X24</f>
        <v>0</v>
      </c>
      <c r="O25" s="119">
        <f>'Schedule 2A Adjustments'!AA24</f>
        <v>0</v>
      </c>
    </row>
    <row r="26" spans="1:15" x14ac:dyDescent="0.35">
      <c r="A26" s="24">
        <v>11</v>
      </c>
      <c r="B26" s="514" t="str">
        <f>'Schedule 2A Adjustments'!B25:D25</f>
        <v/>
      </c>
      <c r="C26" s="514"/>
      <c r="D26" s="514"/>
      <c r="F26" s="117">
        <f>'Schedule 2A Adjustments'!H25</f>
        <v>0</v>
      </c>
      <c r="G26" s="68">
        <f>'Schedule 2A Adjustments'!J25</f>
        <v>0</v>
      </c>
      <c r="H26" s="68">
        <f t="shared" si="0"/>
        <v>0</v>
      </c>
      <c r="J26" s="117">
        <f>'Schedule 2A Adjustments'!P25</f>
        <v>0</v>
      </c>
      <c r="K26" s="68">
        <f>'Schedule 2A Adjustments'!R25</f>
        <v>0</v>
      </c>
      <c r="L26" s="68">
        <f t="shared" si="1"/>
        <v>0</v>
      </c>
      <c r="N26" s="119">
        <f>'Schedule 2A Adjustments'!X25</f>
        <v>0</v>
      </c>
      <c r="O26" s="119">
        <f>'Schedule 2A Adjustments'!AA25</f>
        <v>0</v>
      </c>
    </row>
    <row r="27" spans="1:15" x14ac:dyDescent="0.35">
      <c r="A27" s="24">
        <v>12</v>
      </c>
      <c r="B27" s="514" t="str">
        <f>'Schedule 2A Adjustments'!B26:D26</f>
        <v/>
      </c>
      <c r="C27" s="514"/>
      <c r="D27" s="514"/>
      <c r="F27" s="117">
        <f>'Schedule 2A Adjustments'!H26</f>
        <v>0</v>
      </c>
      <c r="G27" s="68">
        <f>'Schedule 2A Adjustments'!J26</f>
        <v>0</v>
      </c>
      <c r="H27" s="68">
        <f t="shared" si="0"/>
        <v>0</v>
      </c>
      <c r="J27" s="117">
        <f>'Schedule 2A Adjustments'!P26</f>
        <v>0</v>
      </c>
      <c r="K27" s="68">
        <f>'Schedule 2A Adjustments'!R26</f>
        <v>0</v>
      </c>
      <c r="L27" s="68">
        <f t="shared" si="1"/>
        <v>0</v>
      </c>
      <c r="N27" s="119">
        <f>'Schedule 2A Adjustments'!X26</f>
        <v>0</v>
      </c>
      <c r="O27" s="119">
        <f>'Schedule 2A Adjustments'!AA26</f>
        <v>0</v>
      </c>
    </row>
    <row r="28" spans="1:15" x14ac:dyDescent="0.35">
      <c r="A28" s="24">
        <v>13</v>
      </c>
      <c r="B28" s="514" t="str">
        <f>'Schedule 2A Adjustments'!B27:D27</f>
        <v/>
      </c>
      <c r="C28" s="514"/>
      <c r="D28" s="514"/>
      <c r="F28" s="117">
        <f>'Schedule 2A Adjustments'!H27</f>
        <v>0</v>
      </c>
      <c r="G28" s="68">
        <f>'Schedule 2A Adjustments'!J27</f>
        <v>0</v>
      </c>
      <c r="H28" s="68">
        <f t="shared" si="0"/>
        <v>0</v>
      </c>
      <c r="J28" s="117">
        <f>'Schedule 2A Adjustments'!P27</f>
        <v>0</v>
      </c>
      <c r="K28" s="68">
        <f>'Schedule 2A Adjustments'!R27</f>
        <v>0</v>
      </c>
      <c r="L28" s="68">
        <f t="shared" si="1"/>
        <v>0</v>
      </c>
      <c r="N28" s="119">
        <f>'Schedule 2A Adjustments'!X27</f>
        <v>0</v>
      </c>
      <c r="O28" s="119">
        <f>'Schedule 2A Adjustments'!AA27</f>
        <v>0</v>
      </c>
    </row>
    <row r="29" spans="1:15" x14ac:dyDescent="0.35">
      <c r="A29" s="24">
        <v>14</v>
      </c>
      <c r="B29" s="514" t="str">
        <f>'Schedule 2A Adjustments'!B28:D28</f>
        <v/>
      </c>
      <c r="C29" s="514"/>
      <c r="D29" s="514"/>
      <c r="F29" s="117">
        <f>'Schedule 2A Adjustments'!H28</f>
        <v>0</v>
      </c>
      <c r="G29" s="68">
        <f>'Schedule 2A Adjustments'!J28</f>
        <v>0</v>
      </c>
      <c r="H29" s="68">
        <f t="shared" si="0"/>
        <v>0</v>
      </c>
      <c r="J29" s="117">
        <f>'Schedule 2A Adjustments'!P28</f>
        <v>0</v>
      </c>
      <c r="K29" s="68">
        <f>'Schedule 2A Adjustments'!R28</f>
        <v>0</v>
      </c>
      <c r="L29" s="68">
        <f t="shared" si="1"/>
        <v>0</v>
      </c>
      <c r="N29" s="119">
        <f>'Schedule 2A Adjustments'!X28</f>
        <v>0</v>
      </c>
      <c r="O29" s="119">
        <f>'Schedule 2A Adjustments'!AA28</f>
        <v>0</v>
      </c>
    </row>
    <row r="30" spans="1:15" x14ac:dyDescent="0.35">
      <c r="A30" s="24">
        <v>15</v>
      </c>
      <c r="B30" s="514" t="str">
        <f>'Schedule 2A Adjustments'!B29:D29</f>
        <v/>
      </c>
      <c r="C30" s="514"/>
      <c r="D30" s="514"/>
      <c r="F30" s="117">
        <f>'Schedule 2A Adjustments'!H29</f>
        <v>0</v>
      </c>
      <c r="G30" s="68">
        <f>'Schedule 2A Adjustments'!J29</f>
        <v>0</v>
      </c>
      <c r="H30" s="68">
        <f t="shared" si="0"/>
        <v>0</v>
      </c>
      <c r="J30" s="117">
        <f>'Schedule 2A Adjustments'!P29</f>
        <v>0</v>
      </c>
      <c r="K30" s="68">
        <f>'Schedule 2A Adjustments'!R29</f>
        <v>0</v>
      </c>
      <c r="L30" s="68">
        <f t="shared" si="1"/>
        <v>0</v>
      </c>
      <c r="N30" s="119">
        <f>'Schedule 2A Adjustments'!X29</f>
        <v>0</v>
      </c>
      <c r="O30" s="119">
        <f>'Schedule 2A Adjustments'!AA29</f>
        <v>0</v>
      </c>
    </row>
    <row r="31" spans="1:15" x14ac:dyDescent="0.35">
      <c r="A31" s="24">
        <v>16</v>
      </c>
      <c r="B31" s="514" t="str">
        <f>'Schedule 2A Adjustments'!B30:D30</f>
        <v/>
      </c>
      <c r="C31" s="514"/>
      <c r="D31" s="514"/>
      <c r="F31" s="117">
        <f>'Schedule 2A Adjustments'!H30</f>
        <v>0</v>
      </c>
      <c r="G31" s="68">
        <f>'Schedule 2A Adjustments'!J30</f>
        <v>0</v>
      </c>
      <c r="H31" s="68">
        <f t="shared" si="0"/>
        <v>0</v>
      </c>
      <c r="J31" s="117">
        <f>'Schedule 2A Adjustments'!P30</f>
        <v>0</v>
      </c>
      <c r="K31" s="68">
        <f>'Schedule 2A Adjustments'!R30</f>
        <v>0</v>
      </c>
      <c r="L31" s="68">
        <f t="shared" si="1"/>
        <v>0</v>
      </c>
      <c r="N31" s="119">
        <f>'Schedule 2A Adjustments'!X30</f>
        <v>0</v>
      </c>
      <c r="O31" s="119">
        <f>'Schedule 2A Adjustments'!AA30</f>
        <v>0</v>
      </c>
    </row>
    <row r="32" spans="1:15" x14ac:dyDescent="0.35">
      <c r="A32" s="24">
        <v>17</v>
      </c>
      <c r="B32" s="514" t="str">
        <f>'Schedule 2A Adjustments'!B31:D31</f>
        <v/>
      </c>
      <c r="C32" s="514"/>
      <c r="D32" s="514"/>
      <c r="F32" s="117">
        <f>'Schedule 2A Adjustments'!H31</f>
        <v>0</v>
      </c>
      <c r="G32" s="68">
        <f>'Schedule 2A Adjustments'!J31</f>
        <v>0</v>
      </c>
      <c r="H32" s="68">
        <f t="shared" si="0"/>
        <v>0</v>
      </c>
      <c r="J32" s="117">
        <f>'Schedule 2A Adjustments'!P31</f>
        <v>0</v>
      </c>
      <c r="K32" s="68">
        <f>'Schedule 2A Adjustments'!R31</f>
        <v>0</v>
      </c>
      <c r="L32" s="68">
        <f t="shared" si="1"/>
        <v>0</v>
      </c>
      <c r="N32" s="119">
        <f>'Schedule 2A Adjustments'!X31</f>
        <v>0</v>
      </c>
      <c r="O32" s="119">
        <f>'Schedule 2A Adjustments'!AA31</f>
        <v>0</v>
      </c>
    </row>
    <row r="33" spans="1:15" x14ac:dyDescent="0.35">
      <c r="A33" s="24">
        <v>18</v>
      </c>
      <c r="B33" s="514" t="str">
        <f>'Schedule 2A Adjustments'!B32:D32</f>
        <v/>
      </c>
      <c r="C33" s="514"/>
      <c r="D33" s="514"/>
      <c r="F33" s="117">
        <f>'Schedule 2A Adjustments'!H32</f>
        <v>0</v>
      </c>
      <c r="G33" s="68">
        <f>'Schedule 2A Adjustments'!J32</f>
        <v>0</v>
      </c>
      <c r="H33" s="68">
        <f t="shared" si="0"/>
        <v>0</v>
      </c>
      <c r="J33" s="117">
        <f>'Schedule 2A Adjustments'!P32</f>
        <v>0</v>
      </c>
      <c r="K33" s="68">
        <f>'Schedule 2A Adjustments'!R32</f>
        <v>0</v>
      </c>
      <c r="L33" s="68">
        <f t="shared" si="1"/>
        <v>0</v>
      </c>
      <c r="N33" s="119">
        <f>'Schedule 2A Adjustments'!X32</f>
        <v>0</v>
      </c>
      <c r="O33" s="119">
        <f>'Schedule 2A Adjustments'!AA32</f>
        <v>0</v>
      </c>
    </row>
    <row r="34" spans="1:15" x14ac:dyDescent="0.35">
      <c r="A34" s="24">
        <v>19</v>
      </c>
      <c r="B34" s="514" t="str">
        <f>'Schedule 2A Adjustments'!B33:D33</f>
        <v/>
      </c>
      <c r="C34" s="514"/>
      <c r="D34" s="514"/>
      <c r="F34" s="117">
        <f>'Schedule 2A Adjustments'!H33</f>
        <v>0</v>
      </c>
      <c r="G34" s="68">
        <f>'Schedule 2A Adjustments'!J33</f>
        <v>0</v>
      </c>
      <c r="H34" s="68">
        <f t="shared" si="0"/>
        <v>0</v>
      </c>
      <c r="J34" s="117">
        <f>'Schedule 2A Adjustments'!P33</f>
        <v>0</v>
      </c>
      <c r="K34" s="68">
        <f>'Schedule 2A Adjustments'!R33</f>
        <v>0</v>
      </c>
      <c r="L34" s="68">
        <f t="shared" si="1"/>
        <v>0</v>
      </c>
      <c r="N34" s="119">
        <f>'Schedule 2A Adjustments'!X33</f>
        <v>0</v>
      </c>
      <c r="O34" s="119">
        <f>'Schedule 2A Adjustments'!AA33</f>
        <v>0</v>
      </c>
    </row>
    <row r="35" spans="1:15" x14ac:dyDescent="0.35">
      <c r="A35" s="24">
        <v>20</v>
      </c>
      <c r="B35" s="514" t="str">
        <f>'Schedule 2A Adjustments'!B34:D34</f>
        <v/>
      </c>
      <c r="C35" s="514"/>
      <c r="D35" s="514"/>
      <c r="F35" s="117">
        <f>'Schedule 2A Adjustments'!H34</f>
        <v>0</v>
      </c>
      <c r="G35" s="68">
        <f>'Schedule 2A Adjustments'!J34</f>
        <v>0</v>
      </c>
      <c r="H35" s="68">
        <f t="shared" si="0"/>
        <v>0</v>
      </c>
      <c r="J35" s="117">
        <f>'Schedule 2A Adjustments'!P34</f>
        <v>0</v>
      </c>
      <c r="K35" s="68">
        <f>'Schedule 2A Adjustments'!R34</f>
        <v>0</v>
      </c>
      <c r="L35" s="68">
        <f t="shared" si="1"/>
        <v>0</v>
      </c>
      <c r="N35" s="119">
        <f>'Schedule 2A Adjustments'!X34</f>
        <v>0</v>
      </c>
      <c r="O35" s="119">
        <f>'Schedule 2A Adjustments'!AA34</f>
        <v>0</v>
      </c>
    </row>
    <row r="36" spans="1:15" x14ac:dyDescent="0.35">
      <c r="A36" s="24">
        <v>21</v>
      </c>
      <c r="B36" s="514" t="str">
        <f>'Schedule 2A Adjustments'!B35:D35</f>
        <v/>
      </c>
      <c r="C36" s="514"/>
      <c r="D36" s="514"/>
      <c r="F36" s="117">
        <f>'Schedule 2A Adjustments'!H35</f>
        <v>0</v>
      </c>
      <c r="G36" s="68">
        <f>'Schedule 2A Adjustments'!J35</f>
        <v>0</v>
      </c>
      <c r="H36" s="68">
        <f t="shared" si="0"/>
        <v>0</v>
      </c>
      <c r="J36" s="117">
        <f>'Schedule 2A Adjustments'!P35</f>
        <v>0</v>
      </c>
      <c r="K36" s="68">
        <f>'Schedule 2A Adjustments'!R35</f>
        <v>0</v>
      </c>
      <c r="L36" s="68">
        <f t="shared" si="1"/>
        <v>0</v>
      </c>
      <c r="N36" s="119">
        <f>'Schedule 2A Adjustments'!X35</f>
        <v>0</v>
      </c>
      <c r="O36" s="119">
        <f>'Schedule 2A Adjustments'!AA35</f>
        <v>0</v>
      </c>
    </row>
    <row r="37" spans="1:15" x14ac:dyDescent="0.35">
      <c r="A37" s="24">
        <v>22</v>
      </c>
      <c r="B37" s="514" t="str">
        <f>'Schedule 2A Adjustments'!B36:D36</f>
        <v/>
      </c>
      <c r="C37" s="514"/>
      <c r="D37" s="514"/>
      <c r="F37" s="117">
        <f>'Schedule 2A Adjustments'!H36</f>
        <v>0</v>
      </c>
      <c r="G37" s="68">
        <f>'Schedule 2A Adjustments'!J36</f>
        <v>0</v>
      </c>
      <c r="H37" s="68">
        <f t="shared" si="0"/>
        <v>0</v>
      </c>
      <c r="J37" s="117">
        <f>'Schedule 2A Adjustments'!P36</f>
        <v>0</v>
      </c>
      <c r="K37" s="68">
        <f>'Schedule 2A Adjustments'!R36</f>
        <v>0</v>
      </c>
      <c r="L37" s="68">
        <f t="shared" si="1"/>
        <v>0</v>
      </c>
      <c r="N37" s="119">
        <f>'Schedule 2A Adjustments'!X36</f>
        <v>0</v>
      </c>
      <c r="O37" s="119">
        <f>'Schedule 2A Adjustments'!AA36</f>
        <v>0</v>
      </c>
    </row>
    <row r="38" spans="1:15" x14ac:dyDescent="0.35">
      <c r="A38" s="24">
        <v>23</v>
      </c>
      <c r="B38" s="514" t="str">
        <f>'Schedule 2A Adjustments'!B37:D37</f>
        <v/>
      </c>
      <c r="C38" s="514"/>
      <c r="D38" s="514"/>
      <c r="F38" s="117">
        <f>'Schedule 2A Adjustments'!H37</f>
        <v>0</v>
      </c>
      <c r="G38" s="68">
        <f>'Schedule 2A Adjustments'!J37</f>
        <v>0</v>
      </c>
      <c r="H38" s="68">
        <f t="shared" si="0"/>
        <v>0</v>
      </c>
      <c r="J38" s="117">
        <f>'Schedule 2A Adjustments'!P37</f>
        <v>0</v>
      </c>
      <c r="K38" s="68">
        <f>'Schedule 2A Adjustments'!R37</f>
        <v>0</v>
      </c>
      <c r="L38" s="68">
        <f t="shared" si="1"/>
        <v>0</v>
      </c>
      <c r="N38" s="119">
        <f>'Schedule 2A Adjustments'!X37</f>
        <v>0</v>
      </c>
      <c r="O38" s="119">
        <f>'Schedule 2A Adjustments'!AA37</f>
        <v>0</v>
      </c>
    </row>
    <row r="39" spans="1:15" x14ac:dyDescent="0.35">
      <c r="A39" s="24">
        <v>24</v>
      </c>
      <c r="B39" s="514" t="str">
        <f>'Schedule 2A Adjustments'!B38:D38</f>
        <v/>
      </c>
      <c r="C39" s="514"/>
      <c r="D39" s="514"/>
      <c r="F39" s="117">
        <f>'Schedule 2A Adjustments'!H38</f>
        <v>0</v>
      </c>
      <c r="G39" s="68">
        <f>'Schedule 2A Adjustments'!J38</f>
        <v>0</v>
      </c>
      <c r="H39" s="68">
        <f t="shared" si="0"/>
        <v>0</v>
      </c>
      <c r="J39" s="117">
        <f>'Schedule 2A Adjustments'!P38</f>
        <v>0</v>
      </c>
      <c r="K39" s="68">
        <f>'Schedule 2A Adjustments'!R38</f>
        <v>0</v>
      </c>
      <c r="L39" s="68">
        <f t="shared" si="1"/>
        <v>0</v>
      </c>
      <c r="N39" s="119">
        <f>'Schedule 2A Adjustments'!X38</f>
        <v>0</v>
      </c>
      <c r="O39" s="119">
        <f>'Schedule 2A Adjustments'!AA38</f>
        <v>0</v>
      </c>
    </row>
    <row r="40" spans="1:15" x14ac:dyDescent="0.35">
      <c r="A40" s="24">
        <v>25</v>
      </c>
      <c r="B40" s="514" t="str">
        <f>'Schedule 2A Adjustments'!B39:D39</f>
        <v/>
      </c>
      <c r="C40" s="514"/>
      <c r="D40" s="514"/>
      <c r="F40" s="117">
        <f>'Schedule 2A Adjustments'!H39</f>
        <v>0</v>
      </c>
      <c r="G40" s="68">
        <f>'Schedule 2A Adjustments'!J39</f>
        <v>0</v>
      </c>
      <c r="H40" s="68">
        <f t="shared" si="0"/>
        <v>0</v>
      </c>
      <c r="J40" s="117">
        <f>'Schedule 2A Adjustments'!P39</f>
        <v>0</v>
      </c>
      <c r="K40" s="68">
        <f>'Schedule 2A Adjustments'!R39</f>
        <v>0</v>
      </c>
      <c r="L40" s="68">
        <f t="shared" si="1"/>
        <v>0</v>
      </c>
      <c r="N40" s="119">
        <f>'Schedule 2A Adjustments'!X39</f>
        <v>0</v>
      </c>
      <c r="O40" s="119">
        <f>'Schedule 2A Adjustments'!AA39</f>
        <v>0</v>
      </c>
    </row>
    <row r="41" spans="1:15" x14ac:dyDescent="0.35">
      <c r="A41" s="24">
        <v>26</v>
      </c>
      <c r="B41" s="514" t="str">
        <f>'Schedule 2A Adjustments'!B40:D40</f>
        <v/>
      </c>
      <c r="C41" s="514"/>
      <c r="D41" s="514"/>
      <c r="F41" s="117">
        <f>'Schedule 2A Adjustments'!H40</f>
        <v>0</v>
      </c>
      <c r="G41" s="68">
        <f>'Schedule 2A Adjustments'!J40</f>
        <v>0</v>
      </c>
      <c r="H41" s="68">
        <f t="shared" si="0"/>
        <v>0</v>
      </c>
      <c r="J41" s="117">
        <f>'Schedule 2A Adjustments'!P40</f>
        <v>0</v>
      </c>
      <c r="K41" s="68">
        <f>'Schedule 2A Adjustments'!R40</f>
        <v>0</v>
      </c>
      <c r="L41" s="68">
        <f t="shared" si="1"/>
        <v>0</v>
      </c>
      <c r="N41" s="119">
        <f>'Schedule 2A Adjustments'!X40</f>
        <v>0</v>
      </c>
      <c r="O41" s="119">
        <f>'Schedule 2A Adjustments'!AA40</f>
        <v>0</v>
      </c>
    </row>
    <row r="42" spans="1:15" x14ac:dyDescent="0.35">
      <c r="A42" s="24">
        <v>27</v>
      </c>
      <c r="B42" s="514" t="str">
        <f>'Schedule 2A Adjustments'!B41:D41</f>
        <v/>
      </c>
      <c r="C42" s="514"/>
      <c r="D42" s="514"/>
      <c r="F42" s="117">
        <f>'Schedule 2A Adjustments'!H41</f>
        <v>0</v>
      </c>
      <c r="G42" s="68">
        <f>'Schedule 2A Adjustments'!J41</f>
        <v>0</v>
      </c>
      <c r="H42" s="68">
        <f t="shared" si="0"/>
        <v>0</v>
      </c>
      <c r="J42" s="117">
        <f>'Schedule 2A Adjustments'!P41</f>
        <v>0</v>
      </c>
      <c r="K42" s="68">
        <f>'Schedule 2A Adjustments'!R41</f>
        <v>0</v>
      </c>
      <c r="L42" s="68">
        <f t="shared" si="1"/>
        <v>0</v>
      </c>
      <c r="N42" s="119">
        <f>'Schedule 2A Adjustments'!X41</f>
        <v>0</v>
      </c>
      <c r="O42" s="119">
        <f>'Schedule 2A Adjustments'!AA41</f>
        <v>0</v>
      </c>
    </row>
    <row r="43" spans="1:15" x14ac:dyDescent="0.35">
      <c r="A43" s="24">
        <v>28</v>
      </c>
      <c r="B43" s="514" t="str">
        <f>'Schedule 2A Adjustments'!B42:D42</f>
        <v/>
      </c>
      <c r="C43" s="514"/>
      <c r="D43" s="514"/>
      <c r="F43" s="117">
        <f>'Schedule 2A Adjustments'!H42</f>
        <v>0</v>
      </c>
      <c r="G43" s="68">
        <f>'Schedule 2A Adjustments'!J42</f>
        <v>0</v>
      </c>
      <c r="H43" s="68">
        <f t="shared" si="0"/>
        <v>0</v>
      </c>
      <c r="J43" s="117">
        <f>'Schedule 2A Adjustments'!P42</f>
        <v>0</v>
      </c>
      <c r="K43" s="68">
        <f>'Schedule 2A Adjustments'!R42</f>
        <v>0</v>
      </c>
      <c r="L43" s="68">
        <f t="shared" si="1"/>
        <v>0</v>
      </c>
      <c r="N43" s="119">
        <f>'Schedule 2A Adjustments'!X42</f>
        <v>0</v>
      </c>
      <c r="O43" s="119">
        <f>'Schedule 2A Adjustments'!AA42</f>
        <v>0</v>
      </c>
    </row>
    <row r="44" spans="1:15" x14ac:dyDescent="0.35">
      <c r="A44" s="24">
        <v>29</v>
      </c>
      <c r="B44" s="514" t="str">
        <f>'Schedule 2A Adjustments'!B43:D43</f>
        <v/>
      </c>
      <c r="C44" s="514"/>
      <c r="D44" s="514"/>
      <c r="F44" s="117">
        <f>'Schedule 2A Adjustments'!H43</f>
        <v>0</v>
      </c>
      <c r="G44" s="68">
        <f>'Schedule 2A Adjustments'!J43</f>
        <v>0</v>
      </c>
      <c r="H44" s="68">
        <f t="shared" si="0"/>
        <v>0</v>
      </c>
      <c r="J44" s="117">
        <f>'Schedule 2A Adjustments'!P43</f>
        <v>0</v>
      </c>
      <c r="K44" s="68">
        <f>'Schedule 2A Adjustments'!R43</f>
        <v>0</v>
      </c>
      <c r="L44" s="68">
        <f t="shared" si="1"/>
        <v>0</v>
      </c>
      <c r="N44" s="119">
        <f>'Schedule 2A Adjustments'!X43</f>
        <v>0</v>
      </c>
      <c r="O44" s="119">
        <f>'Schedule 2A Adjustments'!AA43</f>
        <v>0</v>
      </c>
    </row>
    <row r="45" spans="1:15" x14ac:dyDescent="0.35">
      <c r="A45" s="24">
        <v>30</v>
      </c>
      <c r="B45" s="514" t="str">
        <f>'Schedule 2A Adjustments'!B44:D44</f>
        <v/>
      </c>
      <c r="C45" s="514"/>
      <c r="D45" s="514"/>
      <c r="F45" s="117">
        <f>'Schedule 2A Adjustments'!H44</f>
        <v>0</v>
      </c>
      <c r="G45" s="68">
        <f>'Schedule 2A Adjustments'!J44</f>
        <v>0</v>
      </c>
      <c r="H45" s="68">
        <f t="shared" si="0"/>
        <v>0</v>
      </c>
      <c r="J45" s="117">
        <f>'Schedule 2A Adjustments'!P44</f>
        <v>0</v>
      </c>
      <c r="K45" s="68">
        <f>'Schedule 2A Adjustments'!R44</f>
        <v>0</v>
      </c>
      <c r="L45" s="68">
        <f t="shared" si="1"/>
        <v>0</v>
      </c>
      <c r="N45" s="119">
        <f>'Schedule 2A Adjustments'!X44</f>
        <v>0</v>
      </c>
      <c r="O45" s="119">
        <f>'Schedule 2A Adjustments'!AA44</f>
        <v>0</v>
      </c>
    </row>
    <row r="46" spans="1:15" x14ac:dyDescent="0.35">
      <c r="A46" s="24">
        <v>31</v>
      </c>
      <c r="B46" s="514" t="str">
        <f>'Schedule 2A Adjustments'!B45:D45</f>
        <v/>
      </c>
      <c r="C46" s="514"/>
      <c r="D46" s="514"/>
      <c r="F46" s="117">
        <f>'Schedule 2A Adjustments'!H45</f>
        <v>0</v>
      </c>
      <c r="G46" s="68">
        <f>'Schedule 2A Adjustments'!J45</f>
        <v>0</v>
      </c>
      <c r="H46" s="68">
        <f t="shared" si="0"/>
        <v>0</v>
      </c>
      <c r="J46" s="117">
        <f>'Schedule 2A Adjustments'!P45</f>
        <v>0</v>
      </c>
      <c r="K46" s="68">
        <f>'Schedule 2A Adjustments'!R45</f>
        <v>0</v>
      </c>
      <c r="L46" s="68">
        <f t="shared" si="1"/>
        <v>0</v>
      </c>
      <c r="N46" s="119">
        <f>'Schedule 2A Adjustments'!X45</f>
        <v>0</v>
      </c>
      <c r="O46" s="119">
        <f>'Schedule 2A Adjustments'!AA45</f>
        <v>0</v>
      </c>
    </row>
    <row r="47" spans="1:15" x14ac:dyDescent="0.35">
      <c r="A47" s="24">
        <v>32</v>
      </c>
      <c r="B47" s="514" t="str">
        <f>'Schedule 2A Adjustments'!B46:D46</f>
        <v/>
      </c>
      <c r="C47" s="514"/>
      <c r="D47" s="514"/>
      <c r="F47" s="117">
        <f>'Schedule 2A Adjustments'!H46</f>
        <v>0</v>
      </c>
      <c r="G47" s="68">
        <f>'Schedule 2A Adjustments'!J46</f>
        <v>0</v>
      </c>
      <c r="H47" s="68">
        <f t="shared" si="0"/>
        <v>0</v>
      </c>
      <c r="J47" s="117">
        <f>'Schedule 2A Adjustments'!P46</f>
        <v>0</v>
      </c>
      <c r="K47" s="68">
        <f>'Schedule 2A Adjustments'!R46</f>
        <v>0</v>
      </c>
      <c r="L47" s="68">
        <f t="shared" si="1"/>
        <v>0</v>
      </c>
      <c r="N47" s="119">
        <f>'Schedule 2A Adjustments'!X46</f>
        <v>0</v>
      </c>
      <c r="O47" s="119">
        <f>'Schedule 2A Adjustments'!AA46</f>
        <v>0</v>
      </c>
    </row>
    <row r="48" spans="1:15" x14ac:dyDescent="0.35">
      <c r="A48" s="24">
        <v>33</v>
      </c>
      <c r="B48" s="514" t="str">
        <f>'Schedule 2A Adjustments'!B47:D47</f>
        <v/>
      </c>
      <c r="C48" s="514"/>
      <c r="D48" s="514"/>
      <c r="F48" s="117">
        <f>'Schedule 2A Adjustments'!H47</f>
        <v>0</v>
      </c>
      <c r="G48" s="68">
        <f>'Schedule 2A Adjustments'!J47</f>
        <v>0</v>
      </c>
      <c r="H48" s="68">
        <f t="shared" si="0"/>
        <v>0</v>
      </c>
      <c r="J48" s="117">
        <f>'Schedule 2A Adjustments'!P47</f>
        <v>0</v>
      </c>
      <c r="K48" s="68">
        <f>'Schedule 2A Adjustments'!R47</f>
        <v>0</v>
      </c>
      <c r="L48" s="68">
        <f t="shared" si="1"/>
        <v>0</v>
      </c>
      <c r="N48" s="119">
        <f>'Schedule 2A Adjustments'!X47</f>
        <v>0</v>
      </c>
      <c r="O48" s="119">
        <f>'Schedule 2A Adjustments'!AA47</f>
        <v>0</v>
      </c>
    </row>
    <row r="49" spans="1:15" x14ac:dyDescent="0.35">
      <c r="A49" s="24">
        <v>34</v>
      </c>
      <c r="B49" s="514" t="str">
        <f>'Schedule 2A Adjustments'!B48:D48</f>
        <v/>
      </c>
      <c r="C49" s="514"/>
      <c r="D49" s="514"/>
      <c r="F49" s="117">
        <f>'Schedule 2A Adjustments'!H48</f>
        <v>0</v>
      </c>
      <c r="G49" s="68">
        <f>'Schedule 2A Adjustments'!J48</f>
        <v>0</v>
      </c>
      <c r="H49" s="68">
        <f t="shared" si="0"/>
        <v>0</v>
      </c>
      <c r="J49" s="117">
        <f>'Schedule 2A Adjustments'!P48</f>
        <v>0</v>
      </c>
      <c r="K49" s="68">
        <f>'Schedule 2A Adjustments'!R48</f>
        <v>0</v>
      </c>
      <c r="L49" s="68">
        <f t="shared" si="1"/>
        <v>0</v>
      </c>
      <c r="N49" s="119">
        <f>'Schedule 2A Adjustments'!X48</f>
        <v>0</v>
      </c>
      <c r="O49" s="119">
        <f>'Schedule 2A Adjustments'!AA48</f>
        <v>0</v>
      </c>
    </row>
    <row r="50" spans="1:15" x14ac:dyDescent="0.35">
      <c r="A50" s="24">
        <v>35</v>
      </c>
      <c r="B50" s="514" t="str">
        <f>'Schedule 2A Adjustments'!B49:D49</f>
        <v/>
      </c>
      <c r="C50" s="514"/>
      <c r="D50" s="514"/>
      <c r="F50" s="117">
        <f>'Schedule 2A Adjustments'!H49</f>
        <v>0</v>
      </c>
      <c r="G50" s="68">
        <f>'Schedule 2A Adjustments'!J49</f>
        <v>0</v>
      </c>
      <c r="H50" s="68">
        <f t="shared" si="0"/>
        <v>0</v>
      </c>
      <c r="J50" s="117">
        <f>'Schedule 2A Adjustments'!P49</f>
        <v>0</v>
      </c>
      <c r="K50" s="68">
        <f>'Schedule 2A Adjustments'!R49</f>
        <v>0</v>
      </c>
      <c r="L50" s="68">
        <f t="shared" si="1"/>
        <v>0</v>
      </c>
      <c r="N50" s="119">
        <f>'Schedule 2A Adjustments'!X49</f>
        <v>0</v>
      </c>
      <c r="O50" s="119">
        <f>'Schedule 2A Adjustments'!AA49</f>
        <v>0</v>
      </c>
    </row>
    <row r="51" spans="1:15" x14ac:dyDescent="0.35">
      <c r="A51" s="24">
        <v>36</v>
      </c>
      <c r="B51" s="514" t="str">
        <f>'Schedule 2A Adjustments'!B50:D50</f>
        <v/>
      </c>
      <c r="C51" s="514"/>
      <c r="D51" s="514"/>
      <c r="F51" s="117">
        <f>'Schedule 2A Adjustments'!H50</f>
        <v>0</v>
      </c>
      <c r="G51" s="68">
        <f>'Schedule 2A Adjustments'!J50</f>
        <v>0</v>
      </c>
      <c r="H51" s="68">
        <f t="shared" si="0"/>
        <v>0</v>
      </c>
      <c r="J51" s="117">
        <f>'Schedule 2A Adjustments'!P50</f>
        <v>0</v>
      </c>
      <c r="K51" s="68">
        <f>'Schedule 2A Adjustments'!R50</f>
        <v>0</v>
      </c>
      <c r="L51" s="68">
        <f t="shared" si="1"/>
        <v>0</v>
      </c>
      <c r="N51" s="119">
        <f>'Schedule 2A Adjustments'!X50</f>
        <v>0</v>
      </c>
      <c r="O51" s="119">
        <f>'Schedule 2A Adjustments'!AA50</f>
        <v>0</v>
      </c>
    </row>
    <row r="52" spans="1:15" x14ac:dyDescent="0.35">
      <c r="A52" s="24">
        <v>37</v>
      </c>
      <c r="B52" s="514" t="str">
        <f>'Schedule 2A Adjustments'!B51:D51</f>
        <v/>
      </c>
      <c r="C52" s="514"/>
      <c r="D52" s="514"/>
      <c r="F52" s="117">
        <f>'Schedule 2A Adjustments'!H51</f>
        <v>0</v>
      </c>
      <c r="G52" s="68">
        <f>'Schedule 2A Adjustments'!J51</f>
        <v>0</v>
      </c>
      <c r="H52" s="68">
        <f t="shared" si="0"/>
        <v>0</v>
      </c>
      <c r="J52" s="117">
        <f>'Schedule 2A Adjustments'!P51</f>
        <v>0</v>
      </c>
      <c r="K52" s="68">
        <f>'Schedule 2A Adjustments'!R51</f>
        <v>0</v>
      </c>
      <c r="L52" s="68">
        <f t="shared" si="1"/>
        <v>0</v>
      </c>
      <c r="N52" s="119">
        <f>'Schedule 2A Adjustments'!X51</f>
        <v>0</v>
      </c>
      <c r="O52" s="119">
        <f>'Schedule 2A Adjustments'!AA51</f>
        <v>0</v>
      </c>
    </row>
    <row r="53" spans="1:15" x14ac:dyDescent="0.35">
      <c r="A53" s="24">
        <v>38</v>
      </c>
      <c r="B53" s="514" t="str">
        <f>'Schedule 2A Adjustments'!B52:D52</f>
        <v/>
      </c>
      <c r="C53" s="514"/>
      <c r="D53" s="514"/>
      <c r="F53" s="117">
        <f>'Schedule 2A Adjustments'!H52</f>
        <v>0</v>
      </c>
      <c r="G53" s="68">
        <f>'Schedule 2A Adjustments'!J52</f>
        <v>0</v>
      </c>
      <c r="H53" s="68">
        <f t="shared" si="0"/>
        <v>0</v>
      </c>
      <c r="J53" s="117">
        <f>'Schedule 2A Adjustments'!P52</f>
        <v>0</v>
      </c>
      <c r="K53" s="68">
        <f>'Schedule 2A Adjustments'!R52</f>
        <v>0</v>
      </c>
      <c r="L53" s="68">
        <f t="shared" si="1"/>
        <v>0</v>
      </c>
      <c r="N53" s="119">
        <f>'Schedule 2A Adjustments'!X52</f>
        <v>0</v>
      </c>
      <c r="O53" s="119">
        <f>'Schedule 2A Adjustments'!AA52</f>
        <v>0</v>
      </c>
    </row>
    <row r="54" spans="1:15" x14ac:dyDescent="0.35">
      <c r="A54" s="24">
        <v>39</v>
      </c>
      <c r="B54" s="514" t="str">
        <f>'Schedule 2A Adjustments'!B53:D53</f>
        <v/>
      </c>
      <c r="C54" s="514"/>
      <c r="D54" s="514"/>
      <c r="F54" s="117">
        <f>'Schedule 2A Adjustments'!H53</f>
        <v>0</v>
      </c>
      <c r="G54" s="68">
        <f>'Schedule 2A Adjustments'!J53</f>
        <v>0</v>
      </c>
      <c r="H54" s="68">
        <f t="shared" si="0"/>
        <v>0</v>
      </c>
      <c r="J54" s="117">
        <f>'Schedule 2A Adjustments'!P53</f>
        <v>0</v>
      </c>
      <c r="K54" s="68">
        <f>'Schedule 2A Adjustments'!R53</f>
        <v>0</v>
      </c>
      <c r="L54" s="68">
        <f t="shared" si="1"/>
        <v>0</v>
      </c>
      <c r="N54" s="119">
        <f>'Schedule 2A Adjustments'!X53</f>
        <v>0</v>
      </c>
      <c r="O54" s="119">
        <f>'Schedule 2A Adjustments'!AA53</f>
        <v>0</v>
      </c>
    </row>
    <row r="55" spans="1:15" x14ac:dyDescent="0.35">
      <c r="A55" s="24">
        <v>40</v>
      </c>
      <c r="B55" s="514" t="str">
        <f>'Schedule 2A Adjustments'!B54:D54</f>
        <v/>
      </c>
      <c r="C55" s="514"/>
      <c r="D55" s="514"/>
      <c r="F55" s="117">
        <f>'Schedule 2A Adjustments'!H54</f>
        <v>0</v>
      </c>
      <c r="G55" s="68">
        <f>'Schedule 2A Adjustments'!J54</f>
        <v>0</v>
      </c>
      <c r="H55" s="68">
        <f t="shared" si="0"/>
        <v>0</v>
      </c>
      <c r="J55" s="117">
        <f>'Schedule 2A Adjustments'!P54</f>
        <v>0</v>
      </c>
      <c r="K55" s="68">
        <f>'Schedule 2A Adjustments'!R54</f>
        <v>0</v>
      </c>
      <c r="L55" s="68">
        <f t="shared" si="1"/>
        <v>0</v>
      </c>
      <c r="N55" s="119">
        <f>'Schedule 2A Adjustments'!X54</f>
        <v>0</v>
      </c>
      <c r="O55" s="119">
        <f>'Schedule 2A Adjustments'!AA54</f>
        <v>0</v>
      </c>
    </row>
    <row r="56" spans="1:15" x14ac:dyDescent="0.35">
      <c r="A56" s="24">
        <v>41</v>
      </c>
      <c r="B56" s="514" t="str">
        <f>'Schedule 2A Adjustments'!B55:D55</f>
        <v/>
      </c>
      <c r="C56" s="514"/>
      <c r="D56" s="514"/>
      <c r="F56" s="117">
        <f>'Schedule 2A Adjustments'!H55</f>
        <v>0</v>
      </c>
      <c r="G56" s="68">
        <f>'Schedule 2A Adjustments'!J55</f>
        <v>0</v>
      </c>
      <c r="H56" s="68">
        <f t="shared" si="0"/>
        <v>0</v>
      </c>
      <c r="J56" s="117">
        <f>'Schedule 2A Adjustments'!P55</f>
        <v>0</v>
      </c>
      <c r="K56" s="68">
        <f>'Schedule 2A Adjustments'!R55</f>
        <v>0</v>
      </c>
      <c r="L56" s="68">
        <f t="shared" si="1"/>
        <v>0</v>
      </c>
      <c r="N56" s="119">
        <f>'Schedule 2A Adjustments'!X55</f>
        <v>0</v>
      </c>
      <c r="O56" s="119">
        <f>'Schedule 2A Adjustments'!AA55</f>
        <v>0</v>
      </c>
    </row>
    <row r="57" spans="1:15" x14ac:dyDescent="0.35">
      <c r="A57" s="24">
        <v>42</v>
      </c>
      <c r="B57" s="514" t="str">
        <f>'Schedule 2A Adjustments'!B56:D56</f>
        <v/>
      </c>
      <c r="C57" s="514"/>
      <c r="D57" s="514"/>
      <c r="F57" s="117">
        <f>'Schedule 2A Adjustments'!H56</f>
        <v>0</v>
      </c>
      <c r="G57" s="68">
        <f>'Schedule 2A Adjustments'!J56</f>
        <v>0</v>
      </c>
      <c r="H57" s="68">
        <f t="shared" si="0"/>
        <v>0</v>
      </c>
      <c r="J57" s="117">
        <f>'Schedule 2A Adjustments'!P56</f>
        <v>0</v>
      </c>
      <c r="K57" s="68">
        <f>'Schedule 2A Adjustments'!R56</f>
        <v>0</v>
      </c>
      <c r="L57" s="68">
        <f t="shared" si="1"/>
        <v>0</v>
      </c>
      <c r="N57" s="119">
        <f>'Schedule 2A Adjustments'!X56</f>
        <v>0</v>
      </c>
      <c r="O57" s="119">
        <f>'Schedule 2A Adjustments'!AA56</f>
        <v>0</v>
      </c>
    </row>
    <row r="58" spans="1:15" x14ac:dyDescent="0.35">
      <c r="A58" s="24">
        <v>43</v>
      </c>
      <c r="B58" s="514" t="str">
        <f>'Schedule 2A Adjustments'!B57:D57</f>
        <v/>
      </c>
      <c r="C58" s="514"/>
      <c r="D58" s="514"/>
      <c r="F58" s="117">
        <f>'Schedule 2A Adjustments'!H57</f>
        <v>0</v>
      </c>
      <c r="G58" s="68">
        <f>'Schedule 2A Adjustments'!J57</f>
        <v>0</v>
      </c>
      <c r="H58" s="68">
        <f t="shared" si="0"/>
        <v>0</v>
      </c>
      <c r="J58" s="117">
        <f>'Schedule 2A Adjustments'!P57</f>
        <v>0</v>
      </c>
      <c r="K58" s="68">
        <f>'Schedule 2A Adjustments'!R57</f>
        <v>0</v>
      </c>
      <c r="L58" s="68">
        <f t="shared" si="1"/>
        <v>0</v>
      </c>
      <c r="N58" s="119">
        <f>'Schedule 2A Adjustments'!X57</f>
        <v>0</v>
      </c>
      <c r="O58" s="119">
        <f>'Schedule 2A Adjustments'!AA57</f>
        <v>0</v>
      </c>
    </row>
    <row r="59" spans="1:15" x14ac:dyDescent="0.35">
      <c r="A59" s="24">
        <v>44</v>
      </c>
      <c r="B59" s="514" t="str">
        <f>'Schedule 2A Adjustments'!B58:D58</f>
        <v/>
      </c>
      <c r="C59" s="514"/>
      <c r="D59" s="514"/>
      <c r="F59" s="117">
        <f>'Schedule 2A Adjustments'!H58</f>
        <v>0</v>
      </c>
      <c r="G59" s="68">
        <f>'Schedule 2A Adjustments'!J58</f>
        <v>0</v>
      </c>
      <c r="H59" s="68">
        <f t="shared" si="0"/>
        <v>0</v>
      </c>
      <c r="J59" s="117">
        <f>'Schedule 2A Adjustments'!P58</f>
        <v>0</v>
      </c>
      <c r="K59" s="68">
        <f>'Schedule 2A Adjustments'!R58</f>
        <v>0</v>
      </c>
      <c r="L59" s="68">
        <f t="shared" si="1"/>
        <v>0</v>
      </c>
      <c r="N59" s="119">
        <f>'Schedule 2A Adjustments'!X58</f>
        <v>0</v>
      </c>
      <c r="O59" s="119">
        <f>'Schedule 2A Adjustments'!AA58</f>
        <v>0</v>
      </c>
    </row>
    <row r="60" spans="1:15" x14ac:dyDescent="0.35">
      <c r="A60" s="24">
        <v>45</v>
      </c>
      <c r="B60" s="514" t="str">
        <f>'Schedule 2A Adjustments'!B59:D59</f>
        <v/>
      </c>
      <c r="C60" s="514"/>
      <c r="D60" s="514"/>
      <c r="F60" s="117">
        <f>'Schedule 2A Adjustments'!H59</f>
        <v>0</v>
      </c>
      <c r="G60" s="68">
        <f>'Schedule 2A Adjustments'!J59</f>
        <v>0</v>
      </c>
      <c r="H60" s="68">
        <f t="shared" si="0"/>
        <v>0</v>
      </c>
      <c r="J60" s="117">
        <f>'Schedule 2A Adjustments'!P59</f>
        <v>0</v>
      </c>
      <c r="K60" s="68">
        <f>'Schedule 2A Adjustments'!R59</f>
        <v>0</v>
      </c>
      <c r="L60" s="68">
        <f t="shared" si="1"/>
        <v>0</v>
      </c>
      <c r="N60" s="119">
        <f>'Schedule 2A Adjustments'!X59</f>
        <v>0</v>
      </c>
      <c r="O60" s="119">
        <f>'Schedule 2A Adjustments'!AA59</f>
        <v>0</v>
      </c>
    </row>
    <row r="61" spans="1:15" x14ac:dyDescent="0.35">
      <c r="A61" s="24">
        <v>46</v>
      </c>
      <c r="B61" s="514" t="str">
        <f>'Schedule 2A Adjustments'!B60:D60</f>
        <v/>
      </c>
      <c r="C61" s="514"/>
      <c r="D61" s="514"/>
      <c r="F61" s="117">
        <f>'Schedule 2A Adjustments'!H60</f>
        <v>0</v>
      </c>
      <c r="G61" s="68">
        <f>'Schedule 2A Adjustments'!J60</f>
        <v>0</v>
      </c>
      <c r="H61" s="68">
        <f t="shared" si="0"/>
        <v>0</v>
      </c>
      <c r="J61" s="117">
        <f>'Schedule 2A Adjustments'!P60</f>
        <v>0</v>
      </c>
      <c r="K61" s="68">
        <f>'Schedule 2A Adjustments'!R60</f>
        <v>0</v>
      </c>
      <c r="L61" s="68">
        <f t="shared" si="1"/>
        <v>0</v>
      </c>
      <c r="N61" s="119">
        <f>'Schedule 2A Adjustments'!X60</f>
        <v>0</v>
      </c>
      <c r="O61" s="119">
        <f>'Schedule 2A Adjustments'!AA60</f>
        <v>0</v>
      </c>
    </row>
    <row r="62" spans="1:15" x14ac:dyDescent="0.35">
      <c r="A62" s="24">
        <v>47</v>
      </c>
      <c r="B62" s="514" t="str">
        <f>'Schedule 2A Adjustments'!B61:D61</f>
        <v/>
      </c>
      <c r="C62" s="514"/>
      <c r="D62" s="514"/>
      <c r="F62" s="117">
        <f>'Schedule 2A Adjustments'!H61</f>
        <v>0</v>
      </c>
      <c r="G62" s="68">
        <f>'Schedule 2A Adjustments'!J61</f>
        <v>0</v>
      </c>
      <c r="H62" s="68">
        <f t="shared" si="0"/>
        <v>0</v>
      </c>
      <c r="J62" s="117">
        <f>'Schedule 2A Adjustments'!P61</f>
        <v>0</v>
      </c>
      <c r="K62" s="68">
        <f>'Schedule 2A Adjustments'!R61</f>
        <v>0</v>
      </c>
      <c r="L62" s="68">
        <f t="shared" si="1"/>
        <v>0</v>
      </c>
      <c r="N62" s="119">
        <f>'Schedule 2A Adjustments'!X61</f>
        <v>0</v>
      </c>
      <c r="O62" s="119">
        <f>'Schedule 2A Adjustments'!AA61</f>
        <v>0</v>
      </c>
    </row>
    <row r="63" spans="1:15" x14ac:dyDescent="0.35">
      <c r="A63" s="24">
        <v>48</v>
      </c>
      <c r="B63" s="514" t="str">
        <f>'Schedule 2A Adjustments'!B62:D62</f>
        <v/>
      </c>
      <c r="C63" s="514"/>
      <c r="D63" s="514"/>
      <c r="F63" s="117">
        <f>'Schedule 2A Adjustments'!H62</f>
        <v>0</v>
      </c>
      <c r="G63" s="68">
        <f>'Schedule 2A Adjustments'!J62</f>
        <v>0</v>
      </c>
      <c r="H63" s="68">
        <f t="shared" si="0"/>
        <v>0</v>
      </c>
      <c r="J63" s="117">
        <f>'Schedule 2A Adjustments'!P62</f>
        <v>0</v>
      </c>
      <c r="K63" s="68">
        <f>'Schedule 2A Adjustments'!R62</f>
        <v>0</v>
      </c>
      <c r="L63" s="68">
        <f t="shared" si="1"/>
        <v>0</v>
      </c>
      <c r="N63" s="119">
        <f>'Schedule 2A Adjustments'!X62</f>
        <v>0</v>
      </c>
      <c r="O63" s="119">
        <f>'Schedule 2A Adjustments'!AA62</f>
        <v>0</v>
      </c>
    </row>
    <row r="64" spans="1:15" x14ac:dyDescent="0.35">
      <c r="A64" s="24">
        <v>49</v>
      </c>
      <c r="B64" s="514" t="str">
        <f>'Schedule 2A Adjustments'!B63:D63</f>
        <v/>
      </c>
      <c r="C64" s="514"/>
      <c r="D64" s="514"/>
      <c r="F64" s="117">
        <f>'Schedule 2A Adjustments'!H63</f>
        <v>0</v>
      </c>
      <c r="G64" s="68">
        <f>'Schedule 2A Adjustments'!J63</f>
        <v>0</v>
      </c>
      <c r="H64" s="68">
        <f t="shared" si="0"/>
        <v>0</v>
      </c>
      <c r="J64" s="117">
        <f>'Schedule 2A Adjustments'!P63</f>
        <v>0</v>
      </c>
      <c r="K64" s="68">
        <f>'Schedule 2A Adjustments'!R63</f>
        <v>0</v>
      </c>
      <c r="L64" s="68">
        <f t="shared" si="1"/>
        <v>0</v>
      </c>
      <c r="N64" s="119">
        <f>'Schedule 2A Adjustments'!X63</f>
        <v>0</v>
      </c>
      <c r="O64" s="119">
        <f>'Schedule 2A Adjustments'!AA63</f>
        <v>0</v>
      </c>
    </row>
    <row r="65" spans="1:15" x14ac:dyDescent="0.35">
      <c r="A65" s="24">
        <v>50</v>
      </c>
      <c r="B65" s="514" t="str">
        <f>'Schedule 2A Adjustments'!B64:D64</f>
        <v/>
      </c>
      <c r="C65" s="514"/>
      <c r="D65" s="514"/>
      <c r="F65" s="117">
        <f>'Schedule 2A Adjustments'!H64</f>
        <v>0</v>
      </c>
      <c r="G65" s="68">
        <f>'Schedule 2A Adjustments'!J64</f>
        <v>0</v>
      </c>
      <c r="H65" s="68">
        <f t="shared" si="0"/>
        <v>0</v>
      </c>
      <c r="J65" s="117">
        <f>'Schedule 2A Adjustments'!P64</f>
        <v>0</v>
      </c>
      <c r="K65" s="68">
        <f>'Schedule 2A Adjustments'!R64</f>
        <v>0</v>
      </c>
      <c r="L65" s="68">
        <f t="shared" si="1"/>
        <v>0</v>
      </c>
      <c r="N65" s="119">
        <f>'Schedule 2A Adjustments'!X64</f>
        <v>0</v>
      </c>
      <c r="O65" s="119">
        <f>'Schedule 2A Adjustments'!AA64</f>
        <v>0</v>
      </c>
    </row>
    <row r="66" spans="1:15" x14ac:dyDescent="0.35">
      <c r="A66" s="24">
        <v>51</v>
      </c>
      <c r="B66" s="514" t="str">
        <f>'Schedule 2A Adjustments'!B65:D65</f>
        <v/>
      </c>
      <c r="C66" s="514"/>
      <c r="D66" s="514"/>
      <c r="F66" s="117">
        <f>'Schedule 2A Adjustments'!H65</f>
        <v>0</v>
      </c>
      <c r="G66" s="68">
        <f>'Schedule 2A Adjustments'!J65</f>
        <v>0</v>
      </c>
      <c r="H66" s="68">
        <f t="shared" si="0"/>
        <v>0</v>
      </c>
      <c r="J66" s="117">
        <f>'Schedule 2A Adjustments'!P65</f>
        <v>0</v>
      </c>
      <c r="K66" s="68">
        <f>'Schedule 2A Adjustments'!R65</f>
        <v>0</v>
      </c>
      <c r="L66" s="68">
        <f t="shared" si="1"/>
        <v>0</v>
      </c>
      <c r="N66" s="119">
        <f>'Schedule 2A Adjustments'!X65</f>
        <v>0</v>
      </c>
      <c r="O66" s="119">
        <f>'Schedule 2A Adjustments'!AA65</f>
        <v>0</v>
      </c>
    </row>
    <row r="67" spans="1:15" x14ac:dyDescent="0.35">
      <c r="A67" s="24">
        <v>52</v>
      </c>
      <c r="B67" s="514" t="str">
        <f>'Schedule 2A Adjustments'!B66:D66</f>
        <v/>
      </c>
      <c r="C67" s="514"/>
      <c r="D67" s="514"/>
      <c r="F67" s="117">
        <f>'Schedule 2A Adjustments'!H66</f>
        <v>0</v>
      </c>
      <c r="G67" s="68">
        <f>'Schedule 2A Adjustments'!J66</f>
        <v>0</v>
      </c>
      <c r="H67" s="68">
        <f t="shared" si="0"/>
        <v>0</v>
      </c>
      <c r="J67" s="117">
        <f>'Schedule 2A Adjustments'!P66</f>
        <v>0</v>
      </c>
      <c r="K67" s="68">
        <f>'Schedule 2A Adjustments'!R66</f>
        <v>0</v>
      </c>
      <c r="L67" s="68">
        <f t="shared" si="1"/>
        <v>0</v>
      </c>
      <c r="N67" s="119">
        <f>'Schedule 2A Adjustments'!X66</f>
        <v>0</v>
      </c>
      <c r="O67" s="119">
        <f>'Schedule 2A Adjustments'!AA66</f>
        <v>0</v>
      </c>
    </row>
    <row r="68" spans="1:15" x14ac:dyDescent="0.35">
      <c r="A68" s="24">
        <v>53</v>
      </c>
      <c r="B68" s="514" t="str">
        <f>'Schedule 2A Adjustments'!B67:D67</f>
        <v/>
      </c>
      <c r="C68" s="514"/>
      <c r="D68" s="514"/>
      <c r="F68" s="117">
        <f>'Schedule 2A Adjustments'!H67</f>
        <v>0</v>
      </c>
      <c r="G68" s="68">
        <f>'Schedule 2A Adjustments'!J67</f>
        <v>0</v>
      </c>
      <c r="H68" s="68">
        <f t="shared" si="0"/>
        <v>0</v>
      </c>
      <c r="J68" s="117">
        <f>'Schedule 2A Adjustments'!P67</f>
        <v>0</v>
      </c>
      <c r="K68" s="68">
        <f>'Schedule 2A Adjustments'!R67</f>
        <v>0</v>
      </c>
      <c r="L68" s="68">
        <f t="shared" si="1"/>
        <v>0</v>
      </c>
      <c r="N68" s="119">
        <f>'Schedule 2A Adjustments'!X67</f>
        <v>0</v>
      </c>
      <c r="O68" s="119">
        <f>'Schedule 2A Adjustments'!AA67</f>
        <v>0</v>
      </c>
    </row>
    <row r="69" spans="1:15" x14ac:dyDescent="0.35">
      <c r="A69" s="24">
        <v>54</v>
      </c>
      <c r="B69" s="514" t="str">
        <f>'Schedule 2A Adjustments'!B68:D68</f>
        <v/>
      </c>
      <c r="C69" s="514"/>
      <c r="D69" s="514"/>
      <c r="F69" s="117">
        <f>'Schedule 2A Adjustments'!H68</f>
        <v>0</v>
      </c>
      <c r="G69" s="68">
        <f>'Schedule 2A Adjustments'!J68</f>
        <v>0</v>
      </c>
      <c r="H69" s="68">
        <f t="shared" si="0"/>
        <v>0</v>
      </c>
      <c r="J69" s="117">
        <f>'Schedule 2A Adjustments'!P68</f>
        <v>0</v>
      </c>
      <c r="K69" s="68">
        <f>'Schedule 2A Adjustments'!R68</f>
        <v>0</v>
      </c>
      <c r="L69" s="68">
        <f t="shared" si="1"/>
        <v>0</v>
      </c>
      <c r="N69" s="119">
        <f>'Schedule 2A Adjustments'!X68</f>
        <v>0</v>
      </c>
      <c r="O69" s="119">
        <f>'Schedule 2A Adjustments'!AA68</f>
        <v>0</v>
      </c>
    </row>
    <row r="70" spans="1:15" x14ac:dyDescent="0.35">
      <c r="A70" s="24">
        <v>55</v>
      </c>
      <c r="B70" s="514" t="str">
        <f>'Schedule 2A Adjustments'!B69:D69</f>
        <v/>
      </c>
      <c r="C70" s="514"/>
      <c r="D70" s="514"/>
      <c r="F70" s="117">
        <f>'Schedule 2A Adjustments'!H69</f>
        <v>0</v>
      </c>
      <c r="G70" s="68">
        <f>'Schedule 2A Adjustments'!J69</f>
        <v>0</v>
      </c>
      <c r="H70" s="68">
        <f t="shared" si="0"/>
        <v>0</v>
      </c>
      <c r="J70" s="117">
        <f>'Schedule 2A Adjustments'!P69</f>
        <v>0</v>
      </c>
      <c r="K70" s="68">
        <f>'Schedule 2A Adjustments'!R69</f>
        <v>0</v>
      </c>
      <c r="L70" s="68">
        <f t="shared" si="1"/>
        <v>0</v>
      </c>
      <c r="N70" s="119">
        <f>'Schedule 2A Adjustments'!X69</f>
        <v>0</v>
      </c>
      <c r="O70" s="119">
        <f>'Schedule 2A Adjustments'!AA69</f>
        <v>0</v>
      </c>
    </row>
    <row r="71" spans="1:15" x14ac:dyDescent="0.35">
      <c r="A71" s="24">
        <v>56</v>
      </c>
      <c r="B71" s="514" t="str">
        <f>'Schedule 2A Adjustments'!B70:D70</f>
        <v/>
      </c>
      <c r="C71" s="514"/>
      <c r="D71" s="514"/>
      <c r="F71" s="117">
        <f>'Schedule 2A Adjustments'!H70</f>
        <v>0</v>
      </c>
      <c r="G71" s="68">
        <f>'Schedule 2A Adjustments'!J70</f>
        <v>0</v>
      </c>
      <c r="H71" s="68">
        <f t="shared" si="0"/>
        <v>0</v>
      </c>
      <c r="J71" s="117">
        <f>'Schedule 2A Adjustments'!P70</f>
        <v>0</v>
      </c>
      <c r="K71" s="68">
        <f>'Schedule 2A Adjustments'!R70</f>
        <v>0</v>
      </c>
      <c r="L71" s="68">
        <f t="shared" si="1"/>
        <v>0</v>
      </c>
      <c r="N71" s="119">
        <f>'Schedule 2A Adjustments'!X70</f>
        <v>0</v>
      </c>
      <c r="O71" s="119">
        <f>'Schedule 2A Adjustments'!AA70</f>
        <v>0</v>
      </c>
    </row>
    <row r="72" spans="1:15" x14ac:dyDescent="0.35">
      <c r="A72" s="24">
        <v>57</v>
      </c>
      <c r="B72" s="514" t="str">
        <f>'Schedule 2A Adjustments'!B71:D71</f>
        <v/>
      </c>
      <c r="C72" s="514"/>
      <c r="D72" s="514"/>
      <c r="F72" s="117">
        <f>'Schedule 2A Adjustments'!H71</f>
        <v>0</v>
      </c>
      <c r="G72" s="68">
        <f>'Schedule 2A Adjustments'!J71</f>
        <v>0</v>
      </c>
      <c r="H72" s="68">
        <f t="shared" si="0"/>
        <v>0</v>
      </c>
      <c r="J72" s="117">
        <f>'Schedule 2A Adjustments'!P71</f>
        <v>0</v>
      </c>
      <c r="K72" s="68">
        <f>'Schedule 2A Adjustments'!R71</f>
        <v>0</v>
      </c>
      <c r="L72" s="68">
        <f t="shared" si="1"/>
        <v>0</v>
      </c>
      <c r="N72" s="119">
        <f>'Schedule 2A Adjustments'!X71</f>
        <v>0</v>
      </c>
      <c r="O72" s="119">
        <f>'Schedule 2A Adjustments'!AA71</f>
        <v>0</v>
      </c>
    </row>
    <row r="73" spans="1:15" x14ac:dyDescent="0.35">
      <c r="A73" s="24">
        <v>58</v>
      </c>
      <c r="B73" s="514" t="str">
        <f>'Schedule 2A Adjustments'!B72:D72</f>
        <v/>
      </c>
      <c r="C73" s="514"/>
      <c r="D73" s="514"/>
      <c r="F73" s="117">
        <f>'Schedule 2A Adjustments'!H72</f>
        <v>0</v>
      </c>
      <c r="G73" s="68">
        <f>'Schedule 2A Adjustments'!J72</f>
        <v>0</v>
      </c>
      <c r="H73" s="68">
        <f t="shared" si="0"/>
        <v>0</v>
      </c>
      <c r="J73" s="117">
        <f>'Schedule 2A Adjustments'!P72</f>
        <v>0</v>
      </c>
      <c r="K73" s="68">
        <f>'Schedule 2A Adjustments'!R72</f>
        <v>0</v>
      </c>
      <c r="L73" s="68">
        <f t="shared" si="1"/>
        <v>0</v>
      </c>
      <c r="N73" s="119">
        <f>'Schedule 2A Adjustments'!X72</f>
        <v>0</v>
      </c>
      <c r="O73" s="119">
        <f>'Schedule 2A Adjustments'!AA72</f>
        <v>0</v>
      </c>
    </row>
    <row r="74" spans="1:15" x14ac:dyDescent="0.35">
      <c r="A74" s="24">
        <v>59</v>
      </c>
      <c r="F74" s="18">
        <f>SUM(F16:F73)</f>
        <v>2711966</v>
      </c>
      <c r="G74" s="18">
        <f t="shared" ref="G74" si="2">SUM(G16:G73)</f>
        <v>887818.39890112204</v>
      </c>
      <c r="H74" s="18">
        <f>SUM(H16:H73)</f>
        <v>3599784.3989011217</v>
      </c>
      <c r="J74" s="18">
        <f>SUM(J16:J73)</f>
        <v>423487</v>
      </c>
      <c r="K74" s="18">
        <f t="shared" ref="K74:L74" si="3">SUM(K16:K73)</f>
        <v>138637.26547288551</v>
      </c>
      <c r="L74" s="18">
        <f t="shared" si="3"/>
        <v>562124.26547288545</v>
      </c>
      <c r="O74" s="83" t="s">
        <v>313</v>
      </c>
    </row>
    <row r="75" spans="1:15" ht="15" thickBot="1" x14ac:dyDescent="0.4">
      <c r="H75" s="37" t="s">
        <v>257</v>
      </c>
      <c r="L75" s="37" t="s">
        <v>258</v>
      </c>
    </row>
    <row r="76" spans="1:15" ht="16" thickBot="1" x14ac:dyDescent="0.4">
      <c r="A76" s="24">
        <v>60</v>
      </c>
      <c r="B76" s="142" t="s">
        <v>463</v>
      </c>
      <c r="C76" s="72"/>
      <c r="E76" s="72"/>
      <c r="F76" s="75">
        <f>H74+L74</f>
        <v>4161908.6643740069</v>
      </c>
      <c r="I76" s="74"/>
      <c r="J76" s="74"/>
      <c r="K76" s="74"/>
      <c r="L76" s="74"/>
      <c r="N76" s="72"/>
      <c r="O76" s="72"/>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5">
    <mergeCell ref="B69:D69"/>
    <mergeCell ref="B70:D70"/>
    <mergeCell ref="B71:D71"/>
    <mergeCell ref="B72:D72"/>
    <mergeCell ref="B73:D73"/>
    <mergeCell ref="B68:D68"/>
    <mergeCell ref="B57:D57"/>
    <mergeCell ref="B58:D58"/>
    <mergeCell ref="B59:D59"/>
    <mergeCell ref="B60:D60"/>
    <mergeCell ref="B61:D61"/>
    <mergeCell ref="B62:D62"/>
    <mergeCell ref="B63:D63"/>
    <mergeCell ref="B64:D64"/>
    <mergeCell ref="B65:D65"/>
    <mergeCell ref="B66:D66"/>
    <mergeCell ref="B67:D67"/>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O14:O15"/>
    <mergeCell ref="B16:D16"/>
    <mergeCell ref="B17:D17"/>
    <mergeCell ref="B19:D19"/>
    <mergeCell ref="J14:L14"/>
    <mergeCell ref="N14:N15"/>
    <mergeCell ref="B18:D18"/>
    <mergeCell ref="B20:D20"/>
    <mergeCell ref="A3:F3"/>
    <mergeCell ref="B13:D13"/>
    <mergeCell ref="B14:D15"/>
    <mergeCell ref="F14:H14"/>
  </mergeCells>
  <pageMargins left="0.7" right="0.7" top="0.75" bottom="0.75" header="0.3" footer="0.3"/>
  <pageSetup orientation="portrait" horizontalDpi="1200" verticalDpi="120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2</vt:i4>
      </vt:variant>
    </vt:vector>
  </HeadingPairs>
  <TitlesOfParts>
    <vt:vector size="66" baseType="lpstr">
      <vt:lpstr>Instructions</vt:lpstr>
      <vt:lpstr>Results</vt:lpstr>
      <vt:lpstr>Adjustments</vt:lpstr>
      <vt:lpstr>Adjusted Schedule 1</vt:lpstr>
      <vt:lpstr>Adjusted Schedule 1A</vt:lpstr>
      <vt:lpstr>Adjusted Schedule 1B</vt:lpstr>
      <vt:lpstr>Adjusted Schedule 1C</vt:lpstr>
      <vt:lpstr>Adjusted Schedule 2</vt:lpstr>
      <vt:lpstr>Adjusted Schedule 2A</vt:lpstr>
      <vt:lpstr>Adjusted Schedule 2B</vt:lpstr>
      <vt:lpstr>Adjusted Schedule 2C</vt:lpstr>
      <vt:lpstr>Adjusted Schedule 2D</vt:lpstr>
      <vt:lpstr>Adjusted Schedule 2E</vt:lpstr>
      <vt:lpstr>Adjusted Schedule 2F</vt:lpstr>
      <vt:lpstr>Adjusted Schedule 2G</vt:lpstr>
      <vt:lpstr>Adjusted Schedule 2H</vt:lpstr>
      <vt:lpstr>Adjusted Schedule 2I</vt:lpstr>
      <vt:lpstr>Adjusted Schedule 2J</vt:lpstr>
      <vt:lpstr>Adjusted Schedule 2K</vt:lpstr>
      <vt:lpstr>Adjusted Schedule 2L</vt:lpstr>
      <vt:lpstr>Adjusted Schedule 2M</vt:lpstr>
      <vt:lpstr>Adjusted Schedule 3</vt:lpstr>
      <vt:lpstr>Adjusted Schedule 4</vt:lpstr>
      <vt:lpstr>Adjusted Schedule 5</vt:lpstr>
      <vt:lpstr>As-Filed Schedule 1</vt:lpstr>
      <vt:lpstr>As-Filed Schedule 1A</vt:lpstr>
      <vt:lpstr>As-Filed Schedule 1B</vt:lpstr>
      <vt:lpstr>As-Filed Schedule 1C</vt:lpstr>
      <vt:lpstr>As-Filed Schedule 2</vt:lpstr>
      <vt:lpstr>As-Filed Schedule 2A</vt:lpstr>
      <vt:lpstr>As-Filed Schedule 2B</vt:lpstr>
      <vt:lpstr>As-Filed Schedule 2C</vt:lpstr>
      <vt:lpstr>As-Filed Schedule 2D</vt:lpstr>
      <vt:lpstr>As-Filed Schedule 2E</vt:lpstr>
      <vt:lpstr>As-Filed Schedule 2F</vt:lpstr>
      <vt:lpstr>As-Filed Schedule 2G</vt:lpstr>
      <vt:lpstr>As-Filed Schedule 2H</vt:lpstr>
      <vt:lpstr>As-Filed Schedule 2I</vt:lpstr>
      <vt:lpstr>As-Filed Schedule 2J</vt:lpstr>
      <vt:lpstr>As-Filed Schedule 2K</vt:lpstr>
      <vt:lpstr>As-Filed Schedule 2L</vt:lpstr>
      <vt:lpstr>As-Filed Schedule 2M</vt:lpstr>
      <vt:lpstr>As-Filed Schedule 3</vt:lpstr>
      <vt:lpstr>As-Filed Schedule 4</vt:lpstr>
      <vt:lpstr>As-Filed Schedule 5</vt:lpstr>
      <vt:lpstr>Schedule 1 Adjustments</vt:lpstr>
      <vt:lpstr>Schedule 1A Adjustments</vt:lpstr>
      <vt:lpstr>Schedule 1C Adjustments</vt:lpstr>
      <vt:lpstr>Schedule 2A Adjustments</vt:lpstr>
      <vt:lpstr>Schedule 2B Adjustments</vt:lpstr>
      <vt:lpstr>Schedule 2C Adjustments</vt:lpstr>
      <vt:lpstr>Schedule 2D Adjustments</vt:lpstr>
      <vt:lpstr>Schedule 2E Adjustments</vt:lpstr>
      <vt:lpstr>Schedule 2F Adjustments</vt:lpstr>
      <vt:lpstr>Schedule 2G Adjustments</vt:lpstr>
      <vt:lpstr>Schedule 2H Adjustments</vt:lpstr>
      <vt:lpstr>Schedule 2I Adjustments</vt:lpstr>
      <vt:lpstr>Schedule 2J Adjustments</vt:lpstr>
      <vt:lpstr>Schedule 2K Adjustments</vt:lpstr>
      <vt:lpstr>Schedule 2L Adjustments</vt:lpstr>
      <vt:lpstr>Schedule 2M Adjustments</vt:lpstr>
      <vt:lpstr>Schedule 3 Adjustments</vt:lpstr>
      <vt:lpstr>Schedule 4 Adjustments</vt:lpstr>
      <vt:lpstr>Schedule 5 Adjustments</vt:lpstr>
      <vt:lpstr>Results!Print_Area</vt:lpstr>
      <vt:lpstr>Results!Print_Titles</vt:lpstr>
    </vt:vector>
  </TitlesOfParts>
  <Company>Myers and Stauffer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Ashleigh Perez</dc:creator>
  <cp:lastModifiedBy>Zhong, Arthur</cp:lastModifiedBy>
  <dcterms:created xsi:type="dcterms:W3CDTF">2022-01-27T23:29:48Z</dcterms:created>
  <dcterms:modified xsi:type="dcterms:W3CDTF">2025-03-17T17:42:34Z</dcterms:modified>
</cp:coreProperties>
</file>